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12.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drawings/drawing1.xml" ContentType="application/vnd.openxmlformats-officedocument.drawing+xml"/>
  <Override PartName="/xl/tables/table13.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tables/table14.xml" ContentType="application/vnd.openxmlformats-officedocument.spreadsheetml.table+xml"/>
  <Override PartName="/xl/tables/table15.xml" ContentType="application/vnd.openxmlformats-officedocument.spreadsheetml.table+xml"/>
  <Override PartName="/xl/drawings/drawing2.xml" ContentType="application/vnd.openxmlformats-officedocument.drawing+xml"/>
  <Override PartName="/xl/tables/table16.xml" ContentType="application/vnd.openxmlformats-officedocument.spreadsheetml.table+xml"/>
  <Override PartName="/xl/tables/table17.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mc:AlternateContent xmlns:mc="http://schemas.openxmlformats.org/markup-compatibility/2006">
    <mc:Choice Requires="x15">
      <x15ac:absPath xmlns:x15ac="http://schemas.microsoft.com/office/spreadsheetml/2010/11/ac" url="J:\~ IDEA Compliance\IDEA District Applications\2024 Draft Application\"/>
    </mc:Choice>
  </mc:AlternateContent>
  <xr:revisionPtr revIDLastSave="0" documentId="13_ncr:1_{DCFFDA3F-113B-4191-BE6B-2728C9E61E46}" xr6:coauthVersionLast="47" xr6:coauthVersionMax="47" xr10:uidLastSave="{00000000-0000-0000-0000-000000000000}"/>
  <workbookProtection workbookAlgorithmName="SHA-512" workbookHashValue="09v5+s4EwQX8gZOeGSrUvL5F2o94F5iU3veQj0UcuAcu3eFAbhblkothB59HtAMHLyAXO6RNLKO8odorr3KltQ==" workbookSaltValue="DMmLYxLdnQ1IFUCRiy42+Q==" workbookSpinCount="100000" lockStructure="1"/>
  <bookViews>
    <workbookView xWindow="33720" yWindow="-90" windowWidth="29040" windowHeight="15840" tabRatio="856" firstSheet="17" activeTab="17" xr2:uid="{F7BB320D-7688-4EDE-99A4-2586264E2450}"/>
  </bookViews>
  <sheets>
    <sheet name="Agency Info Data" sheetId="1" state="hidden" r:id="rId1"/>
    <sheet name="Output" sheetId="26" state="hidden" r:id="rId2"/>
    <sheet name="Sheet2" sheetId="41" state="hidden" r:id="rId3"/>
    <sheet name="Mail Merge" sheetId="40" state="hidden" r:id="rId4"/>
    <sheet name="MOE Calc" sheetId="39" state="hidden" r:id="rId5"/>
    <sheet name="Awardsize" sheetId="36" state="hidden" r:id="rId6"/>
    <sheet name="Admin" sheetId="2" state="hidden" r:id="rId7"/>
    <sheet name="Charters" sheetId="19" state="hidden" r:id="rId8"/>
    <sheet name="LateInaccurate" sheetId="34" state="hidden" r:id="rId9"/>
    <sheet name="MoeHistory" sheetId="29" state="hidden" r:id="rId10"/>
    <sheet name="SQL MOE" sheetId="48" state="hidden" r:id="rId11"/>
    <sheet name="NWR" sheetId="49" state="hidden" r:id="rId12"/>
    <sheet name="2022 SQL" sheetId="51" state="hidden" r:id="rId13"/>
    <sheet name="Roll Up" sheetId="50" state="hidden" r:id="rId14"/>
    <sheet name="Contacts" sheetId="15" state="hidden" r:id="rId15"/>
    <sheet name="District 2022-23" sheetId="52" state="hidden" r:id="rId16"/>
    <sheet name="Enroll%" sheetId="35" state="hidden" r:id="rId17"/>
    <sheet name="READ ME (Updates)" sheetId="32" r:id="rId18"/>
    <sheet name="SigDis" sheetId="38" state="hidden" r:id="rId19"/>
    <sheet name="Resources" sheetId="43" state="hidden" r:id="rId20"/>
    <sheet name="Agency Information" sheetId="3" r:id="rId21"/>
    <sheet name="Contact Information" sheetId="25" r:id="rId22"/>
    <sheet name="Example Statements" sheetId="47" r:id="rId23"/>
    <sheet name="Equity Assurances" sheetId="31" r:id="rId24"/>
    <sheet name="MOE" sheetId="28" r:id="rId25"/>
    <sheet name="Fiscal Assurances" sheetId="11" r:id="rId26"/>
    <sheet name="FAPE Assurances" sheetId="33" r:id="rId27"/>
    <sheet name="Program &amp; Data Assurances" sheetId="18" r:id="rId28"/>
    <sheet name="Charter School Assurances" sheetId="22" r:id="rId29"/>
    <sheet name="Private School Assurances" sheetId="23" r:id="rId30"/>
    <sheet name="Fiscal Risk" sheetId="30" r:id="rId31"/>
    <sheet name="Signatures" sheetId="17" r:id="rId32"/>
    <sheet name="Will Delete SpedDirectorQ" sheetId="37" state="hidden" r:id="rId33"/>
  </sheets>
  <definedNames>
    <definedName name="_xlnm._FilterDatabase" localSheetId="0" hidden="1">'Agency Info Data'!$A$1:$C$198</definedName>
    <definedName name="_xlnm._FilterDatabase" localSheetId="5" hidden="1">Awardsize!$A$1:$M$1</definedName>
    <definedName name="_xlnm._FilterDatabase" localSheetId="16" hidden="1">'Enroll%'!$A$1:$C$198</definedName>
    <definedName name="_xlnm._FilterDatabase" localSheetId="8" hidden="1">LateInaccurate!$A$2:$H$199</definedName>
    <definedName name="_xlnm._FilterDatabase" localSheetId="10" hidden="1">'SQL MOE'!$B$1:$O$574</definedName>
    <definedName name="_xlcn.WorksheetConnection_IDEAPartBandPreschoolAppDRAFTV2b.xlsmTblAgencies1" hidden="1">TblAgencies[]</definedName>
    <definedName name="_xlcn.WorksheetConnection_IDEAPartBandPreschoolAppDRAFTV2b.xlsmtblCharterSchls1" hidden="1">tblCharterSchls[]</definedName>
    <definedName name="agencies_cols" localSheetId="3">TblAgencies[#Headers]</definedName>
    <definedName name="agencies_cols">TblAgencies[#Headers]</definedName>
    <definedName name="AgencyInfoFields">Output!$B$19</definedName>
    <definedName name="ApplyingFor">'Agency Information'!#REF!</definedName>
    <definedName name="AppUpdateDt">Admin!$B$13</definedName>
    <definedName name="AppVersion">Admin!$B$12</definedName>
    <definedName name="BsnEmail1">'Contact Information'!$D$28</definedName>
    <definedName name="BsnEmail2">'Contact Information'!$D$29</definedName>
    <definedName name="BsnFirstName">'Contact Information'!$D$21</definedName>
    <definedName name="BsnLastName">'Contact Information'!$D$22</definedName>
    <definedName name="BsnPhone1">'Contact Information'!$D$24</definedName>
    <definedName name="BsnPhone1Extension">'Contact Information'!$D$25</definedName>
    <definedName name="BsnPhone2">'Contact Information'!$D$26</definedName>
    <definedName name="BsnPhone2Extension">'Contact Information'!$D$27</definedName>
    <definedName name="BsnTitle">'Contact Information'!$D$23</definedName>
    <definedName name="budgetmoe_choices" localSheetId="3">INDEX(tblChoices[],1,'Mail Merge'!budgetmoe_col_num):INDEX(tblChoices[],COUNTA(INDEX(tblChoices[],,'Mail Merge'!budgetmoe_col_num)),'Mail Merge'!budgetmoe_col_num)</definedName>
    <definedName name="budgetmoe_choices">INDEX(tblChoices[],1,budgetmoe_col_num):INDEX(tblChoices[],COUNTA(INDEX(tblChoices[],,budgetmoe_col_num)),budgetmoe_col_num)</definedName>
    <definedName name="budgetmoe_col_num" localSheetId="3">MATCH('Fiscal Assurances'!$B$26,'Mail Merge'!choice_cols,0)</definedName>
    <definedName name="budgetmoe_col_num">MATCH('Fiscal Assurances'!$B$26,choice_cols,0)</definedName>
    <definedName name="ceis_answer">'Fiscal Assurances'!$C$41</definedName>
    <definedName name="ceis_choices" localSheetId="3">INDEX(tblChoices[],1,'Mail Merge'!ceis_col_num):INDEX(tblChoices[],COUNTA(INDEX(tblChoices[],,'Mail Merge'!ceis_col_num)),'Mail Merge'!ceis_col_num)</definedName>
    <definedName name="ceis_choices">INDEX(tblChoices[],1,ceis_col_num):INDEX(tblChoices[],COUNTA(INDEX(tblChoices[],,ceis_col_num)),ceis_col_num)</definedName>
    <definedName name="ceis_col" localSheetId="3">INDEX(tblChoices[],,'Mail Merge'!ceis_col_num)</definedName>
    <definedName name="ceis_col">INDEX(tblChoices[],,ceis_col_num)</definedName>
    <definedName name="ceis_col_num" localSheetId="3">MATCH('Mail Merge'!ceis_type,'Mail Merge'!choice_cols,0)</definedName>
    <definedName name="ceis_col_num">MATCH(ceis_type,choice_cols,0)</definedName>
    <definedName name="ceis_type" localSheetId="3">IF(VLOOKUP(#REF!,TblAgencies[],3,FALSE)="Y","CCEIS Assurance:","CEIS Assurance:")</definedName>
    <definedName name="ceis_type">IF(VLOOKUP(LeaName,TblAgencies[],3,FALSE)="Y","CCEIS Assurance:","CEIS Assurance:")</definedName>
    <definedName name="charter_choices" localSheetId="3">INDEX(tblChoices[],1,'Mail Merge'!charter_col_num):INDEX(tblChoices[],COUNTA(INDEX(tblChoices[],,'Mail Merge'!charter_col_num)),'Mail Merge'!charter_col_num)</definedName>
    <definedName name="charter_choices">INDEX(tblChoices[],1,charter_col_num):INDEX(tblChoices[],COUNTA(INDEX(tblChoices[],,charter_col_num)),charter_col_num)</definedName>
    <definedName name="charter_col_num" localSheetId="3">MATCH('Charter School Assurances'!$B$10,'Mail Merge'!choice_cols,0)</definedName>
    <definedName name="charter_col_num">MATCH('Charter School Assurances'!$B$10,choice_cols,0)</definedName>
    <definedName name="Charter1Nm">'Charter School Assurances'!$C$18</definedName>
    <definedName name="Charter1Opt">'Charter School Assurances'!$D$18</definedName>
    <definedName name="Charter2Nm">'Charter School Assurances'!$C$19</definedName>
    <definedName name="Charter2Opt">'Charter School Assurances'!$D$19</definedName>
    <definedName name="Charter3Nm">'Charter School Assurances'!$C$20</definedName>
    <definedName name="Charter3Opt">'Charter School Assurances'!$D$20</definedName>
    <definedName name="Charter4Nm">'Charter School Assurances'!$C$21</definedName>
    <definedName name="Charter4Opt">'Charter School Assurances'!$D$21</definedName>
    <definedName name="Charter5Nm">'Charter School Assurances'!$C$22</definedName>
    <definedName name="Charter5Opt">'Charter School Assurances'!$D$22</definedName>
    <definedName name="Charter6Nm">'Charter School Assurances'!$C$23</definedName>
    <definedName name="Charter6Opt">'Charter School Assurances'!$D$23</definedName>
    <definedName name="CharterAllocations">'Charter School Assurances'!$C$10</definedName>
    <definedName name="CharterNew1Nm">'Charter School Assurances'!$C$29</definedName>
    <definedName name="CharterNew1Opt">'Charter School Assurances'!$D$29</definedName>
    <definedName name="CharterNew2Nm">'Charter School Assurances'!$C$30</definedName>
    <definedName name="CharterNew2Opt">'Charter School Assurances'!$D$30</definedName>
    <definedName name="CharterNew3Nm">'Charter School Assurances'!$C$31</definedName>
    <definedName name="CharterNew3Opt">'Charter School Assurances'!$D$31</definedName>
    <definedName name="CharterNew4Nm">'Charter School Assurances'!$C$32</definedName>
    <definedName name="CharterNew4Opt">'Charter School Assurances'!$D$32</definedName>
    <definedName name="CharterNew5Nm">'Charter School Assurances'!$C$33</definedName>
    <definedName name="CharterNew5Opt">'Charter School Assurances'!$D$33</definedName>
    <definedName name="CharterNew6Nm">'Charter School Assurances'!$C$34</definedName>
    <definedName name="CharterNew6Opt">'Charter School Assurances'!$D$34</definedName>
    <definedName name="CharterSchoolsFields">Output!$B$22</definedName>
    <definedName name="choice_cols" localSheetId="3">tblChoices[#Headers]</definedName>
    <definedName name="choice_cols">tblChoices[#Headers]</definedName>
    <definedName name="ChoiceYN">Admin!$B$5:$B$6</definedName>
    <definedName name="CloseDate">Admin!$B$11</definedName>
    <definedName name="contact_columns" localSheetId="3">tblContacts[#Headers]</definedName>
    <definedName name="contact_columns">tblContacts[#Headers]</definedName>
    <definedName name="CurrSchlYr">Admin!$B$3</definedName>
    <definedName name="data_choices" localSheetId="3">INDEX(tblChoices[],1,'Mail Merge'!data_col_num):INDEX(tblChoices[],COUNTA(INDEX(tblChoices[],,'Mail Merge'!data_col_num)),'Mail Merge'!data_col_num)</definedName>
    <definedName name="data_choices">INDEX(tblChoices[],1,data_col_num):INDEX(tblChoices[],COUNTA(INDEX(tblChoices[],,data_col_num)),data_col_num)</definedName>
    <definedName name="data_col_num" localSheetId="3">MATCH('Program &amp; Data Assurances'!$B$6,'Mail Merge'!choice_cols,0)</definedName>
    <definedName name="data_col_num">MATCH('Program &amp; Data Assurances'!$B$6,choice_cols,0)</definedName>
    <definedName name="DataCllctnRptng">'Program &amp; Data Assurances'!$C$6</definedName>
    <definedName name="DataCollectionProgramFields">Output!$B$21</definedName>
    <definedName name="DoeEstDate">Admin!$B$15</definedName>
    <definedName name="ESDSupport">#REF!</definedName>
    <definedName name="esig_choices" localSheetId="3">INDEX(tblChoices[],1,'Mail Merge'!esig_col_no):INDEX(tblChoices[],COUNTA(INDEX(tblChoices[],,'Mail Merge'!esig_col_no)),'Mail Merge'!esig_col_no)</definedName>
    <definedName name="esig_choices">INDEX(tblChoices[],1,esig_col_no):INDEX(tblChoices[],COUNTA(INDEX(tblChoices[],,esig_col_no)),esig_col_no)</definedName>
    <definedName name="esig_col_no" localSheetId="3">MATCH(RIGHT(Signatures!$B$29,32),'Mail Merge'!choice_cols,0)</definedName>
    <definedName name="esig_col_no">MATCH(RIGHT(Signatures!$B$29,32),choice_cols,0)</definedName>
    <definedName name="FiscalAgent">'Agency Information'!$H$25</definedName>
    <definedName name="FiscalAgent_choices" localSheetId="3">INDEX(tblInsts[],1,'Mail Merge'!FiscalAgent_col_num):INDEX(tblInsts[],COUNTA(INDEX(tblInsts[],,'Mail Merge'!FiscalAgent_col_num)),'Mail Merge'!FiscalAgent_col_num)</definedName>
    <definedName name="FiscalAgent_choices">INDEX(tblInsts[],1,FiscalAgent_col_num):INDEX(tblInsts[],COUNTA(INDEX(tblInsts[],,FiscalAgent_col_num)),FiscalAgent_col_num)</definedName>
    <definedName name="FiscalAgent_col_num" localSheetId="3">MATCH(#REF!,'Mail Merge'!tblinsts_cols,0)</definedName>
    <definedName name="FiscalAgent_col_num">MATCH(FiscalAgentType,tblinsts_cols,0)</definedName>
    <definedName name="FiscalAgentAssurance">'Agency Information'!$H$21</definedName>
    <definedName name="FiscalAgentIsESD">'Agency Information'!$E$25</definedName>
    <definedName name="FiscalAgentType">IF(FiscalAgentIsESD="No","LEA","ESD")</definedName>
    <definedName name="fiscalcontrols_choices" localSheetId="3">INDEX(tblChoices[],1,'Mail Merge'!fiscalcontrols_col_num):INDEX(tblChoices[],COUNTA(INDEX(tblChoices[],,'Mail Merge'!fiscalcontrols_col_num)),'Mail Merge'!fiscalcontrols_col_num)</definedName>
    <definedName name="fiscalcontrols_choices">INDEX(tblChoices[],1,fiscalcontrols_col_num):INDEX(tblChoices[],COUNTA(INDEX(tblChoices[],,fiscalcontrols_col_num)),fiscalcontrols_col_num)</definedName>
    <definedName name="fiscalcontrols_col_num" localSheetId="3">MATCH('Fiscal Assurances'!$B$33,'Mail Merge'!choice_cols,0)</definedName>
    <definedName name="fiscalcontrols_col_num">MATCH('Fiscal Assurances'!$B$33,choice_cols,0)</definedName>
    <definedName name="FiscalFields">Output!$B$20</definedName>
    <definedName name="FiscalRiskFields">Output!$B$24</definedName>
    <definedName name="FiscalRiskTotal">'Fiscal Risk'!$H$26</definedName>
    <definedName name="FrAns1">'Fiscal Risk'!$G$7</definedName>
    <definedName name="FrAns10">'Fiscal Risk'!$G$18</definedName>
    <definedName name="FrAns11">'Fiscal Risk'!$G$20</definedName>
    <definedName name="FrAns12">'Fiscal Risk'!$G$21</definedName>
    <definedName name="FrAns13">'Fiscal Risk'!$G$22</definedName>
    <definedName name="FrAns14">'Fiscal Risk'!#REF!</definedName>
    <definedName name="FrAns15">'Fiscal Risk'!#REF!</definedName>
    <definedName name="FrAns2">'Fiscal Risk'!$G$8</definedName>
    <definedName name="FrAns3">'Fiscal Risk'!$G$11</definedName>
    <definedName name="FrAns4">'Fiscal Risk'!$G$13</definedName>
    <definedName name="FrAns5">'Fiscal Risk'!$G$14</definedName>
    <definedName name="FrAns6">'Fiscal Risk'!$G$15</definedName>
    <definedName name="FrAns7">'Fiscal Risk'!#REF!</definedName>
    <definedName name="FrAns8">'Fiscal Risk'!$G$16</definedName>
    <definedName name="FrAns9">'Fiscal Risk'!$G$17</definedName>
    <definedName name="FrScore1">'Fiscal Risk'!$H$7</definedName>
    <definedName name="FrScore10">'Fiscal Risk'!$H$18</definedName>
    <definedName name="FrScore11">'Fiscal Risk'!$H$20</definedName>
    <definedName name="FrScore12">'Fiscal Risk'!$H$21</definedName>
    <definedName name="FrScore13">'Fiscal Risk'!$H$22</definedName>
    <definedName name="FrScore14">'Fiscal Risk'!#REF!</definedName>
    <definedName name="FrScore15">'Fiscal Risk'!#REF!</definedName>
    <definedName name="FrScore2">'Fiscal Risk'!$H$8</definedName>
    <definedName name="FrScore3">'Fiscal Risk'!$H$11</definedName>
    <definedName name="FrScore4">'Fiscal Risk'!$H$13</definedName>
    <definedName name="FrScore5">'Fiscal Risk'!$H$14</definedName>
    <definedName name="FrScore6">'Fiscal Risk'!$H$15</definedName>
    <definedName name="FrScore7">'Fiscal Risk'!#REF!</definedName>
    <definedName name="FrScore8">'Fiscal Risk'!$H$16</definedName>
    <definedName name="FrScore9">'Fiscal Risk'!$H$17</definedName>
    <definedName name="FRv2_NoZero" localSheetId="3">INDEX(tblFRv2Choices[],2,MATCH("Choices",tblFRv2Choices[#Headers],0)):INDEX(tblFRv2Choices[],COUNTA(INDEX(tblFRv2Choices[],,MATCH("Choices",tblFRv2Choices[#Headers],0))),MATCH("Choices",tblFRv2Choices[#Headers],0))</definedName>
    <definedName name="FRv2_NoZero">INDEX(tblFRv2Choices[],2,MATCH("Choices",tblFRv2Choices[#Headers],0)):INDEX(tblFRv2Choices[],COUNTA(INDEX(tblFRv2Choices[],,MATCH("Choices",tblFRv2Choices[#Headers],0))),MATCH("Choices",tblFRv2Choices[#Headers],0))</definedName>
    <definedName name="FRv2_Zero" localSheetId="3">INDEX(tblFRv2Choices[],1,MATCH("Choices",tblFRv2Choices[#Headers],0)):INDEX(tblFRv2Choices[],COUNTA(INDEX(tblFRv2Choices[],,MATCH("Choices",tblFRv2Choices[#Headers],0))),MATCH("Choices",tblFRv2Choices[#Headers],0))</definedName>
    <definedName name="FRv2_Zero">INDEX(tblFRv2Choices[],1,MATCH("Choices",tblFRv2Choices[#Headers],0)):INDEX(tblFRv2Choices[],COUNTA(INDEX(tblFRv2Choices[],,MATCH("Choices",tblFRv2Choices[#Headers],0))),MATCH("Choices",tblFRv2Choices[#Headers],0))</definedName>
    <definedName name="FsclBudget">'Fiscal Assurances'!$C$26</definedName>
    <definedName name="FsclControls">'Fiscal Assurances'!$C$33</definedName>
    <definedName name="FsclLtct">'Fiscal Assurances'!$C$80</definedName>
    <definedName name="FsclOsd">'Fiscal Assurances'!$C$74</definedName>
    <definedName name="FsclRegional">'Fiscal Assurances'!$C$68</definedName>
    <definedName name="FsclTimeEffort">'Fiscal Assurances'!$C$52</definedName>
    <definedName name="GeneralIDEA">'FAPE Assurances'!$C$6:$M$6,'FAPE Assurances'!$C$10:$M$10,'FAPE Assurances'!$C$14:$M$14,'FAPE Assurances'!$C$18:$M$18,'FAPE Assurances'!$C$22:$M$22,'FAPE Assurances'!$C$26:$M$26,'FAPE Assurances'!$C$30:$M$30,'FAPE Assurances'!$C$34:$M$34,'FAPE Assurances'!$C$38:$M$38,'FAPE Assurances'!$C$42:$M$42,'FAPE Assurances'!$C$46:$M$46,'FAPE Assurances'!$C$50:$M$50,'FAPE Assurances'!$C$54:$M$54,'FAPE Assurances'!$C$58:$M$58,'FAPE Assurances'!$C$62:$M$62,'FAPE Assurances'!$C$66:$M$66</definedName>
    <definedName name="genidea_choices">Admin!$O$2:$O$3</definedName>
    <definedName name="genidea_col_num" localSheetId="3">MATCH('Program &amp; Data Assurances'!#REF!,'Mail Merge'!choice_cols,0)</definedName>
    <definedName name="genidea_col_num">MATCH('Program &amp; Data Assurances'!#REF!,choice_cols,0)</definedName>
    <definedName name="Gross611">'Agency Information'!$J$12</definedName>
    <definedName name="Gross619">'Agency Information'!$J$13</definedName>
    <definedName name="HasCharterSchools" localSheetId="3">COUNTIF(tblCharterSchls[AdminNm],#REF!)</definedName>
    <definedName name="HasCharterSchools">COUNTIF(tblCharterSchls[AdminNm],LeaName)</definedName>
    <definedName name="LEA_ID">'Agency Information'!$F$3</definedName>
    <definedName name="LeaName">'Agency Information'!$F$2</definedName>
    <definedName name="ltct_choices" localSheetId="3">INDEX(tblChoices[],1,'Mail Merge'!ltct_col_num):INDEX(tblChoices[],COUNTA(INDEX(tblChoices[],,'Mail Merge'!ltct_col_num)),'Mail Merge'!ltct_col_num)</definedName>
    <definedName name="ltct_choices">INDEX(tblChoices[],1,ltct_col_num):INDEX(tblChoices[],COUNTA(INDEX(tblChoices[],,ltct_col_num)),ltct_col_num)</definedName>
    <definedName name="ltct_col_num" localSheetId="3">MATCH('Fiscal Assurances'!$B$80,'Mail Merge'!choice_cols,0)</definedName>
    <definedName name="ltct_col_num">MATCH('Fiscal Assurances'!$B$80,choice_cols,0)</definedName>
    <definedName name="maincontact_choices" localSheetId="3">INDEX(tblChoices[],1,'Mail Merge'!maincontact_col_num):INDEX(tblChoices[],COUNTA(INDEX(tblChoices[],,'Mail Merge'!maincontact_col_num)),'Mail Merge'!maincontact_col_num)</definedName>
    <definedName name="maincontact_choices">INDEX(tblChoices[],1,maincontact_col_num):INDEX(tblChoices[],COUNTA(INDEX(tblChoices[],,maincontact_col_num)),maincontact_col_num)</definedName>
    <definedName name="maincontact_col_num" localSheetId="3">MATCH("Contacts",'Mail Merge'!choice_cols,0)</definedName>
    <definedName name="maincontact_col_num">MATCH("Contacts",choice_cols,0)</definedName>
    <definedName name="MainIndexResponses">Output!#REF!</definedName>
    <definedName name="MoeCurrYear">Admin!$B$16</definedName>
    <definedName name="moehist_cols" localSheetId="3">'Mail Merge'!$A$1:$V$1</definedName>
    <definedName name="moehist_cols">tblMoeHistory[#Headers]</definedName>
    <definedName name="MoePriorYear">Admin!$B$17</definedName>
    <definedName name="MoePriorYear2">Admin!$B$18</definedName>
    <definedName name="MoePriorYear3">Admin!$B$19</definedName>
    <definedName name="MoePriorYear4">Admin!$B$20</definedName>
    <definedName name="MoeStartYear">Admin!$B$14</definedName>
    <definedName name="Nimas">'Program &amp; Data Assurances'!$C$34</definedName>
    <definedName name="nimas_charter_choices" localSheetId="3">INDEX(tblChoices[],1,'Mail Merge'!nimas_charter_col_num):INDEX(tblChoices[],COUNTA(INDEX(tblChoices[],,'Mail Merge'!nimas_charter_col_num)),'Mail Merge'!nimas_charter_col_num)</definedName>
    <definedName name="nimas_charter_choices">INDEX(tblChoices[],1,nimas_charter_col_num):INDEX(tblChoices[],COUNTA(INDEX(tblChoices[],,nimas_charter_col_num)),nimas_charter_col_num)</definedName>
    <definedName name="nimas_charter_col_num" localSheetId="3">MATCH("NIMAS Charter:",'Mail Merge'!choice_cols,0)</definedName>
    <definedName name="nimas_charter_col_num">MATCH("NIMAS Charter:",choice_cols,0)</definedName>
    <definedName name="nimas_choices" localSheetId="3">INDEX(tblChoices[],1,'Mail Merge'!nimas_col_num):INDEX(tblChoices[],COUNTA(INDEX(tblChoices[],,'Mail Merge'!nimas_col_num)),'Mail Merge'!nimas_col_num)</definedName>
    <definedName name="nimas_choices">INDEX(tblChoices[],1,nimas_col_num):INDEX(tblChoices[],COUNTA(INDEX(tblChoices[],,nimas_col_num)),nimas_col_num)</definedName>
    <definedName name="nimas_col_num" localSheetId="3">MATCH('Program &amp; Data Assurances'!$B$34,'Mail Merge'!choice_cols,0)</definedName>
    <definedName name="nimas_col_num">MATCH('Program &amp; Data Assurances'!$B$34,choice_cols,0)</definedName>
    <definedName name="OpenDate">Admin!$B$10</definedName>
    <definedName name="osd_choices" localSheetId="3">INDEX(tblChoices[],1,'Mail Merge'!osd_col_num):INDEX(tblChoices[],COUNTA(INDEX(tblChoices[],,'Mail Merge'!osd_col_num)),'Mail Merge'!osd_col_num)</definedName>
    <definedName name="osd_choices">INDEX(tblChoices[],1,osd_col_num):INDEX(tblChoices[],COUNTA(INDEX(tblChoices[],,osd_col_num)),osd_col_num)</definedName>
    <definedName name="osd_col_num" localSheetId="3">MATCH('Fiscal Assurances'!$B$74,'Mail Merge'!choice_cols,0)</definedName>
    <definedName name="osd_col_num">MATCH('Fiscal Assurances'!$B$74,choice_cols,0)</definedName>
    <definedName name="otherpol_choices" localSheetId="3">INDEX(tblChoices[],1,'Mail Merge'!otherpol_col_num):INDEX(tblChoices[],COUNTA(INDEX(tblChoices[],,'Mail Merge'!otherpol_col_num)),'Mail Merge'!otherpol_col_num)</definedName>
    <definedName name="otherpol_choices">INDEX(tblChoices[],1,otherpol_col_num):INDEX(tblChoices[],COUNTA(INDEX(tblChoices[],,otherpol_col_num)),otherpol_col_num)</definedName>
    <definedName name="otherpol_col_num" localSheetId="3">MATCH('Program &amp; Data Assurances'!$B$29,'Mail Merge'!choice_cols,0)</definedName>
    <definedName name="otherpol_col_num">MATCH('Program &amp; Data Assurances'!$B$29,choice_cols,0)</definedName>
    <definedName name="OtherPolicies">'Program &amp; Data Assurances'!$C$29</definedName>
    <definedName name="PreparerInfo">'Agency Information'!$F$3:$H$6</definedName>
    <definedName name="PrevSchlYr">Admin!$B$4</definedName>
    <definedName name="_xlnm.Print_Area" localSheetId="29">'Private School Assurances'!$A$1:$K$13</definedName>
    <definedName name="_xlnm.Print_Titles" localSheetId="25">'Fiscal Assurances'!$1:$1</definedName>
    <definedName name="_xlnm.Print_Titles" localSheetId="30">'Fiscal Risk'!$12:$12</definedName>
    <definedName name="PrivateSchlLeaPlcd">'Private School Assurances'!$E$5</definedName>
    <definedName name="PrivateSchlPrntPlcd">'Private School Assurances'!$E$12</definedName>
    <definedName name="PrivateSchoolsFields">Output!$B$23</definedName>
    <definedName name="privschl_choices" localSheetId="3">INDEX(tblChoices[],1,'Mail Merge'!privschl_col_num):INDEX(tblChoices[],COUNTA(INDEX(tblChoices[],,'Mail Merge'!privschl_col_num)),'Mail Merge'!privschl_col_num)</definedName>
    <definedName name="privschl_choices">INDEX(tblChoices[],1,privschl_col_num):INDEX(tblChoices[],COUNTA(INDEX(tblChoices[],,privschl_col_num)),privschl_col_num)</definedName>
    <definedName name="privschl_col_num" localSheetId="3">MATCH('Program &amp; Data Assurances'!#REF!,'Mail Merge'!choice_cols,0)</definedName>
    <definedName name="privschl_col_num">MATCH('Program &amp; Data Assurances'!#REF!,choice_cols,0)</definedName>
    <definedName name="PrsnApplying">'Agency Information'!$F$4</definedName>
    <definedName name="PrsnEmail">'Agency Information'!$F$6</definedName>
    <definedName name="PrsnPhone">'Agency Information'!$F$5</definedName>
    <definedName name="pubben_choices" localSheetId="3">INDEX(tblChoices[],1,'Mail Merge'!pubben_col_num):INDEX(tblChoices[],COUNTA(INDEX(tblChoices[],,'Mail Merge'!pubben_col_num)),'Mail Merge'!pubben_col_num)</definedName>
    <definedName name="pubben_choices">INDEX(tblChoices[],1,pubben_col_num):INDEX(tblChoices[],COUNTA(INDEX(tblChoices[],,pubben_col_num)),pubben_col_num)</definedName>
    <definedName name="pubben_col_num" localSheetId="3">MATCH('Program &amp; Data Assurances'!$B$18,'Mail Merge'!choice_cols,0)</definedName>
    <definedName name="pubben_col_num">MATCH('Program &amp; Data Assurances'!$B$18,choice_cols,0)</definedName>
    <definedName name="PublicBenefits">'Program &amp; Data Assurances'!$C$18</definedName>
    <definedName name="pvtschl_dist_choices" localSheetId="3">INDEX(tblChoices[],1,'Mail Merge'!pvtschl_dist_col_num):INDEX(tblChoices[],COUNTA(INDEX(tblChoices[],,'Mail Merge'!pvtschl_dist_col_num)),'Mail Merge'!pvtschl_dist_col_num)</definedName>
    <definedName name="pvtschl_dist_choices">INDEX(tblChoices[],1,pvtschl_dist_col_num):INDEX(tblChoices[],COUNTA(INDEX(tblChoices[],,pvtschl_dist_col_num)),pvtschl_dist_col_num)</definedName>
    <definedName name="pvtschl_dist_col_num" localSheetId="3">MATCH('Private School Assurances'!$D$5,'Mail Merge'!choice_cols,0)</definedName>
    <definedName name="pvtschl_dist_col_num">MATCH('Private School Assurances'!$D$5,choice_cols,0)</definedName>
    <definedName name="pvtschl_prnt_choices" localSheetId="3">INDEX(tblChoices[],1,'Mail Merge'!pvtschl_prnt_col_num):INDEX(tblChoices[],COUNTA(INDEX(tblChoices[],,'Mail Merge'!pvtschl_prnt_col_num)),'Mail Merge'!pvtschl_prnt_col_num)</definedName>
    <definedName name="pvtschl_prnt_choices">INDEX(tblChoices[],1,pvtschl_prnt_col_num):INDEX(tblChoices[],COUNTA(INDEX(tblChoices[],,pvtschl_prnt_col_num)),pvtschl_prnt_col_num)</definedName>
    <definedName name="pvtschl_prnt_col_num" localSheetId="3">MATCH('Private School Assurances'!$D$12,'Mail Merge'!choice_cols,0)</definedName>
    <definedName name="pvtschl_prnt_col_num">MATCH('Private School Assurances'!$D$12,choice_cols,0)</definedName>
    <definedName name="regional_choices" localSheetId="3">INDEX(tblChoices[],1,'Mail Merge'!regional_col_num):INDEX(tblChoices[],COUNTA(INDEX(tblChoices[],,'Mail Merge'!regional_col_num)),'Mail Merge'!regional_col_num)</definedName>
    <definedName name="regional_choices">INDEX(tblChoices[],1,regional_col_num):INDEX(tblChoices[],COUNTA(INDEX(tblChoices[],,regional_col_num)),regional_col_num)</definedName>
    <definedName name="regional_col_num" localSheetId="3">MATCH('Fiscal Assurances'!$B$68,'Mail Merge'!choice_cols,0)</definedName>
    <definedName name="regional_col_num">MATCH('Fiscal Assurances'!$B$68,choice_cols,0)</definedName>
    <definedName name="RptYr">Admin!$B$2</definedName>
    <definedName name="sect611_cols" localSheetId="3">tblSection611[#Headers]</definedName>
    <definedName name="sect611_cols">tblSection611[#Headers]</definedName>
    <definedName name="Sect611App">'Agency Information'!#REF!</definedName>
    <definedName name="sect619_cols" localSheetId="3">tblSection619[#Headers]</definedName>
    <definedName name="sect619_cols">tblSection619[#Headers]</definedName>
    <definedName name="Sect619App">'Agency Information'!#REF!</definedName>
    <definedName name="SedEmail1">'Contact Information'!$E$28</definedName>
    <definedName name="SedEmail2">'Contact Information'!$E$29</definedName>
    <definedName name="SedFirstName">'Contact Information'!$E$21</definedName>
    <definedName name="SedLastName">'Contact Information'!$E$22</definedName>
    <definedName name="SedPhone1">'Contact Information'!$E$24</definedName>
    <definedName name="SedPhone1Extension">'Contact Information'!$E$25</definedName>
    <definedName name="SedPhone2">'Contact Information'!$E$26</definedName>
    <definedName name="SedPhone2Extension">'Contact Information'!$E$27</definedName>
    <definedName name="SedTitle">'Contact Information'!$E$23</definedName>
    <definedName name="SupEmail1">'Contact Information'!$C$28</definedName>
    <definedName name="SupEmail2">'Contact Information'!$C$29</definedName>
    <definedName name="SupFirstName">'Contact Information'!$C$21</definedName>
    <definedName name="SupLastName">'Contact Information'!$C$22</definedName>
    <definedName name="SupPhone1">'Contact Information'!$C$24</definedName>
    <definedName name="SupPhone1Extension">'Contact Information'!$C$25</definedName>
    <definedName name="SupPhone2">'Contact Information'!$C$26</definedName>
    <definedName name="SupPhone2Extension">'Contact Information'!$C$27</definedName>
    <definedName name="SupTitle">'Contact Information'!$C$23</definedName>
    <definedName name="tande_choices" localSheetId="3">INDEX(tblChoices[],1,'Mail Merge'!tande_col_num):INDEX(tblChoices[],COUNTA(INDEX(tblChoices[],,'Mail Merge'!tande_col_num)),'Mail Merge'!tande_col_num)</definedName>
    <definedName name="tande_choices">INDEX(tblChoices[],1,tande_col_num):INDEX(tblChoices[],COUNTA(INDEX(tblChoices[],,tande_col_num)),tande_col_num)</definedName>
    <definedName name="tande_col_num" localSheetId="3">MATCH('Fiscal Assurances'!$B$52,'Mail Merge'!choice_cols,0)</definedName>
    <definedName name="tande_col_num">MATCH('Fiscal Assurances'!$B$52,choice_cols,0)</definedName>
    <definedName name="tblinsts_cols" localSheetId="3">tblInsts[#Headers]</definedName>
    <definedName name="tblinsts_cols">tblInsts[#Headers]</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blCharterSchls" name="tblCharterSchls" connection="WorksheetConnection_IDEA Part B and Preschool App DRAFT V2b.xlsm!tblCharterSchls"/>
          <x15:modelTable id="TblAgencies" name="TblAgencies" connection="WorksheetConnection_IDEA Part B and Preschool App DRAFT V2b.xlsm!TblAgencies"/>
        </x15:modelTables>
        <x15:modelRelationships>
          <x15:modelRelationship fromTable="tblCharterSchls" fromColumn="AdminID" toTable="TblAgencies" toColumn="InstID"/>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35" l="1" a="1"/>
  <c r="G2" i="35" s="1"/>
  <c r="D48" i="35"/>
  <c r="D49" i="35"/>
  <c r="D50" i="35"/>
  <c r="D51" i="35"/>
  <c r="D52" i="35"/>
  <c r="D53" i="35"/>
  <c r="D54" i="35"/>
  <c r="D55" i="35"/>
  <c r="D56" i="35"/>
  <c r="D57" i="35"/>
  <c r="D58" i="35"/>
  <c r="D59" i="35"/>
  <c r="D60" i="35"/>
  <c r="D61" i="35"/>
  <c r="D62" i="35"/>
  <c r="D63" i="35"/>
  <c r="D64" i="35"/>
  <c r="D65" i="35"/>
  <c r="D66" i="35"/>
  <c r="D67" i="35"/>
  <c r="D68" i="35"/>
  <c r="D69" i="35"/>
  <c r="D70" i="35"/>
  <c r="D71" i="35"/>
  <c r="D72" i="35"/>
  <c r="D73" i="35"/>
  <c r="D74" i="35"/>
  <c r="D75" i="35"/>
  <c r="D76" i="35"/>
  <c r="D77" i="35"/>
  <c r="D78" i="35"/>
  <c r="D79" i="35"/>
  <c r="D80" i="35"/>
  <c r="D81" i="35"/>
  <c r="D82" i="35"/>
  <c r="D83" i="35"/>
  <c r="D84" i="35"/>
  <c r="D85" i="35"/>
  <c r="D86" i="35"/>
  <c r="D87" i="35"/>
  <c r="D88" i="35"/>
  <c r="D89" i="35"/>
  <c r="D90" i="35"/>
  <c r="D91" i="35"/>
  <c r="D92" i="35"/>
  <c r="D93" i="35"/>
  <c r="D94" i="35"/>
  <c r="D95" i="35"/>
  <c r="D96" i="35"/>
  <c r="D97" i="35"/>
  <c r="D98" i="35"/>
  <c r="D99" i="35"/>
  <c r="D100" i="35"/>
  <c r="D101" i="35"/>
  <c r="D102" i="35"/>
  <c r="D103" i="35"/>
  <c r="D104" i="35"/>
  <c r="D105" i="35"/>
  <c r="D106" i="35"/>
  <c r="D107" i="35"/>
  <c r="D108" i="35"/>
  <c r="D109" i="35"/>
  <c r="D110" i="35"/>
  <c r="D111" i="35"/>
  <c r="D112" i="35"/>
  <c r="D113" i="35"/>
  <c r="D114" i="35"/>
  <c r="D115" i="35"/>
  <c r="D116" i="35"/>
  <c r="D117" i="35"/>
  <c r="D118" i="35"/>
  <c r="D119" i="35"/>
  <c r="D120" i="35"/>
  <c r="D121" i="35"/>
  <c r="D122" i="35"/>
  <c r="D123" i="35"/>
  <c r="D124" i="35"/>
  <c r="D125" i="35"/>
  <c r="D126" i="35"/>
  <c r="D127" i="35"/>
  <c r="D128" i="35"/>
  <c r="D129" i="35"/>
  <c r="D130" i="35"/>
  <c r="D131" i="35"/>
  <c r="D132" i="35"/>
  <c r="D133" i="35"/>
  <c r="D134" i="35"/>
  <c r="D135" i="35"/>
  <c r="D136" i="35"/>
  <c r="D137" i="35"/>
  <c r="D138" i="35"/>
  <c r="D139" i="35"/>
  <c r="D140" i="35"/>
  <c r="D141" i="35"/>
  <c r="D142" i="35"/>
  <c r="D143" i="35"/>
  <c r="D144" i="35"/>
  <c r="D145" i="35"/>
  <c r="D146" i="35"/>
  <c r="D147" i="35"/>
  <c r="D148" i="35"/>
  <c r="D149" i="35"/>
  <c r="D150" i="35"/>
  <c r="D151" i="35"/>
  <c r="D152" i="35"/>
  <c r="D153" i="35"/>
  <c r="D154" i="35"/>
  <c r="D155" i="35"/>
  <c r="D156" i="35"/>
  <c r="D157" i="35"/>
  <c r="D158" i="35"/>
  <c r="D159" i="35"/>
  <c r="D160" i="35"/>
  <c r="D161" i="35"/>
  <c r="D162" i="35"/>
  <c r="D163" i="35"/>
  <c r="D164" i="35"/>
  <c r="D165" i="35"/>
  <c r="D166" i="35"/>
  <c r="D167" i="35"/>
  <c r="D168" i="35"/>
  <c r="D169" i="35"/>
  <c r="D170" i="35"/>
  <c r="D171" i="35"/>
  <c r="D172" i="35"/>
  <c r="D173" i="35"/>
  <c r="D174" i="35"/>
  <c r="D175" i="35"/>
  <c r="D176" i="35"/>
  <c r="D177" i="35"/>
  <c r="D178" i="35"/>
  <c r="D179" i="35"/>
  <c r="D180" i="35"/>
  <c r="D181" i="35"/>
  <c r="D182" i="35"/>
  <c r="D183" i="35"/>
  <c r="D184" i="35"/>
  <c r="D185" i="35"/>
  <c r="D186" i="35"/>
  <c r="D187" i="35"/>
  <c r="D188" i="35"/>
  <c r="D189" i="35"/>
  <c r="D190" i="35"/>
  <c r="D191" i="35"/>
  <c r="D192" i="35"/>
  <c r="D193" i="35"/>
  <c r="D194" i="35"/>
  <c r="D195" i="35"/>
  <c r="D196" i="35"/>
  <c r="D197" i="35"/>
  <c r="D198" i="35"/>
  <c r="D34" i="35"/>
  <c r="D35" i="35"/>
  <c r="D36" i="35"/>
  <c r="D37" i="35"/>
  <c r="D38" i="35"/>
  <c r="D39" i="35"/>
  <c r="D40" i="35"/>
  <c r="D41" i="35"/>
  <c r="D42" i="35"/>
  <c r="D43" i="35"/>
  <c r="D44" i="35"/>
  <c r="D45" i="35"/>
  <c r="D46" i="35"/>
  <c r="D47" i="35"/>
  <c r="D8" i="35"/>
  <c r="D9" i="35"/>
  <c r="D10" i="35"/>
  <c r="D11" i="35"/>
  <c r="D12" i="35"/>
  <c r="D13" i="35"/>
  <c r="D14" i="35"/>
  <c r="D15" i="35"/>
  <c r="D16" i="35"/>
  <c r="D17" i="35"/>
  <c r="D18" i="35"/>
  <c r="D19" i="35"/>
  <c r="D20" i="35"/>
  <c r="D21" i="35"/>
  <c r="D22" i="35"/>
  <c r="D23" i="35"/>
  <c r="D24" i="35"/>
  <c r="D25" i="35"/>
  <c r="D26" i="35"/>
  <c r="D27" i="35"/>
  <c r="D28" i="35"/>
  <c r="D29" i="35"/>
  <c r="D30" i="35"/>
  <c r="D31" i="35"/>
  <c r="D32" i="35"/>
  <c r="D33" i="35"/>
  <c r="D3" i="35"/>
  <c r="D4" i="35"/>
  <c r="D5" i="35"/>
  <c r="D6" i="35"/>
  <c r="D7" i="35"/>
  <c r="D2" i="35"/>
  <c r="E132" i="19" l="1"/>
  <c r="E131" i="19"/>
  <c r="E130" i="19"/>
  <c r="E129" i="19"/>
  <c r="E128" i="19"/>
  <c r="E3" i="50"/>
  <c r="E4" i="50"/>
  <c r="E5" i="50"/>
  <c r="E6" i="50"/>
  <c r="E7" i="50"/>
  <c r="E8" i="50"/>
  <c r="E9" i="50"/>
  <c r="E10" i="50"/>
  <c r="E11" i="50"/>
  <c r="E12" i="50"/>
  <c r="E13" i="50"/>
  <c r="E14" i="50"/>
  <c r="E15" i="50"/>
  <c r="E16" i="50"/>
  <c r="E17" i="50"/>
  <c r="E18" i="50"/>
  <c r="E19" i="50"/>
  <c r="E20" i="50"/>
  <c r="E2" i="50"/>
  <c r="P3" i="48"/>
  <c r="E4" i="34" l="1" a="1"/>
  <c r="E4" i="34" s="1"/>
  <c r="F4" i="34" a="1"/>
  <c r="F4" i="34" s="1"/>
  <c r="E5" i="34" a="1"/>
  <c r="E5" i="34" s="1"/>
  <c r="F5" i="34" a="1"/>
  <c r="F5" i="34" s="1"/>
  <c r="E6" i="34" a="1"/>
  <c r="E6" i="34" s="1"/>
  <c r="F6" i="34" a="1"/>
  <c r="F6" i="34" s="1"/>
  <c r="E7" i="34" a="1"/>
  <c r="E7" i="34" s="1"/>
  <c r="F7" i="34" a="1"/>
  <c r="F7" i="34" s="1"/>
  <c r="E8" i="34" a="1"/>
  <c r="E8" i="34" s="1"/>
  <c r="F8" i="34" a="1"/>
  <c r="F8" i="34" s="1"/>
  <c r="E9" i="34" a="1"/>
  <c r="E9" i="34" s="1"/>
  <c r="F9" i="34" a="1"/>
  <c r="F9" i="34" s="1"/>
  <c r="E10" i="34" a="1"/>
  <c r="E10" i="34" s="1"/>
  <c r="F10" i="34" a="1"/>
  <c r="F10" i="34" s="1"/>
  <c r="E11" i="34" a="1"/>
  <c r="E11" i="34" s="1"/>
  <c r="F11" i="34" a="1"/>
  <c r="F11" i="34" s="1"/>
  <c r="E12" i="34" a="1"/>
  <c r="E12" i="34" s="1"/>
  <c r="F12" i="34" a="1"/>
  <c r="F12" i="34" s="1"/>
  <c r="E13" i="34" a="1"/>
  <c r="E13" i="34" s="1"/>
  <c r="F13" i="34" a="1"/>
  <c r="F13" i="34" s="1"/>
  <c r="E14" i="34" a="1"/>
  <c r="E14" i="34" s="1"/>
  <c r="F14" i="34" a="1"/>
  <c r="F14" i="34" s="1"/>
  <c r="E15" i="34" a="1"/>
  <c r="E15" i="34" s="1"/>
  <c r="F15" i="34" a="1"/>
  <c r="F15" i="34" s="1"/>
  <c r="E16" i="34" a="1"/>
  <c r="E16" i="34" s="1"/>
  <c r="F16" i="34" a="1"/>
  <c r="F16" i="34" s="1"/>
  <c r="E17" i="34" a="1"/>
  <c r="E17" i="34" s="1"/>
  <c r="F17" i="34" a="1"/>
  <c r="F17" i="34" s="1"/>
  <c r="E18" i="34" a="1"/>
  <c r="E18" i="34" s="1"/>
  <c r="F18" i="34" a="1"/>
  <c r="F18" i="34" s="1"/>
  <c r="E19" i="34" a="1"/>
  <c r="E19" i="34" s="1"/>
  <c r="F19" i="34" a="1"/>
  <c r="F19" i="34" s="1"/>
  <c r="E20" i="34" a="1"/>
  <c r="E20" i="34" s="1"/>
  <c r="F20" i="34" a="1"/>
  <c r="F20" i="34" s="1"/>
  <c r="E21" i="34" a="1"/>
  <c r="E21" i="34" s="1"/>
  <c r="F21" i="34" a="1"/>
  <c r="F21" i="34" s="1"/>
  <c r="E22" i="34" a="1"/>
  <c r="E22" i="34" s="1"/>
  <c r="F22" i="34" a="1"/>
  <c r="F22" i="34" s="1"/>
  <c r="E23" i="34" a="1"/>
  <c r="E23" i="34" s="1"/>
  <c r="F23" i="34" a="1"/>
  <c r="F23" i="34" s="1"/>
  <c r="E24" i="34" a="1"/>
  <c r="E24" i="34" s="1"/>
  <c r="F24" i="34" a="1"/>
  <c r="F24" i="34" s="1"/>
  <c r="E25" i="34" a="1"/>
  <c r="E25" i="34" s="1"/>
  <c r="F25" i="34" a="1"/>
  <c r="F25" i="34" s="1"/>
  <c r="E26" i="34" a="1"/>
  <c r="E26" i="34" s="1"/>
  <c r="F26" i="34" a="1"/>
  <c r="F26" i="34" s="1"/>
  <c r="E27" i="34" a="1"/>
  <c r="E27" i="34" s="1"/>
  <c r="F27" i="34" a="1"/>
  <c r="F27" i="34" s="1"/>
  <c r="E28" i="34" a="1"/>
  <c r="E28" i="34" s="1"/>
  <c r="F28" i="34" a="1"/>
  <c r="F28" i="34" s="1"/>
  <c r="E29" i="34" a="1"/>
  <c r="E29" i="34" s="1"/>
  <c r="F29" i="34" a="1"/>
  <c r="F29" i="34" s="1"/>
  <c r="E30" i="34" a="1"/>
  <c r="E30" i="34" s="1"/>
  <c r="F30" i="34" a="1"/>
  <c r="F30" i="34" s="1"/>
  <c r="E31" i="34" a="1"/>
  <c r="E31" i="34" s="1"/>
  <c r="F31" i="34" a="1"/>
  <c r="F31" i="34" s="1"/>
  <c r="E32" i="34" a="1"/>
  <c r="E32" i="34" s="1"/>
  <c r="F32" i="34" a="1"/>
  <c r="F32" i="34" s="1"/>
  <c r="E33" i="34" a="1"/>
  <c r="E33" i="34" s="1"/>
  <c r="F33" i="34" a="1"/>
  <c r="F33" i="34" s="1"/>
  <c r="E34" i="34" a="1"/>
  <c r="E34" i="34" s="1"/>
  <c r="F34" i="34" a="1"/>
  <c r="F34" i="34" s="1"/>
  <c r="E35" i="34" a="1"/>
  <c r="E35" i="34" s="1"/>
  <c r="F35" i="34" a="1"/>
  <c r="F35" i="34" s="1"/>
  <c r="E36" i="34" a="1"/>
  <c r="E36" i="34" s="1"/>
  <c r="F36" i="34" a="1"/>
  <c r="F36" i="34" s="1"/>
  <c r="E37" i="34" a="1"/>
  <c r="E37" i="34" s="1"/>
  <c r="F37" i="34" a="1"/>
  <c r="F37" i="34" s="1"/>
  <c r="E38" i="34" a="1"/>
  <c r="E38" i="34" s="1"/>
  <c r="F38" i="34" a="1"/>
  <c r="F38" i="34" s="1"/>
  <c r="E39" i="34" a="1"/>
  <c r="E39" i="34" s="1"/>
  <c r="F39" i="34" a="1"/>
  <c r="F39" i="34" s="1"/>
  <c r="E40" i="34" a="1"/>
  <c r="E40" i="34" s="1"/>
  <c r="F40" i="34" a="1"/>
  <c r="F40" i="34" s="1"/>
  <c r="E41" i="34" a="1"/>
  <c r="E41" i="34" s="1"/>
  <c r="F41" i="34" a="1"/>
  <c r="F41" i="34" s="1"/>
  <c r="E42" i="34" a="1"/>
  <c r="E42" i="34" s="1"/>
  <c r="F42" i="34" a="1"/>
  <c r="F42" i="34" s="1"/>
  <c r="E43" i="34" a="1"/>
  <c r="E43" i="34" s="1"/>
  <c r="F43" i="34" a="1"/>
  <c r="F43" i="34" s="1"/>
  <c r="E44" i="34" a="1"/>
  <c r="E44" i="34" s="1"/>
  <c r="F44" i="34" a="1"/>
  <c r="F44" i="34" s="1"/>
  <c r="E45" i="34" a="1"/>
  <c r="E45" i="34" s="1"/>
  <c r="F45" i="34" a="1"/>
  <c r="F45" i="34" s="1"/>
  <c r="E46" i="34" a="1"/>
  <c r="E46" i="34" s="1"/>
  <c r="F46" i="34" a="1"/>
  <c r="F46" i="34" s="1"/>
  <c r="E47" i="34" a="1"/>
  <c r="E47" i="34" s="1"/>
  <c r="F47" i="34" a="1"/>
  <c r="F47" i="34" s="1"/>
  <c r="E48" i="34" a="1"/>
  <c r="E48" i="34" s="1"/>
  <c r="F48" i="34" a="1"/>
  <c r="F48" i="34" s="1"/>
  <c r="E49" i="34" a="1"/>
  <c r="E49" i="34" s="1"/>
  <c r="F49" i="34" a="1"/>
  <c r="F49" i="34" s="1"/>
  <c r="E50" i="34" a="1"/>
  <c r="E50" i="34" s="1"/>
  <c r="F50" i="34" a="1"/>
  <c r="F50" i="34" s="1"/>
  <c r="E51" i="34" a="1"/>
  <c r="E51" i="34" s="1"/>
  <c r="F51" i="34" a="1"/>
  <c r="F51" i="34" s="1"/>
  <c r="E52" i="34" a="1"/>
  <c r="E52" i="34" s="1"/>
  <c r="F52" i="34" a="1"/>
  <c r="F52" i="34" s="1"/>
  <c r="E53" i="34" a="1"/>
  <c r="E53" i="34" s="1"/>
  <c r="F53" i="34" a="1"/>
  <c r="F53" i="34" s="1"/>
  <c r="E54" i="34" a="1"/>
  <c r="E54" i="34" s="1"/>
  <c r="F54" i="34" a="1"/>
  <c r="F54" i="34" s="1"/>
  <c r="E55" i="34" a="1"/>
  <c r="E55" i="34" s="1"/>
  <c r="F55" i="34" a="1"/>
  <c r="F55" i="34" s="1"/>
  <c r="E56" i="34" a="1"/>
  <c r="E56" i="34" s="1"/>
  <c r="F56" i="34" a="1"/>
  <c r="F56" i="34" s="1"/>
  <c r="E57" i="34" a="1"/>
  <c r="E57" i="34" s="1"/>
  <c r="F57" i="34" a="1"/>
  <c r="F57" i="34" s="1"/>
  <c r="E58" i="34" a="1"/>
  <c r="E58" i="34" s="1"/>
  <c r="F58" i="34" a="1"/>
  <c r="F58" i="34" s="1"/>
  <c r="E59" i="34" a="1"/>
  <c r="E59" i="34" s="1"/>
  <c r="F59" i="34" a="1"/>
  <c r="F59" i="34" s="1"/>
  <c r="E60" i="34" a="1"/>
  <c r="E60" i="34" s="1"/>
  <c r="F60" i="34" a="1"/>
  <c r="F60" i="34" s="1"/>
  <c r="E61" i="34" a="1"/>
  <c r="E61" i="34" s="1"/>
  <c r="F61" i="34" a="1"/>
  <c r="F61" i="34" s="1"/>
  <c r="E62" i="34" a="1"/>
  <c r="E62" i="34" s="1"/>
  <c r="F62" i="34" a="1"/>
  <c r="F62" i="34" s="1"/>
  <c r="E63" i="34" a="1"/>
  <c r="E63" i="34" s="1"/>
  <c r="F63" i="34" a="1"/>
  <c r="F63" i="34" s="1"/>
  <c r="E64" i="34" a="1"/>
  <c r="E64" i="34" s="1"/>
  <c r="F64" i="34" a="1"/>
  <c r="F64" i="34" s="1"/>
  <c r="E65" i="34" a="1"/>
  <c r="E65" i="34" s="1"/>
  <c r="F65" i="34" a="1"/>
  <c r="F65" i="34" s="1"/>
  <c r="E66" i="34" a="1"/>
  <c r="E66" i="34" s="1"/>
  <c r="F66" i="34" a="1"/>
  <c r="F66" i="34" s="1"/>
  <c r="E67" i="34" a="1"/>
  <c r="E67" i="34" s="1"/>
  <c r="F67" i="34" a="1"/>
  <c r="F67" i="34" s="1"/>
  <c r="E68" i="34" a="1"/>
  <c r="E68" i="34" s="1"/>
  <c r="F68" i="34" a="1"/>
  <c r="F68" i="34" s="1"/>
  <c r="E69" i="34" a="1"/>
  <c r="E69" i="34" s="1"/>
  <c r="F69" i="34" a="1"/>
  <c r="F69" i="34" s="1"/>
  <c r="E70" i="34" a="1"/>
  <c r="E70" i="34" s="1"/>
  <c r="F70" i="34" a="1"/>
  <c r="F70" i="34" s="1"/>
  <c r="E71" i="34" a="1"/>
  <c r="E71" i="34" s="1"/>
  <c r="F71" i="34" a="1"/>
  <c r="F71" i="34" s="1"/>
  <c r="E72" i="34" a="1"/>
  <c r="E72" i="34" s="1"/>
  <c r="F72" i="34" a="1"/>
  <c r="F72" i="34" s="1"/>
  <c r="E73" i="34" a="1"/>
  <c r="E73" i="34" s="1"/>
  <c r="F73" i="34" a="1"/>
  <c r="F73" i="34" s="1"/>
  <c r="E74" i="34" a="1"/>
  <c r="E74" i="34" s="1"/>
  <c r="F74" i="34" a="1"/>
  <c r="F74" i="34" s="1"/>
  <c r="E75" i="34" a="1"/>
  <c r="E75" i="34" s="1"/>
  <c r="F75" i="34" a="1"/>
  <c r="F75" i="34" s="1"/>
  <c r="E76" i="34" a="1"/>
  <c r="E76" i="34" s="1"/>
  <c r="F76" i="34" a="1"/>
  <c r="F76" i="34" s="1"/>
  <c r="E77" i="34" a="1"/>
  <c r="E77" i="34" s="1"/>
  <c r="F77" i="34" a="1"/>
  <c r="F77" i="34" s="1"/>
  <c r="E78" i="34" a="1"/>
  <c r="E78" i="34" s="1"/>
  <c r="F78" i="34" a="1"/>
  <c r="F78" i="34" s="1"/>
  <c r="E79" i="34" a="1"/>
  <c r="E79" i="34" s="1"/>
  <c r="F79" i="34" a="1"/>
  <c r="F79" i="34" s="1"/>
  <c r="E80" i="34" a="1"/>
  <c r="E80" i="34" s="1"/>
  <c r="F80" i="34" a="1"/>
  <c r="F80" i="34" s="1"/>
  <c r="E81" i="34" a="1"/>
  <c r="E81" i="34" s="1"/>
  <c r="F81" i="34" a="1"/>
  <c r="F81" i="34" s="1"/>
  <c r="E82" i="34" a="1"/>
  <c r="E82" i="34" s="1"/>
  <c r="F82" i="34" a="1"/>
  <c r="F82" i="34" s="1"/>
  <c r="E83" i="34" a="1"/>
  <c r="E83" i="34" s="1"/>
  <c r="F83" i="34" a="1"/>
  <c r="F83" i="34" s="1"/>
  <c r="E84" i="34" a="1"/>
  <c r="E84" i="34" s="1"/>
  <c r="F84" i="34" a="1"/>
  <c r="F84" i="34" s="1"/>
  <c r="E85" i="34" a="1"/>
  <c r="E85" i="34" s="1"/>
  <c r="F85" i="34" a="1"/>
  <c r="F85" i="34" s="1"/>
  <c r="E86" i="34" a="1"/>
  <c r="E86" i="34" s="1"/>
  <c r="F86" i="34" a="1"/>
  <c r="F86" i="34" s="1"/>
  <c r="E87" i="34" a="1"/>
  <c r="E87" i="34" s="1"/>
  <c r="F87" i="34" a="1"/>
  <c r="F87" i="34" s="1"/>
  <c r="E88" i="34" a="1"/>
  <c r="E88" i="34" s="1"/>
  <c r="F88" i="34" a="1"/>
  <c r="F88" i="34" s="1"/>
  <c r="E89" i="34" a="1"/>
  <c r="E89" i="34" s="1"/>
  <c r="F89" i="34" a="1"/>
  <c r="F89" i="34" s="1"/>
  <c r="E90" i="34" a="1"/>
  <c r="E90" i="34" s="1"/>
  <c r="F90" i="34" a="1"/>
  <c r="F90" i="34" s="1"/>
  <c r="E91" i="34" a="1"/>
  <c r="E91" i="34" s="1"/>
  <c r="F91" i="34" a="1"/>
  <c r="F91" i="34" s="1"/>
  <c r="E92" i="34" a="1"/>
  <c r="E92" i="34" s="1"/>
  <c r="F92" i="34" a="1"/>
  <c r="F92" i="34" s="1"/>
  <c r="E93" i="34" a="1"/>
  <c r="E93" i="34" s="1"/>
  <c r="F93" i="34" a="1"/>
  <c r="F93" i="34" s="1"/>
  <c r="E94" i="34" a="1"/>
  <c r="E94" i="34" s="1"/>
  <c r="F94" i="34" a="1"/>
  <c r="F94" i="34" s="1"/>
  <c r="E95" i="34" a="1"/>
  <c r="E95" i="34" s="1"/>
  <c r="F95" i="34" a="1"/>
  <c r="F95" i="34" s="1"/>
  <c r="E96" i="34" a="1"/>
  <c r="E96" i="34" s="1"/>
  <c r="F96" i="34" a="1"/>
  <c r="F96" i="34" s="1"/>
  <c r="E97" i="34" a="1"/>
  <c r="E97" i="34" s="1"/>
  <c r="F97" i="34" a="1"/>
  <c r="F97" i="34" s="1"/>
  <c r="E98" i="34" a="1"/>
  <c r="E98" i="34" s="1"/>
  <c r="F98" i="34" a="1"/>
  <c r="F98" i="34" s="1"/>
  <c r="E99" i="34" a="1"/>
  <c r="E99" i="34"/>
  <c r="F99" i="34" a="1"/>
  <c r="F99" i="34" s="1"/>
  <c r="E100" i="34" a="1"/>
  <c r="E100" i="34" s="1"/>
  <c r="F100" i="34" a="1"/>
  <c r="F100" i="34" s="1"/>
  <c r="E101" i="34" a="1"/>
  <c r="E101" i="34" s="1"/>
  <c r="F101" i="34" a="1"/>
  <c r="F101" i="34" s="1"/>
  <c r="E102" i="34" a="1"/>
  <c r="E102" i="34" s="1"/>
  <c r="F102" i="34" a="1"/>
  <c r="F102" i="34" s="1"/>
  <c r="E103" i="34" a="1"/>
  <c r="E103" i="34" s="1"/>
  <c r="F103" i="34" a="1"/>
  <c r="F103" i="34" s="1"/>
  <c r="E104" i="34" a="1"/>
  <c r="E104" i="34" s="1"/>
  <c r="F104" i="34" a="1"/>
  <c r="F104" i="34" s="1"/>
  <c r="E105" i="34" a="1"/>
  <c r="E105" i="34" s="1"/>
  <c r="F105" i="34" a="1"/>
  <c r="F105" i="34" s="1"/>
  <c r="E106" i="34" a="1"/>
  <c r="E106" i="34" s="1"/>
  <c r="F106" i="34" a="1"/>
  <c r="F106" i="34" s="1"/>
  <c r="E107" i="34" a="1"/>
  <c r="E107" i="34" s="1"/>
  <c r="F107" i="34" a="1"/>
  <c r="F107" i="34" s="1"/>
  <c r="E108" i="34" a="1"/>
  <c r="E108" i="34" s="1"/>
  <c r="F108" i="34" a="1"/>
  <c r="F108" i="34" s="1"/>
  <c r="E109" i="34" a="1"/>
  <c r="E109" i="34" s="1"/>
  <c r="F109" i="34" a="1"/>
  <c r="F109" i="34" s="1"/>
  <c r="E110" i="34" a="1"/>
  <c r="E110" i="34" s="1"/>
  <c r="F110" i="34" a="1"/>
  <c r="F110" i="34" s="1"/>
  <c r="E111" i="34" a="1"/>
  <c r="E111" i="34" s="1"/>
  <c r="F111" i="34" a="1"/>
  <c r="F111" i="34" s="1"/>
  <c r="E112" i="34" a="1"/>
  <c r="E112" i="34" s="1"/>
  <c r="F112" i="34" a="1"/>
  <c r="F112" i="34" s="1"/>
  <c r="E113" i="34" a="1"/>
  <c r="E113" i="34" s="1"/>
  <c r="F113" i="34" a="1"/>
  <c r="F113" i="34" s="1"/>
  <c r="E114" i="34" a="1"/>
  <c r="E114" i="34" s="1"/>
  <c r="F114" i="34" a="1"/>
  <c r="F114" i="34" s="1"/>
  <c r="E115" i="34" a="1"/>
  <c r="E115" i="34" s="1"/>
  <c r="F115" i="34" a="1"/>
  <c r="F115" i="34" s="1"/>
  <c r="E116" i="34" a="1"/>
  <c r="E116" i="34" s="1"/>
  <c r="F116" i="34" a="1"/>
  <c r="F116" i="34" s="1"/>
  <c r="E117" i="34" a="1"/>
  <c r="E117" i="34" s="1"/>
  <c r="F117" i="34" a="1"/>
  <c r="F117" i="34" s="1"/>
  <c r="E118" i="34" a="1"/>
  <c r="E118" i="34" s="1"/>
  <c r="F118" i="34" a="1"/>
  <c r="F118" i="34" s="1"/>
  <c r="E119" i="34" a="1"/>
  <c r="E119" i="34" s="1"/>
  <c r="F119" i="34" a="1"/>
  <c r="F119" i="34" s="1"/>
  <c r="E120" i="34" a="1"/>
  <c r="E120" i="34" s="1"/>
  <c r="F120" i="34" a="1"/>
  <c r="F120" i="34" s="1"/>
  <c r="E121" i="34" a="1"/>
  <c r="E121" i="34" s="1"/>
  <c r="F121" i="34" a="1"/>
  <c r="F121" i="34" s="1"/>
  <c r="E122" i="34" a="1"/>
  <c r="E122" i="34" s="1"/>
  <c r="F122" i="34" a="1"/>
  <c r="F122" i="34" s="1"/>
  <c r="E123" i="34" a="1"/>
  <c r="E123" i="34" s="1"/>
  <c r="F123" i="34" a="1"/>
  <c r="F123" i="34" s="1"/>
  <c r="E124" i="34" a="1"/>
  <c r="E124" i="34" s="1"/>
  <c r="F124" i="34" a="1"/>
  <c r="F124" i="34" s="1"/>
  <c r="E125" i="34" a="1"/>
  <c r="E125" i="34" s="1"/>
  <c r="F125" i="34" a="1"/>
  <c r="F125" i="34" s="1"/>
  <c r="E126" i="34" a="1"/>
  <c r="E126" i="34" s="1"/>
  <c r="F126" i="34" a="1"/>
  <c r="F126" i="34" s="1"/>
  <c r="E127" i="34" a="1"/>
  <c r="E127" i="34" s="1"/>
  <c r="F127" i="34" a="1"/>
  <c r="F127" i="34" s="1"/>
  <c r="E128" i="34" a="1"/>
  <c r="E128" i="34" s="1"/>
  <c r="F128" i="34" a="1"/>
  <c r="F128" i="34" s="1"/>
  <c r="E129" i="34" a="1"/>
  <c r="E129" i="34" s="1"/>
  <c r="F129" i="34" a="1"/>
  <c r="F129" i="34" s="1"/>
  <c r="E130" i="34" a="1"/>
  <c r="E130" i="34" s="1"/>
  <c r="F130" i="34" a="1"/>
  <c r="F130" i="34" s="1"/>
  <c r="E131" i="34" a="1"/>
  <c r="E131" i="34" s="1"/>
  <c r="F131" i="34" a="1"/>
  <c r="F131" i="34" s="1"/>
  <c r="E132" i="34" a="1"/>
  <c r="E132" i="34" s="1"/>
  <c r="F132" i="34" a="1"/>
  <c r="F132" i="34" s="1"/>
  <c r="E133" i="34" a="1"/>
  <c r="E133" i="34" s="1"/>
  <c r="F133" i="34" a="1"/>
  <c r="F133" i="34" s="1"/>
  <c r="E134" i="34" a="1"/>
  <c r="E134" i="34" s="1"/>
  <c r="F134" i="34" a="1"/>
  <c r="F134" i="34" s="1"/>
  <c r="E135" i="34" a="1"/>
  <c r="E135" i="34" s="1"/>
  <c r="F135" i="34" a="1"/>
  <c r="F135" i="34" s="1"/>
  <c r="E136" i="34" a="1"/>
  <c r="E136" i="34" s="1"/>
  <c r="F136" i="34" a="1"/>
  <c r="F136" i="34" s="1"/>
  <c r="E137" i="34" a="1"/>
  <c r="E137" i="34" s="1"/>
  <c r="F137" i="34" a="1"/>
  <c r="F137" i="34" s="1"/>
  <c r="E138" i="34" a="1"/>
  <c r="E138" i="34" s="1"/>
  <c r="F138" i="34" a="1"/>
  <c r="F138" i="34" s="1"/>
  <c r="E139" i="34" a="1"/>
  <c r="E139" i="34" s="1"/>
  <c r="F139" i="34" a="1"/>
  <c r="F139" i="34" s="1"/>
  <c r="E140" i="34" a="1"/>
  <c r="E140" i="34" s="1"/>
  <c r="F140" i="34" a="1"/>
  <c r="F140" i="34" s="1"/>
  <c r="E141" i="34" a="1"/>
  <c r="E141" i="34" s="1"/>
  <c r="F141" i="34" a="1"/>
  <c r="F141" i="34" s="1"/>
  <c r="E142" i="34" a="1"/>
  <c r="E142" i="34" s="1"/>
  <c r="F142" i="34" a="1"/>
  <c r="F142" i="34" s="1"/>
  <c r="E143" i="34" a="1"/>
  <c r="E143" i="34" s="1"/>
  <c r="F143" i="34" a="1"/>
  <c r="F143" i="34" s="1"/>
  <c r="E144" i="34" a="1"/>
  <c r="E144" i="34" s="1"/>
  <c r="F144" i="34" a="1"/>
  <c r="F144" i="34" s="1"/>
  <c r="E145" i="34" a="1"/>
  <c r="E145" i="34" s="1"/>
  <c r="F145" i="34" a="1"/>
  <c r="F145" i="34" s="1"/>
  <c r="E146" i="34" a="1"/>
  <c r="E146" i="34" s="1"/>
  <c r="F146" i="34" a="1"/>
  <c r="F146" i="34" s="1"/>
  <c r="E147" i="34" a="1"/>
  <c r="E147" i="34" s="1"/>
  <c r="F147" i="34" a="1"/>
  <c r="F147" i="34" s="1"/>
  <c r="E148" i="34" a="1"/>
  <c r="E148" i="34" s="1"/>
  <c r="F148" i="34" a="1"/>
  <c r="F148" i="34" s="1"/>
  <c r="E149" i="34" a="1"/>
  <c r="E149" i="34" s="1"/>
  <c r="F149" i="34" a="1"/>
  <c r="F149" i="34" s="1"/>
  <c r="E150" i="34" a="1"/>
  <c r="E150" i="34" s="1"/>
  <c r="F150" i="34" a="1"/>
  <c r="F150" i="34" s="1"/>
  <c r="E151" i="34" a="1"/>
  <c r="E151" i="34" s="1"/>
  <c r="F151" i="34" a="1"/>
  <c r="F151" i="34" s="1"/>
  <c r="E152" i="34" a="1"/>
  <c r="E152" i="34" s="1"/>
  <c r="F152" i="34" a="1"/>
  <c r="F152" i="34" s="1"/>
  <c r="E153" i="34" a="1"/>
  <c r="E153" i="34" s="1"/>
  <c r="F153" i="34" a="1"/>
  <c r="F153" i="34" s="1"/>
  <c r="E154" i="34" a="1"/>
  <c r="E154" i="34" s="1"/>
  <c r="F154" i="34" a="1"/>
  <c r="F154" i="34" s="1"/>
  <c r="E155" i="34" a="1"/>
  <c r="E155" i="34" s="1"/>
  <c r="F155" i="34" a="1"/>
  <c r="F155" i="34" s="1"/>
  <c r="E156" i="34" a="1"/>
  <c r="E156" i="34" s="1"/>
  <c r="F156" i="34" a="1"/>
  <c r="F156" i="34" s="1"/>
  <c r="E157" i="34" a="1"/>
  <c r="E157" i="34" s="1"/>
  <c r="F157" i="34" a="1"/>
  <c r="F157" i="34" s="1"/>
  <c r="E158" i="34" a="1"/>
  <c r="E158" i="34" s="1"/>
  <c r="F158" i="34" a="1"/>
  <c r="F158" i="34" s="1"/>
  <c r="E159" i="34" a="1"/>
  <c r="E159" i="34" s="1"/>
  <c r="F159" i="34" a="1"/>
  <c r="F159" i="34" s="1"/>
  <c r="E160" i="34" a="1"/>
  <c r="E160" i="34" s="1"/>
  <c r="F160" i="34" a="1"/>
  <c r="F160" i="34" s="1"/>
  <c r="E161" i="34" a="1"/>
  <c r="E161" i="34" s="1"/>
  <c r="F161" i="34" a="1"/>
  <c r="F161" i="34" s="1"/>
  <c r="E162" i="34" a="1"/>
  <c r="E162" i="34" s="1"/>
  <c r="F162" i="34" a="1"/>
  <c r="F162" i="34" s="1"/>
  <c r="E163" i="34" a="1"/>
  <c r="E163" i="34" s="1"/>
  <c r="F163" i="34" a="1"/>
  <c r="F163" i="34" s="1"/>
  <c r="E164" i="34" a="1"/>
  <c r="E164" i="34" s="1"/>
  <c r="F164" i="34" a="1"/>
  <c r="F164" i="34" s="1"/>
  <c r="E165" i="34" a="1"/>
  <c r="E165" i="34" s="1"/>
  <c r="F165" i="34" a="1"/>
  <c r="F165" i="34" s="1"/>
  <c r="E166" i="34" a="1"/>
  <c r="E166" i="34" s="1"/>
  <c r="F166" i="34" a="1"/>
  <c r="F166" i="34" s="1"/>
  <c r="E167" i="34" a="1"/>
  <c r="E167" i="34" s="1"/>
  <c r="F167" i="34" a="1"/>
  <c r="F167" i="34" s="1"/>
  <c r="E168" i="34" a="1"/>
  <c r="E168" i="34" s="1"/>
  <c r="F168" i="34" a="1"/>
  <c r="F168" i="34" s="1"/>
  <c r="E169" i="34" a="1"/>
  <c r="E169" i="34" s="1"/>
  <c r="F169" i="34" a="1"/>
  <c r="F169" i="34" s="1"/>
  <c r="E170" i="34" a="1"/>
  <c r="E170" i="34" s="1"/>
  <c r="F170" i="34" a="1"/>
  <c r="F170" i="34" s="1"/>
  <c r="E171" i="34" a="1"/>
  <c r="E171" i="34" s="1"/>
  <c r="F171" i="34" a="1"/>
  <c r="F171" i="34" s="1"/>
  <c r="E172" i="34" a="1"/>
  <c r="E172" i="34" s="1"/>
  <c r="F172" i="34" a="1"/>
  <c r="F172" i="34" s="1"/>
  <c r="E173" i="34" a="1"/>
  <c r="E173" i="34" s="1"/>
  <c r="F173" i="34" a="1"/>
  <c r="F173" i="34" s="1"/>
  <c r="E174" i="34" a="1"/>
  <c r="E174" i="34" s="1"/>
  <c r="F174" i="34" a="1"/>
  <c r="F174" i="34" s="1"/>
  <c r="E175" i="34" a="1"/>
  <c r="E175" i="34" s="1"/>
  <c r="F175" i="34" a="1"/>
  <c r="F175" i="34" s="1"/>
  <c r="E176" i="34" a="1"/>
  <c r="E176" i="34" s="1"/>
  <c r="F176" i="34" a="1"/>
  <c r="F176" i="34" s="1"/>
  <c r="E177" i="34" a="1"/>
  <c r="E177" i="34" s="1"/>
  <c r="F177" i="34" a="1"/>
  <c r="F177" i="34" s="1"/>
  <c r="E178" i="34" a="1"/>
  <c r="E178" i="34" s="1"/>
  <c r="F178" i="34" a="1"/>
  <c r="F178" i="34" s="1"/>
  <c r="E179" i="34" a="1"/>
  <c r="E179" i="34" s="1"/>
  <c r="F179" i="34" a="1"/>
  <c r="F179" i="34" s="1"/>
  <c r="E180" i="34" a="1"/>
  <c r="E180" i="34" s="1"/>
  <c r="F180" i="34" a="1"/>
  <c r="F180" i="34" s="1"/>
  <c r="E181" i="34" a="1"/>
  <c r="E181" i="34" s="1"/>
  <c r="F181" i="34" a="1"/>
  <c r="F181" i="34" s="1"/>
  <c r="E182" i="34" a="1"/>
  <c r="E182" i="34" s="1"/>
  <c r="F182" i="34" a="1"/>
  <c r="F182" i="34" s="1"/>
  <c r="E183" i="34" a="1"/>
  <c r="E183" i="34" s="1"/>
  <c r="F183" i="34" a="1"/>
  <c r="F183" i="34" s="1"/>
  <c r="E184" i="34" a="1"/>
  <c r="E184" i="34" s="1"/>
  <c r="F184" i="34" a="1"/>
  <c r="F184" i="34" s="1"/>
  <c r="E185" i="34" a="1"/>
  <c r="E185" i="34" s="1"/>
  <c r="F185" i="34" a="1"/>
  <c r="F185" i="34" s="1"/>
  <c r="E186" i="34" a="1"/>
  <c r="E186" i="34" s="1"/>
  <c r="F186" i="34" a="1"/>
  <c r="F186" i="34" s="1"/>
  <c r="E187" i="34" a="1"/>
  <c r="E187" i="34" s="1"/>
  <c r="F187" i="34" a="1"/>
  <c r="F187" i="34" s="1"/>
  <c r="E188" i="34" a="1"/>
  <c r="E188" i="34" s="1"/>
  <c r="F188" i="34" a="1"/>
  <c r="F188" i="34" s="1"/>
  <c r="E189" i="34" a="1"/>
  <c r="E189" i="34" s="1"/>
  <c r="F189" i="34" a="1"/>
  <c r="F189" i="34" s="1"/>
  <c r="E190" i="34" a="1"/>
  <c r="E190" i="34" s="1"/>
  <c r="F190" i="34" a="1"/>
  <c r="F190" i="34" s="1"/>
  <c r="E191" i="34" a="1"/>
  <c r="E191" i="34" s="1"/>
  <c r="F191" i="34" a="1"/>
  <c r="F191" i="34" s="1"/>
  <c r="E192" i="34" a="1"/>
  <c r="E192" i="34" s="1"/>
  <c r="F192" i="34" a="1"/>
  <c r="F192" i="34" s="1"/>
  <c r="E193" i="34" a="1"/>
  <c r="E193" i="34" s="1"/>
  <c r="F193" i="34" a="1"/>
  <c r="F193" i="34" s="1"/>
  <c r="E194" i="34" a="1"/>
  <c r="E194" i="34" s="1"/>
  <c r="F194" i="34" a="1"/>
  <c r="F194" i="34" s="1"/>
  <c r="E195" i="34" a="1"/>
  <c r="E195" i="34" s="1"/>
  <c r="F195" i="34" a="1"/>
  <c r="F195" i="34" s="1"/>
  <c r="E196" i="34" a="1"/>
  <c r="E196" i="34" s="1"/>
  <c r="F196" i="34" a="1"/>
  <c r="F196" i="34" s="1"/>
  <c r="E197" i="34" a="1"/>
  <c r="E197" i="34" s="1"/>
  <c r="F197" i="34" a="1"/>
  <c r="F197" i="34" s="1"/>
  <c r="E198" i="34" a="1"/>
  <c r="E198" i="34" s="1"/>
  <c r="F198" i="34" a="1"/>
  <c r="F198" i="34" s="1"/>
  <c r="E199" i="34" a="1"/>
  <c r="E199" i="34" s="1"/>
  <c r="F199" i="34" a="1"/>
  <c r="F199" i="34" s="1"/>
  <c r="F3" i="34" a="1"/>
  <c r="F3" i="34" s="1"/>
  <c r="E3" i="34" a="1"/>
  <c r="E3" i="34" s="1"/>
  <c r="G90" i="34" l="1"/>
  <c r="H90" i="34" s="1" a="1"/>
  <c r="H90" i="34" s="1"/>
  <c r="K111" i="2" s="1"/>
  <c r="G86" i="34"/>
  <c r="H86" i="34" s="1" a="1"/>
  <c r="H86" i="34" s="1"/>
  <c r="K107" i="2" s="1"/>
  <c r="G78" i="34"/>
  <c r="H78" i="34" s="1" a="1"/>
  <c r="H78" i="34" s="1"/>
  <c r="K99" i="2" s="1"/>
  <c r="G27" i="34"/>
  <c r="H27" i="34" s="1" a="1"/>
  <c r="H27" i="34" s="1"/>
  <c r="K48" i="2" s="1"/>
  <c r="G31" i="34"/>
  <c r="H31" i="34" s="1" a="1"/>
  <c r="H31" i="34" s="1"/>
  <c r="K52" i="2" s="1"/>
  <c r="G23" i="34"/>
  <c r="H23" i="34" s="1" a="1"/>
  <c r="H23" i="34" s="1"/>
  <c r="K44" i="2" s="1"/>
  <c r="G82" i="34"/>
  <c r="H82" i="34" s="1" a="1"/>
  <c r="H82" i="34" s="1"/>
  <c r="K103" i="2" s="1"/>
  <c r="G43" i="34"/>
  <c r="H43" i="34" s="1" a="1"/>
  <c r="H43" i="34" s="1"/>
  <c r="K64" i="2" s="1"/>
  <c r="G39" i="34"/>
  <c r="H39" i="34" s="1" a="1"/>
  <c r="H39" i="34" s="1"/>
  <c r="K60" i="2" s="1"/>
  <c r="G105" i="34"/>
  <c r="H105" i="34" s="1" a="1"/>
  <c r="H105" i="34" s="1"/>
  <c r="K126" i="2" s="1"/>
  <c r="G66" i="34"/>
  <c r="H66" i="34" s="1" a="1"/>
  <c r="H66" i="34" s="1"/>
  <c r="K87" i="2" s="1"/>
  <c r="G54" i="34"/>
  <c r="H54" i="34" s="1" a="1"/>
  <c r="H54" i="34" s="1"/>
  <c r="K75" i="2" s="1"/>
  <c r="G112" i="34"/>
  <c r="H112" i="34" s="1" a="1"/>
  <c r="H112" i="34" s="1"/>
  <c r="K133" i="2" s="1"/>
  <c r="G127" i="34"/>
  <c r="H127" i="34" s="1" a="1"/>
  <c r="H127" i="34" s="1"/>
  <c r="K148" i="2" s="1"/>
  <c r="G101" i="34"/>
  <c r="H101" i="34" s="1" a="1"/>
  <c r="H101" i="34" s="1"/>
  <c r="K122" i="2" s="1"/>
  <c r="G62" i="34"/>
  <c r="H62" i="34" s="1" a="1"/>
  <c r="H62" i="34" s="1"/>
  <c r="K83" i="2" s="1"/>
  <c r="G116" i="34"/>
  <c r="H116" i="34" s="1" a="1"/>
  <c r="H116" i="34" s="1"/>
  <c r="K137" i="2" s="1"/>
  <c r="G193" i="34"/>
  <c r="H193" i="34" s="1" a="1"/>
  <c r="H193" i="34" s="1"/>
  <c r="K214" i="2" s="1"/>
  <c r="G139" i="34"/>
  <c r="H139" i="34" s="1" a="1"/>
  <c r="H139" i="34" s="1"/>
  <c r="K160" i="2" s="1"/>
  <c r="G135" i="34"/>
  <c r="H135" i="34" s="1" a="1"/>
  <c r="H135" i="34" s="1"/>
  <c r="K156" i="2" s="1"/>
  <c r="G123" i="34"/>
  <c r="H123" i="34" s="1" a="1"/>
  <c r="H123" i="34" s="1"/>
  <c r="K144" i="2" s="1"/>
  <c r="G58" i="34"/>
  <c r="H58" i="34" s="1" a="1"/>
  <c r="H58" i="34" s="1"/>
  <c r="K79" i="2" s="1"/>
  <c r="G186" i="34"/>
  <c r="H186" i="34" s="1" a="1"/>
  <c r="H186" i="34" s="1"/>
  <c r="K207" i="2" s="1"/>
  <c r="G175" i="34"/>
  <c r="H175" i="34" s="1" a="1"/>
  <c r="H175" i="34" s="1"/>
  <c r="K196" i="2" s="1"/>
  <c r="G178" i="34"/>
  <c r="H178" i="34" s="1" a="1"/>
  <c r="H178" i="34" s="1"/>
  <c r="K199" i="2" s="1"/>
  <c r="G131" i="34"/>
  <c r="H131" i="34" s="1" a="1"/>
  <c r="H131" i="34" s="1"/>
  <c r="K152" i="2" s="1"/>
  <c r="G48" i="34"/>
  <c r="H48" i="34" s="1" a="1"/>
  <c r="H48" i="34" s="1"/>
  <c r="K69" i="2" s="1"/>
  <c r="G16" i="34"/>
  <c r="H16" i="34" s="1" a="1"/>
  <c r="H16" i="34" s="1"/>
  <c r="K37" i="2" s="1"/>
  <c r="G12" i="34"/>
  <c r="H12" i="34" s="1" a="1"/>
  <c r="H12" i="34" s="1"/>
  <c r="K33" i="2" s="1"/>
  <c r="G8" i="34"/>
  <c r="H8" i="34" s="1" a="1"/>
  <c r="H8" i="34" s="1"/>
  <c r="K29" i="2" s="1"/>
  <c r="G4" i="34"/>
  <c r="H4" i="34" s="1" a="1"/>
  <c r="H4" i="34" s="1"/>
  <c r="K25" i="2" s="1"/>
  <c r="G181" i="34"/>
  <c r="H181" i="34" s="1" a="1"/>
  <c r="H181" i="34" s="1"/>
  <c r="K202" i="2" s="1"/>
  <c r="G89" i="34"/>
  <c r="H89" i="34" s="1" a="1"/>
  <c r="H89" i="34" s="1"/>
  <c r="K110" i="2" s="1"/>
  <c r="G81" i="34"/>
  <c r="H81" i="34" s="1" a="1"/>
  <c r="H81" i="34" s="1"/>
  <c r="K102" i="2" s="1"/>
  <c r="G162" i="34"/>
  <c r="H162" i="34" s="1" a="1"/>
  <c r="H162" i="34" s="1"/>
  <c r="K183" i="2" s="1"/>
  <c r="G150" i="34"/>
  <c r="H150" i="34" s="1" a="1"/>
  <c r="H150" i="34" s="1"/>
  <c r="K171" i="2" s="1"/>
  <c r="G134" i="34"/>
  <c r="H134" i="34" s="1" a="1"/>
  <c r="H134" i="34" s="1"/>
  <c r="K155" i="2" s="1"/>
  <c r="G111" i="34"/>
  <c r="H111" i="34" s="1" a="1"/>
  <c r="H111" i="34" s="1"/>
  <c r="K132" i="2" s="1"/>
  <c r="G96" i="34"/>
  <c r="H96" i="34" s="1" a="1"/>
  <c r="H96" i="34" s="1"/>
  <c r="K117" i="2" s="1"/>
  <c r="G191" i="34"/>
  <c r="H191" i="34" s="1" a="1"/>
  <c r="H191" i="34" s="1"/>
  <c r="K212" i="2" s="1"/>
  <c r="G107" i="34"/>
  <c r="H107" i="34" s="1" a="1"/>
  <c r="H107" i="34" s="1"/>
  <c r="K128" i="2" s="1"/>
  <c r="G84" i="34"/>
  <c r="H84" i="34" s="1" a="1"/>
  <c r="H84" i="34" s="1"/>
  <c r="K105" i="2" s="1"/>
  <c r="G198" i="34"/>
  <c r="H198" i="34" s="1" a="1"/>
  <c r="H198" i="34" s="1"/>
  <c r="K219" i="2" s="1"/>
  <c r="G173" i="34"/>
  <c r="H173" i="34" s="1" a="1"/>
  <c r="H173" i="34" s="1"/>
  <c r="K194" i="2" s="1"/>
  <c r="G161" i="34"/>
  <c r="H161" i="34" s="1" a="1"/>
  <c r="H161" i="34" s="1"/>
  <c r="K182" i="2" s="1"/>
  <c r="G157" i="34"/>
  <c r="H157" i="34" s="1" a="1"/>
  <c r="H157" i="34" s="1"/>
  <c r="K178" i="2" s="1"/>
  <c r="G153" i="34"/>
  <c r="H153" i="34" s="1" a="1"/>
  <c r="H153" i="34" s="1"/>
  <c r="K174" i="2" s="1"/>
  <c r="G145" i="34"/>
  <c r="H145" i="34" s="1" a="1"/>
  <c r="H145" i="34" s="1"/>
  <c r="K166" i="2" s="1"/>
  <c r="G141" i="34"/>
  <c r="H141" i="34" s="1" a="1"/>
  <c r="H141" i="34" s="1"/>
  <c r="K162" i="2" s="1"/>
  <c r="G137" i="34"/>
  <c r="H137" i="34" s="1" a="1"/>
  <c r="H137" i="34" s="1"/>
  <c r="K158" i="2" s="1"/>
  <c r="G133" i="34"/>
  <c r="H133" i="34" s="1" a="1"/>
  <c r="H133" i="34" s="1"/>
  <c r="K154" i="2" s="1"/>
  <c r="G129" i="34"/>
  <c r="H129" i="34" s="1" a="1"/>
  <c r="H129" i="34" s="1"/>
  <c r="K150" i="2" s="1"/>
  <c r="G114" i="34"/>
  <c r="H114" i="34" s="1" a="1"/>
  <c r="H114" i="34" s="1"/>
  <c r="K135" i="2" s="1"/>
  <c r="G110" i="34"/>
  <c r="H110" i="34" s="1" a="1"/>
  <c r="H110" i="34" s="1"/>
  <c r="K131" i="2" s="1"/>
  <c r="G100" i="34"/>
  <c r="H100" i="34" s="1" a="1"/>
  <c r="H100" i="34" s="1"/>
  <c r="K121" i="2" s="1"/>
  <c r="G85" i="34"/>
  <c r="H85" i="34" s="1" a="1"/>
  <c r="H85" i="34" s="1"/>
  <c r="K106" i="2" s="1"/>
  <c r="G50" i="34"/>
  <c r="H50" i="34" s="1" a="1"/>
  <c r="H50" i="34" s="1"/>
  <c r="K71" i="2" s="1"/>
  <c r="G195" i="34"/>
  <c r="H195" i="34" s="1" a="1"/>
  <c r="H195" i="34" s="1"/>
  <c r="K216" i="2" s="1"/>
  <c r="G177" i="34"/>
  <c r="H177" i="34" s="1" a="1"/>
  <c r="H177" i="34" s="1"/>
  <c r="K198" i="2" s="1"/>
  <c r="G154" i="34"/>
  <c r="H154" i="34" s="1" a="1"/>
  <c r="H154" i="34" s="1"/>
  <c r="K175" i="2" s="1"/>
  <c r="G138" i="34"/>
  <c r="H138" i="34" s="1" a="1"/>
  <c r="H138" i="34" s="1"/>
  <c r="G126" i="34"/>
  <c r="H126" i="34" s="1" a="1"/>
  <c r="H126" i="34" s="1"/>
  <c r="K147" i="2" s="1"/>
  <c r="G115" i="34"/>
  <c r="H115" i="34" s="1" a="1"/>
  <c r="H115" i="34" s="1"/>
  <c r="K136" i="2" s="1"/>
  <c r="G92" i="34"/>
  <c r="H92" i="34" s="1" a="1"/>
  <c r="H92" i="34" s="1"/>
  <c r="K113" i="2" s="1"/>
  <c r="G77" i="34"/>
  <c r="H77" i="34" s="1" a="1"/>
  <c r="H77" i="34" s="1"/>
  <c r="K98" i="2" s="1"/>
  <c r="G122" i="34"/>
  <c r="H122" i="34" s="1" a="1"/>
  <c r="H122" i="34" s="1"/>
  <c r="K143" i="2" s="1"/>
  <c r="G99" i="34"/>
  <c r="H99" i="34" s="1" a="1"/>
  <c r="H99" i="34" s="1"/>
  <c r="K120" i="2" s="1"/>
  <c r="G88" i="34"/>
  <c r="H88" i="34" s="1" a="1"/>
  <c r="H88" i="34" s="1"/>
  <c r="K109" i="2" s="1"/>
  <c r="G47" i="34"/>
  <c r="H47" i="34" s="1" a="1"/>
  <c r="H47" i="34" s="1"/>
  <c r="K68" i="2" s="1"/>
  <c r="G185" i="34"/>
  <c r="H185" i="34" s="1" a="1"/>
  <c r="H185" i="34" s="1"/>
  <c r="K206" i="2" s="1"/>
  <c r="G104" i="34"/>
  <c r="H104" i="34" s="1" a="1"/>
  <c r="H104" i="34" s="1"/>
  <c r="K125" i="2" s="1"/>
  <c r="G199" i="34"/>
  <c r="H199" i="34" s="1" a="1"/>
  <c r="H199" i="34" s="1"/>
  <c r="K220" i="2" s="1"/>
  <c r="G158" i="34"/>
  <c r="H158" i="34" s="1" a="1"/>
  <c r="H158" i="34" s="1"/>
  <c r="K179" i="2" s="1"/>
  <c r="G130" i="34"/>
  <c r="H130" i="34" s="1" a="1"/>
  <c r="H130" i="34" s="1"/>
  <c r="K151" i="2" s="1"/>
  <c r="G73" i="34"/>
  <c r="H73" i="34" s="1" a="1"/>
  <c r="H73" i="34" s="1"/>
  <c r="K94" i="2" s="1"/>
  <c r="G118" i="34"/>
  <c r="H118" i="34" s="1" a="1"/>
  <c r="H118" i="34" s="1"/>
  <c r="K139" i="2" s="1"/>
  <c r="G103" i="34"/>
  <c r="H103" i="34" s="1" a="1"/>
  <c r="H103" i="34" s="1"/>
  <c r="K124" i="2" s="1"/>
  <c r="G80" i="34"/>
  <c r="H80" i="34" s="1" a="1"/>
  <c r="H80" i="34" s="1"/>
  <c r="K101" i="2" s="1"/>
  <c r="G179" i="34"/>
  <c r="H179" i="34" s="1" a="1"/>
  <c r="H179" i="34" s="1"/>
  <c r="K200" i="2" s="1"/>
  <c r="G168" i="34"/>
  <c r="H168" i="34" s="1" a="1"/>
  <c r="H168" i="34" s="1"/>
  <c r="K189" i="2" s="1"/>
  <c r="G164" i="34"/>
  <c r="H164" i="34" s="1" a="1"/>
  <c r="H164" i="34" s="1"/>
  <c r="K185" i="2" s="1"/>
  <c r="G160" i="34"/>
  <c r="H160" i="34" s="1" a="1"/>
  <c r="H160" i="34" s="1"/>
  <c r="K181" i="2" s="1"/>
  <c r="G156" i="34"/>
  <c r="H156" i="34" s="1" a="1"/>
  <c r="H156" i="34" s="1"/>
  <c r="K177" i="2" s="1"/>
  <c r="G152" i="34"/>
  <c r="H152" i="34" s="1" a="1"/>
  <c r="H152" i="34" s="1"/>
  <c r="K173" i="2" s="1"/>
  <c r="G75" i="34"/>
  <c r="H75" i="34" s="1" a="1"/>
  <c r="H75" i="34" s="1"/>
  <c r="K96" i="2" s="1"/>
  <c r="G71" i="34"/>
  <c r="H71" i="34" s="1" a="1"/>
  <c r="H71" i="34" s="1"/>
  <c r="K92" i="2" s="1"/>
  <c r="G171" i="34"/>
  <c r="H171" i="34" s="1" a="1"/>
  <c r="H171" i="34" s="1"/>
  <c r="K192" i="2" s="1"/>
  <c r="G148" i="34"/>
  <c r="H148" i="34" s="1" a="1"/>
  <c r="H148" i="34" s="1"/>
  <c r="K169" i="2" s="1"/>
  <c r="G144" i="34"/>
  <c r="H144" i="34" s="1" a="1"/>
  <c r="H144" i="34" s="1"/>
  <c r="K165" i="2" s="1"/>
  <c r="G140" i="34"/>
  <c r="H140" i="34" s="1" a="1"/>
  <c r="H140" i="34" s="1"/>
  <c r="K161" i="2" s="1"/>
  <c r="G121" i="34"/>
  <c r="H121" i="34" s="1" a="1"/>
  <c r="H121" i="34" s="1"/>
  <c r="K142" i="2" s="1"/>
  <c r="G95" i="34"/>
  <c r="H95" i="34" s="1" a="1"/>
  <c r="H95" i="34" s="1"/>
  <c r="K116" i="2" s="1"/>
  <c r="G91" i="34"/>
  <c r="H91" i="34" s="1" a="1"/>
  <c r="H91" i="34" s="1"/>
  <c r="K112" i="2" s="1"/>
  <c r="G76" i="34"/>
  <c r="H76" i="34" s="1" a="1"/>
  <c r="H76" i="34" s="1"/>
  <c r="K97" i="2" s="1"/>
  <c r="G69" i="34"/>
  <c r="H69" i="34" s="1" a="1"/>
  <c r="H69" i="34" s="1"/>
  <c r="K90" i="2" s="1"/>
  <c r="G65" i="34"/>
  <c r="H65" i="34" s="1" a="1"/>
  <c r="H65" i="34" s="1"/>
  <c r="K86" i="2" s="1"/>
  <c r="G61" i="34"/>
  <c r="H61" i="34" s="1" a="1"/>
  <c r="H61" i="34" s="1"/>
  <c r="K82" i="2" s="1"/>
  <c r="G57" i="34"/>
  <c r="H57" i="34" s="1" a="1"/>
  <c r="H57" i="34" s="1"/>
  <c r="K78" i="2" s="1"/>
  <c r="G53" i="34"/>
  <c r="H53" i="34" s="1" a="1"/>
  <c r="H53" i="34" s="1"/>
  <c r="K74" i="2" s="1"/>
  <c r="G46" i="34"/>
  <c r="H46" i="34" s="1" a="1"/>
  <c r="H46" i="34" s="1"/>
  <c r="K67" i="2" s="1"/>
  <c r="G42" i="34"/>
  <c r="H42" i="34" s="1" a="1"/>
  <c r="H42" i="34" s="1"/>
  <c r="K63" i="2" s="1"/>
  <c r="G38" i="34"/>
  <c r="H38" i="34" s="1" a="1"/>
  <c r="H38" i="34" s="1"/>
  <c r="K59" i="2" s="1"/>
  <c r="G34" i="34"/>
  <c r="H34" i="34" s="1" a="1"/>
  <c r="H34" i="34" s="1"/>
  <c r="K55" i="2" s="1"/>
  <c r="G30" i="34"/>
  <c r="H30" i="34" s="1" a="1"/>
  <c r="H30" i="34" s="1"/>
  <c r="K51" i="2" s="1"/>
  <c r="G26" i="34"/>
  <c r="H26" i="34" s="1" a="1"/>
  <c r="H26" i="34" s="1"/>
  <c r="K47" i="2" s="1"/>
  <c r="G22" i="34"/>
  <c r="H22" i="34" s="1" a="1"/>
  <c r="H22" i="34" s="1"/>
  <c r="K43" i="2" s="1"/>
  <c r="G19" i="34"/>
  <c r="H19" i="34" s="1" a="1"/>
  <c r="H19" i="34" s="1"/>
  <c r="K40" i="2" s="1"/>
  <c r="G15" i="34"/>
  <c r="H15" i="34" s="1" a="1"/>
  <c r="H15" i="34" s="1"/>
  <c r="K36" i="2" s="1"/>
  <c r="G11" i="34"/>
  <c r="H11" i="34" s="1" a="1"/>
  <c r="H11" i="34" s="1"/>
  <c r="K32" i="2" s="1"/>
  <c r="G7" i="34"/>
  <c r="H7" i="34" s="1" a="1"/>
  <c r="H7" i="34" s="1"/>
  <c r="K28" i="2" s="1"/>
  <c r="G197" i="34"/>
  <c r="H197" i="34" s="1" a="1"/>
  <c r="H197" i="34" s="1"/>
  <c r="K218" i="2" s="1"/>
  <c r="G194" i="34"/>
  <c r="H194" i="34" s="1" a="1"/>
  <c r="H194" i="34" s="1"/>
  <c r="K215" i="2" s="1"/>
  <c r="G187" i="34"/>
  <c r="H187" i="34" s="1" a="1"/>
  <c r="H187" i="34" s="1"/>
  <c r="K208" i="2" s="1"/>
  <c r="G180" i="34"/>
  <c r="H180" i="34" s="1" a="1"/>
  <c r="H180" i="34" s="1"/>
  <c r="K201" i="2" s="1"/>
  <c r="G174" i="34"/>
  <c r="H174" i="34" s="1" a="1"/>
  <c r="H174" i="34" s="1"/>
  <c r="K195" i="2" s="1"/>
  <c r="G163" i="34"/>
  <c r="H163" i="34" s="1" a="1"/>
  <c r="H163" i="34" s="1"/>
  <c r="K184" i="2" s="1"/>
  <c r="G159" i="34"/>
  <c r="H159" i="34" s="1" a="1"/>
  <c r="H159" i="34" s="1"/>
  <c r="K180" i="2" s="1"/>
  <c r="G155" i="34"/>
  <c r="H155" i="34" s="1" a="1"/>
  <c r="H155" i="34" s="1"/>
  <c r="K176" i="2" s="1"/>
  <c r="G151" i="34"/>
  <c r="H151" i="34" s="1" a="1"/>
  <c r="H151" i="34" s="1"/>
  <c r="K172" i="2" s="1"/>
  <c r="G136" i="34"/>
  <c r="H136" i="34" s="1" a="1"/>
  <c r="H136" i="34" s="1"/>
  <c r="K157" i="2" s="1"/>
  <c r="G132" i="34"/>
  <c r="H132" i="34" s="1" a="1"/>
  <c r="H132" i="34" s="1"/>
  <c r="K153" i="2" s="1"/>
  <c r="G128" i="34"/>
  <c r="H128" i="34" s="1" a="1"/>
  <c r="H128" i="34" s="1"/>
  <c r="K149" i="2" s="1"/>
  <c r="G124" i="34"/>
  <c r="H124" i="34" s="1" a="1"/>
  <c r="H124" i="34" s="1"/>
  <c r="K145" i="2" s="1"/>
  <c r="G117" i="34"/>
  <c r="H117" i="34" s="1" a="1"/>
  <c r="H117" i="34" s="1"/>
  <c r="K138" i="2" s="1"/>
  <c r="G113" i="34"/>
  <c r="H113" i="34" s="1" a="1"/>
  <c r="H113" i="34" s="1"/>
  <c r="K134" i="2" s="1"/>
  <c r="G106" i="34"/>
  <c r="H106" i="34" s="1" a="1"/>
  <c r="H106" i="34" s="1"/>
  <c r="K127" i="2" s="1"/>
  <c r="G102" i="34"/>
  <c r="H102" i="34" s="1" a="1"/>
  <c r="H102" i="34" s="1"/>
  <c r="K123" i="2" s="1"/>
  <c r="G87" i="34"/>
  <c r="H87" i="34" s="1" a="1"/>
  <c r="H87" i="34" s="1"/>
  <c r="K108" i="2" s="1"/>
  <c r="G83" i="34"/>
  <c r="H83" i="34" s="1" a="1"/>
  <c r="H83" i="34" s="1"/>
  <c r="K104" i="2" s="1"/>
  <c r="G79" i="34"/>
  <c r="H79" i="34" s="1" a="1"/>
  <c r="H79" i="34" s="1"/>
  <c r="K100" i="2" s="1"/>
  <c r="G72" i="34"/>
  <c r="H72" i="34" s="1" a="1"/>
  <c r="H72" i="34" s="1"/>
  <c r="K93" i="2" s="1"/>
  <c r="G49" i="34"/>
  <c r="H49" i="34" s="1" a="1"/>
  <c r="H49" i="34" s="1"/>
  <c r="K70" i="2" s="1"/>
  <c r="G190" i="34"/>
  <c r="H190" i="34" s="1" a="1"/>
  <c r="H190" i="34" s="1"/>
  <c r="K211" i="2" s="1"/>
  <c r="G183" i="34"/>
  <c r="H183" i="34" s="1" a="1"/>
  <c r="H183" i="34" s="1"/>
  <c r="K204" i="2" s="1"/>
  <c r="G170" i="34"/>
  <c r="H170" i="34" s="1" a="1"/>
  <c r="H170" i="34" s="1"/>
  <c r="K191" i="2" s="1"/>
  <c r="G166" i="34"/>
  <c r="H166" i="34" s="1" a="1"/>
  <c r="H166" i="34" s="1"/>
  <c r="K187" i="2" s="1"/>
  <c r="G147" i="34"/>
  <c r="H147" i="34" s="1" a="1"/>
  <c r="H147" i="34" s="1"/>
  <c r="K168" i="2" s="1"/>
  <c r="G143" i="34"/>
  <c r="H143" i="34" s="1" a="1"/>
  <c r="H143" i="34" s="1"/>
  <c r="K164" i="2" s="1"/>
  <c r="G120" i="34"/>
  <c r="H120" i="34" s="1" a="1"/>
  <c r="H120" i="34" s="1"/>
  <c r="K141" i="2" s="1"/>
  <c r="G109" i="34"/>
  <c r="H109" i="34" s="1" a="1"/>
  <c r="H109" i="34" s="1"/>
  <c r="K130" i="2" s="1"/>
  <c r="G98" i="34"/>
  <c r="H98" i="34" s="1" a="1"/>
  <c r="H98" i="34" s="1"/>
  <c r="K119" i="2" s="1"/>
  <c r="G94" i="34"/>
  <c r="H94" i="34" s="1" a="1"/>
  <c r="H94" i="34" s="1"/>
  <c r="K115" i="2" s="1"/>
  <c r="G68" i="34"/>
  <c r="H68" i="34" s="1" a="1"/>
  <c r="H68" i="34" s="1"/>
  <c r="K89" i="2" s="1"/>
  <c r="G64" i="34"/>
  <c r="H64" i="34" s="1" a="1"/>
  <c r="H64" i="34" s="1"/>
  <c r="K85" i="2" s="1"/>
  <c r="G60" i="34"/>
  <c r="H60" i="34" s="1" a="1"/>
  <c r="H60" i="34" s="1"/>
  <c r="K81" i="2" s="1"/>
  <c r="G56" i="34"/>
  <c r="H56" i="34" s="1" a="1"/>
  <c r="H56" i="34" s="1"/>
  <c r="K77" i="2" s="1"/>
  <c r="G52" i="34"/>
  <c r="H52" i="34" s="1" a="1"/>
  <c r="H52" i="34" s="1"/>
  <c r="K73" i="2" s="1"/>
  <c r="G45" i="34"/>
  <c r="H45" i="34" s="1" a="1"/>
  <c r="H45" i="34" s="1"/>
  <c r="K66" i="2" s="1"/>
  <c r="G41" i="34"/>
  <c r="H41" i="34" s="1" a="1"/>
  <c r="H41" i="34" s="1"/>
  <c r="K62" i="2" s="1"/>
  <c r="G37" i="34"/>
  <c r="H37" i="34" s="1" a="1"/>
  <c r="H37" i="34" s="1"/>
  <c r="K58" i="2" s="1"/>
  <c r="G33" i="34"/>
  <c r="H33" i="34" s="1" a="1"/>
  <c r="H33" i="34" s="1"/>
  <c r="K54" i="2" s="1"/>
  <c r="G29" i="34"/>
  <c r="H29" i="34" s="1" a="1"/>
  <c r="H29" i="34" s="1"/>
  <c r="K50" i="2" s="1"/>
  <c r="G25" i="34"/>
  <c r="H25" i="34" s="1" a="1"/>
  <c r="H25" i="34" s="1"/>
  <c r="K46" i="2" s="1"/>
  <c r="G18" i="34"/>
  <c r="H18" i="34" s="1" a="1"/>
  <c r="H18" i="34" s="1"/>
  <c r="K39" i="2" s="1"/>
  <c r="G14" i="34"/>
  <c r="H14" i="34" s="1" a="1"/>
  <c r="H14" i="34" s="1"/>
  <c r="K35" i="2" s="1"/>
  <c r="G10" i="34"/>
  <c r="H10" i="34" s="1" a="1"/>
  <c r="H10" i="34" s="1"/>
  <c r="K31" i="2" s="1"/>
  <c r="G6" i="34"/>
  <c r="H6" i="34" s="1" a="1"/>
  <c r="H6" i="34" s="1"/>
  <c r="K27" i="2" s="1"/>
  <c r="G188" i="34"/>
  <c r="H188" i="34" s="1" a="1"/>
  <c r="H188" i="34" s="1"/>
  <c r="K209" i="2" s="1"/>
  <c r="G21" i="34"/>
  <c r="H21" i="34" s="1" a="1"/>
  <c r="H21" i="34" s="1"/>
  <c r="K42" i="2" s="1"/>
  <c r="G196" i="34"/>
  <c r="H196" i="34" s="1" a="1"/>
  <c r="H196" i="34" s="1"/>
  <c r="K217" i="2" s="1"/>
  <c r="G189" i="34"/>
  <c r="H189" i="34" s="1" a="1"/>
  <c r="H189" i="34" s="1"/>
  <c r="K210" i="2" s="1"/>
  <c r="G182" i="34"/>
  <c r="H182" i="34" s="1" a="1"/>
  <c r="H182" i="34" s="1"/>
  <c r="K203" i="2" s="1"/>
  <c r="G169" i="34"/>
  <c r="H169" i="34" s="1" a="1"/>
  <c r="H169" i="34" s="1"/>
  <c r="K190" i="2" s="1"/>
  <c r="G146" i="34"/>
  <c r="H146" i="34" s="1" a="1"/>
  <c r="H146" i="34" s="1"/>
  <c r="K167" i="2" s="1"/>
  <c r="G142" i="34"/>
  <c r="H142" i="34" s="1" a="1"/>
  <c r="H142" i="34" s="1"/>
  <c r="K163" i="2" s="1"/>
  <c r="G119" i="34"/>
  <c r="H119" i="34" s="1" a="1"/>
  <c r="H119" i="34" s="1"/>
  <c r="K140" i="2" s="1"/>
  <c r="G108" i="34"/>
  <c r="H108" i="34" s="1" a="1"/>
  <c r="H108" i="34" s="1"/>
  <c r="K129" i="2" s="1"/>
  <c r="G97" i="34"/>
  <c r="H97" i="34" s="1" a="1"/>
  <c r="H97" i="34" s="1"/>
  <c r="K118" i="2" s="1"/>
  <c r="G67" i="34"/>
  <c r="H67" i="34" s="1" a="1"/>
  <c r="H67" i="34" s="1"/>
  <c r="K88" i="2" s="1"/>
  <c r="G63" i="34"/>
  <c r="H63" i="34" s="1" a="1"/>
  <c r="H63" i="34" s="1"/>
  <c r="K84" i="2" s="1"/>
  <c r="G55" i="34"/>
  <c r="H55" i="34" s="1" a="1"/>
  <c r="H55" i="34" s="1"/>
  <c r="K76" i="2" s="1"/>
  <c r="G44" i="34"/>
  <c r="H44" i="34" s="1" a="1"/>
  <c r="H44" i="34" s="1"/>
  <c r="K65" i="2" s="1"/>
  <c r="G40" i="34"/>
  <c r="H40" i="34" s="1" a="1"/>
  <c r="H40" i="34" s="1"/>
  <c r="K61" i="2" s="1"/>
  <c r="G36" i="34"/>
  <c r="H36" i="34" s="1" a="1"/>
  <c r="H36" i="34" s="1"/>
  <c r="K57" i="2" s="1"/>
  <c r="G32" i="34"/>
  <c r="H32" i="34" s="1" a="1"/>
  <c r="H32" i="34" s="1"/>
  <c r="K53" i="2" s="1"/>
  <c r="G28" i="34"/>
  <c r="H28" i="34" s="1" a="1"/>
  <c r="H28" i="34" s="1"/>
  <c r="K49" i="2" s="1"/>
  <c r="G24" i="34"/>
  <c r="H24" i="34" s="1" a="1"/>
  <c r="H24" i="34" s="1"/>
  <c r="K45" i="2" s="1"/>
  <c r="G17" i="34"/>
  <c r="H17" i="34" s="1" a="1"/>
  <c r="H17" i="34" s="1"/>
  <c r="K38" i="2" s="1"/>
  <c r="G13" i="34"/>
  <c r="H13" i="34" s="1" a="1"/>
  <c r="H13" i="34" s="1"/>
  <c r="K34" i="2" s="1"/>
  <c r="G9" i="34"/>
  <c r="H9" i="34" s="1" a="1"/>
  <c r="H9" i="34" s="1"/>
  <c r="K30" i="2" s="1"/>
  <c r="G5" i="34"/>
  <c r="H5" i="34" s="1" a="1"/>
  <c r="H5" i="34" s="1"/>
  <c r="K26" i="2" s="1"/>
  <c r="G74" i="34"/>
  <c r="H74" i="34" s="1" a="1"/>
  <c r="H74" i="34" s="1"/>
  <c r="K95" i="2" s="1"/>
  <c r="G70" i="34"/>
  <c r="H70" i="34" s="1" a="1"/>
  <c r="H70" i="34" s="1"/>
  <c r="K91" i="2" s="1"/>
  <c r="G51" i="34"/>
  <c r="H51" i="34" s="1" a="1"/>
  <c r="H51" i="34" s="1"/>
  <c r="K72" i="2" s="1"/>
  <c r="G20" i="34"/>
  <c r="H20" i="34" s="1" a="1"/>
  <c r="H20" i="34" s="1"/>
  <c r="K41" i="2" s="1"/>
  <c r="G172" i="34"/>
  <c r="H172" i="34" s="1" a="1"/>
  <c r="H172" i="34" s="1"/>
  <c r="K193" i="2" s="1"/>
  <c r="G149" i="34"/>
  <c r="H149" i="34" s="1" a="1"/>
  <c r="H149" i="34" s="1"/>
  <c r="K170" i="2" s="1"/>
  <c r="G3" i="34"/>
  <c r="H3" i="34" s="1" a="1"/>
  <c r="H3" i="34" s="1"/>
  <c r="K24" i="2" s="1"/>
  <c r="G165" i="34"/>
  <c r="H165" i="34" s="1" a="1"/>
  <c r="H165" i="34" s="1"/>
  <c r="K186" i="2" s="1"/>
  <c r="G59" i="34"/>
  <c r="H59" i="34" s="1" a="1"/>
  <c r="H59" i="34" s="1"/>
  <c r="K80" i="2" s="1"/>
  <c r="G125" i="34"/>
  <c r="H125" i="34" s="1" a="1"/>
  <c r="H125" i="34" s="1"/>
  <c r="K146" i="2" s="1"/>
  <c r="G176" i="34"/>
  <c r="H176" i="34" s="1" a="1"/>
  <c r="H176" i="34" s="1"/>
  <c r="K197" i="2" s="1"/>
  <c r="G167" i="34"/>
  <c r="H167" i="34" s="1" a="1"/>
  <c r="H167" i="34" s="1"/>
  <c r="K188" i="2" s="1"/>
  <c r="G35" i="34"/>
  <c r="H35" i="34" s="1" a="1"/>
  <c r="H35" i="34" s="1"/>
  <c r="K56" i="2" s="1"/>
  <c r="G192" i="34"/>
  <c r="H192" i="34" s="1" a="1"/>
  <c r="H192" i="34" s="1"/>
  <c r="K213" i="2" s="1"/>
  <c r="G184" i="34"/>
  <c r="H184" i="34" s="1" a="1"/>
  <c r="H184" i="34" s="1"/>
  <c r="K205" i="2" s="1"/>
  <c r="G93" i="34"/>
  <c r="H93" i="34" s="1" a="1"/>
  <c r="H93" i="34" s="1"/>
  <c r="K114" i="2" s="1"/>
  <c r="J2561" i="29"/>
  <c r="G2559" i="29"/>
  <c r="L2559" i="29" s="1"/>
  <c r="G2557" i="29"/>
  <c r="L2557" i="29" s="1"/>
  <c r="J2555" i="29"/>
  <c r="J2553" i="29"/>
  <c r="G2551" i="29"/>
  <c r="L2551" i="29" s="1"/>
  <c r="G2549" i="29"/>
  <c r="L2549" i="29" s="1"/>
  <c r="J2547" i="29"/>
  <c r="J2545" i="29"/>
  <c r="G2543" i="29"/>
  <c r="L2543" i="29" s="1"/>
  <c r="G2541" i="29"/>
  <c r="L2541" i="29" s="1"/>
  <c r="J2539" i="29"/>
  <c r="J2537" i="29"/>
  <c r="G2535" i="29"/>
  <c r="L2535" i="29" s="1"/>
  <c r="G2533" i="29"/>
  <c r="L2533" i="29" s="1"/>
  <c r="J2531" i="29"/>
  <c r="J2529" i="29"/>
  <c r="G2527" i="29"/>
  <c r="L2527" i="29" s="1"/>
  <c r="G2525" i="29"/>
  <c r="L2525" i="29" s="1"/>
  <c r="J2523" i="29"/>
  <c r="J2521" i="29"/>
  <c r="G2519" i="29"/>
  <c r="L2519" i="29" s="1"/>
  <c r="G2517" i="29"/>
  <c r="L2517" i="29" s="1"/>
  <c r="J2515" i="29"/>
  <c r="J2513" i="29"/>
  <c r="G2511" i="29"/>
  <c r="L2511" i="29" s="1"/>
  <c r="G2509" i="29"/>
  <c r="L2509" i="29" s="1"/>
  <c r="J2507" i="29"/>
  <c r="J2505" i="29"/>
  <c r="G2503" i="29"/>
  <c r="L2503" i="29" s="1"/>
  <c r="G2501" i="29"/>
  <c r="L2501" i="29" s="1"/>
  <c r="J2499" i="29"/>
  <c r="J2497" i="29"/>
  <c r="G2495" i="29"/>
  <c r="L2495" i="29" s="1"/>
  <c r="G2493" i="29"/>
  <c r="L2493" i="29" s="1"/>
  <c r="J2491" i="29"/>
  <c r="J2489" i="29"/>
  <c r="G2487" i="29"/>
  <c r="L2487" i="29" s="1"/>
  <c r="G2485" i="29"/>
  <c r="L2485" i="29" s="1"/>
  <c r="J2483" i="29"/>
  <c r="J2481" i="29"/>
  <c r="G2479" i="29"/>
  <c r="L2479" i="29" s="1"/>
  <c r="G2477" i="29"/>
  <c r="L2477" i="29" s="1"/>
  <c r="J2475" i="29"/>
  <c r="J2473" i="29"/>
  <c r="G2471" i="29"/>
  <c r="L2471" i="29" s="1"/>
  <c r="G2469" i="29"/>
  <c r="L2469" i="29" s="1"/>
  <c r="J2467" i="29"/>
  <c r="G2466" i="29"/>
  <c r="L2466" i="29" s="1"/>
  <c r="J2465" i="29"/>
  <c r="G2463" i="29"/>
  <c r="L2463" i="29" s="1"/>
  <c r="G2462" i="29"/>
  <c r="L2462" i="29" s="1"/>
  <c r="G2461" i="29"/>
  <c r="L2461" i="29" s="1"/>
  <c r="J2459" i="29"/>
  <c r="G2458" i="29"/>
  <c r="L2458" i="29" s="1"/>
  <c r="J2457" i="29"/>
  <c r="G2455" i="29"/>
  <c r="L2455" i="29" s="1"/>
  <c r="G2454" i="29"/>
  <c r="L2454" i="29" s="1"/>
  <c r="G2453" i="29"/>
  <c r="L2453" i="29" s="1"/>
  <c r="J2451" i="29"/>
  <c r="G2450" i="29"/>
  <c r="L2450" i="29" s="1"/>
  <c r="J2449" i="29"/>
  <c r="G2447" i="29"/>
  <c r="L2447" i="29" s="1"/>
  <c r="G2446" i="29"/>
  <c r="L2446" i="29" s="1"/>
  <c r="G2445" i="29"/>
  <c r="L2445" i="29" s="1"/>
  <c r="J2443" i="29"/>
  <c r="G2442" i="29"/>
  <c r="L2442" i="29" s="1"/>
  <c r="J2441" i="29"/>
  <c r="G2439" i="29"/>
  <c r="L2439" i="29" s="1"/>
  <c r="G2438" i="29"/>
  <c r="L2438" i="29" s="1"/>
  <c r="G2437" i="29"/>
  <c r="L2437" i="29" s="1"/>
  <c r="J2436" i="29"/>
  <c r="J2435" i="29"/>
  <c r="G2434" i="29"/>
  <c r="L2434" i="29" s="1"/>
  <c r="J2433" i="29"/>
  <c r="G2432" i="29"/>
  <c r="L2432" i="29" s="1"/>
  <c r="G2431" i="29"/>
  <c r="L2431" i="29" s="1"/>
  <c r="G2429" i="29"/>
  <c r="L2429" i="29" s="1"/>
  <c r="J2428" i="29"/>
  <c r="J2427" i="29"/>
  <c r="J2426" i="29"/>
  <c r="J2425" i="29"/>
  <c r="G2424" i="29"/>
  <c r="L2424" i="29" s="1"/>
  <c r="G2422" i="29"/>
  <c r="L2422" i="29" s="1"/>
  <c r="G2421" i="29"/>
  <c r="L2421" i="29" s="1"/>
  <c r="J2420" i="29"/>
  <c r="G2418" i="29"/>
  <c r="L2418" i="29" s="1"/>
  <c r="J2417" i="29"/>
  <c r="G2416" i="29"/>
  <c r="L2416" i="29" s="1"/>
  <c r="G2414" i="29"/>
  <c r="L2414" i="29" s="1"/>
  <c r="G2413" i="29"/>
  <c r="L2413" i="29" s="1"/>
  <c r="J2412" i="29"/>
  <c r="J2410" i="29"/>
  <c r="J2409" i="29"/>
  <c r="G2408" i="29"/>
  <c r="L2408" i="29" s="1"/>
  <c r="G2406" i="29"/>
  <c r="L2406" i="29" s="1"/>
  <c r="G2405" i="29"/>
  <c r="L2405" i="29" s="1"/>
  <c r="J2404" i="29"/>
  <c r="J2402" i="29"/>
  <c r="J2401" i="29"/>
  <c r="G2400" i="29"/>
  <c r="L2400" i="29" s="1"/>
  <c r="G2398" i="29"/>
  <c r="L2398" i="29" s="1"/>
  <c r="K2397" i="29"/>
  <c r="G2397" i="29"/>
  <c r="L2397" i="29" s="1"/>
  <c r="J2396" i="29"/>
  <c r="G2394" i="29"/>
  <c r="L2394" i="29" s="1"/>
  <c r="J2393" i="29"/>
  <c r="G2392" i="29"/>
  <c r="L2392" i="29" s="1"/>
  <c r="G2390" i="29"/>
  <c r="L2390" i="29" s="1"/>
  <c r="K2389" i="29"/>
  <c r="G2389" i="29"/>
  <c r="L2389" i="29" s="1"/>
  <c r="J2388" i="29"/>
  <c r="G2386" i="29"/>
  <c r="L2386" i="29" s="1"/>
  <c r="J2385" i="29"/>
  <c r="G2384" i="29"/>
  <c r="L2384" i="29" s="1"/>
  <c r="G2382" i="29"/>
  <c r="L2382" i="29" s="1"/>
  <c r="K2381" i="29"/>
  <c r="G2381" i="29"/>
  <c r="L2381" i="29" s="1"/>
  <c r="J2380" i="29"/>
  <c r="G2378" i="29"/>
  <c r="L2378" i="29" s="1"/>
  <c r="J2377" i="29"/>
  <c r="G2376" i="29"/>
  <c r="G2374" i="29"/>
  <c r="L2374" i="29" s="1"/>
  <c r="K2373" i="29"/>
  <c r="G2373" i="29"/>
  <c r="L2373" i="29" s="1"/>
  <c r="J2372" i="29"/>
  <c r="G2370" i="29"/>
  <c r="L2370" i="29" s="1"/>
  <c r="J2369" i="29"/>
  <c r="G2368" i="29"/>
  <c r="L2368" i="29" s="1"/>
  <c r="K2366" i="29"/>
  <c r="G2388" i="29"/>
  <c r="L2388" i="29" s="1"/>
  <c r="G2404" i="29"/>
  <c r="L2404" i="29" s="1"/>
  <c r="G2410" i="29"/>
  <c r="L2410" i="29" s="1"/>
  <c r="G2420" i="29"/>
  <c r="L2420" i="29" s="1"/>
  <c r="G2426" i="29"/>
  <c r="L2426" i="29" s="1"/>
  <c r="G2430" i="29"/>
  <c r="L2430" i="29" s="1"/>
  <c r="G2436" i="29"/>
  <c r="L2436" i="29" s="1"/>
  <c r="G2440" i="29"/>
  <c r="L2440" i="29" s="1"/>
  <c r="G2444" i="29"/>
  <c r="L2444" i="29" s="1"/>
  <c r="G2448" i="29"/>
  <c r="L2448" i="29" s="1"/>
  <c r="G2452" i="29"/>
  <c r="L2452" i="29" s="1"/>
  <c r="G2456" i="29"/>
  <c r="G2460" i="29"/>
  <c r="L2460" i="29" s="1"/>
  <c r="G2464" i="29"/>
  <c r="L2464" i="29" s="1"/>
  <c r="G2468" i="29"/>
  <c r="L2468" i="29" s="1"/>
  <c r="G2470" i="29"/>
  <c r="L2470" i="29" s="1"/>
  <c r="G2472" i="29"/>
  <c r="L2472" i="29" s="1"/>
  <c r="G2474" i="29"/>
  <c r="L2474" i="29" s="1"/>
  <c r="G2476" i="29"/>
  <c r="L2476" i="29" s="1"/>
  <c r="G2478" i="29"/>
  <c r="L2478" i="29" s="1"/>
  <c r="G2480" i="29"/>
  <c r="L2480" i="29" s="1"/>
  <c r="G2482" i="29"/>
  <c r="L2482" i="29" s="1"/>
  <c r="G2484" i="29"/>
  <c r="L2484" i="29" s="1"/>
  <c r="G2486" i="29"/>
  <c r="L2486" i="29" s="1"/>
  <c r="G2488" i="29"/>
  <c r="L2488" i="29" s="1"/>
  <c r="G2490" i="29"/>
  <c r="L2490" i="29" s="1"/>
  <c r="G2492" i="29"/>
  <c r="L2492" i="29" s="1"/>
  <c r="G2494" i="29"/>
  <c r="L2494" i="29" s="1"/>
  <c r="G2496" i="29"/>
  <c r="L2496" i="29" s="1"/>
  <c r="G2498" i="29"/>
  <c r="L2498" i="29" s="1"/>
  <c r="G2500" i="29"/>
  <c r="L2500" i="29" s="1"/>
  <c r="G2502" i="29"/>
  <c r="L2502" i="29" s="1"/>
  <c r="G2504" i="29"/>
  <c r="L2504" i="29" s="1"/>
  <c r="G2506" i="29"/>
  <c r="L2506" i="29" s="1"/>
  <c r="G2508" i="29"/>
  <c r="L2508" i="29" s="1"/>
  <c r="G2510" i="29"/>
  <c r="L2510" i="29" s="1"/>
  <c r="G2512" i="29"/>
  <c r="L2512" i="29" s="1"/>
  <c r="G2513" i="29"/>
  <c r="L2513" i="29" s="1"/>
  <c r="G2514" i="29"/>
  <c r="L2514" i="29" s="1"/>
  <c r="G2516" i="29"/>
  <c r="L2516" i="29" s="1"/>
  <c r="G2518" i="29"/>
  <c r="L2518" i="29" s="1"/>
  <c r="G2520" i="29"/>
  <c r="L2520" i="29" s="1"/>
  <c r="G2521" i="29"/>
  <c r="L2521" i="29" s="1"/>
  <c r="G2522" i="29"/>
  <c r="L2522" i="29" s="1"/>
  <c r="G2524" i="29"/>
  <c r="L2524" i="29" s="1"/>
  <c r="G2526" i="29"/>
  <c r="L2526" i="29" s="1"/>
  <c r="G2528" i="29"/>
  <c r="L2528" i="29" s="1"/>
  <c r="G2529" i="29"/>
  <c r="L2529" i="29" s="1"/>
  <c r="G2530" i="29"/>
  <c r="L2530" i="29" s="1"/>
  <c r="G2532" i="29"/>
  <c r="L2532" i="29" s="1"/>
  <c r="G2534" i="29"/>
  <c r="L2534" i="29" s="1"/>
  <c r="G2536" i="29"/>
  <c r="L2536" i="29" s="1"/>
  <c r="G2537" i="29"/>
  <c r="L2537" i="29" s="1"/>
  <c r="G2538" i="29"/>
  <c r="L2538" i="29" s="1"/>
  <c r="G2540" i="29"/>
  <c r="L2540" i="29" s="1"/>
  <c r="G2542" i="29"/>
  <c r="L2542" i="29" s="1"/>
  <c r="G2544" i="29"/>
  <c r="L2544" i="29" s="1"/>
  <c r="G2545" i="29"/>
  <c r="L2545" i="29" s="1"/>
  <c r="G2546" i="29"/>
  <c r="L2546" i="29" s="1"/>
  <c r="G2548" i="29"/>
  <c r="L2548" i="29" s="1"/>
  <c r="G2550" i="29"/>
  <c r="L2550" i="29" s="1"/>
  <c r="G2552" i="29"/>
  <c r="L2552" i="29" s="1"/>
  <c r="G2553" i="29"/>
  <c r="L2553" i="29" s="1"/>
  <c r="G2554" i="29"/>
  <c r="L2554" i="29" s="1"/>
  <c r="G2556" i="29"/>
  <c r="L2556" i="29" s="1"/>
  <c r="G2558" i="29"/>
  <c r="L2558" i="29" s="1"/>
  <c r="G2560" i="29"/>
  <c r="L2560" i="29" s="1"/>
  <c r="G2561" i="29"/>
  <c r="L2561" i="29" s="1"/>
  <c r="G2562" i="29"/>
  <c r="L2562" i="29" s="1"/>
  <c r="J2376" i="29"/>
  <c r="J2408" i="29"/>
  <c r="J2424" i="29"/>
  <c r="J2430" i="29"/>
  <c r="J2432" i="29"/>
  <c r="J2440" i="29"/>
  <c r="J2444" i="29"/>
  <c r="J2448" i="29"/>
  <c r="J2452" i="29"/>
  <c r="J2456" i="29"/>
  <c r="J2460" i="29"/>
  <c r="J2464" i="29"/>
  <c r="J2468" i="29"/>
  <c r="J2470" i="29"/>
  <c r="J2472" i="29"/>
  <c r="J2474" i="29"/>
  <c r="J2476" i="29"/>
  <c r="J2478" i="29"/>
  <c r="J2480" i="29"/>
  <c r="J2482" i="29"/>
  <c r="J2484" i="29"/>
  <c r="J2486" i="29"/>
  <c r="J2488" i="29"/>
  <c r="J2490" i="29"/>
  <c r="J2492" i="29"/>
  <c r="J2494" i="29"/>
  <c r="J2496" i="29"/>
  <c r="J2498" i="29"/>
  <c r="J2500" i="29"/>
  <c r="J2502" i="29"/>
  <c r="J2504" i="29"/>
  <c r="J2506" i="29"/>
  <c r="J2508" i="29"/>
  <c r="J2509" i="29"/>
  <c r="J2510" i="29"/>
  <c r="J2512" i="29"/>
  <c r="J2514" i="29"/>
  <c r="J2516" i="29"/>
  <c r="J2517" i="29"/>
  <c r="J2518" i="29"/>
  <c r="J2520" i="29"/>
  <c r="J2522" i="29"/>
  <c r="J2524" i="29"/>
  <c r="J2525" i="29"/>
  <c r="J2526" i="29"/>
  <c r="J2528" i="29"/>
  <c r="J2530" i="29"/>
  <c r="J2532" i="29"/>
  <c r="J2533" i="29"/>
  <c r="J2534" i="29"/>
  <c r="J2536" i="29"/>
  <c r="J2538" i="29"/>
  <c r="J2540" i="29"/>
  <c r="J2541" i="29"/>
  <c r="J2542" i="29"/>
  <c r="J2544" i="29"/>
  <c r="J2546" i="29"/>
  <c r="J2548" i="29"/>
  <c r="J2549" i="29"/>
  <c r="J2550" i="29"/>
  <c r="J2552" i="29"/>
  <c r="J2554" i="29"/>
  <c r="J2556" i="29"/>
  <c r="J2557" i="29"/>
  <c r="J2558" i="29"/>
  <c r="J2560" i="29"/>
  <c r="J2562" i="29"/>
  <c r="K2367" i="29"/>
  <c r="K2368" i="29"/>
  <c r="K2369" i="29"/>
  <c r="K2370" i="29"/>
  <c r="K2371" i="29"/>
  <c r="K2372" i="29"/>
  <c r="K2374" i="29"/>
  <c r="K2375" i="29"/>
  <c r="K2376" i="29"/>
  <c r="K2377" i="29"/>
  <c r="K2378" i="29"/>
  <c r="K2379" i="29"/>
  <c r="K2380" i="29"/>
  <c r="K2382" i="29"/>
  <c r="K2383" i="29"/>
  <c r="K2384" i="29"/>
  <c r="K2385" i="29"/>
  <c r="K2386" i="29"/>
  <c r="K2387" i="29"/>
  <c r="K2388" i="29"/>
  <c r="K2390" i="29"/>
  <c r="K2391" i="29"/>
  <c r="K2392" i="29"/>
  <c r="K2393" i="29"/>
  <c r="K2394" i="29"/>
  <c r="K2395" i="29"/>
  <c r="K2396" i="29"/>
  <c r="K2398" i="29"/>
  <c r="K2399" i="29"/>
  <c r="K2400" i="29"/>
  <c r="K2401" i="29"/>
  <c r="K2402" i="29"/>
  <c r="K2403" i="29"/>
  <c r="K2404" i="29"/>
  <c r="K2405" i="29"/>
  <c r="K2406" i="29"/>
  <c r="K2407" i="29"/>
  <c r="K2408" i="29"/>
  <c r="K2409" i="29"/>
  <c r="K2410" i="29"/>
  <c r="K2411" i="29"/>
  <c r="K2412" i="29"/>
  <c r="K2413" i="29"/>
  <c r="K2414" i="29"/>
  <c r="K2415" i="29"/>
  <c r="K2416" i="29"/>
  <c r="K2417" i="29"/>
  <c r="K2418" i="29"/>
  <c r="K2419" i="29"/>
  <c r="K2420" i="29"/>
  <c r="K2421" i="29"/>
  <c r="K2422" i="29"/>
  <c r="K2423" i="29"/>
  <c r="K2424" i="29"/>
  <c r="K2425" i="29"/>
  <c r="K2426" i="29"/>
  <c r="K2427" i="29"/>
  <c r="K2428" i="29"/>
  <c r="K2429" i="29"/>
  <c r="K2430" i="29"/>
  <c r="K2431" i="29"/>
  <c r="K2432" i="29"/>
  <c r="K2433" i="29"/>
  <c r="K2434" i="29"/>
  <c r="K2435" i="29"/>
  <c r="K2436" i="29"/>
  <c r="K2437" i="29"/>
  <c r="K2438" i="29"/>
  <c r="K2439" i="29"/>
  <c r="K2440" i="29"/>
  <c r="K2441" i="29"/>
  <c r="K2442" i="29"/>
  <c r="K2443" i="29"/>
  <c r="K2444" i="29"/>
  <c r="K2445" i="29"/>
  <c r="K2446" i="29"/>
  <c r="K2447" i="29"/>
  <c r="K2448" i="29"/>
  <c r="K2449" i="29"/>
  <c r="K2450" i="29"/>
  <c r="K2451" i="29"/>
  <c r="K2452" i="29"/>
  <c r="K2453" i="29"/>
  <c r="K2454" i="29"/>
  <c r="K2455" i="29"/>
  <c r="K2456" i="29"/>
  <c r="K2457" i="29"/>
  <c r="K2458" i="29"/>
  <c r="K2459" i="29"/>
  <c r="K2460" i="29"/>
  <c r="K2461" i="29"/>
  <c r="K2462" i="29"/>
  <c r="K2463" i="29"/>
  <c r="K2464" i="29"/>
  <c r="K2465" i="29"/>
  <c r="K2466" i="29"/>
  <c r="K2467" i="29"/>
  <c r="K2468" i="29"/>
  <c r="K2469" i="29"/>
  <c r="K2470" i="29"/>
  <c r="K2471" i="29"/>
  <c r="K2472" i="29"/>
  <c r="K2473" i="29"/>
  <c r="K2474" i="29"/>
  <c r="K2475" i="29"/>
  <c r="K2476" i="29"/>
  <c r="K2477" i="29"/>
  <c r="K2478" i="29"/>
  <c r="K2479" i="29"/>
  <c r="K2480" i="29"/>
  <c r="K2481" i="29"/>
  <c r="K2482" i="29"/>
  <c r="K2483" i="29"/>
  <c r="K2484" i="29"/>
  <c r="K2485" i="29"/>
  <c r="K2486" i="29"/>
  <c r="K2487" i="29"/>
  <c r="K2488" i="29"/>
  <c r="K2489" i="29"/>
  <c r="K2490" i="29"/>
  <c r="K2491" i="29"/>
  <c r="K2492" i="29"/>
  <c r="K2493" i="29"/>
  <c r="K2494" i="29"/>
  <c r="K2495" i="29"/>
  <c r="K2496" i="29"/>
  <c r="K2497" i="29"/>
  <c r="K2498" i="29"/>
  <c r="K2499" i="29"/>
  <c r="K2500" i="29"/>
  <c r="K2501" i="29"/>
  <c r="K2502" i="29"/>
  <c r="K2503" i="29"/>
  <c r="K2504" i="29"/>
  <c r="K2505" i="29"/>
  <c r="K2506" i="29"/>
  <c r="K2507" i="29"/>
  <c r="K2508" i="29"/>
  <c r="K2509" i="29"/>
  <c r="K2510" i="29"/>
  <c r="K2511" i="29"/>
  <c r="K2512" i="29"/>
  <c r="K2513" i="29"/>
  <c r="K2514" i="29"/>
  <c r="K2515" i="29"/>
  <c r="K2516" i="29"/>
  <c r="K2517" i="29"/>
  <c r="K2518" i="29"/>
  <c r="K2519" i="29"/>
  <c r="K2520" i="29"/>
  <c r="K2521" i="29"/>
  <c r="K2522" i="29"/>
  <c r="K2523" i="29"/>
  <c r="K2524" i="29"/>
  <c r="K2525" i="29"/>
  <c r="K2526" i="29"/>
  <c r="K2527" i="29"/>
  <c r="K2528" i="29"/>
  <c r="K2529" i="29"/>
  <c r="K2530" i="29"/>
  <c r="K2531" i="29"/>
  <c r="K2532" i="29"/>
  <c r="K2533" i="29"/>
  <c r="K2534" i="29"/>
  <c r="K2535" i="29"/>
  <c r="K2536" i="29"/>
  <c r="K2537" i="29"/>
  <c r="K2538" i="29"/>
  <c r="K2539" i="29"/>
  <c r="K2540" i="29"/>
  <c r="K2541" i="29"/>
  <c r="K2542" i="29"/>
  <c r="K2543" i="29"/>
  <c r="K2544" i="29"/>
  <c r="K2545" i="29"/>
  <c r="K2546" i="29"/>
  <c r="K2547" i="29"/>
  <c r="K2548" i="29"/>
  <c r="K2549" i="29"/>
  <c r="K2550" i="29"/>
  <c r="K2551" i="29"/>
  <c r="K2552" i="29"/>
  <c r="K2553" i="29"/>
  <c r="K2554" i="29"/>
  <c r="K2555" i="29"/>
  <c r="K2556" i="29"/>
  <c r="K2557" i="29"/>
  <c r="K2558" i="29"/>
  <c r="K2559" i="29"/>
  <c r="K2560" i="29"/>
  <c r="K2561" i="29"/>
  <c r="K2562" i="29"/>
  <c r="L2376" i="29"/>
  <c r="L2456" i="29"/>
  <c r="Q2366" i="29"/>
  <c r="Q2367" i="29"/>
  <c r="Q2368" i="29"/>
  <c r="Q2369" i="29"/>
  <c r="Q2370" i="29"/>
  <c r="Q2371" i="29"/>
  <c r="Q2372" i="29"/>
  <c r="Q2373" i="29"/>
  <c r="Q2374" i="29"/>
  <c r="Q2375" i="29"/>
  <c r="Q2376" i="29"/>
  <c r="Q2377" i="29"/>
  <c r="Q2378" i="29"/>
  <c r="Q2379" i="29"/>
  <c r="Q2380" i="29"/>
  <c r="Q2381" i="29"/>
  <c r="Q2382" i="29"/>
  <c r="Q2383" i="29"/>
  <c r="Q2384" i="29"/>
  <c r="Q2385" i="29"/>
  <c r="Q2386" i="29"/>
  <c r="Q2387" i="29"/>
  <c r="Q2388" i="29"/>
  <c r="Q2389" i="29"/>
  <c r="Q2390" i="29"/>
  <c r="Q2391" i="29"/>
  <c r="Q2392" i="29"/>
  <c r="Q2393" i="29"/>
  <c r="Q2394" i="29"/>
  <c r="Q2395" i="29"/>
  <c r="Q2396" i="29"/>
  <c r="Q2397" i="29"/>
  <c r="Q2398" i="29"/>
  <c r="Q2399" i="29"/>
  <c r="Q2400" i="29"/>
  <c r="Q2401" i="29"/>
  <c r="Q2402" i="29"/>
  <c r="Q2403" i="29"/>
  <c r="Q2404" i="29"/>
  <c r="Q2405" i="29"/>
  <c r="Q2406" i="29"/>
  <c r="Q2407" i="29"/>
  <c r="Q2408" i="29"/>
  <c r="Q2409" i="29"/>
  <c r="Q2410" i="29"/>
  <c r="Q2411" i="29"/>
  <c r="Q2412" i="29"/>
  <c r="Q2413" i="29"/>
  <c r="Q2414" i="29"/>
  <c r="Q2415" i="29"/>
  <c r="Q2416" i="29"/>
  <c r="Q2417" i="29"/>
  <c r="Q2418" i="29"/>
  <c r="Q2419" i="29"/>
  <c r="Q2420" i="29"/>
  <c r="Q2421" i="29"/>
  <c r="Q2422" i="29"/>
  <c r="Q2423" i="29"/>
  <c r="Q2424" i="29"/>
  <c r="Q2425" i="29"/>
  <c r="Q2426" i="29"/>
  <c r="Q2427" i="29"/>
  <c r="Q2428" i="29"/>
  <c r="Q2429" i="29"/>
  <c r="Q2430" i="29"/>
  <c r="Q2431" i="29"/>
  <c r="Q2432" i="29"/>
  <c r="Q2433" i="29"/>
  <c r="Q2434" i="29"/>
  <c r="Q2435" i="29"/>
  <c r="Q2436" i="29"/>
  <c r="Q2437" i="29"/>
  <c r="Q2438" i="29"/>
  <c r="Q2439" i="29"/>
  <c r="Q2440" i="29"/>
  <c r="Q2441" i="29"/>
  <c r="Q2442" i="29"/>
  <c r="Q2443" i="29"/>
  <c r="Q2444" i="29"/>
  <c r="Q2445" i="29"/>
  <c r="Q2446" i="29"/>
  <c r="Q2447" i="29"/>
  <c r="Q2448" i="29"/>
  <c r="Q2449" i="29"/>
  <c r="Q2450" i="29"/>
  <c r="Q2451" i="29"/>
  <c r="Q2452" i="29"/>
  <c r="Q2453" i="29"/>
  <c r="Q2454" i="29"/>
  <c r="Q2455" i="29"/>
  <c r="Q2456" i="29"/>
  <c r="Q2457" i="29"/>
  <c r="Q2458" i="29"/>
  <c r="Q2459" i="29"/>
  <c r="Q2460" i="29"/>
  <c r="Q2461" i="29"/>
  <c r="Q2462" i="29"/>
  <c r="Q2463" i="29"/>
  <c r="Q2464" i="29"/>
  <c r="Q2465" i="29"/>
  <c r="Q2466" i="29"/>
  <c r="Q2467" i="29"/>
  <c r="Q2468" i="29"/>
  <c r="Q2469" i="29"/>
  <c r="Q2470" i="29"/>
  <c r="Q2471" i="29"/>
  <c r="Q2472" i="29"/>
  <c r="Q2473" i="29"/>
  <c r="Q2474" i="29"/>
  <c r="Q2475" i="29"/>
  <c r="Q2476" i="29"/>
  <c r="Q2477" i="29"/>
  <c r="Q2478" i="29"/>
  <c r="Q2479" i="29"/>
  <c r="Q2480" i="29"/>
  <c r="Q2481" i="29"/>
  <c r="Q2482" i="29"/>
  <c r="Q2483" i="29"/>
  <c r="Q2484" i="29"/>
  <c r="Q2485" i="29"/>
  <c r="Q2486" i="29"/>
  <c r="Q2487" i="29"/>
  <c r="Q2488" i="29"/>
  <c r="Q2489" i="29"/>
  <c r="Q2490" i="29"/>
  <c r="Q2491" i="29"/>
  <c r="Q2492" i="29"/>
  <c r="Q2493" i="29"/>
  <c r="Q2494" i="29"/>
  <c r="Q2495" i="29"/>
  <c r="Q2496" i="29"/>
  <c r="Q2497" i="29"/>
  <c r="Q2498" i="29"/>
  <c r="Q2499" i="29"/>
  <c r="Q2500" i="29"/>
  <c r="Q2501" i="29"/>
  <c r="Q2502" i="29"/>
  <c r="Q2503" i="29"/>
  <c r="Q2504" i="29"/>
  <c r="Q2505" i="29"/>
  <c r="Q2506" i="29"/>
  <c r="Q2507" i="29"/>
  <c r="Q2508" i="29"/>
  <c r="Q2509" i="29"/>
  <c r="Q2510" i="29"/>
  <c r="Q2511" i="29"/>
  <c r="Q2512" i="29"/>
  <c r="Q2513" i="29"/>
  <c r="Q2514" i="29"/>
  <c r="Q2515" i="29"/>
  <c r="Q2516" i="29"/>
  <c r="Q2517" i="29"/>
  <c r="Q2518" i="29"/>
  <c r="Q2519" i="29"/>
  <c r="Q2520" i="29"/>
  <c r="Q2521" i="29"/>
  <c r="Q2522" i="29"/>
  <c r="Q2523" i="29"/>
  <c r="Q2524" i="29"/>
  <c r="Q2525" i="29"/>
  <c r="Q2526" i="29"/>
  <c r="Q2527" i="29"/>
  <c r="Q2528" i="29"/>
  <c r="Q2529" i="29"/>
  <c r="Q2530" i="29"/>
  <c r="Q2531" i="29"/>
  <c r="Q2532" i="29"/>
  <c r="Q2533" i="29"/>
  <c r="Q2534" i="29"/>
  <c r="Q2535" i="29"/>
  <c r="Q2536" i="29"/>
  <c r="Q2537" i="29"/>
  <c r="Q2538" i="29"/>
  <c r="Q2539" i="29"/>
  <c r="Q2540" i="29"/>
  <c r="Q2541" i="29"/>
  <c r="Q2542" i="29"/>
  <c r="Q2543" i="29"/>
  <c r="Q2544" i="29"/>
  <c r="Q2545" i="29"/>
  <c r="Q2546" i="29"/>
  <c r="Q2547" i="29"/>
  <c r="Q2548" i="29"/>
  <c r="Q2549" i="29"/>
  <c r="Q2550" i="29"/>
  <c r="Q2551" i="29"/>
  <c r="Q2552" i="29"/>
  <c r="Q2553" i="29"/>
  <c r="Q2554" i="29"/>
  <c r="Q2555" i="29"/>
  <c r="Q2556" i="29"/>
  <c r="Q2557" i="29"/>
  <c r="Q2558" i="29"/>
  <c r="Q2559" i="29"/>
  <c r="Q2560" i="29"/>
  <c r="Q2561" i="29"/>
  <c r="Q2562" i="29"/>
  <c r="X2" i="1"/>
  <c r="X3" i="1"/>
  <c r="X4" i="1"/>
  <c r="X5" i="1"/>
  <c r="X6" i="1"/>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G2367" i="29" l="1"/>
  <c r="L2367" i="29" s="1"/>
  <c r="J2367" i="29"/>
  <c r="J2387" i="29"/>
  <c r="G2387" i="29"/>
  <c r="L2387" i="29" s="1"/>
  <c r="G2399" i="29"/>
  <c r="L2399" i="29" s="1"/>
  <c r="J2399" i="29"/>
  <c r="J2403" i="29"/>
  <c r="G2403" i="29"/>
  <c r="L2403" i="29" s="1"/>
  <c r="G2407" i="29"/>
  <c r="L2407" i="29" s="1"/>
  <c r="J2407" i="29"/>
  <c r="G2415" i="29"/>
  <c r="L2415" i="29" s="1"/>
  <c r="J2415" i="29"/>
  <c r="J2419" i="29"/>
  <c r="G2419" i="29"/>
  <c r="L2419" i="29" s="1"/>
  <c r="G2383" i="29"/>
  <c r="L2383" i="29" s="1"/>
  <c r="J2383" i="29"/>
  <c r="J2411" i="29"/>
  <c r="G2411" i="29"/>
  <c r="L2411" i="29" s="1"/>
  <c r="G2423" i="29"/>
  <c r="L2423" i="29" s="1"/>
  <c r="J2423" i="29"/>
  <c r="J2458" i="29"/>
  <c r="J2442" i="29"/>
  <c r="J2422" i="29"/>
  <c r="J2400" i="29"/>
  <c r="J2378" i="29"/>
  <c r="G2402" i="29"/>
  <c r="L2402" i="29" s="1"/>
  <c r="G2380" i="29"/>
  <c r="L2380" i="29" s="1"/>
  <c r="J2371" i="29"/>
  <c r="G2371" i="29"/>
  <c r="L2371" i="29" s="1"/>
  <c r="G2391" i="29"/>
  <c r="L2391" i="29" s="1"/>
  <c r="J2391" i="29"/>
  <c r="J2418" i="29"/>
  <c r="J2398" i="29"/>
  <c r="J2454" i="29"/>
  <c r="J2438" i="29"/>
  <c r="J2416" i="29"/>
  <c r="J2394" i="29"/>
  <c r="J2374" i="29"/>
  <c r="G2396" i="29"/>
  <c r="L2396" i="29" s="1"/>
  <c r="J2386" i="29"/>
  <c r="G2375" i="29"/>
  <c r="L2375" i="29" s="1"/>
  <c r="J2375" i="29"/>
  <c r="J2395" i="29"/>
  <c r="G2395" i="29"/>
  <c r="L2395" i="29" s="1"/>
  <c r="J2434" i="29"/>
  <c r="J2414" i="29"/>
  <c r="J2392" i="29"/>
  <c r="J2370" i="29"/>
  <c r="G2372" i="29"/>
  <c r="L2372" i="29" s="1"/>
  <c r="J2382" i="29"/>
  <c r="J2379" i="29"/>
  <c r="G2379" i="29"/>
  <c r="L2379" i="29" s="1"/>
  <c r="J2466" i="29"/>
  <c r="J2450" i="29"/>
  <c r="J2390" i="29"/>
  <c r="J2368" i="29"/>
  <c r="G2412" i="29"/>
  <c r="L2412" i="29" s="1"/>
  <c r="J2462" i="29"/>
  <c r="J2446" i="29"/>
  <c r="J2406" i="29"/>
  <c r="J2384" i="29"/>
  <c r="G2428" i="29"/>
  <c r="L2428" i="29" s="1"/>
  <c r="J2559" i="29"/>
  <c r="J2551" i="29"/>
  <c r="J2543" i="29"/>
  <c r="J2535" i="29"/>
  <c r="J2527" i="29"/>
  <c r="J2519" i="29"/>
  <c r="J2511" i="29"/>
  <c r="J2503" i="29"/>
  <c r="J2495" i="29"/>
  <c r="J2487" i="29"/>
  <c r="J2479" i="29"/>
  <c r="J2471" i="29"/>
  <c r="J2463" i="29"/>
  <c r="J2455" i="29"/>
  <c r="J2447" i="29"/>
  <c r="J2439" i="29"/>
  <c r="J2431" i="29"/>
  <c r="G2555" i="29"/>
  <c r="L2555" i="29" s="1"/>
  <c r="G2547" i="29"/>
  <c r="L2547" i="29" s="1"/>
  <c r="G2539" i="29"/>
  <c r="L2539" i="29" s="1"/>
  <c r="G2531" i="29"/>
  <c r="L2531" i="29" s="1"/>
  <c r="G2523" i="29"/>
  <c r="L2523" i="29" s="1"/>
  <c r="G2515" i="29"/>
  <c r="L2515" i="29" s="1"/>
  <c r="G2507" i="29"/>
  <c r="L2507" i="29" s="1"/>
  <c r="G2499" i="29"/>
  <c r="L2499" i="29" s="1"/>
  <c r="G2491" i="29"/>
  <c r="L2491" i="29" s="1"/>
  <c r="G2483" i="29"/>
  <c r="L2483" i="29" s="1"/>
  <c r="G2475" i="29"/>
  <c r="L2475" i="29" s="1"/>
  <c r="G2467" i="29"/>
  <c r="L2467" i="29" s="1"/>
  <c r="G2459" i="29"/>
  <c r="L2459" i="29" s="1"/>
  <c r="G2451" i="29"/>
  <c r="L2451" i="29" s="1"/>
  <c r="G2443" i="29"/>
  <c r="L2443" i="29" s="1"/>
  <c r="G2435" i="29"/>
  <c r="L2435" i="29" s="1"/>
  <c r="G2427" i="29"/>
  <c r="L2427" i="29" s="1"/>
  <c r="J2501" i="29"/>
  <c r="J2493" i="29"/>
  <c r="J2485" i="29"/>
  <c r="J2477" i="29"/>
  <c r="J2469" i="29"/>
  <c r="J2461" i="29"/>
  <c r="J2453" i="29"/>
  <c r="J2445" i="29"/>
  <c r="J2437" i="29"/>
  <c r="J2429" i="29"/>
  <c r="J2421" i="29"/>
  <c r="J2413" i="29"/>
  <c r="J2405" i="29"/>
  <c r="J2397" i="29"/>
  <c r="J2389" i="29"/>
  <c r="J2381" i="29"/>
  <c r="J2373" i="29"/>
  <c r="G2505" i="29"/>
  <c r="L2505" i="29" s="1"/>
  <c r="G2497" i="29"/>
  <c r="L2497" i="29" s="1"/>
  <c r="G2489" i="29"/>
  <c r="L2489" i="29" s="1"/>
  <c r="G2481" i="29"/>
  <c r="L2481" i="29" s="1"/>
  <c r="G2473" i="29"/>
  <c r="L2473" i="29" s="1"/>
  <c r="G2465" i="29"/>
  <c r="L2465" i="29" s="1"/>
  <c r="G2457" i="29"/>
  <c r="L2457" i="29" s="1"/>
  <c r="G2449" i="29"/>
  <c r="L2449" i="29" s="1"/>
  <c r="G2441" i="29"/>
  <c r="L2441" i="29" s="1"/>
  <c r="G2433" i="29"/>
  <c r="L2433" i="29" s="1"/>
  <c r="G2425" i="29"/>
  <c r="L2425" i="29" s="1"/>
  <c r="G2417" i="29"/>
  <c r="L2417" i="29" s="1"/>
  <c r="G2409" i="29"/>
  <c r="L2409" i="29" s="1"/>
  <c r="G2401" i="29"/>
  <c r="L2401" i="29" s="1"/>
  <c r="G2393" i="29"/>
  <c r="L2393" i="29" s="1"/>
  <c r="G2385" i="29"/>
  <c r="L2385" i="29" s="1"/>
  <c r="G2377" i="29"/>
  <c r="L2377" i="29" s="1"/>
  <c r="G2369" i="29"/>
  <c r="L2369" i="29" s="1"/>
  <c r="G2366" i="29"/>
  <c r="L2366" i="29" s="1"/>
  <c r="J2366" i="29"/>
  <c r="F3" i="3"/>
  <c r="G19" i="30" l="1"/>
  <c r="D13" i="3"/>
  <c r="J13" i="3"/>
  <c r="I12" i="3"/>
  <c r="G12" i="3"/>
  <c r="F12" i="3"/>
  <c r="J12" i="3"/>
  <c r="G13" i="3"/>
  <c r="E12" i="3"/>
  <c r="F13" i="3"/>
  <c r="D12" i="3"/>
  <c r="E13" i="3"/>
  <c r="H12" i="3"/>
  <c r="I13" i="3"/>
  <c r="H13" i="3"/>
  <c r="B48" i="11"/>
  <c r="J14" i="3" l="1"/>
  <c r="G10" i="30"/>
  <c r="AJ198" i="1"/>
  <c r="AJ197" i="1"/>
  <c r="AJ196" i="1"/>
  <c r="AJ195" i="1"/>
  <c r="AJ194" i="1"/>
  <c r="AJ193" i="1"/>
  <c r="AJ192" i="1"/>
  <c r="AJ191" i="1"/>
  <c r="AJ190" i="1"/>
  <c r="AJ189" i="1"/>
  <c r="AJ188" i="1"/>
  <c r="AJ187" i="1"/>
  <c r="AJ186" i="1"/>
  <c r="AJ185" i="1"/>
  <c r="AJ184" i="1"/>
  <c r="AJ183" i="1"/>
  <c r="AJ182" i="1"/>
  <c r="AJ181" i="1"/>
  <c r="AJ180" i="1"/>
  <c r="AJ179" i="1"/>
  <c r="AJ178" i="1"/>
  <c r="AJ177" i="1"/>
  <c r="AJ176" i="1"/>
  <c r="AJ175" i="1"/>
  <c r="AJ174" i="1"/>
  <c r="AJ173" i="1"/>
  <c r="AJ172" i="1"/>
  <c r="AJ171" i="1"/>
  <c r="AJ170" i="1"/>
  <c r="AJ169" i="1"/>
  <c r="AJ168" i="1"/>
  <c r="AJ167" i="1"/>
  <c r="AJ166" i="1"/>
  <c r="AJ165" i="1"/>
  <c r="AJ164" i="1"/>
  <c r="AJ163" i="1"/>
  <c r="AJ162" i="1"/>
  <c r="AJ161" i="1"/>
  <c r="AJ160" i="1"/>
  <c r="AJ159" i="1"/>
  <c r="AJ158" i="1"/>
  <c r="AJ157" i="1"/>
  <c r="AJ156" i="1"/>
  <c r="AJ155" i="1"/>
  <c r="AJ154" i="1"/>
  <c r="AJ153" i="1"/>
  <c r="AJ152" i="1"/>
  <c r="AJ151" i="1"/>
  <c r="AJ150" i="1"/>
  <c r="AJ149" i="1"/>
  <c r="AJ148" i="1"/>
  <c r="AJ147" i="1"/>
  <c r="AJ146" i="1"/>
  <c r="AJ145" i="1"/>
  <c r="AJ144" i="1"/>
  <c r="AJ143" i="1"/>
  <c r="AJ142" i="1"/>
  <c r="AJ141" i="1"/>
  <c r="AJ140" i="1"/>
  <c r="AJ139" i="1"/>
  <c r="AJ138" i="1"/>
  <c r="AJ137" i="1"/>
  <c r="AJ136" i="1"/>
  <c r="AJ135" i="1"/>
  <c r="AJ134" i="1"/>
  <c r="AJ133" i="1"/>
  <c r="AJ132" i="1"/>
  <c r="AJ131" i="1"/>
  <c r="AJ130" i="1"/>
  <c r="AJ129" i="1"/>
  <c r="AJ128" i="1"/>
  <c r="AJ127" i="1"/>
  <c r="AJ126" i="1"/>
  <c r="AJ125" i="1"/>
  <c r="AJ124" i="1"/>
  <c r="AJ123" i="1"/>
  <c r="AJ122" i="1"/>
  <c r="AJ121" i="1"/>
  <c r="AJ120" i="1"/>
  <c r="AJ119" i="1"/>
  <c r="AJ118" i="1"/>
  <c r="AJ117" i="1"/>
  <c r="AJ116" i="1"/>
  <c r="AJ115" i="1"/>
  <c r="AJ114" i="1"/>
  <c r="AJ113" i="1"/>
  <c r="AJ112" i="1"/>
  <c r="AJ111" i="1"/>
  <c r="AJ110" i="1"/>
  <c r="AJ109" i="1"/>
  <c r="AJ108" i="1"/>
  <c r="AJ107" i="1"/>
  <c r="AJ106" i="1"/>
  <c r="AJ105" i="1"/>
  <c r="AJ104" i="1"/>
  <c r="AJ103" i="1"/>
  <c r="AJ102" i="1"/>
  <c r="AJ101" i="1"/>
  <c r="AJ100" i="1"/>
  <c r="AJ99" i="1"/>
  <c r="AJ98" i="1"/>
  <c r="AJ97" i="1"/>
  <c r="AJ96" i="1"/>
  <c r="AJ95" i="1"/>
  <c r="AJ94" i="1"/>
  <c r="AJ93" i="1"/>
  <c r="AJ92" i="1"/>
  <c r="AJ91" i="1"/>
  <c r="AJ90" i="1"/>
  <c r="AJ89" i="1"/>
  <c r="AJ88" i="1"/>
  <c r="AJ87" i="1"/>
  <c r="AJ86" i="1"/>
  <c r="AJ85" i="1"/>
  <c r="AJ84" i="1"/>
  <c r="AJ83" i="1"/>
  <c r="AJ82" i="1"/>
  <c r="AJ81" i="1"/>
  <c r="AJ80" i="1"/>
  <c r="AJ79" i="1"/>
  <c r="AJ78" i="1"/>
  <c r="AJ77" i="1"/>
  <c r="AJ76" i="1"/>
  <c r="AJ75" i="1"/>
  <c r="AJ74" i="1"/>
  <c r="AJ73" i="1"/>
  <c r="AJ72" i="1"/>
  <c r="AJ71" i="1"/>
  <c r="AJ70" i="1"/>
  <c r="AJ69" i="1"/>
  <c r="AJ68" i="1"/>
  <c r="AJ67" i="1"/>
  <c r="AJ66" i="1"/>
  <c r="AJ65" i="1"/>
  <c r="AJ64" i="1"/>
  <c r="AJ63" i="1"/>
  <c r="AJ62" i="1"/>
  <c r="AJ61" i="1"/>
  <c r="AJ60" i="1"/>
  <c r="AJ59" i="1"/>
  <c r="AJ58" i="1"/>
  <c r="AJ57" i="1"/>
  <c r="AJ56" i="1"/>
  <c r="AJ55" i="1"/>
  <c r="AJ54" i="1"/>
  <c r="AJ53" i="1"/>
  <c r="AJ52" i="1"/>
  <c r="AJ51" i="1"/>
  <c r="AJ50" i="1"/>
  <c r="AJ49" i="1"/>
  <c r="AJ48" i="1"/>
  <c r="AJ47" i="1"/>
  <c r="AJ46" i="1"/>
  <c r="AJ45" i="1"/>
  <c r="AJ44" i="1"/>
  <c r="AJ43" i="1"/>
  <c r="AJ42" i="1"/>
  <c r="AJ41" i="1"/>
  <c r="AJ40" i="1"/>
  <c r="AJ39" i="1"/>
  <c r="AJ38" i="1"/>
  <c r="AJ37" i="1"/>
  <c r="AJ36" i="1"/>
  <c r="AJ35" i="1"/>
  <c r="AJ34" i="1"/>
  <c r="AJ33" i="1"/>
  <c r="AJ32" i="1"/>
  <c r="AJ31" i="1"/>
  <c r="AJ30" i="1"/>
  <c r="AJ29" i="1"/>
  <c r="AJ28" i="1"/>
  <c r="AJ27" i="1"/>
  <c r="AJ26" i="1"/>
  <c r="AJ25" i="1"/>
  <c r="AJ24" i="1"/>
  <c r="AJ23" i="1"/>
  <c r="AJ22" i="1"/>
  <c r="AJ21" i="1"/>
  <c r="AJ20" i="1"/>
  <c r="AJ19" i="1"/>
  <c r="AJ18" i="1"/>
  <c r="AJ17" i="1"/>
  <c r="AJ16" i="1"/>
  <c r="AJ15" i="1"/>
  <c r="AJ14" i="1"/>
  <c r="AJ13" i="1"/>
  <c r="AJ12" i="1"/>
  <c r="AJ11" i="1"/>
  <c r="AJ10" i="1"/>
  <c r="AJ9" i="1"/>
  <c r="AJ8" i="1"/>
  <c r="AJ7" i="1"/>
  <c r="AJ6" i="1"/>
  <c r="AJ5" i="1"/>
  <c r="AJ4" i="1"/>
  <c r="AJ3" i="1"/>
  <c r="AJ2" i="1"/>
  <c r="BI198" i="1"/>
  <c r="AX198" i="1"/>
  <c r="BI197" i="1"/>
  <c r="AX197" i="1"/>
  <c r="BI196" i="1"/>
  <c r="AX196" i="1"/>
  <c r="BI195" i="1"/>
  <c r="AX195" i="1"/>
  <c r="BI194" i="1"/>
  <c r="AX194" i="1"/>
  <c r="BI193" i="1"/>
  <c r="AX193" i="1"/>
  <c r="BI192" i="1"/>
  <c r="AX192" i="1"/>
  <c r="BI191" i="1"/>
  <c r="AX191" i="1"/>
  <c r="BI190" i="1"/>
  <c r="AX190" i="1"/>
  <c r="BI189" i="1"/>
  <c r="AX189" i="1"/>
  <c r="BI188" i="1"/>
  <c r="AX188" i="1"/>
  <c r="BI187" i="1"/>
  <c r="AX187" i="1"/>
  <c r="BI186" i="1"/>
  <c r="AX186" i="1"/>
  <c r="BI185" i="1"/>
  <c r="AX185" i="1"/>
  <c r="BI184" i="1"/>
  <c r="AX184" i="1"/>
  <c r="BI183" i="1"/>
  <c r="AX183" i="1"/>
  <c r="BI182" i="1"/>
  <c r="AX182" i="1"/>
  <c r="BI181" i="1"/>
  <c r="AX181" i="1"/>
  <c r="BI180" i="1"/>
  <c r="AX180" i="1"/>
  <c r="BI179" i="1"/>
  <c r="AX179" i="1"/>
  <c r="BI178" i="1"/>
  <c r="AX178" i="1"/>
  <c r="BI177" i="1"/>
  <c r="AX177" i="1"/>
  <c r="BI176" i="1"/>
  <c r="AX176" i="1"/>
  <c r="BI175" i="1"/>
  <c r="AX175" i="1"/>
  <c r="BI174" i="1"/>
  <c r="AX174" i="1"/>
  <c r="BI173" i="1"/>
  <c r="AX173" i="1"/>
  <c r="BI172" i="1"/>
  <c r="AX172" i="1"/>
  <c r="BI171" i="1"/>
  <c r="AX171" i="1"/>
  <c r="BI170" i="1"/>
  <c r="AX170" i="1"/>
  <c r="BI169" i="1"/>
  <c r="AX169" i="1"/>
  <c r="BI168" i="1"/>
  <c r="AX168" i="1"/>
  <c r="BI167" i="1"/>
  <c r="AX167" i="1"/>
  <c r="BI166" i="1"/>
  <c r="AX166" i="1"/>
  <c r="BI165" i="1"/>
  <c r="AX165" i="1"/>
  <c r="BI164" i="1"/>
  <c r="AX164" i="1"/>
  <c r="BI163" i="1"/>
  <c r="AX163" i="1"/>
  <c r="BI162" i="1"/>
  <c r="AX162" i="1"/>
  <c r="BI161" i="1"/>
  <c r="AX161" i="1"/>
  <c r="BI160" i="1"/>
  <c r="AX160" i="1"/>
  <c r="BI159" i="1"/>
  <c r="AX159" i="1"/>
  <c r="BI158" i="1"/>
  <c r="AX158" i="1"/>
  <c r="BI157" i="1"/>
  <c r="AX157" i="1"/>
  <c r="BI156" i="1"/>
  <c r="AX156" i="1"/>
  <c r="BI155" i="1"/>
  <c r="AX155" i="1"/>
  <c r="BI154" i="1"/>
  <c r="AX154" i="1"/>
  <c r="BI153" i="1"/>
  <c r="AX153" i="1"/>
  <c r="BI152" i="1"/>
  <c r="AX152" i="1"/>
  <c r="BI151" i="1"/>
  <c r="AX151" i="1"/>
  <c r="BI150" i="1"/>
  <c r="AX150" i="1"/>
  <c r="BI149" i="1"/>
  <c r="AX149" i="1"/>
  <c r="BI148" i="1"/>
  <c r="AX148" i="1"/>
  <c r="BI147" i="1"/>
  <c r="AX147" i="1"/>
  <c r="BI146" i="1"/>
  <c r="AX146" i="1"/>
  <c r="BI145" i="1"/>
  <c r="AX145" i="1"/>
  <c r="BI144" i="1"/>
  <c r="AX144" i="1"/>
  <c r="BI143" i="1"/>
  <c r="AX143" i="1"/>
  <c r="BI142" i="1"/>
  <c r="AX142" i="1"/>
  <c r="BI141" i="1"/>
  <c r="AX141" i="1"/>
  <c r="BI140" i="1"/>
  <c r="AX140" i="1"/>
  <c r="BI139" i="1"/>
  <c r="AX139" i="1"/>
  <c r="BI138" i="1"/>
  <c r="AX138" i="1"/>
  <c r="BI137" i="1"/>
  <c r="AX137" i="1"/>
  <c r="BI136" i="1"/>
  <c r="AX136" i="1"/>
  <c r="BI135" i="1"/>
  <c r="AX135" i="1"/>
  <c r="BI134" i="1"/>
  <c r="AX134" i="1"/>
  <c r="BI133" i="1"/>
  <c r="AX133" i="1"/>
  <c r="BI132" i="1"/>
  <c r="AX132" i="1"/>
  <c r="BI131" i="1"/>
  <c r="AX131" i="1"/>
  <c r="BI130" i="1"/>
  <c r="AX130" i="1"/>
  <c r="BI129" i="1"/>
  <c r="AX129" i="1"/>
  <c r="BI128" i="1"/>
  <c r="AX128" i="1"/>
  <c r="BI127" i="1"/>
  <c r="AX127" i="1"/>
  <c r="BI126" i="1"/>
  <c r="AX126" i="1"/>
  <c r="BI125" i="1"/>
  <c r="AX125" i="1"/>
  <c r="BI124" i="1"/>
  <c r="AX124" i="1"/>
  <c r="BI123" i="1"/>
  <c r="AX123" i="1"/>
  <c r="BI122" i="1"/>
  <c r="AX122" i="1"/>
  <c r="BI121" i="1"/>
  <c r="AX121" i="1"/>
  <c r="BI120" i="1"/>
  <c r="AX120" i="1"/>
  <c r="BI119" i="1"/>
  <c r="AX119" i="1"/>
  <c r="BI118" i="1"/>
  <c r="AX118" i="1"/>
  <c r="BI117" i="1"/>
  <c r="AX117" i="1"/>
  <c r="BI116" i="1"/>
  <c r="AX116" i="1"/>
  <c r="BI115" i="1"/>
  <c r="AX115" i="1"/>
  <c r="BI114" i="1"/>
  <c r="AX114" i="1"/>
  <c r="BI113" i="1"/>
  <c r="AX113" i="1"/>
  <c r="BI112" i="1"/>
  <c r="AX112" i="1"/>
  <c r="BI111" i="1"/>
  <c r="AX111" i="1"/>
  <c r="BI110" i="1"/>
  <c r="AX110" i="1"/>
  <c r="BI109" i="1"/>
  <c r="AX109" i="1"/>
  <c r="BI108" i="1"/>
  <c r="AX108" i="1"/>
  <c r="BI107" i="1"/>
  <c r="AX107" i="1"/>
  <c r="BI106" i="1"/>
  <c r="AX106" i="1"/>
  <c r="BI105" i="1"/>
  <c r="AX105" i="1"/>
  <c r="BI104" i="1"/>
  <c r="AX104" i="1"/>
  <c r="BI103" i="1"/>
  <c r="AX103" i="1"/>
  <c r="BI102" i="1"/>
  <c r="AX102" i="1"/>
  <c r="BI101" i="1"/>
  <c r="AX101" i="1"/>
  <c r="BI100" i="1"/>
  <c r="AX100" i="1"/>
  <c r="BI99" i="1"/>
  <c r="AX99" i="1"/>
  <c r="BI98" i="1"/>
  <c r="AX98" i="1"/>
  <c r="BI97" i="1"/>
  <c r="AX97" i="1"/>
  <c r="BI96" i="1"/>
  <c r="AX96" i="1"/>
  <c r="BI95" i="1"/>
  <c r="AX95" i="1"/>
  <c r="BI94" i="1"/>
  <c r="AX94" i="1"/>
  <c r="BI93" i="1"/>
  <c r="AX93" i="1"/>
  <c r="BI92" i="1"/>
  <c r="AX92" i="1"/>
  <c r="BI91" i="1"/>
  <c r="AX91" i="1"/>
  <c r="BI90" i="1"/>
  <c r="AX90" i="1"/>
  <c r="BI89" i="1"/>
  <c r="AX89" i="1"/>
  <c r="BI88" i="1"/>
  <c r="AX88" i="1"/>
  <c r="BI87" i="1"/>
  <c r="AX87" i="1"/>
  <c r="BI86" i="1"/>
  <c r="AX86" i="1"/>
  <c r="BI85" i="1"/>
  <c r="AX85" i="1"/>
  <c r="BI84" i="1"/>
  <c r="AX84" i="1"/>
  <c r="BI83" i="1"/>
  <c r="AX83" i="1"/>
  <c r="BI82" i="1"/>
  <c r="AX82" i="1"/>
  <c r="BI81" i="1"/>
  <c r="AX81" i="1"/>
  <c r="BI80" i="1"/>
  <c r="AX80" i="1"/>
  <c r="BI79" i="1"/>
  <c r="AX79" i="1"/>
  <c r="BI78" i="1"/>
  <c r="AX78" i="1"/>
  <c r="BI77" i="1"/>
  <c r="AX77" i="1"/>
  <c r="BI76" i="1"/>
  <c r="AX76" i="1"/>
  <c r="BI75" i="1"/>
  <c r="AX75" i="1"/>
  <c r="BI74" i="1"/>
  <c r="AX74" i="1"/>
  <c r="BI73" i="1"/>
  <c r="AX73" i="1"/>
  <c r="BI72" i="1"/>
  <c r="AX72" i="1"/>
  <c r="BI71" i="1"/>
  <c r="AX71" i="1"/>
  <c r="BI70" i="1"/>
  <c r="AX70" i="1"/>
  <c r="BI69" i="1"/>
  <c r="AX69" i="1"/>
  <c r="BI68" i="1"/>
  <c r="AX68" i="1"/>
  <c r="BI67" i="1"/>
  <c r="AX67" i="1"/>
  <c r="BI66" i="1"/>
  <c r="AX66" i="1"/>
  <c r="BI65" i="1"/>
  <c r="AX65" i="1"/>
  <c r="BI64" i="1"/>
  <c r="AX64" i="1"/>
  <c r="BI63" i="1"/>
  <c r="AX63" i="1"/>
  <c r="BI62" i="1"/>
  <c r="AX62" i="1"/>
  <c r="BI61" i="1"/>
  <c r="AX61" i="1"/>
  <c r="BI60" i="1"/>
  <c r="AX60" i="1"/>
  <c r="BI59" i="1"/>
  <c r="AX59" i="1"/>
  <c r="BI58" i="1"/>
  <c r="AX58" i="1"/>
  <c r="BI57" i="1"/>
  <c r="AX57" i="1"/>
  <c r="BI56" i="1"/>
  <c r="AX56" i="1"/>
  <c r="BI55" i="1"/>
  <c r="AX55" i="1"/>
  <c r="BI54" i="1"/>
  <c r="AX54" i="1"/>
  <c r="BI53" i="1"/>
  <c r="AX53" i="1"/>
  <c r="BI52" i="1"/>
  <c r="AX52" i="1"/>
  <c r="BI51" i="1"/>
  <c r="AX51" i="1"/>
  <c r="BI50" i="1"/>
  <c r="AX50" i="1"/>
  <c r="BI49" i="1"/>
  <c r="AX49" i="1"/>
  <c r="BI48" i="1"/>
  <c r="AX48" i="1"/>
  <c r="BI47" i="1"/>
  <c r="AX47" i="1"/>
  <c r="BI46" i="1"/>
  <c r="AX46" i="1"/>
  <c r="BI45" i="1"/>
  <c r="AX45" i="1"/>
  <c r="BI44" i="1"/>
  <c r="AX44" i="1"/>
  <c r="BI43" i="1"/>
  <c r="AX43" i="1"/>
  <c r="BI42" i="1"/>
  <c r="AX42" i="1"/>
  <c r="BI41" i="1"/>
  <c r="AX41" i="1"/>
  <c r="BI40" i="1"/>
  <c r="AX40" i="1"/>
  <c r="BI39" i="1"/>
  <c r="AX39" i="1"/>
  <c r="BI38" i="1"/>
  <c r="AX38" i="1"/>
  <c r="BI37" i="1"/>
  <c r="AX37" i="1"/>
  <c r="BI36" i="1"/>
  <c r="AX36" i="1"/>
  <c r="BI35" i="1"/>
  <c r="AX35" i="1"/>
  <c r="BI34" i="1"/>
  <c r="AX34" i="1"/>
  <c r="BI33" i="1"/>
  <c r="AX33" i="1"/>
  <c r="BI32" i="1"/>
  <c r="AX32" i="1"/>
  <c r="BI31" i="1"/>
  <c r="AX31" i="1"/>
  <c r="BI30" i="1"/>
  <c r="AX30" i="1"/>
  <c r="BI29" i="1"/>
  <c r="AX29" i="1"/>
  <c r="BI28" i="1"/>
  <c r="AX28" i="1"/>
  <c r="BI27" i="1"/>
  <c r="AX27" i="1"/>
  <c r="BI26" i="1"/>
  <c r="AX26" i="1"/>
  <c r="BI25" i="1"/>
  <c r="AX25" i="1"/>
  <c r="BI24" i="1"/>
  <c r="AX24" i="1"/>
  <c r="BI23" i="1"/>
  <c r="AX23" i="1"/>
  <c r="BI22" i="1"/>
  <c r="AX22" i="1"/>
  <c r="BI21" i="1"/>
  <c r="AX21" i="1"/>
  <c r="BI20" i="1"/>
  <c r="AX20" i="1"/>
  <c r="BI19" i="1"/>
  <c r="AX19" i="1"/>
  <c r="BI18" i="1"/>
  <c r="AX18" i="1"/>
  <c r="BI17" i="1"/>
  <c r="AX17" i="1"/>
  <c r="BI16" i="1"/>
  <c r="AX16" i="1"/>
  <c r="BI15" i="1"/>
  <c r="AX15" i="1"/>
  <c r="BI14" i="1"/>
  <c r="AX14" i="1"/>
  <c r="BI13" i="1"/>
  <c r="AX13" i="1"/>
  <c r="BI12" i="1"/>
  <c r="AX12" i="1"/>
  <c r="BI11" i="1"/>
  <c r="AX11" i="1"/>
  <c r="BI10" i="1"/>
  <c r="AX10" i="1"/>
  <c r="BI9" i="1"/>
  <c r="AX9" i="1"/>
  <c r="BI8" i="1"/>
  <c r="AX8" i="1"/>
  <c r="BI7" i="1"/>
  <c r="AX7" i="1"/>
  <c r="BI6" i="1"/>
  <c r="AX6" i="1"/>
  <c r="BI5" i="1"/>
  <c r="AX5" i="1"/>
  <c r="BI4" i="1"/>
  <c r="AX4" i="1"/>
  <c r="BI3" i="1"/>
  <c r="AX3" i="1"/>
  <c r="BI2" i="1"/>
  <c r="AX2" i="1"/>
  <c r="B24" i="17" l="1"/>
  <c r="B27" i="3"/>
  <c r="G11" i="30" l="1"/>
  <c r="H16" i="11" a="1"/>
  <c r="H16" i="11" s="1"/>
  <c r="I16" i="11" s="1"/>
  <c r="D12" i="11"/>
  <c r="C14" i="11" s="1"/>
  <c r="B31" i="17" a="1"/>
  <c r="B31" i="17" s="1"/>
  <c r="K3" i="3" l="1"/>
  <c r="K2" i="3"/>
  <c r="H7" i="30"/>
  <c r="H8" i="30"/>
  <c r="H9" i="30"/>
  <c r="H10" i="30"/>
  <c r="H11" i="30"/>
  <c r="V3" i="41"/>
  <c r="X3" i="41"/>
  <c r="V4" i="41"/>
  <c r="X4" i="41"/>
  <c r="V5" i="41"/>
  <c r="X5" i="41"/>
  <c r="V6" i="41"/>
  <c r="X6" i="41"/>
  <c r="V7" i="41"/>
  <c r="X7" i="41"/>
  <c r="V8" i="41"/>
  <c r="X8" i="41"/>
  <c r="V9" i="41"/>
  <c r="X9" i="41"/>
  <c r="V10" i="41"/>
  <c r="X10" i="41"/>
  <c r="V11" i="41"/>
  <c r="X11" i="41"/>
  <c r="V12" i="41"/>
  <c r="X12" i="41"/>
  <c r="V13" i="41"/>
  <c r="X13" i="41"/>
  <c r="V14" i="41"/>
  <c r="X14" i="41"/>
  <c r="V15" i="41"/>
  <c r="X15" i="41"/>
  <c r="V16" i="41"/>
  <c r="X16" i="41"/>
  <c r="V17" i="41"/>
  <c r="X17" i="41"/>
  <c r="V18" i="41"/>
  <c r="X18" i="41"/>
  <c r="V19" i="41"/>
  <c r="X19" i="41"/>
  <c r="V20" i="41"/>
  <c r="X20" i="41"/>
  <c r="V21" i="41"/>
  <c r="X21" i="41"/>
  <c r="V22" i="41"/>
  <c r="X22" i="41"/>
  <c r="V23" i="41"/>
  <c r="X23" i="41"/>
  <c r="V24" i="41"/>
  <c r="X24" i="41"/>
  <c r="V25" i="41"/>
  <c r="X25" i="41"/>
  <c r="V26" i="41"/>
  <c r="X26" i="41"/>
  <c r="V27" i="41"/>
  <c r="X27" i="41"/>
  <c r="V28" i="41"/>
  <c r="X28" i="41"/>
  <c r="V29" i="41"/>
  <c r="X29" i="41"/>
  <c r="V30" i="41"/>
  <c r="X30" i="41"/>
  <c r="V31" i="41"/>
  <c r="X31" i="41"/>
  <c r="V32" i="41"/>
  <c r="X32" i="41"/>
  <c r="V33" i="41"/>
  <c r="X33" i="41"/>
  <c r="V34" i="41"/>
  <c r="X34" i="41"/>
  <c r="V35" i="41"/>
  <c r="X35" i="41"/>
  <c r="V36" i="41"/>
  <c r="X36" i="41"/>
  <c r="V37" i="41"/>
  <c r="X37" i="41"/>
  <c r="V38" i="41"/>
  <c r="X38" i="41"/>
  <c r="V39" i="41"/>
  <c r="X39" i="41"/>
  <c r="V40" i="41"/>
  <c r="X40" i="41"/>
  <c r="V41" i="41"/>
  <c r="X41" i="41"/>
  <c r="V42" i="41"/>
  <c r="X42" i="41"/>
  <c r="V43" i="41"/>
  <c r="X43" i="41"/>
  <c r="V44" i="41"/>
  <c r="X44" i="41"/>
  <c r="V45" i="41"/>
  <c r="X45" i="41"/>
  <c r="V46" i="41"/>
  <c r="X46" i="41"/>
  <c r="V47" i="41"/>
  <c r="X47" i="41"/>
  <c r="V48" i="41"/>
  <c r="X48" i="41"/>
  <c r="V49" i="41"/>
  <c r="X49" i="41"/>
  <c r="V50" i="41"/>
  <c r="X50" i="41"/>
  <c r="V51" i="41"/>
  <c r="X51" i="41"/>
  <c r="V52" i="41"/>
  <c r="X52" i="41"/>
  <c r="V53" i="41"/>
  <c r="X53" i="41"/>
  <c r="V54" i="41"/>
  <c r="X54" i="41"/>
  <c r="V55" i="41"/>
  <c r="X55" i="41"/>
  <c r="V56" i="41"/>
  <c r="X56" i="41"/>
  <c r="V57" i="41"/>
  <c r="X57" i="41"/>
  <c r="V58" i="41"/>
  <c r="X58" i="41"/>
  <c r="V59" i="41"/>
  <c r="X59" i="41"/>
  <c r="V60" i="41"/>
  <c r="X60" i="41"/>
  <c r="V61" i="41"/>
  <c r="X61" i="41"/>
  <c r="V62" i="41"/>
  <c r="X62" i="41"/>
  <c r="V63" i="41"/>
  <c r="X63" i="41"/>
  <c r="V64" i="41"/>
  <c r="X64" i="41"/>
  <c r="V65" i="41"/>
  <c r="X65" i="41"/>
  <c r="V66" i="41"/>
  <c r="X66" i="41"/>
  <c r="V67" i="41"/>
  <c r="X67" i="41"/>
  <c r="V68" i="41"/>
  <c r="X68" i="41"/>
  <c r="V69" i="41"/>
  <c r="X69" i="41"/>
  <c r="V70" i="41"/>
  <c r="X70" i="41"/>
  <c r="V71" i="41"/>
  <c r="X71" i="41"/>
  <c r="V72" i="41"/>
  <c r="X72" i="41"/>
  <c r="V73" i="41"/>
  <c r="X73" i="41"/>
  <c r="V74" i="41"/>
  <c r="X74" i="41"/>
  <c r="V75" i="41"/>
  <c r="X75" i="41"/>
  <c r="V76" i="41"/>
  <c r="X76" i="41"/>
  <c r="V77" i="41"/>
  <c r="X77" i="41"/>
  <c r="V78" i="41"/>
  <c r="X78" i="41"/>
  <c r="V79" i="41"/>
  <c r="X79" i="41"/>
  <c r="V80" i="41"/>
  <c r="X80" i="41"/>
  <c r="V81" i="41"/>
  <c r="X81" i="41"/>
  <c r="V82" i="41"/>
  <c r="X82" i="41"/>
  <c r="V83" i="41"/>
  <c r="X83" i="41"/>
  <c r="V84" i="41"/>
  <c r="X84" i="41"/>
  <c r="V85" i="41"/>
  <c r="X85" i="41"/>
  <c r="V86" i="41"/>
  <c r="X86" i="41"/>
  <c r="V87" i="41"/>
  <c r="X87" i="41"/>
  <c r="V88" i="41"/>
  <c r="X88" i="41"/>
  <c r="V89" i="41"/>
  <c r="X89" i="41"/>
  <c r="V90" i="41"/>
  <c r="X90" i="41"/>
  <c r="V91" i="41"/>
  <c r="X91" i="41"/>
  <c r="V92" i="41"/>
  <c r="X92" i="41"/>
  <c r="V93" i="41"/>
  <c r="X93" i="41"/>
  <c r="V94" i="41"/>
  <c r="X94" i="41"/>
  <c r="V95" i="41"/>
  <c r="X95" i="41"/>
  <c r="V96" i="41"/>
  <c r="X96" i="41"/>
  <c r="V97" i="41"/>
  <c r="X97" i="41"/>
  <c r="V98" i="41"/>
  <c r="X98" i="41"/>
  <c r="V99" i="41"/>
  <c r="X99" i="41"/>
  <c r="V100" i="41"/>
  <c r="X100" i="41"/>
  <c r="V101" i="41"/>
  <c r="X101" i="41"/>
  <c r="V102" i="41"/>
  <c r="X102" i="41"/>
  <c r="V103" i="41"/>
  <c r="X103" i="41"/>
  <c r="V104" i="41"/>
  <c r="X104" i="41"/>
  <c r="V105" i="41"/>
  <c r="X105" i="41"/>
  <c r="V106" i="41"/>
  <c r="X106" i="41"/>
  <c r="V107" i="41"/>
  <c r="X107" i="41"/>
  <c r="V108" i="41"/>
  <c r="X108" i="41"/>
  <c r="V109" i="41"/>
  <c r="X109" i="41"/>
  <c r="V110" i="41"/>
  <c r="X110" i="41"/>
  <c r="V111" i="41"/>
  <c r="X111" i="41"/>
  <c r="V112" i="41"/>
  <c r="X112" i="41"/>
  <c r="V113" i="41"/>
  <c r="X113" i="41"/>
  <c r="V114" i="41"/>
  <c r="X114" i="41"/>
  <c r="V115" i="41"/>
  <c r="X115" i="41"/>
  <c r="V116" i="41"/>
  <c r="X116" i="41"/>
  <c r="V117" i="41"/>
  <c r="X117" i="41"/>
  <c r="V118" i="41"/>
  <c r="X118" i="41"/>
  <c r="V119" i="41"/>
  <c r="X119" i="41"/>
  <c r="V120" i="41"/>
  <c r="X120" i="41"/>
  <c r="V121" i="41"/>
  <c r="X121" i="41"/>
  <c r="V122" i="41"/>
  <c r="X122" i="41"/>
  <c r="V123" i="41"/>
  <c r="X123" i="41"/>
  <c r="V124" i="41"/>
  <c r="X124" i="41"/>
  <c r="V125" i="41"/>
  <c r="X125" i="41"/>
  <c r="V126" i="41"/>
  <c r="X126" i="41"/>
  <c r="V127" i="41"/>
  <c r="X127" i="41"/>
  <c r="V128" i="41"/>
  <c r="X128" i="41"/>
  <c r="V129" i="41"/>
  <c r="X129" i="41"/>
  <c r="V130" i="41"/>
  <c r="X130" i="41"/>
  <c r="V131" i="41"/>
  <c r="X131" i="41"/>
  <c r="V132" i="41"/>
  <c r="X132" i="41"/>
  <c r="V133" i="41"/>
  <c r="X133" i="41"/>
  <c r="V134" i="41"/>
  <c r="X134" i="41"/>
  <c r="V135" i="41"/>
  <c r="X135" i="41"/>
  <c r="V136" i="41"/>
  <c r="X136" i="41"/>
  <c r="V137" i="41"/>
  <c r="X137" i="41"/>
  <c r="V138" i="41"/>
  <c r="X138" i="41"/>
  <c r="V139" i="41"/>
  <c r="X139" i="41"/>
  <c r="V140" i="41"/>
  <c r="X140" i="41"/>
  <c r="V141" i="41"/>
  <c r="X141" i="41"/>
  <c r="V142" i="41"/>
  <c r="X142" i="41"/>
  <c r="V143" i="41"/>
  <c r="X143" i="41"/>
  <c r="V144" i="41"/>
  <c r="X144" i="41"/>
  <c r="V145" i="41"/>
  <c r="X145" i="41"/>
  <c r="V146" i="41"/>
  <c r="X146" i="41"/>
  <c r="V147" i="41"/>
  <c r="X147" i="41"/>
  <c r="V148" i="41"/>
  <c r="X148" i="41"/>
  <c r="V149" i="41"/>
  <c r="X149" i="41"/>
  <c r="V150" i="41"/>
  <c r="X150" i="41"/>
  <c r="V151" i="41"/>
  <c r="X151" i="41"/>
  <c r="V152" i="41"/>
  <c r="X152" i="41"/>
  <c r="V153" i="41"/>
  <c r="X153" i="41"/>
  <c r="V154" i="41"/>
  <c r="X154" i="41"/>
  <c r="V155" i="41"/>
  <c r="X155" i="41"/>
  <c r="V156" i="41"/>
  <c r="X156" i="41"/>
  <c r="V157" i="41"/>
  <c r="X157" i="41"/>
  <c r="V158" i="41"/>
  <c r="X158" i="41"/>
  <c r="V159" i="41"/>
  <c r="X159" i="41"/>
  <c r="V160" i="41"/>
  <c r="X160" i="41"/>
  <c r="V161" i="41"/>
  <c r="X161" i="41"/>
  <c r="V162" i="41"/>
  <c r="X162" i="41"/>
  <c r="V163" i="41"/>
  <c r="X163" i="41"/>
  <c r="V164" i="41"/>
  <c r="X164" i="41"/>
  <c r="V165" i="41"/>
  <c r="X165" i="41"/>
  <c r="V166" i="41"/>
  <c r="X166" i="41"/>
  <c r="V167" i="41"/>
  <c r="X167" i="41"/>
  <c r="V168" i="41"/>
  <c r="X168" i="41"/>
  <c r="V169" i="41"/>
  <c r="X169" i="41"/>
  <c r="V170" i="41"/>
  <c r="X170" i="41"/>
  <c r="V171" i="41"/>
  <c r="X171" i="41"/>
  <c r="V172" i="41"/>
  <c r="X172" i="41"/>
  <c r="V173" i="41"/>
  <c r="X173" i="41"/>
  <c r="V174" i="41"/>
  <c r="X174" i="41"/>
  <c r="V175" i="41"/>
  <c r="X175" i="41"/>
  <c r="V176" i="41"/>
  <c r="X176" i="41"/>
  <c r="V177" i="41"/>
  <c r="X177" i="41"/>
  <c r="V178" i="41"/>
  <c r="X178" i="41"/>
  <c r="V179" i="41"/>
  <c r="X179" i="41"/>
  <c r="V180" i="41"/>
  <c r="X180" i="41"/>
  <c r="V181" i="41"/>
  <c r="X181" i="41"/>
  <c r="V182" i="41"/>
  <c r="X182" i="41"/>
  <c r="V183" i="41"/>
  <c r="X183" i="41"/>
  <c r="V184" i="41"/>
  <c r="X184" i="41"/>
  <c r="V185" i="41"/>
  <c r="X185" i="41"/>
  <c r="V186" i="41"/>
  <c r="X186" i="41"/>
  <c r="V187" i="41"/>
  <c r="X187" i="41"/>
  <c r="V188" i="41"/>
  <c r="X188" i="41"/>
  <c r="V189" i="41"/>
  <c r="X189" i="41"/>
  <c r="V190" i="41"/>
  <c r="X190" i="41"/>
  <c r="V191" i="41"/>
  <c r="X191" i="41"/>
  <c r="V192" i="41"/>
  <c r="X192" i="41"/>
  <c r="V193" i="41"/>
  <c r="X193" i="41"/>
  <c r="V194" i="41"/>
  <c r="X194" i="41"/>
  <c r="V195" i="41"/>
  <c r="X195" i="41"/>
  <c r="V196" i="41"/>
  <c r="X196" i="41"/>
  <c r="V197" i="41"/>
  <c r="X197" i="41"/>
  <c r="V198" i="41"/>
  <c r="X198" i="41"/>
  <c r="X2" i="41"/>
  <c r="V2" i="41"/>
  <c r="Q2365" i="40"/>
  <c r="K2365" i="40"/>
  <c r="J2365" i="40"/>
  <c r="G2365" i="40"/>
  <c r="L2365" i="40" s="1"/>
  <c r="Q2364" i="40"/>
  <c r="K2364" i="40"/>
  <c r="J2364" i="40"/>
  <c r="G2364" i="40"/>
  <c r="L2364" i="40" s="1"/>
  <c r="Q2363" i="40"/>
  <c r="K2363" i="40"/>
  <c r="J2363" i="40"/>
  <c r="G2363" i="40"/>
  <c r="L2363" i="40" s="1"/>
  <c r="Q2362" i="40"/>
  <c r="K2362" i="40"/>
  <c r="J2362" i="40"/>
  <c r="G2362" i="40"/>
  <c r="L2362" i="40" s="1"/>
  <c r="Q2361" i="40"/>
  <c r="K2361" i="40"/>
  <c r="J2361" i="40"/>
  <c r="G2361" i="40"/>
  <c r="L2361" i="40" s="1"/>
  <c r="Q2360" i="40"/>
  <c r="K2360" i="40"/>
  <c r="J2360" i="40"/>
  <c r="G2360" i="40"/>
  <c r="L2360" i="40" s="1"/>
  <c r="Q2359" i="40"/>
  <c r="K2359" i="40"/>
  <c r="J2359" i="40"/>
  <c r="G2359" i="40"/>
  <c r="L2359" i="40" s="1"/>
  <c r="Q2358" i="40"/>
  <c r="K2358" i="40"/>
  <c r="J2358" i="40"/>
  <c r="G2358" i="40"/>
  <c r="L2358" i="40" s="1"/>
  <c r="Q2357" i="40"/>
  <c r="K2357" i="40"/>
  <c r="J2357" i="40"/>
  <c r="G2357" i="40"/>
  <c r="L2357" i="40" s="1"/>
  <c r="Q2356" i="40"/>
  <c r="K2356" i="40"/>
  <c r="J2356" i="40"/>
  <c r="G2356" i="40"/>
  <c r="L2356" i="40" s="1"/>
  <c r="Q2355" i="40"/>
  <c r="L2355" i="40"/>
  <c r="K2355" i="40"/>
  <c r="J2355" i="40"/>
  <c r="G2355" i="40"/>
  <c r="Q2354" i="40"/>
  <c r="K2354" i="40"/>
  <c r="J2354" i="40"/>
  <c r="G2354" i="40"/>
  <c r="L2354" i="40" s="1"/>
  <c r="Q2353" i="40"/>
  <c r="K2353" i="40"/>
  <c r="J2353" i="40"/>
  <c r="G2353" i="40"/>
  <c r="L2353" i="40" s="1"/>
  <c r="Q2352" i="40"/>
  <c r="K2352" i="40"/>
  <c r="J2352" i="40"/>
  <c r="G2352" i="40"/>
  <c r="L2352" i="40" s="1"/>
  <c r="Q2351" i="40"/>
  <c r="K2351" i="40"/>
  <c r="J2351" i="40"/>
  <c r="G2351" i="40"/>
  <c r="L2351" i="40" s="1"/>
  <c r="Q2350" i="40"/>
  <c r="K2350" i="40"/>
  <c r="J2350" i="40"/>
  <c r="G2350" i="40"/>
  <c r="L2350" i="40" s="1"/>
  <c r="Q2349" i="40"/>
  <c r="K2349" i="40"/>
  <c r="J2349" i="40"/>
  <c r="G2349" i="40"/>
  <c r="L2349" i="40" s="1"/>
  <c r="Q2348" i="40"/>
  <c r="K2348" i="40"/>
  <c r="J2348" i="40"/>
  <c r="G2348" i="40"/>
  <c r="L2348" i="40" s="1"/>
  <c r="Q2347" i="40"/>
  <c r="K2347" i="40"/>
  <c r="J2347" i="40"/>
  <c r="G2347" i="40"/>
  <c r="L2347" i="40" s="1"/>
  <c r="Q2346" i="40"/>
  <c r="K2346" i="40"/>
  <c r="J2346" i="40"/>
  <c r="G2346" i="40"/>
  <c r="L2346" i="40" s="1"/>
  <c r="Q2345" i="40"/>
  <c r="K2345" i="40"/>
  <c r="J2345" i="40"/>
  <c r="G2345" i="40"/>
  <c r="L2345" i="40" s="1"/>
  <c r="Q2344" i="40"/>
  <c r="K2344" i="40"/>
  <c r="J2344" i="40"/>
  <c r="G2344" i="40"/>
  <c r="L2344" i="40" s="1"/>
  <c r="Q2343" i="40"/>
  <c r="K2343" i="40"/>
  <c r="J2343" i="40"/>
  <c r="G2343" i="40"/>
  <c r="L2343" i="40" s="1"/>
  <c r="Q2342" i="40"/>
  <c r="K2342" i="40"/>
  <c r="J2342" i="40"/>
  <c r="G2342" i="40"/>
  <c r="L2342" i="40" s="1"/>
  <c r="Q2341" i="40"/>
  <c r="K2341" i="40"/>
  <c r="J2341" i="40"/>
  <c r="G2341" i="40"/>
  <c r="L2341" i="40" s="1"/>
  <c r="Q2340" i="40"/>
  <c r="K2340" i="40"/>
  <c r="J2340" i="40"/>
  <c r="G2340" i="40"/>
  <c r="L2340" i="40" s="1"/>
  <c r="Q2339" i="40"/>
  <c r="K2339" i="40"/>
  <c r="J2339" i="40"/>
  <c r="G2339" i="40"/>
  <c r="L2339" i="40" s="1"/>
  <c r="Q2338" i="40"/>
  <c r="L2338" i="40"/>
  <c r="K2338" i="40"/>
  <c r="J2338" i="40"/>
  <c r="G2338" i="40"/>
  <c r="Q2337" i="40"/>
  <c r="K2337" i="40"/>
  <c r="J2337" i="40"/>
  <c r="G2337" i="40"/>
  <c r="L2337" i="40" s="1"/>
  <c r="Q2336" i="40"/>
  <c r="K2336" i="40"/>
  <c r="J2336" i="40"/>
  <c r="G2336" i="40"/>
  <c r="L2336" i="40" s="1"/>
  <c r="Q2335" i="40"/>
  <c r="K2335" i="40"/>
  <c r="J2335" i="40"/>
  <c r="G2335" i="40"/>
  <c r="L2335" i="40" s="1"/>
  <c r="Q2334" i="40"/>
  <c r="K2334" i="40"/>
  <c r="J2334" i="40"/>
  <c r="G2334" i="40"/>
  <c r="L2334" i="40" s="1"/>
  <c r="Q2333" i="40"/>
  <c r="L2333" i="40"/>
  <c r="K2333" i="40"/>
  <c r="J2333" i="40"/>
  <c r="G2333" i="40"/>
  <c r="Q2332" i="40"/>
  <c r="K2332" i="40"/>
  <c r="J2332" i="40"/>
  <c r="G2332" i="40"/>
  <c r="L2332" i="40" s="1"/>
  <c r="Q2331" i="40"/>
  <c r="K2331" i="40"/>
  <c r="J2331" i="40"/>
  <c r="G2331" i="40"/>
  <c r="L2331" i="40" s="1"/>
  <c r="Q2330" i="40"/>
  <c r="K2330" i="40"/>
  <c r="J2330" i="40"/>
  <c r="G2330" i="40"/>
  <c r="L2330" i="40" s="1"/>
  <c r="Q2329" i="40"/>
  <c r="K2329" i="40"/>
  <c r="J2329" i="40"/>
  <c r="G2329" i="40"/>
  <c r="L2329" i="40" s="1"/>
  <c r="Q2328" i="40"/>
  <c r="K2328" i="40"/>
  <c r="J2328" i="40"/>
  <c r="G2328" i="40"/>
  <c r="L2328" i="40" s="1"/>
  <c r="Q2327" i="40"/>
  <c r="K2327" i="40"/>
  <c r="J2327" i="40"/>
  <c r="G2327" i="40"/>
  <c r="L2327" i="40" s="1"/>
  <c r="Q2326" i="40"/>
  <c r="K2326" i="40"/>
  <c r="J2326" i="40"/>
  <c r="G2326" i="40"/>
  <c r="L2326" i="40" s="1"/>
  <c r="Q2325" i="40"/>
  <c r="K2325" i="40"/>
  <c r="J2325" i="40"/>
  <c r="G2325" i="40"/>
  <c r="L2325" i="40" s="1"/>
  <c r="Q2324" i="40"/>
  <c r="K2324" i="40"/>
  <c r="J2324" i="40"/>
  <c r="G2324" i="40"/>
  <c r="L2324" i="40" s="1"/>
  <c r="Q2323" i="40"/>
  <c r="K2323" i="40"/>
  <c r="J2323" i="40"/>
  <c r="G2323" i="40"/>
  <c r="L2323" i="40" s="1"/>
  <c r="Q2322" i="40"/>
  <c r="K2322" i="40"/>
  <c r="J2322" i="40"/>
  <c r="G2322" i="40"/>
  <c r="L2322" i="40" s="1"/>
  <c r="N2322" i="40" s="1"/>
  <c r="Q2321" i="40"/>
  <c r="K2321" i="40"/>
  <c r="J2321" i="40"/>
  <c r="G2321" i="40"/>
  <c r="L2321" i="40" s="1"/>
  <c r="Q2320" i="40"/>
  <c r="K2320" i="40"/>
  <c r="J2320" i="40"/>
  <c r="G2320" i="40"/>
  <c r="L2320" i="40" s="1"/>
  <c r="Q2319" i="40"/>
  <c r="K2319" i="40"/>
  <c r="J2319" i="40"/>
  <c r="G2319" i="40"/>
  <c r="L2319" i="40" s="1"/>
  <c r="Q2318" i="40"/>
  <c r="L2318" i="40"/>
  <c r="K2318" i="40"/>
  <c r="J2318" i="40"/>
  <c r="G2318" i="40"/>
  <c r="Q2317" i="40"/>
  <c r="K2317" i="40"/>
  <c r="J2317" i="40"/>
  <c r="G2317" i="40"/>
  <c r="L2317" i="40" s="1"/>
  <c r="Q2316" i="40"/>
  <c r="K2316" i="40"/>
  <c r="J2316" i="40"/>
  <c r="G2316" i="40"/>
  <c r="L2316" i="40" s="1"/>
  <c r="Q2315" i="40"/>
  <c r="K2315" i="40"/>
  <c r="J2315" i="40"/>
  <c r="G2315" i="40"/>
  <c r="L2315" i="40" s="1"/>
  <c r="Q2314" i="40"/>
  <c r="K2314" i="40"/>
  <c r="J2314" i="40"/>
  <c r="G2314" i="40"/>
  <c r="L2314" i="40" s="1"/>
  <c r="Q2313" i="40"/>
  <c r="K2313" i="40"/>
  <c r="J2313" i="40"/>
  <c r="G2313" i="40"/>
  <c r="L2313" i="40" s="1"/>
  <c r="Q2312" i="40"/>
  <c r="K2312" i="40"/>
  <c r="J2312" i="40"/>
  <c r="G2312" i="40"/>
  <c r="L2312" i="40" s="1"/>
  <c r="Q2311" i="40"/>
  <c r="K2311" i="40"/>
  <c r="J2311" i="40"/>
  <c r="G2311" i="40"/>
  <c r="L2311" i="40" s="1"/>
  <c r="Q2310" i="40"/>
  <c r="K2310" i="40"/>
  <c r="J2310" i="40"/>
  <c r="G2310" i="40"/>
  <c r="L2310" i="40" s="1"/>
  <c r="Q2309" i="40"/>
  <c r="K2309" i="40"/>
  <c r="J2309" i="40"/>
  <c r="G2309" i="40"/>
  <c r="L2309" i="40" s="1"/>
  <c r="Q2308" i="40"/>
  <c r="K2308" i="40"/>
  <c r="J2308" i="40"/>
  <c r="G2308" i="40"/>
  <c r="L2308" i="40" s="1"/>
  <c r="Q2307" i="40"/>
  <c r="K2307" i="40"/>
  <c r="J2307" i="40"/>
  <c r="G2307" i="40"/>
  <c r="L2307" i="40" s="1"/>
  <c r="Q2306" i="40"/>
  <c r="L2306" i="40"/>
  <c r="K2306" i="40"/>
  <c r="J2306" i="40"/>
  <c r="G2306" i="40"/>
  <c r="Q2305" i="40"/>
  <c r="K2305" i="40"/>
  <c r="J2305" i="40"/>
  <c r="G2305" i="40"/>
  <c r="L2305" i="40" s="1"/>
  <c r="Q2304" i="40"/>
  <c r="K2304" i="40"/>
  <c r="J2304" i="40"/>
  <c r="G2304" i="40"/>
  <c r="L2304" i="40" s="1"/>
  <c r="Q2303" i="40"/>
  <c r="K2303" i="40"/>
  <c r="J2303" i="40"/>
  <c r="G2303" i="40"/>
  <c r="L2303" i="40" s="1"/>
  <c r="Q2302" i="40"/>
  <c r="L2302" i="40"/>
  <c r="K2302" i="40"/>
  <c r="J2302" i="40"/>
  <c r="G2302" i="40"/>
  <c r="Q2301" i="40"/>
  <c r="K2301" i="40"/>
  <c r="J2301" i="40"/>
  <c r="G2301" i="40"/>
  <c r="L2301" i="40" s="1"/>
  <c r="Q2300" i="40"/>
  <c r="L2300" i="40"/>
  <c r="K2300" i="40"/>
  <c r="J2300" i="40"/>
  <c r="G2300" i="40"/>
  <c r="Q2299" i="40"/>
  <c r="K2299" i="40"/>
  <c r="J2299" i="40"/>
  <c r="G2299" i="40"/>
  <c r="L2299" i="40" s="1"/>
  <c r="Q2298" i="40"/>
  <c r="K2298" i="40"/>
  <c r="J2298" i="40"/>
  <c r="G2298" i="40"/>
  <c r="L2298" i="40" s="1"/>
  <c r="Q2297" i="40"/>
  <c r="K2297" i="40"/>
  <c r="J2297" i="40"/>
  <c r="G2297" i="40"/>
  <c r="L2297" i="40" s="1"/>
  <c r="Q2296" i="40"/>
  <c r="K2296" i="40"/>
  <c r="J2296" i="40"/>
  <c r="G2296" i="40"/>
  <c r="L2296" i="40" s="1"/>
  <c r="Q2295" i="40"/>
  <c r="K2295" i="40"/>
  <c r="J2295" i="40"/>
  <c r="G2295" i="40"/>
  <c r="L2295" i="40" s="1"/>
  <c r="Q2294" i="40"/>
  <c r="K2294" i="40"/>
  <c r="J2294" i="40"/>
  <c r="G2294" i="40"/>
  <c r="L2294" i="40" s="1"/>
  <c r="Q2293" i="40"/>
  <c r="K2293" i="40"/>
  <c r="J2293" i="40"/>
  <c r="G2293" i="40"/>
  <c r="L2293" i="40" s="1"/>
  <c r="Q2292" i="40"/>
  <c r="K2292" i="40"/>
  <c r="J2292" i="40"/>
  <c r="G2292" i="40"/>
  <c r="L2292" i="40" s="1"/>
  <c r="Q2291" i="40"/>
  <c r="K2291" i="40"/>
  <c r="J2291" i="40"/>
  <c r="G2291" i="40"/>
  <c r="L2291" i="40" s="1"/>
  <c r="Q2290" i="40"/>
  <c r="K2290" i="40"/>
  <c r="J2290" i="40"/>
  <c r="G2290" i="40"/>
  <c r="L2290" i="40" s="1"/>
  <c r="Q2289" i="40"/>
  <c r="K2289" i="40"/>
  <c r="J2289" i="40"/>
  <c r="G2289" i="40"/>
  <c r="L2289" i="40" s="1"/>
  <c r="Q2288" i="40"/>
  <c r="K2288" i="40"/>
  <c r="J2288" i="40"/>
  <c r="G2288" i="40"/>
  <c r="L2288" i="40" s="1"/>
  <c r="Q2287" i="40"/>
  <c r="K2287" i="40"/>
  <c r="J2287" i="40"/>
  <c r="G2287" i="40"/>
  <c r="L2287" i="40" s="1"/>
  <c r="Q2286" i="40"/>
  <c r="K2286" i="40"/>
  <c r="J2286" i="40"/>
  <c r="G2286" i="40"/>
  <c r="L2286" i="40" s="1"/>
  <c r="Q2285" i="40"/>
  <c r="K2285" i="40"/>
  <c r="J2285" i="40"/>
  <c r="G2285" i="40"/>
  <c r="L2285" i="40" s="1"/>
  <c r="Q2284" i="40"/>
  <c r="K2284" i="40"/>
  <c r="J2284" i="40"/>
  <c r="G2284" i="40"/>
  <c r="L2284" i="40" s="1"/>
  <c r="Q2283" i="40"/>
  <c r="K2283" i="40"/>
  <c r="J2283" i="40"/>
  <c r="G2283" i="40"/>
  <c r="L2283" i="40" s="1"/>
  <c r="Q2282" i="40"/>
  <c r="K2282" i="40"/>
  <c r="J2282" i="40"/>
  <c r="G2282" i="40"/>
  <c r="L2282" i="40" s="1"/>
  <c r="Q2281" i="40"/>
  <c r="K2281" i="40"/>
  <c r="J2281" i="40"/>
  <c r="G2281" i="40"/>
  <c r="L2281" i="40" s="1"/>
  <c r="Q2280" i="40"/>
  <c r="K2280" i="40"/>
  <c r="J2280" i="40"/>
  <c r="G2280" i="40"/>
  <c r="L2280" i="40" s="1"/>
  <c r="Q2279" i="40"/>
  <c r="K2279" i="40"/>
  <c r="J2279" i="40"/>
  <c r="G2279" i="40"/>
  <c r="L2279" i="40" s="1"/>
  <c r="Q2278" i="40"/>
  <c r="K2278" i="40"/>
  <c r="J2278" i="40"/>
  <c r="G2278" i="40"/>
  <c r="L2278" i="40" s="1"/>
  <c r="Q2277" i="40"/>
  <c r="K2277" i="40"/>
  <c r="J2277" i="40"/>
  <c r="G2277" i="40"/>
  <c r="L2277" i="40" s="1"/>
  <c r="Q2276" i="40"/>
  <c r="K2276" i="40"/>
  <c r="J2276" i="40"/>
  <c r="G2276" i="40"/>
  <c r="L2276" i="40" s="1"/>
  <c r="Q2275" i="40"/>
  <c r="K2275" i="40"/>
  <c r="J2275" i="40"/>
  <c r="G2275" i="40"/>
  <c r="L2275" i="40" s="1"/>
  <c r="Q2274" i="40"/>
  <c r="K2274" i="40"/>
  <c r="J2274" i="40"/>
  <c r="G2274" i="40"/>
  <c r="L2274" i="40" s="1"/>
  <c r="Q2273" i="40"/>
  <c r="K2273" i="40"/>
  <c r="J2273" i="40"/>
  <c r="G2273" i="40"/>
  <c r="L2273" i="40" s="1"/>
  <c r="Q2272" i="40"/>
  <c r="K2272" i="40"/>
  <c r="J2272" i="40"/>
  <c r="G2272" i="40"/>
  <c r="L2272" i="40" s="1"/>
  <c r="Q2271" i="40"/>
  <c r="K2271" i="40"/>
  <c r="J2271" i="40"/>
  <c r="G2271" i="40"/>
  <c r="L2271" i="40" s="1"/>
  <c r="Q2270" i="40"/>
  <c r="K2270" i="40"/>
  <c r="J2270" i="40"/>
  <c r="G2270" i="40"/>
  <c r="L2270" i="40" s="1"/>
  <c r="Q2269" i="40"/>
  <c r="K2269" i="40"/>
  <c r="J2269" i="40"/>
  <c r="G2269" i="40"/>
  <c r="L2269" i="40" s="1"/>
  <c r="Q2268" i="40"/>
  <c r="K2268" i="40"/>
  <c r="J2268" i="40"/>
  <c r="G2268" i="40"/>
  <c r="L2268" i="40" s="1"/>
  <c r="Q2267" i="40"/>
  <c r="K2267" i="40"/>
  <c r="J2267" i="40"/>
  <c r="G2267" i="40"/>
  <c r="L2267" i="40" s="1"/>
  <c r="Q2266" i="40"/>
  <c r="K2266" i="40"/>
  <c r="J2266" i="40"/>
  <c r="G2266" i="40"/>
  <c r="L2266" i="40" s="1"/>
  <c r="Q2265" i="40"/>
  <c r="K2265" i="40"/>
  <c r="J2265" i="40"/>
  <c r="G2265" i="40"/>
  <c r="L2265" i="40" s="1"/>
  <c r="Q2264" i="40"/>
  <c r="K2264" i="40"/>
  <c r="J2264" i="40"/>
  <c r="G2264" i="40"/>
  <c r="L2264" i="40" s="1"/>
  <c r="Q2263" i="40"/>
  <c r="K2263" i="40"/>
  <c r="J2263" i="40"/>
  <c r="G2263" i="40"/>
  <c r="L2263" i="40" s="1"/>
  <c r="Q2262" i="40"/>
  <c r="K2262" i="40"/>
  <c r="J2262" i="40"/>
  <c r="G2262" i="40"/>
  <c r="L2262" i="40" s="1"/>
  <c r="Q2261" i="40"/>
  <c r="K2261" i="40"/>
  <c r="J2261" i="40"/>
  <c r="G2261" i="40"/>
  <c r="L2261" i="40" s="1"/>
  <c r="Q2260" i="40"/>
  <c r="K2260" i="40"/>
  <c r="J2260" i="40"/>
  <c r="G2260" i="40"/>
  <c r="L2260" i="40" s="1"/>
  <c r="Q2259" i="40"/>
  <c r="K2259" i="40"/>
  <c r="J2259" i="40"/>
  <c r="G2259" i="40"/>
  <c r="L2259" i="40" s="1"/>
  <c r="Q2258" i="40"/>
  <c r="K2258" i="40"/>
  <c r="J2258" i="40"/>
  <c r="G2258" i="40"/>
  <c r="L2258" i="40" s="1"/>
  <c r="Q2257" i="40"/>
  <c r="K2257" i="40"/>
  <c r="J2257" i="40"/>
  <c r="G2257" i="40"/>
  <c r="L2257" i="40" s="1"/>
  <c r="Q2256" i="40"/>
  <c r="K2256" i="40"/>
  <c r="J2256" i="40"/>
  <c r="G2256" i="40"/>
  <c r="L2256" i="40" s="1"/>
  <c r="Q2255" i="40"/>
  <c r="K2255" i="40"/>
  <c r="J2255" i="40"/>
  <c r="G2255" i="40"/>
  <c r="L2255" i="40" s="1"/>
  <c r="Q2254" i="40"/>
  <c r="K2254" i="40"/>
  <c r="J2254" i="40"/>
  <c r="G2254" i="40"/>
  <c r="L2254" i="40" s="1"/>
  <c r="Q2253" i="40"/>
  <c r="K2253" i="40"/>
  <c r="J2253" i="40"/>
  <c r="G2253" i="40"/>
  <c r="L2253" i="40" s="1"/>
  <c r="Q2252" i="40"/>
  <c r="K2252" i="40"/>
  <c r="J2252" i="40"/>
  <c r="G2252" i="40"/>
  <c r="L2252" i="40" s="1"/>
  <c r="Q2251" i="40"/>
  <c r="K2251" i="40"/>
  <c r="J2251" i="40"/>
  <c r="G2251" i="40"/>
  <c r="L2251" i="40" s="1"/>
  <c r="Q2250" i="40"/>
  <c r="K2250" i="40"/>
  <c r="J2250" i="40"/>
  <c r="G2250" i="40"/>
  <c r="L2250" i="40" s="1"/>
  <c r="Q2249" i="40"/>
  <c r="K2249" i="40"/>
  <c r="J2249" i="40"/>
  <c r="G2249" i="40"/>
  <c r="L2249" i="40" s="1"/>
  <c r="Q2248" i="40"/>
  <c r="K2248" i="40"/>
  <c r="J2248" i="40"/>
  <c r="G2248" i="40"/>
  <c r="L2248" i="40" s="1"/>
  <c r="Q2247" i="40"/>
  <c r="K2247" i="40"/>
  <c r="J2247" i="40"/>
  <c r="G2247" i="40"/>
  <c r="L2247" i="40" s="1"/>
  <c r="Q2246" i="40"/>
  <c r="K2246" i="40"/>
  <c r="J2246" i="40"/>
  <c r="G2246" i="40"/>
  <c r="L2246" i="40" s="1"/>
  <c r="Q2245" i="40"/>
  <c r="K2245" i="40"/>
  <c r="J2245" i="40"/>
  <c r="G2245" i="40"/>
  <c r="L2245" i="40" s="1"/>
  <c r="Q2244" i="40"/>
  <c r="K2244" i="40"/>
  <c r="J2244" i="40"/>
  <c r="G2244" i="40"/>
  <c r="L2244" i="40" s="1"/>
  <c r="Q2243" i="40"/>
  <c r="K2243" i="40"/>
  <c r="J2243" i="40"/>
  <c r="G2243" i="40"/>
  <c r="L2243" i="40" s="1"/>
  <c r="Q2242" i="40"/>
  <c r="K2242" i="40"/>
  <c r="J2242" i="40"/>
  <c r="G2242" i="40"/>
  <c r="L2242" i="40" s="1"/>
  <c r="Q2241" i="40"/>
  <c r="K2241" i="40"/>
  <c r="J2241" i="40"/>
  <c r="G2241" i="40"/>
  <c r="L2241" i="40" s="1"/>
  <c r="Q2240" i="40"/>
  <c r="K2240" i="40"/>
  <c r="J2240" i="40"/>
  <c r="G2240" i="40"/>
  <c r="L2240" i="40" s="1"/>
  <c r="Q2239" i="40"/>
  <c r="K2239" i="40"/>
  <c r="J2239" i="40"/>
  <c r="G2239" i="40"/>
  <c r="L2239" i="40" s="1"/>
  <c r="Q2238" i="40"/>
  <c r="K2238" i="40"/>
  <c r="J2238" i="40"/>
  <c r="G2238" i="40"/>
  <c r="L2238" i="40" s="1"/>
  <c r="Q2237" i="40"/>
  <c r="K2237" i="40"/>
  <c r="J2237" i="40"/>
  <c r="G2237" i="40"/>
  <c r="L2237" i="40" s="1"/>
  <c r="Q2236" i="40"/>
  <c r="K2236" i="40"/>
  <c r="J2236" i="40"/>
  <c r="G2236" i="40"/>
  <c r="L2236" i="40" s="1"/>
  <c r="Q2235" i="40"/>
  <c r="K2235" i="40"/>
  <c r="J2235" i="40"/>
  <c r="G2235" i="40"/>
  <c r="L2235" i="40" s="1"/>
  <c r="Q2234" i="40"/>
  <c r="K2234" i="40"/>
  <c r="J2234" i="40"/>
  <c r="G2234" i="40"/>
  <c r="L2234" i="40" s="1"/>
  <c r="Q2233" i="40"/>
  <c r="K2233" i="40"/>
  <c r="J2233" i="40"/>
  <c r="G2233" i="40"/>
  <c r="L2233" i="40" s="1"/>
  <c r="Q2232" i="40"/>
  <c r="K2232" i="40"/>
  <c r="J2232" i="40"/>
  <c r="G2232" i="40"/>
  <c r="L2232" i="40" s="1"/>
  <c r="Q2231" i="40"/>
  <c r="K2231" i="40"/>
  <c r="J2231" i="40"/>
  <c r="G2231" i="40"/>
  <c r="L2231" i="40" s="1"/>
  <c r="Q2230" i="40"/>
  <c r="K2230" i="40"/>
  <c r="J2230" i="40"/>
  <c r="G2230" i="40"/>
  <c r="L2230" i="40" s="1"/>
  <c r="Q2229" i="40"/>
  <c r="K2229" i="40"/>
  <c r="J2229" i="40"/>
  <c r="G2229" i="40"/>
  <c r="L2229" i="40" s="1"/>
  <c r="Q2228" i="40"/>
  <c r="K2228" i="40"/>
  <c r="J2228" i="40"/>
  <c r="G2228" i="40"/>
  <c r="L2228" i="40" s="1"/>
  <c r="Q2227" i="40"/>
  <c r="K2227" i="40"/>
  <c r="J2227" i="40"/>
  <c r="G2227" i="40"/>
  <c r="L2227" i="40" s="1"/>
  <c r="Q2226" i="40"/>
  <c r="K2226" i="40"/>
  <c r="J2226" i="40"/>
  <c r="G2226" i="40"/>
  <c r="L2226" i="40" s="1"/>
  <c r="Q2225" i="40"/>
  <c r="K2225" i="40"/>
  <c r="J2225" i="40"/>
  <c r="G2225" i="40"/>
  <c r="L2225" i="40" s="1"/>
  <c r="Q2224" i="40"/>
  <c r="K2224" i="40"/>
  <c r="J2224" i="40"/>
  <c r="G2224" i="40"/>
  <c r="L2224" i="40" s="1"/>
  <c r="Q2223" i="40"/>
  <c r="L2223" i="40"/>
  <c r="K2223" i="40"/>
  <c r="J2223" i="40"/>
  <c r="G2223" i="40"/>
  <c r="Q2222" i="40"/>
  <c r="K2222" i="40"/>
  <c r="J2222" i="40"/>
  <c r="G2222" i="40"/>
  <c r="L2222" i="40" s="1"/>
  <c r="Q2221" i="40"/>
  <c r="K2221" i="40"/>
  <c r="J2221" i="40"/>
  <c r="G2221" i="40"/>
  <c r="L2221" i="40" s="1"/>
  <c r="Q2220" i="40"/>
  <c r="K2220" i="40"/>
  <c r="J2220" i="40"/>
  <c r="G2220" i="40"/>
  <c r="L2220" i="40" s="1"/>
  <c r="Q2219" i="40"/>
  <c r="K2219" i="40"/>
  <c r="J2219" i="40"/>
  <c r="G2219" i="40"/>
  <c r="L2219" i="40" s="1"/>
  <c r="Q2218" i="40"/>
  <c r="K2218" i="40"/>
  <c r="J2218" i="40"/>
  <c r="G2218" i="40"/>
  <c r="L2218" i="40" s="1"/>
  <c r="Q2217" i="40"/>
  <c r="K2217" i="40"/>
  <c r="J2217" i="40"/>
  <c r="G2217" i="40"/>
  <c r="L2217" i="40" s="1"/>
  <c r="Q2216" i="40"/>
  <c r="K2216" i="40"/>
  <c r="J2216" i="40"/>
  <c r="G2216" i="40"/>
  <c r="L2216" i="40" s="1"/>
  <c r="Q2215" i="40"/>
  <c r="K2215" i="40"/>
  <c r="J2215" i="40"/>
  <c r="G2215" i="40"/>
  <c r="L2215" i="40" s="1"/>
  <c r="Q2214" i="40"/>
  <c r="K2214" i="40"/>
  <c r="J2214" i="40"/>
  <c r="G2214" i="40"/>
  <c r="L2214" i="40" s="1"/>
  <c r="Q2213" i="40"/>
  <c r="K2213" i="40"/>
  <c r="J2213" i="40"/>
  <c r="G2213" i="40"/>
  <c r="L2213" i="40" s="1"/>
  <c r="Q2212" i="40"/>
  <c r="K2212" i="40"/>
  <c r="J2212" i="40"/>
  <c r="G2212" i="40"/>
  <c r="L2212" i="40" s="1"/>
  <c r="Q2211" i="40"/>
  <c r="K2211" i="40"/>
  <c r="J2211" i="40"/>
  <c r="G2211" i="40"/>
  <c r="L2211" i="40" s="1"/>
  <c r="Q2210" i="40"/>
  <c r="L2210" i="40"/>
  <c r="K2210" i="40"/>
  <c r="J2210" i="40"/>
  <c r="G2210" i="40"/>
  <c r="Q2209" i="40"/>
  <c r="K2209" i="40"/>
  <c r="J2209" i="40"/>
  <c r="G2209" i="40"/>
  <c r="L2209" i="40" s="1"/>
  <c r="Q2208" i="40"/>
  <c r="K2208" i="40"/>
  <c r="J2208" i="40"/>
  <c r="G2208" i="40"/>
  <c r="L2208" i="40" s="1"/>
  <c r="Q2207" i="40"/>
  <c r="K2207" i="40"/>
  <c r="J2207" i="40"/>
  <c r="G2207" i="40"/>
  <c r="L2207" i="40" s="1"/>
  <c r="Q2206" i="40"/>
  <c r="K2206" i="40"/>
  <c r="J2206" i="40"/>
  <c r="G2206" i="40"/>
  <c r="L2206" i="40" s="1"/>
  <c r="Q2205" i="40"/>
  <c r="K2205" i="40"/>
  <c r="J2205" i="40"/>
  <c r="G2205" i="40"/>
  <c r="L2205" i="40" s="1"/>
  <c r="Q2204" i="40"/>
  <c r="K2204" i="40"/>
  <c r="J2204" i="40"/>
  <c r="G2204" i="40"/>
  <c r="L2204" i="40" s="1"/>
  <c r="Q2203" i="40"/>
  <c r="K2203" i="40"/>
  <c r="J2203" i="40"/>
  <c r="G2203" i="40"/>
  <c r="L2203" i="40" s="1"/>
  <c r="Q2202" i="40"/>
  <c r="K2202" i="40"/>
  <c r="J2202" i="40"/>
  <c r="G2202" i="40"/>
  <c r="L2202" i="40" s="1"/>
  <c r="Q2201" i="40"/>
  <c r="K2201" i="40"/>
  <c r="J2201" i="40"/>
  <c r="G2201" i="40"/>
  <c r="L2201" i="40" s="1"/>
  <c r="Q2200" i="40"/>
  <c r="K2200" i="40"/>
  <c r="J2200" i="40"/>
  <c r="G2200" i="40"/>
  <c r="L2200" i="40" s="1"/>
  <c r="Q2199" i="40"/>
  <c r="K2199" i="40"/>
  <c r="J2199" i="40"/>
  <c r="G2199" i="40"/>
  <c r="L2199" i="40" s="1"/>
  <c r="Q2198" i="40"/>
  <c r="K2198" i="40"/>
  <c r="J2198" i="40"/>
  <c r="G2198" i="40"/>
  <c r="L2198" i="40" s="1"/>
  <c r="Q2197" i="40"/>
  <c r="K2197" i="40"/>
  <c r="J2197" i="40"/>
  <c r="G2197" i="40"/>
  <c r="L2197" i="40" s="1"/>
  <c r="Q2196" i="40"/>
  <c r="K2196" i="40"/>
  <c r="J2196" i="40"/>
  <c r="G2196" i="40"/>
  <c r="L2196" i="40" s="1"/>
  <c r="Q2195" i="40"/>
  <c r="K2195" i="40"/>
  <c r="J2195" i="40"/>
  <c r="G2195" i="40"/>
  <c r="L2195" i="40" s="1"/>
  <c r="Q2194" i="40"/>
  <c r="K2194" i="40"/>
  <c r="J2194" i="40"/>
  <c r="G2194" i="40"/>
  <c r="L2194" i="40" s="1"/>
  <c r="Q2193" i="40"/>
  <c r="K2193" i="40"/>
  <c r="J2193" i="40"/>
  <c r="G2193" i="40"/>
  <c r="L2193" i="40" s="1"/>
  <c r="Q2192" i="40"/>
  <c r="K2192" i="40"/>
  <c r="J2192" i="40"/>
  <c r="G2192" i="40"/>
  <c r="L2192" i="40" s="1"/>
  <c r="Q2191" i="40"/>
  <c r="K2191" i="40"/>
  <c r="J2191" i="40"/>
  <c r="G2191" i="40"/>
  <c r="L2191" i="40" s="1"/>
  <c r="Q2190" i="40"/>
  <c r="K2190" i="40"/>
  <c r="J2190" i="40"/>
  <c r="G2190" i="40"/>
  <c r="L2190" i="40" s="1"/>
  <c r="Q2189" i="40"/>
  <c r="K2189" i="40"/>
  <c r="J2189" i="40"/>
  <c r="G2189" i="40"/>
  <c r="L2189" i="40" s="1"/>
  <c r="Q2188" i="40"/>
  <c r="L2188" i="40"/>
  <c r="K2188" i="40"/>
  <c r="J2188" i="40"/>
  <c r="G2188" i="40"/>
  <c r="Q2187" i="40"/>
  <c r="K2187" i="40"/>
  <c r="J2187" i="40"/>
  <c r="G2187" i="40"/>
  <c r="L2187" i="40" s="1"/>
  <c r="Q2186" i="40"/>
  <c r="L2186" i="40"/>
  <c r="K2186" i="40"/>
  <c r="J2186" i="40"/>
  <c r="G2186" i="40"/>
  <c r="Q2185" i="40"/>
  <c r="K2185" i="40"/>
  <c r="J2185" i="40"/>
  <c r="G2185" i="40"/>
  <c r="L2185" i="40" s="1"/>
  <c r="Q2184" i="40"/>
  <c r="K2184" i="40"/>
  <c r="J2184" i="40"/>
  <c r="G2184" i="40"/>
  <c r="L2184" i="40" s="1"/>
  <c r="Q2183" i="40"/>
  <c r="K2183" i="40"/>
  <c r="J2183" i="40"/>
  <c r="G2183" i="40"/>
  <c r="L2183" i="40" s="1"/>
  <c r="Q2182" i="40"/>
  <c r="K2182" i="40"/>
  <c r="J2182" i="40"/>
  <c r="G2182" i="40"/>
  <c r="L2182" i="40" s="1"/>
  <c r="Q2181" i="40"/>
  <c r="K2181" i="40"/>
  <c r="J2181" i="40"/>
  <c r="G2181" i="40"/>
  <c r="L2181" i="40" s="1"/>
  <c r="Q2180" i="40"/>
  <c r="K2180" i="40"/>
  <c r="J2180" i="40"/>
  <c r="G2180" i="40"/>
  <c r="L2180" i="40" s="1"/>
  <c r="Q2179" i="40"/>
  <c r="K2179" i="40"/>
  <c r="J2179" i="40"/>
  <c r="G2179" i="40"/>
  <c r="L2179" i="40" s="1"/>
  <c r="Q2178" i="40"/>
  <c r="K2178" i="40"/>
  <c r="J2178" i="40"/>
  <c r="G2178" i="40"/>
  <c r="L2178" i="40" s="1"/>
  <c r="Q2177" i="40"/>
  <c r="L2177" i="40"/>
  <c r="K2177" i="40"/>
  <c r="J2177" i="40"/>
  <c r="G2177" i="40"/>
  <c r="Q2176" i="40"/>
  <c r="K2176" i="40"/>
  <c r="J2176" i="40"/>
  <c r="G2176" i="40"/>
  <c r="L2176" i="40" s="1"/>
  <c r="Q2175" i="40"/>
  <c r="K2175" i="40"/>
  <c r="J2175" i="40"/>
  <c r="G2175" i="40"/>
  <c r="L2175" i="40" s="1"/>
  <c r="Q2174" i="40"/>
  <c r="K2174" i="40"/>
  <c r="J2174" i="40"/>
  <c r="G2174" i="40"/>
  <c r="L2174" i="40" s="1"/>
  <c r="Q2173" i="40"/>
  <c r="K2173" i="40"/>
  <c r="J2173" i="40"/>
  <c r="G2173" i="40"/>
  <c r="L2173" i="40" s="1"/>
  <c r="Q2172" i="40"/>
  <c r="K2172" i="40"/>
  <c r="J2172" i="40"/>
  <c r="G2172" i="40"/>
  <c r="L2172" i="40" s="1"/>
  <c r="Q2171" i="40"/>
  <c r="K2171" i="40"/>
  <c r="J2171" i="40"/>
  <c r="G2171" i="40"/>
  <c r="L2171" i="40" s="1"/>
  <c r="Q2170" i="40"/>
  <c r="K2170" i="40"/>
  <c r="J2170" i="40"/>
  <c r="G2170" i="40"/>
  <c r="L2170" i="40" s="1"/>
  <c r="Q2169" i="40"/>
  <c r="J2169" i="40"/>
  <c r="G2169" i="40"/>
  <c r="L2169" i="40" s="1"/>
  <c r="U2168" i="40"/>
  <c r="Q2168" i="40"/>
  <c r="K2168" i="40"/>
  <c r="J2168" i="40"/>
  <c r="G2168" i="40"/>
  <c r="L2168" i="40" s="1"/>
  <c r="U2167" i="40"/>
  <c r="Q2167" i="40"/>
  <c r="K2167" i="40"/>
  <c r="J2167" i="40"/>
  <c r="G2167" i="40"/>
  <c r="L2167" i="40" s="1"/>
  <c r="U2166" i="40"/>
  <c r="Q2166" i="40"/>
  <c r="K2166" i="40"/>
  <c r="J2166" i="40"/>
  <c r="G2166" i="40"/>
  <c r="L2166" i="40" s="1"/>
  <c r="U2165" i="40"/>
  <c r="Q2165" i="40"/>
  <c r="K2165" i="40"/>
  <c r="J2165" i="40"/>
  <c r="G2165" i="40"/>
  <c r="L2165" i="40" s="1"/>
  <c r="U2164" i="40"/>
  <c r="Q2164" i="40"/>
  <c r="K2164" i="40"/>
  <c r="J2164" i="40"/>
  <c r="G2164" i="40"/>
  <c r="L2164" i="40" s="1"/>
  <c r="U2163" i="40"/>
  <c r="Q2163" i="40"/>
  <c r="K2163" i="40"/>
  <c r="J2163" i="40"/>
  <c r="G2163" i="40"/>
  <c r="L2163" i="40" s="1"/>
  <c r="U2162" i="40"/>
  <c r="Q2162" i="40"/>
  <c r="K2162" i="40"/>
  <c r="J2162" i="40"/>
  <c r="G2162" i="40"/>
  <c r="L2162" i="40" s="1"/>
  <c r="U2161" i="40"/>
  <c r="Q2161" i="40"/>
  <c r="K2161" i="40"/>
  <c r="J2161" i="40"/>
  <c r="G2161" i="40"/>
  <c r="L2161" i="40" s="1"/>
  <c r="U2160" i="40"/>
  <c r="Q2160" i="40"/>
  <c r="K2160" i="40"/>
  <c r="J2160" i="40"/>
  <c r="G2160" i="40"/>
  <c r="L2160" i="40" s="1"/>
  <c r="U2159" i="40"/>
  <c r="Q2159" i="40"/>
  <c r="K2159" i="40"/>
  <c r="J2159" i="40"/>
  <c r="G2159" i="40"/>
  <c r="L2159" i="40" s="1"/>
  <c r="U2158" i="40"/>
  <c r="Q2158" i="40"/>
  <c r="K2158" i="40"/>
  <c r="J2158" i="40"/>
  <c r="G2158" i="40"/>
  <c r="L2158" i="40" s="1"/>
  <c r="U2157" i="40"/>
  <c r="Q2157" i="40"/>
  <c r="K2157" i="40"/>
  <c r="J2157" i="40"/>
  <c r="G2157" i="40"/>
  <c r="L2157" i="40" s="1"/>
  <c r="U2156" i="40"/>
  <c r="Q2156" i="40"/>
  <c r="K2156" i="40"/>
  <c r="J2156" i="40"/>
  <c r="G2156" i="40"/>
  <c r="L2156" i="40" s="1"/>
  <c r="U2155" i="40"/>
  <c r="Q2155" i="40"/>
  <c r="L2155" i="40"/>
  <c r="K2155" i="40"/>
  <c r="J2155" i="40"/>
  <c r="G2155" i="40"/>
  <c r="U2154" i="40"/>
  <c r="Q2154" i="40"/>
  <c r="K2154" i="40"/>
  <c r="J2154" i="40"/>
  <c r="G2154" i="40"/>
  <c r="L2154" i="40" s="1"/>
  <c r="U2153" i="40"/>
  <c r="Q2153" i="40"/>
  <c r="K2153" i="40"/>
  <c r="J2153" i="40"/>
  <c r="G2153" i="40"/>
  <c r="L2153" i="40" s="1"/>
  <c r="U2152" i="40"/>
  <c r="Q2152" i="40"/>
  <c r="L2152" i="40"/>
  <c r="K2152" i="40"/>
  <c r="J2152" i="40"/>
  <c r="G2152" i="40"/>
  <c r="U2151" i="40"/>
  <c r="Q2151" i="40"/>
  <c r="K2151" i="40"/>
  <c r="J2151" i="40"/>
  <c r="G2151" i="40"/>
  <c r="L2151" i="40" s="1"/>
  <c r="U2150" i="40"/>
  <c r="Q2150" i="40"/>
  <c r="K2150" i="40"/>
  <c r="J2150" i="40"/>
  <c r="G2150" i="40"/>
  <c r="L2150" i="40" s="1"/>
  <c r="Q2149" i="40"/>
  <c r="K2149" i="40"/>
  <c r="J2149" i="40"/>
  <c r="G2149" i="40"/>
  <c r="L2149" i="40" s="1"/>
  <c r="U2148" i="40"/>
  <c r="Q2148" i="40"/>
  <c r="K2148" i="40"/>
  <c r="J2148" i="40"/>
  <c r="G2148" i="40"/>
  <c r="L2148" i="40" s="1"/>
  <c r="U2147" i="40"/>
  <c r="Q2147" i="40"/>
  <c r="K2147" i="40"/>
  <c r="J2147" i="40"/>
  <c r="G2147" i="40"/>
  <c r="L2147" i="40" s="1"/>
  <c r="U2146" i="40"/>
  <c r="Q2146" i="40"/>
  <c r="K2146" i="40"/>
  <c r="J2146" i="40"/>
  <c r="G2146" i="40"/>
  <c r="L2146" i="40" s="1"/>
  <c r="U2145" i="40"/>
  <c r="Q2145" i="40"/>
  <c r="K2145" i="40"/>
  <c r="J2145" i="40"/>
  <c r="G2145" i="40"/>
  <c r="L2145" i="40" s="1"/>
  <c r="U2144" i="40"/>
  <c r="Q2144" i="40"/>
  <c r="K2144" i="40"/>
  <c r="J2144" i="40"/>
  <c r="G2144" i="40"/>
  <c r="L2144" i="40" s="1"/>
  <c r="U2143" i="40"/>
  <c r="Q2143" i="40"/>
  <c r="K2143" i="40"/>
  <c r="J2143" i="40"/>
  <c r="G2143" i="40"/>
  <c r="L2143" i="40" s="1"/>
  <c r="U2142" i="40"/>
  <c r="Q2142" i="40"/>
  <c r="K2142" i="40"/>
  <c r="J2142" i="40"/>
  <c r="G2142" i="40"/>
  <c r="L2142" i="40" s="1"/>
  <c r="U2141" i="40"/>
  <c r="Q2141" i="40"/>
  <c r="K2141" i="40"/>
  <c r="J2141" i="40"/>
  <c r="G2141" i="40"/>
  <c r="L2141" i="40" s="1"/>
  <c r="U2140" i="40"/>
  <c r="Q2140" i="40"/>
  <c r="K2140" i="40"/>
  <c r="J2140" i="40"/>
  <c r="G2140" i="40"/>
  <c r="L2140" i="40" s="1"/>
  <c r="U2139" i="40"/>
  <c r="Q2139" i="40"/>
  <c r="K2139" i="40"/>
  <c r="J2139" i="40"/>
  <c r="G2139" i="40"/>
  <c r="L2139" i="40" s="1"/>
  <c r="U2138" i="40"/>
  <c r="Q2138" i="40"/>
  <c r="L2138" i="40"/>
  <c r="K2138" i="40"/>
  <c r="J2138" i="40"/>
  <c r="G2138" i="40"/>
  <c r="U2137" i="40"/>
  <c r="Q2137" i="40"/>
  <c r="K2137" i="40"/>
  <c r="J2137" i="40"/>
  <c r="G2137" i="40"/>
  <c r="L2137" i="40" s="1"/>
  <c r="U2136" i="40"/>
  <c r="Q2136" i="40"/>
  <c r="K2136" i="40"/>
  <c r="J2136" i="40"/>
  <c r="G2136" i="40"/>
  <c r="L2136" i="40" s="1"/>
  <c r="U2135" i="40"/>
  <c r="Q2135" i="40"/>
  <c r="K2135" i="40"/>
  <c r="J2135" i="40"/>
  <c r="G2135" i="40"/>
  <c r="L2135" i="40" s="1"/>
  <c r="U2134" i="40"/>
  <c r="Q2134" i="40"/>
  <c r="K2134" i="40"/>
  <c r="J2134" i="40"/>
  <c r="G2134" i="40"/>
  <c r="L2134" i="40" s="1"/>
  <c r="U2133" i="40"/>
  <c r="Q2133" i="40"/>
  <c r="K2133" i="40"/>
  <c r="J2133" i="40"/>
  <c r="G2133" i="40"/>
  <c r="L2133" i="40" s="1"/>
  <c r="U2132" i="40"/>
  <c r="Q2132" i="40"/>
  <c r="K2132" i="40"/>
  <c r="J2132" i="40"/>
  <c r="G2132" i="40"/>
  <c r="L2132" i="40" s="1"/>
  <c r="U2131" i="40"/>
  <c r="Q2131" i="40"/>
  <c r="L2131" i="40"/>
  <c r="K2131" i="40"/>
  <c r="J2131" i="40"/>
  <c r="G2131" i="40"/>
  <c r="U2130" i="40"/>
  <c r="Q2130" i="40"/>
  <c r="K2130" i="40"/>
  <c r="J2130" i="40"/>
  <c r="G2130" i="40"/>
  <c r="L2130" i="40" s="1"/>
  <c r="U2129" i="40"/>
  <c r="Q2129" i="40"/>
  <c r="K2129" i="40"/>
  <c r="J2129" i="40"/>
  <c r="G2129" i="40"/>
  <c r="L2129" i="40" s="1"/>
  <c r="U2128" i="40"/>
  <c r="Q2128" i="40"/>
  <c r="L2128" i="40"/>
  <c r="K2128" i="40"/>
  <c r="J2128" i="40"/>
  <c r="G2128" i="40"/>
  <c r="U2127" i="40"/>
  <c r="Q2127" i="40"/>
  <c r="K2127" i="40"/>
  <c r="J2127" i="40"/>
  <c r="G2127" i="40"/>
  <c r="L2127" i="40" s="1"/>
  <c r="U2126" i="40"/>
  <c r="Q2126" i="40"/>
  <c r="K2126" i="40"/>
  <c r="J2126" i="40"/>
  <c r="G2126" i="40"/>
  <c r="L2126" i="40" s="1"/>
  <c r="U2125" i="40"/>
  <c r="Q2125" i="40"/>
  <c r="K2125" i="40"/>
  <c r="J2125" i="40"/>
  <c r="G2125" i="40"/>
  <c r="L2125" i="40" s="1"/>
  <c r="U2124" i="40"/>
  <c r="Q2124" i="40"/>
  <c r="K2124" i="40"/>
  <c r="J2124" i="40"/>
  <c r="G2124" i="40"/>
  <c r="L2124" i="40" s="1"/>
  <c r="U2123" i="40"/>
  <c r="Q2123" i="40"/>
  <c r="K2123" i="40"/>
  <c r="J2123" i="40"/>
  <c r="G2123" i="40"/>
  <c r="L2123" i="40" s="1"/>
  <c r="U2122" i="40"/>
  <c r="Q2122" i="40"/>
  <c r="K2122" i="40"/>
  <c r="J2122" i="40"/>
  <c r="G2122" i="40"/>
  <c r="L2122" i="40" s="1"/>
  <c r="U2121" i="40"/>
  <c r="Q2121" i="40"/>
  <c r="K2121" i="40"/>
  <c r="J2121" i="40"/>
  <c r="G2121" i="40"/>
  <c r="L2121" i="40" s="1"/>
  <c r="U2120" i="40"/>
  <c r="Q2120" i="40"/>
  <c r="K2120" i="40"/>
  <c r="J2120" i="40"/>
  <c r="G2120" i="40"/>
  <c r="L2120" i="40" s="1"/>
  <c r="U2119" i="40"/>
  <c r="Q2119" i="40"/>
  <c r="K2119" i="40"/>
  <c r="J2119" i="40"/>
  <c r="G2119" i="40"/>
  <c r="L2119" i="40" s="1"/>
  <c r="U2118" i="40"/>
  <c r="Q2118" i="40"/>
  <c r="K2118" i="40"/>
  <c r="J2118" i="40"/>
  <c r="G2118" i="40"/>
  <c r="L2118" i="40" s="1"/>
  <c r="U2117" i="40"/>
  <c r="Q2117" i="40"/>
  <c r="K2117" i="40"/>
  <c r="J2117" i="40"/>
  <c r="G2117" i="40"/>
  <c r="L2117" i="40" s="1"/>
  <c r="U2116" i="40"/>
  <c r="Q2116" i="40"/>
  <c r="K2116" i="40"/>
  <c r="J2116" i="40"/>
  <c r="G2116" i="40"/>
  <c r="L2116" i="40" s="1"/>
  <c r="U2115" i="40"/>
  <c r="Q2115" i="40"/>
  <c r="K2115" i="40"/>
  <c r="J2115" i="40"/>
  <c r="G2115" i="40"/>
  <c r="L2115" i="40" s="1"/>
  <c r="U2114" i="40"/>
  <c r="Q2114" i="40"/>
  <c r="K2114" i="40"/>
  <c r="J2114" i="40"/>
  <c r="G2114" i="40"/>
  <c r="L2114" i="40" s="1"/>
  <c r="U2113" i="40"/>
  <c r="Q2113" i="40"/>
  <c r="L2113" i="40"/>
  <c r="K2113" i="40"/>
  <c r="J2113" i="40"/>
  <c r="G2113" i="40"/>
  <c r="U2112" i="40"/>
  <c r="Q2112" i="40"/>
  <c r="K2112" i="40"/>
  <c r="J2112" i="40"/>
  <c r="G2112" i="40"/>
  <c r="L2112" i="40" s="1"/>
  <c r="U2111" i="40"/>
  <c r="Q2111" i="40"/>
  <c r="K2111" i="40"/>
  <c r="J2111" i="40"/>
  <c r="G2111" i="40"/>
  <c r="L2111" i="40" s="1"/>
  <c r="U2110" i="40"/>
  <c r="Q2110" i="40"/>
  <c r="L2110" i="40"/>
  <c r="K2110" i="40"/>
  <c r="J2110" i="40"/>
  <c r="G2110" i="40"/>
  <c r="U2109" i="40"/>
  <c r="Q2109" i="40"/>
  <c r="K2109" i="40"/>
  <c r="J2109" i="40"/>
  <c r="G2109" i="40"/>
  <c r="L2109" i="40" s="1"/>
  <c r="U2108" i="40"/>
  <c r="Q2108" i="40"/>
  <c r="K2108" i="40"/>
  <c r="J2108" i="40"/>
  <c r="G2108" i="40"/>
  <c r="L2108" i="40" s="1"/>
  <c r="U2107" i="40"/>
  <c r="Q2107" i="40"/>
  <c r="K2107" i="40"/>
  <c r="J2107" i="40"/>
  <c r="G2107" i="40"/>
  <c r="L2107" i="40" s="1"/>
  <c r="U2106" i="40"/>
  <c r="Q2106" i="40"/>
  <c r="K2106" i="40"/>
  <c r="J2106" i="40"/>
  <c r="G2106" i="40"/>
  <c r="L2106" i="40" s="1"/>
  <c r="U2105" i="40"/>
  <c r="Q2105" i="40"/>
  <c r="K2105" i="40"/>
  <c r="J2105" i="40"/>
  <c r="G2105" i="40"/>
  <c r="L2105" i="40" s="1"/>
  <c r="U2104" i="40"/>
  <c r="Q2104" i="40"/>
  <c r="K2104" i="40"/>
  <c r="J2104" i="40"/>
  <c r="G2104" i="40"/>
  <c r="L2104" i="40" s="1"/>
  <c r="U2103" i="40"/>
  <c r="Q2103" i="40"/>
  <c r="K2103" i="40"/>
  <c r="J2103" i="40"/>
  <c r="G2103" i="40"/>
  <c r="L2103" i="40" s="1"/>
  <c r="U2102" i="40"/>
  <c r="Q2102" i="40"/>
  <c r="K2102" i="40"/>
  <c r="J2102" i="40"/>
  <c r="G2102" i="40"/>
  <c r="L2102" i="40" s="1"/>
  <c r="U2101" i="40"/>
  <c r="Q2101" i="40"/>
  <c r="K2101" i="40"/>
  <c r="J2101" i="40"/>
  <c r="G2101" i="40"/>
  <c r="L2101" i="40" s="1"/>
  <c r="U2100" i="40"/>
  <c r="Q2100" i="40"/>
  <c r="K2100" i="40"/>
  <c r="J2100" i="40"/>
  <c r="G2100" i="40"/>
  <c r="L2100" i="40" s="1"/>
  <c r="U2099" i="40"/>
  <c r="Q2099" i="40"/>
  <c r="K2099" i="40"/>
  <c r="J2099" i="40"/>
  <c r="G2099" i="40"/>
  <c r="L2099" i="40" s="1"/>
  <c r="U2098" i="40"/>
  <c r="Q2098" i="40"/>
  <c r="K2098" i="40"/>
  <c r="J2098" i="40"/>
  <c r="G2098" i="40"/>
  <c r="L2098" i="40" s="1"/>
  <c r="U2097" i="40"/>
  <c r="Q2097" i="40"/>
  <c r="K2097" i="40"/>
  <c r="J2097" i="40"/>
  <c r="G2097" i="40"/>
  <c r="L2097" i="40" s="1"/>
  <c r="U2096" i="40"/>
  <c r="Q2096" i="40"/>
  <c r="K2096" i="40"/>
  <c r="J2096" i="40"/>
  <c r="G2096" i="40"/>
  <c r="L2096" i="40" s="1"/>
  <c r="U2095" i="40"/>
  <c r="Q2095" i="40"/>
  <c r="K2095" i="40"/>
  <c r="J2095" i="40"/>
  <c r="G2095" i="40"/>
  <c r="L2095" i="40" s="1"/>
  <c r="U2094" i="40"/>
  <c r="Q2094" i="40"/>
  <c r="K2094" i="40"/>
  <c r="J2094" i="40"/>
  <c r="G2094" i="40"/>
  <c r="L2094" i="40" s="1"/>
  <c r="U2093" i="40"/>
  <c r="Q2093" i="40"/>
  <c r="K2093" i="40"/>
  <c r="J2093" i="40"/>
  <c r="G2093" i="40"/>
  <c r="L2093" i="40" s="1"/>
  <c r="U2092" i="40"/>
  <c r="Q2092" i="40"/>
  <c r="K2092" i="40"/>
  <c r="J2092" i="40"/>
  <c r="G2092" i="40"/>
  <c r="L2092" i="40" s="1"/>
  <c r="U2091" i="40"/>
  <c r="Q2091" i="40"/>
  <c r="K2091" i="40"/>
  <c r="J2091" i="40"/>
  <c r="G2091" i="40"/>
  <c r="L2091" i="40" s="1"/>
  <c r="U2090" i="40"/>
  <c r="Q2090" i="40"/>
  <c r="K2090" i="40"/>
  <c r="J2090" i="40"/>
  <c r="G2090" i="40"/>
  <c r="L2090" i="40" s="1"/>
  <c r="U2089" i="40"/>
  <c r="Q2089" i="40"/>
  <c r="K2089" i="40"/>
  <c r="J2089" i="40"/>
  <c r="G2089" i="40"/>
  <c r="L2089" i="40" s="1"/>
  <c r="U2088" i="40"/>
  <c r="Q2088" i="40"/>
  <c r="K2088" i="40"/>
  <c r="J2088" i="40"/>
  <c r="G2088" i="40"/>
  <c r="L2088" i="40" s="1"/>
  <c r="U2087" i="40"/>
  <c r="Q2087" i="40"/>
  <c r="K2087" i="40"/>
  <c r="J2087" i="40"/>
  <c r="G2087" i="40"/>
  <c r="L2087" i="40" s="1"/>
  <c r="U2086" i="40"/>
  <c r="Q2086" i="40"/>
  <c r="K2086" i="40"/>
  <c r="J2086" i="40"/>
  <c r="G2086" i="40"/>
  <c r="L2086" i="40" s="1"/>
  <c r="U2085" i="40"/>
  <c r="Q2085" i="40"/>
  <c r="K2085" i="40"/>
  <c r="J2085" i="40"/>
  <c r="G2085" i="40"/>
  <c r="L2085" i="40" s="1"/>
  <c r="U2084" i="40"/>
  <c r="Q2084" i="40"/>
  <c r="K2084" i="40"/>
  <c r="J2084" i="40"/>
  <c r="G2084" i="40"/>
  <c r="L2084" i="40" s="1"/>
  <c r="U2083" i="40"/>
  <c r="Q2083" i="40"/>
  <c r="K2083" i="40"/>
  <c r="J2083" i="40"/>
  <c r="G2083" i="40"/>
  <c r="L2083" i="40" s="1"/>
  <c r="N2280" i="40" s="1"/>
  <c r="U2082" i="40"/>
  <c r="Q2082" i="40"/>
  <c r="K2082" i="40"/>
  <c r="J2082" i="40"/>
  <c r="G2082" i="40"/>
  <c r="L2082" i="40" s="1"/>
  <c r="U2081" i="40"/>
  <c r="Q2081" i="40"/>
  <c r="L2081" i="40"/>
  <c r="K2081" i="40"/>
  <c r="J2081" i="40"/>
  <c r="G2081" i="40"/>
  <c r="U2080" i="40"/>
  <c r="Q2080" i="40"/>
  <c r="K2080" i="40"/>
  <c r="J2080" i="40"/>
  <c r="G2080" i="40"/>
  <c r="L2080" i="40" s="1"/>
  <c r="U2079" i="40"/>
  <c r="Q2079" i="40"/>
  <c r="K2079" i="40"/>
  <c r="J2079" i="40"/>
  <c r="G2079" i="40"/>
  <c r="L2079" i="40" s="1"/>
  <c r="U2078" i="40"/>
  <c r="Q2078" i="40"/>
  <c r="L2078" i="40"/>
  <c r="N2275" i="40" s="1"/>
  <c r="V2275" i="40" s="1"/>
  <c r="K2078" i="40"/>
  <c r="J2078" i="40"/>
  <c r="G2078" i="40"/>
  <c r="U2077" i="40"/>
  <c r="Q2077" i="40"/>
  <c r="K2077" i="40"/>
  <c r="J2077" i="40"/>
  <c r="G2077" i="40"/>
  <c r="L2077" i="40" s="1"/>
  <c r="N2274" i="40" s="1"/>
  <c r="U2076" i="40"/>
  <c r="Q2076" i="40"/>
  <c r="K2076" i="40"/>
  <c r="J2076" i="40"/>
  <c r="G2076" i="40"/>
  <c r="L2076" i="40" s="1"/>
  <c r="U2075" i="40"/>
  <c r="Q2075" i="40"/>
  <c r="K2075" i="40"/>
  <c r="J2075" i="40"/>
  <c r="G2075" i="40"/>
  <c r="L2075" i="40" s="1"/>
  <c r="U2074" i="40"/>
  <c r="Q2074" i="40"/>
  <c r="K2074" i="40"/>
  <c r="J2074" i="40"/>
  <c r="G2074" i="40"/>
  <c r="L2074" i="40" s="1"/>
  <c r="U2073" i="40"/>
  <c r="Q2073" i="40"/>
  <c r="K2073" i="40"/>
  <c r="J2073" i="40"/>
  <c r="G2073" i="40"/>
  <c r="L2073" i="40" s="1"/>
  <c r="U2072" i="40"/>
  <c r="Q2072" i="40"/>
  <c r="K2072" i="40"/>
  <c r="J2072" i="40"/>
  <c r="G2072" i="40"/>
  <c r="L2072" i="40" s="1"/>
  <c r="U2071" i="40"/>
  <c r="Q2071" i="40"/>
  <c r="K2071" i="40"/>
  <c r="J2071" i="40"/>
  <c r="G2071" i="40"/>
  <c r="L2071" i="40" s="1"/>
  <c r="U2070" i="40"/>
  <c r="Q2070" i="40"/>
  <c r="K2070" i="40"/>
  <c r="J2070" i="40"/>
  <c r="G2070" i="40"/>
  <c r="L2070" i="40" s="1"/>
  <c r="N2267" i="40" s="1"/>
  <c r="U2069" i="40"/>
  <c r="Q2069" i="40"/>
  <c r="K2069" i="40"/>
  <c r="J2069" i="40"/>
  <c r="G2069" i="40"/>
  <c r="L2069" i="40" s="1"/>
  <c r="N2266" i="40" s="1"/>
  <c r="U2068" i="40"/>
  <c r="Q2068" i="40"/>
  <c r="K2068" i="40"/>
  <c r="J2068" i="40"/>
  <c r="G2068" i="40"/>
  <c r="L2068" i="40" s="1"/>
  <c r="N2265" i="40" s="1"/>
  <c r="U2067" i="40"/>
  <c r="Q2067" i="40"/>
  <c r="K2067" i="40"/>
  <c r="J2067" i="40"/>
  <c r="G2067" i="40"/>
  <c r="L2067" i="40" s="1"/>
  <c r="N2264" i="40" s="1"/>
  <c r="U2066" i="40"/>
  <c r="Q2066" i="40"/>
  <c r="K2066" i="40"/>
  <c r="J2066" i="40"/>
  <c r="G2066" i="40"/>
  <c r="L2066" i="40" s="1"/>
  <c r="U2065" i="40"/>
  <c r="Q2065" i="40"/>
  <c r="K2065" i="40"/>
  <c r="J2065" i="40"/>
  <c r="G2065" i="40"/>
  <c r="L2065" i="40" s="1"/>
  <c r="U2064" i="40"/>
  <c r="Q2064" i="40"/>
  <c r="K2064" i="40"/>
  <c r="J2064" i="40"/>
  <c r="G2064" i="40"/>
  <c r="L2064" i="40" s="1"/>
  <c r="U2063" i="40"/>
  <c r="Q2063" i="40"/>
  <c r="K2063" i="40"/>
  <c r="J2063" i="40"/>
  <c r="G2063" i="40"/>
  <c r="L2063" i="40" s="1"/>
  <c r="U2062" i="40"/>
  <c r="Q2062" i="40"/>
  <c r="K2062" i="40"/>
  <c r="J2062" i="40"/>
  <c r="G2062" i="40"/>
  <c r="L2062" i="40" s="1"/>
  <c r="N2259" i="40" s="1"/>
  <c r="U2061" i="40"/>
  <c r="Q2061" i="40"/>
  <c r="K2061" i="40"/>
  <c r="J2061" i="40"/>
  <c r="G2061" i="40"/>
  <c r="L2061" i="40" s="1"/>
  <c r="N2258" i="40" s="1"/>
  <c r="U2060" i="40"/>
  <c r="Q2060" i="40"/>
  <c r="K2060" i="40"/>
  <c r="J2060" i="40"/>
  <c r="G2060" i="40"/>
  <c r="L2060" i="40" s="1"/>
  <c r="U2059" i="40"/>
  <c r="Q2059" i="40"/>
  <c r="K2059" i="40"/>
  <c r="J2059" i="40"/>
  <c r="G2059" i="40"/>
  <c r="L2059" i="40" s="1"/>
  <c r="U2058" i="40"/>
  <c r="Q2058" i="40"/>
  <c r="K2058" i="40"/>
  <c r="J2058" i="40"/>
  <c r="G2058" i="40"/>
  <c r="L2058" i="40" s="1"/>
  <c r="U2057" i="40"/>
  <c r="Q2057" i="40"/>
  <c r="K2057" i="40"/>
  <c r="J2057" i="40"/>
  <c r="G2057" i="40"/>
  <c r="L2057" i="40" s="1"/>
  <c r="U2056" i="40"/>
  <c r="Q2056" i="40"/>
  <c r="K2056" i="40"/>
  <c r="J2056" i="40"/>
  <c r="G2056" i="40"/>
  <c r="L2056" i="40" s="1"/>
  <c r="U2055" i="40"/>
  <c r="Q2055" i="40"/>
  <c r="K2055" i="40"/>
  <c r="J2055" i="40"/>
  <c r="G2055" i="40"/>
  <c r="L2055" i="40" s="1"/>
  <c r="U2054" i="40"/>
  <c r="Q2054" i="40"/>
  <c r="K2054" i="40"/>
  <c r="J2054" i="40"/>
  <c r="G2054" i="40"/>
  <c r="L2054" i="40" s="1"/>
  <c r="N2251" i="40" s="1"/>
  <c r="U2053" i="40"/>
  <c r="Q2053" i="40"/>
  <c r="K2053" i="40"/>
  <c r="J2053" i="40"/>
  <c r="G2053" i="40"/>
  <c r="L2053" i="40" s="1"/>
  <c r="N2250" i="40" s="1"/>
  <c r="U2052" i="40"/>
  <c r="Q2052" i="40"/>
  <c r="K2052" i="40"/>
  <c r="J2052" i="40"/>
  <c r="G2052" i="40"/>
  <c r="L2052" i="40" s="1"/>
  <c r="N2249" i="40" s="1"/>
  <c r="U2051" i="40"/>
  <c r="Q2051" i="40"/>
  <c r="K2051" i="40"/>
  <c r="J2051" i="40"/>
  <c r="G2051" i="40"/>
  <c r="L2051" i="40" s="1"/>
  <c r="N2248" i="40" s="1"/>
  <c r="U2050" i="40"/>
  <c r="Q2050" i="40"/>
  <c r="L2050" i="40"/>
  <c r="K2050" i="40"/>
  <c r="J2050" i="40"/>
  <c r="G2050" i="40"/>
  <c r="U2049" i="40"/>
  <c r="Q2049" i="40"/>
  <c r="L2049" i="40"/>
  <c r="K2049" i="40"/>
  <c r="J2049" i="40"/>
  <c r="G2049" i="40"/>
  <c r="U2048" i="40"/>
  <c r="Q2048" i="40"/>
  <c r="K2048" i="40"/>
  <c r="J2048" i="40"/>
  <c r="G2048" i="40"/>
  <c r="L2048" i="40" s="1"/>
  <c r="U2047" i="40"/>
  <c r="Q2047" i="40"/>
  <c r="K2047" i="40"/>
  <c r="J2047" i="40"/>
  <c r="G2047" i="40"/>
  <c r="L2047" i="40" s="1"/>
  <c r="U2046" i="40"/>
  <c r="Q2046" i="40"/>
  <c r="L2046" i="40"/>
  <c r="N2243" i="40" s="1"/>
  <c r="V2243" i="40" s="1"/>
  <c r="K2046" i="40"/>
  <c r="J2046" i="40"/>
  <c r="G2046" i="40"/>
  <c r="U2045" i="40"/>
  <c r="Q2045" i="40"/>
  <c r="K2045" i="40"/>
  <c r="J2045" i="40"/>
  <c r="G2045" i="40"/>
  <c r="L2045" i="40" s="1"/>
  <c r="N2242" i="40" s="1"/>
  <c r="U2044" i="40"/>
  <c r="Q2044" i="40"/>
  <c r="K2044" i="40"/>
  <c r="J2044" i="40"/>
  <c r="G2044" i="40"/>
  <c r="L2044" i="40" s="1"/>
  <c r="U2043" i="40"/>
  <c r="Q2043" i="40"/>
  <c r="K2043" i="40"/>
  <c r="J2043" i="40"/>
  <c r="G2043" i="40"/>
  <c r="L2043" i="40" s="1"/>
  <c r="U2042" i="40"/>
  <c r="Q2042" i="40"/>
  <c r="K2042" i="40"/>
  <c r="J2042" i="40"/>
  <c r="G2042" i="40"/>
  <c r="L2042" i="40" s="1"/>
  <c r="U2041" i="40"/>
  <c r="Q2041" i="40"/>
  <c r="K2041" i="40"/>
  <c r="J2041" i="40"/>
  <c r="G2041" i="40"/>
  <c r="L2041" i="40" s="1"/>
  <c r="U2040" i="40"/>
  <c r="Q2040" i="40"/>
  <c r="K2040" i="40"/>
  <c r="J2040" i="40"/>
  <c r="G2040" i="40"/>
  <c r="L2040" i="40" s="1"/>
  <c r="U2039" i="40"/>
  <c r="Q2039" i="40"/>
  <c r="K2039" i="40"/>
  <c r="J2039" i="40"/>
  <c r="G2039" i="40"/>
  <c r="L2039" i="40" s="1"/>
  <c r="U2038" i="40"/>
  <c r="Q2038" i="40"/>
  <c r="K2038" i="40"/>
  <c r="J2038" i="40"/>
  <c r="G2038" i="40"/>
  <c r="L2038" i="40" s="1"/>
  <c r="N2235" i="40" s="1"/>
  <c r="U2037" i="40"/>
  <c r="Q2037" i="40"/>
  <c r="K2037" i="40"/>
  <c r="J2037" i="40"/>
  <c r="G2037" i="40"/>
  <c r="L2037" i="40" s="1"/>
  <c r="N2234" i="40" s="1"/>
  <c r="U2036" i="40"/>
  <c r="Q2036" i="40"/>
  <c r="K2036" i="40"/>
  <c r="J2036" i="40"/>
  <c r="G2036" i="40"/>
  <c r="L2036" i="40" s="1"/>
  <c r="N2233" i="40" s="1"/>
  <c r="U2035" i="40"/>
  <c r="Q2035" i="40"/>
  <c r="K2035" i="40"/>
  <c r="J2035" i="40"/>
  <c r="G2035" i="40"/>
  <c r="L2035" i="40" s="1"/>
  <c r="N2232" i="40" s="1"/>
  <c r="U2034" i="40"/>
  <c r="Q2034" i="40"/>
  <c r="K2034" i="40"/>
  <c r="J2034" i="40"/>
  <c r="G2034" i="40"/>
  <c r="L2034" i="40" s="1"/>
  <c r="U2033" i="40"/>
  <c r="Q2033" i="40"/>
  <c r="K2033" i="40"/>
  <c r="J2033" i="40"/>
  <c r="G2033" i="40"/>
  <c r="L2033" i="40" s="1"/>
  <c r="U2032" i="40"/>
  <c r="Q2032" i="40"/>
  <c r="K2032" i="40"/>
  <c r="J2032" i="40"/>
  <c r="G2032" i="40"/>
  <c r="L2032" i="40" s="1"/>
  <c r="U2031" i="40"/>
  <c r="Q2031" i="40"/>
  <c r="K2031" i="40"/>
  <c r="J2031" i="40"/>
  <c r="G2031" i="40"/>
  <c r="L2031" i="40" s="1"/>
  <c r="U2030" i="40"/>
  <c r="Q2030" i="40"/>
  <c r="K2030" i="40"/>
  <c r="J2030" i="40"/>
  <c r="G2030" i="40"/>
  <c r="L2030" i="40" s="1"/>
  <c r="N2227" i="40" s="1"/>
  <c r="V2227" i="40" s="1"/>
  <c r="U2029" i="40"/>
  <c r="Q2029" i="40"/>
  <c r="K2029" i="40"/>
  <c r="J2029" i="40"/>
  <c r="G2029" i="40"/>
  <c r="L2029" i="40" s="1"/>
  <c r="N2226" i="40" s="1"/>
  <c r="U2028" i="40"/>
  <c r="Q2028" i="40"/>
  <c r="K2028" i="40"/>
  <c r="J2028" i="40"/>
  <c r="G2028" i="40"/>
  <c r="L2028" i="40" s="1"/>
  <c r="U2027" i="40"/>
  <c r="Q2027" i="40"/>
  <c r="K2027" i="40"/>
  <c r="J2027" i="40"/>
  <c r="G2027" i="40"/>
  <c r="L2027" i="40" s="1"/>
  <c r="U2026" i="40"/>
  <c r="Q2026" i="40"/>
  <c r="K2026" i="40"/>
  <c r="J2026" i="40"/>
  <c r="G2026" i="40"/>
  <c r="L2026" i="40" s="1"/>
  <c r="U2025" i="40"/>
  <c r="Q2025" i="40"/>
  <c r="K2025" i="40"/>
  <c r="J2025" i="40"/>
  <c r="G2025" i="40"/>
  <c r="L2025" i="40" s="1"/>
  <c r="U2024" i="40"/>
  <c r="Q2024" i="40"/>
  <c r="K2024" i="40"/>
  <c r="J2024" i="40"/>
  <c r="G2024" i="40"/>
  <c r="L2024" i="40" s="1"/>
  <c r="U2023" i="40"/>
  <c r="Q2023" i="40"/>
  <c r="K2023" i="40"/>
  <c r="J2023" i="40"/>
  <c r="G2023" i="40"/>
  <c r="L2023" i="40" s="1"/>
  <c r="U2022" i="40"/>
  <c r="Q2022" i="40"/>
  <c r="K2022" i="40"/>
  <c r="J2022" i="40"/>
  <c r="G2022" i="40"/>
  <c r="L2022" i="40" s="1"/>
  <c r="U2021" i="40"/>
  <c r="Q2021" i="40"/>
  <c r="L2021" i="40"/>
  <c r="K2021" i="40"/>
  <c r="J2021" i="40"/>
  <c r="G2021" i="40"/>
  <c r="U2020" i="40"/>
  <c r="Q2020" i="40"/>
  <c r="K2020" i="40"/>
  <c r="J2020" i="40"/>
  <c r="G2020" i="40"/>
  <c r="L2020" i="40" s="1"/>
  <c r="U2019" i="40"/>
  <c r="Q2019" i="40"/>
  <c r="K2019" i="40"/>
  <c r="J2019" i="40"/>
  <c r="G2019" i="40"/>
  <c r="L2019" i="40" s="1"/>
  <c r="U2018" i="40"/>
  <c r="Q2018" i="40"/>
  <c r="L2018" i="40"/>
  <c r="K2018" i="40"/>
  <c r="J2018" i="40"/>
  <c r="G2018" i="40"/>
  <c r="U2017" i="40"/>
  <c r="Q2017" i="40"/>
  <c r="L2017" i="40"/>
  <c r="K2017" i="40"/>
  <c r="J2017" i="40"/>
  <c r="G2017" i="40"/>
  <c r="U2016" i="40"/>
  <c r="Q2016" i="40"/>
  <c r="K2016" i="40"/>
  <c r="J2016" i="40"/>
  <c r="G2016" i="40"/>
  <c r="L2016" i="40" s="1"/>
  <c r="U2015" i="40"/>
  <c r="Q2015" i="40"/>
  <c r="K2015" i="40"/>
  <c r="J2015" i="40"/>
  <c r="G2015" i="40"/>
  <c r="L2015" i="40" s="1"/>
  <c r="U2014" i="40"/>
  <c r="Q2014" i="40"/>
  <c r="L2014" i="40"/>
  <c r="K2014" i="40"/>
  <c r="J2014" i="40"/>
  <c r="G2014" i="40"/>
  <c r="U2013" i="40"/>
  <c r="Q2013" i="40"/>
  <c r="K2013" i="40"/>
  <c r="J2013" i="40"/>
  <c r="G2013" i="40"/>
  <c r="L2013" i="40" s="1"/>
  <c r="U2012" i="40"/>
  <c r="Q2012" i="40"/>
  <c r="K2012" i="40"/>
  <c r="J2012" i="40"/>
  <c r="G2012" i="40"/>
  <c r="L2012" i="40" s="1"/>
  <c r="U2011" i="40"/>
  <c r="Q2011" i="40"/>
  <c r="K2011" i="40"/>
  <c r="J2011" i="40"/>
  <c r="G2011" i="40"/>
  <c r="L2011" i="40" s="1"/>
  <c r="U2010" i="40"/>
  <c r="Q2010" i="40"/>
  <c r="K2010" i="40"/>
  <c r="J2010" i="40"/>
  <c r="G2010" i="40"/>
  <c r="L2010" i="40" s="1"/>
  <c r="U2009" i="40"/>
  <c r="Q2009" i="40"/>
  <c r="K2009" i="40"/>
  <c r="J2009" i="40"/>
  <c r="G2009" i="40"/>
  <c r="L2009" i="40" s="1"/>
  <c r="U2008" i="40"/>
  <c r="Q2008" i="40"/>
  <c r="K2008" i="40"/>
  <c r="J2008" i="40"/>
  <c r="G2008" i="40"/>
  <c r="L2008" i="40" s="1"/>
  <c r="U2007" i="40"/>
  <c r="Q2007" i="40"/>
  <c r="K2007" i="40"/>
  <c r="J2007" i="40"/>
  <c r="G2007" i="40"/>
  <c r="L2007" i="40" s="1"/>
  <c r="U2006" i="40"/>
  <c r="Q2006" i="40"/>
  <c r="K2006" i="40"/>
  <c r="J2006" i="40"/>
  <c r="G2006" i="40"/>
  <c r="L2006" i="40" s="1"/>
  <c r="U2005" i="40"/>
  <c r="Q2005" i="40"/>
  <c r="K2005" i="40"/>
  <c r="J2005" i="40"/>
  <c r="G2005" i="40"/>
  <c r="L2005" i="40" s="1"/>
  <c r="U2004" i="40"/>
  <c r="Q2004" i="40"/>
  <c r="K2004" i="40"/>
  <c r="J2004" i="40"/>
  <c r="G2004" i="40"/>
  <c r="L2004" i="40" s="1"/>
  <c r="U2003" i="40"/>
  <c r="Q2003" i="40"/>
  <c r="K2003" i="40"/>
  <c r="J2003" i="40"/>
  <c r="G2003" i="40"/>
  <c r="L2003" i="40" s="1"/>
  <c r="U2002" i="40"/>
  <c r="Q2002" i="40"/>
  <c r="K2002" i="40"/>
  <c r="J2002" i="40"/>
  <c r="G2002" i="40"/>
  <c r="L2002" i="40" s="1"/>
  <c r="U2001" i="40"/>
  <c r="Q2001" i="40"/>
  <c r="K2001" i="40"/>
  <c r="J2001" i="40"/>
  <c r="G2001" i="40"/>
  <c r="L2001" i="40" s="1"/>
  <c r="U2000" i="40"/>
  <c r="Q2000" i="40"/>
  <c r="K2000" i="40"/>
  <c r="J2000" i="40"/>
  <c r="G2000" i="40"/>
  <c r="L2000" i="40" s="1"/>
  <c r="U1999" i="40"/>
  <c r="Q1999" i="40"/>
  <c r="K1999" i="40"/>
  <c r="J1999" i="40"/>
  <c r="G1999" i="40"/>
  <c r="L1999" i="40" s="1"/>
  <c r="U1998" i="40"/>
  <c r="Q1998" i="40"/>
  <c r="K1998" i="40"/>
  <c r="J1998" i="40"/>
  <c r="G1998" i="40"/>
  <c r="L1998" i="40" s="1"/>
  <c r="U1997" i="40"/>
  <c r="Q1997" i="40"/>
  <c r="K1997" i="40"/>
  <c r="J1997" i="40"/>
  <c r="G1997" i="40"/>
  <c r="L1997" i="40" s="1"/>
  <c r="U1996" i="40"/>
  <c r="Q1996" i="40"/>
  <c r="K1996" i="40"/>
  <c r="J1996" i="40"/>
  <c r="G1996" i="40"/>
  <c r="L1996" i="40" s="1"/>
  <c r="U1995" i="40"/>
  <c r="Q1995" i="40"/>
  <c r="K1995" i="40"/>
  <c r="J1995" i="40"/>
  <c r="G1995" i="40"/>
  <c r="L1995" i="40" s="1"/>
  <c r="U1994" i="40"/>
  <c r="Q1994" i="40"/>
  <c r="K1994" i="40"/>
  <c r="J1994" i="40"/>
  <c r="G1994" i="40"/>
  <c r="L1994" i="40" s="1"/>
  <c r="U1993" i="40"/>
  <c r="Q1993" i="40"/>
  <c r="K1993" i="40"/>
  <c r="J1993" i="40"/>
  <c r="G1993" i="40"/>
  <c r="L1993" i="40" s="1"/>
  <c r="U1992" i="40"/>
  <c r="Q1992" i="40"/>
  <c r="K1992" i="40"/>
  <c r="J1992" i="40"/>
  <c r="G1992" i="40"/>
  <c r="L1992" i="40" s="1"/>
  <c r="U1991" i="40"/>
  <c r="Q1991" i="40"/>
  <c r="K1991" i="40"/>
  <c r="J1991" i="40"/>
  <c r="G1991" i="40"/>
  <c r="L1991" i="40" s="1"/>
  <c r="U1990" i="40"/>
  <c r="Q1990" i="40"/>
  <c r="K1990" i="40"/>
  <c r="J1990" i="40"/>
  <c r="G1990" i="40"/>
  <c r="L1990" i="40" s="1"/>
  <c r="U1989" i="40"/>
  <c r="Q1989" i="40"/>
  <c r="L1989" i="40"/>
  <c r="K1989" i="40"/>
  <c r="J1989" i="40"/>
  <c r="G1989" i="40"/>
  <c r="U1988" i="40"/>
  <c r="Q1988" i="40"/>
  <c r="K1988" i="40"/>
  <c r="J1988" i="40"/>
  <c r="G1988" i="40"/>
  <c r="L1988" i="40" s="1"/>
  <c r="U1987" i="40"/>
  <c r="Q1987" i="40"/>
  <c r="K1987" i="40"/>
  <c r="J1987" i="40"/>
  <c r="G1987" i="40"/>
  <c r="L1987" i="40" s="1"/>
  <c r="U1986" i="40"/>
  <c r="Q1986" i="40"/>
  <c r="L1986" i="40"/>
  <c r="K1986" i="40"/>
  <c r="J1986" i="40"/>
  <c r="G1986" i="40"/>
  <c r="U1985" i="40"/>
  <c r="Q1985" i="40"/>
  <c r="L1985" i="40"/>
  <c r="K1985" i="40"/>
  <c r="J1985" i="40"/>
  <c r="G1985" i="40"/>
  <c r="U1984" i="40"/>
  <c r="Q1984" i="40"/>
  <c r="K1984" i="40"/>
  <c r="J1984" i="40"/>
  <c r="G1984" i="40"/>
  <c r="L1984" i="40" s="1"/>
  <c r="U1983" i="40"/>
  <c r="Q1983" i="40"/>
  <c r="K1983" i="40"/>
  <c r="J1983" i="40"/>
  <c r="G1983" i="40"/>
  <c r="L1983" i="40" s="1"/>
  <c r="U1982" i="40"/>
  <c r="Q1982" i="40"/>
  <c r="L1982" i="40"/>
  <c r="K1982" i="40"/>
  <c r="J1982" i="40"/>
  <c r="G1982" i="40"/>
  <c r="U1981" i="40"/>
  <c r="Q1981" i="40"/>
  <c r="K1981" i="40"/>
  <c r="J1981" i="40"/>
  <c r="G1981" i="40"/>
  <c r="L1981" i="40" s="1"/>
  <c r="U1980" i="40"/>
  <c r="Q1980" i="40"/>
  <c r="K1980" i="40"/>
  <c r="J1980" i="40"/>
  <c r="G1980" i="40"/>
  <c r="L1980" i="40" s="1"/>
  <c r="U1979" i="40"/>
  <c r="Q1979" i="40"/>
  <c r="K1979" i="40"/>
  <c r="J1979" i="40"/>
  <c r="G1979" i="40"/>
  <c r="L1979" i="40" s="1"/>
  <c r="U1978" i="40"/>
  <c r="Q1978" i="40"/>
  <c r="K1978" i="40"/>
  <c r="J1978" i="40"/>
  <c r="G1978" i="40"/>
  <c r="L1978" i="40" s="1"/>
  <c r="U1977" i="40"/>
  <c r="Q1977" i="40"/>
  <c r="K1977" i="40"/>
  <c r="J1977" i="40"/>
  <c r="G1977" i="40"/>
  <c r="L1977" i="40" s="1"/>
  <c r="U1976" i="40"/>
  <c r="Q1976" i="40"/>
  <c r="K1976" i="40"/>
  <c r="J1976" i="40"/>
  <c r="G1976" i="40"/>
  <c r="L1976" i="40" s="1"/>
  <c r="U1975" i="40"/>
  <c r="Q1975" i="40"/>
  <c r="K1975" i="40"/>
  <c r="J1975" i="40"/>
  <c r="G1975" i="40"/>
  <c r="L1975" i="40" s="1"/>
  <c r="U1974" i="40"/>
  <c r="Q1974" i="40"/>
  <c r="K1974" i="40"/>
  <c r="J1974" i="40"/>
  <c r="G1974" i="40"/>
  <c r="L1974" i="40" s="1"/>
  <c r="U1973" i="40"/>
  <c r="Q1973" i="40"/>
  <c r="K1973" i="40"/>
  <c r="J1973" i="40"/>
  <c r="G1973" i="40"/>
  <c r="L1973" i="40" s="1"/>
  <c r="U1972" i="40"/>
  <c r="Q1972" i="40"/>
  <c r="K1972" i="40"/>
  <c r="J1972" i="40"/>
  <c r="G1972" i="40"/>
  <c r="L1972" i="40" s="1"/>
  <c r="V1971" i="40"/>
  <c r="U1971" i="40"/>
  <c r="Q1971" i="40"/>
  <c r="K1971" i="40"/>
  <c r="J1971" i="40"/>
  <c r="G1971" i="40"/>
  <c r="L1971" i="40" s="1"/>
  <c r="V1970" i="40"/>
  <c r="Q1970" i="40"/>
  <c r="U1970" i="40" s="1"/>
  <c r="K1970" i="40"/>
  <c r="J1970" i="40"/>
  <c r="G1970" i="40"/>
  <c r="L1970" i="40" s="1"/>
  <c r="V1969" i="40"/>
  <c r="U1969" i="40"/>
  <c r="Q1969" i="40"/>
  <c r="K1969" i="40"/>
  <c r="J1969" i="40"/>
  <c r="G1969" i="40"/>
  <c r="L1969" i="40" s="1"/>
  <c r="V1968" i="40"/>
  <c r="U1968" i="40"/>
  <c r="Q1968" i="40"/>
  <c r="K1968" i="40"/>
  <c r="J1968" i="40"/>
  <c r="G1968" i="40"/>
  <c r="L1968" i="40" s="1"/>
  <c r="V1967" i="40"/>
  <c r="U1967" i="40"/>
  <c r="Q1967" i="40"/>
  <c r="K1967" i="40"/>
  <c r="J1967" i="40"/>
  <c r="G1967" i="40"/>
  <c r="L1967" i="40" s="1"/>
  <c r="V1966" i="40"/>
  <c r="U1966" i="40"/>
  <c r="Q1966" i="40"/>
  <c r="K1966" i="40"/>
  <c r="J1966" i="40"/>
  <c r="G1966" i="40"/>
  <c r="L1966" i="40" s="1"/>
  <c r="V1965" i="40"/>
  <c r="U1965" i="40"/>
  <c r="Q1965" i="40"/>
  <c r="K1965" i="40"/>
  <c r="J1965" i="40"/>
  <c r="G1965" i="40"/>
  <c r="L1965" i="40" s="1"/>
  <c r="V1964" i="40"/>
  <c r="U1964" i="40"/>
  <c r="Q1964" i="40"/>
  <c r="K1964" i="40"/>
  <c r="J1964" i="40"/>
  <c r="G1964" i="40"/>
  <c r="L1964" i="40" s="1"/>
  <c r="V1963" i="40"/>
  <c r="U1963" i="40"/>
  <c r="Q1963" i="40"/>
  <c r="K1963" i="40"/>
  <c r="J1963" i="40"/>
  <c r="G1963" i="40"/>
  <c r="L1963" i="40" s="1"/>
  <c r="V1962" i="40"/>
  <c r="U1962" i="40"/>
  <c r="Q1962" i="40"/>
  <c r="K1962" i="40"/>
  <c r="J1962" i="40"/>
  <c r="G1962" i="40"/>
  <c r="L1962" i="40" s="1"/>
  <c r="V1961" i="40"/>
  <c r="U1961" i="40"/>
  <c r="Q1961" i="40"/>
  <c r="K1961" i="40"/>
  <c r="J1961" i="40"/>
  <c r="G1961" i="40"/>
  <c r="L1961" i="40" s="1"/>
  <c r="V1960" i="40"/>
  <c r="U1960" i="40"/>
  <c r="Q1960" i="40"/>
  <c r="K1960" i="40"/>
  <c r="J1960" i="40"/>
  <c r="G1960" i="40"/>
  <c r="L1960" i="40" s="1"/>
  <c r="V1959" i="40"/>
  <c r="U1959" i="40"/>
  <c r="Q1959" i="40"/>
  <c r="L1959" i="40"/>
  <c r="K1959" i="40"/>
  <c r="J1959" i="40"/>
  <c r="G1959" i="40"/>
  <c r="V1958" i="40"/>
  <c r="U1958" i="40"/>
  <c r="Q1958" i="40"/>
  <c r="K1958" i="40"/>
  <c r="J1958" i="40"/>
  <c r="G1958" i="40"/>
  <c r="L1958" i="40" s="1"/>
  <c r="V1957" i="40"/>
  <c r="U1957" i="40"/>
  <c r="Q1957" i="40"/>
  <c r="K1957" i="40"/>
  <c r="J1957" i="40"/>
  <c r="G1957" i="40"/>
  <c r="L1957" i="40" s="1"/>
  <c r="V1956" i="40"/>
  <c r="U1956" i="40"/>
  <c r="Q1956" i="40"/>
  <c r="K1956" i="40"/>
  <c r="J1956" i="40"/>
  <c r="G1956" i="40"/>
  <c r="L1956" i="40" s="1"/>
  <c r="V1955" i="40"/>
  <c r="U1955" i="40"/>
  <c r="Q1955" i="40"/>
  <c r="K1955" i="40"/>
  <c r="J1955" i="40"/>
  <c r="G1955" i="40"/>
  <c r="L1955" i="40" s="1"/>
  <c r="V1954" i="40"/>
  <c r="U1954" i="40"/>
  <c r="Q1954" i="40"/>
  <c r="K1954" i="40"/>
  <c r="J1954" i="40"/>
  <c r="G1954" i="40"/>
  <c r="L1954" i="40" s="1"/>
  <c r="V1953" i="40"/>
  <c r="U1953" i="40"/>
  <c r="Q1953" i="40"/>
  <c r="K1953" i="40"/>
  <c r="J1953" i="40"/>
  <c r="G1953" i="40"/>
  <c r="L1953" i="40" s="1"/>
  <c r="V1952" i="40"/>
  <c r="U1952" i="40"/>
  <c r="Q1952" i="40"/>
  <c r="K1952" i="40"/>
  <c r="J1952" i="40"/>
  <c r="G1952" i="40"/>
  <c r="L1952" i="40" s="1"/>
  <c r="V1951" i="40"/>
  <c r="U1951" i="40"/>
  <c r="Q1951" i="40"/>
  <c r="K1951" i="40"/>
  <c r="J1951" i="40"/>
  <c r="G1951" i="40"/>
  <c r="L1951" i="40" s="1"/>
  <c r="V1950" i="40"/>
  <c r="U1950" i="40"/>
  <c r="Q1950" i="40"/>
  <c r="K1950" i="40"/>
  <c r="J1950" i="40"/>
  <c r="G1950" i="40"/>
  <c r="L1950" i="40" s="1"/>
  <c r="V1949" i="40"/>
  <c r="U1949" i="40"/>
  <c r="Q1949" i="40"/>
  <c r="K1949" i="40"/>
  <c r="J1949" i="40"/>
  <c r="G1949" i="40"/>
  <c r="L1949" i="40" s="1"/>
  <c r="V1948" i="40"/>
  <c r="U1948" i="40"/>
  <c r="Q1948" i="40"/>
  <c r="K1948" i="40"/>
  <c r="J1948" i="40"/>
  <c r="G1948" i="40"/>
  <c r="L1948" i="40" s="1"/>
  <c r="V1947" i="40"/>
  <c r="U1947" i="40"/>
  <c r="Q1947" i="40"/>
  <c r="K1947" i="40"/>
  <c r="J1947" i="40"/>
  <c r="G1947" i="40"/>
  <c r="L1947" i="40" s="1"/>
  <c r="V1946" i="40"/>
  <c r="U1946" i="40"/>
  <c r="Q1946" i="40"/>
  <c r="K1946" i="40"/>
  <c r="J1946" i="40"/>
  <c r="G1946" i="40"/>
  <c r="L1946" i="40" s="1"/>
  <c r="V1945" i="40"/>
  <c r="U1945" i="40"/>
  <c r="Q1945" i="40"/>
  <c r="K1945" i="40"/>
  <c r="J1945" i="40"/>
  <c r="G1945" i="40"/>
  <c r="L1945" i="40" s="1"/>
  <c r="V1944" i="40"/>
  <c r="U1944" i="40"/>
  <c r="Q1944" i="40"/>
  <c r="L1944" i="40"/>
  <c r="K1944" i="40"/>
  <c r="J1944" i="40"/>
  <c r="G1944" i="40"/>
  <c r="V1943" i="40"/>
  <c r="U1943" i="40"/>
  <c r="Q1943" i="40"/>
  <c r="L1943" i="40"/>
  <c r="K1943" i="40"/>
  <c r="J1943" i="40"/>
  <c r="G1943" i="40"/>
  <c r="V1942" i="40"/>
  <c r="U1942" i="40"/>
  <c r="Q1942" i="40"/>
  <c r="K1942" i="40"/>
  <c r="J1942" i="40"/>
  <c r="G1942" i="40"/>
  <c r="L1942" i="40" s="1"/>
  <c r="V1941" i="40"/>
  <c r="U1941" i="40"/>
  <c r="Q1941" i="40"/>
  <c r="K1941" i="40"/>
  <c r="J1941" i="40"/>
  <c r="G1941" i="40"/>
  <c r="L1941" i="40" s="1"/>
  <c r="V1940" i="40"/>
  <c r="U1940" i="40"/>
  <c r="Q1940" i="40"/>
  <c r="K1940" i="40"/>
  <c r="J1940" i="40"/>
  <c r="G1940" i="40"/>
  <c r="L1940" i="40" s="1"/>
  <c r="V1939" i="40"/>
  <c r="U1939" i="40"/>
  <c r="Q1939" i="40"/>
  <c r="K1939" i="40"/>
  <c r="J1939" i="40"/>
  <c r="G1939" i="40"/>
  <c r="L1939" i="40" s="1"/>
  <c r="V1938" i="40"/>
  <c r="U1938" i="40"/>
  <c r="Q1938" i="40"/>
  <c r="K1938" i="40"/>
  <c r="J1938" i="40"/>
  <c r="G1938" i="40"/>
  <c r="L1938" i="40" s="1"/>
  <c r="V1937" i="40"/>
  <c r="U1937" i="40"/>
  <c r="Q1937" i="40"/>
  <c r="K1937" i="40"/>
  <c r="J1937" i="40"/>
  <c r="G1937" i="40"/>
  <c r="L1937" i="40" s="1"/>
  <c r="V1936" i="40"/>
  <c r="U1936" i="40"/>
  <c r="Q1936" i="40"/>
  <c r="K1936" i="40"/>
  <c r="J1936" i="40"/>
  <c r="G1936" i="40"/>
  <c r="L1936" i="40" s="1"/>
  <c r="V1935" i="40"/>
  <c r="U1935" i="40"/>
  <c r="Q1935" i="40"/>
  <c r="K1935" i="40"/>
  <c r="J1935" i="40"/>
  <c r="G1935" i="40"/>
  <c r="L1935" i="40" s="1"/>
  <c r="V1934" i="40"/>
  <c r="U1934" i="40"/>
  <c r="Q1934" i="40"/>
  <c r="L1934" i="40"/>
  <c r="K1934" i="40"/>
  <c r="J1934" i="40"/>
  <c r="G1934" i="40"/>
  <c r="V1933" i="40"/>
  <c r="U1933" i="40"/>
  <c r="Q1933" i="40"/>
  <c r="K1933" i="40"/>
  <c r="J1933" i="40"/>
  <c r="G1933" i="40"/>
  <c r="L1933" i="40" s="1"/>
  <c r="V1932" i="40"/>
  <c r="U1932" i="40"/>
  <c r="Q1932" i="40"/>
  <c r="K1932" i="40"/>
  <c r="J1932" i="40"/>
  <c r="G1932" i="40"/>
  <c r="L1932" i="40" s="1"/>
  <c r="V1931" i="40"/>
  <c r="U1931" i="40"/>
  <c r="Q1931" i="40"/>
  <c r="K1931" i="40"/>
  <c r="J1931" i="40"/>
  <c r="G1931" i="40"/>
  <c r="L1931" i="40" s="1"/>
  <c r="V1930" i="40"/>
  <c r="U1930" i="40"/>
  <c r="Q1930" i="40"/>
  <c r="K1930" i="40"/>
  <c r="J1930" i="40"/>
  <c r="G1930" i="40"/>
  <c r="L1930" i="40" s="1"/>
  <c r="V1929" i="40"/>
  <c r="U1929" i="40"/>
  <c r="Q1929" i="40"/>
  <c r="K1929" i="40"/>
  <c r="J1929" i="40"/>
  <c r="G1929" i="40"/>
  <c r="L1929" i="40" s="1"/>
  <c r="V1928" i="40"/>
  <c r="U1928" i="40"/>
  <c r="Q1928" i="40"/>
  <c r="K1928" i="40"/>
  <c r="J1928" i="40"/>
  <c r="G1928" i="40"/>
  <c r="L1928" i="40" s="1"/>
  <c r="V1927" i="40"/>
  <c r="U1927" i="40"/>
  <c r="Q1927" i="40"/>
  <c r="K1927" i="40"/>
  <c r="J1927" i="40"/>
  <c r="G1927" i="40"/>
  <c r="L1927" i="40" s="1"/>
  <c r="V1926" i="40"/>
  <c r="U1926" i="40"/>
  <c r="Q1926" i="40"/>
  <c r="K1926" i="40"/>
  <c r="J1926" i="40"/>
  <c r="G1926" i="40"/>
  <c r="L1926" i="40" s="1"/>
  <c r="V1925" i="40"/>
  <c r="U1925" i="40"/>
  <c r="Q1925" i="40"/>
  <c r="K1925" i="40"/>
  <c r="J1925" i="40"/>
  <c r="G1925" i="40"/>
  <c r="L1925" i="40" s="1"/>
  <c r="V1924" i="40"/>
  <c r="U1924" i="40"/>
  <c r="Q1924" i="40"/>
  <c r="K1924" i="40"/>
  <c r="J1924" i="40"/>
  <c r="G1924" i="40"/>
  <c r="L1924" i="40" s="1"/>
  <c r="V1923" i="40"/>
  <c r="U1923" i="40"/>
  <c r="Q1923" i="40"/>
  <c r="K1923" i="40"/>
  <c r="J1923" i="40"/>
  <c r="G1923" i="40"/>
  <c r="L1923" i="40" s="1"/>
  <c r="V1922" i="40"/>
  <c r="U1922" i="40"/>
  <c r="Q1922" i="40"/>
  <c r="K1922" i="40"/>
  <c r="J1922" i="40"/>
  <c r="G1922" i="40"/>
  <c r="L1922" i="40" s="1"/>
  <c r="V1921" i="40"/>
  <c r="U1921" i="40"/>
  <c r="Q1921" i="40"/>
  <c r="K1921" i="40"/>
  <c r="J1921" i="40"/>
  <c r="G1921" i="40"/>
  <c r="L1921" i="40" s="1"/>
  <c r="V1920" i="40"/>
  <c r="U1920" i="40"/>
  <c r="Q1920" i="40"/>
  <c r="K1920" i="40"/>
  <c r="J1920" i="40"/>
  <c r="G1920" i="40"/>
  <c r="L1920" i="40" s="1"/>
  <c r="V1919" i="40"/>
  <c r="U1919" i="40"/>
  <c r="Q1919" i="40"/>
  <c r="K1919" i="40"/>
  <c r="J1919" i="40"/>
  <c r="G1919" i="40"/>
  <c r="L1919" i="40" s="1"/>
  <c r="V1918" i="40"/>
  <c r="U1918" i="40"/>
  <c r="Q1918" i="40"/>
  <c r="K1918" i="40"/>
  <c r="J1918" i="40"/>
  <c r="G1918" i="40"/>
  <c r="L1918" i="40" s="1"/>
  <c r="V1917" i="40"/>
  <c r="U1917" i="40"/>
  <c r="Q1917" i="40"/>
  <c r="K1917" i="40"/>
  <c r="J1917" i="40"/>
  <c r="G1917" i="40"/>
  <c r="L1917" i="40" s="1"/>
  <c r="V1916" i="40"/>
  <c r="U1916" i="40"/>
  <c r="Q1916" i="40"/>
  <c r="K1916" i="40"/>
  <c r="J1916" i="40"/>
  <c r="G1916" i="40"/>
  <c r="L1916" i="40" s="1"/>
  <c r="V1915" i="40"/>
  <c r="U1915" i="40"/>
  <c r="Q1915" i="40"/>
  <c r="K1915" i="40"/>
  <c r="J1915" i="40"/>
  <c r="G1915" i="40"/>
  <c r="L1915" i="40" s="1"/>
  <c r="V1914" i="40"/>
  <c r="U1914" i="40"/>
  <c r="Q1914" i="40"/>
  <c r="K1914" i="40"/>
  <c r="J1914" i="40"/>
  <c r="G1914" i="40"/>
  <c r="L1914" i="40" s="1"/>
  <c r="V1913" i="40"/>
  <c r="U1913" i="40"/>
  <c r="Q1913" i="40"/>
  <c r="K1913" i="40"/>
  <c r="J1913" i="40"/>
  <c r="G1913" i="40"/>
  <c r="L1913" i="40" s="1"/>
  <c r="V1912" i="40"/>
  <c r="U1912" i="40"/>
  <c r="Q1912" i="40"/>
  <c r="K1912" i="40"/>
  <c r="J1912" i="40"/>
  <c r="G1912" i="40"/>
  <c r="L1912" i="40" s="1"/>
  <c r="V1911" i="40"/>
  <c r="U1911" i="40"/>
  <c r="Q1911" i="40"/>
  <c r="K1911" i="40"/>
  <c r="J1911" i="40"/>
  <c r="G1911" i="40"/>
  <c r="L1911" i="40" s="1"/>
  <c r="V1910" i="40"/>
  <c r="U1910" i="40"/>
  <c r="Q1910" i="40"/>
  <c r="K1910" i="40"/>
  <c r="J1910" i="40"/>
  <c r="G1910" i="40"/>
  <c r="L1910" i="40" s="1"/>
  <c r="V1909" i="40"/>
  <c r="U1909" i="40"/>
  <c r="Q1909" i="40"/>
  <c r="K1909" i="40"/>
  <c r="J1909" i="40"/>
  <c r="G1909" i="40"/>
  <c r="L1909" i="40" s="1"/>
  <c r="V1908" i="40"/>
  <c r="U1908" i="40"/>
  <c r="Q1908" i="40"/>
  <c r="K1908" i="40"/>
  <c r="J1908" i="40"/>
  <c r="G1908" i="40"/>
  <c r="L1908" i="40" s="1"/>
  <c r="V1907" i="40"/>
  <c r="U1907" i="40"/>
  <c r="Q1907" i="40"/>
  <c r="K1907" i="40"/>
  <c r="J1907" i="40"/>
  <c r="G1907" i="40"/>
  <c r="L1907" i="40" s="1"/>
  <c r="V1906" i="40"/>
  <c r="U1906" i="40"/>
  <c r="Q1906" i="40"/>
  <c r="K1906" i="40"/>
  <c r="J1906" i="40"/>
  <c r="G1906" i="40"/>
  <c r="L1906" i="40" s="1"/>
  <c r="V1905" i="40"/>
  <c r="U1905" i="40"/>
  <c r="Q1905" i="40"/>
  <c r="K1905" i="40"/>
  <c r="J1905" i="40"/>
  <c r="G1905" i="40"/>
  <c r="L1905" i="40" s="1"/>
  <c r="V1904" i="40"/>
  <c r="U1904" i="40"/>
  <c r="Q1904" i="40"/>
  <c r="K1904" i="40"/>
  <c r="J1904" i="40"/>
  <c r="G1904" i="40"/>
  <c r="L1904" i="40" s="1"/>
  <c r="V1903" i="40"/>
  <c r="U1903" i="40"/>
  <c r="Q1903" i="40"/>
  <c r="K1903" i="40"/>
  <c r="J1903" i="40"/>
  <c r="G1903" i="40"/>
  <c r="L1903" i="40" s="1"/>
  <c r="V1902" i="40"/>
  <c r="U1902" i="40"/>
  <c r="Q1902" i="40"/>
  <c r="K1902" i="40"/>
  <c r="J1902" i="40"/>
  <c r="G1902" i="40"/>
  <c r="L1902" i="40" s="1"/>
  <c r="V1901" i="40"/>
  <c r="U1901" i="40"/>
  <c r="Q1901" i="40"/>
  <c r="K1901" i="40"/>
  <c r="J1901" i="40"/>
  <c r="G1901" i="40"/>
  <c r="L1901" i="40" s="1"/>
  <c r="V1900" i="40"/>
  <c r="U1900" i="40"/>
  <c r="Q1900" i="40"/>
  <c r="K1900" i="40"/>
  <c r="J1900" i="40"/>
  <c r="G1900" i="40"/>
  <c r="L1900" i="40" s="1"/>
  <c r="V1899" i="40"/>
  <c r="U1899" i="40"/>
  <c r="Q1899" i="40"/>
  <c r="K1899" i="40"/>
  <c r="J1899" i="40"/>
  <c r="G1899" i="40"/>
  <c r="L1899" i="40" s="1"/>
  <c r="V1898" i="40"/>
  <c r="U1898" i="40"/>
  <c r="Q1898" i="40"/>
  <c r="K1898" i="40"/>
  <c r="J1898" i="40"/>
  <c r="G1898" i="40"/>
  <c r="L1898" i="40" s="1"/>
  <c r="V1897" i="40"/>
  <c r="U1897" i="40"/>
  <c r="Q1897" i="40"/>
  <c r="K1897" i="40"/>
  <c r="J1897" i="40"/>
  <c r="G1897" i="40"/>
  <c r="L1897" i="40" s="1"/>
  <c r="V1896" i="40"/>
  <c r="U1896" i="40"/>
  <c r="Q1896" i="40"/>
  <c r="K1896" i="40"/>
  <c r="J1896" i="40"/>
  <c r="G1896" i="40"/>
  <c r="L1896" i="40" s="1"/>
  <c r="V1895" i="40"/>
  <c r="U1895" i="40"/>
  <c r="Q1895" i="40"/>
  <c r="K1895" i="40"/>
  <c r="J1895" i="40"/>
  <c r="G1895" i="40"/>
  <c r="L1895" i="40" s="1"/>
  <c r="V1894" i="40"/>
  <c r="U1894" i="40"/>
  <c r="Q1894" i="40"/>
  <c r="L1894" i="40"/>
  <c r="K1894" i="40"/>
  <c r="J1894" i="40"/>
  <c r="G1894" i="40"/>
  <c r="V1893" i="40"/>
  <c r="U1893" i="40"/>
  <c r="Q1893" i="40"/>
  <c r="K1893" i="40"/>
  <c r="J1893" i="40"/>
  <c r="G1893" i="40"/>
  <c r="L1893" i="40" s="1"/>
  <c r="V1892" i="40"/>
  <c r="U1892" i="40"/>
  <c r="Q1892" i="40"/>
  <c r="K1892" i="40"/>
  <c r="J1892" i="40"/>
  <c r="G1892" i="40"/>
  <c r="L1892" i="40" s="1"/>
  <c r="V1891" i="40"/>
  <c r="U1891" i="40"/>
  <c r="Q1891" i="40"/>
  <c r="K1891" i="40"/>
  <c r="J1891" i="40"/>
  <c r="G1891" i="40"/>
  <c r="L1891" i="40" s="1"/>
  <c r="V1890" i="40"/>
  <c r="U1890" i="40"/>
  <c r="Q1890" i="40"/>
  <c r="K1890" i="40"/>
  <c r="J1890" i="40"/>
  <c r="G1890" i="40"/>
  <c r="L1890" i="40" s="1"/>
  <c r="V1889" i="40"/>
  <c r="U1889" i="40"/>
  <c r="Q1889" i="40"/>
  <c r="L1889" i="40"/>
  <c r="K1889" i="40"/>
  <c r="J1889" i="40"/>
  <c r="G1889" i="40"/>
  <c r="V1888" i="40"/>
  <c r="U1888" i="40"/>
  <c r="Q1888" i="40"/>
  <c r="K1888" i="40"/>
  <c r="J1888" i="40"/>
  <c r="G1888" i="40"/>
  <c r="L1888" i="40" s="1"/>
  <c r="V1887" i="40"/>
  <c r="U1887" i="40"/>
  <c r="Q1887" i="40"/>
  <c r="K1887" i="40"/>
  <c r="J1887" i="40"/>
  <c r="G1887" i="40"/>
  <c r="L1887" i="40" s="1"/>
  <c r="V1886" i="40"/>
  <c r="U1886" i="40"/>
  <c r="Q1886" i="40"/>
  <c r="K1886" i="40"/>
  <c r="J1886" i="40"/>
  <c r="G1886" i="40"/>
  <c r="L1886" i="40" s="1"/>
  <c r="V1885" i="40"/>
  <c r="U1885" i="40"/>
  <c r="Q1885" i="40"/>
  <c r="K1885" i="40"/>
  <c r="J1885" i="40"/>
  <c r="G1885" i="40"/>
  <c r="L1885" i="40" s="1"/>
  <c r="V1884" i="40"/>
  <c r="U1884" i="40"/>
  <c r="Q1884" i="40"/>
  <c r="K1884" i="40"/>
  <c r="J1884" i="40"/>
  <c r="G1884" i="40"/>
  <c r="L1884" i="40" s="1"/>
  <c r="V1883" i="40"/>
  <c r="U1883" i="40"/>
  <c r="Q1883" i="40"/>
  <c r="K1883" i="40"/>
  <c r="J1883" i="40"/>
  <c r="G1883" i="40"/>
  <c r="L1883" i="40" s="1"/>
  <c r="V1882" i="40"/>
  <c r="U1882" i="40"/>
  <c r="Q1882" i="40"/>
  <c r="K1882" i="40"/>
  <c r="J1882" i="40"/>
  <c r="G1882" i="40"/>
  <c r="L1882" i="40" s="1"/>
  <c r="V1881" i="40"/>
  <c r="U1881" i="40"/>
  <c r="Q1881" i="40"/>
  <c r="K1881" i="40"/>
  <c r="J1881" i="40"/>
  <c r="G1881" i="40"/>
  <c r="L1881" i="40" s="1"/>
  <c r="V1880" i="40"/>
  <c r="U1880" i="40"/>
  <c r="Q1880" i="40"/>
  <c r="L1880" i="40"/>
  <c r="K1880" i="40"/>
  <c r="J1880" i="40"/>
  <c r="G1880" i="40"/>
  <c r="V1879" i="40"/>
  <c r="U1879" i="40"/>
  <c r="Q1879" i="40"/>
  <c r="L1879" i="40"/>
  <c r="K1879" i="40"/>
  <c r="J1879" i="40"/>
  <c r="G1879" i="40"/>
  <c r="V1878" i="40"/>
  <c r="Q1878" i="40"/>
  <c r="U1878" i="40" s="1"/>
  <c r="L1878" i="40"/>
  <c r="K1878" i="40"/>
  <c r="J1878" i="40"/>
  <c r="G1878" i="40"/>
  <c r="V1877" i="40"/>
  <c r="U1877" i="40"/>
  <c r="Q1877" i="40"/>
  <c r="K1877" i="40"/>
  <c r="J1877" i="40"/>
  <c r="G1877" i="40"/>
  <c r="L1877" i="40" s="1"/>
  <c r="V1876" i="40"/>
  <c r="U1876" i="40"/>
  <c r="Q1876" i="40"/>
  <c r="K1876" i="40"/>
  <c r="J1876" i="40"/>
  <c r="G1876" i="40"/>
  <c r="L1876" i="40" s="1"/>
  <c r="V1875" i="40"/>
  <c r="U1875" i="40"/>
  <c r="Q1875" i="40"/>
  <c r="K1875" i="40"/>
  <c r="J1875" i="40"/>
  <c r="G1875" i="40"/>
  <c r="L1875" i="40" s="1"/>
  <c r="V1874" i="40"/>
  <c r="U1874" i="40"/>
  <c r="Q1874" i="40"/>
  <c r="K1874" i="40"/>
  <c r="J1874" i="40"/>
  <c r="G1874" i="40"/>
  <c r="L1874" i="40" s="1"/>
  <c r="V1873" i="40"/>
  <c r="U1873" i="40"/>
  <c r="Q1873" i="40"/>
  <c r="K1873" i="40"/>
  <c r="J1873" i="40"/>
  <c r="G1873" i="40"/>
  <c r="L1873" i="40" s="1"/>
  <c r="V1872" i="40"/>
  <c r="U1872" i="40"/>
  <c r="Q1872" i="40"/>
  <c r="K1872" i="40"/>
  <c r="J1872" i="40"/>
  <c r="G1872" i="40"/>
  <c r="L1872" i="40" s="1"/>
  <c r="V1871" i="40"/>
  <c r="U1871" i="40"/>
  <c r="Q1871" i="40"/>
  <c r="K1871" i="40"/>
  <c r="J1871" i="40"/>
  <c r="G1871" i="40"/>
  <c r="L1871" i="40" s="1"/>
  <c r="V1870" i="40"/>
  <c r="U1870" i="40"/>
  <c r="Q1870" i="40"/>
  <c r="K1870" i="40"/>
  <c r="J1870" i="40"/>
  <c r="G1870" i="40"/>
  <c r="L1870" i="40" s="1"/>
  <c r="V1869" i="40"/>
  <c r="U1869" i="40"/>
  <c r="Q1869" i="40"/>
  <c r="K1869" i="40"/>
  <c r="J1869" i="40"/>
  <c r="G1869" i="40"/>
  <c r="L1869" i="40" s="1"/>
  <c r="V1868" i="40"/>
  <c r="U1868" i="40"/>
  <c r="Q1868" i="40"/>
  <c r="K1868" i="40"/>
  <c r="J1868" i="40"/>
  <c r="G1868" i="40"/>
  <c r="L1868" i="40" s="1"/>
  <c r="V1867" i="40"/>
  <c r="U1867" i="40"/>
  <c r="Q1867" i="40"/>
  <c r="K1867" i="40"/>
  <c r="J1867" i="40"/>
  <c r="G1867" i="40"/>
  <c r="L1867" i="40" s="1"/>
  <c r="V1866" i="40"/>
  <c r="U1866" i="40"/>
  <c r="Q1866" i="40"/>
  <c r="K1866" i="40"/>
  <c r="J1866" i="40"/>
  <c r="G1866" i="40"/>
  <c r="L1866" i="40" s="1"/>
  <c r="V1865" i="40"/>
  <c r="U1865" i="40"/>
  <c r="Q1865" i="40"/>
  <c r="K1865" i="40"/>
  <c r="J1865" i="40"/>
  <c r="G1865" i="40"/>
  <c r="L1865" i="40" s="1"/>
  <c r="V1864" i="40"/>
  <c r="U1864" i="40"/>
  <c r="Q1864" i="40"/>
  <c r="K1864" i="40"/>
  <c r="J1864" i="40"/>
  <c r="G1864" i="40"/>
  <c r="L1864" i="40" s="1"/>
  <c r="V1863" i="40"/>
  <c r="U1863" i="40"/>
  <c r="Q1863" i="40"/>
  <c r="K1863" i="40"/>
  <c r="J1863" i="40"/>
  <c r="G1863" i="40"/>
  <c r="L1863" i="40" s="1"/>
  <c r="V1862" i="40"/>
  <c r="U1862" i="40"/>
  <c r="Q1862" i="40"/>
  <c r="K1862" i="40"/>
  <c r="J1862" i="40"/>
  <c r="G1862" i="40"/>
  <c r="L1862" i="40" s="1"/>
  <c r="V1861" i="40"/>
  <c r="U1861" i="40"/>
  <c r="Q1861" i="40"/>
  <c r="K1861" i="40"/>
  <c r="J1861" i="40"/>
  <c r="G1861" i="40"/>
  <c r="L1861" i="40" s="1"/>
  <c r="V1860" i="40"/>
  <c r="U1860" i="40"/>
  <c r="Q1860" i="40"/>
  <c r="K1860" i="40"/>
  <c r="J1860" i="40"/>
  <c r="G1860" i="40"/>
  <c r="L1860" i="40" s="1"/>
  <c r="V1859" i="40"/>
  <c r="U1859" i="40"/>
  <c r="Q1859" i="40"/>
  <c r="K1859" i="40"/>
  <c r="J1859" i="40"/>
  <c r="G1859" i="40"/>
  <c r="L1859" i="40" s="1"/>
  <c r="V1858" i="40"/>
  <c r="U1858" i="40"/>
  <c r="Q1858" i="40"/>
  <c r="K1858" i="40"/>
  <c r="J1858" i="40"/>
  <c r="G1858" i="40"/>
  <c r="L1858" i="40" s="1"/>
  <c r="V1857" i="40"/>
  <c r="U1857" i="40"/>
  <c r="Q1857" i="40"/>
  <c r="K1857" i="40"/>
  <c r="J1857" i="40"/>
  <c r="G1857" i="40"/>
  <c r="L1857" i="40" s="1"/>
  <c r="V1856" i="40"/>
  <c r="U1856" i="40"/>
  <c r="Q1856" i="40"/>
  <c r="K1856" i="40"/>
  <c r="J1856" i="40"/>
  <c r="G1856" i="40"/>
  <c r="L1856" i="40" s="1"/>
  <c r="V1855" i="40"/>
  <c r="U1855" i="40"/>
  <c r="Q1855" i="40"/>
  <c r="L1855" i="40"/>
  <c r="K1855" i="40"/>
  <c r="J1855" i="40"/>
  <c r="G1855" i="40"/>
  <c r="V1854" i="40"/>
  <c r="U1854" i="40"/>
  <c r="Q1854" i="40"/>
  <c r="K1854" i="40"/>
  <c r="J1854" i="40"/>
  <c r="G1854" i="40"/>
  <c r="L1854" i="40" s="1"/>
  <c r="V1853" i="40"/>
  <c r="U1853" i="40"/>
  <c r="Q1853" i="40"/>
  <c r="K1853" i="40"/>
  <c r="J1853" i="40"/>
  <c r="G1853" i="40"/>
  <c r="L1853" i="40" s="1"/>
  <c r="V1852" i="40"/>
  <c r="U1852" i="40"/>
  <c r="Q1852" i="40"/>
  <c r="K1852" i="40"/>
  <c r="J1852" i="40"/>
  <c r="G1852" i="40"/>
  <c r="L1852" i="40" s="1"/>
  <c r="V1851" i="40"/>
  <c r="U1851" i="40"/>
  <c r="Q1851" i="40"/>
  <c r="K1851" i="40"/>
  <c r="J1851" i="40"/>
  <c r="G1851" i="40"/>
  <c r="L1851" i="40" s="1"/>
  <c r="V1850" i="40"/>
  <c r="U1850" i="40"/>
  <c r="Q1850" i="40"/>
  <c r="K1850" i="40"/>
  <c r="J1850" i="40"/>
  <c r="G1850" i="40"/>
  <c r="L1850" i="40" s="1"/>
  <c r="V1849" i="40"/>
  <c r="U1849" i="40"/>
  <c r="Q1849" i="40"/>
  <c r="L1849" i="40"/>
  <c r="K1849" i="40"/>
  <c r="J1849" i="40"/>
  <c r="G1849" i="40"/>
  <c r="V1848" i="40"/>
  <c r="U1848" i="40"/>
  <c r="Q1848" i="40"/>
  <c r="K1848" i="40"/>
  <c r="J1848" i="40"/>
  <c r="G1848" i="40"/>
  <c r="L1848" i="40" s="1"/>
  <c r="V1847" i="40"/>
  <c r="U1847" i="40"/>
  <c r="Q1847" i="40"/>
  <c r="L1847" i="40"/>
  <c r="K1847" i="40"/>
  <c r="J1847" i="40"/>
  <c r="G1847" i="40"/>
  <c r="V1846" i="40"/>
  <c r="U1846" i="40"/>
  <c r="Q1846" i="40"/>
  <c r="K1846" i="40"/>
  <c r="J1846" i="40"/>
  <c r="G1846" i="40"/>
  <c r="L1846" i="40" s="1"/>
  <c r="V1845" i="40"/>
  <c r="U1845" i="40"/>
  <c r="Q1845" i="40"/>
  <c r="K1845" i="40"/>
  <c r="J1845" i="40"/>
  <c r="G1845" i="40"/>
  <c r="L1845" i="40" s="1"/>
  <c r="V1844" i="40"/>
  <c r="U1844" i="40"/>
  <c r="Q1844" i="40"/>
  <c r="K1844" i="40"/>
  <c r="J1844" i="40"/>
  <c r="G1844" i="40"/>
  <c r="L1844" i="40" s="1"/>
  <c r="V1843" i="40"/>
  <c r="U1843" i="40"/>
  <c r="Q1843" i="40"/>
  <c r="K1843" i="40"/>
  <c r="J1843" i="40"/>
  <c r="G1843" i="40"/>
  <c r="L1843" i="40" s="1"/>
  <c r="V1842" i="40"/>
  <c r="U1842" i="40"/>
  <c r="Q1842" i="40"/>
  <c r="K1842" i="40"/>
  <c r="J1842" i="40"/>
  <c r="G1842" i="40"/>
  <c r="L1842" i="40" s="1"/>
  <c r="V1841" i="40"/>
  <c r="U1841" i="40"/>
  <c r="Q1841" i="40"/>
  <c r="K1841" i="40"/>
  <c r="J1841" i="40"/>
  <c r="G1841" i="40"/>
  <c r="L1841" i="40" s="1"/>
  <c r="V1840" i="40"/>
  <c r="U1840" i="40"/>
  <c r="Q1840" i="40"/>
  <c r="K1840" i="40"/>
  <c r="J1840" i="40"/>
  <c r="G1840" i="40"/>
  <c r="L1840" i="40" s="1"/>
  <c r="V1839" i="40"/>
  <c r="U1839" i="40"/>
  <c r="Q1839" i="40"/>
  <c r="K1839" i="40"/>
  <c r="J1839" i="40"/>
  <c r="G1839" i="40"/>
  <c r="L1839" i="40" s="1"/>
  <c r="V1838" i="40"/>
  <c r="U1838" i="40"/>
  <c r="Q1838" i="40"/>
  <c r="L1838" i="40"/>
  <c r="K1838" i="40"/>
  <c r="J1838" i="40"/>
  <c r="G1838" i="40"/>
  <c r="V1837" i="40"/>
  <c r="U1837" i="40"/>
  <c r="Q1837" i="40"/>
  <c r="K1837" i="40"/>
  <c r="J1837" i="40"/>
  <c r="G1837" i="40"/>
  <c r="L1837" i="40" s="1"/>
  <c r="V1836" i="40"/>
  <c r="U1836" i="40"/>
  <c r="Q1836" i="40"/>
  <c r="K1836" i="40"/>
  <c r="J1836" i="40"/>
  <c r="G1836" i="40"/>
  <c r="L1836" i="40" s="1"/>
  <c r="V1835" i="40"/>
  <c r="U1835" i="40"/>
  <c r="Q1835" i="40"/>
  <c r="K1835" i="40"/>
  <c r="J1835" i="40"/>
  <c r="G1835" i="40"/>
  <c r="L1835" i="40" s="1"/>
  <c r="V1834" i="40"/>
  <c r="U1834" i="40"/>
  <c r="Q1834" i="40"/>
  <c r="K1834" i="40"/>
  <c r="J1834" i="40"/>
  <c r="G1834" i="40"/>
  <c r="L1834" i="40" s="1"/>
  <c r="V1833" i="40"/>
  <c r="U1833" i="40"/>
  <c r="Q1833" i="40"/>
  <c r="K1833" i="40"/>
  <c r="J1833" i="40"/>
  <c r="G1833" i="40"/>
  <c r="L1833" i="40" s="1"/>
  <c r="V1832" i="40"/>
  <c r="U1832" i="40"/>
  <c r="Q1832" i="40"/>
  <c r="L1832" i="40"/>
  <c r="K1832" i="40"/>
  <c r="J1832" i="40"/>
  <c r="G1832" i="40"/>
  <c r="V1831" i="40"/>
  <c r="U1831" i="40"/>
  <c r="Q1831" i="40"/>
  <c r="K1831" i="40"/>
  <c r="J1831" i="40"/>
  <c r="G1831" i="40"/>
  <c r="L1831" i="40" s="1"/>
  <c r="V1830" i="40"/>
  <c r="U1830" i="40"/>
  <c r="Q1830" i="40"/>
  <c r="K1830" i="40"/>
  <c r="J1830" i="40"/>
  <c r="G1830" i="40"/>
  <c r="L1830" i="40" s="1"/>
  <c r="V1829" i="40"/>
  <c r="U1829" i="40"/>
  <c r="Q1829" i="40"/>
  <c r="K1829" i="40"/>
  <c r="J1829" i="40"/>
  <c r="G1829" i="40"/>
  <c r="L1829" i="40" s="1"/>
  <c r="V1828" i="40"/>
  <c r="U1828" i="40"/>
  <c r="Q1828" i="40"/>
  <c r="K1828" i="40"/>
  <c r="J1828" i="40"/>
  <c r="G1828" i="40"/>
  <c r="L1828" i="40" s="1"/>
  <c r="V1827" i="40"/>
  <c r="U1827" i="40"/>
  <c r="Q1827" i="40"/>
  <c r="K1827" i="40"/>
  <c r="J1827" i="40"/>
  <c r="G1827" i="40"/>
  <c r="L1827" i="40" s="1"/>
  <c r="V1826" i="40"/>
  <c r="U1826" i="40"/>
  <c r="Q1826" i="40"/>
  <c r="K1826" i="40"/>
  <c r="J1826" i="40"/>
  <c r="G1826" i="40"/>
  <c r="L1826" i="40" s="1"/>
  <c r="V1825" i="40"/>
  <c r="U1825" i="40"/>
  <c r="Q1825" i="40"/>
  <c r="K1825" i="40"/>
  <c r="J1825" i="40"/>
  <c r="G1825" i="40"/>
  <c r="L1825" i="40" s="1"/>
  <c r="V1824" i="40"/>
  <c r="U1824" i="40"/>
  <c r="Q1824" i="40"/>
  <c r="K1824" i="40"/>
  <c r="J1824" i="40"/>
  <c r="G1824" i="40"/>
  <c r="L1824" i="40" s="1"/>
  <c r="V1823" i="40"/>
  <c r="U1823" i="40"/>
  <c r="Q1823" i="40"/>
  <c r="K1823" i="40"/>
  <c r="J1823" i="40"/>
  <c r="G1823" i="40"/>
  <c r="L1823" i="40" s="1"/>
  <c r="V1822" i="40"/>
  <c r="U1822" i="40"/>
  <c r="Q1822" i="40"/>
  <c r="K1822" i="40"/>
  <c r="J1822" i="40"/>
  <c r="G1822" i="40"/>
  <c r="L1822" i="40" s="1"/>
  <c r="V1821" i="40"/>
  <c r="U1821" i="40"/>
  <c r="Q1821" i="40"/>
  <c r="K1821" i="40"/>
  <c r="J1821" i="40"/>
  <c r="G1821" i="40"/>
  <c r="L1821" i="40" s="1"/>
  <c r="V1820" i="40"/>
  <c r="U1820" i="40"/>
  <c r="Q1820" i="40"/>
  <c r="K1820" i="40"/>
  <c r="J1820" i="40"/>
  <c r="G1820" i="40"/>
  <c r="L1820" i="40" s="1"/>
  <c r="V1819" i="40"/>
  <c r="U1819" i="40"/>
  <c r="Q1819" i="40"/>
  <c r="K1819" i="40"/>
  <c r="J1819" i="40"/>
  <c r="G1819" i="40"/>
  <c r="L1819" i="40" s="1"/>
  <c r="V1818" i="40"/>
  <c r="U1818" i="40"/>
  <c r="Q1818" i="40"/>
  <c r="K1818" i="40"/>
  <c r="J1818" i="40"/>
  <c r="G1818" i="40"/>
  <c r="L1818" i="40" s="1"/>
  <c r="V1817" i="40"/>
  <c r="U1817" i="40"/>
  <c r="Q1817" i="40"/>
  <c r="L1817" i="40"/>
  <c r="K1817" i="40"/>
  <c r="J1817" i="40"/>
  <c r="G1817" i="40"/>
  <c r="V1816" i="40"/>
  <c r="U1816" i="40"/>
  <c r="Q1816" i="40"/>
  <c r="K1816" i="40"/>
  <c r="J1816" i="40"/>
  <c r="G1816" i="40"/>
  <c r="L1816" i="40" s="1"/>
  <c r="V1815" i="40"/>
  <c r="U1815" i="40"/>
  <c r="Q1815" i="40"/>
  <c r="K1815" i="40"/>
  <c r="J1815" i="40"/>
  <c r="G1815" i="40"/>
  <c r="L1815" i="40" s="1"/>
  <c r="V1814" i="40"/>
  <c r="U1814" i="40"/>
  <c r="Q1814" i="40"/>
  <c r="K1814" i="40"/>
  <c r="J1814" i="40"/>
  <c r="G1814" i="40"/>
  <c r="L1814" i="40" s="1"/>
  <c r="V1813" i="40"/>
  <c r="U1813" i="40"/>
  <c r="Q1813" i="40"/>
  <c r="K1813" i="40"/>
  <c r="J1813" i="40"/>
  <c r="G1813" i="40"/>
  <c r="L1813" i="40" s="1"/>
  <c r="V1812" i="40"/>
  <c r="U1812" i="40"/>
  <c r="Q1812" i="40"/>
  <c r="K1812" i="40"/>
  <c r="J1812" i="40"/>
  <c r="G1812" i="40"/>
  <c r="L1812" i="40" s="1"/>
  <c r="V1811" i="40"/>
  <c r="U1811" i="40"/>
  <c r="Q1811" i="40"/>
  <c r="K1811" i="40"/>
  <c r="J1811" i="40"/>
  <c r="G1811" i="40"/>
  <c r="L1811" i="40" s="1"/>
  <c r="V1810" i="40"/>
  <c r="U1810" i="40"/>
  <c r="Q1810" i="40"/>
  <c r="K1810" i="40"/>
  <c r="J1810" i="40"/>
  <c r="G1810" i="40"/>
  <c r="L1810" i="40" s="1"/>
  <c r="V1809" i="40"/>
  <c r="U1809" i="40"/>
  <c r="Q1809" i="40"/>
  <c r="K1809" i="40"/>
  <c r="J1809" i="40"/>
  <c r="G1809" i="40"/>
  <c r="L1809" i="40" s="1"/>
  <c r="V1808" i="40"/>
  <c r="U1808" i="40"/>
  <c r="Q1808" i="40"/>
  <c r="K1808" i="40"/>
  <c r="J1808" i="40"/>
  <c r="G1808" i="40"/>
  <c r="L1808" i="40" s="1"/>
  <c r="V1807" i="40"/>
  <c r="U1807" i="40"/>
  <c r="Q1807" i="40"/>
  <c r="K1807" i="40"/>
  <c r="J1807" i="40"/>
  <c r="G1807" i="40"/>
  <c r="L1807" i="40" s="1"/>
  <c r="V1806" i="40"/>
  <c r="U1806" i="40"/>
  <c r="Q1806" i="40"/>
  <c r="L1806" i="40"/>
  <c r="K1806" i="40"/>
  <c r="J1806" i="40"/>
  <c r="G1806" i="40"/>
  <c r="V1805" i="40"/>
  <c r="U1805" i="40"/>
  <c r="Q1805" i="40"/>
  <c r="K1805" i="40"/>
  <c r="J1805" i="40"/>
  <c r="G1805" i="40"/>
  <c r="L1805" i="40" s="1"/>
  <c r="V1804" i="40"/>
  <c r="U1804" i="40"/>
  <c r="Q1804" i="40"/>
  <c r="K1804" i="40"/>
  <c r="J1804" i="40"/>
  <c r="G1804" i="40"/>
  <c r="L1804" i="40" s="1"/>
  <c r="V1803" i="40"/>
  <c r="U1803" i="40"/>
  <c r="Q1803" i="40"/>
  <c r="K1803" i="40"/>
  <c r="J1803" i="40"/>
  <c r="G1803" i="40"/>
  <c r="L1803" i="40" s="1"/>
  <c r="V1802" i="40"/>
  <c r="U1802" i="40"/>
  <c r="Q1802" i="40"/>
  <c r="K1802" i="40"/>
  <c r="J1802" i="40"/>
  <c r="G1802" i="40"/>
  <c r="L1802" i="40" s="1"/>
  <c r="V1801" i="40"/>
  <c r="U1801" i="40"/>
  <c r="Q1801" i="40"/>
  <c r="L1801" i="40"/>
  <c r="K1801" i="40"/>
  <c r="J1801" i="40"/>
  <c r="G1801" i="40"/>
  <c r="V1800" i="40"/>
  <c r="U1800" i="40"/>
  <c r="Q1800" i="40"/>
  <c r="L1800" i="40"/>
  <c r="K1800" i="40"/>
  <c r="J1800" i="40"/>
  <c r="G1800" i="40"/>
  <c r="V1799" i="40"/>
  <c r="U1799" i="40"/>
  <c r="Q1799" i="40"/>
  <c r="K1799" i="40"/>
  <c r="J1799" i="40"/>
  <c r="G1799" i="40"/>
  <c r="L1799" i="40" s="1"/>
  <c r="V1798" i="40"/>
  <c r="U1798" i="40"/>
  <c r="Q1798" i="40"/>
  <c r="K1798" i="40"/>
  <c r="J1798" i="40"/>
  <c r="G1798" i="40"/>
  <c r="L1798" i="40" s="1"/>
  <c r="V1797" i="40"/>
  <c r="U1797" i="40"/>
  <c r="Q1797" i="40"/>
  <c r="K1797" i="40"/>
  <c r="J1797" i="40"/>
  <c r="G1797" i="40"/>
  <c r="L1797" i="40" s="1"/>
  <c r="V1796" i="40"/>
  <c r="U1796" i="40"/>
  <c r="Q1796" i="40"/>
  <c r="K1796" i="40"/>
  <c r="J1796" i="40"/>
  <c r="G1796" i="40"/>
  <c r="L1796" i="40" s="1"/>
  <c r="V1795" i="40"/>
  <c r="U1795" i="40"/>
  <c r="Q1795" i="40"/>
  <c r="K1795" i="40"/>
  <c r="J1795" i="40"/>
  <c r="G1795" i="40"/>
  <c r="L1795" i="40" s="1"/>
  <c r="V1794" i="40"/>
  <c r="U1794" i="40"/>
  <c r="Q1794" i="40"/>
  <c r="K1794" i="40"/>
  <c r="J1794" i="40"/>
  <c r="G1794" i="40"/>
  <c r="L1794" i="40" s="1"/>
  <c r="V1793" i="40"/>
  <c r="Q1793" i="40"/>
  <c r="U1793" i="40" s="1"/>
  <c r="K1793" i="40"/>
  <c r="J1793" i="40"/>
  <c r="G1793" i="40"/>
  <c r="L1793" i="40" s="1"/>
  <c r="V1792" i="40"/>
  <c r="U1792" i="40"/>
  <c r="Q1792" i="40"/>
  <c r="K1792" i="40"/>
  <c r="J1792" i="40"/>
  <c r="G1792" i="40"/>
  <c r="L1792" i="40" s="1"/>
  <c r="V1791" i="40"/>
  <c r="U1791" i="40"/>
  <c r="Q1791" i="40"/>
  <c r="K1791" i="40"/>
  <c r="J1791" i="40"/>
  <c r="G1791" i="40"/>
  <c r="L1791" i="40" s="1"/>
  <c r="V1790" i="40"/>
  <c r="U1790" i="40"/>
  <c r="Q1790" i="40"/>
  <c r="L1790" i="40"/>
  <c r="K1790" i="40"/>
  <c r="J1790" i="40"/>
  <c r="G1790" i="40"/>
  <c r="V1789" i="40"/>
  <c r="U1789" i="40"/>
  <c r="Q1789" i="40"/>
  <c r="K1789" i="40"/>
  <c r="J1789" i="40"/>
  <c r="G1789" i="40"/>
  <c r="L1789" i="40" s="1"/>
  <c r="V1788" i="40"/>
  <c r="U1788" i="40"/>
  <c r="Q1788" i="40"/>
  <c r="K1788" i="40"/>
  <c r="J1788" i="40"/>
  <c r="G1788" i="40"/>
  <c r="L1788" i="40" s="1"/>
  <c r="V1787" i="40"/>
  <c r="U1787" i="40"/>
  <c r="Q1787" i="40"/>
  <c r="K1787" i="40"/>
  <c r="J1787" i="40"/>
  <c r="G1787" i="40"/>
  <c r="L1787" i="40" s="1"/>
  <c r="V1786" i="40"/>
  <c r="U1786" i="40"/>
  <c r="Q1786" i="40"/>
  <c r="K1786" i="40"/>
  <c r="J1786" i="40"/>
  <c r="G1786" i="40"/>
  <c r="L1786" i="40" s="1"/>
  <c r="V1785" i="40"/>
  <c r="U1785" i="40"/>
  <c r="Q1785" i="40"/>
  <c r="K1785" i="40"/>
  <c r="J1785" i="40"/>
  <c r="G1785" i="40"/>
  <c r="L1785" i="40" s="1"/>
  <c r="V1784" i="40"/>
  <c r="U1784" i="40"/>
  <c r="Q1784" i="40"/>
  <c r="K1784" i="40"/>
  <c r="J1784" i="40"/>
  <c r="G1784" i="40"/>
  <c r="L1784" i="40" s="1"/>
  <c r="V1783" i="40"/>
  <c r="U1783" i="40"/>
  <c r="Q1783" i="40"/>
  <c r="L1783" i="40"/>
  <c r="K1783" i="40"/>
  <c r="J1783" i="40"/>
  <c r="G1783" i="40"/>
  <c r="V1782" i="40"/>
  <c r="U1782" i="40"/>
  <c r="Q1782" i="40"/>
  <c r="K1782" i="40"/>
  <c r="J1782" i="40"/>
  <c r="G1782" i="40"/>
  <c r="L1782" i="40" s="1"/>
  <c r="V1781" i="40"/>
  <c r="U1781" i="40"/>
  <c r="Q1781" i="40"/>
  <c r="K1781" i="40"/>
  <c r="J1781" i="40"/>
  <c r="G1781" i="40"/>
  <c r="L1781" i="40" s="1"/>
  <c r="V1780" i="40"/>
  <c r="U1780" i="40"/>
  <c r="Q1780" i="40"/>
  <c r="K1780" i="40"/>
  <c r="J1780" i="40"/>
  <c r="G1780" i="40"/>
  <c r="L1780" i="40" s="1"/>
  <c r="V1779" i="40"/>
  <c r="U1779" i="40"/>
  <c r="Q1779" i="40"/>
  <c r="K1779" i="40"/>
  <c r="J1779" i="40"/>
  <c r="G1779" i="40"/>
  <c r="L1779" i="40" s="1"/>
  <c r="V1778" i="40"/>
  <c r="U1778" i="40"/>
  <c r="Q1778" i="40"/>
  <c r="K1778" i="40"/>
  <c r="J1778" i="40"/>
  <c r="G1778" i="40"/>
  <c r="L1778" i="40" s="1"/>
  <c r="V1777" i="40"/>
  <c r="U1777" i="40"/>
  <c r="Q1777" i="40"/>
  <c r="K1777" i="40"/>
  <c r="J1777" i="40"/>
  <c r="G1777" i="40"/>
  <c r="L1777" i="40" s="1"/>
  <c r="V1776" i="40"/>
  <c r="U1776" i="40"/>
  <c r="Q1776" i="40"/>
  <c r="K1776" i="40"/>
  <c r="J1776" i="40"/>
  <c r="G1776" i="40"/>
  <c r="L1776" i="40" s="1"/>
  <c r="V1775" i="40"/>
  <c r="U1775" i="40"/>
  <c r="Q1775" i="40"/>
  <c r="K1775" i="40"/>
  <c r="J1775" i="40"/>
  <c r="G1775" i="40"/>
  <c r="L1775" i="40" s="1"/>
  <c r="V1774" i="40"/>
  <c r="U1774" i="40"/>
  <c r="Q1774" i="40"/>
  <c r="L1774" i="40"/>
  <c r="K1774" i="40"/>
  <c r="J1774" i="40"/>
  <c r="G1774" i="40"/>
  <c r="V1773" i="40"/>
  <c r="U1773" i="40"/>
  <c r="Q1773" i="40"/>
  <c r="K1773" i="40"/>
  <c r="J1773" i="40"/>
  <c r="G1773" i="40"/>
  <c r="L1773" i="40" s="1"/>
  <c r="V1772" i="40"/>
  <c r="U1772" i="40"/>
  <c r="Q1772" i="40"/>
  <c r="K1772" i="40"/>
  <c r="J1772" i="40"/>
  <c r="G1772" i="40"/>
  <c r="L1772" i="40" s="1"/>
  <c r="V1771" i="40"/>
  <c r="U1771" i="40"/>
  <c r="Q1771" i="40"/>
  <c r="K1771" i="40"/>
  <c r="J1771" i="40"/>
  <c r="G1771" i="40"/>
  <c r="L1771" i="40" s="1"/>
  <c r="V1770" i="40"/>
  <c r="U1770" i="40"/>
  <c r="Q1770" i="40"/>
  <c r="K1770" i="40"/>
  <c r="J1770" i="40"/>
  <c r="G1770" i="40"/>
  <c r="L1770" i="40" s="1"/>
  <c r="V1769" i="40"/>
  <c r="U1769" i="40"/>
  <c r="Q1769" i="40"/>
  <c r="L1769" i="40"/>
  <c r="K1769" i="40"/>
  <c r="J1769" i="40"/>
  <c r="G1769" i="40"/>
  <c r="V1768" i="40"/>
  <c r="U1768" i="40"/>
  <c r="Q1768" i="40"/>
  <c r="K1768" i="40"/>
  <c r="J1768" i="40"/>
  <c r="G1768" i="40"/>
  <c r="L1768" i="40" s="1"/>
  <c r="V1767" i="40"/>
  <c r="U1767" i="40"/>
  <c r="Q1767" i="40"/>
  <c r="K1767" i="40"/>
  <c r="J1767" i="40"/>
  <c r="G1767" i="40"/>
  <c r="L1767" i="40" s="1"/>
  <c r="V1766" i="40"/>
  <c r="U1766" i="40"/>
  <c r="Q1766" i="40"/>
  <c r="K1766" i="40"/>
  <c r="J1766" i="40"/>
  <c r="G1766" i="40"/>
  <c r="L1766" i="40" s="1"/>
  <c r="V1765" i="40"/>
  <c r="U1765" i="40"/>
  <c r="Q1765" i="40"/>
  <c r="K1765" i="40"/>
  <c r="J1765" i="40"/>
  <c r="G1765" i="40"/>
  <c r="L1765" i="40" s="1"/>
  <c r="V1764" i="40"/>
  <c r="U1764" i="40"/>
  <c r="Q1764" i="40"/>
  <c r="K1764" i="40"/>
  <c r="J1764" i="40"/>
  <c r="G1764" i="40"/>
  <c r="L1764" i="40" s="1"/>
  <c r="V1763" i="40"/>
  <c r="U1763" i="40"/>
  <c r="Q1763" i="40"/>
  <c r="K1763" i="40"/>
  <c r="J1763" i="40"/>
  <c r="G1763" i="40"/>
  <c r="L1763" i="40" s="1"/>
  <c r="V1762" i="40"/>
  <c r="U1762" i="40"/>
  <c r="Q1762" i="40"/>
  <c r="K1762" i="40"/>
  <c r="J1762" i="40"/>
  <c r="G1762" i="40"/>
  <c r="L1762" i="40" s="1"/>
  <c r="V1761" i="40"/>
  <c r="U1761" i="40"/>
  <c r="Q1761" i="40"/>
  <c r="K1761" i="40"/>
  <c r="J1761" i="40"/>
  <c r="G1761" i="40"/>
  <c r="L1761" i="40" s="1"/>
  <c r="V1760" i="40"/>
  <c r="U1760" i="40"/>
  <c r="Q1760" i="40"/>
  <c r="K1760" i="40"/>
  <c r="J1760" i="40"/>
  <c r="G1760" i="40"/>
  <c r="L1760" i="40" s="1"/>
  <c r="V1759" i="40"/>
  <c r="U1759" i="40"/>
  <c r="Q1759" i="40"/>
  <c r="K1759" i="40"/>
  <c r="J1759" i="40"/>
  <c r="G1759" i="40"/>
  <c r="L1759" i="40" s="1"/>
  <c r="V1758" i="40"/>
  <c r="U1758" i="40"/>
  <c r="Q1758" i="40"/>
  <c r="L1758" i="40"/>
  <c r="K1758" i="40"/>
  <c r="J1758" i="40"/>
  <c r="G1758" i="40"/>
  <c r="V1757" i="40"/>
  <c r="U1757" i="40"/>
  <c r="Q1757" i="40"/>
  <c r="K1757" i="40"/>
  <c r="J1757" i="40"/>
  <c r="G1757" i="40"/>
  <c r="L1757" i="40" s="1"/>
  <c r="V1756" i="40"/>
  <c r="U1756" i="40"/>
  <c r="Q1756" i="40"/>
  <c r="K1756" i="40"/>
  <c r="J1756" i="40"/>
  <c r="G1756" i="40"/>
  <c r="L1756" i="40" s="1"/>
  <c r="V1755" i="40"/>
  <c r="U1755" i="40"/>
  <c r="Q1755" i="40"/>
  <c r="K1755" i="40"/>
  <c r="J1755" i="40"/>
  <c r="G1755" i="40"/>
  <c r="L1755" i="40" s="1"/>
  <c r="V1754" i="40"/>
  <c r="U1754" i="40"/>
  <c r="Q1754" i="40"/>
  <c r="K1754" i="40"/>
  <c r="J1754" i="40"/>
  <c r="G1754" i="40"/>
  <c r="L1754" i="40" s="1"/>
  <c r="V1753" i="40"/>
  <c r="U1753" i="40"/>
  <c r="Q1753" i="40"/>
  <c r="K1753" i="40"/>
  <c r="J1753" i="40"/>
  <c r="G1753" i="40"/>
  <c r="L1753" i="40" s="1"/>
  <c r="V1752" i="40"/>
  <c r="U1752" i="40"/>
  <c r="Q1752" i="40"/>
  <c r="L1752" i="40"/>
  <c r="K1752" i="40"/>
  <c r="J1752" i="40"/>
  <c r="G1752" i="40"/>
  <c r="V1751" i="40"/>
  <c r="U1751" i="40"/>
  <c r="Q1751" i="40"/>
  <c r="L1751" i="40"/>
  <c r="K1751" i="40"/>
  <c r="J1751" i="40"/>
  <c r="G1751" i="40"/>
  <c r="V1750" i="40"/>
  <c r="U1750" i="40"/>
  <c r="Q1750" i="40"/>
  <c r="K1750" i="40"/>
  <c r="J1750" i="40"/>
  <c r="G1750" i="40"/>
  <c r="L1750" i="40" s="1"/>
  <c r="V1749" i="40"/>
  <c r="U1749" i="40"/>
  <c r="Q1749" i="40"/>
  <c r="K1749" i="40"/>
  <c r="J1749" i="40"/>
  <c r="G1749" i="40"/>
  <c r="L1749" i="40" s="1"/>
  <c r="V1748" i="40"/>
  <c r="U1748" i="40"/>
  <c r="Q1748" i="40"/>
  <c r="K1748" i="40"/>
  <c r="J1748" i="40"/>
  <c r="G1748" i="40"/>
  <c r="L1748" i="40" s="1"/>
  <c r="V1747" i="40"/>
  <c r="U1747" i="40"/>
  <c r="Q1747" i="40"/>
  <c r="K1747" i="40"/>
  <c r="J1747" i="40"/>
  <c r="G1747" i="40"/>
  <c r="L1747" i="40" s="1"/>
  <c r="V1746" i="40"/>
  <c r="U1746" i="40"/>
  <c r="Q1746" i="40"/>
  <c r="K1746" i="40"/>
  <c r="J1746" i="40"/>
  <c r="G1746" i="40"/>
  <c r="L1746" i="40" s="1"/>
  <c r="V1745" i="40"/>
  <c r="U1745" i="40"/>
  <c r="Q1745" i="40"/>
  <c r="K1745" i="40"/>
  <c r="J1745" i="40"/>
  <c r="G1745" i="40"/>
  <c r="L1745" i="40" s="1"/>
  <c r="V1744" i="40"/>
  <c r="U1744" i="40"/>
  <c r="Q1744" i="40"/>
  <c r="K1744" i="40"/>
  <c r="J1744" i="40"/>
  <c r="G1744" i="40"/>
  <c r="L1744" i="40" s="1"/>
  <c r="V1743" i="40"/>
  <c r="U1743" i="40"/>
  <c r="Q1743" i="40"/>
  <c r="K1743" i="40"/>
  <c r="J1743" i="40"/>
  <c r="G1743" i="40"/>
  <c r="L1743" i="40" s="1"/>
  <c r="V1742" i="40"/>
  <c r="U1742" i="40"/>
  <c r="Q1742" i="40"/>
  <c r="L1742" i="40"/>
  <c r="K1742" i="40"/>
  <c r="J1742" i="40"/>
  <c r="G1742" i="40"/>
  <c r="V1741" i="40"/>
  <c r="U1741" i="40"/>
  <c r="Q1741" i="40"/>
  <c r="K1741" i="40"/>
  <c r="J1741" i="40"/>
  <c r="G1741" i="40"/>
  <c r="L1741" i="40" s="1"/>
  <c r="V1740" i="40"/>
  <c r="U1740" i="40"/>
  <c r="Q1740" i="40"/>
  <c r="K1740" i="40"/>
  <c r="J1740" i="40"/>
  <c r="G1740" i="40"/>
  <c r="L1740" i="40" s="1"/>
  <c r="V1739" i="40"/>
  <c r="U1739" i="40"/>
  <c r="Q1739" i="40"/>
  <c r="K1739" i="40"/>
  <c r="J1739" i="40"/>
  <c r="G1739" i="40"/>
  <c r="L1739" i="40" s="1"/>
  <c r="V1738" i="40"/>
  <c r="U1738" i="40"/>
  <c r="Q1738" i="40"/>
  <c r="K1738" i="40"/>
  <c r="J1738" i="40"/>
  <c r="G1738" i="40"/>
  <c r="L1738" i="40" s="1"/>
  <c r="V1737" i="40"/>
  <c r="U1737" i="40"/>
  <c r="Q1737" i="40"/>
  <c r="K1737" i="40"/>
  <c r="J1737" i="40"/>
  <c r="G1737" i="40"/>
  <c r="L1737" i="40" s="1"/>
  <c r="V1736" i="40"/>
  <c r="U1736" i="40"/>
  <c r="Q1736" i="40"/>
  <c r="K1736" i="40"/>
  <c r="J1736" i="40"/>
  <c r="G1736" i="40"/>
  <c r="L1736" i="40" s="1"/>
  <c r="V1735" i="40"/>
  <c r="U1735" i="40"/>
  <c r="Q1735" i="40"/>
  <c r="K1735" i="40"/>
  <c r="J1735" i="40"/>
  <c r="G1735" i="40"/>
  <c r="L1735" i="40" s="1"/>
  <c r="V1734" i="40"/>
  <c r="U1734" i="40"/>
  <c r="Q1734" i="40"/>
  <c r="K1734" i="40"/>
  <c r="J1734" i="40"/>
  <c r="G1734" i="40"/>
  <c r="L1734" i="40" s="1"/>
  <c r="V1733" i="40"/>
  <c r="U1733" i="40"/>
  <c r="Q1733" i="40"/>
  <c r="K1733" i="40"/>
  <c r="J1733" i="40"/>
  <c r="G1733" i="40"/>
  <c r="L1733" i="40" s="1"/>
  <c r="V1732" i="40"/>
  <c r="Q1732" i="40"/>
  <c r="U1732" i="40" s="1"/>
  <c r="K1732" i="40"/>
  <c r="J1732" i="40"/>
  <c r="G1732" i="40"/>
  <c r="L1732" i="40" s="1"/>
  <c r="V1731" i="40"/>
  <c r="U1731" i="40"/>
  <c r="Q1731" i="40"/>
  <c r="K1731" i="40"/>
  <c r="J1731" i="40"/>
  <c r="G1731" i="40"/>
  <c r="L1731" i="40" s="1"/>
  <c r="V1730" i="40"/>
  <c r="U1730" i="40"/>
  <c r="Q1730" i="40"/>
  <c r="K1730" i="40"/>
  <c r="J1730" i="40"/>
  <c r="G1730" i="40"/>
  <c r="L1730" i="40" s="1"/>
  <c r="V1729" i="40"/>
  <c r="U1729" i="40"/>
  <c r="Q1729" i="40"/>
  <c r="K1729" i="40"/>
  <c r="J1729" i="40"/>
  <c r="G1729" i="40"/>
  <c r="L1729" i="40" s="1"/>
  <c r="V1728" i="40"/>
  <c r="Q1728" i="40"/>
  <c r="U1728" i="40" s="1"/>
  <c r="L1728" i="40"/>
  <c r="K1728" i="40"/>
  <c r="J1728" i="40"/>
  <c r="G1728" i="40"/>
  <c r="V1727" i="40"/>
  <c r="U1727" i="40"/>
  <c r="Q1727" i="40"/>
  <c r="L1727" i="40"/>
  <c r="K1727" i="40"/>
  <c r="J1727" i="40"/>
  <c r="G1727" i="40"/>
  <c r="V1726" i="40"/>
  <c r="U1726" i="40"/>
  <c r="Q1726" i="40"/>
  <c r="L1726" i="40"/>
  <c r="K1726" i="40"/>
  <c r="J1726" i="40"/>
  <c r="G1726" i="40"/>
  <c r="V1725" i="40"/>
  <c r="U1725" i="40"/>
  <c r="Q1725" i="40"/>
  <c r="K1725" i="40"/>
  <c r="J1725" i="40"/>
  <c r="G1725" i="40"/>
  <c r="L1725" i="40" s="1"/>
  <c r="V1724" i="40"/>
  <c r="U1724" i="40"/>
  <c r="Q1724" i="40"/>
  <c r="K1724" i="40"/>
  <c r="J1724" i="40"/>
  <c r="G1724" i="40"/>
  <c r="L1724" i="40" s="1"/>
  <c r="V1723" i="40"/>
  <c r="U1723" i="40"/>
  <c r="Q1723" i="40"/>
  <c r="K1723" i="40"/>
  <c r="J1723" i="40"/>
  <c r="G1723" i="40"/>
  <c r="L1723" i="40" s="1"/>
  <c r="V1722" i="40"/>
  <c r="U1722" i="40"/>
  <c r="Q1722" i="40"/>
  <c r="K1722" i="40"/>
  <c r="J1722" i="40"/>
  <c r="G1722" i="40"/>
  <c r="L1722" i="40" s="1"/>
  <c r="V1721" i="40"/>
  <c r="U1721" i="40"/>
  <c r="Q1721" i="40"/>
  <c r="K1721" i="40"/>
  <c r="J1721" i="40"/>
  <c r="G1721" i="40"/>
  <c r="L1721" i="40" s="1"/>
  <c r="V1720" i="40"/>
  <c r="U1720" i="40"/>
  <c r="Q1720" i="40"/>
  <c r="K1720" i="40"/>
  <c r="J1720" i="40"/>
  <c r="G1720" i="40"/>
  <c r="L1720" i="40" s="1"/>
  <c r="V1719" i="40"/>
  <c r="U1719" i="40"/>
  <c r="Q1719" i="40"/>
  <c r="K1719" i="40"/>
  <c r="J1719" i="40"/>
  <c r="G1719" i="40"/>
  <c r="L1719" i="40" s="1"/>
  <c r="V1718" i="40"/>
  <c r="U1718" i="40"/>
  <c r="Q1718" i="40"/>
  <c r="K1718" i="40"/>
  <c r="J1718" i="40"/>
  <c r="G1718" i="40"/>
  <c r="L1718" i="40" s="1"/>
  <c r="V1717" i="40"/>
  <c r="U1717" i="40"/>
  <c r="Q1717" i="40"/>
  <c r="K1717" i="40"/>
  <c r="J1717" i="40"/>
  <c r="G1717" i="40"/>
  <c r="L1717" i="40" s="1"/>
  <c r="V1716" i="40"/>
  <c r="U1716" i="40"/>
  <c r="Q1716" i="40"/>
  <c r="K1716" i="40"/>
  <c r="J1716" i="40"/>
  <c r="G1716" i="40"/>
  <c r="L1716" i="40" s="1"/>
  <c r="V1715" i="40"/>
  <c r="U1715" i="40"/>
  <c r="Q1715" i="40"/>
  <c r="K1715" i="40"/>
  <c r="J1715" i="40"/>
  <c r="G1715" i="40"/>
  <c r="L1715" i="40" s="1"/>
  <c r="V1714" i="40"/>
  <c r="U1714" i="40"/>
  <c r="Q1714" i="40"/>
  <c r="K1714" i="40"/>
  <c r="J1714" i="40"/>
  <c r="G1714" i="40"/>
  <c r="L1714" i="40" s="1"/>
  <c r="V1713" i="40"/>
  <c r="U1713" i="40"/>
  <c r="Q1713" i="40"/>
  <c r="K1713" i="40"/>
  <c r="J1713" i="40"/>
  <c r="G1713" i="40"/>
  <c r="L1713" i="40" s="1"/>
  <c r="V1712" i="40"/>
  <c r="U1712" i="40"/>
  <c r="Q1712" i="40"/>
  <c r="K1712" i="40"/>
  <c r="J1712" i="40"/>
  <c r="G1712" i="40"/>
  <c r="L1712" i="40" s="1"/>
  <c r="V1711" i="40"/>
  <c r="U1711" i="40"/>
  <c r="Q1711" i="40"/>
  <c r="L1711" i="40"/>
  <c r="K1711" i="40"/>
  <c r="J1711" i="40"/>
  <c r="G1711" i="40"/>
  <c r="V1710" i="40"/>
  <c r="U1710" i="40"/>
  <c r="Q1710" i="40"/>
  <c r="K1710" i="40"/>
  <c r="J1710" i="40"/>
  <c r="G1710" i="40"/>
  <c r="L1710" i="40" s="1"/>
  <c r="V1709" i="40"/>
  <c r="U1709" i="40"/>
  <c r="Q1709" i="40"/>
  <c r="K1709" i="40"/>
  <c r="J1709" i="40"/>
  <c r="G1709" i="40"/>
  <c r="L1709" i="40" s="1"/>
  <c r="V1708" i="40"/>
  <c r="U1708" i="40"/>
  <c r="Q1708" i="40"/>
  <c r="K1708" i="40"/>
  <c r="J1708" i="40"/>
  <c r="G1708" i="40"/>
  <c r="L1708" i="40" s="1"/>
  <c r="V1707" i="40"/>
  <c r="U1707" i="40"/>
  <c r="Q1707" i="40"/>
  <c r="K1707" i="40"/>
  <c r="J1707" i="40"/>
  <c r="G1707" i="40"/>
  <c r="L1707" i="40" s="1"/>
  <c r="V1706" i="40"/>
  <c r="U1706" i="40"/>
  <c r="Q1706" i="40"/>
  <c r="K1706" i="40"/>
  <c r="J1706" i="40"/>
  <c r="G1706" i="40"/>
  <c r="L1706" i="40" s="1"/>
  <c r="V1705" i="40"/>
  <c r="U1705" i="40"/>
  <c r="Q1705" i="40"/>
  <c r="L1705" i="40"/>
  <c r="K1705" i="40"/>
  <c r="J1705" i="40"/>
  <c r="G1705" i="40"/>
  <c r="V1704" i="40"/>
  <c r="U1704" i="40"/>
  <c r="Q1704" i="40"/>
  <c r="K1704" i="40"/>
  <c r="J1704" i="40"/>
  <c r="G1704" i="40"/>
  <c r="L1704" i="40" s="1"/>
  <c r="V1703" i="40"/>
  <c r="U1703" i="40"/>
  <c r="Q1703" i="40"/>
  <c r="K1703" i="40"/>
  <c r="J1703" i="40"/>
  <c r="G1703" i="40"/>
  <c r="L1703" i="40" s="1"/>
  <c r="V1702" i="40"/>
  <c r="U1702" i="40"/>
  <c r="Q1702" i="40"/>
  <c r="K1702" i="40"/>
  <c r="J1702" i="40"/>
  <c r="G1702" i="40"/>
  <c r="L1702" i="40" s="1"/>
  <c r="V1701" i="40"/>
  <c r="U1701" i="40"/>
  <c r="Q1701" i="40"/>
  <c r="K1701" i="40"/>
  <c r="J1701" i="40"/>
  <c r="G1701" i="40"/>
  <c r="L1701" i="40" s="1"/>
  <c r="V1700" i="40"/>
  <c r="U1700" i="40"/>
  <c r="Q1700" i="40"/>
  <c r="K1700" i="40"/>
  <c r="J1700" i="40"/>
  <c r="G1700" i="40"/>
  <c r="L1700" i="40" s="1"/>
  <c r="V1699" i="40"/>
  <c r="U1699" i="40"/>
  <c r="Q1699" i="40"/>
  <c r="K1699" i="40"/>
  <c r="J1699" i="40"/>
  <c r="G1699" i="40"/>
  <c r="L1699" i="40" s="1"/>
  <c r="V1698" i="40"/>
  <c r="U1698" i="40"/>
  <c r="Q1698" i="40"/>
  <c r="K1698" i="40"/>
  <c r="J1698" i="40"/>
  <c r="G1698" i="40"/>
  <c r="L1698" i="40" s="1"/>
  <c r="V1697" i="40"/>
  <c r="U1697" i="40"/>
  <c r="Q1697" i="40"/>
  <c r="K1697" i="40"/>
  <c r="J1697" i="40"/>
  <c r="G1697" i="40"/>
  <c r="L1697" i="40" s="1"/>
  <c r="V1696" i="40"/>
  <c r="U1696" i="40"/>
  <c r="Q1696" i="40"/>
  <c r="K1696" i="40"/>
  <c r="J1696" i="40"/>
  <c r="G1696" i="40"/>
  <c r="L1696" i="40" s="1"/>
  <c r="V1695" i="40"/>
  <c r="U1695" i="40"/>
  <c r="Q1695" i="40"/>
  <c r="L1695" i="40"/>
  <c r="K1695" i="40"/>
  <c r="J1695" i="40"/>
  <c r="G1695" i="40"/>
  <c r="V1694" i="40"/>
  <c r="U1694" i="40"/>
  <c r="Q1694" i="40"/>
  <c r="K1694" i="40"/>
  <c r="J1694" i="40"/>
  <c r="G1694" i="40"/>
  <c r="L1694" i="40" s="1"/>
  <c r="V1693" i="40"/>
  <c r="U1693" i="40"/>
  <c r="Q1693" i="40"/>
  <c r="K1693" i="40"/>
  <c r="J1693" i="40"/>
  <c r="G1693" i="40"/>
  <c r="L1693" i="40" s="1"/>
  <c r="V1692" i="40"/>
  <c r="U1692" i="40"/>
  <c r="Q1692" i="40"/>
  <c r="K1692" i="40"/>
  <c r="J1692" i="40"/>
  <c r="G1692" i="40"/>
  <c r="L1692" i="40" s="1"/>
  <c r="V1691" i="40"/>
  <c r="U1691" i="40"/>
  <c r="Q1691" i="40"/>
  <c r="K1691" i="40"/>
  <c r="J1691" i="40"/>
  <c r="G1691" i="40"/>
  <c r="L1691" i="40" s="1"/>
  <c r="V1690" i="40"/>
  <c r="U1690" i="40"/>
  <c r="Q1690" i="40"/>
  <c r="K1690" i="40"/>
  <c r="J1690" i="40"/>
  <c r="G1690" i="40"/>
  <c r="L1690" i="40" s="1"/>
  <c r="V1689" i="40"/>
  <c r="Q1689" i="40"/>
  <c r="U1689" i="40" s="1"/>
  <c r="K1689" i="40"/>
  <c r="J1689" i="40"/>
  <c r="G1689" i="40"/>
  <c r="L1689" i="40" s="1"/>
  <c r="V1688" i="40"/>
  <c r="U1688" i="40"/>
  <c r="Q1688" i="40"/>
  <c r="K1688" i="40"/>
  <c r="J1688" i="40"/>
  <c r="G1688" i="40"/>
  <c r="L1688" i="40" s="1"/>
  <c r="V1687" i="40"/>
  <c r="U1687" i="40"/>
  <c r="Q1687" i="40"/>
  <c r="K1687" i="40"/>
  <c r="J1687" i="40"/>
  <c r="G1687" i="40"/>
  <c r="L1687" i="40" s="1"/>
  <c r="V1686" i="40"/>
  <c r="U1686" i="40"/>
  <c r="Q1686" i="40"/>
  <c r="K1686" i="40"/>
  <c r="J1686" i="40"/>
  <c r="G1686" i="40"/>
  <c r="L1686" i="40" s="1"/>
  <c r="V1685" i="40"/>
  <c r="U1685" i="40"/>
  <c r="Q1685" i="40"/>
  <c r="K1685" i="40"/>
  <c r="J1685" i="40"/>
  <c r="G1685" i="40"/>
  <c r="L1685" i="40" s="1"/>
  <c r="V1684" i="40"/>
  <c r="U1684" i="40"/>
  <c r="Q1684" i="40"/>
  <c r="K1684" i="40"/>
  <c r="J1684" i="40"/>
  <c r="G1684" i="40"/>
  <c r="L1684" i="40" s="1"/>
  <c r="V1683" i="40"/>
  <c r="U1683" i="40"/>
  <c r="Q1683" i="40"/>
  <c r="K1683" i="40"/>
  <c r="J1683" i="40"/>
  <c r="G1683" i="40"/>
  <c r="L1683" i="40" s="1"/>
  <c r="V1682" i="40"/>
  <c r="U1682" i="40"/>
  <c r="Q1682" i="40"/>
  <c r="K1682" i="40"/>
  <c r="J1682" i="40"/>
  <c r="G1682" i="40"/>
  <c r="L1682" i="40" s="1"/>
  <c r="V1681" i="40"/>
  <c r="U1681" i="40"/>
  <c r="Q1681" i="40"/>
  <c r="K1681" i="40"/>
  <c r="J1681" i="40"/>
  <c r="G1681" i="40"/>
  <c r="L1681" i="40" s="1"/>
  <c r="V1680" i="40"/>
  <c r="U1680" i="40"/>
  <c r="Q1680" i="40"/>
  <c r="L1680" i="40"/>
  <c r="K1680" i="40"/>
  <c r="J1680" i="40"/>
  <c r="G1680" i="40"/>
  <c r="V1679" i="40"/>
  <c r="U1679" i="40"/>
  <c r="Q1679" i="40"/>
  <c r="K1679" i="40"/>
  <c r="J1679" i="40"/>
  <c r="G1679" i="40"/>
  <c r="L1679" i="40" s="1"/>
  <c r="V1678" i="40"/>
  <c r="U1678" i="40"/>
  <c r="Q1678" i="40"/>
  <c r="L1678" i="40"/>
  <c r="K1678" i="40"/>
  <c r="J1678" i="40"/>
  <c r="G1678" i="40"/>
  <c r="V1677" i="40"/>
  <c r="U1677" i="40"/>
  <c r="Q1677" i="40"/>
  <c r="K1677" i="40"/>
  <c r="J1677" i="40"/>
  <c r="G1677" i="40"/>
  <c r="L1677" i="40" s="1"/>
  <c r="V1676" i="40"/>
  <c r="U1676" i="40"/>
  <c r="Q1676" i="40"/>
  <c r="K1676" i="40"/>
  <c r="J1676" i="40"/>
  <c r="G1676" i="40"/>
  <c r="L1676" i="40" s="1"/>
  <c r="V1675" i="40"/>
  <c r="U1675" i="40"/>
  <c r="Q1675" i="40"/>
  <c r="K1675" i="40"/>
  <c r="J1675" i="40"/>
  <c r="G1675" i="40"/>
  <c r="L1675" i="40" s="1"/>
  <c r="V1674" i="40"/>
  <c r="U1674" i="40"/>
  <c r="Q1674" i="40"/>
  <c r="K1674" i="40"/>
  <c r="J1674" i="40"/>
  <c r="G1674" i="40"/>
  <c r="L1674" i="40" s="1"/>
  <c r="V1673" i="40"/>
  <c r="U1673" i="40"/>
  <c r="Q1673" i="40"/>
  <c r="K1673" i="40"/>
  <c r="J1673" i="40"/>
  <c r="G1673" i="40"/>
  <c r="L1673" i="40" s="1"/>
  <c r="V1672" i="40"/>
  <c r="U1672" i="40"/>
  <c r="Q1672" i="40"/>
  <c r="K1672" i="40"/>
  <c r="J1672" i="40"/>
  <c r="G1672" i="40"/>
  <c r="L1672" i="40" s="1"/>
  <c r="V1671" i="40"/>
  <c r="U1671" i="40"/>
  <c r="Q1671" i="40"/>
  <c r="K1671" i="40"/>
  <c r="J1671" i="40"/>
  <c r="G1671" i="40"/>
  <c r="L1671" i="40" s="1"/>
  <c r="V1670" i="40"/>
  <c r="U1670" i="40"/>
  <c r="Q1670" i="40"/>
  <c r="K1670" i="40"/>
  <c r="J1670" i="40"/>
  <c r="G1670" i="40"/>
  <c r="L1670" i="40" s="1"/>
  <c r="V1669" i="40"/>
  <c r="U1669" i="40"/>
  <c r="Q1669" i="40"/>
  <c r="K1669" i="40"/>
  <c r="J1669" i="40"/>
  <c r="G1669" i="40"/>
  <c r="L1669" i="40" s="1"/>
  <c r="V1668" i="40"/>
  <c r="U1668" i="40"/>
  <c r="Q1668" i="40"/>
  <c r="K1668" i="40"/>
  <c r="J1668" i="40"/>
  <c r="G1668" i="40"/>
  <c r="L1668" i="40" s="1"/>
  <c r="V1667" i="40"/>
  <c r="U1667" i="40"/>
  <c r="Q1667" i="40"/>
  <c r="K1667" i="40"/>
  <c r="J1667" i="40"/>
  <c r="G1667" i="40"/>
  <c r="L1667" i="40" s="1"/>
  <c r="V1666" i="40"/>
  <c r="U1666" i="40"/>
  <c r="Q1666" i="40"/>
  <c r="K1666" i="40"/>
  <c r="J1666" i="40"/>
  <c r="G1666" i="40"/>
  <c r="L1666" i="40" s="1"/>
  <c r="V1665" i="40"/>
  <c r="U1665" i="40"/>
  <c r="Q1665" i="40"/>
  <c r="K1665" i="40"/>
  <c r="J1665" i="40"/>
  <c r="G1665" i="40"/>
  <c r="L1665" i="40" s="1"/>
  <c r="V1664" i="40"/>
  <c r="U1664" i="40"/>
  <c r="Q1664" i="40"/>
  <c r="L1664" i="40"/>
  <c r="K1664" i="40"/>
  <c r="J1664" i="40"/>
  <c r="G1664" i="40"/>
  <c r="V1663" i="40"/>
  <c r="U1663" i="40"/>
  <c r="Q1663" i="40"/>
  <c r="K1663" i="40"/>
  <c r="J1663" i="40"/>
  <c r="G1663" i="40"/>
  <c r="L1663" i="40" s="1"/>
  <c r="V1662" i="40"/>
  <c r="U1662" i="40"/>
  <c r="Q1662" i="40"/>
  <c r="K1662" i="40"/>
  <c r="J1662" i="40"/>
  <c r="G1662" i="40"/>
  <c r="L1662" i="40" s="1"/>
  <c r="V1661" i="40"/>
  <c r="U1661" i="40"/>
  <c r="Q1661" i="40"/>
  <c r="K1661" i="40"/>
  <c r="J1661" i="40"/>
  <c r="G1661" i="40"/>
  <c r="L1661" i="40" s="1"/>
  <c r="V1660" i="40"/>
  <c r="U1660" i="40"/>
  <c r="Q1660" i="40"/>
  <c r="K1660" i="40"/>
  <c r="J1660" i="40"/>
  <c r="G1660" i="40"/>
  <c r="L1660" i="40" s="1"/>
  <c r="V1659" i="40"/>
  <c r="U1659" i="40"/>
  <c r="Q1659" i="40"/>
  <c r="K1659" i="40"/>
  <c r="J1659" i="40"/>
  <c r="G1659" i="40"/>
  <c r="L1659" i="40" s="1"/>
  <c r="V1658" i="40"/>
  <c r="U1658" i="40"/>
  <c r="Q1658" i="40"/>
  <c r="K1658" i="40"/>
  <c r="J1658" i="40"/>
  <c r="G1658" i="40"/>
  <c r="L1658" i="40" s="1"/>
  <c r="V1657" i="40"/>
  <c r="U1657" i="40"/>
  <c r="Q1657" i="40"/>
  <c r="K1657" i="40"/>
  <c r="J1657" i="40"/>
  <c r="G1657" i="40"/>
  <c r="L1657" i="40" s="1"/>
  <c r="V1656" i="40"/>
  <c r="U1656" i="40"/>
  <c r="Q1656" i="40"/>
  <c r="K1656" i="40"/>
  <c r="J1656" i="40"/>
  <c r="G1656" i="40"/>
  <c r="L1656" i="40" s="1"/>
  <c r="V1655" i="40"/>
  <c r="U1655" i="40"/>
  <c r="Q1655" i="40"/>
  <c r="K1655" i="40"/>
  <c r="J1655" i="40"/>
  <c r="G1655" i="40"/>
  <c r="L1655" i="40" s="1"/>
  <c r="V1654" i="40"/>
  <c r="U1654" i="40"/>
  <c r="Q1654" i="40"/>
  <c r="K1654" i="40"/>
  <c r="J1654" i="40"/>
  <c r="G1654" i="40"/>
  <c r="L1654" i="40" s="1"/>
  <c r="V1653" i="40"/>
  <c r="U1653" i="40"/>
  <c r="Q1653" i="40"/>
  <c r="K1653" i="40"/>
  <c r="J1653" i="40"/>
  <c r="G1653" i="40"/>
  <c r="L1653" i="40" s="1"/>
  <c r="V1652" i="40"/>
  <c r="U1652" i="40"/>
  <c r="Q1652" i="40"/>
  <c r="K1652" i="40"/>
  <c r="J1652" i="40"/>
  <c r="G1652" i="40"/>
  <c r="L1652" i="40" s="1"/>
  <c r="V1651" i="40"/>
  <c r="U1651" i="40"/>
  <c r="Q1651" i="40"/>
  <c r="K1651" i="40"/>
  <c r="J1651" i="40"/>
  <c r="G1651" i="40"/>
  <c r="L1651" i="40" s="1"/>
  <c r="V1650" i="40"/>
  <c r="U1650" i="40"/>
  <c r="Q1650" i="40"/>
  <c r="K1650" i="40"/>
  <c r="J1650" i="40"/>
  <c r="G1650" i="40"/>
  <c r="L1650" i="40" s="1"/>
  <c r="V1649" i="40"/>
  <c r="U1649" i="40"/>
  <c r="Q1649" i="40"/>
  <c r="L1649" i="40"/>
  <c r="K1649" i="40"/>
  <c r="J1649" i="40"/>
  <c r="G1649" i="40"/>
  <c r="V1648" i="40"/>
  <c r="U1648" i="40"/>
  <c r="Q1648" i="40"/>
  <c r="K1648" i="40"/>
  <c r="J1648" i="40"/>
  <c r="G1648" i="40"/>
  <c r="L1648" i="40" s="1"/>
  <c r="V1647" i="40"/>
  <c r="U1647" i="40"/>
  <c r="Q1647" i="40"/>
  <c r="K1647" i="40"/>
  <c r="J1647" i="40"/>
  <c r="G1647" i="40"/>
  <c r="L1647" i="40" s="1"/>
  <c r="V1646" i="40"/>
  <c r="U1646" i="40"/>
  <c r="Q1646" i="40"/>
  <c r="K1646" i="40"/>
  <c r="J1646" i="40"/>
  <c r="G1646" i="40"/>
  <c r="L1646" i="40" s="1"/>
  <c r="V1645" i="40"/>
  <c r="U1645" i="40"/>
  <c r="Q1645" i="40"/>
  <c r="K1645" i="40"/>
  <c r="J1645" i="40"/>
  <c r="G1645" i="40"/>
  <c r="L1645" i="40" s="1"/>
  <c r="V1644" i="40"/>
  <c r="U1644" i="40"/>
  <c r="Q1644" i="40"/>
  <c r="K1644" i="40"/>
  <c r="J1644" i="40"/>
  <c r="G1644" i="40"/>
  <c r="L1644" i="40" s="1"/>
  <c r="V1643" i="40"/>
  <c r="U1643" i="40"/>
  <c r="Q1643" i="40"/>
  <c r="K1643" i="40"/>
  <c r="J1643" i="40"/>
  <c r="G1643" i="40"/>
  <c r="L1643" i="40" s="1"/>
  <c r="V1642" i="40"/>
  <c r="U1642" i="40"/>
  <c r="Q1642" i="40"/>
  <c r="K1642" i="40"/>
  <c r="J1642" i="40"/>
  <c r="G1642" i="40"/>
  <c r="L1642" i="40" s="1"/>
  <c r="V1641" i="40"/>
  <c r="U1641" i="40"/>
  <c r="Q1641" i="40"/>
  <c r="K1641" i="40"/>
  <c r="J1641" i="40"/>
  <c r="G1641" i="40"/>
  <c r="L1641" i="40" s="1"/>
  <c r="V1640" i="40"/>
  <c r="U1640" i="40"/>
  <c r="Q1640" i="40"/>
  <c r="K1640" i="40"/>
  <c r="J1640" i="40"/>
  <c r="G1640" i="40"/>
  <c r="L1640" i="40" s="1"/>
  <c r="V1639" i="40"/>
  <c r="U1639" i="40"/>
  <c r="Q1639" i="40"/>
  <c r="K1639" i="40"/>
  <c r="J1639" i="40"/>
  <c r="G1639" i="40"/>
  <c r="L1639" i="40" s="1"/>
  <c r="V1638" i="40"/>
  <c r="U1638" i="40"/>
  <c r="Q1638" i="40"/>
  <c r="K1638" i="40"/>
  <c r="J1638" i="40"/>
  <c r="G1638" i="40"/>
  <c r="L1638" i="40" s="1"/>
  <c r="V1637" i="40"/>
  <c r="Q1637" i="40"/>
  <c r="U1637" i="40" s="1"/>
  <c r="K1637" i="40"/>
  <c r="J1637" i="40"/>
  <c r="G1637" i="40"/>
  <c r="L1637" i="40" s="1"/>
  <c r="V1636" i="40"/>
  <c r="U1636" i="40"/>
  <c r="Q1636" i="40"/>
  <c r="K1636" i="40"/>
  <c r="J1636" i="40"/>
  <c r="G1636" i="40"/>
  <c r="L1636" i="40" s="1"/>
  <c r="V1635" i="40"/>
  <c r="U1635" i="40"/>
  <c r="Q1635" i="40"/>
  <c r="K1635" i="40"/>
  <c r="J1635" i="40"/>
  <c r="G1635" i="40"/>
  <c r="L1635" i="40" s="1"/>
  <c r="V1634" i="40"/>
  <c r="U1634" i="40"/>
  <c r="Q1634" i="40"/>
  <c r="K1634" i="40"/>
  <c r="J1634" i="40"/>
  <c r="G1634" i="40"/>
  <c r="L1634" i="40" s="1"/>
  <c r="V1633" i="40"/>
  <c r="U1633" i="40"/>
  <c r="Q1633" i="40"/>
  <c r="L1633" i="40"/>
  <c r="K1633" i="40"/>
  <c r="J1633" i="40"/>
  <c r="G1633" i="40"/>
  <c r="V1632" i="40"/>
  <c r="U1632" i="40"/>
  <c r="Q1632" i="40"/>
  <c r="L1632" i="40"/>
  <c r="K1632" i="40"/>
  <c r="J1632" i="40"/>
  <c r="G1632" i="40"/>
  <c r="V1631" i="40"/>
  <c r="U1631" i="40"/>
  <c r="Q1631" i="40"/>
  <c r="L1631" i="40"/>
  <c r="K1631" i="40"/>
  <c r="J1631" i="40"/>
  <c r="G1631" i="40"/>
  <c r="V1630" i="40"/>
  <c r="U1630" i="40"/>
  <c r="Q1630" i="40"/>
  <c r="K1630" i="40"/>
  <c r="J1630" i="40"/>
  <c r="G1630" i="40"/>
  <c r="L1630" i="40" s="1"/>
  <c r="V1629" i="40"/>
  <c r="U1629" i="40"/>
  <c r="Q1629" i="40"/>
  <c r="K1629" i="40"/>
  <c r="J1629" i="40"/>
  <c r="G1629" i="40"/>
  <c r="L1629" i="40" s="1"/>
  <c r="V1628" i="40"/>
  <c r="U1628" i="40"/>
  <c r="Q1628" i="40"/>
  <c r="K1628" i="40"/>
  <c r="J1628" i="40"/>
  <c r="G1628" i="40"/>
  <c r="L1628" i="40" s="1"/>
  <c r="V1627" i="40"/>
  <c r="U1627" i="40"/>
  <c r="Q1627" i="40"/>
  <c r="K1627" i="40"/>
  <c r="J1627" i="40"/>
  <c r="G1627" i="40"/>
  <c r="L1627" i="40" s="1"/>
  <c r="V1626" i="40"/>
  <c r="Q1626" i="40"/>
  <c r="U1626" i="40" s="1"/>
  <c r="K1626" i="40"/>
  <c r="J1626" i="40"/>
  <c r="G1626" i="40"/>
  <c r="L1626" i="40" s="1"/>
  <c r="V1625" i="40"/>
  <c r="U1625" i="40"/>
  <c r="Q1625" i="40"/>
  <c r="K1625" i="40"/>
  <c r="J1625" i="40"/>
  <c r="G1625" i="40"/>
  <c r="L1625" i="40" s="1"/>
  <c r="V1624" i="40"/>
  <c r="U1624" i="40"/>
  <c r="Q1624" i="40"/>
  <c r="K1624" i="40"/>
  <c r="J1624" i="40"/>
  <c r="G1624" i="40"/>
  <c r="L1624" i="40" s="1"/>
  <c r="V1623" i="40"/>
  <c r="U1623" i="40"/>
  <c r="Q1623" i="40"/>
  <c r="K1623" i="40"/>
  <c r="J1623" i="40"/>
  <c r="G1623" i="40"/>
  <c r="L1623" i="40" s="1"/>
  <c r="V1622" i="40"/>
  <c r="U1622" i="40"/>
  <c r="Q1622" i="40"/>
  <c r="K1622" i="40"/>
  <c r="J1622" i="40"/>
  <c r="G1622" i="40"/>
  <c r="L1622" i="40" s="1"/>
  <c r="V1621" i="40"/>
  <c r="U1621" i="40"/>
  <c r="Q1621" i="40"/>
  <c r="K1621" i="40"/>
  <c r="J1621" i="40"/>
  <c r="G1621" i="40"/>
  <c r="L1621" i="40" s="1"/>
  <c r="V1620" i="40"/>
  <c r="U1620" i="40"/>
  <c r="Q1620" i="40"/>
  <c r="K1620" i="40"/>
  <c r="J1620" i="40"/>
  <c r="G1620" i="40"/>
  <c r="L1620" i="40" s="1"/>
  <c r="V1619" i="40"/>
  <c r="U1619" i="40"/>
  <c r="Q1619" i="40"/>
  <c r="K1619" i="40"/>
  <c r="J1619" i="40"/>
  <c r="G1619" i="40"/>
  <c r="L1619" i="40" s="1"/>
  <c r="V1618" i="40"/>
  <c r="U1618" i="40"/>
  <c r="Q1618" i="40"/>
  <c r="K1618" i="40"/>
  <c r="J1618" i="40"/>
  <c r="G1618" i="40"/>
  <c r="L1618" i="40" s="1"/>
  <c r="V1617" i="40"/>
  <c r="U1617" i="40"/>
  <c r="Q1617" i="40"/>
  <c r="K1617" i="40"/>
  <c r="J1617" i="40"/>
  <c r="G1617" i="40"/>
  <c r="L1617" i="40" s="1"/>
  <c r="V1616" i="40"/>
  <c r="U1616" i="40"/>
  <c r="Q1616" i="40"/>
  <c r="K1616" i="40"/>
  <c r="J1616" i="40"/>
  <c r="G1616" i="40"/>
  <c r="L1616" i="40" s="1"/>
  <c r="V1615" i="40"/>
  <c r="U1615" i="40"/>
  <c r="Q1615" i="40"/>
  <c r="L1615" i="40"/>
  <c r="K1615" i="40"/>
  <c r="J1615" i="40"/>
  <c r="G1615" i="40"/>
  <c r="V1614" i="40"/>
  <c r="U1614" i="40"/>
  <c r="Q1614" i="40"/>
  <c r="K1614" i="40"/>
  <c r="J1614" i="40"/>
  <c r="G1614" i="40"/>
  <c r="L1614" i="40" s="1"/>
  <c r="V1613" i="40"/>
  <c r="U1613" i="40"/>
  <c r="Q1613" i="40"/>
  <c r="K1613" i="40"/>
  <c r="J1613" i="40"/>
  <c r="G1613" i="40"/>
  <c r="L1613" i="40" s="1"/>
  <c r="V1612" i="40"/>
  <c r="U1612" i="40"/>
  <c r="Q1612" i="40"/>
  <c r="K1612" i="40"/>
  <c r="J1612" i="40"/>
  <c r="G1612" i="40"/>
  <c r="L1612" i="40" s="1"/>
  <c r="V1611" i="40"/>
  <c r="U1611" i="40"/>
  <c r="Q1611" i="40"/>
  <c r="K1611" i="40"/>
  <c r="J1611" i="40"/>
  <c r="G1611" i="40"/>
  <c r="L1611" i="40" s="1"/>
  <c r="V1610" i="40"/>
  <c r="U1610" i="40"/>
  <c r="Q1610" i="40"/>
  <c r="K1610" i="40"/>
  <c r="J1610" i="40"/>
  <c r="G1610" i="40"/>
  <c r="L1610" i="40" s="1"/>
  <c r="V1609" i="40"/>
  <c r="U1609" i="40"/>
  <c r="Q1609" i="40"/>
  <c r="K1609" i="40"/>
  <c r="J1609" i="40"/>
  <c r="G1609" i="40"/>
  <c r="L1609" i="40" s="1"/>
  <c r="V1608" i="40"/>
  <c r="U1608" i="40"/>
  <c r="Q1608" i="40"/>
  <c r="K1608" i="40"/>
  <c r="J1608" i="40"/>
  <c r="G1608" i="40"/>
  <c r="L1608" i="40" s="1"/>
  <c r="V1607" i="40"/>
  <c r="U1607" i="40"/>
  <c r="Q1607" i="40"/>
  <c r="K1607" i="40"/>
  <c r="J1607" i="40"/>
  <c r="G1607" i="40"/>
  <c r="L1607" i="40" s="1"/>
  <c r="V1606" i="40"/>
  <c r="U1606" i="40"/>
  <c r="Q1606" i="40"/>
  <c r="L1606" i="40"/>
  <c r="K1606" i="40"/>
  <c r="J1606" i="40"/>
  <c r="G1606" i="40"/>
  <c r="V1605" i="40"/>
  <c r="U1605" i="40"/>
  <c r="Q1605" i="40"/>
  <c r="K1605" i="40"/>
  <c r="J1605" i="40"/>
  <c r="G1605" i="40"/>
  <c r="L1605" i="40" s="1"/>
  <c r="V1604" i="40"/>
  <c r="U1604" i="40"/>
  <c r="Q1604" i="40"/>
  <c r="K1604" i="40"/>
  <c r="J1604" i="40"/>
  <c r="G1604" i="40"/>
  <c r="L1604" i="40" s="1"/>
  <c r="V1603" i="40"/>
  <c r="U1603" i="40"/>
  <c r="Q1603" i="40"/>
  <c r="K1603" i="40"/>
  <c r="J1603" i="40"/>
  <c r="G1603" i="40"/>
  <c r="L1603" i="40" s="1"/>
  <c r="V1602" i="40"/>
  <c r="U1602" i="40"/>
  <c r="Q1602" i="40"/>
  <c r="K1602" i="40"/>
  <c r="J1602" i="40"/>
  <c r="G1602" i="40"/>
  <c r="L1602" i="40" s="1"/>
  <c r="V1601" i="40"/>
  <c r="U1601" i="40"/>
  <c r="Q1601" i="40"/>
  <c r="L1601" i="40"/>
  <c r="K1601" i="40"/>
  <c r="J1601" i="40"/>
  <c r="G1601" i="40"/>
  <c r="V1600" i="40"/>
  <c r="Q1600" i="40"/>
  <c r="U1600" i="40" s="1"/>
  <c r="L1600" i="40"/>
  <c r="K1600" i="40"/>
  <c r="J1600" i="40"/>
  <c r="G1600" i="40"/>
  <c r="V1599" i="40"/>
  <c r="U1599" i="40"/>
  <c r="Q1599" i="40"/>
  <c r="K1599" i="40"/>
  <c r="J1599" i="40"/>
  <c r="G1599" i="40"/>
  <c r="L1599" i="40" s="1"/>
  <c r="V1598" i="40"/>
  <c r="Q1598" i="40"/>
  <c r="U1598" i="40" s="1"/>
  <c r="K1598" i="40"/>
  <c r="J1598" i="40"/>
  <c r="G1598" i="40"/>
  <c r="L1598" i="40" s="1"/>
  <c r="V1597" i="40"/>
  <c r="U1597" i="40"/>
  <c r="Q1597" i="40"/>
  <c r="K1597" i="40"/>
  <c r="J1597" i="40"/>
  <c r="G1597" i="40"/>
  <c r="L1597" i="40" s="1"/>
  <c r="V1596" i="40"/>
  <c r="Q1596" i="40"/>
  <c r="U1596" i="40" s="1"/>
  <c r="K1596" i="40"/>
  <c r="J1596" i="40"/>
  <c r="G1596" i="40"/>
  <c r="L1596" i="40" s="1"/>
  <c r="V1595" i="40"/>
  <c r="U1595" i="40"/>
  <c r="Q1595" i="40"/>
  <c r="K1595" i="40"/>
  <c r="J1595" i="40"/>
  <c r="G1595" i="40"/>
  <c r="L1595" i="40" s="1"/>
  <c r="V1594" i="40"/>
  <c r="U1594" i="40"/>
  <c r="Q1594" i="40"/>
  <c r="K1594" i="40"/>
  <c r="J1594" i="40"/>
  <c r="G1594" i="40"/>
  <c r="L1594" i="40" s="1"/>
  <c r="V1593" i="40"/>
  <c r="U1593" i="40"/>
  <c r="Q1593" i="40"/>
  <c r="K1593" i="40"/>
  <c r="J1593" i="40"/>
  <c r="G1593" i="40"/>
  <c r="L1593" i="40" s="1"/>
  <c r="V1592" i="40"/>
  <c r="U1592" i="40"/>
  <c r="Q1592" i="40"/>
  <c r="K1592" i="40"/>
  <c r="J1592" i="40"/>
  <c r="G1592" i="40"/>
  <c r="L1592" i="40" s="1"/>
  <c r="V1591" i="40"/>
  <c r="U1591" i="40"/>
  <c r="Q1591" i="40"/>
  <c r="K1591" i="40"/>
  <c r="J1591" i="40"/>
  <c r="G1591" i="40"/>
  <c r="L1591" i="40" s="1"/>
  <c r="V1590" i="40"/>
  <c r="U1590" i="40"/>
  <c r="Q1590" i="40"/>
  <c r="K1590" i="40"/>
  <c r="J1590" i="40"/>
  <c r="G1590" i="40"/>
  <c r="L1590" i="40" s="1"/>
  <c r="V1589" i="40"/>
  <c r="U1589" i="40"/>
  <c r="Q1589" i="40"/>
  <c r="K1589" i="40"/>
  <c r="J1589" i="40"/>
  <c r="G1589" i="40"/>
  <c r="L1589" i="40" s="1"/>
  <c r="V1588" i="40"/>
  <c r="U1588" i="40"/>
  <c r="Q1588" i="40"/>
  <c r="K1588" i="40"/>
  <c r="J1588" i="40"/>
  <c r="G1588" i="40"/>
  <c r="L1588" i="40" s="1"/>
  <c r="V1587" i="40"/>
  <c r="U1587" i="40"/>
  <c r="Q1587" i="40"/>
  <c r="K1587" i="40"/>
  <c r="J1587" i="40"/>
  <c r="G1587" i="40"/>
  <c r="L1587" i="40" s="1"/>
  <c r="V1586" i="40"/>
  <c r="U1586" i="40"/>
  <c r="Q1586" i="40"/>
  <c r="K1586" i="40"/>
  <c r="J1586" i="40"/>
  <c r="G1586" i="40"/>
  <c r="L1586" i="40" s="1"/>
  <c r="V1585" i="40"/>
  <c r="U1585" i="40"/>
  <c r="Q1585" i="40"/>
  <c r="K1585" i="40"/>
  <c r="J1585" i="40"/>
  <c r="G1585" i="40"/>
  <c r="L1585" i="40" s="1"/>
  <c r="V1584" i="40"/>
  <c r="U1584" i="40"/>
  <c r="Q1584" i="40"/>
  <c r="K1584" i="40"/>
  <c r="J1584" i="40"/>
  <c r="G1584" i="40"/>
  <c r="L1584" i="40" s="1"/>
  <c r="V1583" i="40"/>
  <c r="U1583" i="40"/>
  <c r="Q1583" i="40"/>
  <c r="K1583" i="40"/>
  <c r="J1583" i="40"/>
  <c r="G1583" i="40"/>
  <c r="L1583" i="40" s="1"/>
  <c r="V1582" i="40"/>
  <c r="U1582" i="40"/>
  <c r="Q1582" i="40"/>
  <c r="K1582" i="40"/>
  <c r="J1582" i="40"/>
  <c r="G1582" i="40"/>
  <c r="L1582" i="40" s="1"/>
  <c r="V1581" i="40"/>
  <c r="U1581" i="40"/>
  <c r="Q1581" i="40"/>
  <c r="K1581" i="40"/>
  <c r="J1581" i="40"/>
  <c r="G1581" i="40"/>
  <c r="L1581" i="40" s="1"/>
  <c r="V1580" i="40"/>
  <c r="U1580" i="40"/>
  <c r="Q1580" i="40"/>
  <c r="K1580" i="40"/>
  <c r="J1580" i="40"/>
  <c r="G1580" i="40"/>
  <c r="L1580" i="40" s="1"/>
  <c r="V1579" i="40"/>
  <c r="U1579" i="40"/>
  <c r="Q1579" i="40"/>
  <c r="K1579" i="40"/>
  <c r="J1579" i="40"/>
  <c r="G1579" i="40"/>
  <c r="L1579" i="40" s="1"/>
  <c r="V1578" i="40"/>
  <c r="U1578" i="40"/>
  <c r="Q1578" i="40"/>
  <c r="K1578" i="40"/>
  <c r="J1578" i="40"/>
  <c r="G1578" i="40"/>
  <c r="L1578" i="40" s="1"/>
  <c r="V1577" i="40"/>
  <c r="U1577" i="40"/>
  <c r="Q1577" i="40"/>
  <c r="K1577" i="40"/>
  <c r="J1577" i="40"/>
  <c r="G1577" i="40"/>
  <c r="L1577" i="40" s="1"/>
  <c r="V1576" i="40"/>
  <c r="U1576" i="40"/>
  <c r="Q1576" i="40"/>
  <c r="L1576" i="40"/>
  <c r="K1576" i="40"/>
  <c r="J1576" i="40"/>
  <c r="G1576" i="40"/>
  <c r="V1575" i="40"/>
  <c r="U1575" i="40"/>
  <c r="Q1575" i="40"/>
  <c r="L1575" i="40"/>
  <c r="K1575" i="40"/>
  <c r="J1575" i="40"/>
  <c r="G1575" i="40"/>
  <c r="V1574" i="40"/>
  <c r="U1574" i="40"/>
  <c r="Q1574" i="40"/>
  <c r="K1574" i="40"/>
  <c r="J1574" i="40"/>
  <c r="G1574" i="40"/>
  <c r="L1574" i="40" s="1"/>
  <c r="V1573" i="40"/>
  <c r="U1573" i="40"/>
  <c r="Q1573" i="40"/>
  <c r="K1573" i="40"/>
  <c r="J1573" i="40"/>
  <c r="G1573" i="40"/>
  <c r="L1573" i="40" s="1"/>
  <c r="V1572" i="40"/>
  <c r="U1572" i="40"/>
  <c r="Q1572" i="40"/>
  <c r="K1572" i="40"/>
  <c r="J1572" i="40"/>
  <c r="G1572" i="40"/>
  <c r="L1572" i="40" s="1"/>
  <c r="V1571" i="40"/>
  <c r="U1571" i="40"/>
  <c r="Q1571" i="40"/>
  <c r="K1571" i="40"/>
  <c r="J1571" i="40"/>
  <c r="G1571" i="40"/>
  <c r="L1571" i="40" s="1"/>
  <c r="V1570" i="40"/>
  <c r="U1570" i="40"/>
  <c r="Q1570" i="40"/>
  <c r="K1570" i="40"/>
  <c r="J1570" i="40"/>
  <c r="G1570" i="40"/>
  <c r="L1570" i="40" s="1"/>
  <c r="V1569" i="40"/>
  <c r="U1569" i="40"/>
  <c r="Q1569" i="40"/>
  <c r="K1569" i="40"/>
  <c r="J1569" i="40"/>
  <c r="G1569" i="40"/>
  <c r="L1569" i="40" s="1"/>
  <c r="V1568" i="40"/>
  <c r="U1568" i="40"/>
  <c r="Q1568" i="40"/>
  <c r="K1568" i="40"/>
  <c r="J1568" i="40"/>
  <c r="G1568" i="40"/>
  <c r="L1568" i="40" s="1"/>
  <c r="V1567" i="40"/>
  <c r="Q1567" i="40"/>
  <c r="U1567" i="40" s="1"/>
  <c r="K1567" i="40"/>
  <c r="J1567" i="40"/>
  <c r="G1567" i="40"/>
  <c r="L1567" i="40" s="1"/>
  <c r="V1566" i="40"/>
  <c r="U1566" i="40"/>
  <c r="Q1566" i="40"/>
  <c r="L1566" i="40"/>
  <c r="K1566" i="40"/>
  <c r="J1566" i="40"/>
  <c r="G1566" i="40"/>
  <c r="V1565" i="40"/>
  <c r="U1565" i="40"/>
  <c r="Q1565" i="40"/>
  <c r="K1565" i="40"/>
  <c r="J1565" i="40"/>
  <c r="G1565" i="40"/>
  <c r="L1565" i="40" s="1"/>
  <c r="V1564" i="40"/>
  <c r="U1564" i="40"/>
  <c r="Q1564" i="40"/>
  <c r="K1564" i="40"/>
  <c r="J1564" i="40"/>
  <c r="G1564" i="40"/>
  <c r="L1564" i="40" s="1"/>
  <c r="V1563" i="40"/>
  <c r="U1563" i="40"/>
  <c r="Q1563" i="40"/>
  <c r="K1563" i="40"/>
  <c r="J1563" i="40"/>
  <c r="G1563" i="40"/>
  <c r="L1563" i="40" s="1"/>
  <c r="V1562" i="40"/>
  <c r="U1562" i="40"/>
  <c r="Q1562" i="40"/>
  <c r="K1562" i="40"/>
  <c r="J1562" i="40"/>
  <c r="G1562" i="40"/>
  <c r="L1562" i="40" s="1"/>
  <c r="V1561" i="40"/>
  <c r="U1561" i="40"/>
  <c r="Q1561" i="40"/>
  <c r="K1561" i="40"/>
  <c r="J1561" i="40"/>
  <c r="G1561" i="40"/>
  <c r="L1561" i="40" s="1"/>
  <c r="V1560" i="40"/>
  <c r="U1560" i="40"/>
  <c r="Q1560" i="40"/>
  <c r="K1560" i="40"/>
  <c r="J1560" i="40"/>
  <c r="G1560" i="40"/>
  <c r="L1560" i="40" s="1"/>
  <c r="V1559" i="40"/>
  <c r="U1559" i="40"/>
  <c r="Q1559" i="40"/>
  <c r="K1559" i="40"/>
  <c r="J1559" i="40"/>
  <c r="G1559" i="40"/>
  <c r="L1559" i="40" s="1"/>
  <c r="V1558" i="40"/>
  <c r="U1558" i="40"/>
  <c r="Q1558" i="40"/>
  <c r="K1558" i="40"/>
  <c r="J1558" i="40"/>
  <c r="G1558" i="40"/>
  <c r="L1558" i="40" s="1"/>
  <c r="V1557" i="40"/>
  <c r="U1557" i="40"/>
  <c r="Q1557" i="40"/>
  <c r="K1557" i="40"/>
  <c r="J1557" i="40"/>
  <c r="G1557" i="40"/>
  <c r="L1557" i="40" s="1"/>
  <c r="V1556" i="40"/>
  <c r="U1556" i="40"/>
  <c r="Q1556" i="40"/>
  <c r="K1556" i="40"/>
  <c r="J1556" i="40"/>
  <c r="G1556" i="40"/>
  <c r="L1556" i="40" s="1"/>
  <c r="V1555" i="40"/>
  <c r="U1555" i="40"/>
  <c r="Q1555" i="40"/>
  <c r="K1555" i="40"/>
  <c r="J1555" i="40"/>
  <c r="G1555" i="40"/>
  <c r="L1555" i="40" s="1"/>
  <c r="V1554" i="40"/>
  <c r="U1554" i="40"/>
  <c r="Q1554" i="40"/>
  <c r="K1554" i="40"/>
  <c r="J1554" i="40"/>
  <c r="G1554" i="40"/>
  <c r="L1554" i="40" s="1"/>
  <c r="V1553" i="40"/>
  <c r="U1553" i="40"/>
  <c r="Q1553" i="40"/>
  <c r="K1553" i="40"/>
  <c r="J1553" i="40"/>
  <c r="G1553" i="40"/>
  <c r="L1553" i="40" s="1"/>
  <c r="V1552" i="40"/>
  <c r="U1552" i="40"/>
  <c r="Q1552" i="40"/>
  <c r="K1552" i="40"/>
  <c r="J1552" i="40"/>
  <c r="G1552" i="40"/>
  <c r="L1552" i="40" s="1"/>
  <c r="V1551" i="40"/>
  <c r="U1551" i="40"/>
  <c r="Q1551" i="40"/>
  <c r="K1551" i="40"/>
  <c r="J1551" i="40"/>
  <c r="G1551" i="40"/>
  <c r="L1551" i="40" s="1"/>
  <c r="V1550" i="40"/>
  <c r="U1550" i="40"/>
  <c r="Q1550" i="40"/>
  <c r="K1550" i="40"/>
  <c r="J1550" i="40"/>
  <c r="G1550" i="40"/>
  <c r="L1550" i="40" s="1"/>
  <c r="V1549" i="40"/>
  <c r="U1549" i="40"/>
  <c r="Q1549" i="40"/>
  <c r="K1549" i="40"/>
  <c r="J1549" i="40"/>
  <c r="G1549" i="40"/>
  <c r="L1549" i="40" s="1"/>
  <c r="V1548" i="40"/>
  <c r="U1548" i="40"/>
  <c r="Q1548" i="40"/>
  <c r="L1548" i="40"/>
  <c r="K1548" i="40"/>
  <c r="J1548" i="40"/>
  <c r="G1548" i="40"/>
  <c r="V1547" i="40"/>
  <c r="U1547" i="40"/>
  <c r="Q1547" i="40"/>
  <c r="K1547" i="40"/>
  <c r="J1547" i="40"/>
  <c r="G1547" i="40"/>
  <c r="L1547" i="40" s="1"/>
  <c r="V1546" i="40"/>
  <c r="U1546" i="40"/>
  <c r="Q1546" i="40"/>
  <c r="K1546" i="40"/>
  <c r="J1546" i="40"/>
  <c r="G1546" i="40"/>
  <c r="L1546" i="40" s="1"/>
  <c r="V1545" i="40"/>
  <c r="U1545" i="40"/>
  <c r="Q1545" i="40"/>
  <c r="K1545" i="40"/>
  <c r="J1545" i="40"/>
  <c r="G1545" i="40"/>
  <c r="L1545" i="40" s="1"/>
  <c r="V1544" i="40"/>
  <c r="U1544" i="40"/>
  <c r="Q1544" i="40"/>
  <c r="L1544" i="40"/>
  <c r="K1544" i="40"/>
  <c r="J1544" i="40"/>
  <c r="G1544" i="40"/>
  <c r="V1543" i="40"/>
  <c r="U1543" i="40"/>
  <c r="Q1543" i="40"/>
  <c r="L1543" i="40"/>
  <c r="K1543" i="40"/>
  <c r="J1543" i="40"/>
  <c r="G1543" i="40"/>
  <c r="V1542" i="40"/>
  <c r="U1542" i="40"/>
  <c r="Q1542" i="40"/>
  <c r="K1542" i="40"/>
  <c r="J1542" i="40"/>
  <c r="G1542" i="40"/>
  <c r="L1542" i="40" s="1"/>
  <c r="V1541" i="40"/>
  <c r="U1541" i="40"/>
  <c r="Q1541" i="40"/>
  <c r="K1541" i="40"/>
  <c r="J1541" i="40"/>
  <c r="G1541" i="40"/>
  <c r="L1541" i="40" s="1"/>
  <c r="V1540" i="40"/>
  <c r="U1540" i="40"/>
  <c r="Q1540" i="40"/>
  <c r="K1540" i="40"/>
  <c r="J1540" i="40"/>
  <c r="G1540" i="40"/>
  <c r="L1540" i="40" s="1"/>
  <c r="V1539" i="40"/>
  <c r="U1539" i="40"/>
  <c r="Q1539" i="40"/>
  <c r="K1539" i="40"/>
  <c r="J1539" i="40"/>
  <c r="G1539" i="40"/>
  <c r="L1539" i="40" s="1"/>
  <c r="V1538" i="40"/>
  <c r="U1538" i="40"/>
  <c r="Q1538" i="40"/>
  <c r="K1538" i="40"/>
  <c r="J1538" i="40"/>
  <c r="G1538" i="40"/>
  <c r="L1538" i="40" s="1"/>
  <c r="V1537" i="40"/>
  <c r="Q1537" i="40"/>
  <c r="U1537" i="40" s="1"/>
  <c r="K1537" i="40"/>
  <c r="J1537" i="40"/>
  <c r="G1537" i="40"/>
  <c r="L1537" i="40" s="1"/>
  <c r="V1536" i="40"/>
  <c r="U1536" i="40"/>
  <c r="Q1536" i="40"/>
  <c r="K1536" i="40"/>
  <c r="J1536" i="40"/>
  <c r="G1536" i="40"/>
  <c r="L1536" i="40" s="1"/>
  <c r="V1535" i="40"/>
  <c r="Q1535" i="40"/>
  <c r="U1535" i="40" s="1"/>
  <c r="K1535" i="40"/>
  <c r="J1535" i="40"/>
  <c r="G1535" i="40"/>
  <c r="L1535" i="40" s="1"/>
  <c r="V1534" i="40"/>
  <c r="U1534" i="40"/>
  <c r="Q1534" i="40"/>
  <c r="K1534" i="40"/>
  <c r="J1534" i="40"/>
  <c r="G1534" i="40"/>
  <c r="L1534" i="40" s="1"/>
  <c r="V1533" i="40"/>
  <c r="U1533" i="40"/>
  <c r="Q1533" i="40"/>
  <c r="K1533" i="40"/>
  <c r="J1533" i="40"/>
  <c r="G1533" i="40"/>
  <c r="L1533" i="40" s="1"/>
  <c r="V1532" i="40"/>
  <c r="U1532" i="40"/>
  <c r="Q1532" i="40"/>
  <c r="K1532" i="40"/>
  <c r="J1532" i="40"/>
  <c r="G1532" i="40"/>
  <c r="L1532" i="40" s="1"/>
  <c r="V1531" i="40"/>
  <c r="U1531" i="40"/>
  <c r="Q1531" i="40"/>
  <c r="L1531" i="40"/>
  <c r="K1531" i="40"/>
  <c r="J1531" i="40"/>
  <c r="G1531" i="40"/>
  <c r="V1530" i="40"/>
  <c r="Q1530" i="40"/>
  <c r="U1530" i="40" s="1"/>
  <c r="K1530" i="40"/>
  <c r="J1530" i="40"/>
  <c r="G1530" i="40"/>
  <c r="L1530" i="40" s="1"/>
  <c r="V1529" i="40"/>
  <c r="U1529" i="40"/>
  <c r="Q1529" i="40"/>
  <c r="K1529" i="40"/>
  <c r="J1529" i="40"/>
  <c r="G1529" i="40"/>
  <c r="L1529" i="40" s="1"/>
  <c r="V1528" i="40"/>
  <c r="U1528" i="40"/>
  <c r="Q1528" i="40"/>
  <c r="K1528" i="40"/>
  <c r="J1528" i="40"/>
  <c r="G1528" i="40"/>
  <c r="L1528" i="40" s="1"/>
  <c r="V1527" i="40"/>
  <c r="U1527" i="40"/>
  <c r="Q1527" i="40"/>
  <c r="K1527" i="40"/>
  <c r="J1527" i="40"/>
  <c r="G1527" i="40"/>
  <c r="L1527" i="40" s="1"/>
  <c r="V1526" i="40"/>
  <c r="U1526" i="40"/>
  <c r="Q1526" i="40"/>
  <c r="K1526" i="40"/>
  <c r="J1526" i="40"/>
  <c r="G1526" i="40"/>
  <c r="L1526" i="40" s="1"/>
  <c r="V1525" i="40"/>
  <c r="U1525" i="40"/>
  <c r="Q1525" i="40"/>
  <c r="K1525" i="40"/>
  <c r="J1525" i="40"/>
  <c r="G1525" i="40"/>
  <c r="L1525" i="40" s="1"/>
  <c r="V1524" i="40"/>
  <c r="U1524" i="40"/>
  <c r="Q1524" i="40"/>
  <c r="K1524" i="40"/>
  <c r="J1524" i="40"/>
  <c r="G1524" i="40"/>
  <c r="L1524" i="40" s="1"/>
  <c r="V1523" i="40"/>
  <c r="U1523" i="40"/>
  <c r="Q1523" i="40"/>
  <c r="K1523" i="40"/>
  <c r="J1523" i="40"/>
  <c r="G1523" i="40"/>
  <c r="L1523" i="40" s="1"/>
  <c r="V1522" i="40"/>
  <c r="U1522" i="40"/>
  <c r="Q1522" i="40"/>
  <c r="L1522" i="40"/>
  <c r="K1522" i="40"/>
  <c r="J1522" i="40"/>
  <c r="G1522" i="40"/>
  <c r="V1521" i="40"/>
  <c r="U1521" i="40"/>
  <c r="Q1521" i="40"/>
  <c r="K1521" i="40"/>
  <c r="J1521" i="40"/>
  <c r="G1521" i="40"/>
  <c r="L1521" i="40" s="1"/>
  <c r="V1520" i="40"/>
  <c r="U1520" i="40"/>
  <c r="Q1520" i="40"/>
  <c r="L1520" i="40"/>
  <c r="K1520" i="40"/>
  <c r="J1520" i="40"/>
  <c r="G1520" i="40"/>
  <c r="V1519" i="40"/>
  <c r="U1519" i="40"/>
  <c r="Q1519" i="40"/>
  <c r="K1519" i="40"/>
  <c r="J1519" i="40"/>
  <c r="G1519" i="40"/>
  <c r="L1519" i="40" s="1"/>
  <c r="V1518" i="40"/>
  <c r="U1518" i="40"/>
  <c r="Q1518" i="40"/>
  <c r="K1518" i="40"/>
  <c r="J1518" i="40"/>
  <c r="G1518" i="40"/>
  <c r="L1518" i="40" s="1"/>
  <c r="V1517" i="40"/>
  <c r="U1517" i="40"/>
  <c r="Q1517" i="40"/>
  <c r="K1517" i="40"/>
  <c r="J1517" i="40"/>
  <c r="G1517" i="40"/>
  <c r="L1517" i="40" s="1"/>
  <c r="V1516" i="40"/>
  <c r="U1516" i="40"/>
  <c r="Q1516" i="40"/>
  <c r="K1516" i="40"/>
  <c r="J1516" i="40"/>
  <c r="G1516" i="40"/>
  <c r="L1516" i="40" s="1"/>
  <c r="V1515" i="40"/>
  <c r="U1515" i="40"/>
  <c r="Q1515" i="40"/>
  <c r="L1515" i="40"/>
  <c r="K1515" i="40"/>
  <c r="J1515" i="40"/>
  <c r="G1515" i="40"/>
  <c r="V1514" i="40"/>
  <c r="U1514" i="40"/>
  <c r="Q1514" i="40"/>
  <c r="K1514" i="40"/>
  <c r="J1514" i="40"/>
  <c r="G1514" i="40"/>
  <c r="L1514" i="40" s="1"/>
  <c r="V1513" i="40"/>
  <c r="U1513" i="40"/>
  <c r="Q1513" i="40"/>
  <c r="K1513" i="40"/>
  <c r="J1513" i="40"/>
  <c r="G1513" i="40"/>
  <c r="L1513" i="40" s="1"/>
  <c r="V1512" i="40"/>
  <c r="U1512" i="40"/>
  <c r="Q1512" i="40"/>
  <c r="K1512" i="40"/>
  <c r="J1512" i="40"/>
  <c r="G1512" i="40"/>
  <c r="L1512" i="40" s="1"/>
  <c r="V1511" i="40"/>
  <c r="U1511" i="40"/>
  <c r="Q1511" i="40"/>
  <c r="K1511" i="40"/>
  <c r="J1511" i="40"/>
  <c r="G1511" i="40"/>
  <c r="L1511" i="40" s="1"/>
  <c r="V1510" i="40"/>
  <c r="U1510" i="40"/>
  <c r="Q1510" i="40"/>
  <c r="K1510" i="40"/>
  <c r="J1510" i="40"/>
  <c r="G1510" i="40"/>
  <c r="L1510" i="40" s="1"/>
  <c r="V1509" i="40"/>
  <c r="Q1509" i="40"/>
  <c r="U1509" i="40" s="1"/>
  <c r="K1509" i="40"/>
  <c r="J1509" i="40"/>
  <c r="G1509" i="40"/>
  <c r="L1509" i="40" s="1"/>
  <c r="V1508" i="40"/>
  <c r="U1508" i="40"/>
  <c r="Q1508" i="40"/>
  <c r="K1508" i="40"/>
  <c r="J1508" i="40"/>
  <c r="G1508" i="40"/>
  <c r="L1508" i="40" s="1"/>
  <c r="V1507" i="40"/>
  <c r="U1507" i="40"/>
  <c r="Q1507" i="40"/>
  <c r="K1507" i="40"/>
  <c r="J1507" i="40"/>
  <c r="G1507" i="40"/>
  <c r="L1507" i="40" s="1"/>
  <c r="V1506" i="40"/>
  <c r="U1506" i="40"/>
  <c r="Q1506" i="40"/>
  <c r="K1506" i="40"/>
  <c r="J1506" i="40"/>
  <c r="G1506" i="40"/>
  <c r="L1506" i="40" s="1"/>
  <c r="V1505" i="40"/>
  <c r="U1505" i="40"/>
  <c r="Q1505" i="40"/>
  <c r="L1505" i="40"/>
  <c r="K1505" i="40"/>
  <c r="J1505" i="40"/>
  <c r="G1505" i="40"/>
  <c r="V1504" i="40"/>
  <c r="U1504" i="40"/>
  <c r="Q1504" i="40"/>
  <c r="L1504" i="40"/>
  <c r="K1504" i="40"/>
  <c r="J1504" i="40"/>
  <c r="G1504" i="40"/>
  <c r="V1503" i="40"/>
  <c r="U1503" i="40"/>
  <c r="Q1503" i="40"/>
  <c r="K1503" i="40"/>
  <c r="J1503" i="40"/>
  <c r="G1503" i="40"/>
  <c r="L1503" i="40" s="1"/>
  <c r="V1502" i="40"/>
  <c r="U1502" i="40"/>
  <c r="Q1502" i="40"/>
  <c r="K1502" i="40"/>
  <c r="J1502" i="40"/>
  <c r="G1502" i="40"/>
  <c r="L1502" i="40" s="1"/>
  <c r="V1501" i="40"/>
  <c r="U1501" i="40"/>
  <c r="Q1501" i="40"/>
  <c r="K1501" i="40"/>
  <c r="J1501" i="40"/>
  <c r="G1501" i="40"/>
  <c r="L1501" i="40" s="1"/>
  <c r="V1500" i="40"/>
  <c r="U1500" i="40"/>
  <c r="Q1500" i="40"/>
  <c r="L1500" i="40"/>
  <c r="K1500" i="40"/>
  <c r="J1500" i="40"/>
  <c r="G1500" i="40"/>
  <c r="V1499" i="40"/>
  <c r="U1499" i="40"/>
  <c r="Q1499" i="40"/>
  <c r="L1499" i="40"/>
  <c r="K1499" i="40"/>
  <c r="J1499" i="40"/>
  <c r="G1499" i="40"/>
  <c r="V1498" i="40"/>
  <c r="U1498" i="40"/>
  <c r="Q1498" i="40"/>
  <c r="L1498" i="40"/>
  <c r="K1498" i="40"/>
  <c r="J1498" i="40"/>
  <c r="G1498" i="40"/>
  <c r="V1497" i="40"/>
  <c r="U1497" i="40"/>
  <c r="Q1497" i="40"/>
  <c r="K1497" i="40"/>
  <c r="J1497" i="40"/>
  <c r="G1497" i="40"/>
  <c r="L1497" i="40" s="1"/>
  <c r="V1496" i="40"/>
  <c r="U1496" i="40"/>
  <c r="Q1496" i="40"/>
  <c r="K1496" i="40"/>
  <c r="J1496" i="40"/>
  <c r="G1496" i="40"/>
  <c r="L1496" i="40" s="1"/>
  <c r="V1495" i="40"/>
  <c r="U1495" i="40"/>
  <c r="Q1495" i="40"/>
  <c r="K1495" i="40"/>
  <c r="J1495" i="40"/>
  <c r="G1495" i="40"/>
  <c r="L1495" i="40" s="1"/>
  <c r="V1494" i="40"/>
  <c r="U1494" i="40"/>
  <c r="Q1494" i="40"/>
  <c r="K1494" i="40"/>
  <c r="J1494" i="40"/>
  <c r="G1494" i="40"/>
  <c r="L1494" i="40" s="1"/>
  <c r="V1493" i="40"/>
  <c r="U1493" i="40"/>
  <c r="Q1493" i="40"/>
  <c r="K1493" i="40"/>
  <c r="J1493" i="40"/>
  <c r="G1493" i="40"/>
  <c r="L1493" i="40" s="1"/>
  <c r="V1492" i="40"/>
  <c r="U1492" i="40"/>
  <c r="Q1492" i="40"/>
  <c r="K1492" i="40"/>
  <c r="J1492" i="40"/>
  <c r="G1492" i="40"/>
  <c r="L1492" i="40" s="1"/>
  <c r="V1491" i="40"/>
  <c r="U1491" i="40"/>
  <c r="Q1491" i="40"/>
  <c r="K1491" i="40"/>
  <c r="J1491" i="40"/>
  <c r="G1491" i="40"/>
  <c r="L1491" i="40" s="1"/>
  <c r="V1490" i="40"/>
  <c r="U1490" i="40"/>
  <c r="Q1490" i="40"/>
  <c r="K1490" i="40"/>
  <c r="J1490" i="40"/>
  <c r="G1490" i="40"/>
  <c r="L1490" i="40" s="1"/>
  <c r="V1489" i="40"/>
  <c r="U1489" i="40"/>
  <c r="Q1489" i="40"/>
  <c r="K1489" i="40"/>
  <c r="J1489" i="40"/>
  <c r="G1489" i="40"/>
  <c r="L1489" i="40" s="1"/>
  <c r="V1488" i="40"/>
  <c r="U1488" i="40"/>
  <c r="Q1488" i="40"/>
  <c r="K1488" i="40"/>
  <c r="J1488" i="40"/>
  <c r="G1488" i="40"/>
  <c r="L1488" i="40" s="1"/>
  <c r="V1487" i="40"/>
  <c r="U1487" i="40"/>
  <c r="Q1487" i="40"/>
  <c r="K1487" i="40"/>
  <c r="J1487" i="40"/>
  <c r="G1487" i="40"/>
  <c r="L1487" i="40" s="1"/>
  <c r="V1486" i="40"/>
  <c r="U1486" i="40"/>
  <c r="Q1486" i="40"/>
  <c r="K1486" i="40"/>
  <c r="J1486" i="40"/>
  <c r="G1486" i="40"/>
  <c r="L1486" i="40" s="1"/>
  <c r="V1485" i="40"/>
  <c r="U1485" i="40"/>
  <c r="Q1485" i="40"/>
  <c r="K1485" i="40"/>
  <c r="J1485" i="40"/>
  <c r="G1485" i="40"/>
  <c r="L1485" i="40" s="1"/>
  <c r="V1484" i="40"/>
  <c r="U1484" i="40"/>
  <c r="Q1484" i="40"/>
  <c r="K1484" i="40"/>
  <c r="J1484" i="40"/>
  <c r="G1484" i="40"/>
  <c r="L1484" i="40" s="1"/>
  <c r="V1483" i="40"/>
  <c r="U1483" i="40"/>
  <c r="Q1483" i="40"/>
  <c r="K1483" i="40"/>
  <c r="J1483" i="40"/>
  <c r="G1483" i="40"/>
  <c r="L1483" i="40" s="1"/>
  <c r="V1482" i="40"/>
  <c r="U1482" i="40"/>
  <c r="Q1482" i="40"/>
  <c r="K1482" i="40"/>
  <c r="J1482" i="40"/>
  <c r="G1482" i="40"/>
  <c r="L1482" i="40" s="1"/>
  <c r="V1481" i="40"/>
  <c r="U1481" i="40"/>
  <c r="Q1481" i="40"/>
  <c r="L1481" i="40"/>
  <c r="K1481" i="40"/>
  <c r="J1481" i="40"/>
  <c r="G1481" i="40"/>
  <c r="V1480" i="40"/>
  <c r="U1480" i="40"/>
  <c r="Q1480" i="40"/>
  <c r="L1480" i="40"/>
  <c r="K1480" i="40"/>
  <c r="J1480" i="40"/>
  <c r="G1480" i="40"/>
  <c r="V1479" i="40"/>
  <c r="U1479" i="40"/>
  <c r="Q1479" i="40"/>
  <c r="K1479" i="40"/>
  <c r="J1479" i="40"/>
  <c r="G1479" i="40"/>
  <c r="L1479" i="40" s="1"/>
  <c r="V1478" i="40"/>
  <c r="U1478" i="40"/>
  <c r="Q1478" i="40"/>
  <c r="K1478" i="40"/>
  <c r="J1478" i="40"/>
  <c r="G1478" i="40"/>
  <c r="L1478" i="40" s="1"/>
  <c r="V1477" i="40"/>
  <c r="U1477" i="40"/>
  <c r="Q1477" i="40"/>
  <c r="K1477" i="40"/>
  <c r="J1477" i="40"/>
  <c r="G1477" i="40"/>
  <c r="L1477" i="40" s="1"/>
  <c r="V1476" i="40"/>
  <c r="U1476" i="40"/>
  <c r="Q1476" i="40"/>
  <c r="L1476" i="40"/>
  <c r="K1476" i="40"/>
  <c r="J1476" i="40"/>
  <c r="G1476" i="40"/>
  <c r="V1475" i="40"/>
  <c r="U1475" i="40"/>
  <c r="Q1475" i="40"/>
  <c r="L1475" i="40"/>
  <c r="K1475" i="40"/>
  <c r="J1475" i="40"/>
  <c r="G1475" i="40"/>
  <c r="V1474" i="40"/>
  <c r="U1474" i="40"/>
  <c r="Q1474" i="40"/>
  <c r="L1474" i="40"/>
  <c r="K1474" i="40"/>
  <c r="J1474" i="40"/>
  <c r="G1474" i="40"/>
  <c r="V1473" i="40"/>
  <c r="U1473" i="40"/>
  <c r="Q1473" i="40"/>
  <c r="K1473" i="40"/>
  <c r="J1473" i="40"/>
  <c r="G1473" i="40"/>
  <c r="L1473" i="40" s="1"/>
  <c r="V1472" i="40"/>
  <c r="U1472" i="40"/>
  <c r="Q1472" i="40"/>
  <c r="K1472" i="40"/>
  <c r="J1472" i="40"/>
  <c r="G1472" i="40"/>
  <c r="L1472" i="40" s="1"/>
  <c r="V1471" i="40"/>
  <c r="U1471" i="40"/>
  <c r="Q1471" i="40"/>
  <c r="K1471" i="40"/>
  <c r="J1471" i="40"/>
  <c r="G1471" i="40"/>
  <c r="L1471" i="40" s="1"/>
  <c r="V1470" i="40"/>
  <c r="U1470" i="40"/>
  <c r="Q1470" i="40"/>
  <c r="K1470" i="40"/>
  <c r="J1470" i="40"/>
  <c r="G1470" i="40"/>
  <c r="L1470" i="40" s="1"/>
  <c r="V1469" i="40"/>
  <c r="U1469" i="40"/>
  <c r="Q1469" i="40"/>
  <c r="K1469" i="40"/>
  <c r="J1469" i="40"/>
  <c r="G1469" i="40"/>
  <c r="L1469" i="40" s="1"/>
  <c r="V1468" i="40"/>
  <c r="U1468" i="40"/>
  <c r="Q1468" i="40"/>
  <c r="K1468" i="40"/>
  <c r="J1468" i="40"/>
  <c r="G1468" i="40"/>
  <c r="L1468" i="40" s="1"/>
  <c r="V1467" i="40"/>
  <c r="U1467" i="40"/>
  <c r="Q1467" i="40"/>
  <c r="K1467" i="40"/>
  <c r="J1467" i="40"/>
  <c r="G1467" i="40"/>
  <c r="L1467" i="40" s="1"/>
  <c r="V1466" i="40"/>
  <c r="U1466" i="40"/>
  <c r="Q1466" i="40"/>
  <c r="K1466" i="40"/>
  <c r="J1466" i="40"/>
  <c r="G1466" i="40"/>
  <c r="L1466" i="40" s="1"/>
  <c r="V1465" i="40"/>
  <c r="U1465" i="40"/>
  <c r="Q1465" i="40"/>
  <c r="K1465" i="40"/>
  <c r="J1465" i="40"/>
  <c r="G1465" i="40"/>
  <c r="L1465" i="40" s="1"/>
  <c r="V1464" i="40"/>
  <c r="U1464" i="40"/>
  <c r="Q1464" i="40"/>
  <c r="K1464" i="40"/>
  <c r="J1464" i="40"/>
  <c r="G1464" i="40"/>
  <c r="L1464" i="40" s="1"/>
  <c r="V1463" i="40"/>
  <c r="U1463" i="40"/>
  <c r="Q1463" i="40"/>
  <c r="K1463" i="40"/>
  <c r="J1463" i="40"/>
  <c r="G1463" i="40"/>
  <c r="L1463" i="40" s="1"/>
  <c r="V1462" i="40"/>
  <c r="U1462" i="40"/>
  <c r="Q1462" i="40"/>
  <c r="K1462" i="40"/>
  <c r="J1462" i="40"/>
  <c r="G1462" i="40"/>
  <c r="L1462" i="40" s="1"/>
  <c r="V1461" i="40"/>
  <c r="U1461" i="40"/>
  <c r="Q1461" i="40"/>
  <c r="K1461" i="40"/>
  <c r="J1461" i="40"/>
  <c r="G1461" i="40"/>
  <c r="L1461" i="40" s="1"/>
  <c r="V1460" i="40"/>
  <c r="U1460" i="40"/>
  <c r="Q1460" i="40"/>
  <c r="K1460" i="40"/>
  <c r="J1460" i="40"/>
  <c r="G1460" i="40"/>
  <c r="L1460" i="40" s="1"/>
  <c r="V1459" i="40"/>
  <c r="U1459" i="40"/>
  <c r="Q1459" i="40"/>
  <c r="K1459" i="40"/>
  <c r="J1459" i="40"/>
  <c r="G1459" i="40"/>
  <c r="L1459" i="40" s="1"/>
  <c r="V1458" i="40"/>
  <c r="U1458" i="40"/>
  <c r="Q1458" i="40"/>
  <c r="K1458" i="40"/>
  <c r="J1458" i="40"/>
  <c r="G1458" i="40"/>
  <c r="L1458" i="40" s="1"/>
  <c r="V1457" i="40"/>
  <c r="U1457" i="40"/>
  <c r="Q1457" i="40"/>
  <c r="L1457" i="40"/>
  <c r="K1457" i="40"/>
  <c r="J1457" i="40"/>
  <c r="G1457" i="40"/>
  <c r="V1456" i="40"/>
  <c r="Q1456" i="40"/>
  <c r="U1456" i="40" s="1"/>
  <c r="K1456" i="40"/>
  <c r="J1456" i="40"/>
  <c r="G1456" i="40"/>
  <c r="L1456" i="40" s="1"/>
  <c r="V1455" i="40"/>
  <c r="U1455" i="40"/>
  <c r="Q1455" i="40"/>
  <c r="K1455" i="40"/>
  <c r="J1455" i="40"/>
  <c r="G1455" i="40"/>
  <c r="L1455" i="40" s="1"/>
  <c r="V1454" i="40"/>
  <c r="U1454" i="40"/>
  <c r="Q1454" i="40"/>
  <c r="K1454" i="40"/>
  <c r="J1454" i="40"/>
  <c r="G1454" i="40"/>
  <c r="L1454" i="40" s="1"/>
  <c r="V1453" i="40"/>
  <c r="U1453" i="40"/>
  <c r="Q1453" i="40"/>
  <c r="K1453" i="40"/>
  <c r="J1453" i="40"/>
  <c r="G1453" i="40"/>
  <c r="L1453" i="40" s="1"/>
  <c r="V1452" i="40"/>
  <c r="U1452" i="40"/>
  <c r="Q1452" i="40"/>
  <c r="L1452" i="40"/>
  <c r="K1452" i="40"/>
  <c r="J1452" i="40"/>
  <c r="G1452" i="40"/>
  <c r="V1451" i="40"/>
  <c r="U1451" i="40"/>
  <c r="Q1451" i="40"/>
  <c r="K1451" i="40"/>
  <c r="J1451" i="40"/>
  <c r="G1451" i="40"/>
  <c r="L1451" i="40" s="1"/>
  <c r="V1450" i="40"/>
  <c r="U1450" i="40"/>
  <c r="Q1450" i="40"/>
  <c r="K1450" i="40"/>
  <c r="J1450" i="40"/>
  <c r="G1450" i="40"/>
  <c r="L1450" i="40" s="1"/>
  <c r="V1449" i="40"/>
  <c r="U1449" i="40"/>
  <c r="Q1449" i="40"/>
  <c r="K1449" i="40"/>
  <c r="J1449" i="40"/>
  <c r="G1449" i="40"/>
  <c r="L1449" i="40" s="1"/>
  <c r="V1448" i="40"/>
  <c r="U1448" i="40"/>
  <c r="Q1448" i="40"/>
  <c r="K1448" i="40"/>
  <c r="J1448" i="40"/>
  <c r="G1448" i="40"/>
  <c r="L1448" i="40" s="1"/>
  <c r="V1447" i="40"/>
  <c r="U1447" i="40"/>
  <c r="Q1447" i="40"/>
  <c r="K1447" i="40"/>
  <c r="J1447" i="40"/>
  <c r="G1447" i="40"/>
  <c r="L1447" i="40" s="1"/>
  <c r="V1446" i="40"/>
  <c r="U1446" i="40"/>
  <c r="Q1446" i="40"/>
  <c r="K1446" i="40"/>
  <c r="J1446" i="40"/>
  <c r="G1446" i="40"/>
  <c r="L1446" i="40" s="1"/>
  <c r="V1445" i="40"/>
  <c r="U1445" i="40"/>
  <c r="Q1445" i="40"/>
  <c r="K1445" i="40"/>
  <c r="J1445" i="40"/>
  <c r="G1445" i="40"/>
  <c r="L1445" i="40" s="1"/>
  <c r="V1444" i="40"/>
  <c r="U1444" i="40"/>
  <c r="Q1444" i="40"/>
  <c r="K1444" i="40"/>
  <c r="J1444" i="40"/>
  <c r="G1444" i="40"/>
  <c r="L1444" i="40" s="1"/>
  <c r="V1443" i="40"/>
  <c r="Q1443" i="40"/>
  <c r="U1443" i="40" s="1"/>
  <c r="K1443" i="40"/>
  <c r="J1443" i="40"/>
  <c r="G1443" i="40"/>
  <c r="L1443" i="40" s="1"/>
  <c r="V1442" i="40"/>
  <c r="U1442" i="40"/>
  <c r="Q1442" i="40"/>
  <c r="K1442" i="40"/>
  <c r="J1442" i="40"/>
  <c r="G1442" i="40"/>
  <c r="L1442" i="40" s="1"/>
  <c r="V1441" i="40"/>
  <c r="U1441" i="40"/>
  <c r="Q1441" i="40"/>
  <c r="K1441" i="40"/>
  <c r="J1441" i="40"/>
  <c r="G1441" i="40"/>
  <c r="L1441" i="40" s="1"/>
  <c r="V1440" i="40"/>
  <c r="U1440" i="40"/>
  <c r="Q1440" i="40"/>
  <c r="L1440" i="40"/>
  <c r="K1440" i="40"/>
  <c r="J1440" i="40"/>
  <c r="G1440" i="40"/>
  <c r="V1439" i="40"/>
  <c r="U1439" i="40"/>
  <c r="Q1439" i="40"/>
  <c r="K1439" i="40"/>
  <c r="J1439" i="40"/>
  <c r="G1439" i="40"/>
  <c r="L1439" i="40" s="1"/>
  <c r="V1438" i="40"/>
  <c r="U1438" i="40"/>
  <c r="Q1438" i="40"/>
  <c r="K1438" i="40"/>
  <c r="J1438" i="40"/>
  <c r="G1438" i="40"/>
  <c r="L1438" i="40" s="1"/>
  <c r="V1437" i="40"/>
  <c r="U1437" i="40"/>
  <c r="Q1437" i="40"/>
  <c r="K1437" i="40"/>
  <c r="J1437" i="40"/>
  <c r="G1437" i="40"/>
  <c r="L1437" i="40" s="1"/>
  <c r="V1436" i="40"/>
  <c r="U1436" i="40"/>
  <c r="Q1436" i="40"/>
  <c r="K1436" i="40"/>
  <c r="J1436" i="40"/>
  <c r="G1436" i="40"/>
  <c r="L1436" i="40" s="1"/>
  <c r="V1435" i="40"/>
  <c r="U1435" i="40"/>
  <c r="Q1435" i="40"/>
  <c r="L1435" i="40"/>
  <c r="K1435" i="40"/>
  <c r="J1435" i="40"/>
  <c r="G1435" i="40"/>
  <c r="V1434" i="40"/>
  <c r="U1434" i="40"/>
  <c r="Q1434" i="40"/>
  <c r="K1434" i="40"/>
  <c r="J1434" i="40"/>
  <c r="G1434" i="40"/>
  <c r="L1434" i="40" s="1"/>
  <c r="V1433" i="40"/>
  <c r="U1433" i="40"/>
  <c r="Q1433" i="40"/>
  <c r="K1433" i="40"/>
  <c r="J1433" i="40"/>
  <c r="G1433" i="40"/>
  <c r="L1433" i="40" s="1"/>
  <c r="V1432" i="40"/>
  <c r="U1432" i="40"/>
  <c r="Q1432" i="40"/>
  <c r="K1432" i="40"/>
  <c r="J1432" i="40"/>
  <c r="G1432" i="40"/>
  <c r="L1432" i="40" s="1"/>
  <c r="V1431" i="40"/>
  <c r="U1431" i="40"/>
  <c r="Q1431" i="40"/>
  <c r="K1431" i="40"/>
  <c r="J1431" i="40"/>
  <c r="G1431" i="40"/>
  <c r="L1431" i="40" s="1"/>
  <c r="V1430" i="40"/>
  <c r="U1430" i="40"/>
  <c r="Q1430" i="40"/>
  <c r="K1430" i="40"/>
  <c r="J1430" i="40"/>
  <c r="G1430" i="40"/>
  <c r="L1430" i="40" s="1"/>
  <c r="V1429" i="40"/>
  <c r="U1429" i="40"/>
  <c r="Q1429" i="40"/>
  <c r="K1429" i="40"/>
  <c r="J1429" i="40"/>
  <c r="G1429" i="40"/>
  <c r="L1429" i="40" s="1"/>
  <c r="V1428" i="40"/>
  <c r="U1428" i="40"/>
  <c r="Q1428" i="40"/>
  <c r="K1428" i="40"/>
  <c r="J1428" i="40"/>
  <c r="G1428" i="40"/>
  <c r="L1428" i="40" s="1"/>
  <c r="V1427" i="40"/>
  <c r="U1427" i="40"/>
  <c r="Q1427" i="40"/>
  <c r="K1427" i="40"/>
  <c r="J1427" i="40"/>
  <c r="G1427" i="40"/>
  <c r="L1427" i="40" s="1"/>
  <c r="V1426" i="40"/>
  <c r="U1426" i="40"/>
  <c r="Q1426" i="40"/>
  <c r="K1426" i="40"/>
  <c r="J1426" i="40"/>
  <c r="G1426" i="40"/>
  <c r="L1426" i="40" s="1"/>
  <c r="V1425" i="40"/>
  <c r="U1425" i="40"/>
  <c r="Q1425" i="40"/>
  <c r="K1425" i="40"/>
  <c r="J1425" i="40"/>
  <c r="G1425" i="40"/>
  <c r="L1425" i="40" s="1"/>
  <c r="V1424" i="40"/>
  <c r="U1424" i="40"/>
  <c r="Q1424" i="40"/>
  <c r="K1424" i="40"/>
  <c r="J1424" i="40"/>
  <c r="G1424" i="40"/>
  <c r="L1424" i="40" s="1"/>
  <c r="V1423" i="40"/>
  <c r="U1423" i="40"/>
  <c r="Q1423" i="40"/>
  <c r="K1423" i="40"/>
  <c r="J1423" i="40"/>
  <c r="G1423" i="40"/>
  <c r="L1423" i="40" s="1"/>
  <c r="V1422" i="40"/>
  <c r="U1422" i="40"/>
  <c r="Q1422" i="40"/>
  <c r="K1422" i="40"/>
  <c r="J1422" i="40"/>
  <c r="G1422" i="40"/>
  <c r="L1422" i="40" s="1"/>
  <c r="V1421" i="40"/>
  <c r="U1421" i="40"/>
  <c r="Q1421" i="40"/>
  <c r="K1421" i="40"/>
  <c r="J1421" i="40"/>
  <c r="G1421" i="40"/>
  <c r="L1421" i="40" s="1"/>
  <c r="V1420" i="40"/>
  <c r="U1420" i="40"/>
  <c r="Q1420" i="40"/>
  <c r="K1420" i="40"/>
  <c r="J1420" i="40"/>
  <c r="G1420" i="40"/>
  <c r="L1420" i="40" s="1"/>
  <c r="V1419" i="40"/>
  <c r="U1419" i="40"/>
  <c r="Q1419" i="40"/>
  <c r="K1419" i="40"/>
  <c r="J1419" i="40"/>
  <c r="G1419" i="40"/>
  <c r="L1419" i="40" s="1"/>
  <c r="V1418" i="40"/>
  <c r="U1418" i="40"/>
  <c r="Q1418" i="40"/>
  <c r="K1418" i="40"/>
  <c r="J1418" i="40"/>
  <c r="G1418" i="40"/>
  <c r="L1418" i="40" s="1"/>
  <c r="V1417" i="40"/>
  <c r="U1417" i="40"/>
  <c r="Q1417" i="40"/>
  <c r="L1417" i="40"/>
  <c r="K1417" i="40"/>
  <c r="J1417" i="40"/>
  <c r="G1417" i="40"/>
  <c r="V1416" i="40"/>
  <c r="U1416" i="40"/>
  <c r="Q1416" i="40"/>
  <c r="K1416" i="40"/>
  <c r="J1416" i="40"/>
  <c r="G1416" i="40"/>
  <c r="L1416" i="40" s="1"/>
  <c r="V1415" i="40"/>
  <c r="U1415" i="40"/>
  <c r="Q1415" i="40"/>
  <c r="K1415" i="40"/>
  <c r="J1415" i="40"/>
  <c r="G1415" i="40"/>
  <c r="L1415" i="40" s="1"/>
  <c r="V1414" i="40"/>
  <c r="U1414" i="40"/>
  <c r="Q1414" i="40"/>
  <c r="K1414" i="40"/>
  <c r="J1414" i="40"/>
  <c r="G1414" i="40"/>
  <c r="L1414" i="40" s="1"/>
  <c r="V1413" i="40"/>
  <c r="U1413" i="40"/>
  <c r="Q1413" i="40"/>
  <c r="K1413" i="40"/>
  <c r="J1413" i="40"/>
  <c r="G1413" i="40"/>
  <c r="L1413" i="40" s="1"/>
  <c r="V1412" i="40"/>
  <c r="U1412" i="40"/>
  <c r="Q1412" i="40"/>
  <c r="L1412" i="40"/>
  <c r="K1412" i="40"/>
  <c r="J1412" i="40"/>
  <c r="G1412" i="40"/>
  <c r="V1411" i="40"/>
  <c r="U1411" i="40"/>
  <c r="Q1411" i="40"/>
  <c r="K1411" i="40"/>
  <c r="J1411" i="40"/>
  <c r="G1411" i="40"/>
  <c r="L1411" i="40" s="1"/>
  <c r="V1410" i="40"/>
  <c r="U1410" i="40"/>
  <c r="Q1410" i="40"/>
  <c r="K1410" i="40"/>
  <c r="J1410" i="40"/>
  <c r="G1410" i="40"/>
  <c r="L1410" i="40" s="1"/>
  <c r="V1409" i="40"/>
  <c r="U1409" i="40"/>
  <c r="Q1409" i="40"/>
  <c r="K1409" i="40"/>
  <c r="J1409" i="40"/>
  <c r="G1409" i="40"/>
  <c r="L1409" i="40" s="1"/>
  <c r="V1408" i="40"/>
  <c r="U1408" i="40"/>
  <c r="Q1408" i="40"/>
  <c r="K1408" i="40"/>
  <c r="J1408" i="40"/>
  <c r="G1408" i="40"/>
  <c r="L1408" i="40" s="1"/>
  <c r="V1407" i="40"/>
  <c r="U1407" i="40"/>
  <c r="Q1407" i="40"/>
  <c r="K1407" i="40"/>
  <c r="J1407" i="40"/>
  <c r="G1407" i="40"/>
  <c r="L1407" i="40" s="1"/>
  <c r="V1406" i="40"/>
  <c r="U1406" i="40"/>
  <c r="Q1406" i="40"/>
  <c r="K1406" i="40"/>
  <c r="J1406" i="40"/>
  <c r="G1406" i="40"/>
  <c r="L1406" i="40" s="1"/>
  <c r="V1405" i="40"/>
  <c r="U1405" i="40"/>
  <c r="Q1405" i="40"/>
  <c r="K1405" i="40"/>
  <c r="J1405" i="40"/>
  <c r="G1405" i="40"/>
  <c r="L1405" i="40" s="1"/>
  <c r="V1404" i="40"/>
  <c r="U1404" i="40"/>
  <c r="Q1404" i="40"/>
  <c r="K1404" i="40"/>
  <c r="J1404" i="40"/>
  <c r="G1404" i="40"/>
  <c r="L1404" i="40" s="1"/>
  <c r="V1403" i="40"/>
  <c r="U1403" i="40"/>
  <c r="Q1403" i="40"/>
  <c r="K1403" i="40"/>
  <c r="J1403" i="40"/>
  <c r="G1403" i="40"/>
  <c r="L1403" i="40" s="1"/>
  <c r="V1402" i="40"/>
  <c r="U1402" i="40"/>
  <c r="Q1402" i="40"/>
  <c r="K1402" i="40"/>
  <c r="J1402" i="40"/>
  <c r="G1402" i="40"/>
  <c r="L1402" i="40" s="1"/>
  <c r="V1401" i="40"/>
  <c r="Q1401" i="40"/>
  <c r="U1401" i="40" s="1"/>
  <c r="K1401" i="40"/>
  <c r="J1401" i="40"/>
  <c r="G1401" i="40"/>
  <c r="L1401" i="40" s="1"/>
  <c r="V1400" i="40"/>
  <c r="U1400" i="40"/>
  <c r="Q1400" i="40"/>
  <c r="L1400" i="40"/>
  <c r="K1400" i="40"/>
  <c r="J1400" i="40"/>
  <c r="G1400" i="40"/>
  <c r="V1399" i="40"/>
  <c r="U1399" i="40"/>
  <c r="Q1399" i="40"/>
  <c r="K1399" i="40"/>
  <c r="J1399" i="40"/>
  <c r="G1399" i="40"/>
  <c r="L1399" i="40" s="1"/>
  <c r="V1398" i="40"/>
  <c r="U1398" i="40"/>
  <c r="Q1398" i="40"/>
  <c r="K1398" i="40"/>
  <c r="J1398" i="40"/>
  <c r="G1398" i="40"/>
  <c r="L1398" i="40" s="1"/>
  <c r="V1397" i="40"/>
  <c r="U1397" i="40"/>
  <c r="Q1397" i="40"/>
  <c r="K1397" i="40"/>
  <c r="J1397" i="40"/>
  <c r="G1397" i="40"/>
  <c r="L1397" i="40" s="1"/>
  <c r="V1396" i="40"/>
  <c r="U1396" i="40"/>
  <c r="Q1396" i="40"/>
  <c r="K1396" i="40"/>
  <c r="J1396" i="40"/>
  <c r="G1396" i="40"/>
  <c r="L1396" i="40" s="1"/>
  <c r="V1395" i="40"/>
  <c r="U1395" i="40"/>
  <c r="Q1395" i="40"/>
  <c r="L1395" i="40"/>
  <c r="K1395" i="40"/>
  <c r="J1395" i="40"/>
  <c r="G1395" i="40"/>
  <c r="V1394" i="40"/>
  <c r="U1394" i="40"/>
  <c r="Q1394" i="40"/>
  <c r="K1394" i="40"/>
  <c r="J1394" i="40"/>
  <c r="G1394" i="40"/>
  <c r="L1394" i="40" s="1"/>
  <c r="V1393" i="40"/>
  <c r="U1393" i="40"/>
  <c r="Q1393" i="40"/>
  <c r="K1393" i="40"/>
  <c r="J1393" i="40"/>
  <c r="G1393" i="40"/>
  <c r="L1393" i="40" s="1"/>
  <c r="V1392" i="40"/>
  <c r="U1392" i="40"/>
  <c r="Q1392" i="40"/>
  <c r="K1392" i="40"/>
  <c r="J1392" i="40"/>
  <c r="G1392" i="40"/>
  <c r="L1392" i="40" s="1"/>
  <c r="V1391" i="40"/>
  <c r="U1391" i="40"/>
  <c r="Q1391" i="40"/>
  <c r="K1391" i="40"/>
  <c r="J1391" i="40"/>
  <c r="G1391" i="40"/>
  <c r="L1391" i="40" s="1"/>
  <c r="V1390" i="40"/>
  <c r="U1390" i="40"/>
  <c r="Q1390" i="40"/>
  <c r="K1390" i="40"/>
  <c r="J1390" i="40"/>
  <c r="G1390" i="40"/>
  <c r="L1390" i="40" s="1"/>
  <c r="V1389" i="40"/>
  <c r="U1389" i="40"/>
  <c r="Q1389" i="40"/>
  <c r="K1389" i="40"/>
  <c r="J1389" i="40"/>
  <c r="G1389" i="40"/>
  <c r="L1389" i="40" s="1"/>
  <c r="V1388" i="40"/>
  <c r="U1388" i="40"/>
  <c r="Q1388" i="40"/>
  <c r="K1388" i="40"/>
  <c r="J1388" i="40"/>
  <c r="G1388" i="40"/>
  <c r="L1388" i="40" s="1"/>
  <c r="V1387" i="40"/>
  <c r="Q1387" i="40"/>
  <c r="U1387" i="40" s="1"/>
  <c r="K1387" i="40"/>
  <c r="J1387" i="40"/>
  <c r="G1387" i="40"/>
  <c r="L1387" i="40" s="1"/>
  <c r="V1386" i="40"/>
  <c r="U1386" i="40"/>
  <c r="Q1386" i="40"/>
  <c r="K1386" i="40"/>
  <c r="J1386" i="40"/>
  <c r="G1386" i="40"/>
  <c r="L1386" i="40" s="1"/>
  <c r="V1385" i="40"/>
  <c r="U1385" i="40"/>
  <c r="Q1385" i="40"/>
  <c r="K1385" i="40"/>
  <c r="J1385" i="40"/>
  <c r="G1385" i="40"/>
  <c r="L1385" i="40" s="1"/>
  <c r="V1384" i="40"/>
  <c r="U1384" i="40"/>
  <c r="Q1384" i="40"/>
  <c r="K1384" i="40"/>
  <c r="J1384" i="40"/>
  <c r="G1384" i="40"/>
  <c r="L1384" i="40" s="1"/>
  <c r="V1383" i="40"/>
  <c r="U1383" i="40"/>
  <c r="Q1383" i="40"/>
  <c r="K1383" i="40"/>
  <c r="J1383" i="40"/>
  <c r="G1383" i="40"/>
  <c r="L1383" i="40" s="1"/>
  <c r="V1382" i="40"/>
  <c r="U1382" i="40"/>
  <c r="Q1382" i="40"/>
  <c r="K1382" i="40"/>
  <c r="J1382" i="40"/>
  <c r="G1382" i="40"/>
  <c r="L1382" i="40" s="1"/>
  <c r="V1381" i="40"/>
  <c r="U1381" i="40"/>
  <c r="Q1381" i="40"/>
  <c r="K1381" i="40"/>
  <c r="J1381" i="40"/>
  <c r="G1381" i="40"/>
  <c r="L1381" i="40" s="1"/>
  <c r="V1380" i="40"/>
  <c r="U1380" i="40"/>
  <c r="Q1380" i="40"/>
  <c r="K1380" i="40"/>
  <c r="J1380" i="40"/>
  <c r="G1380" i="40"/>
  <c r="L1380" i="40" s="1"/>
  <c r="V1379" i="40"/>
  <c r="U1379" i="40"/>
  <c r="Q1379" i="40"/>
  <c r="K1379" i="40"/>
  <c r="J1379" i="40"/>
  <c r="G1379" i="40"/>
  <c r="L1379" i="40" s="1"/>
  <c r="V1378" i="40"/>
  <c r="U1378" i="40"/>
  <c r="Q1378" i="40"/>
  <c r="L1378" i="40"/>
  <c r="K1378" i="40"/>
  <c r="J1378" i="40"/>
  <c r="G1378" i="40"/>
  <c r="V1377" i="40"/>
  <c r="U1377" i="40"/>
  <c r="Q1377" i="40"/>
  <c r="L1377" i="40"/>
  <c r="K1377" i="40"/>
  <c r="J1377" i="40"/>
  <c r="G1377" i="40"/>
  <c r="V1376" i="40"/>
  <c r="U1376" i="40"/>
  <c r="Q1376" i="40"/>
  <c r="K1376" i="40"/>
  <c r="J1376" i="40"/>
  <c r="G1376" i="40"/>
  <c r="L1376" i="40" s="1"/>
  <c r="V1375" i="40"/>
  <c r="U1375" i="40"/>
  <c r="Q1375" i="40"/>
  <c r="K1375" i="40"/>
  <c r="J1375" i="40"/>
  <c r="G1375" i="40"/>
  <c r="L1375" i="40" s="1"/>
  <c r="V1374" i="40"/>
  <c r="U1374" i="40"/>
  <c r="Q1374" i="40"/>
  <c r="K1374" i="40"/>
  <c r="J1374" i="40"/>
  <c r="G1374" i="40"/>
  <c r="L1374" i="40" s="1"/>
  <c r="V1373" i="40"/>
  <c r="U1373" i="40"/>
  <c r="Q1373" i="40"/>
  <c r="K1373" i="40"/>
  <c r="J1373" i="40"/>
  <c r="G1373" i="40"/>
  <c r="L1373" i="40" s="1"/>
  <c r="V1372" i="40"/>
  <c r="U1372" i="40"/>
  <c r="Q1372" i="40"/>
  <c r="L1372" i="40"/>
  <c r="K1372" i="40"/>
  <c r="J1372" i="40"/>
  <c r="G1372" i="40"/>
  <c r="V1371" i="40"/>
  <c r="U1371" i="40"/>
  <c r="Q1371" i="40"/>
  <c r="K1371" i="40"/>
  <c r="J1371" i="40"/>
  <c r="G1371" i="40"/>
  <c r="L1371" i="40" s="1"/>
  <c r="V1370" i="40"/>
  <c r="U1370" i="40"/>
  <c r="Q1370" i="40"/>
  <c r="K1370" i="40"/>
  <c r="J1370" i="40"/>
  <c r="G1370" i="40"/>
  <c r="L1370" i="40" s="1"/>
  <c r="V1369" i="40"/>
  <c r="U1369" i="40"/>
  <c r="Q1369" i="40"/>
  <c r="K1369" i="40"/>
  <c r="J1369" i="40"/>
  <c r="G1369" i="40"/>
  <c r="L1369" i="40" s="1"/>
  <c r="V1368" i="40"/>
  <c r="U1368" i="40"/>
  <c r="Q1368" i="40"/>
  <c r="K1368" i="40"/>
  <c r="J1368" i="40"/>
  <c r="G1368" i="40"/>
  <c r="L1368" i="40" s="1"/>
  <c r="V1367" i="40"/>
  <c r="U1367" i="40"/>
  <c r="Q1367" i="40"/>
  <c r="K1367" i="40"/>
  <c r="J1367" i="40"/>
  <c r="G1367" i="40"/>
  <c r="L1367" i="40" s="1"/>
  <c r="V1366" i="40"/>
  <c r="U1366" i="40"/>
  <c r="Q1366" i="40"/>
  <c r="K1366" i="40"/>
  <c r="J1366" i="40"/>
  <c r="G1366" i="40"/>
  <c r="L1366" i="40" s="1"/>
  <c r="V1365" i="40"/>
  <c r="U1365" i="40"/>
  <c r="Q1365" i="40"/>
  <c r="K1365" i="40"/>
  <c r="J1365" i="40"/>
  <c r="G1365" i="40"/>
  <c r="L1365" i="40" s="1"/>
  <c r="V1364" i="40"/>
  <c r="U1364" i="40"/>
  <c r="Q1364" i="40"/>
  <c r="K1364" i="40"/>
  <c r="J1364" i="40"/>
  <c r="G1364" i="40"/>
  <c r="L1364" i="40" s="1"/>
  <c r="V1363" i="40"/>
  <c r="U1363" i="40"/>
  <c r="Q1363" i="40"/>
  <c r="K1363" i="40"/>
  <c r="J1363" i="40"/>
  <c r="G1363" i="40"/>
  <c r="L1363" i="40" s="1"/>
  <c r="V1362" i="40"/>
  <c r="U1362" i="40"/>
  <c r="Q1362" i="40"/>
  <c r="K1362" i="40"/>
  <c r="J1362" i="40"/>
  <c r="G1362" i="40"/>
  <c r="L1362" i="40" s="1"/>
  <c r="V1361" i="40"/>
  <c r="Q1361" i="40"/>
  <c r="U1361" i="40" s="1"/>
  <c r="L1361" i="40"/>
  <c r="K1361" i="40"/>
  <c r="J1361" i="40"/>
  <c r="G1361" i="40"/>
  <c r="V1360" i="40"/>
  <c r="U1360" i="40"/>
  <c r="Q1360" i="40"/>
  <c r="L1360" i="40"/>
  <c r="K1360" i="40"/>
  <c r="J1360" i="40"/>
  <c r="G1360" i="40"/>
  <c r="V1359" i="40"/>
  <c r="U1359" i="40"/>
  <c r="Q1359" i="40"/>
  <c r="K1359" i="40"/>
  <c r="J1359" i="40"/>
  <c r="G1359" i="40"/>
  <c r="L1359" i="40" s="1"/>
  <c r="V1358" i="40"/>
  <c r="U1358" i="40"/>
  <c r="Q1358" i="40"/>
  <c r="K1358" i="40"/>
  <c r="J1358" i="40"/>
  <c r="G1358" i="40"/>
  <c r="L1358" i="40" s="1"/>
  <c r="V1357" i="40"/>
  <c r="U1357" i="40"/>
  <c r="Q1357" i="40"/>
  <c r="K1357" i="40"/>
  <c r="J1357" i="40"/>
  <c r="G1357" i="40"/>
  <c r="L1357" i="40" s="1"/>
  <c r="V1356" i="40"/>
  <c r="U1356" i="40"/>
  <c r="Q1356" i="40"/>
  <c r="L1356" i="40"/>
  <c r="K1356" i="40"/>
  <c r="J1356" i="40"/>
  <c r="G1356" i="40"/>
  <c r="V1355" i="40"/>
  <c r="U1355" i="40"/>
  <c r="Q1355" i="40"/>
  <c r="L1355" i="40"/>
  <c r="K1355" i="40"/>
  <c r="J1355" i="40"/>
  <c r="G1355" i="40"/>
  <c r="V1354" i="40"/>
  <c r="U1354" i="40"/>
  <c r="Q1354" i="40"/>
  <c r="L1354" i="40"/>
  <c r="K1354" i="40"/>
  <c r="J1354" i="40"/>
  <c r="G1354" i="40"/>
  <c r="V1353" i="40"/>
  <c r="U1353" i="40"/>
  <c r="Q1353" i="40"/>
  <c r="K1353" i="40"/>
  <c r="J1353" i="40"/>
  <c r="G1353" i="40"/>
  <c r="L1353" i="40" s="1"/>
  <c r="V1352" i="40"/>
  <c r="U1352" i="40"/>
  <c r="Q1352" i="40"/>
  <c r="K1352" i="40"/>
  <c r="J1352" i="40"/>
  <c r="G1352" i="40"/>
  <c r="L1352" i="40" s="1"/>
  <c r="V1351" i="40"/>
  <c r="U1351" i="40"/>
  <c r="Q1351" i="40"/>
  <c r="K1351" i="40"/>
  <c r="J1351" i="40"/>
  <c r="G1351" i="40"/>
  <c r="L1351" i="40" s="1"/>
  <c r="V1350" i="40"/>
  <c r="U1350" i="40"/>
  <c r="Q1350" i="40"/>
  <c r="K1350" i="40"/>
  <c r="J1350" i="40"/>
  <c r="G1350" i="40"/>
  <c r="L1350" i="40" s="1"/>
  <c r="V1349" i="40"/>
  <c r="U1349" i="40"/>
  <c r="Q1349" i="40"/>
  <c r="K1349" i="40"/>
  <c r="J1349" i="40"/>
  <c r="G1349" i="40"/>
  <c r="L1349" i="40" s="1"/>
  <c r="V1348" i="40"/>
  <c r="U1348" i="40"/>
  <c r="Q1348" i="40"/>
  <c r="K1348" i="40"/>
  <c r="J1348" i="40"/>
  <c r="G1348" i="40"/>
  <c r="L1348" i="40" s="1"/>
  <c r="V1347" i="40"/>
  <c r="U1347" i="40"/>
  <c r="Q1347" i="40"/>
  <c r="K1347" i="40"/>
  <c r="J1347" i="40"/>
  <c r="G1347" i="40"/>
  <c r="L1347" i="40" s="1"/>
  <c r="V1346" i="40"/>
  <c r="U1346" i="40"/>
  <c r="Q1346" i="40"/>
  <c r="K1346" i="40"/>
  <c r="J1346" i="40"/>
  <c r="G1346" i="40"/>
  <c r="L1346" i="40" s="1"/>
  <c r="V1345" i="40"/>
  <c r="U1345" i="40"/>
  <c r="Q1345" i="40"/>
  <c r="K1345" i="40"/>
  <c r="J1345" i="40"/>
  <c r="G1345" i="40"/>
  <c r="L1345" i="40" s="1"/>
  <c r="V1344" i="40"/>
  <c r="U1344" i="40"/>
  <c r="Q1344" i="40"/>
  <c r="K1344" i="40"/>
  <c r="J1344" i="40"/>
  <c r="G1344" i="40"/>
  <c r="L1344" i="40" s="1"/>
  <c r="V1343" i="40"/>
  <c r="U1343" i="40"/>
  <c r="Q1343" i="40"/>
  <c r="K1343" i="40"/>
  <c r="J1343" i="40"/>
  <c r="G1343" i="40"/>
  <c r="L1343" i="40" s="1"/>
  <c r="V1342" i="40"/>
  <c r="U1342" i="40"/>
  <c r="Q1342" i="40"/>
  <c r="K1342" i="40"/>
  <c r="J1342" i="40"/>
  <c r="G1342" i="40"/>
  <c r="L1342" i="40" s="1"/>
  <c r="V1341" i="40"/>
  <c r="U1341" i="40"/>
  <c r="Q1341" i="40"/>
  <c r="K1341" i="40"/>
  <c r="J1341" i="40"/>
  <c r="G1341" i="40"/>
  <c r="L1341" i="40" s="1"/>
  <c r="V1340" i="40"/>
  <c r="U1340" i="40"/>
  <c r="Q1340" i="40"/>
  <c r="K1340" i="40"/>
  <c r="J1340" i="40"/>
  <c r="G1340" i="40"/>
  <c r="L1340" i="40" s="1"/>
  <c r="V1339" i="40"/>
  <c r="U1339" i="40"/>
  <c r="Q1339" i="40"/>
  <c r="K1339" i="40"/>
  <c r="J1339" i="40"/>
  <c r="G1339" i="40"/>
  <c r="L1339" i="40" s="1"/>
  <c r="V1338" i="40"/>
  <c r="U1338" i="40"/>
  <c r="Q1338" i="40"/>
  <c r="K1338" i="40"/>
  <c r="J1338" i="40"/>
  <c r="G1338" i="40"/>
  <c r="L1338" i="40" s="1"/>
  <c r="V1337" i="40"/>
  <c r="U1337" i="40"/>
  <c r="Q1337" i="40"/>
  <c r="L1337" i="40"/>
  <c r="K1337" i="40"/>
  <c r="J1337" i="40"/>
  <c r="G1337" i="40"/>
  <c r="V1336" i="40"/>
  <c r="U1336" i="40"/>
  <c r="Q1336" i="40"/>
  <c r="L1336" i="40"/>
  <c r="K1336" i="40"/>
  <c r="J1336" i="40"/>
  <c r="G1336" i="40"/>
  <c r="V1335" i="40"/>
  <c r="U1335" i="40"/>
  <c r="Q1335" i="40"/>
  <c r="K1335" i="40"/>
  <c r="J1335" i="40"/>
  <c r="G1335" i="40"/>
  <c r="L1335" i="40" s="1"/>
  <c r="V1334" i="40"/>
  <c r="U1334" i="40"/>
  <c r="Q1334" i="40"/>
  <c r="K1334" i="40"/>
  <c r="J1334" i="40"/>
  <c r="G1334" i="40"/>
  <c r="L1334" i="40" s="1"/>
  <c r="V1333" i="40"/>
  <c r="U1333" i="40"/>
  <c r="Q1333" i="40"/>
  <c r="K1333" i="40"/>
  <c r="J1333" i="40"/>
  <c r="G1333" i="40"/>
  <c r="L1333" i="40" s="1"/>
  <c r="V1332" i="40"/>
  <c r="U1332" i="40"/>
  <c r="Q1332" i="40"/>
  <c r="L1332" i="40"/>
  <c r="K1332" i="40"/>
  <c r="J1332" i="40"/>
  <c r="G1332" i="40"/>
  <c r="V1331" i="40"/>
  <c r="U1331" i="40"/>
  <c r="Q1331" i="40"/>
  <c r="L1331" i="40"/>
  <c r="K1331" i="40"/>
  <c r="J1331" i="40"/>
  <c r="G1331" i="40"/>
  <c r="V1330" i="40"/>
  <c r="U1330" i="40"/>
  <c r="Q1330" i="40"/>
  <c r="K1330" i="40"/>
  <c r="J1330" i="40"/>
  <c r="G1330" i="40"/>
  <c r="L1330" i="40" s="1"/>
  <c r="V1329" i="40"/>
  <c r="U1329" i="40"/>
  <c r="Q1329" i="40"/>
  <c r="K1329" i="40"/>
  <c r="J1329" i="40"/>
  <c r="G1329" i="40"/>
  <c r="L1329" i="40" s="1"/>
  <c r="V1328" i="40"/>
  <c r="U1328" i="40"/>
  <c r="Q1328" i="40"/>
  <c r="K1328" i="40"/>
  <c r="J1328" i="40"/>
  <c r="G1328" i="40"/>
  <c r="L1328" i="40" s="1"/>
  <c r="V1327" i="40"/>
  <c r="U1327" i="40"/>
  <c r="Q1327" i="40"/>
  <c r="K1327" i="40"/>
  <c r="J1327" i="40"/>
  <c r="G1327" i="40"/>
  <c r="L1327" i="40" s="1"/>
  <c r="V1326" i="40"/>
  <c r="U1326" i="40"/>
  <c r="Q1326" i="40"/>
  <c r="K1326" i="40"/>
  <c r="J1326" i="40"/>
  <c r="G1326" i="40"/>
  <c r="L1326" i="40" s="1"/>
  <c r="V1325" i="40"/>
  <c r="U1325" i="40"/>
  <c r="Q1325" i="40"/>
  <c r="K1325" i="40"/>
  <c r="J1325" i="40"/>
  <c r="G1325" i="40"/>
  <c r="L1325" i="40" s="1"/>
  <c r="V1324" i="40"/>
  <c r="U1324" i="40"/>
  <c r="Q1324" i="40"/>
  <c r="K1324" i="40"/>
  <c r="J1324" i="40"/>
  <c r="G1324" i="40"/>
  <c r="L1324" i="40" s="1"/>
  <c r="V1323" i="40"/>
  <c r="U1323" i="40"/>
  <c r="Q1323" i="40"/>
  <c r="K1323" i="40"/>
  <c r="J1323" i="40"/>
  <c r="G1323" i="40"/>
  <c r="L1323" i="40" s="1"/>
  <c r="V1322" i="40"/>
  <c r="U1322" i="40"/>
  <c r="Q1322" i="40"/>
  <c r="K1322" i="40"/>
  <c r="J1322" i="40"/>
  <c r="G1322" i="40"/>
  <c r="L1322" i="40" s="1"/>
  <c r="V1321" i="40"/>
  <c r="U1321" i="40"/>
  <c r="Q1321" i="40"/>
  <c r="K1321" i="40"/>
  <c r="J1321" i="40"/>
  <c r="G1321" i="40"/>
  <c r="L1321" i="40" s="1"/>
  <c r="V1320" i="40"/>
  <c r="U1320" i="40"/>
  <c r="Q1320" i="40"/>
  <c r="K1320" i="40"/>
  <c r="J1320" i="40"/>
  <c r="G1320" i="40"/>
  <c r="L1320" i="40" s="1"/>
  <c r="V1319" i="40"/>
  <c r="U1319" i="40"/>
  <c r="Q1319" i="40"/>
  <c r="K1319" i="40"/>
  <c r="J1319" i="40"/>
  <c r="G1319" i="40"/>
  <c r="L1319" i="40" s="1"/>
  <c r="V1318" i="40"/>
  <c r="U1318" i="40"/>
  <c r="Q1318" i="40"/>
  <c r="K1318" i="40"/>
  <c r="J1318" i="40"/>
  <c r="G1318" i="40"/>
  <c r="L1318" i="40" s="1"/>
  <c r="V1317" i="40"/>
  <c r="U1317" i="40"/>
  <c r="Q1317" i="40"/>
  <c r="K1317" i="40"/>
  <c r="J1317" i="40"/>
  <c r="G1317" i="40"/>
  <c r="L1317" i="40" s="1"/>
  <c r="V1316" i="40"/>
  <c r="U1316" i="40"/>
  <c r="Q1316" i="40"/>
  <c r="K1316" i="40"/>
  <c r="J1316" i="40"/>
  <c r="G1316" i="40"/>
  <c r="L1316" i="40" s="1"/>
  <c r="V1315" i="40"/>
  <c r="U1315" i="40"/>
  <c r="Q1315" i="40"/>
  <c r="K1315" i="40"/>
  <c r="J1315" i="40"/>
  <c r="G1315" i="40"/>
  <c r="L1315" i="40" s="1"/>
  <c r="V1314" i="40"/>
  <c r="U1314" i="40"/>
  <c r="Q1314" i="40"/>
  <c r="K1314" i="40"/>
  <c r="J1314" i="40"/>
  <c r="G1314" i="40"/>
  <c r="L1314" i="40" s="1"/>
  <c r="V1313" i="40"/>
  <c r="U1313" i="40"/>
  <c r="Q1313" i="40"/>
  <c r="K1313" i="40"/>
  <c r="J1313" i="40"/>
  <c r="G1313" i="40"/>
  <c r="L1313" i="40" s="1"/>
  <c r="V1312" i="40"/>
  <c r="U1312" i="40"/>
  <c r="Q1312" i="40"/>
  <c r="K1312" i="40"/>
  <c r="J1312" i="40"/>
  <c r="G1312" i="40"/>
  <c r="L1312" i="40" s="1"/>
  <c r="V1311" i="40"/>
  <c r="U1311" i="40"/>
  <c r="Q1311" i="40"/>
  <c r="K1311" i="40"/>
  <c r="J1311" i="40"/>
  <c r="G1311" i="40"/>
  <c r="L1311" i="40" s="1"/>
  <c r="V1310" i="40"/>
  <c r="U1310" i="40"/>
  <c r="Q1310" i="40"/>
  <c r="K1310" i="40"/>
  <c r="J1310" i="40"/>
  <c r="G1310" i="40"/>
  <c r="L1310" i="40" s="1"/>
  <c r="V1309" i="40"/>
  <c r="U1309" i="40"/>
  <c r="Q1309" i="40"/>
  <c r="K1309" i="40"/>
  <c r="J1309" i="40"/>
  <c r="G1309" i="40"/>
  <c r="L1309" i="40" s="1"/>
  <c r="V1308" i="40"/>
  <c r="U1308" i="40"/>
  <c r="Q1308" i="40"/>
  <c r="K1308" i="40"/>
  <c r="J1308" i="40"/>
  <c r="G1308" i="40"/>
  <c r="L1308" i="40" s="1"/>
  <c r="V1307" i="40"/>
  <c r="U1307" i="40"/>
  <c r="Q1307" i="40"/>
  <c r="K1307" i="40"/>
  <c r="J1307" i="40"/>
  <c r="G1307" i="40"/>
  <c r="L1307" i="40" s="1"/>
  <c r="V1306" i="40"/>
  <c r="U1306" i="40"/>
  <c r="Q1306" i="40"/>
  <c r="K1306" i="40"/>
  <c r="J1306" i="40"/>
  <c r="G1306" i="40"/>
  <c r="L1306" i="40" s="1"/>
  <c r="V1305" i="40"/>
  <c r="U1305" i="40"/>
  <c r="Q1305" i="40"/>
  <c r="K1305" i="40"/>
  <c r="J1305" i="40"/>
  <c r="G1305" i="40"/>
  <c r="L1305" i="40" s="1"/>
  <c r="V1304" i="40"/>
  <c r="U1304" i="40"/>
  <c r="Q1304" i="40"/>
  <c r="K1304" i="40"/>
  <c r="J1304" i="40"/>
  <c r="G1304" i="40"/>
  <c r="L1304" i="40" s="1"/>
  <c r="V1303" i="40"/>
  <c r="U1303" i="40"/>
  <c r="Q1303" i="40"/>
  <c r="K1303" i="40"/>
  <c r="J1303" i="40"/>
  <c r="G1303" i="40"/>
  <c r="L1303" i="40" s="1"/>
  <c r="V1302" i="40"/>
  <c r="U1302" i="40"/>
  <c r="Q1302" i="40"/>
  <c r="K1302" i="40"/>
  <c r="J1302" i="40"/>
  <c r="G1302" i="40"/>
  <c r="L1302" i="40" s="1"/>
  <c r="V1301" i="40"/>
  <c r="U1301" i="40"/>
  <c r="Q1301" i="40"/>
  <c r="K1301" i="40"/>
  <c r="J1301" i="40"/>
  <c r="G1301" i="40"/>
  <c r="L1301" i="40" s="1"/>
  <c r="V1300" i="40"/>
  <c r="U1300" i="40"/>
  <c r="Q1300" i="40"/>
  <c r="K1300" i="40"/>
  <c r="J1300" i="40"/>
  <c r="G1300" i="40"/>
  <c r="L1300" i="40" s="1"/>
  <c r="V1299" i="40"/>
  <c r="U1299" i="40"/>
  <c r="Q1299" i="40"/>
  <c r="K1299" i="40"/>
  <c r="J1299" i="40"/>
  <c r="G1299" i="40"/>
  <c r="L1299" i="40" s="1"/>
  <c r="V1298" i="40"/>
  <c r="U1298" i="40"/>
  <c r="Q1298" i="40"/>
  <c r="K1298" i="40"/>
  <c r="J1298" i="40"/>
  <c r="G1298" i="40"/>
  <c r="L1298" i="40" s="1"/>
  <c r="V1297" i="40"/>
  <c r="U1297" i="40"/>
  <c r="Q1297" i="40"/>
  <c r="K1297" i="40"/>
  <c r="J1297" i="40"/>
  <c r="G1297" i="40"/>
  <c r="L1297" i="40" s="1"/>
  <c r="V1296" i="40"/>
  <c r="U1296" i="40"/>
  <c r="Q1296" i="40"/>
  <c r="K1296" i="40"/>
  <c r="J1296" i="40"/>
  <c r="G1296" i="40"/>
  <c r="L1296" i="40" s="1"/>
  <c r="V1295" i="40"/>
  <c r="U1295" i="40"/>
  <c r="Q1295" i="40"/>
  <c r="K1295" i="40"/>
  <c r="J1295" i="40"/>
  <c r="G1295" i="40"/>
  <c r="L1295" i="40" s="1"/>
  <c r="V1294" i="40"/>
  <c r="U1294" i="40"/>
  <c r="Q1294" i="40"/>
  <c r="K1294" i="40"/>
  <c r="J1294" i="40"/>
  <c r="G1294" i="40"/>
  <c r="L1294" i="40" s="1"/>
  <c r="V1293" i="40"/>
  <c r="U1293" i="40"/>
  <c r="Q1293" i="40"/>
  <c r="K1293" i="40"/>
  <c r="J1293" i="40"/>
  <c r="G1293" i="40"/>
  <c r="L1293" i="40" s="1"/>
  <c r="V1292" i="40"/>
  <c r="U1292" i="40"/>
  <c r="Q1292" i="40"/>
  <c r="K1292" i="40"/>
  <c r="J1292" i="40"/>
  <c r="G1292" i="40"/>
  <c r="L1292" i="40" s="1"/>
  <c r="V1291" i="40"/>
  <c r="U1291" i="40"/>
  <c r="Q1291" i="40"/>
  <c r="K1291" i="40"/>
  <c r="J1291" i="40"/>
  <c r="G1291" i="40"/>
  <c r="L1291" i="40" s="1"/>
  <c r="V1290" i="40"/>
  <c r="U1290" i="40"/>
  <c r="Q1290" i="40"/>
  <c r="K1290" i="40"/>
  <c r="J1290" i="40"/>
  <c r="G1290" i="40"/>
  <c r="L1290" i="40" s="1"/>
  <c r="V1289" i="40"/>
  <c r="U1289" i="40"/>
  <c r="Q1289" i="40"/>
  <c r="K1289" i="40"/>
  <c r="J1289" i="40"/>
  <c r="G1289" i="40"/>
  <c r="L1289" i="40" s="1"/>
  <c r="V1288" i="40"/>
  <c r="U1288" i="40"/>
  <c r="Q1288" i="40"/>
  <c r="K1288" i="40"/>
  <c r="J1288" i="40"/>
  <c r="G1288" i="40"/>
  <c r="L1288" i="40" s="1"/>
  <c r="V1287" i="40"/>
  <c r="U1287" i="40"/>
  <c r="Q1287" i="40"/>
  <c r="K1287" i="40"/>
  <c r="J1287" i="40"/>
  <c r="G1287" i="40"/>
  <c r="L1287" i="40" s="1"/>
  <c r="V1286" i="40"/>
  <c r="U1286" i="40"/>
  <c r="Q1286" i="40"/>
  <c r="K1286" i="40"/>
  <c r="J1286" i="40"/>
  <c r="G1286" i="40"/>
  <c r="L1286" i="40" s="1"/>
  <c r="V1285" i="40"/>
  <c r="U1285" i="40"/>
  <c r="Q1285" i="40"/>
  <c r="K1285" i="40"/>
  <c r="J1285" i="40"/>
  <c r="G1285" i="40"/>
  <c r="L1285" i="40" s="1"/>
  <c r="V1284" i="40"/>
  <c r="U1284" i="40"/>
  <c r="Q1284" i="40"/>
  <c r="K1284" i="40"/>
  <c r="J1284" i="40"/>
  <c r="G1284" i="40"/>
  <c r="L1284" i="40" s="1"/>
  <c r="V1283" i="40"/>
  <c r="U1283" i="40"/>
  <c r="Q1283" i="40"/>
  <c r="K1283" i="40"/>
  <c r="J1283" i="40"/>
  <c r="G1283" i="40"/>
  <c r="L1283" i="40" s="1"/>
  <c r="V1282" i="40"/>
  <c r="U1282" i="40"/>
  <c r="Q1282" i="40"/>
  <c r="L1282" i="40"/>
  <c r="K1282" i="40"/>
  <c r="J1282" i="40"/>
  <c r="G1282" i="40"/>
  <c r="V1281" i="40"/>
  <c r="U1281" i="40"/>
  <c r="Q1281" i="40"/>
  <c r="K1281" i="40"/>
  <c r="J1281" i="40"/>
  <c r="G1281" i="40"/>
  <c r="L1281" i="40" s="1"/>
  <c r="V1280" i="40"/>
  <c r="U1280" i="40"/>
  <c r="Q1280" i="40"/>
  <c r="K1280" i="40"/>
  <c r="J1280" i="40"/>
  <c r="G1280" i="40"/>
  <c r="L1280" i="40" s="1"/>
  <c r="V1279" i="40"/>
  <c r="U1279" i="40"/>
  <c r="Q1279" i="40"/>
  <c r="K1279" i="40"/>
  <c r="J1279" i="40"/>
  <c r="G1279" i="40"/>
  <c r="L1279" i="40" s="1"/>
  <c r="V1278" i="40"/>
  <c r="U1278" i="40"/>
  <c r="Q1278" i="40"/>
  <c r="K1278" i="40"/>
  <c r="J1278" i="40"/>
  <c r="G1278" i="40"/>
  <c r="L1278" i="40" s="1"/>
  <c r="V1277" i="40"/>
  <c r="U1277" i="40"/>
  <c r="Q1277" i="40"/>
  <c r="K1277" i="40"/>
  <c r="J1277" i="40"/>
  <c r="G1277" i="40"/>
  <c r="L1277" i="40" s="1"/>
  <c r="V1276" i="40"/>
  <c r="U1276" i="40"/>
  <c r="Q1276" i="40"/>
  <c r="K1276" i="40"/>
  <c r="J1276" i="40"/>
  <c r="G1276" i="40"/>
  <c r="L1276" i="40" s="1"/>
  <c r="V1275" i="40"/>
  <c r="U1275" i="40"/>
  <c r="Q1275" i="40"/>
  <c r="K1275" i="40"/>
  <c r="J1275" i="40"/>
  <c r="G1275" i="40"/>
  <c r="L1275" i="40" s="1"/>
  <c r="V1274" i="40"/>
  <c r="U1274" i="40"/>
  <c r="Q1274" i="40"/>
  <c r="K1274" i="40"/>
  <c r="J1274" i="40"/>
  <c r="G1274" i="40"/>
  <c r="L1274" i="40" s="1"/>
  <c r="V1273" i="40"/>
  <c r="U1273" i="40"/>
  <c r="Q1273" i="40"/>
  <c r="L1273" i="40"/>
  <c r="K1273" i="40"/>
  <c r="J1273" i="40"/>
  <c r="G1273" i="40"/>
  <c r="V1272" i="40"/>
  <c r="U1272" i="40"/>
  <c r="Q1272" i="40"/>
  <c r="L1272" i="40"/>
  <c r="K1272" i="40"/>
  <c r="J1272" i="40"/>
  <c r="G1272" i="40"/>
  <c r="V1271" i="40"/>
  <c r="U1271" i="40"/>
  <c r="Q1271" i="40"/>
  <c r="K1271" i="40"/>
  <c r="J1271" i="40"/>
  <c r="G1271" i="40"/>
  <c r="L1271" i="40" s="1"/>
  <c r="V1270" i="40"/>
  <c r="U1270" i="40"/>
  <c r="Q1270" i="40"/>
  <c r="K1270" i="40"/>
  <c r="J1270" i="40"/>
  <c r="G1270" i="40"/>
  <c r="L1270" i="40" s="1"/>
  <c r="V1269" i="40"/>
  <c r="U1269" i="40"/>
  <c r="Q1269" i="40"/>
  <c r="K1269" i="40"/>
  <c r="J1269" i="40"/>
  <c r="G1269" i="40"/>
  <c r="L1269" i="40" s="1"/>
  <c r="V1268" i="40"/>
  <c r="U1268" i="40"/>
  <c r="Q1268" i="40"/>
  <c r="L1268" i="40"/>
  <c r="K1268" i="40"/>
  <c r="J1268" i="40"/>
  <c r="G1268" i="40"/>
  <c r="V1267" i="40"/>
  <c r="U1267" i="40"/>
  <c r="Q1267" i="40"/>
  <c r="L1267" i="40"/>
  <c r="K1267" i="40"/>
  <c r="J1267" i="40"/>
  <c r="G1267" i="40"/>
  <c r="V1266" i="40"/>
  <c r="U1266" i="40"/>
  <c r="Q1266" i="40"/>
  <c r="L1266" i="40"/>
  <c r="K1266" i="40"/>
  <c r="J1266" i="40"/>
  <c r="G1266" i="40"/>
  <c r="V1265" i="40"/>
  <c r="U1265" i="40"/>
  <c r="Q1265" i="40"/>
  <c r="K1265" i="40"/>
  <c r="J1265" i="40"/>
  <c r="G1265" i="40"/>
  <c r="L1265" i="40" s="1"/>
  <c r="V1264" i="40"/>
  <c r="U1264" i="40"/>
  <c r="Q1264" i="40"/>
  <c r="K1264" i="40"/>
  <c r="J1264" i="40"/>
  <c r="G1264" i="40"/>
  <c r="L1264" i="40" s="1"/>
  <c r="V1263" i="40"/>
  <c r="U1263" i="40"/>
  <c r="Q1263" i="40"/>
  <c r="K1263" i="40"/>
  <c r="J1263" i="40"/>
  <c r="G1263" i="40"/>
  <c r="L1263" i="40" s="1"/>
  <c r="V1262" i="40"/>
  <c r="U1262" i="40"/>
  <c r="Q1262" i="40"/>
  <c r="K1262" i="40"/>
  <c r="J1262" i="40"/>
  <c r="G1262" i="40"/>
  <c r="L1262" i="40" s="1"/>
  <c r="V1261" i="40"/>
  <c r="U1261" i="40"/>
  <c r="Q1261" i="40"/>
  <c r="K1261" i="40"/>
  <c r="J1261" i="40"/>
  <c r="G1261" i="40"/>
  <c r="L1261" i="40" s="1"/>
  <c r="V1260" i="40"/>
  <c r="U1260" i="40"/>
  <c r="Q1260" i="40"/>
  <c r="K1260" i="40"/>
  <c r="J1260" i="40"/>
  <c r="G1260" i="40"/>
  <c r="L1260" i="40" s="1"/>
  <c r="V1259" i="40"/>
  <c r="U1259" i="40"/>
  <c r="Q1259" i="40"/>
  <c r="K1259" i="40"/>
  <c r="J1259" i="40"/>
  <c r="G1259" i="40"/>
  <c r="L1259" i="40" s="1"/>
  <c r="V1258" i="40"/>
  <c r="U1258" i="40"/>
  <c r="Q1258" i="40"/>
  <c r="K1258" i="40"/>
  <c r="J1258" i="40"/>
  <c r="G1258" i="40"/>
  <c r="L1258" i="40" s="1"/>
  <c r="V1257" i="40"/>
  <c r="Q1257" i="40"/>
  <c r="U1257" i="40" s="1"/>
  <c r="K1257" i="40"/>
  <c r="J1257" i="40"/>
  <c r="G1257" i="40"/>
  <c r="L1257" i="40" s="1"/>
  <c r="V1256" i="40"/>
  <c r="U1256" i="40"/>
  <c r="Q1256" i="40"/>
  <c r="K1256" i="40"/>
  <c r="J1256" i="40"/>
  <c r="G1256" i="40"/>
  <c r="L1256" i="40" s="1"/>
  <c r="V1255" i="40"/>
  <c r="U1255" i="40"/>
  <c r="Q1255" i="40"/>
  <c r="K1255" i="40"/>
  <c r="J1255" i="40"/>
  <c r="G1255" i="40"/>
  <c r="L1255" i="40" s="1"/>
  <c r="V1254" i="40"/>
  <c r="U1254" i="40"/>
  <c r="Q1254" i="40"/>
  <c r="K1254" i="40"/>
  <c r="J1254" i="40"/>
  <c r="G1254" i="40"/>
  <c r="L1254" i="40" s="1"/>
  <c r="V1253" i="40"/>
  <c r="U1253" i="40"/>
  <c r="Q1253" i="40"/>
  <c r="K1253" i="40"/>
  <c r="J1253" i="40"/>
  <c r="G1253" i="40"/>
  <c r="L1253" i="40" s="1"/>
  <c r="V1252" i="40"/>
  <c r="U1252" i="40"/>
  <c r="Q1252" i="40"/>
  <c r="K1252" i="40"/>
  <c r="J1252" i="40"/>
  <c r="G1252" i="40"/>
  <c r="L1252" i="40" s="1"/>
  <c r="V1251" i="40"/>
  <c r="U1251" i="40"/>
  <c r="Q1251" i="40"/>
  <c r="K1251" i="40"/>
  <c r="J1251" i="40"/>
  <c r="G1251" i="40"/>
  <c r="L1251" i="40" s="1"/>
  <c r="V1250" i="40"/>
  <c r="U1250" i="40"/>
  <c r="Q1250" i="40"/>
  <c r="K1250" i="40"/>
  <c r="J1250" i="40"/>
  <c r="G1250" i="40"/>
  <c r="L1250" i="40" s="1"/>
  <c r="V1249" i="40"/>
  <c r="U1249" i="40"/>
  <c r="Q1249" i="40"/>
  <c r="K1249" i="40"/>
  <c r="J1249" i="40"/>
  <c r="G1249" i="40"/>
  <c r="L1249" i="40" s="1"/>
  <c r="V1248" i="40"/>
  <c r="U1248" i="40"/>
  <c r="Q1248" i="40"/>
  <c r="K1248" i="40"/>
  <c r="J1248" i="40"/>
  <c r="G1248" i="40"/>
  <c r="L1248" i="40" s="1"/>
  <c r="V1247" i="40"/>
  <c r="U1247" i="40"/>
  <c r="Q1247" i="40"/>
  <c r="K1247" i="40"/>
  <c r="J1247" i="40"/>
  <c r="G1247" i="40"/>
  <c r="L1247" i="40" s="1"/>
  <c r="V1246" i="40"/>
  <c r="U1246" i="40"/>
  <c r="Q1246" i="40"/>
  <c r="K1246" i="40"/>
  <c r="J1246" i="40"/>
  <c r="G1246" i="40"/>
  <c r="L1246" i="40" s="1"/>
  <c r="V1245" i="40"/>
  <c r="U1245" i="40"/>
  <c r="Q1245" i="40"/>
  <c r="K1245" i="40"/>
  <c r="J1245" i="40"/>
  <c r="G1245" i="40"/>
  <c r="L1245" i="40" s="1"/>
  <c r="V1244" i="40"/>
  <c r="U1244" i="40"/>
  <c r="Q1244" i="40"/>
  <c r="L1244" i="40"/>
  <c r="K1244" i="40"/>
  <c r="J1244" i="40"/>
  <c r="G1244" i="40"/>
  <c r="V1243" i="40"/>
  <c r="U1243" i="40"/>
  <c r="Q1243" i="40"/>
  <c r="K1243" i="40"/>
  <c r="J1243" i="40"/>
  <c r="G1243" i="40"/>
  <c r="L1243" i="40" s="1"/>
  <c r="V1242" i="40"/>
  <c r="U1242" i="40"/>
  <c r="Q1242" i="40"/>
  <c r="K1242" i="40"/>
  <c r="J1242" i="40"/>
  <c r="G1242" i="40"/>
  <c r="L1242" i="40" s="1"/>
  <c r="V1241" i="40"/>
  <c r="U1241" i="40"/>
  <c r="Q1241" i="40"/>
  <c r="K1241" i="40"/>
  <c r="J1241" i="40"/>
  <c r="G1241" i="40"/>
  <c r="L1241" i="40" s="1"/>
  <c r="V1240" i="40"/>
  <c r="U1240" i="40"/>
  <c r="Q1240" i="40"/>
  <c r="K1240" i="40"/>
  <c r="J1240" i="40"/>
  <c r="G1240" i="40"/>
  <c r="L1240" i="40" s="1"/>
  <c r="V1239" i="40"/>
  <c r="U1239" i="40"/>
  <c r="Q1239" i="40"/>
  <c r="K1239" i="40"/>
  <c r="J1239" i="40"/>
  <c r="G1239" i="40"/>
  <c r="L1239" i="40" s="1"/>
  <c r="V1238" i="40"/>
  <c r="Q1238" i="40"/>
  <c r="U1238" i="40" s="1"/>
  <c r="K1238" i="40"/>
  <c r="J1238" i="40"/>
  <c r="G1238" i="40"/>
  <c r="L1238" i="40" s="1"/>
  <c r="V1237" i="40"/>
  <c r="U1237" i="40"/>
  <c r="Q1237" i="40"/>
  <c r="K1237" i="40"/>
  <c r="J1237" i="40"/>
  <c r="G1237" i="40"/>
  <c r="L1237" i="40" s="1"/>
  <c r="V1236" i="40"/>
  <c r="U1236" i="40"/>
  <c r="Q1236" i="40"/>
  <c r="K1236" i="40"/>
  <c r="J1236" i="40"/>
  <c r="G1236" i="40"/>
  <c r="L1236" i="40" s="1"/>
  <c r="V1235" i="40"/>
  <c r="U1235" i="40"/>
  <c r="Q1235" i="40"/>
  <c r="K1235" i="40"/>
  <c r="J1235" i="40"/>
  <c r="G1235" i="40"/>
  <c r="L1235" i="40" s="1"/>
  <c r="V1234" i="40"/>
  <c r="Q1234" i="40"/>
  <c r="U1234" i="40" s="1"/>
  <c r="K1234" i="40"/>
  <c r="J1234" i="40"/>
  <c r="G1234" i="40"/>
  <c r="L1234" i="40" s="1"/>
  <c r="V1233" i="40"/>
  <c r="U1233" i="40"/>
  <c r="Q1233" i="40"/>
  <c r="K1233" i="40"/>
  <c r="J1233" i="40"/>
  <c r="G1233" i="40"/>
  <c r="L1233" i="40" s="1"/>
  <c r="V1232" i="40"/>
  <c r="U1232" i="40"/>
  <c r="Q1232" i="40"/>
  <c r="K1232" i="40"/>
  <c r="J1232" i="40"/>
  <c r="G1232" i="40"/>
  <c r="L1232" i="40" s="1"/>
  <c r="V1231" i="40"/>
  <c r="U1231" i="40"/>
  <c r="Q1231" i="40"/>
  <c r="K1231" i="40"/>
  <c r="J1231" i="40"/>
  <c r="G1231" i="40"/>
  <c r="L1231" i="40" s="1"/>
  <c r="V1230" i="40"/>
  <c r="U1230" i="40"/>
  <c r="Q1230" i="40"/>
  <c r="K1230" i="40"/>
  <c r="J1230" i="40"/>
  <c r="G1230" i="40"/>
  <c r="L1230" i="40" s="1"/>
  <c r="V1229" i="40"/>
  <c r="U1229" i="40"/>
  <c r="Q1229" i="40"/>
  <c r="K1229" i="40"/>
  <c r="J1229" i="40"/>
  <c r="G1229" i="40"/>
  <c r="L1229" i="40" s="1"/>
  <c r="V1228" i="40"/>
  <c r="U1228" i="40"/>
  <c r="Q1228" i="40"/>
  <c r="K1228" i="40"/>
  <c r="J1228" i="40"/>
  <c r="G1228" i="40"/>
  <c r="L1228" i="40" s="1"/>
  <c r="V1227" i="40"/>
  <c r="U1227" i="40"/>
  <c r="Q1227" i="40"/>
  <c r="K1227" i="40"/>
  <c r="J1227" i="40"/>
  <c r="G1227" i="40"/>
  <c r="L1227" i="40" s="1"/>
  <c r="V1226" i="40"/>
  <c r="U1226" i="40"/>
  <c r="Q1226" i="40"/>
  <c r="K1226" i="40"/>
  <c r="J1226" i="40"/>
  <c r="G1226" i="40"/>
  <c r="L1226" i="40" s="1"/>
  <c r="V1225" i="40"/>
  <c r="Q1225" i="40"/>
  <c r="U1225" i="40" s="1"/>
  <c r="K1225" i="40"/>
  <c r="J1225" i="40"/>
  <c r="G1225" i="40"/>
  <c r="L1225" i="40" s="1"/>
  <c r="V1224" i="40"/>
  <c r="U1224" i="40"/>
  <c r="Q1224" i="40"/>
  <c r="K1224" i="40"/>
  <c r="J1224" i="40"/>
  <c r="G1224" i="40"/>
  <c r="L1224" i="40" s="1"/>
  <c r="V1223" i="40"/>
  <c r="U1223" i="40"/>
  <c r="Q1223" i="40"/>
  <c r="K1223" i="40"/>
  <c r="J1223" i="40"/>
  <c r="G1223" i="40"/>
  <c r="L1223" i="40" s="1"/>
  <c r="V1222" i="40"/>
  <c r="U1222" i="40"/>
  <c r="Q1222" i="40"/>
  <c r="K1222" i="40"/>
  <c r="J1222" i="40"/>
  <c r="G1222" i="40"/>
  <c r="L1222" i="40" s="1"/>
  <c r="V1221" i="40"/>
  <c r="U1221" i="40"/>
  <c r="Q1221" i="40"/>
  <c r="K1221" i="40"/>
  <c r="J1221" i="40"/>
  <c r="G1221" i="40"/>
  <c r="L1221" i="40" s="1"/>
  <c r="V1220" i="40"/>
  <c r="U1220" i="40"/>
  <c r="Q1220" i="40"/>
  <c r="K1220" i="40"/>
  <c r="J1220" i="40"/>
  <c r="G1220" i="40"/>
  <c r="L1220" i="40" s="1"/>
  <c r="V1219" i="40"/>
  <c r="U1219" i="40"/>
  <c r="Q1219" i="40"/>
  <c r="K1219" i="40"/>
  <c r="J1219" i="40"/>
  <c r="G1219" i="40"/>
  <c r="L1219" i="40" s="1"/>
  <c r="V1218" i="40"/>
  <c r="U1218" i="40"/>
  <c r="Q1218" i="40"/>
  <c r="L1218" i="40"/>
  <c r="K1218" i="40"/>
  <c r="J1218" i="40"/>
  <c r="G1218" i="40"/>
  <c r="V1217" i="40"/>
  <c r="U1217" i="40"/>
  <c r="Q1217" i="40"/>
  <c r="L1217" i="40"/>
  <c r="K1217" i="40"/>
  <c r="J1217" i="40"/>
  <c r="G1217" i="40"/>
  <c r="V1216" i="40"/>
  <c r="U1216" i="40"/>
  <c r="Q1216" i="40"/>
  <c r="L1216" i="40"/>
  <c r="K1216" i="40"/>
  <c r="J1216" i="40"/>
  <c r="G1216" i="40"/>
  <c r="V1215" i="40"/>
  <c r="U1215" i="40"/>
  <c r="Q1215" i="40"/>
  <c r="K1215" i="40"/>
  <c r="J1215" i="40"/>
  <c r="G1215" i="40"/>
  <c r="L1215" i="40" s="1"/>
  <c r="V1214" i="40"/>
  <c r="U1214" i="40"/>
  <c r="Q1214" i="40"/>
  <c r="K1214" i="40"/>
  <c r="J1214" i="40"/>
  <c r="G1214" i="40"/>
  <c r="L1214" i="40" s="1"/>
  <c r="V1213" i="40"/>
  <c r="U1213" i="40"/>
  <c r="Q1213" i="40"/>
  <c r="K1213" i="40"/>
  <c r="J1213" i="40"/>
  <c r="G1213" i="40"/>
  <c r="L1213" i="40" s="1"/>
  <c r="V1212" i="40"/>
  <c r="U1212" i="40"/>
  <c r="Q1212" i="40"/>
  <c r="L1212" i="40"/>
  <c r="K1212" i="40"/>
  <c r="J1212" i="40"/>
  <c r="G1212" i="40"/>
  <c r="V1211" i="40"/>
  <c r="Q1211" i="40"/>
  <c r="U1211" i="40" s="1"/>
  <c r="K1211" i="40"/>
  <c r="J1211" i="40"/>
  <c r="G1211" i="40"/>
  <c r="L1211" i="40" s="1"/>
  <c r="V1210" i="40"/>
  <c r="U1210" i="40"/>
  <c r="Q1210" i="40"/>
  <c r="K1210" i="40"/>
  <c r="J1210" i="40"/>
  <c r="G1210" i="40"/>
  <c r="L1210" i="40" s="1"/>
  <c r="V1209" i="40"/>
  <c r="U1209" i="40"/>
  <c r="Q1209" i="40"/>
  <c r="K1209" i="40"/>
  <c r="J1209" i="40"/>
  <c r="G1209" i="40"/>
  <c r="L1209" i="40" s="1"/>
  <c r="V1208" i="40"/>
  <c r="U1208" i="40"/>
  <c r="Q1208" i="40"/>
  <c r="K1208" i="40"/>
  <c r="J1208" i="40"/>
  <c r="G1208" i="40"/>
  <c r="L1208" i="40" s="1"/>
  <c r="V1207" i="40"/>
  <c r="U1207" i="40"/>
  <c r="Q1207" i="40"/>
  <c r="K1207" i="40"/>
  <c r="J1207" i="40"/>
  <c r="G1207" i="40"/>
  <c r="L1207" i="40" s="1"/>
  <c r="V1206" i="40"/>
  <c r="U1206" i="40"/>
  <c r="Q1206" i="40"/>
  <c r="K1206" i="40"/>
  <c r="J1206" i="40"/>
  <c r="G1206" i="40"/>
  <c r="L1206" i="40" s="1"/>
  <c r="V1205" i="40"/>
  <c r="U1205" i="40"/>
  <c r="Q1205" i="40"/>
  <c r="K1205" i="40"/>
  <c r="J1205" i="40"/>
  <c r="G1205" i="40"/>
  <c r="L1205" i="40" s="1"/>
  <c r="V1204" i="40"/>
  <c r="U1204" i="40"/>
  <c r="Q1204" i="40"/>
  <c r="K1204" i="40"/>
  <c r="J1204" i="40"/>
  <c r="G1204" i="40"/>
  <c r="L1204" i="40" s="1"/>
  <c r="V1203" i="40"/>
  <c r="U1203" i="40"/>
  <c r="Q1203" i="40"/>
  <c r="K1203" i="40"/>
  <c r="J1203" i="40"/>
  <c r="G1203" i="40"/>
  <c r="L1203" i="40" s="1"/>
  <c r="V1202" i="40"/>
  <c r="U1202" i="40"/>
  <c r="Q1202" i="40"/>
  <c r="K1202" i="40"/>
  <c r="J1202" i="40"/>
  <c r="G1202" i="40"/>
  <c r="L1202" i="40" s="1"/>
  <c r="V1201" i="40"/>
  <c r="U1201" i="40"/>
  <c r="Q1201" i="40"/>
  <c r="K1201" i="40"/>
  <c r="J1201" i="40"/>
  <c r="G1201" i="40"/>
  <c r="L1201" i="40" s="1"/>
  <c r="V1200" i="40"/>
  <c r="U1200" i="40"/>
  <c r="Q1200" i="40"/>
  <c r="L1200" i="40"/>
  <c r="K1200" i="40"/>
  <c r="J1200" i="40"/>
  <c r="G1200" i="40"/>
  <c r="V1199" i="40"/>
  <c r="U1199" i="40"/>
  <c r="Q1199" i="40"/>
  <c r="K1199" i="40"/>
  <c r="J1199" i="40"/>
  <c r="G1199" i="40"/>
  <c r="L1199" i="40" s="1"/>
  <c r="V1198" i="40"/>
  <c r="U1198" i="40"/>
  <c r="Q1198" i="40"/>
  <c r="K1198" i="40"/>
  <c r="J1198" i="40"/>
  <c r="G1198" i="40"/>
  <c r="L1198" i="40" s="1"/>
  <c r="V1197" i="40"/>
  <c r="U1197" i="40"/>
  <c r="Q1197" i="40"/>
  <c r="K1197" i="40"/>
  <c r="J1197" i="40"/>
  <c r="G1197" i="40"/>
  <c r="L1197" i="40" s="1"/>
  <c r="V1196" i="40"/>
  <c r="U1196" i="40"/>
  <c r="Q1196" i="40"/>
  <c r="K1196" i="40"/>
  <c r="J1196" i="40"/>
  <c r="G1196" i="40"/>
  <c r="L1196" i="40" s="1"/>
  <c r="V1195" i="40"/>
  <c r="U1195" i="40"/>
  <c r="Q1195" i="40"/>
  <c r="L1195" i="40"/>
  <c r="K1195" i="40"/>
  <c r="J1195" i="40"/>
  <c r="G1195" i="40"/>
  <c r="V1194" i="40"/>
  <c r="U1194" i="40"/>
  <c r="Q1194" i="40"/>
  <c r="L1194" i="40"/>
  <c r="K1194" i="40"/>
  <c r="J1194" i="40"/>
  <c r="G1194" i="40"/>
  <c r="V1193" i="40"/>
  <c r="U1193" i="40"/>
  <c r="Q1193" i="40"/>
  <c r="K1193" i="40"/>
  <c r="J1193" i="40"/>
  <c r="G1193" i="40"/>
  <c r="L1193" i="40" s="1"/>
  <c r="V1192" i="40"/>
  <c r="U1192" i="40"/>
  <c r="Q1192" i="40"/>
  <c r="K1192" i="40"/>
  <c r="J1192" i="40"/>
  <c r="G1192" i="40"/>
  <c r="L1192" i="40" s="1"/>
  <c r="V1191" i="40"/>
  <c r="U1191" i="40"/>
  <c r="Q1191" i="40"/>
  <c r="K1191" i="40"/>
  <c r="J1191" i="40"/>
  <c r="G1191" i="40"/>
  <c r="L1191" i="40" s="1"/>
  <c r="V1190" i="40"/>
  <c r="U1190" i="40"/>
  <c r="Q1190" i="40"/>
  <c r="K1190" i="40"/>
  <c r="J1190" i="40"/>
  <c r="G1190" i="40"/>
  <c r="L1190" i="40" s="1"/>
  <c r="V1189" i="40"/>
  <c r="U1189" i="40"/>
  <c r="Q1189" i="40"/>
  <c r="K1189" i="40"/>
  <c r="J1189" i="40"/>
  <c r="G1189" i="40"/>
  <c r="L1189" i="40" s="1"/>
  <c r="V1188" i="40"/>
  <c r="U1188" i="40"/>
  <c r="Q1188" i="40"/>
  <c r="L1188" i="40"/>
  <c r="K1188" i="40"/>
  <c r="J1188" i="40"/>
  <c r="G1188" i="40"/>
  <c r="V1187" i="40"/>
  <c r="U1187" i="40"/>
  <c r="Q1187" i="40"/>
  <c r="K1187" i="40"/>
  <c r="J1187" i="40"/>
  <c r="G1187" i="40"/>
  <c r="L1187" i="40" s="1"/>
  <c r="V1186" i="40"/>
  <c r="U1186" i="40"/>
  <c r="Q1186" i="40"/>
  <c r="K1186" i="40"/>
  <c r="J1186" i="40"/>
  <c r="G1186" i="40"/>
  <c r="L1186" i="40" s="1"/>
  <c r="V1185" i="40"/>
  <c r="U1185" i="40"/>
  <c r="Q1185" i="40"/>
  <c r="K1185" i="40"/>
  <c r="J1185" i="40"/>
  <c r="G1185" i="40"/>
  <c r="L1185" i="40" s="1"/>
  <c r="V1184" i="40"/>
  <c r="U1184" i="40"/>
  <c r="Q1184" i="40"/>
  <c r="K1184" i="40"/>
  <c r="J1184" i="40"/>
  <c r="G1184" i="40"/>
  <c r="L1184" i="40" s="1"/>
  <c r="V1183" i="40"/>
  <c r="U1183" i="40"/>
  <c r="Q1183" i="40"/>
  <c r="K1183" i="40"/>
  <c r="J1183" i="40"/>
  <c r="G1183" i="40"/>
  <c r="L1183" i="40" s="1"/>
  <c r="V1182" i="40"/>
  <c r="U1182" i="40"/>
  <c r="Q1182" i="40"/>
  <c r="K1182" i="40"/>
  <c r="J1182" i="40"/>
  <c r="G1182" i="40"/>
  <c r="L1182" i="40" s="1"/>
  <c r="V1181" i="40"/>
  <c r="U1181" i="40"/>
  <c r="Q1181" i="40"/>
  <c r="K1181" i="40"/>
  <c r="J1181" i="40"/>
  <c r="G1181" i="40"/>
  <c r="L1181" i="40" s="1"/>
  <c r="V1180" i="40"/>
  <c r="U1180" i="40"/>
  <c r="Q1180" i="40"/>
  <c r="K1180" i="40"/>
  <c r="J1180" i="40"/>
  <c r="G1180" i="40"/>
  <c r="L1180" i="40" s="1"/>
  <c r="V1179" i="40"/>
  <c r="U1179" i="40"/>
  <c r="Q1179" i="40"/>
  <c r="K1179" i="40"/>
  <c r="J1179" i="40"/>
  <c r="G1179" i="40"/>
  <c r="L1179" i="40" s="1"/>
  <c r="V1178" i="40"/>
  <c r="U1178" i="40"/>
  <c r="Q1178" i="40"/>
  <c r="K1178" i="40"/>
  <c r="J1178" i="40"/>
  <c r="G1178" i="40"/>
  <c r="L1178" i="40" s="1"/>
  <c r="V1177" i="40"/>
  <c r="U1177" i="40"/>
  <c r="Q1177" i="40"/>
  <c r="L1177" i="40"/>
  <c r="K1177" i="40"/>
  <c r="J1177" i="40"/>
  <c r="G1177" i="40"/>
  <c r="V1176" i="40"/>
  <c r="U1176" i="40"/>
  <c r="Q1176" i="40"/>
  <c r="L1176" i="40"/>
  <c r="K1176" i="40"/>
  <c r="J1176" i="40"/>
  <c r="G1176" i="40"/>
  <c r="V1175" i="40"/>
  <c r="U1175" i="40"/>
  <c r="Q1175" i="40"/>
  <c r="K1175" i="40"/>
  <c r="J1175" i="40"/>
  <c r="G1175" i="40"/>
  <c r="L1175" i="40" s="1"/>
  <c r="V1174" i="40"/>
  <c r="U1174" i="40"/>
  <c r="Q1174" i="40"/>
  <c r="K1174" i="40"/>
  <c r="J1174" i="40"/>
  <c r="G1174" i="40"/>
  <c r="L1174" i="40" s="1"/>
  <c r="V1173" i="40"/>
  <c r="U1173" i="40"/>
  <c r="Q1173" i="40"/>
  <c r="K1173" i="40"/>
  <c r="J1173" i="40"/>
  <c r="G1173" i="40"/>
  <c r="L1173" i="40" s="1"/>
  <c r="V1172" i="40"/>
  <c r="U1172" i="40"/>
  <c r="Q1172" i="40"/>
  <c r="L1172" i="40"/>
  <c r="K1172" i="40"/>
  <c r="J1172" i="40"/>
  <c r="G1172" i="40"/>
  <c r="V1171" i="40"/>
  <c r="U1171" i="40"/>
  <c r="Q1171" i="40"/>
  <c r="L1171" i="40"/>
  <c r="K1171" i="40"/>
  <c r="J1171" i="40"/>
  <c r="G1171" i="40"/>
  <c r="V1170" i="40"/>
  <c r="U1170" i="40"/>
  <c r="Q1170" i="40"/>
  <c r="K1170" i="40"/>
  <c r="J1170" i="40"/>
  <c r="G1170" i="40"/>
  <c r="L1170" i="40" s="1"/>
  <c r="V1169" i="40"/>
  <c r="U1169" i="40"/>
  <c r="Q1169" i="40"/>
  <c r="L1169" i="40"/>
  <c r="K1169" i="40"/>
  <c r="J1169" i="40"/>
  <c r="G1169" i="40"/>
  <c r="V1168" i="40"/>
  <c r="U1168" i="40"/>
  <c r="Q1168" i="40"/>
  <c r="K1168" i="40"/>
  <c r="J1168" i="40"/>
  <c r="G1168" i="40"/>
  <c r="L1168" i="40" s="1"/>
  <c r="V1167" i="40"/>
  <c r="U1167" i="40"/>
  <c r="Q1167" i="40"/>
  <c r="K1167" i="40"/>
  <c r="J1167" i="40"/>
  <c r="G1167" i="40"/>
  <c r="L1167" i="40" s="1"/>
  <c r="V1166" i="40"/>
  <c r="U1166" i="40"/>
  <c r="Q1166" i="40"/>
  <c r="K1166" i="40"/>
  <c r="J1166" i="40"/>
  <c r="G1166" i="40"/>
  <c r="L1166" i="40" s="1"/>
  <c r="V1165" i="40"/>
  <c r="U1165" i="40"/>
  <c r="Q1165" i="40"/>
  <c r="K1165" i="40"/>
  <c r="J1165" i="40"/>
  <c r="G1165" i="40"/>
  <c r="L1165" i="40" s="1"/>
  <c r="V1164" i="40"/>
  <c r="U1164" i="40"/>
  <c r="Q1164" i="40"/>
  <c r="K1164" i="40"/>
  <c r="J1164" i="40"/>
  <c r="G1164" i="40"/>
  <c r="L1164" i="40" s="1"/>
  <c r="V1163" i="40"/>
  <c r="U1163" i="40"/>
  <c r="Q1163" i="40"/>
  <c r="K1163" i="40"/>
  <c r="J1163" i="40"/>
  <c r="G1163" i="40"/>
  <c r="L1163" i="40" s="1"/>
  <c r="V1162" i="40"/>
  <c r="U1162" i="40"/>
  <c r="Q1162" i="40"/>
  <c r="K1162" i="40"/>
  <c r="J1162" i="40"/>
  <c r="G1162" i="40"/>
  <c r="L1162" i="40" s="1"/>
  <c r="V1161" i="40"/>
  <c r="U1161" i="40"/>
  <c r="Q1161" i="40"/>
  <c r="K1161" i="40"/>
  <c r="J1161" i="40"/>
  <c r="G1161" i="40"/>
  <c r="L1161" i="40" s="1"/>
  <c r="V1160" i="40"/>
  <c r="U1160" i="40"/>
  <c r="Q1160" i="40"/>
  <c r="K1160" i="40"/>
  <c r="J1160" i="40"/>
  <c r="G1160" i="40"/>
  <c r="L1160" i="40" s="1"/>
  <c r="V1159" i="40"/>
  <c r="U1159" i="40"/>
  <c r="Q1159" i="40"/>
  <c r="K1159" i="40"/>
  <c r="J1159" i="40"/>
  <c r="G1159" i="40"/>
  <c r="L1159" i="40" s="1"/>
  <c r="V1158" i="40"/>
  <c r="U1158" i="40"/>
  <c r="Q1158" i="40"/>
  <c r="K1158" i="40"/>
  <c r="J1158" i="40"/>
  <c r="G1158" i="40"/>
  <c r="L1158" i="40" s="1"/>
  <c r="V1157" i="40"/>
  <c r="U1157" i="40"/>
  <c r="Q1157" i="40"/>
  <c r="K1157" i="40"/>
  <c r="J1157" i="40"/>
  <c r="G1157" i="40"/>
  <c r="L1157" i="40" s="1"/>
  <c r="V1156" i="40"/>
  <c r="U1156" i="40"/>
  <c r="Q1156" i="40"/>
  <c r="K1156" i="40"/>
  <c r="J1156" i="40"/>
  <c r="G1156" i="40"/>
  <c r="L1156" i="40" s="1"/>
  <c r="V1155" i="40"/>
  <c r="U1155" i="40"/>
  <c r="Q1155" i="40"/>
  <c r="K1155" i="40"/>
  <c r="J1155" i="40"/>
  <c r="G1155" i="40"/>
  <c r="L1155" i="40" s="1"/>
  <c r="V1154" i="40"/>
  <c r="U1154" i="40"/>
  <c r="Q1154" i="40"/>
  <c r="K1154" i="40"/>
  <c r="J1154" i="40"/>
  <c r="G1154" i="40"/>
  <c r="L1154" i="40" s="1"/>
  <c r="V1153" i="40"/>
  <c r="U1153" i="40"/>
  <c r="Q1153" i="40"/>
  <c r="L1153" i="40"/>
  <c r="K1153" i="40"/>
  <c r="J1153" i="40"/>
  <c r="G1153" i="40"/>
  <c r="V1152" i="40"/>
  <c r="U1152" i="40"/>
  <c r="Q1152" i="40"/>
  <c r="K1152" i="40"/>
  <c r="J1152" i="40"/>
  <c r="G1152" i="40"/>
  <c r="L1152" i="40" s="1"/>
  <c r="V1151" i="40"/>
  <c r="U1151" i="40"/>
  <c r="Q1151" i="40"/>
  <c r="K1151" i="40"/>
  <c r="J1151" i="40"/>
  <c r="G1151" i="40"/>
  <c r="L1151" i="40" s="1"/>
  <c r="V1150" i="40"/>
  <c r="U1150" i="40"/>
  <c r="Q1150" i="40"/>
  <c r="K1150" i="40"/>
  <c r="J1150" i="40"/>
  <c r="G1150" i="40"/>
  <c r="L1150" i="40" s="1"/>
  <c r="V1149" i="40"/>
  <c r="U1149" i="40"/>
  <c r="Q1149" i="40"/>
  <c r="K1149" i="40"/>
  <c r="J1149" i="40"/>
  <c r="G1149" i="40"/>
  <c r="L1149" i="40" s="1"/>
  <c r="V1148" i="40"/>
  <c r="U1148" i="40"/>
  <c r="Q1148" i="40"/>
  <c r="L1148" i="40"/>
  <c r="K1148" i="40"/>
  <c r="J1148" i="40"/>
  <c r="G1148" i="40"/>
  <c r="V1147" i="40"/>
  <c r="U1147" i="40"/>
  <c r="Q1147" i="40"/>
  <c r="K1147" i="40"/>
  <c r="J1147" i="40"/>
  <c r="G1147" i="40"/>
  <c r="L1147" i="40" s="1"/>
  <c r="V1146" i="40"/>
  <c r="U1146" i="40"/>
  <c r="Q1146" i="40"/>
  <c r="L1146" i="40"/>
  <c r="K1146" i="40"/>
  <c r="J1146" i="40"/>
  <c r="G1146" i="40"/>
  <c r="V1145" i="40"/>
  <c r="U1145" i="40"/>
  <c r="Q1145" i="40"/>
  <c r="K1145" i="40"/>
  <c r="J1145" i="40"/>
  <c r="G1145" i="40"/>
  <c r="L1145" i="40" s="1"/>
  <c r="V1144" i="40"/>
  <c r="U1144" i="40"/>
  <c r="Q1144" i="40"/>
  <c r="K1144" i="40"/>
  <c r="J1144" i="40"/>
  <c r="G1144" i="40"/>
  <c r="L1144" i="40" s="1"/>
  <c r="V1143" i="40"/>
  <c r="U1143" i="40"/>
  <c r="Q1143" i="40"/>
  <c r="K1143" i="40"/>
  <c r="J1143" i="40"/>
  <c r="G1143" i="40"/>
  <c r="L1143" i="40" s="1"/>
  <c r="V1142" i="40"/>
  <c r="U1142" i="40"/>
  <c r="Q1142" i="40"/>
  <c r="K1142" i="40"/>
  <c r="J1142" i="40"/>
  <c r="G1142" i="40"/>
  <c r="L1142" i="40" s="1"/>
  <c r="V1141" i="40"/>
  <c r="U1141" i="40"/>
  <c r="Q1141" i="40"/>
  <c r="K1141" i="40"/>
  <c r="J1141" i="40"/>
  <c r="G1141" i="40"/>
  <c r="L1141" i="40" s="1"/>
  <c r="V1140" i="40"/>
  <c r="U1140" i="40"/>
  <c r="Q1140" i="40"/>
  <c r="K1140" i="40"/>
  <c r="J1140" i="40"/>
  <c r="G1140" i="40"/>
  <c r="L1140" i="40" s="1"/>
  <c r="V1139" i="40"/>
  <c r="U1139" i="40"/>
  <c r="Q1139" i="40"/>
  <c r="K1139" i="40"/>
  <c r="J1139" i="40"/>
  <c r="G1139" i="40"/>
  <c r="L1139" i="40" s="1"/>
  <c r="V1138" i="40"/>
  <c r="U1138" i="40"/>
  <c r="Q1138" i="40"/>
  <c r="K1138" i="40"/>
  <c r="J1138" i="40"/>
  <c r="G1138" i="40"/>
  <c r="L1138" i="40" s="1"/>
  <c r="V1137" i="40"/>
  <c r="U1137" i="40"/>
  <c r="Q1137" i="40"/>
  <c r="K1137" i="40"/>
  <c r="J1137" i="40"/>
  <c r="G1137" i="40"/>
  <c r="L1137" i="40" s="1"/>
  <c r="V1136" i="40"/>
  <c r="Q1136" i="40"/>
  <c r="U1136" i="40" s="1"/>
  <c r="L1136" i="40"/>
  <c r="K1136" i="40"/>
  <c r="J1136" i="40"/>
  <c r="G1136" i="40"/>
  <c r="V1135" i="40"/>
  <c r="U1135" i="40"/>
  <c r="Q1135" i="40"/>
  <c r="K1135" i="40"/>
  <c r="J1135" i="40"/>
  <c r="G1135" i="40"/>
  <c r="L1135" i="40" s="1"/>
  <c r="V1134" i="40"/>
  <c r="U1134" i="40"/>
  <c r="Q1134" i="40"/>
  <c r="K1134" i="40"/>
  <c r="J1134" i="40"/>
  <c r="G1134" i="40"/>
  <c r="L1134" i="40" s="1"/>
  <c r="V1133" i="40"/>
  <c r="U1133" i="40"/>
  <c r="Q1133" i="40"/>
  <c r="K1133" i="40"/>
  <c r="J1133" i="40"/>
  <c r="G1133" i="40"/>
  <c r="L1133" i="40" s="1"/>
  <c r="V1132" i="40"/>
  <c r="U1132" i="40"/>
  <c r="Q1132" i="40"/>
  <c r="K1132" i="40"/>
  <c r="J1132" i="40"/>
  <c r="G1132" i="40"/>
  <c r="L1132" i="40" s="1"/>
  <c r="V1131" i="40"/>
  <c r="U1131" i="40"/>
  <c r="Q1131" i="40"/>
  <c r="L1131" i="40"/>
  <c r="K1131" i="40"/>
  <c r="J1131" i="40"/>
  <c r="G1131" i="40"/>
  <c r="V1130" i="40"/>
  <c r="U1130" i="40"/>
  <c r="Q1130" i="40"/>
  <c r="K1130" i="40"/>
  <c r="J1130" i="40"/>
  <c r="G1130" i="40"/>
  <c r="L1130" i="40" s="1"/>
  <c r="V1129" i="40"/>
  <c r="Q1129" i="40"/>
  <c r="U1129" i="40" s="1"/>
  <c r="K1129" i="40"/>
  <c r="J1129" i="40"/>
  <c r="G1129" i="40"/>
  <c r="L1129" i="40" s="1"/>
  <c r="V1128" i="40"/>
  <c r="U1128" i="40"/>
  <c r="Q1128" i="40"/>
  <c r="K1128" i="40"/>
  <c r="J1128" i="40"/>
  <c r="G1128" i="40"/>
  <c r="L1128" i="40" s="1"/>
  <c r="V1127" i="40"/>
  <c r="U1127" i="40"/>
  <c r="Q1127" i="40"/>
  <c r="K1127" i="40"/>
  <c r="J1127" i="40"/>
  <c r="G1127" i="40"/>
  <c r="L1127" i="40" s="1"/>
  <c r="V1126" i="40"/>
  <c r="U1126" i="40"/>
  <c r="Q1126" i="40"/>
  <c r="K1126" i="40"/>
  <c r="J1126" i="40"/>
  <c r="G1126" i="40"/>
  <c r="L1126" i="40" s="1"/>
  <c r="V1125" i="40"/>
  <c r="U1125" i="40"/>
  <c r="Q1125" i="40"/>
  <c r="K1125" i="40"/>
  <c r="J1125" i="40"/>
  <c r="G1125" i="40"/>
  <c r="L1125" i="40" s="1"/>
  <c r="V1124" i="40"/>
  <c r="U1124" i="40"/>
  <c r="Q1124" i="40"/>
  <c r="K1124" i="40"/>
  <c r="J1124" i="40"/>
  <c r="G1124" i="40"/>
  <c r="L1124" i="40" s="1"/>
  <c r="V1123" i="40"/>
  <c r="U1123" i="40"/>
  <c r="Q1123" i="40"/>
  <c r="K1123" i="40"/>
  <c r="J1123" i="40"/>
  <c r="G1123" i="40"/>
  <c r="L1123" i="40" s="1"/>
  <c r="V1122" i="40"/>
  <c r="U1122" i="40"/>
  <c r="Q1122" i="40"/>
  <c r="K1122" i="40"/>
  <c r="J1122" i="40"/>
  <c r="G1122" i="40"/>
  <c r="L1122" i="40" s="1"/>
  <c r="V1121" i="40"/>
  <c r="U1121" i="40"/>
  <c r="Q1121" i="40"/>
  <c r="K1121" i="40"/>
  <c r="J1121" i="40"/>
  <c r="G1121" i="40"/>
  <c r="L1121" i="40" s="1"/>
  <c r="V1120" i="40"/>
  <c r="U1120" i="40"/>
  <c r="Q1120" i="40"/>
  <c r="L1120" i="40"/>
  <c r="K1120" i="40"/>
  <c r="J1120" i="40"/>
  <c r="G1120" i="40"/>
  <c r="V1119" i="40"/>
  <c r="U1119" i="40"/>
  <c r="Q1119" i="40"/>
  <c r="K1119" i="40"/>
  <c r="J1119" i="40"/>
  <c r="G1119" i="40"/>
  <c r="L1119" i="40" s="1"/>
  <c r="V1118" i="40"/>
  <c r="U1118" i="40"/>
  <c r="Q1118" i="40"/>
  <c r="K1118" i="40"/>
  <c r="J1118" i="40"/>
  <c r="G1118" i="40"/>
  <c r="L1118" i="40" s="1"/>
  <c r="V1117" i="40"/>
  <c r="U1117" i="40"/>
  <c r="Q1117" i="40"/>
  <c r="K1117" i="40"/>
  <c r="J1117" i="40"/>
  <c r="G1117" i="40"/>
  <c r="L1117" i="40" s="1"/>
  <c r="V1116" i="40"/>
  <c r="U1116" i="40"/>
  <c r="Q1116" i="40"/>
  <c r="K1116" i="40"/>
  <c r="J1116" i="40"/>
  <c r="G1116" i="40"/>
  <c r="L1116" i="40" s="1"/>
  <c r="V1115" i="40"/>
  <c r="U1115" i="40"/>
  <c r="Q1115" i="40"/>
  <c r="L1115" i="40"/>
  <c r="K1115" i="40"/>
  <c r="J1115" i="40"/>
  <c r="G1115" i="40"/>
  <c r="V1114" i="40"/>
  <c r="U1114" i="40"/>
  <c r="Q1114" i="40"/>
  <c r="K1114" i="40"/>
  <c r="J1114" i="40"/>
  <c r="G1114" i="40"/>
  <c r="L1114" i="40" s="1"/>
  <c r="V1113" i="40"/>
  <c r="U1113" i="40"/>
  <c r="Q1113" i="40"/>
  <c r="K1113" i="40"/>
  <c r="J1113" i="40"/>
  <c r="G1113" i="40"/>
  <c r="L1113" i="40" s="1"/>
  <c r="V1112" i="40"/>
  <c r="U1112" i="40"/>
  <c r="Q1112" i="40"/>
  <c r="K1112" i="40"/>
  <c r="J1112" i="40"/>
  <c r="G1112" i="40"/>
  <c r="L1112" i="40" s="1"/>
  <c r="V1111" i="40"/>
  <c r="U1111" i="40"/>
  <c r="Q1111" i="40"/>
  <c r="K1111" i="40"/>
  <c r="J1111" i="40"/>
  <c r="G1111" i="40"/>
  <c r="L1111" i="40" s="1"/>
  <c r="V1110" i="40"/>
  <c r="U1110" i="40"/>
  <c r="Q1110" i="40"/>
  <c r="K1110" i="40"/>
  <c r="J1110" i="40"/>
  <c r="G1110" i="40"/>
  <c r="L1110" i="40" s="1"/>
  <c r="V1109" i="40"/>
  <c r="U1109" i="40"/>
  <c r="Q1109" i="40"/>
  <c r="K1109" i="40"/>
  <c r="J1109" i="40"/>
  <c r="G1109" i="40"/>
  <c r="L1109" i="40" s="1"/>
  <c r="V1108" i="40"/>
  <c r="U1108" i="40"/>
  <c r="Q1108" i="40"/>
  <c r="K1108" i="40"/>
  <c r="J1108" i="40"/>
  <c r="G1108" i="40"/>
  <c r="L1108" i="40" s="1"/>
  <c r="V1107" i="40"/>
  <c r="U1107" i="40"/>
  <c r="Q1107" i="40"/>
  <c r="K1107" i="40"/>
  <c r="J1107" i="40"/>
  <c r="G1107" i="40"/>
  <c r="L1107" i="40" s="1"/>
  <c r="V1106" i="40"/>
  <c r="U1106" i="40"/>
  <c r="Q1106" i="40"/>
  <c r="K1106" i="40"/>
  <c r="J1106" i="40"/>
  <c r="G1106" i="40"/>
  <c r="L1106" i="40" s="1"/>
  <c r="V1105" i="40"/>
  <c r="U1105" i="40"/>
  <c r="Q1105" i="40"/>
  <c r="K1105" i="40"/>
  <c r="J1105" i="40"/>
  <c r="G1105" i="40"/>
  <c r="L1105" i="40" s="1"/>
  <c r="V1104" i="40"/>
  <c r="U1104" i="40"/>
  <c r="Q1104" i="40"/>
  <c r="K1104" i="40"/>
  <c r="J1104" i="40"/>
  <c r="G1104" i="40"/>
  <c r="L1104" i="40" s="1"/>
  <c r="V1103" i="40"/>
  <c r="U1103" i="40"/>
  <c r="Q1103" i="40"/>
  <c r="K1103" i="40"/>
  <c r="J1103" i="40"/>
  <c r="G1103" i="40"/>
  <c r="L1103" i="40" s="1"/>
  <c r="V1102" i="40"/>
  <c r="U1102" i="40"/>
  <c r="Q1102" i="40"/>
  <c r="K1102" i="40"/>
  <c r="J1102" i="40"/>
  <c r="G1102" i="40"/>
  <c r="L1102" i="40" s="1"/>
  <c r="V1101" i="40"/>
  <c r="U1101" i="40"/>
  <c r="Q1101" i="40"/>
  <c r="K1101" i="40"/>
  <c r="J1101" i="40"/>
  <c r="G1101" i="40"/>
  <c r="L1101" i="40" s="1"/>
  <c r="V1100" i="40"/>
  <c r="U1100" i="40"/>
  <c r="Q1100" i="40"/>
  <c r="K1100" i="40"/>
  <c r="J1100" i="40"/>
  <c r="G1100" i="40"/>
  <c r="L1100" i="40" s="1"/>
  <c r="V1099" i="40"/>
  <c r="U1099" i="40"/>
  <c r="Q1099" i="40"/>
  <c r="K1099" i="40"/>
  <c r="J1099" i="40"/>
  <c r="G1099" i="40"/>
  <c r="L1099" i="40" s="1"/>
  <c r="V1098" i="40"/>
  <c r="U1098" i="40"/>
  <c r="Q1098" i="40"/>
  <c r="L1098" i="40"/>
  <c r="K1098" i="40"/>
  <c r="J1098" i="40"/>
  <c r="G1098" i="40"/>
  <c r="V1097" i="40"/>
  <c r="U1097" i="40"/>
  <c r="Q1097" i="40"/>
  <c r="K1097" i="40"/>
  <c r="J1097" i="40"/>
  <c r="G1097" i="40"/>
  <c r="L1097" i="40" s="1"/>
  <c r="V1096" i="40"/>
  <c r="U1096" i="40"/>
  <c r="Q1096" i="40"/>
  <c r="K1096" i="40"/>
  <c r="J1096" i="40"/>
  <c r="G1096" i="40"/>
  <c r="L1096" i="40" s="1"/>
  <c r="V1095" i="40"/>
  <c r="U1095" i="40"/>
  <c r="Q1095" i="40"/>
  <c r="K1095" i="40"/>
  <c r="J1095" i="40"/>
  <c r="G1095" i="40"/>
  <c r="L1095" i="40" s="1"/>
  <c r="V1094" i="40"/>
  <c r="U1094" i="40"/>
  <c r="Q1094" i="40"/>
  <c r="K1094" i="40"/>
  <c r="J1094" i="40"/>
  <c r="G1094" i="40"/>
  <c r="L1094" i="40" s="1"/>
  <c r="V1093" i="40"/>
  <c r="U1093" i="40"/>
  <c r="Q1093" i="40"/>
  <c r="K1093" i="40"/>
  <c r="J1093" i="40"/>
  <c r="G1093" i="40"/>
  <c r="L1093" i="40" s="1"/>
  <c r="V1092" i="40"/>
  <c r="U1092" i="40"/>
  <c r="Q1092" i="40"/>
  <c r="K1092" i="40"/>
  <c r="J1092" i="40"/>
  <c r="G1092" i="40"/>
  <c r="L1092" i="40" s="1"/>
  <c r="V1091" i="40"/>
  <c r="U1091" i="40"/>
  <c r="Q1091" i="40"/>
  <c r="K1091" i="40"/>
  <c r="J1091" i="40"/>
  <c r="G1091" i="40"/>
  <c r="L1091" i="40" s="1"/>
  <c r="V1090" i="40"/>
  <c r="U1090" i="40"/>
  <c r="Q1090" i="40"/>
  <c r="K1090" i="40"/>
  <c r="J1090" i="40"/>
  <c r="G1090" i="40"/>
  <c r="L1090" i="40" s="1"/>
  <c r="V1089" i="40"/>
  <c r="U1089" i="40"/>
  <c r="Q1089" i="40"/>
  <c r="K1089" i="40"/>
  <c r="J1089" i="40"/>
  <c r="G1089" i="40"/>
  <c r="L1089" i="40" s="1"/>
  <c r="V1088" i="40"/>
  <c r="U1088" i="40"/>
  <c r="Q1088" i="40"/>
  <c r="K1088" i="40"/>
  <c r="J1088" i="40"/>
  <c r="G1088" i="40"/>
  <c r="L1088" i="40" s="1"/>
  <c r="V1087" i="40"/>
  <c r="U1087" i="40"/>
  <c r="Q1087" i="40"/>
  <c r="K1087" i="40"/>
  <c r="J1087" i="40"/>
  <c r="G1087" i="40"/>
  <c r="L1087" i="40" s="1"/>
  <c r="V1086" i="40"/>
  <c r="U1086" i="40"/>
  <c r="Q1086" i="40"/>
  <c r="K1086" i="40"/>
  <c r="J1086" i="40"/>
  <c r="G1086" i="40"/>
  <c r="L1086" i="40" s="1"/>
  <c r="V1085" i="40"/>
  <c r="U1085" i="40"/>
  <c r="Q1085" i="40"/>
  <c r="K1085" i="40"/>
  <c r="J1085" i="40"/>
  <c r="G1085" i="40"/>
  <c r="L1085" i="40" s="1"/>
  <c r="V1084" i="40"/>
  <c r="U1084" i="40"/>
  <c r="Q1084" i="40"/>
  <c r="K1084" i="40"/>
  <c r="J1084" i="40"/>
  <c r="G1084" i="40"/>
  <c r="L1084" i="40" s="1"/>
  <c r="V1083" i="40"/>
  <c r="U1083" i="40"/>
  <c r="Q1083" i="40"/>
  <c r="K1083" i="40"/>
  <c r="J1083" i="40"/>
  <c r="G1083" i="40"/>
  <c r="L1083" i="40" s="1"/>
  <c r="V1082" i="40"/>
  <c r="U1082" i="40"/>
  <c r="Q1082" i="40"/>
  <c r="K1082" i="40"/>
  <c r="J1082" i="40"/>
  <c r="G1082" i="40"/>
  <c r="L1082" i="40" s="1"/>
  <c r="V1081" i="40"/>
  <c r="U1081" i="40"/>
  <c r="Q1081" i="40"/>
  <c r="K1081" i="40"/>
  <c r="J1081" i="40"/>
  <c r="G1081" i="40"/>
  <c r="L1081" i="40" s="1"/>
  <c r="V1080" i="40"/>
  <c r="U1080" i="40"/>
  <c r="Q1080" i="40"/>
  <c r="L1080" i="40"/>
  <c r="K1080" i="40"/>
  <c r="J1080" i="40"/>
  <c r="G1080" i="40"/>
  <c r="V1079" i="40"/>
  <c r="U1079" i="40"/>
  <c r="Q1079" i="40"/>
  <c r="K1079" i="40"/>
  <c r="J1079" i="40"/>
  <c r="G1079" i="40"/>
  <c r="L1079" i="40" s="1"/>
  <c r="V1078" i="40"/>
  <c r="U1078" i="40"/>
  <c r="Q1078" i="40"/>
  <c r="K1078" i="40"/>
  <c r="J1078" i="40"/>
  <c r="G1078" i="40"/>
  <c r="L1078" i="40" s="1"/>
  <c r="V1077" i="40"/>
  <c r="U1077" i="40"/>
  <c r="Q1077" i="40"/>
  <c r="K1077" i="40"/>
  <c r="J1077" i="40"/>
  <c r="G1077" i="40"/>
  <c r="L1077" i="40" s="1"/>
  <c r="V1076" i="40"/>
  <c r="U1076" i="40"/>
  <c r="Q1076" i="40"/>
  <c r="K1076" i="40"/>
  <c r="J1076" i="40"/>
  <c r="G1076" i="40"/>
  <c r="L1076" i="40" s="1"/>
  <c r="V1075" i="40"/>
  <c r="Q1075" i="40"/>
  <c r="U1075" i="40" s="1"/>
  <c r="K1075" i="40"/>
  <c r="J1075" i="40"/>
  <c r="G1075" i="40"/>
  <c r="L1075" i="40" s="1"/>
  <c r="V1074" i="40"/>
  <c r="U1074" i="40"/>
  <c r="Q1074" i="40"/>
  <c r="L1074" i="40"/>
  <c r="K1074" i="40"/>
  <c r="J1074" i="40"/>
  <c r="G1074" i="40"/>
  <c r="V1073" i="40"/>
  <c r="U1073" i="40"/>
  <c r="Q1073" i="40"/>
  <c r="K1073" i="40"/>
  <c r="J1073" i="40"/>
  <c r="G1073" i="40"/>
  <c r="L1073" i="40" s="1"/>
  <c r="V1072" i="40"/>
  <c r="U1072" i="40"/>
  <c r="Q1072" i="40"/>
  <c r="K1072" i="40"/>
  <c r="J1072" i="40"/>
  <c r="G1072" i="40"/>
  <c r="L1072" i="40" s="1"/>
  <c r="V1071" i="40"/>
  <c r="U1071" i="40"/>
  <c r="Q1071" i="40"/>
  <c r="K1071" i="40"/>
  <c r="J1071" i="40"/>
  <c r="G1071" i="40"/>
  <c r="L1071" i="40" s="1"/>
  <c r="V1070" i="40"/>
  <c r="U1070" i="40"/>
  <c r="Q1070" i="40"/>
  <c r="K1070" i="40"/>
  <c r="J1070" i="40"/>
  <c r="G1070" i="40"/>
  <c r="L1070" i="40" s="1"/>
  <c r="V1069" i="40"/>
  <c r="U1069" i="40"/>
  <c r="Q1069" i="40"/>
  <c r="K1069" i="40"/>
  <c r="J1069" i="40"/>
  <c r="G1069" i="40"/>
  <c r="L1069" i="40" s="1"/>
  <c r="V1068" i="40"/>
  <c r="Q1068" i="40"/>
  <c r="U1068" i="40" s="1"/>
  <c r="K1068" i="40"/>
  <c r="J1068" i="40"/>
  <c r="G1068" i="40"/>
  <c r="L1068" i="40" s="1"/>
  <c r="V1067" i="40"/>
  <c r="U1067" i="40"/>
  <c r="Q1067" i="40"/>
  <c r="K1067" i="40"/>
  <c r="J1067" i="40"/>
  <c r="G1067" i="40"/>
  <c r="L1067" i="40" s="1"/>
  <c r="V1066" i="40"/>
  <c r="U1066" i="40"/>
  <c r="Q1066" i="40"/>
  <c r="K1066" i="40"/>
  <c r="J1066" i="40"/>
  <c r="G1066" i="40"/>
  <c r="L1066" i="40" s="1"/>
  <c r="V1065" i="40"/>
  <c r="U1065" i="40"/>
  <c r="Q1065" i="40"/>
  <c r="K1065" i="40"/>
  <c r="J1065" i="40"/>
  <c r="G1065" i="40"/>
  <c r="L1065" i="40" s="1"/>
  <c r="V1064" i="40"/>
  <c r="U1064" i="40"/>
  <c r="Q1064" i="40"/>
  <c r="K1064" i="40"/>
  <c r="J1064" i="40"/>
  <c r="G1064" i="40"/>
  <c r="L1064" i="40" s="1"/>
  <c r="V1063" i="40"/>
  <c r="U1063" i="40"/>
  <c r="Q1063" i="40"/>
  <c r="K1063" i="40"/>
  <c r="J1063" i="40"/>
  <c r="G1063" i="40"/>
  <c r="L1063" i="40" s="1"/>
  <c r="V1062" i="40"/>
  <c r="U1062" i="40"/>
  <c r="Q1062" i="40"/>
  <c r="K1062" i="40"/>
  <c r="J1062" i="40"/>
  <c r="G1062" i="40"/>
  <c r="L1062" i="40" s="1"/>
  <c r="V1061" i="40"/>
  <c r="U1061" i="40"/>
  <c r="Q1061" i="40"/>
  <c r="K1061" i="40"/>
  <c r="J1061" i="40"/>
  <c r="G1061" i="40"/>
  <c r="L1061" i="40" s="1"/>
  <c r="V1060" i="40"/>
  <c r="U1060" i="40"/>
  <c r="Q1060" i="40"/>
  <c r="K1060" i="40"/>
  <c r="J1060" i="40"/>
  <c r="G1060" i="40"/>
  <c r="L1060" i="40" s="1"/>
  <c r="V1059" i="40"/>
  <c r="U1059" i="40"/>
  <c r="Q1059" i="40"/>
  <c r="K1059" i="40"/>
  <c r="J1059" i="40"/>
  <c r="G1059" i="40"/>
  <c r="L1059" i="40" s="1"/>
  <c r="V1058" i="40"/>
  <c r="U1058" i="40"/>
  <c r="Q1058" i="40"/>
  <c r="K1058" i="40"/>
  <c r="J1058" i="40"/>
  <c r="G1058" i="40"/>
  <c r="L1058" i="40" s="1"/>
  <c r="V1057" i="40"/>
  <c r="U1057" i="40"/>
  <c r="Q1057" i="40"/>
  <c r="L1057" i="40"/>
  <c r="K1057" i="40"/>
  <c r="J1057" i="40"/>
  <c r="G1057" i="40"/>
  <c r="V1056" i="40"/>
  <c r="U1056" i="40"/>
  <c r="Q1056" i="40"/>
  <c r="K1056" i="40"/>
  <c r="J1056" i="40"/>
  <c r="G1056" i="40"/>
  <c r="L1056" i="40" s="1"/>
  <c r="V1055" i="40"/>
  <c r="U1055" i="40"/>
  <c r="Q1055" i="40"/>
  <c r="K1055" i="40"/>
  <c r="J1055" i="40"/>
  <c r="G1055" i="40"/>
  <c r="L1055" i="40" s="1"/>
  <c r="V1054" i="40"/>
  <c r="U1054" i="40"/>
  <c r="Q1054" i="40"/>
  <c r="K1054" i="40"/>
  <c r="J1054" i="40"/>
  <c r="G1054" i="40"/>
  <c r="L1054" i="40" s="1"/>
  <c r="V1053" i="40"/>
  <c r="U1053" i="40"/>
  <c r="Q1053" i="40"/>
  <c r="K1053" i="40"/>
  <c r="J1053" i="40"/>
  <c r="G1053" i="40"/>
  <c r="L1053" i="40" s="1"/>
  <c r="V1052" i="40"/>
  <c r="U1052" i="40"/>
  <c r="Q1052" i="40"/>
  <c r="K1052" i="40"/>
  <c r="J1052" i="40"/>
  <c r="G1052" i="40"/>
  <c r="L1052" i="40" s="1"/>
  <c r="V1051" i="40"/>
  <c r="U1051" i="40"/>
  <c r="Q1051" i="40"/>
  <c r="K1051" i="40"/>
  <c r="J1051" i="40"/>
  <c r="G1051" i="40"/>
  <c r="L1051" i="40" s="1"/>
  <c r="V1050" i="40"/>
  <c r="U1050" i="40"/>
  <c r="Q1050" i="40"/>
  <c r="L1050" i="40"/>
  <c r="K1050" i="40"/>
  <c r="J1050" i="40"/>
  <c r="G1050" i="40"/>
  <c r="V1049" i="40"/>
  <c r="U1049" i="40"/>
  <c r="Q1049" i="40"/>
  <c r="K1049" i="40"/>
  <c r="J1049" i="40"/>
  <c r="G1049" i="40"/>
  <c r="L1049" i="40" s="1"/>
  <c r="V1048" i="40"/>
  <c r="U1048" i="40"/>
  <c r="Q1048" i="40"/>
  <c r="K1048" i="40"/>
  <c r="J1048" i="40"/>
  <c r="G1048" i="40"/>
  <c r="L1048" i="40" s="1"/>
  <c r="V1047" i="40"/>
  <c r="U1047" i="40"/>
  <c r="Q1047" i="40"/>
  <c r="K1047" i="40"/>
  <c r="J1047" i="40"/>
  <c r="G1047" i="40"/>
  <c r="L1047" i="40" s="1"/>
  <c r="V1046" i="40"/>
  <c r="U1046" i="40"/>
  <c r="Q1046" i="40"/>
  <c r="K1046" i="40"/>
  <c r="J1046" i="40"/>
  <c r="G1046" i="40"/>
  <c r="L1046" i="40" s="1"/>
  <c r="V1045" i="40"/>
  <c r="U1045" i="40"/>
  <c r="Q1045" i="40"/>
  <c r="K1045" i="40"/>
  <c r="J1045" i="40"/>
  <c r="G1045" i="40"/>
  <c r="L1045" i="40" s="1"/>
  <c r="V1044" i="40"/>
  <c r="U1044" i="40"/>
  <c r="Q1044" i="40"/>
  <c r="K1044" i="40"/>
  <c r="J1044" i="40"/>
  <c r="G1044" i="40"/>
  <c r="L1044" i="40" s="1"/>
  <c r="V1043" i="40"/>
  <c r="U1043" i="40"/>
  <c r="Q1043" i="40"/>
  <c r="K1043" i="40"/>
  <c r="J1043" i="40"/>
  <c r="G1043" i="40"/>
  <c r="L1043" i="40" s="1"/>
  <c r="V1042" i="40"/>
  <c r="U1042" i="40"/>
  <c r="Q1042" i="40"/>
  <c r="K1042" i="40"/>
  <c r="J1042" i="40"/>
  <c r="G1042" i="40"/>
  <c r="L1042" i="40" s="1"/>
  <c r="V1041" i="40"/>
  <c r="U1041" i="40"/>
  <c r="Q1041" i="40"/>
  <c r="K1041" i="40"/>
  <c r="J1041" i="40"/>
  <c r="G1041" i="40"/>
  <c r="L1041" i="40" s="1"/>
  <c r="V1040" i="40"/>
  <c r="U1040" i="40"/>
  <c r="Q1040" i="40"/>
  <c r="L1040" i="40"/>
  <c r="K1040" i="40"/>
  <c r="J1040" i="40"/>
  <c r="G1040" i="40"/>
  <c r="V1039" i="40"/>
  <c r="U1039" i="40"/>
  <c r="Q1039" i="40"/>
  <c r="K1039" i="40"/>
  <c r="J1039" i="40"/>
  <c r="G1039" i="40"/>
  <c r="L1039" i="40" s="1"/>
  <c r="V1038" i="40"/>
  <c r="U1038" i="40"/>
  <c r="Q1038" i="40"/>
  <c r="K1038" i="40"/>
  <c r="J1038" i="40"/>
  <c r="G1038" i="40"/>
  <c r="L1038" i="40" s="1"/>
  <c r="V1037" i="40"/>
  <c r="U1037" i="40"/>
  <c r="Q1037" i="40"/>
  <c r="K1037" i="40"/>
  <c r="J1037" i="40"/>
  <c r="G1037" i="40"/>
  <c r="L1037" i="40" s="1"/>
  <c r="V1036" i="40"/>
  <c r="U1036" i="40"/>
  <c r="Q1036" i="40"/>
  <c r="L1036" i="40"/>
  <c r="K1036" i="40"/>
  <c r="J1036" i="40"/>
  <c r="G1036" i="40"/>
  <c r="V1035" i="40"/>
  <c r="U1035" i="40"/>
  <c r="Q1035" i="40"/>
  <c r="L1035" i="40"/>
  <c r="K1035" i="40"/>
  <c r="J1035" i="40"/>
  <c r="G1035" i="40"/>
  <c r="V1034" i="40"/>
  <c r="U1034" i="40"/>
  <c r="Q1034" i="40"/>
  <c r="K1034" i="40"/>
  <c r="J1034" i="40"/>
  <c r="G1034" i="40"/>
  <c r="L1034" i="40" s="1"/>
  <c r="V1033" i="40"/>
  <c r="U1033" i="40"/>
  <c r="Q1033" i="40"/>
  <c r="K1033" i="40"/>
  <c r="J1033" i="40"/>
  <c r="G1033" i="40"/>
  <c r="L1033" i="40" s="1"/>
  <c r="V1032" i="40"/>
  <c r="U1032" i="40"/>
  <c r="Q1032" i="40"/>
  <c r="K1032" i="40"/>
  <c r="J1032" i="40"/>
  <c r="G1032" i="40"/>
  <c r="L1032" i="40" s="1"/>
  <c r="V1031" i="40"/>
  <c r="U1031" i="40"/>
  <c r="Q1031" i="40"/>
  <c r="K1031" i="40"/>
  <c r="J1031" i="40"/>
  <c r="G1031" i="40"/>
  <c r="L1031" i="40" s="1"/>
  <c r="V1030" i="40"/>
  <c r="U1030" i="40"/>
  <c r="Q1030" i="40"/>
  <c r="K1030" i="40"/>
  <c r="J1030" i="40"/>
  <c r="G1030" i="40"/>
  <c r="L1030" i="40" s="1"/>
  <c r="V1029" i="40"/>
  <c r="U1029" i="40"/>
  <c r="Q1029" i="40"/>
  <c r="K1029" i="40"/>
  <c r="J1029" i="40"/>
  <c r="G1029" i="40"/>
  <c r="L1029" i="40" s="1"/>
  <c r="V1028" i="40"/>
  <c r="U1028" i="40"/>
  <c r="Q1028" i="40"/>
  <c r="K1028" i="40"/>
  <c r="J1028" i="40"/>
  <c r="G1028" i="40"/>
  <c r="L1028" i="40" s="1"/>
  <c r="V1027" i="40"/>
  <c r="U1027" i="40"/>
  <c r="Q1027" i="40"/>
  <c r="K1027" i="40"/>
  <c r="J1027" i="40"/>
  <c r="G1027" i="40"/>
  <c r="L1027" i="40" s="1"/>
  <c r="V1026" i="40"/>
  <c r="U1026" i="40"/>
  <c r="Q1026" i="40"/>
  <c r="K1026" i="40"/>
  <c r="J1026" i="40"/>
  <c r="G1026" i="40"/>
  <c r="L1026" i="40" s="1"/>
  <c r="V1025" i="40"/>
  <c r="U1025" i="40"/>
  <c r="Q1025" i="40"/>
  <c r="K1025" i="40"/>
  <c r="J1025" i="40"/>
  <c r="G1025" i="40"/>
  <c r="L1025" i="40" s="1"/>
  <c r="V1024" i="40"/>
  <c r="U1024" i="40"/>
  <c r="Q1024" i="40"/>
  <c r="K1024" i="40"/>
  <c r="J1024" i="40"/>
  <c r="G1024" i="40"/>
  <c r="L1024" i="40" s="1"/>
  <c r="V1023" i="40"/>
  <c r="U1023" i="40"/>
  <c r="Q1023" i="40"/>
  <c r="K1023" i="40"/>
  <c r="J1023" i="40"/>
  <c r="G1023" i="40"/>
  <c r="L1023" i="40" s="1"/>
  <c r="V1022" i="40"/>
  <c r="U1022" i="40"/>
  <c r="Q1022" i="40"/>
  <c r="K1022" i="40"/>
  <c r="J1022" i="40"/>
  <c r="G1022" i="40"/>
  <c r="L1022" i="40" s="1"/>
  <c r="V1021" i="40"/>
  <c r="U1021" i="40"/>
  <c r="Q1021" i="40"/>
  <c r="K1021" i="40"/>
  <c r="J1021" i="40"/>
  <c r="G1021" i="40"/>
  <c r="L1021" i="40" s="1"/>
  <c r="V1020" i="40"/>
  <c r="U1020" i="40"/>
  <c r="Q1020" i="40"/>
  <c r="K1020" i="40"/>
  <c r="J1020" i="40"/>
  <c r="G1020" i="40"/>
  <c r="L1020" i="40" s="1"/>
  <c r="V1019" i="40"/>
  <c r="U1019" i="40"/>
  <c r="Q1019" i="40"/>
  <c r="K1019" i="40"/>
  <c r="J1019" i="40"/>
  <c r="G1019" i="40"/>
  <c r="L1019" i="40" s="1"/>
  <c r="V1018" i="40"/>
  <c r="U1018" i="40"/>
  <c r="Q1018" i="40"/>
  <c r="L1018" i="40"/>
  <c r="K1018" i="40"/>
  <c r="J1018" i="40"/>
  <c r="G1018" i="40"/>
  <c r="V1017" i="40"/>
  <c r="U1017" i="40"/>
  <c r="Q1017" i="40"/>
  <c r="K1017" i="40"/>
  <c r="J1017" i="40"/>
  <c r="G1017" i="40"/>
  <c r="L1017" i="40" s="1"/>
  <c r="V1016" i="40"/>
  <c r="U1016" i="40"/>
  <c r="Q1016" i="40"/>
  <c r="K1016" i="40"/>
  <c r="J1016" i="40"/>
  <c r="G1016" i="40"/>
  <c r="L1016" i="40" s="1"/>
  <c r="V1015" i="40"/>
  <c r="U1015" i="40"/>
  <c r="Q1015" i="40"/>
  <c r="K1015" i="40"/>
  <c r="J1015" i="40"/>
  <c r="G1015" i="40"/>
  <c r="L1015" i="40" s="1"/>
  <c r="V1014" i="40"/>
  <c r="U1014" i="40"/>
  <c r="Q1014" i="40"/>
  <c r="K1014" i="40"/>
  <c r="J1014" i="40"/>
  <c r="G1014" i="40"/>
  <c r="L1014" i="40" s="1"/>
  <c r="V1013" i="40"/>
  <c r="U1013" i="40"/>
  <c r="Q1013" i="40"/>
  <c r="K1013" i="40"/>
  <c r="J1013" i="40"/>
  <c r="G1013" i="40"/>
  <c r="L1013" i="40" s="1"/>
  <c r="V1012" i="40"/>
  <c r="U1012" i="40"/>
  <c r="Q1012" i="40"/>
  <c r="L1012" i="40"/>
  <c r="K1012" i="40"/>
  <c r="J1012" i="40"/>
  <c r="G1012" i="40"/>
  <c r="V1011" i="40"/>
  <c r="U1011" i="40"/>
  <c r="Q1011" i="40"/>
  <c r="K1011" i="40"/>
  <c r="J1011" i="40"/>
  <c r="G1011" i="40"/>
  <c r="L1011" i="40" s="1"/>
  <c r="V1010" i="40"/>
  <c r="U1010" i="40"/>
  <c r="Q1010" i="40"/>
  <c r="K1010" i="40"/>
  <c r="J1010" i="40"/>
  <c r="G1010" i="40"/>
  <c r="L1010" i="40" s="1"/>
  <c r="V1009" i="40"/>
  <c r="U1009" i="40"/>
  <c r="Q1009" i="40"/>
  <c r="K1009" i="40"/>
  <c r="J1009" i="40"/>
  <c r="G1009" i="40"/>
  <c r="L1009" i="40" s="1"/>
  <c r="V1008" i="40"/>
  <c r="U1008" i="40"/>
  <c r="Q1008" i="40"/>
  <c r="K1008" i="40"/>
  <c r="J1008" i="40"/>
  <c r="G1008" i="40"/>
  <c r="L1008" i="40" s="1"/>
  <c r="V1007" i="40"/>
  <c r="U1007" i="40"/>
  <c r="Q1007" i="40"/>
  <c r="K1007" i="40"/>
  <c r="J1007" i="40"/>
  <c r="G1007" i="40"/>
  <c r="L1007" i="40" s="1"/>
  <c r="V1006" i="40"/>
  <c r="U1006" i="40"/>
  <c r="Q1006" i="40"/>
  <c r="K1006" i="40"/>
  <c r="J1006" i="40"/>
  <c r="G1006" i="40"/>
  <c r="L1006" i="40" s="1"/>
  <c r="V1005" i="40"/>
  <c r="U1005" i="40"/>
  <c r="Q1005" i="40"/>
  <c r="K1005" i="40"/>
  <c r="J1005" i="40"/>
  <c r="G1005" i="40"/>
  <c r="L1005" i="40" s="1"/>
  <c r="V1004" i="40"/>
  <c r="U1004" i="40"/>
  <c r="Q1004" i="40"/>
  <c r="K1004" i="40"/>
  <c r="J1004" i="40"/>
  <c r="G1004" i="40"/>
  <c r="L1004" i="40" s="1"/>
  <c r="V1003" i="40"/>
  <c r="U1003" i="40"/>
  <c r="Q1003" i="40"/>
  <c r="K1003" i="40"/>
  <c r="J1003" i="40"/>
  <c r="G1003" i="40"/>
  <c r="L1003" i="40" s="1"/>
  <c r="V1002" i="40"/>
  <c r="U1002" i="40"/>
  <c r="Q1002" i="40"/>
  <c r="K1002" i="40"/>
  <c r="J1002" i="40"/>
  <c r="G1002" i="40"/>
  <c r="L1002" i="40" s="1"/>
  <c r="V1001" i="40"/>
  <c r="U1001" i="40"/>
  <c r="Q1001" i="40"/>
  <c r="K1001" i="40"/>
  <c r="J1001" i="40"/>
  <c r="G1001" i="40"/>
  <c r="L1001" i="40" s="1"/>
  <c r="V1000" i="40"/>
  <c r="U1000" i="40"/>
  <c r="Q1000" i="40"/>
  <c r="L1000" i="40"/>
  <c r="K1000" i="40"/>
  <c r="J1000" i="40"/>
  <c r="G1000" i="40"/>
  <c r="V999" i="40"/>
  <c r="U999" i="40"/>
  <c r="Q999" i="40"/>
  <c r="K999" i="40"/>
  <c r="J999" i="40"/>
  <c r="G999" i="40"/>
  <c r="L999" i="40" s="1"/>
  <c r="V998" i="40"/>
  <c r="U998" i="40"/>
  <c r="Q998" i="40"/>
  <c r="K998" i="40"/>
  <c r="J998" i="40"/>
  <c r="G998" i="40"/>
  <c r="L998" i="40" s="1"/>
  <c r="V997" i="40"/>
  <c r="U997" i="40"/>
  <c r="Q997" i="40"/>
  <c r="K997" i="40"/>
  <c r="J997" i="40"/>
  <c r="G997" i="40"/>
  <c r="L997" i="40" s="1"/>
  <c r="V996" i="40"/>
  <c r="U996" i="40"/>
  <c r="Q996" i="40"/>
  <c r="K996" i="40"/>
  <c r="J996" i="40"/>
  <c r="G996" i="40"/>
  <c r="L996" i="40" s="1"/>
  <c r="V995" i="40"/>
  <c r="U995" i="40"/>
  <c r="Q995" i="40"/>
  <c r="L995" i="40"/>
  <c r="K995" i="40"/>
  <c r="J995" i="40"/>
  <c r="G995" i="40"/>
  <c r="V994" i="40"/>
  <c r="U994" i="40"/>
  <c r="Q994" i="40"/>
  <c r="K994" i="40"/>
  <c r="J994" i="40"/>
  <c r="G994" i="40"/>
  <c r="L994" i="40" s="1"/>
  <c r="V993" i="40"/>
  <c r="Q993" i="40"/>
  <c r="U993" i="40" s="1"/>
  <c r="K993" i="40"/>
  <c r="J993" i="40"/>
  <c r="G993" i="40"/>
  <c r="L993" i="40" s="1"/>
  <c r="V992" i="40"/>
  <c r="U992" i="40"/>
  <c r="Q992" i="40"/>
  <c r="K992" i="40"/>
  <c r="J992" i="40"/>
  <c r="G992" i="40"/>
  <c r="L992" i="40" s="1"/>
  <c r="V991" i="40"/>
  <c r="U991" i="40"/>
  <c r="Q991" i="40"/>
  <c r="K991" i="40"/>
  <c r="J991" i="40"/>
  <c r="G991" i="40"/>
  <c r="L991" i="40" s="1"/>
  <c r="V990" i="40"/>
  <c r="U990" i="40"/>
  <c r="Q990" i="40"/>
  <c r="K990" i="40"/>
  <c r="J990" i="40"/>
  <c r="G990" i="40"/>
  <c r="L990" i="40" s="1"/>
  <c r="V989" i="40"/>
  <c r="Q989" i="40"/>
  <c r="U989" i="40" s="1"/>
  <c r="K989" i="40"/>
  <c r="J989" i="40"/>
  <c r="G989" i="40"/>
  <c r="L989" i="40" s="1"/>
  <c r="V988" i="40"/>
  <c r="U988" i="40"/>
  <c r="Q988" i="40"/>
  <c r="K988" i="40"/>
  <c r="J988" i="40"/>
  <c r="G988" i="40"/>
  <c r="L988" i="40" s="1"/>
  <c r="V987" i="40"/>
  <c r="U987" i="40"/>
  <c r="Q987" i="40"/>
  <c r="K987" i="40"/>
  <c r="J987" i="40"/>
  <c r="G987" i="40"/>
  <c r="L987" i="40" s="1"/>
  <c r="V986" i="40"/>
  <c r="U986" i="40"/>
  <c r="Q986" i="40"/>
  <c r="K986" i="40"/>
  <c r="J986" i="40"/>
  <c r="G986" i="40"/>
  <c r="L986" i="40" s="1"/>
  <c r="V985" i="40"/>
  <c r="U985" i="40"/>
  <c r="Q985" i="40"/>
  <c r="L985" i="40"/>
  <c r="K985" i="40"/>
  <c r="J985" i="40"/>
  <c r="G985" i="40"/>
  <c r="V984" i="40"/>
  <c r="U984" i="40"/>
  <c r="Q984" i="40"/>
  <c r="K984" i="40"/>
  <c r="J984" i="40"/>
  <c r="G984" i="40"/>
  <c r="L984" i="40" s="1"/>
  <c r="V983" i="40"/>
  <c r="U983" i="40"/>
  <c r="Q983" i="40"/>
  <c r="K983" i="40"/>
  <c r="J983" i="40"/>
  <c r="G983" i="40"/>
  <c r="L983" i="40" s="1"/>
  <c r="V982" i="40"/>
  <c r="U982" i="40"/>
  <c r="Q982" i="40"/>
  <c r="K982" i="40"/>
  <c r="J982" i="40"/>
  <c r="G982" i="40"/>
  <c r="L982" i="40" s="1"/>
  <c r="V981" i="40"/>
  <c r="U981" i="40"/>
  <c r="Q981" i="40"/>
  <c r="K981" i="40"/>
  <c r="J981" i="40"/>
  <c r="G981" i="40"/>
  <c r="L981" i="40" s="1"/>
  <c r="V980" i="40"/>
  <c r="U980" i="40"/>
  <c r="Q980" i="40"/>
  <c r="K980" i="40"/>
  <c r="J980" i="40"/>
  <c r="G980" i="40"/>
  <c r="L980" i="40" s="1"/>
  <c r="V979" i="40"/>
  <c r="U979" i="40"/>
  <c r="Q979" i="40"/>
  <c r="K979" i="40"/>
  <c r="J979" i="40"/>
  <c r="G979" i="40"/>
  <c r="L979" i="40" s="1"/>
  <c r="V978" i="40"/>
  <c r="U978" i="40"/>
  <c r="Q978" i="40"/>
  <c r="L978" i="40"/>
  <c r="K978" i="40"/>
  <c r="J978" i="40"/>
  <c r="G978" i="40"/>
  <c r="V977" i="40"/>
  <c r="U977" i="40"/>
  <c r="Q977" i="40"/>
  <c r="K977" i="40"/>
  <c r="J977" i="40"/>
  <c r="G977" i="40"/>
  <c r="L977" i="40" s="1"/>
  <c r="V976" i="40"/>
  <c r="U976" i="40"/>
  <c r="Q976" i="40"/>
  <c r="L976" i="40"/>
  <c r="K976" i="40"/>
  <c r="J976" i="40"/>
  <c r="G976" i="40"/>
  <c r="V975" i="40"/>
  <c r="U975" i="40"/>
  <c r="Q975" i="40"/>
  <c r="K975" i="40"/>
  <c r="J975" i="40"/>
  <c r="G975" i="40"/>
  <c r="L975" i="40" s="1"/>
  <c r="V974" i="40"/>
  <c r="U974" i="40"/>
  <c r="Q974" i="40"/>
  <c r="K974" i="40"/>
  <c r="J974" i="40"/>
  <c r="G974" i="40"/>
  <c r="L974" i="40" s="1"/>
  <c r="V973" i="40"/>
  <c r="U973" i="40"/>
  <c r="Q973" i="40"/>
  <c r="K973" i="40"/>
  <c r="J973" i="40"/>
  <c r="G973" i="40"/>
  <c r="L973" i="40" s="1"/>
  <c r="V972" i="40"/>
  <c r="U972" i="40"/>
  <c r="Q972" i="40"/>
  <c r="K972" i="40"/>
  <c r="J972" i="40"/>
  <c r="G972" i="40"/>
  <c r="L972" i="40" s="1"/>
  <c r="V971" i="40"/>
  <c r="U971" i="40"/>
  <c r="Q971" i="40"/>
  <c r="L971" i="40"/>
  <c r="K971" i="40"/>
  <c r="J971" i="40"/>
  <c r="G971" i="40"/>
  <c r="V970" i="40"/>
  <c r="U970" i="40"/>
  <c r="Q970" i="40"/>
  <c r="K970" i="40"/>
  <c r="J970" i="40"/>
  <c r="G970" i="40"/>
  <c r="L970" i="40" s="1"/>
  <c r="V969" i="40"/>
  <c r="U969" i="40"/>
  <c r="Q969" i="40"/>
  <c r="K969" i="40"/>
  <c r="J969" i="40"/>
  <c r="G969" i="40"/>
  <c r="L969" i="40" s="1"/>
  <c r="V968" i="40"/>
  <c r="U968" i="40"/>
  <c r="Q968" i="40"/>
  <c r="K968" i="40"/>
  <c r="J968" i="40"/>
  <c r="G968" i="40"/>
  <c r="L968" i="40" s="1"/>
  <c r="V967" i="40"/>
  <c r="U967" i="40"/>
  <c r="Q967" i="40"/>
  <c r="K967" i="40"/>
  <c r="J967" i="40"/>
  <c r="G967" i="40"/>
  <c r="L967" i="40" s="1"/>
  <c r="V966" i="40"/>
  <c r="U966" i="40"/>
  <c r="Q966" i="40"/>
  <c r="L966" i="40"/>
  <c r="K966" i="40"/>
  <c r="J966" i="40"/>
  <c r="G966" i="40"/>
  <c r="V965" i="40"/>
  <c r="Q965" i="40"/>
  <c r="U965" i="40" s="1"/>
  <c r="K965" i="40"/>
  <c r="J965" i="40"/>
  <c r="G965" i="40"/>
  <c r="L965" i="40" s="1"/>
  <c r="V964" i="40"/>
  <c r="U964" i="40"/>
  <c r="Q964" i="40"/>
  <c r="K964" i="40"/>
  <c r="J964" i="40"/>
  <c r="G964" i="40"/>
  <c r="L964" i="40" s="1"/>
  <c r="V963" i="40"/>
  <c r="U963" i="40"/>
  <c r="Q963" i="40"/>
  <c r="K963" i="40"/>
  <c r="J963" i="40"/>
  <c r="G963" i="40"/>
  <c r="L963" i="40" s="1"/>
  <c r="V962" i="40"/>
  <c r="U962" i="40"/>
  <c r="Q962" i="40"/>
  <c r="K962" i="40"/>
  <c r="J962" i="40"/>
  <c r="G962" i="40"/>
  <c r="L962" i="40" s="1"/>
  <c r="V961" i="40"/>
  <c r="U961" i="40"/>
  <c r="Q961" i="40"/>
  <c r="K961" i="40"/>
  <c r="J961" i="40"/>
  <c r="G961" i="40"/>
  <c r="L961" i="40" s="1"/>
  <c r="V960" i="40"/>
  <c r="U960" i="40"/>
  <c r="Q960" i="40"/>
  <c r="K960" i="40"/>
  <c r="J960" i="40"/>
  <c r="G960" i="40"/>
  <c r="L960" i="40" s="1"/>
  <c r="V959" i="40"/>
  <c r="U959" i="40"/>
  <c r="Q959" i="40"/>
  <c r="K959" i="40"/>
  <c r="J959" i="40"/>
  <c r="G959" i="40"/>
  <c r="L959" i="40" s="1"/>
  <c r="V958" i="40"/>
  <c r="U958" i="40"/>
  <c r="Q958" i="40"/>
  <c r="K958" i="40"/>
  <c r="J958" i="40"/>
  <c r="G958" i="40"/>
  <c r="L958" i="40" s="1"/>
  <c r="V957" i="40"/>
  <c r="U957" i="40"/>
  <c r="Q957" i="40"/>
  <c r="K957" i="40"/>
  <c r="J957" i="40"/>
  <c r="G957" i="40"/>
  <c r="L957" i="40" s="1"/>
  <c r="V956" i="40"/>
  <c r="U956" i="40"/>
  <c r="Q956" i="40"/>
  <c r="K956" i="40"/>
  <c r="J956" i="40"/>
  <c r="G956" i="40"/>
  <c r="L956" i="40" s="1"/>
  <c r="V955" i="40"/>
  <c r="U955" i="40"/>
  <c r="Q955" i="40"/>
  <c r="K955" i="40"/>
  <c r="J955" i="40"/>
  <c r="G955" i="40"/>
  <c r="L955" i="40" s="1"/>
  <c r="V954" i="40"/>
  <c r="U954" i="40"/>
  <c r="Q954" i="40"/>
  <c r="L954" i="40"/>
  <c r="K954" i="40"/>
  <c r="J954" i="40"/>
  <c r="G954" i="40"/>
  <c r="V953" i="40"/>
  <c r="U953" i="40"/>
  <c r="Q953" i="40"/>
  <c r="K953" i="40"/>
  <c r="J953" i="40"/>
  <c r="G953" i="40"/>
  <c r="L953" i="40" s="1"/>
  <c r="V952" i="40"/>
  <c r="U952" i="40"/>
  <c r="Q952" i="40"/>
  <c r="K952" i="40"/>
  <c r="J952" i="40"/>
  <c r="G952" i="40"/>
  <c r="L952" i="40" s="1"/>
  <c r="V951" i="40"/>
  <c r="Q951" i="40"/>
  <c r="U951" i="40" s="1"/>
  <c r="K951" i="40"/>
  <c r="J951" i="40"/>
  <c r="G951" i="40"/>
  <c r="L951" i="40" s="1"/>
  <c r="V950" i="40"/>
  <c r="U950" i="40"/>
  <c r="Q950" i="40"/>
  <c r="L950" i="40"/>
  <c r="K950" i="40"/>
  <c r="J950" i="40"/>
  <c r="G950" i="40"/>
  <c r="V949" i="40"/>
  <c r="U949" i="40"/>
  <c r="Q949" i="40"/>
  <c r="L949" i="40"/>
  <c r="K949" i="40"/>
  <c r="J949" i="40"/>
  <c r="G949" i="40"/>
  <c r="V948" i="40"/>
  <c r="U948" i="40"/>
  <c r="Q948" i="40"/>
  <c r="K948" i="40"/>
  <c r="J948" i="40"/>
  <c r="G948" i="40"/>
  <c r="L948" i="40" s="1"/>
  <c r="V947" i="40"/>
  <c r="U947" i="40"/>
  <c r="Q947" i="40"/>
  <c r="K947" i="40"/>
  <c r="J947" i="40"/>
  <c r="G947" i="40"/>
  <c r="L947" i="40" s="1"/>
  <c r="V946" i="40"/>
  <c r="U946" i="40"/>
  <c r="Q946" i="40"/>
  <c r="K946" i="40"/>
  <c r="J946" i="40"/>
  <c r="G946" i="40"/>
  <c r="L946" i="40" s="1"/>
  <c r="V945" i="40"/>
  <c r="U945" i="40"/>
  <c r="Q945" i="40"/>
  <c r="K945" i="40"/>
  <c r="J945" i="40"/>
  <c r="G945" i="40"/>
  <c r="L945" i="40" s="1"/>
  <c r="V944" i="40"/>
  <c r="U944" i="40"/>
  <c r="Q944" i="40"/>
  <c r="K944" i="40"/>
  <c r="J944" i="40"/>
  <c r="G944" i="40"/>
  <c r="L944" i="40" s="1"/>
  <c r="V943" i="40"/>
  <c r="U943" i="40"/>
  <c r="Q943" i="40"/>
  <c r="K943" i="40"/>
  <c r="J943" i="40"/>
  <c r="G943" i="40"/>
  <c r="L943" i="40" s="1"/>
  <c r="V942" i="40"/>
  <c r="U942" i="40"/>
  <c r="Q942" i="40"/>
  <c r="K942" i="40"/>
  <c r="J942" i="40"/>
  <c r="G942" i="40"/>
  <c r="L942" i="40" s="1"/>
  <c r="V941" i="40"/>
  <c r="U941" i="40"/>
  <c r="Q941" i="40"/>
  <c r="K941" i="40"/>
  <c r="J941" i="40"/>
  <c r="G941" i="40"/>
  <c r="L941" i="40" s="1"/>
  <c r="V940" i="40"/>
  <c r="U940" i="40"/>
  <c r="Q940" i="40"/>
  <c r="K940" i="40"/>
  <c r="J940" i="40"/>
  <c r="G940" i="40"/>
  <c r="L940" i="40" s="1"/>
  <c r="V939" i="40"/>
  <c r="U939" i="40"/>
  <c r="Q939" i="40"/>
  <c r="L939" i="40"/>
  <c r="K939" i="40"/>
  <c r="J939" i="40"/>
  <c r="G939" i="40"/>
  <c r="V938" i="40"/>
  <c r="U938" i="40"/>
  <c r="Q938" i="40"/>
  <c r="K938" i="40"/>
  <c r="J938" i="40"/>
  <c r="G938" i="40"/>
  <c r="L938" i="40" s="1"/>
  <c r="V937" i="40"/>
  <c r="U937" i="40"/>
  <c r="Q937" i="40"/>
  <c r="K937" i="40"/>
  <c r="J937" i="40"/>
  <c r="G937" i="40"/>
  <c r="L937" i="40" s="1"/>
  <c r="V936" i="40"/>
  <c r="U936" i="40"/>
  <c r="Q936" i="40"/>
  <c r="K936" i="40"/>
  <c r="J936" i="40"/>
  <c r="G936" i="40"/>
  <c r="L936" i="40" s="1"/>
  <c r="V935" i="40"/>
  <c r="U935" i="40"/>
  <c r="Q935" i="40"/>
  <c r="K935" i="40"/>
  <c r="J935" i="40"/>
  <c r="G935" i="40"/>
  <c r="L935" i="40" s="1"/>
  <c r="V934" i="40"/>
  <c r="U934" i="40"/>
  <c r="Q934" i="40"/>
  <c r="K934" i="40"/>
  <c r="J934" i="40"/>
  <c r="G934" i="40"/>
  <c r="L934" i="40" s="1"/>
  <c r="V933" i="40"/>
  <c r="U933" i="40"/>
  <c r="Q933" i="40"/>
  <c r="K933" i="40"/>
  <c r="J933" i="40"/>
  <c r="G933" i="40"/>
  <c r="L933" i="40" s="1"/>
  <c r="V932" i="40"/>
  <c r="U932" i="40"/>
  <c r="Q932" i="40"/>
  <c r="K932" i="40"/>
  <c r="J932" i="40"/>
  <c r="G932" i="40"/>
  <c r="L932" i="40" s="1"/>
  <c r="V931" i="40"/>
  <c r="U931" i="40"/>
  <c r="Q931" i="40"/>
  <c r="K931" i="40"/>
  <c r="J931" i="40"/>
  <c r="G931" i="40"/>
  <c r="L931" i="40" s="1"/>
  <c r="V930" i="40"/>
  <c r="U930" i="40"/>
  <c r="Q930" i="40"/>
  <c r="K930" i="40"/>
  <c r="J930" i="40"/>
  <c r="G930" i="40"/>
  <c r="L930" i="40" s="1"/>
  <c r="V929" i="40"/>
  <c r="U929" i="40"/>
  <c r="Q929" i="40"/>
  <c r="K929" i="40"/>
  <c r="J929" i="40"/>
  <c r="G929" i="40"/>
  <c r="L929" i="40" s="1"/>
  <c r="V928" i="40"/>
  <c r="U928" i="40"/>
  <c r="Q928" i="40"/>
  <c r="K928" i="40"/>
  <c r="J928" i="40"/>
  <c r="G928" i="40"/>
  <c r="L928" i="40" s="1"/>
  <c r="V927" i="40"/>
  <c r="U927" i="40"/>
  <c r="Q927" i="40"/>
  <c r="K927" i="40"/>
  <c r="J927" i="40"/>
  <c r="G927" i="40"/>
  <c r="L927" i="40" s="1"/>
  <c r="V926" i="40"/>
  <c r="U926" i="40"/>
  <c r="Q926" i="40"/>
  <c r="L926" i="40"/>
  <c r="K926" i="40"/>
  <c r="J926" i="40"/>
  <c r="G926" i="40"/>
  <c r="V925" i="40"/>
  <c r="U925" i="40"/>
  <c r="Q925" i="40"/>
  <c r="K925" i="40"/>
  <c r="J925" i="40"/>
  <c r="G925" i="40"/>
  <c r="L925" i="40" s="1"/>
  <c r="V924" i="40"/>
  <c r="U924" i="40"/>
  <c r="Q924" i="40"/>
  <c r="K924" i="40"/>
  <c r="J924" i="40"/>
  <c r="G924" i="40"/>
  <c r="L924" i="40" s="1"/>
  <c r="V923" i="40"/>
  <c r="U923" i="40"/>
  <c r="Q923" i="40"/>
  <c r="K923" i="40"/>
  <c r="J923" i="40"/>
  <c r="G923" i="40"/>
  <c r="L923" i="40" s="1"/>
  <c r="V922" i="40"/>
  <c r="U922" i="40"/>
  <c r="Q922" i="40"/>
  <c r="K922" i="40"/>
  <c r="J922" i="40"/>
  <c r="G922" i="40"/>
  <c r="L922" i="40" s="1"/>
  <c r="V921" i="40"/>
  <c r="U921" i="40"/>
  <c r="Q921" i="40"/>
  <c r="L921" i="40"/>
  <c r="K921" i="40"/>
  <c r="J921" i="40"/>
  <c r="G921" i="40"/>
  <c r="V920" i="40"/>
  <c r="U920" i="40"/>
  <c r="Q920" i="40"/>
  <c r="K920" i="40"/>
  <c r="J920" i="40"/>
  <c r="G920" i="40"/>
  <c r="L920" i="40" s="1"/>
  <c r="V919" i="40"/>
  <c r="U919" i="40"/>
  <c r="Q919" i="40"/>
  <c r="K919" i="40"/>
  <c r="J919" i="40"/>
  <c r="G919" i="40"/>
  <c r="L919" i="40" s="1"/>
  <c r="V918" i="40"/>
  <c r="U918" i="40"/>
  <c r="Q918" i="40"/>
  <c r="K918" i="40"/>
  <c r="J918" i="40"/>
  <c r="G918" i="40"/>
  <c r="L918" i="40" s="1"/>
  <c r="V917" i="40"/>
  <c r="U917" i="40"/>
  <c r="Q917" i="40"/>
  <c r="K917" i="40"/>
  <c r="J917" i="40"/>
  <c r="G917" i="40"/>
  <c r="L917" i="40" s="1"/>
  <c r="V916" i="40"/>
  <c r="U916" i="40"/>
  <c r="Q916" i="40"/>
  <c r="K916" i="40"/>
  <c r="J916" i="40"/>
  <c r="G916" i="40"/>
  <c r="L916" i="40" s="1"/>
  <c r="V915" i="40"/>
  <c r="U915" i="40"/>
  <c r="Q915" i="40"/>
  <c r="K915" i="40"/>
  <c r="J915" i="40"/>
  <c r="G915" i="40"/>
  <c r="L915" i="40" s="1"/>
  <c r="V914" i="40"/>
  <c r="U914" i="40"/>
  <c r="Q914" i="40"/>
  <c r="K914" i="40"/>
  <c r="J914" i="40"/>
  <c r="G914" i="40"/>
  <c r="L914" i="40" s="1"/>
  <c r="V913" i="40"/>
  <c r="U913" i="40"/>
  <c r="Q913" i="40"/>
  <c r="K913" i="40"/>
  <c r="J913" i="40"/>
  <c r="G913" i="40"/>
  <c r="L913" i="40" s="1"/>
  <c r="V912" i="40"/>
  <c r="U912" i="40"/>
  <c r="Q912" i="40"/>
  <c r="K912" i="40"/>
  <c r="J912" i="40"/>
  <c r="G912" i="40"/>
  <c r="L912" i="40" s="1"/>
  <c r="V911" i="40"/>
  <c r="U911" i="40"/>
  <c r="Q911" i="40"/>
  <c r="K911" i="40"/>
  <c r="J911" i="40"/>
  <c r="G911" i="40"/>
  <c r="L911" i="40" s="1"/>
  <c r="V910" i="40"/>
  <c r="U910" i="40"/>
  <c r="Q910" i="40"/>
  <c r="L910" i="40"/>
  <c r="K910" i="40"/>
  <c r="J910" i="40"/>
  <c r="G910" i="40"/>
  <c r="V909" i="40"/>
  <c r="U909" i="40"/>
  <c r="Q909" i="40"/>
  <c r="K909" i="40"/>
  <c r="J909" i="40"/>
  <c r="G909" i="40"/>
  <c r="L909" i="40" s="1"/>
  <c r="V908" i="40"/>
  <c r="U908" i="40"/>
  <c r="Q908" i="40"/>
  <c r="K908" i="40"/>
  <c r="J908" i="40"/>
  <c r="G908" i="40"/>
  <c r="L908" i="40" s="1"/>
  <c r="V907" i="40"/>
  <c r="U907" i="40"/>
  <c r="Q907" i="40"/>
  <c r="K907" i="40"/>
  <c r="J907" i="40"/>
  <c r="G907" i="40"/>
  <c r="L907" i="40" s="1"/>
  <c r="V906" i="40"/>
  <c r="U906" i="40"/>
  <c r="Q906" i="40"/>
  <c r="K906" i="40"/>
  <c r="J906" i="40"/>
  <c r="G906" i="40"/>
  <c r="L906" i="40" s="1"/>
  <c r="V905" i="40"/>
  <c r="U905" i="40"/>
  <c r="Q905" i="40"/>
  <c r="K905" i="40"/>
  <c r="J905" i="40"/>
  <c r="G905" i="40"/>
  <c r="L905" i="40" s="1"/>
  <c r="V904" i="40"/>
  <c r="U904" i="40"/>
  <c r="Q904" i="40"/>
  <c r="K904" i="40"/>
  <c r="J904" i="40"/>
  <c r="G904" i="40"/>
  <c r="L904" i="40" s="1"/>
  <c r="V903" i="40"/>
  <c r="U903" i="40"/>
  <c r="Q903" i="40"/>
  <c r="K903" i="40"/>
  <c r="J903" i="40"/>
  <c r="G903" i="40"/>
  <c r="L903" i="40" s="1"/>
  <c r="V902" i="40"/>
  <c r="U902" i="40"/>
  <c r="Q902" i="40"/>
  <c r="L902" i="40"/>
  <c r="K902" i="40"/>
  <c r="J902" i="40"/>
  <c r="G902" i="40"/>
  <c r="V901" i="40"/>
  <c r="U901" i="40"/>
  <c r="Q901" i="40"/>
  <c r="L901" i="40"/>
  <c r="K901" i="40"/>
  <c r="J901" i="40"/>
  <c r="G901" i="40"/>
  <c r="V900" i="40"/>
  <c r="U900" i="40"/>
  <c r="Q900" i="40"/>
  <c r="K900" i="40"/>
  <c r="J900" i="40"/>
  <c r="G900" i="40"/>
  <c r="L900" i="40" s="1"/>
  <c r="V899" i="40"/>
  <c r="U899" i="40"/>
  <c r="Q899" i="40"/>
  <c r="K899" i="40"/>
  <c r="J899" i="40"/>
  <c r="G899" i="40"/>
  <c r="L899" i="40" s="1"/>
  <c r="V898" i="40"/>
  <c r="U898" i="40"/>
  <c r="Q898" i="40"/>
  <c r="K898" i="40"/>
  <c r="J898" i="40"/>
  <c r="G898" i="40"/>
  <c r="L898" i="40" s="1"/>
  <c r="V897" i="40"/>
  <c r="U897" i="40"/>
  <c r="Q897" i="40"/>
  <c r="K897" i="40"/>
  <c r="J897" i="40"/>
  <c r="G897" i="40"/>
  <c r="L897" i="40" s="1"/>
  <c r="V896" i="40"/>
  <c r="U896" i="40"/>
  <c r="Q896" i="40"/>
  <c r="K896" i="40"/>
  <c r="J896" i="40"/>
  <c r="G896" i="40"/>
  <c r="L896" i="40" s="1"/>
  <c r="V895" i="40"/>
  <c r="U895" i="40"/>
  <c r="Q895" i="40"/>
  <c r="K895" i="40"/>
  <c r="J895" i="40"/>
  <c r="G895" i="40"/>
  <c r="L895" i="40" s="1"/>
  <c r="V894" i="40"/>
  <c r="U894" i="40"/>
  <c r="Q894" i="40"/>
  <c r="K894" i="40"/>
  <c r="J894" i="40"/>
  <c r="G894" i="40"/>
  <c r="L894" i="40" s="1"/>
  <c r="V893" i="40"/>
  <c r="U893" i="40"/>
  <c r="Q893" i="40"/>
  <c r="K893" i="40"/>
  <c r="J893" i="40"/>
  <c r="G893" i="40"/>
  <c r="L893" i="40" s="1"/>
  <c r="V892" i="40"/>
  <c r="U892" i="40"/>
  <c r="Q892" i="40"/>
  <c r="K892" i="40"/>
  <c r="J892" i="40"/>
  <c r="G892" i="40"/>
  <c r="L892" i="40" s="1"/>
  <c r="V891" i="40"/>
  <c r="U891" i="40"/>
  <c r="Q891" i="40"/>
  <c r="K891" i="40"/>
  <c r="J891" i="40"/>
  <c r="G891" i="40"/>
  <c r="L891" i="40" s="1"/>
  <c r="V890" i="40"/>
  <c r="U890" i="40"/>
  <c r="Q890" i="40"/>
  <c r="K890" i="40"/>
  <c r="J890" i="40"/>
  <c r="G890" i="40"/>
  <c r="L890" i="40" s="1"/>
  <c r="V889" i="40"/>
  <c r="U889" i="40"/>
  <c r="Q889" i="40"/>
  <c r="K889" i="40"/>
  <c r="J889" i="40"/>
  <c r="G889" i="40"/>
  <c r="L889" i="40" s="1"/>
  <c r="V888" i="40"/>
  <c r="U888" i="40"/>
  <c r="Q888" i="40"/>
  <c r="K888" i="40"/>
  <c r="J888" i="40"/>
  <c r="G888" i="40"/>
  <c r="L888" i="40" s="1"/>
  <c r="V887" i="40"/>
  <c r="U887" i="40"/>
  <c r="Q887" i="40"/>
  <c r="K887" i="40"/>
  <c r="J887" i="40"/>
  <c r="G887" i="40"/>
  <c r="L887" i="40" s="1"/>
  <c r="V886" i="40"/>
  <c r="U886" i="40"/>
  <c r="Q886" i="40"/>
  <c r="L886" i="40"/>
  <c r="K886" i="40"/>
  <c r="J886" i="40"/>
  <c r="G886" i="40"/>
  <c r="V885" i="40"/>
  <c r="U885" i="40"/>
  <c r="Q885" i="40"/>
  <c r="K885" i="40"/>
  <c r="J885" i="40"/>
  <c r="G885" i="40"/>
  <c r="L885" i="40" s="1"/>
  <c r="V884" i="40"/>
  <c r="U884" i="40"/>
  <c r="Q884" i="40"/>
  <c r="K884" i="40"/>
  <c r="J884" i="40"/>
  <c r="G884" i="40"/>
  <c r="L884" i="40" s="1"/>
  <c r="V883" i="40"/>
  <c r="U883" i="40"/>
  <c r="Q883" i="40"/>
  <c r="K883" i="40"/>
  <c r="J883" i="40"/>
  <c r="G883" i="40"/>
  <c r="L883" i="40" s="1"/>
  <c r="V882" i="40"/>
  <c r="U882" i="40"/>
  <c r="Q882" i="40"/>
  <c r="K882" i="40"/>
  <c r="J882" i="40"/>
  <c r="G882" i="40"/>
  <c r="L882" i="40" s="1"/>
  <c r="V881" i="40"/>
  <c r="U881" i="40"/>
  <c r="Q881" i="40"/>
  <c r="K881" i="40"/>
  <c r="J881" i="40"/>
  <c r="G881" i="40"/>
  <c r="L881" i="40" s="1"/>
  <c r="V880" i="40"/>
  <c r="U880" i="40"/>
  <c r="Q880" i="40"/>
  <c r="K880" i="40"/>
  <c r="J880" i="40"/>
  <c r="G880" i="40"/>
  <c r="L880" i="40" s="1"/>
  <c r="V879" i="40"/>
  <c r="U879" i="40"/>
  <c r="Q879" i="40"/>
  <c r="K879" i="40"/>
  <c r="J879" i="40"/>
  <c r="G879" i="40"/>
  <c r="L879" i="40" s="1"/>
  <c r="V878" i="40"/>
  <c r="U878" i="40"/>
  <c r="Q878" i="40"/>
  <c r="L878" i="40"/>
  <c r="K878" i="40"/>
  <c r="J878" i="40"/>
  <c r="G878" i="40"/>
  <c r="V877" i="40"/>
  <c r="U877" i="40"/>
  <c r="Q877" i="40"/>
  <c r="K877" i="40"/>
  <c r="J877" i="40"/>
  <c r="G877" i="40"/>
  <c r="L877" i="40" s="1"/>
  <c r="V876" i="40"/>
  <c r="U876" i="40"/>
  <c r="Q876" i="40"/>
  <c r="K876" i="40"/>
  <c r="J876" i="40"/>
  <c r="G876" i="40"/>
  <c r="L876" i="40" s="1"/>
  <c r="V875" i="40"/>
  <c r="U875" i="40"/>
  <c r="Q875" i="40"/>
  <c r="K875" i="40"/>
  <c r="J875" i="40"/>
  <c r="G875" i="40"/>
  <c r="L875" i="40" s="1"/>
  <c r="V874" i="40"/>
  <c r="U874" i="40"/>
  <c r="Q874" i="40"/>
  <c r="K874" i="40"/>
  <c r="J874" i="40"/>
  <c r="G874" i="40"/>
  <c r="L874" i="40" s="1"/>
  <c r="V873" i="40"/>
  <c r="U873" i="40"/>
  <c r="Q873" i="40"/>
  <c r="L873" i="40"/>
  <c r="K873" i="40"/>
  <c r="J873" i="40"/>
  <c r="G873" i="40"/>
  <c r="V872" i="40"/>
  <c r="U872" i="40"/>
  <c r="Q872" i="40"/>
  <c r="K872" i="40"/>
  <c r="J872" i="40"/>
  <c r="G872" i="40"/>
  <c r="L872" i="40" s="1"/>
  <c r="V871" i="40"/>
  <c r="U871" i="40"/>
  <c r="Q871" i="40"/>
  <c r="K871" i="40"/>
  <c r="J871" i="40"/>
  <c r="G871" i="40"/>
  <c r="L871" i="40" s="1"/>
  <c r="V870" i="40"/>
  <c r="U870" i="40"/>
  <c r="Q870" i="40"/>
  <c r="K870" i="40"/>
  <c r="J870" i="40"/>
  <c r="G870" i="40"/>
  <c r="L870" i="40" s="1"/>
  <c r="V869" i="40"/>
  <c r="U869" i="40"/>
  <c r="Q869" i="40"/>
  <c r="K869" i="40"/>
  <c r="J869" i="40"/>
  <c r="G869" i="40"/>
  <c r="L869" i="40" s="1"/>
  <c r="V868" i="40"/>
  <c r="U868" i="40"/>
  <c r="Q868" i="40"/>
  <c r="K868" i="40"/>
  <c r="J868" i="40"/>
  <c r="G868" i="40"/>
  <c r="L868" i="40" s="1"/>
  <c r="V867" i="40"/>
  <c r="U867" i="40"/>
  <c r="Q867" i="40"/>
  <c r="K867" i="40"/>
  <c r="J867" i="40"/>
  <c r="G867" i="40"/>
  <c r="L867" i="40" s="1"/>
  <c r="V866" i="40"/>
  <c r="U866" i="40"/>
  <c r="Q866" i="40"/>
  <c r="L866" i="40"/>
  <c r="K866" i="40"/>
  <c r="J866" i="40"/>
  <c r="G866" i="40"/>
  <c r="V865" i="40"/>
  <c r="U865" i="40"/>
  <c r="Q865" i="40"/>
  <c r="K865" i="40"/>
  <c r="J865" i="40"/>
  <c r="G865" i="40"/>
  <c r="L865" i="40" s="1"/>
  <c r="V864" i="40"/>
  <c r="Q864" i="40"/>
  <c r="U864" i="40" s="1"/>
  <c r="K864" i="40"/>
  <c r="J864" i="40"/>
  <c r="G864" i="40"/>
  <c r="L864" i="40" s="1"/>
  <c r="V863" i="40"/>
  <c r="U863" i="40"/>
  <c r="Q863" i="40"/>
  <c r="K863" i="40"/>
  <c r="J863" i="40"/>
  <c r="G863" i="40"/>
  <c r="L863" i="40" s="1"/>
  <c r="V862" i="40"/>
  <c r="U862" i="40"/>
  <c r="Q862" i="40"/>
  <c r="K862" i="40"/>
  <c r="J862" i="40"/>
  <c r="G862" i="40"/>
  <c r="L862" i="40" s="1"/>
  <c r="V861" i="40"/>
  <c r="U861" i="40"/>
  <c r="Q861" i="40"/>
  <c r="L861" i="40"/>
  <c r="K861" i="40"/>
  <c r="J861" i="40"/>
  <c r="G861" i="40"/>
  <c r="V860" i="40"/>
  <c r="U860" i="40"/>
  <c r="Q860" i="40"/>
  <c r="K860" i="40"/>
  <c r="J860" i="40"/>
  <c r="G860" i="40"/>
  <c r="L860" i="40" s="1"/>
  <c r="V859" i="40"/>
  <c r="U859" i="40"/>
  <c r="Q859" i="40"/>
  <c r="K859" i="40"/>
  <c r="J859" i="40"/>
  <c r="G859" i="40"/>
  <c r="L859" i="40" s="1"/>
  <c r="V858" i="40"/>
  <c r="U858" i="40"/>
  <c r="Q858" i="40"/>
  <c r="K858" i="40"/>
  <c r="J858" i="40"/>
  <c r="G858" i="40"/>
  <c r="L858" i="40" s="1"/>
  <c r="V857" i="40"/>
  <c r="U857" i="40"/>
  <c r="Q857" i="40"/>
  <c r="K857" i="40"/>
  <c r="J857" i="40"/>
  <c r="G857" i="40"/>
  <c r="L857" i="40" s="1"/>
  <c r="V856" i="40"/>
  <c r="U856" i="40"/>
  <c r="Q856" i="40"/>
  <c r="K856" i="40"/>
  <c r="J856" i="40"/>
  <c r="G856" i="40"/>
  <c r="L856" i="40" s="1"/>
  <c r="V855" i="40"/>
  <c r="U855" i="40"/>
  <c r="Q855" i="40"/>
  <c r="K855" i="40"/>
  <c r="J855" i="40"/>
  <c r="G855" i="40"/>
  <c r="L855" i="40" s="1"/>
  <c r="V854" i="40"/>
  <c r="U854" i="40"/>
  <c r="Q854" i="40"/>
  <c r="K854" i="40"/>
  <c r="J854" i="40"/>
  <c r="G854" i="40"/>
  <c r="L854" i="40" s="1"/>
  <c r="V853" i="40"/>
  <c r="U853" i="40"/>
  <c r="Q853" i="40"/>
  <c r="K853" i="40"/>
  <c r="J853" i="40"/>
  <c r="G853" i="40"/>
  <c r="L853" i="40" s="1"/>
  <c r="V852" i="40"/>
  <c r="U852" i="40"/>
  <c r="Q852" i="40"/>
  <c r="K852" i="40"/>
  <c r="J852" i="40"/>
  <c r="G852" i="40"/>
  <c r="L852" i="40" s="1"/>
  <c r="V851" i="40"/>
  <c r="U851" i="40"/>
  <c r="Q851" i="40"/>
  <c r="K851" i="40"/>
  <c r="J851" i="40"/>
  <c r="G851" i="40"/>
  <c r="L851" i="40" s="1"/>
  <c r="V850" i="40"/>
  <c r="U850" i="40"/>
  <c r="Q850" i="40"/>
  <c r="L850" i="40"/>
  <c r="K850" i="40"/>
  <c r="J850" i="40"/>
  <c r="G850" i="40"/>
  <c r="V849" i="40"/>
  <c r="U849" i="40"/>
  <c r="Q849" i="40"/>
  <c r="K849" i="40"/>
  <c r="J849" i="40"/>
  <c r="G849" i="40"/>
  <c r="L849" i="40" s="1"/>
  <c r="V848" i="40"/>
  <c r="U848" i="40"/>
  <c r="Q848" i="40"/>
  <c r="K848" i="40"/>
  <c r="J848" i="40"/>
  <c r="G848" i="40"/>
  <c r="L848" i="40" s="1"/>
  <c r="V847" i="40"/>
  <c r="U847" i="40"/>
  <c r="Q847" i="40"/>
  <c r="K847" i="40"/>
  <c r="J847" i="40"/>
  <c r="G847" i="40"/>
  <c r="L847" i="40" s="1"/>
  <c r="V846" i="40"/>
  <c r="U846" i="40"/>
  <c r="Q846" i="40"/>
  <c r="K846" i="40"/>
  <c r="J846" i="40"/>
  <c r="G846" i="40"/>
  <c r="L846" i="40" s="1"/>
  <c r="V845" i="40"/>
  <c r="U845" i="40"/>
  <c r="Q845" i="40"/>
  <c r="L845" i="40"/>
  <c r="K845" i="40"/>
  <c r="J845" i="40"/>
  <c r="G845" i="40"/>
  <c r="V844" i="40"/>
  <c r="U844" i="40"/>
  <c r="Q844" i="40"/>
  <c r="K844" i="40"/>
  <c r="J844" i="40"/>
  <c r="G844" i="40"/>
  <c r="L844" i="40" s="1"/>
  <c r="V843" i="40"/>
  <c r="U843" i="40"/>
  <c r="Q843" i="40"/>
  <c r="L843" i="40"/>
  <c r="K843" i="40"/>
  <c r="J843" i="40"/>
  <c r="G843" i="40"/>
  <c r="V842" i="40"/>
  <c r="U842" i="40"/>
  <c r="Q842" i="40"/>
  <c r="K842" i="40"/>
  <c r="J842" i="40"/>
  <c r="G842" i="40"/>
  <c r="L842" i="40" s="1"/>
  <c r="V841" i="40"/>
  <c r="U841" i="40"/>
  <c r="Q841" i="40"/>
  <c r="K841" i="40"/>
  <c r="J841" i="40"/>
  <c r="G841" i="40"/>
  <c r="L841" i="40" s="1"/>
  <c r="V840" i="40"/>
  <c r="U840" i="40"/>
  <c r="Q840" i="40"/>
  <c r="K840" i="40"/>
  <c r="J840" i="40"/>
  <c r="G840" i="40"/>
  <c r="L840" i="40" s="1"/>
  <c r="V839" i="40"/>
  <c r="U839" i="40"/>
  <c r="Q839" i="40"/>
  <c r="K839" i="40"/>
  <c r="J839" i="40"/>
  <c r="G839" i="40"/>
  <c r="L839" i="40" s="1"/>
  <c r="V838" i="40"/>
  <c r="U838" i="40"/>
  <c r="Q838" i="40"/>
  <c r="K838" i="40"/>
  <c r="J838" i="40"/>
  <c r="G838" i="40"/>
  <c r="L838" i="40" s="1"/>
  <c r="V837" i="40"/>
  <c r="U837" i="40"/>
  <c r="Q837" i="40"/>
  <c r="L837" i="40"/>
  <c r="K837" i="40"/>
  <c r="J837" i="40"/>
  <c r="G837" i="40"/>
  <c r="V836" i="40"/>
  <c r="Q836" i="40"/>
  <c r="U836" i="40" s="1"/>
  <c r="K836" i="40"/>
  <c r="J836" i="40"/>
  <c r="G836" i="40"/>
  <c r="L836" i="40" s="1"/>
  <c r="V835" i="40"/>
  <c r="U835" i="40"/>
  <c r="Q835" i="40"/>
  <c r="K835" i="40"/>
  <c r="J835" i="40"/>
  <c r="G835" i="40"/>
  <c r="L835" i="40" s="1"/>
  <c r="V834" i="40"/>
  <c r="U834" i="40"/>
  <c r="Q834" i="40"/>
  <c r="K834" i="40"/>
  <c r="J834" i="40"/>
  <c r="G834" i="40"/>
  <c r="L834" i="40" s="1"/>
  <c r="V833" i="40"/>
  <c r="U833" i="40"/>
  <c r="Q833" i="40"/>
  <c r="L833" i="40"/>
  <c r="K833" i="40"/>
  <c r="J833" i="40"/>
  <c r="G833" i="40"/>
  <c r="V832" i="40"/>
  <c r="U832" i="40"/>
  <c r="Q832" i="40"/>
  <c r="K832" i="40"/>
  <c r="J832" i="40"/>
  <c r="G832" i="40"/>
  <c r="L832" i="40" s="1"/>
  <c r="V831" i="40"/>
  <c r="U831" i="40"/>
  <c r="Q831" i="40"/>
  <c r="K831" i="40"/>
  <c r="J831" i="40"/>
  <c r="G831" i="40"/>
  <c r="L831" i="40" s="1"/>
  <c r="V830" i="40"/>
  <c r="U830" i="40"/>
  <c r="Q830" i="40"/>
  <c r="K830" i="40"/>
  <c r="J830" i="40"/>
  <c r="G830" i="40"/>
  <c r="L830" i="40" s="1"/>
  <c r="V829" i="40"/>
  <c r="U829" i="40"/>
  <c r="Q829" i="40"/>
  <c r="K829" i="40"/>
  <c r="J829" i="40"/>
  <c r="G829" i="40"/>
  <c r="L829" i="40" s="1"/>
  <c r="V828" i="40"/>
  <c r="U828" i="40"/>
  <c r="Q828" i="40"/>
  <c r="K828" i="40"/>
  <c r="J828" i="40"/>
  <c r="G828" i="40"/>
  <c r="L828" i="40" s="1"/>
  <c r="V827" i="40"/>
  <c r="U827" i="40"/>
  <c r="Q827" i="40"/>
  <c r="L827" i="40"/>
  <c r="K827" i="40"/>
  <c r="J827" i="40"/>
  <c r="G827" i="40"/>
  <c r="V826" i="40"/>
  <c r="U826" i="40"/>
  <c r="Q826" i="40"/>
  <c r="K826" i="40"/>
  <c r="J826" i="40"/>
  <c r="G826" i="40"/>
  <c r="L826" i="40" s="1"/>
  <c r="V825" i="40"/>
  <c r="U825" i="40"/>
  <c r="Q825" i="40"/>
  <c r="K825" i="40"/>
  <c r="J825" i="40"/>
  <c r="G825" i="40"/>
  <c r="L825" i="40" s="1"/>
  <c r="V824" i="40"/>
  <c r="U824" i="40"/>
  <c r="Q824" i="40"/>
  <c r="K824" i="40"/>
  <c r="J824" i="40"/>
  <c r="G824" i="40"/>
  <c r="L824" i="40" s="1"/>
  <c r="V823" i="40"/>
  <c r="U823" i="40"/>
  <c r="Q823" i="40"/>
  <c r="K823" i="40"/>
  <c r="J823" i="40"/>
  <c r="G823" i="40"/>
  <c r="L823" i="40" s="1"/>
  <c r="V822" i="40"/>
  <c r="U822" i="40"/>
  <c r="Q822" i="40"/>
  <c r="L822" i="40"/>
  <c r="K822" i="40"/>
  <c r="J822" i="40"/>
  <c r="G822" i="40"/>
  <c r="V821" i="40"/>
  <c r="U821" i="40"/>
  <c r="Q821" i="40"/>
  <c r="K821" i="40"/>
  <c r="J821" i="40"/>
  <c r="G821" i="40"/>
  <c r="L821" i="40" s="1"/>
  <c r="V820" i="40"/>
  <c r="U820" i="40"/>
  <c r="Q820" i="40"/>
  <c r="K820" i="40"/>
  <c r="J820" i="40"/>
  <c r="G820" i="40"/>
  <c r="L820" i="40" s="1"/>
  <c r="V819" i="40"/>
  <c r="U819" i="40"/>
  <c r="Q819" i="40"/>
  <c r="K819" i="40"/>
  <c r="J819" i="40"/>
  <c r="G819" i="40"/>
  <c r="L819" i="40" s="1"/>
  <c r="V818" i="40"/>
  <c r="U818" i="40"/>
  <c r="Q818" i="40"/>
  <c r="K818" i="40"/>
  <c r="J818" i="40"/>
  <c r="G818" i="40"/>
  <c r="L818" i="40" s="1"/>
  <c r="V817" i="40"/>
  <c r="U817" i="40"/>
  <c r="Q817" i="40"/>
  <c r="L817" i="40"/>
  <c r="K817" i="40"/>
  <c r="J817" i="40"/>
  <c r="G817" i="40"/>
  <c r="V816" i="40"/>
  <c r="U816" i="40"/>
  <c r="Q816" i="40"/>
  <c r="K816" i="40"/>
  <c r="J816" i="40"/>
  <c r="G816" i="40"/>
  <c r="L816" i="40" s="1"/>
  <c r="V815" i="40"/>
  <c r="U815" i="40"/>
  <c r="Q815" i="40"/>
  <c r="K815" i="40"/>
  <c r="J815" i="40"/>
  <c r="G815" i="40"/>
  <c r="L815" i="40" s="1"/>
  <c r="V814" i="40"/>
  <c r="U814" i="40"/>
  <c r="Q814" i="40"/>
  <c r="K814" i="40"/>
  <c r="J814" i="40"/>
  <c r="G814" i="40"/>
  <c r="L814" i="40" s="1"/>
  <c r="V813" i="40"/>
  <c r="U813" i="40"/>
  <c r="Q813" i="40"/>
  <c r="K813" i="40"/>
  <c r="J813" i="40"/>
  <c r="G813" i="40"/>
  <c r="L813" i="40" s="1"/>
  <c r="V812" i="40"/>
  <c r="U812" i="40"/>
  <c r="Q812" i="40"/>
  <c r="K812" i="40"/>
  <c r="J812" i="40"/>
  <c r="G812" i="40"/>
  <c r="L812" i="40" s="1"/>
  <c r="V811" i="40"/>
  <c r="U811" i="40"/>
  <c r="Q811" i="40"/>
  <c r="L811" i="40"/>
  <c r="K811" i="40"/>
  <c r="J811" i="40"/>
  <c r="G811" i="40"/>
  <c r="V810" i="40"/>
  <c r="U810" i="40"/>
  <c r="Q810" i="40"/>
  <c r="K810" i="40"/>
  <c r="J810" i="40"/>
  <c r="G810" i="40"/>
  <c r="L810" i="40" s="1"/>
  <c r="V809" i="40"/>
  <c r="U809" i="40"/>
  <c r="Q809" i="40"/>
  <c r="K809" i="40"/>
  <c r="J809" i="40"/>
  <c r="G809" i="40"/>
  <c r="L809" i="40" s="1"/>
  <c r="V808" i="40"/>
  <c r="U808" i="40"/>
  <c r="Q808" i="40"/>
  <c r="K808" i="40"/>
  <c r="J808" i="40"/>
  <c r="G808" i="40"/>
  <c r="L808" i="40" s="1"/>
  <c r="V807" i="40"/>
  <c r="U807" i="40"/>
  <c r="Q807" i="40"/>
  <c r="K807" i="40"/>
  <c r="J807" i="40"/>
  <c r="G807" i="40"/>
  <c r="L807" i="40" s="1"/>
  <c r="V806" i="40"/>
  <c r="U806" i="40"/>
  <c r="Q806" i="40"/>
  <c r="L806" i="40"/>
  <c r="K806" i="40"/>
  <c r="J806" i="40"/>
  <c r="G806" i="40"/>
  <c r="V805" i="40"/>
  <c r="U805" i="40"/>
  <c r="Q805" i="40"/>
  <c r="K805" i="40"/>
  <c r="J805" i="40"/>
  <c r="G805" i="40"/>
  <c r="L805" i="40" s="1"/>
  <c r="V804" i="40"/>
  <c r="U804" i="40"/>
  <c r="Q804" i="40"/>
  <c r="K804" i="40"/>
  <c r="J804" i="40"/>
  <c r="G804" i="40"/>
  <c r="L804" i="40" s="1"/>
  <c r="V803" i="40"/>
  <c r="U803" i="40"/>
  <c r="Q803" i="40"/>
  <c r="K803" i="40"/>
  <c r="J803" i="40"/>
  <c r="G803" i="40"/>
  <c r="L803" i="40" s="1"/>
  <c r="V802" i="40"/>
  <c r="Q802" i="40"/>
  <c r="U802" i="40" s="1"/>
  <c r="K802" i="40"/>
  <c r="J802" i="40"/>
  <c r="G802" i="40"/>
  <c r="L802" i="40" s="1"/>
  <c r="V801" i="40"/>
  <c r="U801" i="40"/>
  <c r="Q801" i="40"/>
  <c r="K801" i="40"/>
  <c r="J801" i="40"/>
  <c r="G801" i="40"/>
  <c r="L801" i="40" s="1"/>
  <c r="V800" i="40"/>
  <c r="U800" i="40"/>
  <c r="Q800" i="40"/>
  <c r="K800" i="40"/>
  <c r="J800" i="40"/>
  <c r="G800" i="40"/>
  <c r="L800" i="40" s="1"/>
  <c r="V799" i="40"/>
  <c r="U799" i="40"/>
  <c r="Q799" i="40"/>
  <c r="K799" i="40"/>
  <c r="J799" i="40"/>
  <c r="G799" i="40"/>
  <c r="L799" i="40" s="1"/>
  <c r="V798" i="40"/>
  <c r="U798" i="40"/>
  <c r="Q798" i="40"/>
  <c r="K798" i="40"/>
  <c r="J798" i="40"/>
  <c r="G798" i="40"/>
  <c r="L798" i="40" s="1"/>
  <c r="V797" i="40"/>
  <c r="U797" i="40"/>
  <c r="Q797" i="40"/>
  <c r="K797" i="40"/>
  <c r="J797" i="40"/>
  <c r="G797" i="40"/>
  <c r="L797" i="40" s="1"/>
  <c r="V796" i="40"/>
  <c r="U796" i="40"/>
  <c r="Q796" i="40"/>
  <c r="K796" i="40"/>
  <c r="J796" i="40"/>
  <c r="G796" i="40"/>
  <c r="L796" i="40" s="1"/>
  <c r="V795" i="40"/>
  <c r="U795" i="40"/>
  <c r="Q795" i="40"/>
  <c r="L795" i="40"/>
  <c r="K795" i="40"/>
  <c r="J795" i="40"/>
  <c r="G795" i="40"/>
  <c r="V794" i="40"/>
  <c r="U794" i="40"/>
  <c r="Q794" i="40"/>
  <c r="K794" i="40"/>
  <c r="J794" i="40"/>
  <c r="G794" i="40"/>
  <c r="L794" i="40" s="1"/>
  <c r="V793" i="40"/>
  <c r="U793" i="40"/>
  <c r="Q793" i="40"/>
  <c r="L793" i="40"/>
  <c r="K793" i="40"/>
  <c r="J793" i="40"/>
  <c r="G793" i="40"/>
  <c r="V792" i="40"/>
  <c r="U792" i="40"/>
  <c r="Q792" i="40"/>
  <c r="K792" i="40"/>
  <c r="J792" i="40"/>
  <c r="G792" i="40"/>
  <c r="L792" i="40" s="1"/>
  <c r="V791" i="40"/>
  <c r="U791" i="40"/>
  <c r="Q791" i="40"/>
  <c r="K791" i="40"/>
  <c r="J791" i="40"/>
  <c r="G791" i="40"/>
  <c r="L791" i="40" s="1"/>
  <c r="V790" i="40"/>
  <c r="U790" i="40"/>
  <c r="Q790" i="40"/>
  <c r="K790" i="40"/>
  <c r="J790" i="40"/>
  <c r="G790" i="40"/>
  <c r="L790" i="40" s="1"/>
  <c r="V789" i="40"/>
  <c r="U789" i="40"/>
  <c r="Q789" i="40"/>
  <c r="K789" i="40"/>
  <c r="J789" i="40"/>
  <c r="G789" i="40"/>
  <c r="L789" i="40" s="1"/>
  <c r="V788" i="40"/>
  <c r="U788" i="40"/>
  <c r="Q788" i="40"/>
  <c r="K788" i="40"/>
  <c r="J788" i="40"/>
  <c r="G788" i="40"/>
  <c r="L788" i="40" s="1"/>
  <c r="V787" i="40"/>
  <c r="U787" i="40"/>
  <c r="Q787" i="40"/>
  <c r="K787" i="40"/>
  <c r="J787" i="40"/>
  <c r="G787" i="40"/>
  <c r="L787" i="40" s="1"/>
  <c r="V786" i="40"/>
  <c r="U786" i="40"/>
  <c r="Q786" i="40"/>
  <c r="K786" i="40"/>
  <c r="J786" i="40"/>
  <c r="G786" i="40"/>
  <c r="L786" i="40" s="1"/>
  <c r="V785" i="40"/>
  <c r="Q785" i="40"/>
  <c r="U785" i="40" s="1"/>
  <c r="K785" i="40"/>
  <c r="J785" i="40"/>
  <c r="G785" i="40"/>
  <c r="L785" i="40" s="1"/>
  <c r="V784" i="40"/>
  <c r="U784" i="40"/>
  <c r="Q784" i="40"/>
  <c r="K784" i="40"/>
  <c r="J784" i="40"/>
  <c r="G784" i="40"/>
  <c r="L784" i="40" s="1"/>
  <c r="V783" i="40"/>
  <c r="U783" i="40"/>
  <c r="Q783" i="40"/>
  <c r="K783" i="40"/>
  <c r="J783" i="40"/>
  <c r="G783" i="40"/>
  <c r="L783" i="40" s="1"/>
  <c r="V782" i="40"/>
  <c r="Q782" i="40"/>
  <c r="U782" i="40" s="1"/>
  <c r="K782" i="40"/>
  <c r="J782" i="40"/>
  <c r="G782" i="40"/>
  <c r="L782" i="40" s="1"/>
  <c r="V781" i="40"/>
  <c r="U781" i="40"/>
  <c r="Q781" i="40"/>
  <c r="K781" i="40"/>
  <c r="J781" i="40"/>
  <c r="G781" i="40"/>
  <c r="L781" i="40" s="1"/>
  <c r="V780" i="40"/>
  <c r="U780" i="40"/>
  <c r="Q780" i="40"/>
  <c r="K780" i="40"/>
  <c r="J780" i="40"/>
  <c r="G780" i="40"/>
  <c r="L780" i="40" s="1"/>
  <c r="V779" i="40"/>
  <c r="U779" i="40"/>
  <c r="Q779" i="40"/>
  <c r="K779" i="40"/>
  <c r="J779" i="40"/>
  <c r="G779" i="40"/>
  <c r="L779" i="40" s="1"/>
  <c r="V778" i="40"/>
  <c r="Q778" i="40"/>
  <c r="U778" i="40" s="1"/>
  <c r="K778" i="40"/>
  <c r="J778" i="40"/>
  <c r="G778" i="40"/>
  <c r="L778" i="40" s="1"/>
  <c r="V777" i="40"/>
  <c r="U777" i="40"/>
  <c r="Q777" i="40"/>
  <c r="K777" i="40"/>
  <c r="J777" i="40"/>
  <c r="G777" i="40"/>
  <c r="L777" i="40" s="1"/>
  <c r="V776" i="40"/>
  <c r="U776" i="40"/>
  <c r="Q776" i="40"/>
  <c r="K776" i="40"/>
  <c r="J776" i="40"/>
  <c r="G776" i="40"/>
  <c r="L776" i="40" s="1"/>
  <c r="V775" i="40"/>
  <c r="U775" i="40"/>
  <c r="Q775" i="40"/>
  <c r="K775" i="40"/>
  <c r="J775" i="40"/>
  <c r="G775" i="40"/>
  <c r="L775" i="40" s="1"/>
  <c r="V774" i="40"/>
  <c r="U774" i="40"/>
  <c r="Q774" i="40"/>
  <c r="K774" i="40"/>
  <c r="J774" i="40"/>
  <c r="G774" i="40"/>
  <c r="L774" i="40" s="1"/>
  <c r="V773" i="40"/>
  <c r="U773" i="40"/>
  <c r="Q773" i="40"/>
  <c r="K773" i="40"/>
  <c r="J773" i="40"/>
  <c r="G773" i="40"/>
  <c r="L773" i="40" s="1"/>
  <c r="V772" i="40"/>
  <c r="U772" i="40"/>
  <c r="Q772" i="40"/>
  <c r="K772" i="40"/>
  <c r="J772" i="40"/>
  <c r="G772" i="40"/>
  <c r="L772" i="40" s="1"/>
  <c r="V771" i="40"/>
  <c r="Q771" i="40"/>
  <c r="U771" i="40" s="1"/>
  <c r="K771" i="40"/>
  <c r="J771" i="40"/>
  <c r="G771" i="40"/>
  <c r="L771" i="40" s="1"/>
  <c r="V770" i="40"/>
  <c r="Q770" i="40"/>
  <c r="U770" i="40" s="1"/>
  <c r="K770" i="40"/>
  <c r="J770" i="40"/>
  <c r="G770" i="40"/>
  <c r="L770" i="40" s="1"/>
  <c r="V769" i="40"/>
  <c r="U769" i="40"/>
  <c r="Q769" i="40"/>
  <c r="L769" i="40"/>
  <c r="K769" i="40"/>
  <c r="J769" i="40"/>
  <c r="G769" i="40"/>
  <c r="V768" i="40"/>
  <c r="U768" i="40"/>
  <c r="Q768" i="40"/>
  <c r="K768" i="40"/>
  <c r="J768" i="40"/>
  <c r="G768" i="40"/>
  <c r="L768" i="40" s="1"/>
  <c r="V767" i="40"/>
  <c r="U767" i="40"/>
  <c r="Q767" i="40"/>
  <c r="K767" i="40"/>
  <c r="J767" i="40"/>
  <c r="G767" i="40"/>
  <c r="L767" i="40" s="1"/>
  <c r="V766" i="40"/>
  <c r="U766" i="40"/>
  <c r="Q766" i="40"/>
  <c r="K766" i="40"/>
  <c r="J766" i="40"/>
  <c r="G766" i="40"/>
  <c r="L766" i="40" s="1"/>
  <c r="V765" i="40"/>
  <c r="U765" i="40"/>
  <c r="Q765" i="40"/>
  <c r="K765" i="40"/>
  <c r="J765" i="40"/>
  <c r="G765" i="40"/>
  <c r="L765" i="40" s="1"/>
  <c r="V764" i="40"/>
  <c r="U764" i="40"/>
  <c r="Q764" i="40"/>
  <c r="K764" i="40"/>
  <c r="J764" i="40"/>
  <c r="G764" i="40"/>
  <c r="L764" i="40" s="1"/>
  <c r="V763" i="40"/>
  <c r="Q763" i="40"/>
  <c r="U763" i="40" s="1"/>
  <c r="L763" i="40"/>
  <c r="K763" i="40"/>
  <c r="J763" i="40"/>
  <c r="G763" i="40"/>
  <c r="V762" i="40"/>
  <c r="U762" i="40"/>
  <c r="Q762" i="40"/>
  <c r="L762" i="40"/>
  <c r="K762" i="40"/>
  <c r="J762" i="40"/>
  <c r="G762" i="40"/>
  <c r="V761" i="40"/>
  <c r="U761" i="40"/>
  <c r="Q761" i="40"/>
  <c r="K761" i="40"/>
  <c r="J761" i="40"/>
  <c r="G761" i="40"/>
  <c r="L761" i="40" s="1"/>
  <c r="V760" i="40"/>
  <c r="U760" i="40"/>
  <c r="Q760" i="40"/>
  <c r="K760" i="40"/>
  <c r="J760" i="40"/>
  <c r="G760" i="40"/>
  <c r="L760" i="40" s="1"/>
  <c r="V759" i="40"/>
  <c r="U759" i="40"/>
  <c r="Q759" i="40"/>
  <c r="K759" i="40"/>
  <c r="J759" i="40"/>
  <c r="G759" i="40"/>
  <c r="L759" i="40" s="1"/>
  <c r="V758" i="40"/>
  <c r="U758" i="40"/>
  <c r="Q758" i="40"/>
  <c r="L758" i="40"/>
  <c r="K758" i="40"/>
  <c r="J758" i="40"/>
  <c r="G758" i="40"/>
  <c r="V757" i="40"/>
  <c r="U757" i="40"/>
  <c r="Q757" i="40"/>
  <c r="K757" i="40"/>
  <c r="J757" i="40"/>
  <c r="G757" i="40"/>
  <c r="L757" i="40" s="1"/>
  <c r="V756" i="40"/>
  <c r="U756" i="40"/>
  <c r="Q756" i="40"/>
  <c r="K756" i="40"/>
  <c r="J756" i="40"/>
  <c r="G756" i="40"/>
  <c r="L756" i="40" s="1"/>
  <c r="V755" i="40"/>
  <c r="U755" i="40"/>
  <c r="Q755" i="40"/>
  <c r="K755" i="40"/>
  <c r="J755" i="40"/>
  <c r="G755" i="40"/>
  <c r="L755" i="40" s="1"/>
  <c r="V754" i="40"/>
  <c r="Q754" i="40"/>
  <c r="U754" i="40" s="1"/>
  <c r="L754" i="40"/>
  <c r="K754" i="40"/>
  <c r="J754" i="40"/>
  <c r="G754" i="40"/>
  <c r="V753" i="40"/>
  <c r="U753" i="40"/>
  <c r="Q753" i="40"/>
  <c r="L753" i="40"/>
  <c r="K753" i="40"/>
  <c r="J753" i="40"/>
  <c r="G753" i="40"/>
  <c r="V752" i="40"/>
  <c r="U752" i="40"/>
  <c r="Q752" i="40"/>
  <c r="K752" i="40"/>
  <c r="J752" i="40"/>
  <c r="G752" i="40"/>
  <c r="L752" i="40" s="1"/>
  <c r="V751" i="40"/>
  <c r="U751" i="40"/>
  <c r="Q751" i="40"/>
  <c r="K751" i="40"/>
  <c r="J751" i="40"/>
  <c r="G751" i="40"/>
  <c r="L751" i="40" s="1"/>
  <c r="V750" i="40"/>
  <c r="U750" i="40"/>
  <c r="Q750" i="40"/>
  <c r="K750" i="40"/>
  <c r="J750" i="40"/>
  <c r="G750" i="40"/>
  <c r="L750" i="40" s="1"/>
  <c r="V749" i="40"/>
  <c r="U749" i="40"/>
  <c r="Q749" i="40"/>
  <c r="K749" i="40"/>
  <c r="J749" i="40"/>
  <c r="G749" i="40"/>
  <c r="L749" i="40" s="1"/>
  <c r="V748" i="40"/>
  <c r="U748" i="40"/>
  <c r="Q748" i="40"/>
  <c r="K748" i="40"/>
  <c r="J748" i="40"/>
  <c r="G748" i="40"/>
  <c r="L748" i="40" s="1"/>
  <c r="V747" i="40"/>
  <c r="U747" i="40"/>
  <c r="Q747" i="40"/>
  <c r="K747" i="40"/>
  <c r="J747" i="40"/>
  <c r="G747" i="40"/>
  <c r="L747" i="40" s="1"/>
  <c r="V746" i="40"/>
  <c r="Q746" i="40"/>
  <c r="U746" i="40" s="1"/>
  <c r="K746" i="40"/>
  <c r="J746" i="40"/>
  <c r="G746" i="40"/>
  <c r="L746" i="40" s="1"/>
  <c r="V745" i="40"/>
  <c r="Q745" i="40"/>
  <c r="U745" i="40" s="1"/>
  <c r="K745" i="40"/>
  <c r="J745" i="40"/>
  <c r="G745" i="40"/>
  <c r="L745" i="40" s="1"/>
  <c r="V744" i="40"/>
  <c r="U744" i="40"/>
  <c r="Q744" i="40"/>
  <c r="K744" i="40"/>
  <c r="J744" i="40"/>
  <c r="G744" i="40"/>
  <c r="L744" i="40" s="1"/>
  <c r="V743" i="40"/>
  <c r="U743" i="40"/>
  <c r="Q743" i="40"/>
  <c r="K743" i="40"/>
  <c r="J743" i="40"/>
  <c r="G743" i="40"/>
  <c r="L743" i="40" s="1"/>
  <c r="V742" i="40"/>
  <c r="U742" i="40"/>
  <c r="Q742" i="40"/>
  <c r="L742" i="40"/>
  <c r="K742" i="40"/>
  <c r="J742" i="40"/>
  <c r="G742" i="40"/>
  <c r="V741" i="40"/>
  <c r="Q741" i="40"/>
  <c r="U741" i="40" s="1"/>
  <c r="K741" i="40"/>
  <c r="J741" i="40"/>
  <c r="G741" i="40"/>
  <c r="L741" i="40" s="1"/>
  <c r="V740" i="40"/>
  <c r="U740" i="40"/>
  <c r="Q740" i="40"/>
  <c r="K740" i="40"/>
  <c r="J740" i="40"/>
  <c r="G740" i="40"/>
  <c r="L740" i="40" s="1"/>
  <c r="V739" i="40"/>
  <c r="U739" i="40"/>
  <c r="Q739" i="40"/>
  <c r="K739" i="40"/>
  <c r="J739" i="40"/>
  <c r="G739" i="40"/>
  <c r="L739" i="40" s="1"/>
  <c r="V738" i="40"/>
  <c r="U738" i="40"/>
  <c r="Q738" i="40"/>
  <c r="L738" i="40"/>
  <c r="K738" i="40"/>
  <c r="J738" i="40"/>
  <c r="G738" i="40"/>
  <c r="V737" i="40"/>
  <c r="U737" i="40"/>
  <c r="Q737" i="40"/>
  <c r="K737" i="40"/>
  <c r="J737" i="40"/>
  <c r="G737" i="40"/>
  <c r="L737" i="40" s="1"/>
  <c r="V736" i="40"/>
  <c r="U736" i="40"/>
  <c r="Q736" i="40"/>
  <c r="K736" i="40"/>
  <c r="J736" i="40"/>
  <c r="G736" i="40"/>
  <c r="L736" i="40" s="1"/>
  <c r="V735" i="40"/>
  <c r="U735" i="40"/>
  <c r="Q735" i="40"/>
  <c r="K735" i="40"/>
  <c r="J735" i="40"/>
  <c r="G735" i="40"/>
  <c r="L735" i="40" s="1"/>
  <c r="V734" i="40"/>
  <c r="U734" i="40"/>
  <c r="Q734" i="40"/>
  <c r="K734" i="40"/>
  <c r="J734" i="40"/>
  <c r="G734" i="40"/>
  <c r="L734" i="40" s="1"/>
  <c r="V733" i="40"/>
  <c r="U733" i="40"/>
  <c r="Q733" i="40"/>
  <c r="K733" i="40"/>
  <c r="J733" i="40"/>
  <c r="G733" i="40"/>
  <c r="L733" i="40" s="1"/>
  <c r="V732" i="40"/>
  <c r="U732" i="40"/>
  <c r="Q732" i="40"/>
  <c r="K732" i="40"/>
  <c r="J732" i="40"/>
  <c r="G732" i="40"/>
  <c r="L732" i="40" s="1"/>
  <c r="V731" i="40"/>
  <c r="U731" i="40"/>
  <c r="Q731" i="40"/>
  <c r="L731" i="40"/>
  <c r="K731" i="40"/>
  <c r="J731" i="40"/>
  <c r="G731" i="40"/>
  <c r="V730" i="40"/>
  <c r="U730" i="40"/>
  <c r="Q730" i="40"/>
  <c r="K730" i="40"/>
  <c r="J730" i="40"/>
  <c r="G730" i="40"/>
  <c r="L730" i="40" s="1"/>
  <c r="V729" i="40"/>
  <c r="Q729" i="40"/>
  <c r="U729" i="40" s="1"/>
  <c r="K729" i="40"/>
  <c r="J729" i="40"/>
  <c r="G729" i="40"/>
  <c r="L729" i="40" s="1"/>
  <c r="V728" i="40"/>
  <c r="U728" i="40"/>
  <c r="Q728" i="40"/>
  <c r="K728" i="40"/>
  <c r="J728" i="40"/>
  <c r="G728" i="40"/>
  <c r="L728" i="40" s="1"/>
  <c r="V727" i="40"/>
  <c r="U727" i="40"/>
  <c r="Q727" i="40"/>
  <c r="K727" i="40"/>
  <c r="J727" i="40"/>
  <c r="G727" i="40"/>
  <c r="L727" i="40" s="1"/>
  <c r="V726" i="40"/>
  <c r="U726" i="40"/>
  <c r="Q726" i="40"/>
  <c r="K726" i="40"/>
  <c r="J726" i="40"/>
  <c r="G726" i="40"/>
  <c r="L726" i="40" s="1"/>
  <c r="V725" i="40"/>
  <c r="U725" i="40"/>
  <c r="Q725" i="40"/>
  <c r="K725" i="40"/>
  <c r="J725" i="40"/>
  <c r="G725" i="40"/>
  <c r="L725" i="40" s="1"/>
  <c r="V724" i="40"/>
  <c r="U724" i="40"/>
  <c r="Q724" i="40"/>
  <c r="K724" i="40"/>
  <c r="J724" i="40"/>
  <c r="G724" i="40"/>
  <c r="L724" i="40" s="1"/>
  <c r="V723" i="40"/>
  <c r="U723" i="40"/>
  <c r="Q723" i="40"/>
  <c r="K723" i="40"/>
  <c r="J723" i="40"/>
  <c r="G723" i="40"/>
  <c r="L723" i="40" s="1"/>
  <c r="V722" i="40"/>
  <c r="U722" i="40"/>
  <c r="Q722" i="40"/>
  <c r="K722" i="40"/>
  <c r="J722" i="40"/>
  <c r="G722" i="40"/>
  <c r="L722" i="40" s="1"/>
  <c r="V721" i="40"/>
  <c r="U721" i="40"/>
  <c r="Q721" i="40"/>
  <c r="L721" i="40"/>
  <c r="K721" i="40"/>
  <c r="J721" i="40"/>
  <c r="G721" i="40"/>
  <c r="V720" i="40"/>
  <c r="U720" i="40"/>
  <c r="Q720" i="40"/>
  <c r="K720" i="40"/>
  <c r="J720" i="40"/>
  <c r="G720" i="40"/>
  <c r="L720" i="40" s="1"/>
  <c r="V719" i="40"/>
  <c r="U719" i="40"/>
  <c r="Q719" i="40"/>
  <c r="L719" i="40"/>
  <c r="K719" i="40"/>
  <c r="J719" i="40"/>
  <c r="G719" i="40"/>
  <c r="V718" i="40"/>
  <c r="U718" i="40"/>
  <c r="Q718" i="40"/>
  <c r="K718" i="40"/>
  <c r="J718" i="40"/>
  <c r="G718" i="40"/>
  <c r="L718" i="40" s="1"/>
  <c r="V717" i="40"/>
  <c r="U717" i="40"/>
  <c r="Q717" i="40"/>
  <c r="K717" i="40"/>
  <c r="J717" i="40"/>
  <c r="G717" i="40"/>
  <c r="L717" i="40" s="1"/>
  <c r="V716" i="40"/>
  <c r="U716" i="40"/>
  <c r="Q716" i="40"/>
  <c r="K716" i="40"/>
  <c r="J716" i="40"/>
  <c r="G716" i="40"/>
  <c r="L716" i="40" s="1"/>
  <c r="V715" i="40"/>
  <c r="U715" i="40"/>
  <c r="Q715" i="40"/>
  <c r="K715" i="40"/>
  <c r="J715" i="40"/>
  <c r="G715" i="40"/>
  <c r="L715" i="40" s="1"/>
  <c r="V714" i="40"/>
  <c r="U714" i="40"/>
  <c r="Q714" i="40"/>
  <c r="L714" i="40"/>
  <c r="K714" i="40"/>
  <c r="J714" i="40"/>
  <c r="G714" i="40"/>
  <c r="V713" i="40"/>
  <c r="U713" i="40"/>
  <c r="Q713" i="40"/>
  <c r="K713" i="40"/>
  <c r="J713" i="40"/>
  <c r="G713" i="40"/>
  <c r="L713" i="40" s="1"/>
  <c r="V712" i="40"/>
  <c r="U712" i="40"/>
  <c r="Q712" i="40"/>
  <c r="K712" i="40"/>
  <c r="J712" i="40"/>
  <c r="G712" i="40"/>
  <c r="L712" i="40" s="1"/>
  <c r="V711" i="40"/>
  <c r="U711" i="40"/>
  <c r="Q711" i="40"/>
  <c r="K711" i="40"/>
  <c r="J711" i="40"/>
  <c r="G711" i="40"/>
  <c r="L711" i="40" s="1"/>
  <c r="V710" i="40"/>
  <c r="U710" i="40"/>
  <c r="Q710" i="40"/>
  <c r="K710" i="40"/>
  <c r="J710" i="40"/>
  <c r="G710" i="40"/>
  <c r="L710" i="40" s="1"/>
  <c r="V709" i="40"/>
  <c r="U709" i="40"/>
  <c r="Q709" i="40"/>
  <c r="K709" i="40"/>
  <c r="J709" i="40"/>
  <c r="G709" i="40"/>
  <c r="L709" i="40" s="1"/>
  <c r="V708" i="40"/>
  <c r="U708" i="40"/>
  <c r="Q708" i="40"/>
  <c r="K708" i="40"/>
  <c r="J708" i="40"/>
  <c r="G708" i="40"/>
  <c r="L708" i="40" s="1"/>
  <c r="V707" i="40"/>
  <c r="U707" i="40"/>
  <c r="Q707" i="40"/>
  <c r="K707" i="40"/>
  <c r="J707" i="40"/>
  <c r="G707" i="40"/>
  <c r="L707" i="40" s="1"/>
  <c r="V706" i="40"/>
  <c r="U706" i="40"/>
  <c r="Q706" i="40"/>
  <c r="K706" i="40"/>
  <c r="J706" i="40"/>
  <c r="G706" i="40"/>
  <c r="L706" i="40" s="1"/>
  <c r="V705" i="40"/>
  <c r="U705" i="40"/>
  <c r="Q705" i="40"/>
  <c r="K705" i="40"/>
  <c r="J705" i="40"/>
  <c r="G705" i="40"/>
  <c r="L705" i="40" s="1"/>
  <c r="V704" i="40"/>
  <c r="Q704" i="40"/>
  <c r="U704" i="40" s="1"/>
  <c r="K704" i="40"/>
  <c r="J704" i="40"/>
  <c r="G704" i="40"/>
  <c r="L704" i="40" s="1"/>
  <c r="V703" i="40"/>
  <c r="Q703" i="40"/>
  <c r="U703" i="40" s="1"/>
  <c r="K703" i="40"/>
  <c r="J703" i="40"/>
  <c r="G703" i="40"/>
  <c r="L703" i="40" s="1"/>
  <c r="V702" i="40"/>
  <c r="U702" i="40"/>
  <c r="Q702" i="40"/>
  <c r="K702" i="40"/>
  <c r="J702" i="40"/>
  <c r="G702" i="40"/>
  <c r="L702" i="40" s="1"/>
  <c r="V701" i="40"/>
  <c r="Q701" i="40"/>
  <c r="U701" i="40" s="1"/>
  <c r="K701" i="40"/>
  <c r="J701" i="40"/>
  <c r="G701" i="40"/>
  <c r="L701" i="40" s="1"/>
  <c r="V700" i="40"/>
  <c r="U700" i="40"/>
  <c r="Q700" i="40"/>
  <c r="K700" i="40"/>
  <c r="J700" i="40"/>
  <c r="G700" i="40"/>
  <c r="L700" i="40" s="1"/>
  <c r="V699" i="40"/>
  <c r="U699" i="40"/>
  <c r="Q699" i="40"/>
  <c r="K699" i="40"/>
  <c r="J699" i="40"/>
  <c r="G699" i="40"/>
  <c r="L699" i="40" s="1"/>
  <c r="V698" i="40"/>
  <c r="U698" i="40"/>
  <c r="Q698" i="40"/>
  <c r="L698" i="40"/>
  <c r="K698" i="40"/>
  <c r="J698" i="40"/>
  <c r="G698" i="40"/>
  <c r="V697" i="40"/>
  <c r="U697" i="40"/>
  <c r="Q697" i="40"/>
  <c r="K697" i="40"/>
  <c r="J697" i="40"/>
  <c r="G697" i="40"/>
  <c r="L697" i="40" s="1"/>
  <c r="V696" i="40"/>
  <c r="Q696" i="40"/>
  <c r="U696" i="40" s="1"/>
  <c r="K696" i="40"/>
  <c r="J696" i="40"/>
  <c r="G696" i="40"/>
  <c r="L696" i="40" s="1"/>
  <c r="V695" i="40"/>
  <c r="U695" i="40"/>
  <c r="Q695" i="40"/>
  <c r="K695" i="40"/>
  <c r="J695" i="40"/>
  <c r="G695" i="40"/>
  <c r="L695" i="40" s="1"/>
  <c r="V694" i="40"/>
  <c r="U694" i="40"/>
  <c r="Q694" i="40"/>
  <c r="K694" i="40"/>
  <c r="J694" i="40"/>
  <c r="G694" i="40"/>
  <c r="L694" i="40" s="1"/>
  <c r="V693" i="40"/>
  <c r="U693" i="40"/>
  <c r="Q693" i="40"/>
  <c r="K693" i="40"/>
  <c r="J693" i="40"/>
  <c r="G693" i="40"/>
  <c r="L693" i="40" s="1"/>
  <c r="V692" i="40"/>
  <c r="U692" i="40"/>
  <c r="Q692" i="40"/>
  <c r="K692" i="40"/>
  <c r="J692" i="40"/>
  <c r="G692" i="40"/>
  <c r="L692" i="40" s="1"/>
  <c r="V691" i="40"/>
  <c r="U691" i="40"/>
  <c r="Q691" i="40"/>
  <c r="L691" i="40"/>
  <c r="K691" i="40"/>
  <c r="J691" i="40"/>
  <c r="G691" i="40"/>
  <c r="V690" i="40"/>
  <c r="U690" i="40"/>
  <c r="Q690" i="40"/>
  <c r="L690" i="40"/>
  <c r="K690" i="40"/>
  <c r="J690" i="40"/>
  <c r="G690" i="40"/>
  <c r="V689" i="40"/>
  <c r="U689" i="40"/>
  <c r="Q689" i="40"/>
  <c r="K689" i="40"/>
  <c r="J689" i="40"/>
  <c r="G689" i="40"/>
  <c r="L689" i="40" s="1"/>
  <c r="V688" i="40"/>
  <c r="U688" i="40"/>
  <c r="Q688" i="40"/>
  <c r="K688" i="40"/>
  <c r="J688" i="40"/>
  <c r="G688" i="40"/>
  <c r="L688" i="40" s="1"/>
  <c r="V687" i="40"/>
  <c r="Q687" i="40"/>
  <c r="U687" i="40" s="1"/>
  <c r="K687" i="40"/>
  <c r="J687" i="40"/>
  <c r="G687" i="40"/>
  <c r="L687" i="40" s="1"/>
  <c r="V686" i="40"/>
  <c r="U686" i="40"/>
  <c r="Q686" i="40"/>
  <c r="L686" i="40"/>
  <c r="K686" i="40"/>
  <c r="J686" i="40"/>
  <c r="G686" i="40"/>
  <c r="V685" i="40"/>
  <c r="U685" i="40"/>
  <c r="Q685" i="40"/>
  <c r="K685" i="40"/>
  <c r="J685" i="40"/>
  <c r="G685" i="40"/>
  <c r="L685" i="40" s="1"/>
  <c r="V684" i="40"/>
  <c r="U684" i="40"/>
  <c r="Q684" i="40"/>
  <c r="K684" i="40"/>
  <c r="J684" i="40"/>
  <c r="G684" i="40"/>
  <c r="L684" i="40" s="1"/>
  <c r="V683" i="40"/>
  <c r="U683" i="40"/>
  <c r="Q683" i="40"/>
  <c r="K683" i="40"/>
  <c r="J683" i="40"/>
  <c r="G683" i="40"/>
  <c r="L683" i="40" s="1"/>
  <c r="V682" i="40"/>
  <c r="U682" i="40"/>
  <c r="Q682" i="40"/>
  <c r="K682" i="40"/>
  <c r="J682" i="40"/>
  <c r="G682" i="40"/>
  <c r="L682" i="40" s="1"/>
  <c r="V681" i="40"/>
  <c r="Q681" i="40"/>
  <c r="U681" i="40" s="1"/>
  <c r="L681" i="40"/>
  <c r="K681" i="40"/>
  <c r="J681" i="40"/>
  <c r="G681" i="40"/>
  <c r="V680" i="40"/>
  <c r="Q680" i="40"/>
  <c r="U680" i="40" s="1"/>
  <c r="K680" i="40"/>
  <c r="J680" i="40"/>
  <c r="G680" i="40"/>
  <c r="L680" i="40" s="1"/>
  <c r="V679" i="40"/>
  <c r="U679" i="40"/>
  <c r="Q679" i="40"/>
  <c r="K679" i="40"/>
  <c r="J679" i="40"/>
  <c r="G679" i="40"/>
  <c r="L679" i="40" s="1"/>
  <c r="V678" i="40"/>
  <c r="U678" i="40"/>
  <c r="Q678" i="40"/>
  <c r="K678" i="40"/>
  <c r="J678" i="40"/>
  <c r="G678" i="40"/>
  <c r="L678" i="40" s="1"/>
  <c r="V677" i="40"/>
  <c r="U677" i="40"/>
  <c r="Q677" i="40"/>
  <c r="K677" i="40"/>
  <c r="J677" i="40"/>
  <c r="G677" i="40"/>
  <c r="L677" i="40" s="1"/>
  <c r="V676" i="40"/>
  <c r="U676" i="40"/>
  <c r="Q676" i="40"/>
  <c r="K676" i="40"/>
  <c r="J676" i="40"/>
  <c r="G676" i="40"/>
  <c r="L676" i="40" s="1"/>
  <c r="V675" i="40"/>
  <c r="U675" i="40"/>
  <c r="Q675" i="40"/>
  <c r="K675" i="40"/>
  <c r="J675" i="40"/>
  <c r="G675" i="40"/>
  <c r="L675" i="40" s="1"/>
  <c r="V674" i="40"/>
  <c r="U674" i="40"/>
  <c r="Q674" i="40"/>
  <c r="K674" i="40"/>
  <c r="J674" i="40"/>
  <c r="G674" i="40"/>
  <c r="L674" i="40" s="1"/>
  <c r="V673" i="40"/>
  <c r="U673" i="40"/>
  <c r="Q673" i="40"/>
  <c r="K673" i="40"/>
  <c r="J673" i="40"/>
  <c r="G673" i="40"/>
  <c r="L673" i="40" s="1"/>
  <c r="V672" i="40"/>
  <c r="U672" i="40"/>
  <c r="Q672" i="40"/>
  <c r="K672" i="40"/>
  <c r="J672" i="40"/>
  <c r="G672" i="40"/>
  <c r="L672" i="40" s="1"/>
  <c r="V671" i="40"/>
  <c r="U671" i="40"/>
  <c r="Q671" i="40"/>
  <c r="K671" i="40"/>
  <c r="J671" i="40"/>
  <c r="G671" i="40"/>
  <c r="L671" i="40" s="1"/>
  <c r="V670" i="40"/>
  <c r="Q670" i="40"/>
  <c r="U670" i="40" s="1"/>
  <c r="K670" i="40"/>
  <c r="J670" i="40"/>
  <c r="G670" i="40"/>
  <c r="L670" i="40" s="1"/>
  <c r="V669" i="40"/>
  <c r="U669" i="40"/>
  <c r="Q669" i="40"/>
  <c r="K669" i="40"/>
  <c r="J669" i="40"/>
  <c r="G669" i="40"/>
  <c r="L669" i="40" s="1"/>
  <c r="V668" i="40"/>
  <c r="U668" i="40"/>
  <c r="Q668" i="40"/>
  <c r="K668" i="40"/>
  <c r="J668" i="40"/>
  <c r="G668" i="40"/>
  <c r="L668" i="40" s="1"/>
  <c r="V667" i="40"/>
  <c r="Q667" i="40"/>
  <c r="U667" i="40" s="1"/>
  <c r="K667" i="40"/>
  <c r="J667" i="40"/>
  <c r="G667" i="40"/>
  <c r="L667" i="40" s="1"/>
  <c r="V666" i="40"/>
  <c r="U666" i="40"/>
  <c r="Q666" i="40"/>
  <c r="K666" i="40"/>
  <c r="J666" i="40"/>
  <c r="G666" i="40"/>
  <c r="L666" i="40" s="1"/>
  <c r="V665" i="40"/>
  <c r="U665" i="40"/>
  <c r="Q665" i="40"/>
  <c r="K665" i="40"/>
  <c r="J665" i="40"/>
  <c r="G665" i="40"/>
  <c r="L665" i="40" s="1"/>
  <c r="V664" i="40"/>
  <c r="U664" i="40"/>
  <c r="Q664" i="40"/>
  <c r="K664" i="40"/>
  <c r="J664" i="40"/>
  <c r="G664" i="40"/>
  <c r="L664" i="40" s="1"/>
  <c r="V663" i="40"/>
  <c r="U663" i="40"/>
  <c r="Q663" i="40"/>
  <c r="K663" i="40"/>
  <c r="J663" i="40"/>
  <c r="G663" i="40"/>
  <c r="L663" i="40" s="1"/>
  <c r="V662" i="40"/>
  <c r="U662" i="40"/>
  <c r="Q662" i="40"/>
  <c r="L662" i="40"/>
  <c r="K662" i="40"/>
  <c r="J662" i="40"/>
  <c r="G662" i="40"/>
  <c r="V661" i="40"/>
  <c r="U661" i="40"/>
  <c r="Q661" i="40"/>
  <c r="K661" i="40"/>
  <c r="J661" i="40"/>
  <c r="G661" i="40"/>
  <c r="L661" i="40" s="1"/>
  <c r="V660" i="40"/>
  <c r="U660" i="40"/>
  <c r="Q660" i="40"/>
  <c r="K660" i="40"/>
  <c r="J660" i="40"/>
  <c r="G660" i="40"/>
  <c r="L660" i="40" s="1"/>
  <c r="V659" i="40"/>
  <c r="U659" i="40"/>
  <c r="Q659" i="40"/>
  <c r="K659" i="40"/>
  <c r="J659" i="40"/>
  <c r="G659" i="40"/>
  <c r="L659" i="40" s="1"/>
  <c r="V658" i="40"/>
  <c r="U658" i="40"/>
  <c r="Q658" i="40"/>
  <c r="K658" i="40"/>
  <c r="J658" i="40"/>
  <c r="G658" i="40"/>
  <c r="L658" i="40" s="1"/>
  <c r="V657" i="40"/>
  <c r="U657" i="40"/>
  <c r="Q657" i="40"/>
  <c r="K657" i="40"/>
  <c r="J657" i="40"/>
  <c r="G657" i="40"/>
  <c r="L657" i="40" s="1"/>
  <c r="V656" i="40"/>
  <c r="U656" i="40"/>
  <c r="Q656" i="40"/>
  <c r="K656" i="40"/>
  <c r="J656" i="40"/>
  <c r="G656" i="40"/>
  <c r="L656" i="40" s="1"/>
  <c r="V655" i="40"/>
  <c r="U655" i="40"/>
  <c r="Q655" i="40"/>
  <c r="K655" i="40"/>
  <c r="J655" i="40"/>
  <c r="G655" i="40"/>
  <c r="L655" i="40" s="1"/>
  <c r="V654" i="40"/>
  <c r="U654" i="40"/>
  <c r="Q654" i="40"/>
  <c r="K654" i="40"/>
  <c r="J654" i="40"/>
  <c r="G654" i="40"/>
  <c r="L654" i="40" s="1"/>
  <c r="V653" i="40"/>
  <c r="U653" i="40"/>
  <c r="Q653" i="40"/>
  <c r="K653" i="40"/>
  <c r="J653" i="40"/>
  <c r="G653" i="40"/>
  <c r="L653" i="40" s="1"/>
  <c r="V652" i="40"/>
  <c r="U652" i="40"/>
  <c r="Q652" i="40"/>
  <c r="K652" i="40"/>
  <c r="J652" i="40"/>
  <c r="G652" i="40"/>
  <c r="L652" i="40" s="1"/>
  <c r="V651" i="40"/>
  <c r="U651" i="40"/>
  <c r="Q651" i="40"/>
  <c r="L651" i="40"/>
  <c r="K651" i="40"/>
  <c r="J651" i="40"/>
  <c r="G651" i="40"/>
  <c r="V650" i="40"/>
  <c r="U650" i="40"/>
  <c r="Q650" i="40"/>
  <c r="K650" i="40"/>
  <c r="J650" i="40"/>
  <c r="G650" i="40"/>
  <c r="L650" i="40" s="1"/>
  <c r="V649" i="40"/>
  <c r="Q649" i="40"/>
  <c r="U649" i="40" s="1"/>
  <c r="L649" i="40"/>
  <c r="K649" i="40"/>
  <c r="J649" i="40"/>
  <c r="G649" i="40"/>
  <c r="V648" i="40"/>
  <c r="U648" i="40"/>
  <c r="Q648" i="40"/>
  <c r="K648" i="40"/>
  <c r="J648" i="40"/>
  <c r="G648" i="40"/>
  <c r="L648" i="40" s="1"/>
  <c r="V647" i="40"/>
  <c r="U647" i="40"/>
  <c r="Q647" i="40"/>
  <c r="K647" i="40"/>
  <c r="J647" i="40"/>
  <c r="G647" i="40"/>
  <c r="L647" i="40" s="1"/>
  <c r="V646" i="40"/>
  <c r="U646" i="40"/>
  <c r="Q646" i="40"/>
  <c r="K646" i="40"/>
  <c r="J646" i="40"/>
  <c r="G646" i="40"/>
  <c r="L646" i="40" s="1"/>
  <c r="V645" i="40"/>
  <c r="U645" i="40"/>
  <c r="Q645" i="40"/>
  <c r="K645" i="40"/>
  <c r="J645" i="40"/>
  <c r="G645" i="40"/>
  <c r="L645" i="40" s="1"/>
  <c r="V644" i="40"/>
  <c r="U644" i="40"/>
  <c r="Q644" i="40"/>
  <c r="K644" i="40"/>
  <c r="J644" i="40"/>
  <c r="G644" i="40"/>
  <c r="L644" i="40" s="1"/>
  <c r="V643" i="40"/>
  <c r="Q643" i="40"/>
  <c r="U643" i="40" s="1"/>
  <c r="K643" i="40"/>
  <c r="J643" i="40"/>
  <c r="G643" i="40"/>
  <c r="L643" i="40" s="1"/>
  <c r="V642" i="40"/>
  <c r="U642" i="40"/>
  <c r="Q642" i="40"/>
  <c r="K642" i="40"/>
  <c r="J642" i="40"/>
  <c r="G642" i="40"/>
  <c r="L642" i="40" s="1"/>
  <c r="V641" i="40"/>
  <c r="U641" i="40"/>
  <c r="Q641" i="40"/>
  <c r="K641" i="40"/>
  <c r="J641" i="40"/>
  <c r="G641" i="40"/>
  <c r="L641" i="40" s="1"/>
  <c r="V640" i="40"/>
  <c r="U640" i="40"/>
  <c r="Q640" i="40"/>
  <c r="K640" i="40"/>
  <c r="J640" i="40"/>
  <c r="G640" i="40"/>
  <c r="L640" i="40" s="1"/>
  <c r="V639" i="40"/>
  <c r="Q639" i="40"/>
  <c r="U639" i="40" s="1"/>
  <c r="K639" i="40"/>
  <c r="J639" i="40"/>
  <c r="G639" i="40"/>
  <c r="L639" i="40" s="1"/>
  <c r="V638" i="40"/>
  <c r="U638" i="40"/>
  <c r="Q638" i="40"/>
  <c r="K638" i="40"/>
  <c r="J638" i="40"/>
  <c r="G638" i="40"/>
  <c r="L638" i="40" s="1"/>
  <c r="V637" i="40"/>
  <c r="U637" i="40"/>
  <c r="Q637" i="40"/>
  <c r="K637" i="40"/>
  <c r="J637" i="40"/>
  <c r="G637" i="40"/>
  <c r="L637" i="40" s="1"/>
  <c r="V636" i="40"/>
  <c r="U636" i="40"/>
  <c r="Q636" i="40"/>
  <c r="K636" i="40"/>
  <c r="J636" i="40"/>
  <c r="G636" i="40"/>
  <c r="L636" i="40" s="1"/>
  <c r="V635" i="40"/>
  <c r="U635" i="40"/>
  <c r="Q635" i="40"/>
  <c r="K635" i="40"/>
  <c r="J635" i="40"/>
  <c r="G635" i="40"/>
  <c r="L635" i="40" s="1"/>
  <c r="V634" i="40"/>
  <c r="U634" i="40"/>
  <c r="Q634" i="40"/>
  <c r="K634" i="40"/>
  <c r="J634" i="40"/>
  <c r="G634" i="40"/>
  <c r="L634" i="40" s="1"/>
  <c r="V633" i="40"/>
  <c r="U633" i="40"/>
  <c r="Q633" i="40"/>
  <c r="K633" i="40"/>
  <c r="J633" i="40"/>
  <c r="G633" i="40"/>
  <c r="L633" i="40" s="1"/>
  <c r="V632" i="40"/>
  <c r="U632" i="40"/>
  <c r="Q632" i="40"/>
  <c r="K632" i="40"/>
  <c r="J632" i="40"/>
  <c r="G632" i="40"/>
  <c r="L632" i="40" s="1"/>
  <c r="V631" i="40"/>
  <c r="U631" i="40"/>
  <c r="Q631" i="40"/>
  <c r="K631" i="40"/>
  <c r="J631" i="40"/>
  <c r="G631" i="40"/>
  <c r="L631" i="40" s="1"/>
  <c r="V630" i="40"/>
  <c r="U630" i="40"/>
  <c r="Q630" i="40"/>
  <c r="L630" i="40"/>
  <c r="K630" i="40"/>
  <c r="J630" i="40"/>
  <c r="G630" i="40"/>
  <c r="V629" i="40"/>
  <c r="U629" i="40"/>
  <c r="Q629" i="40"/>
  <c r="K629" i="40"/>
  <c r="J629" i="40"/>
  <c r="G629" i="40"/>
  <c r="L629" i="40" s="1"/>
  <c r="V628" i="40"/>
  <c r="U628" i="40"/>
  <c r="Q628" i="40"/>
  <c r="K628" i="40"/>
  <c r="J628" i="40"/>
  <c r="G628" i="40"/>
  <c r="L628" i="40" s="1"/>
  <c r="V627" i="40"/>
  <c r="U627" i="40"/>
  <c r="Q627" i="40"/>
  <c r="L627" i="40"/>
  <c r="K627" i="40"/>
  <c r="J627" i="40"/>
  <c r="G627" i="40"/>
  <c r="V626" i="40"/>
  <c r="U626" i="40"/>
  <c r="Q626" i="40"/>
  <c r="K626" i="40"/>
  <c r="J626" i="40"/>
  <c r="G626" i="40"/>
  <c r="L626" i="40" s="1"/>
  <c r="V625" i="40"/>
  <c r="Q625" i="40"/>
  <c r="U625" i="40" s="1"/>
  <c r="L625" i="40"/>
  <c r="K625" i="40"/>
  <c r="J625" i="40"/>
  <c r="G625" i="40"/>
  <c r="V624" i="40"/>
  <c r="U624" i="40"/>
  <c r="Q624" i="40"/>
  <c r="K624" i="40"/>
  <c r="J624" i="40"/>
  <c r="G624" i="40"/>
  <c r="L624" i="40" s="1"/>
  <c r="V623" i="40"/>
  <c r="Q623" i="40"/>
  <c r="U623" i="40" s="1"/>
  <c r="K623" i="40"/>
  <c r="J623" i="40"/>
  <c r="G623" i="40"/>
  <c r="L623" i="40" s="1"/>
  <c r="V622" i="40"/>
  <c r="U622" i="40"/>
  <c r="Q622" i="40"/>
  <c r="K622" i="40"/>
  <c r="J622" i="40"/>
  <c r="G622" i="40"/>
  <c r="L622" i="40" s="1"/>
  <c r="V621" i="40"/>
  <c r="U621" i="40"/>
  <c r="Q621" i="40"/>
  <c r="K621" i="40"/>
  <c r="J621" i="40"/>
  <c r="G621" i="40"/>
  <c r="L621" i="40" s="1"/>
  <c r="V620" i="40"/>
  <c r="Q620" i="40"/>
  <c r="U620" i="40" s="1"/>
  <c r="K620" i="40"/>
  <c r="J620" i="40"/>
  <c r="G620" i="40"/>
  <c r="L620" i="40" s="1"/>
  <c r="V619" i="40"/>
  <c r="U619" i="40"/>
  <c r="Q619" i="40"/>
  <c r="K619" i="40"/>
  <c r="J619" i="40"/>
  <c r="G619" i="40"/>
  <c r="L619" i="40" s="1"/>
  <c r="V618" i="40"/>
  <c r="U618" i="40"/>
  <c r="Q618" i="40"/>
  <c r="K618" i="40"/>
  <c r="J618" i="40"/>
  <c r="G618" i="40"/>
  <c r="L618" i="40" s="1"/>
  <c r="V617" i="40"/>
  <c r="U617" i="40"/>
  <c r="Q617" i="40"/>
  <c r="L617" i="40"/>
  <c r="K617" i="40"/>
  <c r="J617" i="40"/>
  <c r="G617" i="40"/>
  <c r="V616" i="40"/>
  <c r="U616" i="40"/>
  <c r="Q616" i="40"/>
  <c r="K616" i="40"/>
  <c r="J616" i="40"/>
  <c r="G616" i="40"/>
  <c r="L616" i="40" s="1"/>
  <c r="V615" i="40"/>
  <c r="U615" i="40"/>
  <c r="Q615" i="40"/>
  <c r="K615" i="40"/>
  <c r="J615" i="40"/>
  <c r="G615" i="40"/>
  <c r="L615" i="40" s="1"/>
  <c r="V614" i="40"/>
  <c r="U614" i="40"/>
  <c r="Q614" i="40"/>
  <c r="K614" i="40"/>
  <c r="J614" i="40"/>
  <c r="G614" i="40"/>
  <c r="L614" i="40" s="1"/>
  <c r="V613" i="40"/>
  <c r="U613" i="40"/>
  <c r="Q613" i="40"/>
  <c r="K613" i="40"/>
  <c r="J613" i="40"/>
  <c r="G613" i="40"/>
  <c r="L613" i="40" s="1"/>
  <c r="V612" i="40"/>
  <c r="U612" i="40"/>
  <c r="Q612" i="40"/>
  <c r="K612" i="40"/>
  <c r="J612" i="40"/>
  <c r="G612" i="40"/>
  <c r="L612" i="40" s="1"/>
  <c r="V611" i="40"/>
  <c r="Q611" i="40"/>
  <c r="U611" i="40" s="1"/>
  <c r="K611" i="40"/>
  <c r="J611" i="40"/>
  <c r="G611" i="40"/>
  <c r="L611" i="40" s="1"/>
  <c r="V610" i="40"/>
  <c r="U610" i="40"/>
  <c r="Q610" i="40"/>
  <c r="K610" i="40"/>
  <c r="J610" i="40"/>
  <c r="G610" i="40"/>
  <c r="L610" i="40" s="1"/>
  <c r="V609" i="40"/>
  <c r="U609" i="40"/>
  <c r="Q609" i="40"/>
  <c r="K609" i="40"/>
  <c r="J609" i="40"/>
  <c r="G609" i="40"/>
  <c r="L609" i="40" s="1"/>
  <c r="V608" i="40"/>
  <c r="U608" i="40"/>
  <c r="Q608" i="40"/>
  <c r="K608" i="40"/>
  <c r="J608" i="40"/>
  <c r="G608" i="40"/>
  <c r="L608" i="40" s="1"/>
  <c r="V607" i="40"/>
  <c r="U607" i="40"/>
  <c r="Q607" i="40"/>
  <c r="K607" i="40"/>
  <c r="J607" i="40"/>
  <c r="G607" i="40"/>
  <c r="L607" i="40" s="1"/>
  <c r="V606" i="40"/>
  <c r="U606" i="40"/>
  <c r="Q606" i="40"/>
  <c r="K606" i="40"/>
  <c r="J606" i="40"/>
  <c r="G606" i="40"/>
  <c r="L606" i="40" s="1"/>
  <c r="V605" i="40"/>
  <c r="U605" i="40"/>
  <c r="Q605" i="40"/>
  <c r="K605" i="40"/>
  <c r="J605" i="40"/>
  <c r="G605" i="40"/>
  <c r="L605" i="40" s="1"/>
  <c r="V604" i="40"/>
  <c r="U604" i="40"/>
  <c r="Q604" i="40"/>
  <c r="K604" i="40"/>
  <c r="J604" i="40"/>
  <c r="G604" i="40"/>
  <c r="L604" i="40" s="1"/>
  <c r="V603" i="40"/>
  <c r="U603" i="40"/>
  <c r="Q603" i="40"/>
  <c r="K603" i="40"/>
  <c r="J603" i="40"/>
  <c r="G603" i="40"/>
  <c r="L603" i="40" s="1"/>
  <c r="V602" i="40"/>
  <c r="U602" i="40"/>
  <c r="Q602" i="40"/>
  <c r="L602" i="40"/>
  <c r="K602" i="40"/>
  <c r="J602" i="40"/>
  <c r="G602" i="40"/>
  <c r="V601" i="40"/>
  <c r="U601" i="40"/>
  <c r="Q601" i="40"/>
  <c r="K601" i="40"/>
  <c r="J601" i="40"/>
  <c r="G601" i="40"/>
  <c r="L601" i="40" s="1"/>
  <c r="V600" i="40"/>
  <c r="U600" i="40"/>
  <c r="Q600" i="40"/>
  <c r="K600" i="40"/>
  <c r="J600" i="40"/>
  <c r="G600" i="40"/>
  <c r="L600" i="40" s="1"/>
  <c r="V599" i="40"/>
  <c r="U599" i="40"/>
  <c r="Q599" i="40"/>
  <c r="K599" i="40"/>
  <c r="J599" i="40"/>
  <c r="G599" i="40"/>
  <c r="L599" i="40" s="1"/>
  <c r="V598" i="40"/>
  <c r="U598" i="40"/>
  <c r="Q598" i="40"/>
  <c r="K598" i="40"/>
  <c r="J598" i="40"/>
  <c r="G598" i="40"/>
  <c r="L598" i="40" s="1"/>
  <c r="V597" i="40"/>
  <c r="Q597" i="40"/>
  <c r="U597" i="40" s="1"/>
  <c r="K597" i="40"/>
  <c r="J597" i="40"/>
  <c r="G597" i="40"/>
  <c r="L597" i="40" s="1"/>
  <c r="V596" i="40"/>
  <c r="U596" i="40"/>
  <c r="Q596" i="40"/>
  <c r="K596" i="40"/>
  <c r="J596" i="40"/>
  <c r="G596" i="40"/>
  <c r="L596" i="40" s="1"/>
  <c r="V595" i="40"/>
  <c r="U595" i="40"/>
  <c r="Q595" i="40"/>
  <c r="K595" i="40"/>
  <c r="J595" i="40"/>
  <c r="G595" i="40"/>
  <c r="L595" i="40" s="1"/>
  <c r="V594" i="40"/>
  <c r="U594" i="40"/>
  <c r="Q594" i="40"/>
  <c r="L594" i="40"/>
  <c r="K594" i="40"/>
  <c r="J594" i="40"/>
  <c r="G594" i="40"/>
  <c r="V593" i="40"/>
  <c r="Q593" i="40"/>
  <c r="U593" i="40" s="1"/>
  <c r="L593" i="40"/>
  <c r="K593" i="40"/>
  <c r="J593" i="40"/>
  <c r="G593" i="40"/>
  <c r="V592" i="40"/>
  <c r="U592" i="40"/>
  <c r="Q592" i="40"/>
  <c r="K592" i="40"/>
  <c r="J592" i="40"/>
  <c r="G592" i="40"/>
  <c r="L592" i="40" s="1"/>
  <c r="V591" i="40"/>
  <c r="U591" i="40"/>
  <c r="Q591" i="40"/>
  <c r="K591" i="40"/>
  <c r="J591" i="40"/>
  <c r="G591" i="40"/>
  <c r="L591" i="40" s="1"/>
  <c r="V590" i="40"/>
  <c r="Q590" i="40"/>
  <c r="U590" i="40" s="1"/>
  <c r="K590" i="40"/>
  <c r="J590" i="40"/>
  <c r="G590" i="40"/>
  <c r="L590" i="40" s="1"/>
  <c r="V589" i="40"/>
  <c r="U589" i="40"/>
  <c r="Q589" i="40"/>
  <c r="K589" i="40"/>
  <c r="J589" i="40"/>
  <c r="G589" i="40"/>
  <c r="L589" i="40" s="1"/>
  <c r="V588" i="40"/>
  <c r="U588" i="40"/>
  <c r="Q588" i="40"/>
  <c r="K588" i="40"/>
  <c r="J588" i="40"/>
  <c r="G588" i="40"/>
  <c r="L588" i="40" s="1"/>
  <c r="V587" i="40"/>
  <c r="U587" i="40"/>
  <c r="Q587" i="40"/>
  <c r="K587" i="40"/>
  <c r="J587" i="40"/>
  <c r="G587" i="40"/>
  <c r="L587" i="40" s="1"/>
  <c r="V586" i="40"/>
  <c r="U586" i="40"/>
  <c r="Q586" i="40"/>
  <c r="K586" i="40"/>
  <c r="J586" i="40"/>
  <c r="G586" i="40"/>
  <c r="L586" i="40" s="1"/>
  <c r="V585" i="40"/>
  <c r="U585" i="40"/>
  <c r="Q585" i="40"/>
  <c r="K585" i="40"/>
  <c r="J585" i="40"/>
  <c r="G585" i="40"/>
  <c r="L585" i="40" s="1"/>
  <c r="V584" i="40"/>
  <c r="U584" i="40"/>
  <c r="Q584" i="40"/>
  <c r="K584" i="40"/>
  <c r="J584" i="40"/>
  <c r="G584" i="40"/>
  <c r="L584" i="40" s="1"/>
  <c r="V583" i="40"/>
  <c r="U583" i="40"/>
  <c r="Q583" i="40"/>
  <c r="K583" i="40"/>
  <c r="J583" i="40"/>
  <c r="G583" i="40"/>
  <c r="L583" i="40" s="1"/>
  <c r="V582" i="40"/>
  <c r="U582" i="40"/>
  <c r="Q582" i="40"/>
  <c r="K582" i="40"/>
  <c r="J582" i="40"/>
  <c r="G582" i="40"/>
  <c r="L582" i="40" s="1"/>
  <c r="V581" i="40"/>
  <c r="U581" i="40"/>
  <c r="Q581" i="40"/>
  <c r="K581" i="40"/>
  <c r="J581" i="40"/>
  <c r="G581" i="40"/>
  <c r="L581" i="40" s="1"/>
  <c r="V580" i="40"/>
  <c r="Q580" i="40"/>
  <c r="U580" i="40" s="1"/>
  <c r="K580" i="40"/>
  <c r="J580" i="40"/>
  <c r="G580" i="40"/>
  <c r="L580" i="40" s="1"/>
  <c r="V579" i="40"/>
  <c r="U579" i="40"/>
  <c r="Q579" i="40"/>
  <c r="K579" i="40"/>
  <c r="J579" i="40"/>
  <c r="G579" i="40"/>
  <c r="L579" i="40" s="1"/>
  <c r="V578" i="40"/>
  <c r="U578" i="40"/>
  <c r="Q578" i="40"/>
  <c r="L578" i="40"/>
  <c r="K578" i="40"/>
  <c r="J578" i="40"/>
  <c r="G578" i="40"/>
  <c r="V577" i="40"/>
  <c r="U577" i="40"/>
  <c r="Q577" i="40"/>
  <c r="K577" i="40"/>
  <c r="J577" i="40"/>
  <c r="G577" i="40"/>
  <c r="L577" i="40" s="1"/>
  <c r="V576" i="40"/>
  <c r="U576" i="40"/>
  <c r="Q576" i="40"/>
  <c r="K576" i="40"/>
  <c r="J576" i="40"/>
  <c r="G576" i="40"/>
  <c r="L576" i="40" s="1"/>
  <c r="V575" i="40"/>
  <c r="U575" i="40"/>
  <c r="Q575" i="40"/>
  <c r="K575" i="40"/>
  <c r="J575" i="40"/>
  <c r="G575" i="40"/>
  <c r="L575" i="40" s="1"/>
  <c r="V574" i="40"/>
  <c r="U574" i="40"/>
  <c r="Q574" i="40"/>
  <c r="K574" i="40"/>
  <c r="J574" i="40"/>
  <c r="G574" i="40"/>
  <c r="L574" i="40" s="1"/>
  <c r="V573" i="40"/>
  <c r="U573" i="40"/>
  <c r="Q573" i="40"/>
  <c r="K573" i="40"/>
  <c r="J573" i="40"/>
  <c r="G573" i="40"/>
  <c r="L573" i="40" s="1"/>
  <c r="V572" i="40"/>
  <c r="Q572" i="40"/>
  <c r="U572" i="40" s="1"/>
  <c r="K572" i="40"/>
  <c r="J572" i="40"/>
  <c r="G572" i="40"/>
  <c r="L572" i="40" s="1"/>
  <c r="V571" i="40"/>
  <c r="U571" i="40"/>
  <c r="Q571" i="40"/>
  <c r="L571" i="40"/>
  <c r="K571" i="40"/>
  <c r="J571" i="40"/>
  <c r="G571" i="40"/>
  <c r="V570" i="40"/>
  <c r="U570" i="40"/>
  <c r="Q570" i="40"/>
  <c r="K570" i="40"/>
  <c r="J570" i="40"/>
  <c r="G570" i="40"/>
  <c r="L570" i="40" s="1"/>
  <c r="V569" i="40"/>
  <c r="U569" i="40"/>
  <c r="Q569" i="40"/>
  <c r="K569" i="40"/>
  <c r="J569" i="40"/>
  <c r="G569" i="40"/>
  <c r="L569" i="40" s="1"/>
  <c r="V568" i="40"/>
  <c r="Q568" i="40"/>
  <c r="U568" i="40" s="1"/>
  <c r="K568" i="40"/>
  <c r="J568" i="40"/>
  <c r="G568" i="40"/>
  <c r="L568" i="40" s="1"/>
  <c r="V567" i="40"/>
  <c r="U567" i="40"/>
  <c r="Q567" i="40"/>
  <c r="K567" i="40"/>
  <c r="J567" i="40"/>
  <c r="G567" i="40"/>
  <c r="L567" i="40" s="1"/>
  <c r="V566" i="40"/>
  <c r="U566" i="40"/>
  <c r="Q566" i="40"/>
  <c r="L566" i="40"/>
  <c r="K566" i="40"/>
  <c r="J566" i="40"/>
  <c r="G566" i="40"/>
  <c r="V565" i="40"/>
  <c r="U565" i="40"/>
  <c r="Q565" i="40"/>
  <c r="K565" i="40"/>
  <c r="J565" i="40"/>
  <c r="G565" i="40"/>
  <c r="L565" i="40" s="1"/>
  <c r="V564" i="40"/>
  <c r="U564" i="40"/>
  <c r="Q564" i="40"/>
  <c r="K564" i="40"/>
  <c r="J564" i="40"/>
  <c r="G564" i="40"/>
  <c r="L564" i="40" s="1"/>
  <c r="V563" i="40"/>
  <c r="U563" i="40"/>
  <c r="Q563" i="40"/>
  <c r="K563" i="40"/>
  <c r="J563" i="40"/>
  <c r="G563" i="40"/>
  <c r="L563" i="40" s="1"/>
  <c r="V562" i="40"/>
  <c r="U562" i="40"/>
  <c r="Q562" i="40"/>
  <c r="K562" i="40"/>
  <c r="J562" i="40"/>
  <c r="G562" i="40"/>
  <c r="L562" i="40" s="1"/>
  <c r="V561" i="40"/>
  <c r="U561" i="40"/>
  <c r="Q561" i="40"/>
  <c r="K561" i="40"/>
  <c r="J561" i="40"/>
  <c r="G561" i="40"/>
  <c r="L561" i="40" s="1"/>
  <c r="V560" i="40"/>
  <c r="U560" i="40"/>
  <c r="Q560" i="40"/>
  <c r="K560" i="40"/>
  <c r="J560" i="40"/>
  <c r="G560" i="40"/>
  <c r="L560" i="40" s="1"/>
  <c r="V559" i="40"/>
  <c r="Q559" i="40"/>
  <c r="U559" i="40" s="1"/>
  <c r="K559" i="40"/>
  <c r="J559" i="40"/>
  <c r="G559" i="40"/>
  <c r="L559" i="40" s="1"/>
  <c r="V558" i="40"/>
  <c r="Q558" i="40"/>
  <c r="U558" i="40" s="1"/>
  <c r="K558" i="40"/>
  <c r="J558" i="40"/>
  <c r="G558" i="40"/>
  <c r="L558" i="40" s="1"/>
  <c r="V557" i="40"/>
  <c r="U557" i="40"/>
  <c r="Q557" i="40"/>
  <c r="K557" i="40"/>
  <c r="J557" i="40"/>
  <c r="G557" i="40"/>
  <c r="L557" i="40" s="1"/>
  <c r="V556" i="40"/>
  <c r="U556" i="40"/>
  <c r="Q556" i="40"/>
  <c r="K556" i="40"/>
  <c r="J556" i="40"/>
  <c r="G556" i="40"/>
  <c r="L556" i="40" s="1"/>
  <c r="V555" i="40"/>
  <c r="U555" i="40"/>
  <c r="Q555" i="40"/>
  <c r="K555" i="40"/>
  <c r="J555" i="40"/>
  <c r="G555" i="40"/>
  <c r="L555" i="40" s="1"/>
  <c r="V554" i="40"/>
  <c r="Q554" i="40"/>
  <c r="U554" i="40" s="1"/>
  <c r="K554" i="40"/>
  <c r="J554" i="40"/>
  <c r="G554" i="40"/>
  <c r="L554" i="40" s="1"/>
  <c r="V553" i="40"/>
  <c r="U553" i="40"/>
  <c r="Q553" i="40"/>
  <c r="K553" i="40"/>
  <c r="J553" i="40"/>
  <c r="G553" i="40"/>
  <c r="L553" i="40" s="1"/>
  <c r="V552" i="40"/>
  <c r="U552" i="40"/>
  <c r="Q552" i="40"/>
  <c r="K552" i="40"/>
  <c r="J552" i="40"/>
  <c r="G552" i="40"/>
  <c r="L552" i="40" s="1"/>
  <c r="V551" i="40"/>
  <c r="U551" i="40"/>
  <c r="Q551" i="40"/>
  <c r="K551" i="40"/>
  <c r="J551" i="40"/>
  <c r="G551" i="40"/>
  <c r="L551" i="40" s="1"/>
  <c r="V550" i="40"/>
  <c r="U550" i="40"/>
  <c r="Q550" i="40"/>
  <c r="L550" i="40"/>
  <c r="K550" i="40"/>
  <c r="J550" i="40"/>
  <c r="G550" i="40"/>
  <c r="V549" i="40"/>
  <c r="U549" i="40"/>
  <c r="Q549" i="40"/>
  <c r="K549" i="40"/>
  <c r="J549" i="40"/>
  <c r="G549" i="40"/>
  <c r="L549" i="40" s="1"/>
  <c r="V548" i="40"/>
  <c r="U548" i="40"/>
  <c r="Q548" i="40"/>
  <c r="K548" i="40"/>
  <c r="J548" i="40"/>
  <c r="G548" i="40"/>
  <c r="L548" i="40" s="1"/>
  <c r="V547" i="40"/>
  <c r="U547" i="40"/>
  <c r="Q547" i="40"/>
  <c r="K547" i="40"/>
  <c r="J547" i="40"/>
  <c r="G547" i="40"/>
  <c r="L547" i="40" s="1"/>
  <c r="V546" i="40"/>
  <c r="U546" i="40"/>
  <c r="Q546" i="40"/>
  <c r="L546" i="40"/>
  <c r="K546" i="40"/>
  <c r="J546" i="40"/>
  <c r="G546" i="40"/>
  <c r="V545" i="40"/>
  <c r="U545" i="40"/>
  <c r="Q545" i="40"/>
  <c r="L545" i="40"/>
  <c r="K545" i="40"/>
  <c r="J545" i="40"/>
  <c r="G545" i="40"/>
  <c r="V544" i="40"/>
  <c r="U544" i="40"/>
  <c r="Q544" i="40"/>
  <c r="K544" i="40"/>
  <c r="J544" i="40"/>
  <c r="G544" i="40"/>
  <c r="L544" i="40" s="1"/>
  <c r="V543" i="40"/>
  <c r="U543" i="40"/>
  <c r="Q543" i="40"/>
  <c r="K543" i="40"/>
  <c r="J543" i="40"/>
  <c r="G543" i="40"/>
  <c r="L543" i="40" s="1"/>
  <c r="V542" i="40"/>
  <c r="U542" i="40"/>
  <c r="Q542" i="40"/>
  <c r="K542" i="40"/>
  <c r="J542" i="40"/>
  <c r="G542" i="40"/>
  <c r="L542" i="40" s="1"/>
  <c r="V541" i="40"/>
  <c r="U541" i="40"/>
  <c r="Q541" i="40"/>
  <c r="K541" i="40"/>
  <c r="J541" i="40"/>
  <c r="G541" i="40"/>
  <c r="L541" i="40" s="1"/>
  <c r="V540" i="40"/>
  <c r="Q540" i="40"/>
  <c r="U540" i="40" s="1"/>
  <c r="K540" i="40"/>
  <c r="J540" i="40"/>
  <c r="G540" i="40"/>
  <c r="L540" i="40" s="1"/>
  <c r="V539" i="40"/>
  <c r="U539" i="40"/>
  <c r="Q539" i="40"/>
  <c r="K539" i="40"/>
  <c r="J539" i="40"/>
  <c r="G539" i="40"/>
  <c r="L539" i="40" s="1"/>
  <c r="V538" i="40"/>
  <c r="U538" i="40"/>
  <c r="Q538" i="40"/>
  <c r="K538" i="40"/>
  <c r="J538" i="40"/>
  <c r="G538" i="40"/>
  <c r="L538" i="40" s="1"/>
  <c r="V537" i="40"/>
  <c r="U537" i="40"/>
  <c r="Q537" i="40"/>
  <c r="K537" i="40"/>
  <c r="J537" i="40"/>
  <c r="G537" i="40"/>
  <c r="L537" i="40" s="1"/>
  <c r="V536" i="40"/>
  <c r="U536" i="40"/>
  <c r="Q536" i="40"/>
  <c r="K536" i="40"/>
  <c r="J536" i="40"/>
  <c r="G536" i="40"/>
  <c r="L536" i="40" s="1"/>
  <c r="V535" i="40"/>
  <c r="Q535" i="40"/>
  <c r="U535" i="40" s="1"/>
  <c r="K535" i="40"/>
  <c r="J535" i="40"/>
  <c r="G535" i="40"/>
  <c r="L535" i="40" s="1"/>
  <c r="V534" i="40"/>
  <c r="U534" i="40"/>
  <c r="Q534" i="40"/>
  <c r="K534" i="40"/>
  <c r="J534" i="40"/>
  <c r="G534" i="40"/>
  <c r="L534" i="40" s="1"/>
  <c r="V533" i="40"/>
  <c r="U533" i="40"/>
  <c r="Q533" i="40"/>
  <c r="K533" i="40"/>
  <c r="J533" i="40"/>
  <c r="G533" i="40"/>
  <c r="L533" i="40" s="1"/>
  <c r="V532" i="40"/>
  <c r="U532" i="40"/>
  <c r="Q532" i="40"/>
  <c r="K532" i="40"/>
  <c r="J532" i="40"/>
  <c r="G532" i="40"/>
  <c r="L532" i="40" s="1"/>
  <c r="V531" i="40"/>
  <c r="U531" i="40"/>
  <c r="Q531" i="40"/>
  <c r="K531" i="40"/>
  <c r="J531" i="40"/>
  <c r="G531" i="40"/>
  <c r="L531" i="40" s="1"/>
  <c r="V530" i="40"/>
  <c r="U530" i="40"/>
  <c r="Q530" i="40"/>
  <c r="L530" i="40"/>
  <c r="K530" i="40"/>
  <c r="J530" i="40"/>
  <c r="G530" i="40"/>
  <c r="V529" i="40"/>
  <c r="U529" i="40"/>
  <c r="Q529" i="40"/>
  <c r="K529" i="40"/>
  <c r="J529" i="40"/>
  <c r="G529" i="40"/>
  <c r="L529" i="40" s="1"/>
  <c r="V528" i="40"/>
  <c r="U528" i="40"/>
  <c r="Q528" i="40"/>
  <c r="K528" i="40"/>
  <c r="J528" i="40"/>
  <c r="G528" i="40"/>
  <c r="L528" i="40" s="1"/>
  <c r="V527" i="40"/>
  <c r="U527" i="40"/>
  <c r="Q527" i="40"/>
  <c r="K527" i="40"/>
  <c r="J527" i="40"/>
  <c r="G527" i="40"/>
  <c r="L527" i="40" s="1"/>
  <c r="V526" i="40"/>
  <c r="U526" i="40"/>
  <c r="Q526" i="40"/>
  <c r="K526" i="40"/>
  <c r="J526" i="40"/>
  <c r="G526" i="40"/>
  <c r="L526" i="40" s="1"/>
  <c r="V525" i="40"/>
  <c r="U525" i="40"/>
  <c r="Q525" i="40"/>
  <c r="K525" i="40"/>
  <c r="J525" i="40"/>
  <c r="G525" i="40"/>
  <c r="L525" i="40" s="1"/>
  <c r="V524" i="40"/>
  <c r="U524" i="40"/>
  <c r="Q524" i="40"/>
  <c r="K524" i="40"/>
  <c r="J524" i="40"/>
  <c r="G524" i="40"/>
  <c r="L524" i="40" s="1"/>
  <c r="V523" i="40"/>
  <c r="U523" i="40"/>
  <c r="Q523" i="40"/>
  <c r="L523" i="40"/>
  <c r="K523" i="40"/>
  <c r="J523" i="40"/>
  <c r="G523" i="40"/>
  <c r="V522" i="40"/>
  <c r="U522" i="40"/>
  <c r="Q522" i="40"/>
  <c r="K522" i="40"/>
  <c r="J522" i="40"/>
  <c r="G522" i="40"/>
  <c r="L522" i="40" s="1"/>
  <c r="V521" i="40"/>
  <c r="U521" i="40"/>
  <c r="Q521" i="40"/>
  <c r="K521" i="40"/>
  <c r="J521" i="40"/>
  <c r="G521" i="40"/>
  <c r="L521" i="40" s="1"/>
  <c r="V520" i="40"/>
  <c r="U520" i="40"/>
  <c r="Q520" i="40"/>
  <c r="K520" i="40"/>
  <c r="J520" i="40"/>
  <c r="G520" i="40"/>
  <c r="L520" i="40" s="1"/>
  <c r="V519" i="40"/>
  <c r="U519" i="40"/>
  <c r="Q519" i="40"/>
  <c r="K519" i="40"/>
  <c r="J519" i="40"/>
  <c r="G519" i="40"/>
  <c r="L519" i="40" s="1"/>
  <c r="V518" i="40"/>
  <c r="U518" i="40"/>
  <c r="Q518" i="40"/>
  <c r="L518" i="40"/>
  <c r="K518" i="40"/>
  <c r="J518" i="40"/>
  <c r="G518" i="40"/>
  <c r="V517" i="40"/>
  <c r="U517" i="40"/>
  <c r="Q517" i="40"/>
  <c r="K517" i="40"/>
  <c r="J517" i="40"/>
  <c r="G517" i="40"/>
  <c r="L517" i="40" s="1"/>
  <c r="V516" i="40"/>
  <c r="U516" i="40"/>
  <c r="Q516" i="40"/>
  <c r="K516" i="40"/>
  <c r="J516" i="40"/>
  <c r="G516" i="40"/>
  <c r="L516" i="40" s="1"/>
  <c r="V515" i="40"/>
  <c r="U515" i="40"/>
  <c r="Q515" i="40"/>
  <c r="K515" i="40"/>
  <c r="J515" i="40"/>
  <c r="G515" i="40"/>
  <c r="L515" i="40" s="1"/>
  <c r="V514" i="40"/>
  <c r="U514" i="40"/>
  <c r="Q514" i="40"/>
  <c r="K514" i="40"/>
  <c r="J514" i="40"/>
  <c r="G514" i="40"/>
  <c r="L514" i="40" s="1"/>
  <c r="V513" i="40"/>
  <c r="U513" i="40"/>
  <c r="Q513" i="40"/>
  <c r="L513" i="40"/>
  <c r="K513" i="40"/>
  <c r="J513" i="40"/>
  <c r="G513" i="40"/>
  <c r="V512" i="40"/>
  <c r="U512" i="40"/>
  <c r="Q512" i="40"/>
  <c r="K512" i="40"/>
  <c r="J512" i="40"/>
  <c r="G512" i="40"/>
  <c r="L512" i="40" s="1"/>
  <c r="V511" i="40"/>
  <c r="U511" i="40"/>
  <c r="Q511" i="40"/>
  <c r="K511" i="40"/>
  <c r="J511" i="40"/>
  <c r="G511" i="40"/>
  <c r="L511" i="40" s="1"/>
  <c r="V510" i="40"/>
  <c r="U510" i="40"/>
  <c r="Q510" i="40"/>
  <c r="K510" i="40"/>
  <c r="J510" i="40"/>
  <c r="G510" i="40"/>
  <c r="L510" i="40" s="1"/>
  <c r="V509" i="40"/>
  <c r="Q509" i="40"/>
  <c r="U509" i="40" s="1"/>
  <c r="K509" i="40"/>
  <c r="J509" i="40"/>
  <c r="G509" i="40"/>
  <c r="L509" i="40" s="1"/>
  <c r="V508" i="40"/>
  <c r="U508" i="40"/>
  <c r="Q508" i="40"/>
  <c r="K508" i="40"/>
  <c r="J508" i="40"/>
  <c r="G508" i="40"/>
  <c r="L508" i="40" s="1"/>
  <c r="V507" i="40"/>
  <c r="Q507" i="40"/>
  <c r="U507" i="40" s="1"/>
  <c r="K507" i="40"/>
  <c r="J507" i="40"/>
  <c r="G507" i="40"/>
  <c r="L507" i="40" s="1"/>
  <c r="V506" i="40"/>
  <c r="U506" i="40"/>
  <c r="Q506" i="40"/>
  <c r="K506" i="40"/>
  <c r="J506" i="40"/>
  <c r="G506" i="40"/>
  <c r="L506" i="40" s="1"/>
  <c r="V505" i="40"/>
  <c r="Q505" i="40"/>
  <c r="U505" i="40" s="1"/>
  <c r="K505" i="40"/>
  <c r="J505" i="40"/>
  <c r="G505" i="40"/>
  <c r="L505" i="40" s="1"/>
  <c r="V504" i="40"/>
  <c r="Q504" i="40"/>
  <c r="U504" i="40" s="1"/>
  <c r="K504" i="40"/>
  <c r="J504" i="40"/>
  <c r="G504" i="40"/>
  <c r="L504" i="40" s="1"/>
  <c r="V503" i="40"/>
  <c r="U503" i="40"/>
  <c r="Q503" i="40"/>
  <c r="K503" i="40"/>
  <c r="J503" i="40"/>
  <c r="G503" i="40"/>
  <c r="L503" i="40" s="1"/>
  <c r="V502" i="40"/>
  <c r="U502" i="40"/>
  <c r="Q502" i="40"/>
  <c r="K502" i="40"/>
  <c r="J502" i="40"/>
  <c r="G502" i="40"/>
  <c r="L502" i="40" s="1"/>
  <c r="V501" i="40"/>
  <c r="U501" i="40"/>
  <c r="Q501" i="40"/>
  <c r="K501" i="40"/>
  <c r="J501" i="40"/>
  <c r="G501" i="40"/>
  <c r="L501" i="40" s="1"/>
  <c r="V500" i="40"/>
  <c r="Q500" i="40"/>
  <c r="U500" i="40" s="1"/>
  <c r="K500" i="40"/>
  <c r="J500" i="40"/>
  <c r="G500" i="40"/>
  <c r="L500" i="40" s="1"/>
  <c r="V499" i="40"/>
  <c r="U499" i="40"/>
  <c r="Q499" i="40"/>
  <c r="K499" i="40"/>
  <c r="J499" i="40"/>
  <c r="G499" i="40"/>
  <c r="L499" i="40" s="1"/>
  <c r="V498" i="40"/>
  <c r="U498" i="40"/>
  <c r="Q498" i="40"/>
  <c r="K498" i="40"/>
  <c r="J498" i="40"/>
  <c r="G498" i="40"/>
  <c r="L498" i="40" s="1"/>
  <c r="V497" i="40"/>
  <c r="U497" i="40"/>
  <c r="Q497" i="40"/>
  <c r="K497" i="40"/>
  <c r="J497" i="40"/>
  <c r="G497" i="40"/>
  <c r="L497" i="40" s="1"/>
  <c r="V496" i="40"/>
  <c r="U496" i="40"/>
  <c r="Q496" i="40"/>
  <c r="K496" i="40"/>
  <c r="J496" i="40"/>
  <c r="G496" i="40"/>
  <c r="L496" i="40" s="1"/>
  <c r="V495" i="40"/>
  <c r="U495" i="40"/>
  <c r="Q495" i="40"/>
  <c r="K495" i="40"/>
  <c r="J495" i="40"/>
  <c r="G495" i="40"/>
  <c r="L495" i="40" s="1"/>
  <c r="V494" i="40"/>
  <c r="U494" i="40"/>
  <c r="Q494" i="40"/>
  <c r="L494" i="40"/>
  <c r="K494" i="40"/>
  <c r="J494" i="40"/>
  <c r="G494" i="40"/>
  <c r="V493" i="40"/>
  <c r="U493" i="40"/>
  <c r="Q493" i="40"/>
  <c r="K493" i="40"/>
  <c r="J493" i="40"/>
  <c r="G493" i="40"/>
  <c r="L493" i="40" s="1"/>
  <c r="V492" i="40"/>
  <c r="U492" i="40"/>
  <c r="Q492" i="40"/>
  <c r="K492" i="40"/>
  <c r="J492" i="40"/>
  <c r="G492" i="40"/>
  <c r="L492" i="40" s="1"/>
  <c r="V491" i="40"/>
  <c r="U491" i="40"/>
  <c r="Q491" i="40"/>
  <c r="K491" i="40"/>
  <c r="J491" i="40"/>
  <c r="G491" i="40"/>
  <c r="L491" i="40" s="1"/>
  <c r="V490" i="40"/>
  <c r="Q490" i="40"/>
  <c r="U490" i="40" s="1"/>
  <c r="L490" i="40"/>
  <c r="K490" i="40"/>
  <c r="J490" i="40"/>
  <c r="G490" i="40"/>
  <c r="V489" i="40"/>
  <c r="U489" i="40"/>
  <c r="Q489" i="40"/>
  <c r="K489" i="40"/>
  <c r="J489" i="40"/>
  <c r="G489" i="40"/>
  <c r="L489" i="40" s="1"/>
  <c r="V488" i="40"/>
  <c r="U488" i="40"/>
  <c r="Q488" i="40"/>
  <c r="K488" i="40"/>
  <c r="J488" i="40"/>
  <c r="G488" i="40"/>
  <c r="L488" i="40" s="1"/>
  <c r="V487" i="40"/>
  <c r="Q487" i="40"/>
  <c r="U487" i="40" s="1"/>
  <c r="K487" i="40"/>
  <c r="J487" i="40"/>
  <c r="G487" i="40"/>
  <c r="L487" i="40" s="1"/>
  <c r="V486" i="40"/>
  <c r="U486" i="40"/>
  <c r="Q486" i="40"/>
  <c r="L486" i="40"/>
  <c r="K486" i="40"/>
  <c r="J486" i="40"/>
  <c r="G486" i="40"/>
  <c r="V485" i="40"/>
  <c r="Q485" i="40"/>
  <c r="U485" i="40" s="1"/>
  <c r="K485" i="40"/>
  <c r="J485" i="40"/>
  <c r="G485" i="40"/>
  <c r="L485" i="40" s="1"/>
  <c r="V484" i="40"/>
  <c r="U484" i="40"/>
  <c r="Q484" i="40"/>
  <c r="K484" i="40"/>
  <c r="J484" i="40"/>
  <c r="G484" i="40"/>
  <c r="L484" i="40" s="1"/>
  <c r="V483" i="40"/>
  <c r="U483" i="40"/>
  <c r="Q483" i="40"/>
  <c r="K483" i="40"/>
  <c r="J483" i="40"/>
  <c r="G483" i="40"/>
  <c r="L483" i="40" s="1"/>
  <c r="V482" i="40"/>
  <c r="U482" i="40"/>
  <c r="Q482" i="40"/>
  <c r="K482" i="40"/>
  <c r="J482" i="40"/>
  <c r="G482" i="40"/>
  <c r="L482" i="40" s="1"/>
  <c r="V481" i="40"/>
  <c r="U481" i="40"/>
  <c r="Q481" i="40"/>
  <c r="K481" i="40"/>
  <c r="J481" i="40"/>
  <c r="G481" i="40"/>
  <c r="L481" i="40" s="1"/>
  <c r="V480" i="40"/>
  <c r="U480" i="40"/>
  <c r="Q480" i="40"/>
  <c r="K480" i="40"/>
  <c r="J480" i="40"/>
  <c r="G480" i="40"/>
  <c r="L480" i="40" s="1"/>
  <c r="V479" i="40"/>
  <c r="U479" i="40"/>
  <c r="Q479" i="40"/>
  <c r="K479" i="40"/>
  <c r="J479" i="40"/>
  <c r="G479" i="40"/>
  <c r="L479" i="40" s="1"/>
  <c r="V478" i="40"/>
  <c r="U478" i="40"/>
  <c r="Q478" i="40"/>
  <c r="K478" i="40"/>
  <c r="J478" i="40"/>
  <c r="G478" i="40"/>
  <c r="L478" i="40" s="1"/>
  <c r="V477" i="40"/>
  <c r="U477" i="40"/>
  <c r="Q477" i="40"/>
  <c r="K477" i="40"/>
  <c r="J477" i="40"/>
  <c r="G477" i="40"/>
  <c r="L477" i="40" s="1"/>
  <c r="V476" i="40"/>
  <c r="U476" i="40"/>
  <c r="Q476" i="40"/>
  <c r="K476" i="40"/>
  <c r="J476" i="40"/>
  <c r="G476" i="40"/>
  <c r="L476" i="40" s="1"/>
  <c r="V475" i="40"/>
  <c r="U475" i="40"/>
  <c r="Q475" i="40"/>
  <c r="K475" i="40"/>
  <c r="J475" i="40"/>
  <c r="G475" i="40"/>
  <c r="L475" i="40" s="1"/>
  <c r="V474" i="40"/>
  <c r="U474" i="40"/>
  <c r="Q474" i="40"/>
  <c r="K474" i="40"/>
  <c r="J474" i="40"/>
  <c r="G474" i="40"/>
  <c r="L474" i="40" s="1"/>
  <c r="V473" i="40"/>
  <c r="U473" i="40"/>
  <c r="Q473" i="40"/>
  <c r="K473" i="40"/>
  <c r="J473" i="40"/>
  <c r="G473" i="40"/>
  <c r="L473" i="40" s="1"/>
  <c r="V472" i="40"/>
  <c r="U472" i="40"/>
  <c r="Q472" i="40"/>
  <c r="K472" i="40"/>
  <c r="J472" i="40"/>
  <c r="G472" i="40"/>
  <c r="L472" i="40" s="1"/>
  <c r="V471" i="40"/>
  <c r="U471" i="40"/>
  <c r="Q471" i="40"/>
  <c r="K471" i="40"/>
  <c r="J471" i="40"/>
  <c r="G471" i="40"/>
  <c r="L471" i="40" s="1"/>
  <c r="V470" i="40"/>
  <c r="U470" i="40"/>
  <c r="Q470" i="40"/>
  <c r="K470" i="40"/>
  <c r="J470" i="40"/>
  <c r="G470" i="40"/>
  <c r="L470" i="40" s="1"/>
  <c r="V469" i="40"/>
  <c r="U469" i="40"/>
  <c r="Q469" i="40"/>
  <c r="K469" i="40"/>
  <c r="J469" i="40"/>
  <c r="G469" i="40"/>
  <c r="L469" i="40" s="1"/>
  <c r="V468" i="40"/>
  <c r="U468" i="40"/>
  <c r="Q468" i="40"/>
  <c r="K468" i="40"/>
  <c r="J468" i="40"/>
  <c r="G468" i="40"/>
  <c r="L468" i="40" s="1"/>
  <c r="V467" i="40"/>
  <c r="U467" i="40"/>
  <c r="Q467" i="40"/>
  <c r="K467" i="40"/>
  <c r="J467" i="40"/>
  <c r="G467" i="40"/>
  <c r="L467" i="40" s="1"/>
  <c r="V466" i="40"/>
  <c r="U466" i="40"/>
  <c r="Q466" i="40"/>
  <c r="K466" i="40"/>
  <c r="J466" i="40"/>
  <c r="G466" i="40"/>
  <c r="L466" i="40" s="1"/>
  <c r="V465" i="40"/>
  <c r="U465" i="40"/>
  <c r="Q465" i="40"/>
  <c r="L465" i="40"/>
  <c r="K465" i="40"/>
  <c r="J465" i="40"/>
  <c r="G465" i="40"/>
  <c r="V464" i="40"/>
  <c r="U464" i="40"/>
  <c r="Q464" i="40"/>
  <c r="K464" i="40"/>
  <c r="J464" i="40"/>
  <c r="G464" i="40"/>
  <c r="L464" i="40" s="1"/>
  <c r="V463" i="40"/>
  <c r="U463" i="40"/>
  <c r="Q463" i="40"/>
  <c r="K463" i="40"/>
  <c r="J463" i="40"/>
  <c r="G463" i="40"/>
  <c r="L463" i="40" s="1"/>
  <c r="V462" i="40"/>
  <c r="U462" i="40"/>
  <c r="Q462" i="40"/>
  <c r="K462" i="40"/>
  <c r="J462" i="40"/>
  <c r="G462" i="40"/>
  <c r="L462" i="40" s="1"/>
  <c r="V461" i="40"/>
  <c r="U461" i="40"/>
  <c r="Q461" i="40"/>
  <c r="K461" i="40"/>
  <c r="J461" i="40"/>
  <c r="G461" i="40"/>
  <c r="L461" i="40" s="1"/>
  <c r="V460" i="40"/>
  <c r="U460" i="40"/>
  <c r="Q460" i="40"/>
  <c r="K460" i="40"/>
  <c r="J460" i="40"/>
  <c r="G460" i="40"/>
  <c r="L460" i="40" s="1"/>
  <c r="V459" i="40"/>
  <c r="U459" i="40"/>
  <c r="Q459" i="40"/>
  <c r="L459" i="40"/>
  <c r="K459" i="40"/>
  <c r="J459" i="40"/>
  <c r="G459" i="40"/>
  <c r="V458" i="40"/>
  <c r="U458" i="40"/>
  <c r="Q458" i="40"/>
  <c r="K458" i="40"/>
  <c r="J458" i="40"/>
  <c r="G458" i="40"/>
  <c r="L458" i="40" s="1"/>
  <c r="V457" i="40"/>
  <c r="U457" i="40"/>
  <c r="Q457" i="40"/>
  <c r="K457" i="40"/>
  <c r="J457" i="40"/>
  <c r="G457" i="40"/>
  <c r="L457" i="40" s="1"/>
  <c r="V456" i="40"/>
  <c r="U456" i="40"/>
  <c r="Q456" i="40"/>
  <c r="K456" i="40"/>
  <c r="J456" i="40"/>
  <c r="G456" i="40"/>
  <c r="L456" i="40" s="1"/>
  <c r="V455" i="40"/>
  <c r="U455" i="40"/>
  <c r="Q455" i="40"/>
  <c r="K455" i="40"/>
  <c r="J455" i="40"/>
  <c r="G455" i="40"/>
  <c r="L455" i="40" s="1"/>
  <c r="V454" i="40"/>
  <c r="U454" i="40"/>
  <c r="Q454" i="40"/>
  <c r="K454" i="40"/>
  <c r="J454" i="40"/>
  <c r="G454" i="40"/>
  <c r="L454" i="40" s="1"/>
  <c r="V453" i="40"/>
  <c r="U453" i="40"/>
  <c r="Q453" i="40"/>
  <c r="K453" i="40"/>
  <c r="J453" i="40"/>
  <c r="G453" i="40"/>
  <c r="L453" i="40" s="1"/>
  <c r="V452" i="40"/>
  <c r="U452" i="40"/>
  <c r="Q452" i="40"/>
  <c r="K452" i="40"/>
  <c r="J452" i="40"/>
  <c r="G452" i="40"/>
  <c r="L452" i="40" s="1"/>
  <c r="V451" i="40"/>
  <c r="U451" i="40"/>
  <c r="Q451" i="40"/>
  <c r="K451" i="40"/>
  <c r="J451" i="40"/>
  <c r="G451" i="40"/>
  <c r="L451" i="40" s="1"/>
  <c r="V450" i="40"/>
  <c r="U450" i="40"/>
  <c r="Q450" i="40"/>
  <c r="K450" i="40"/>
  <c r="J450" i="40"/>
  <c r="G450" i="40"/>
  <c r="L450" i="40" s="1"/>
  <c r="V449" i="40"/>
  <c r="Q449" i="40"/>
  <c r="U449" i="40" s="1"/>
  <c r="K449" i="40"/>
  <c r="J449" i="40"/>
  <c r="G449" i="40"/>
  <c r="L449" i="40" s="1"/>
  <c r="V448" i="40"/>
  <c r="U448" i="40"/>
  <c r="Q448" i="40"/>
  <c r="K448" i="40"/>
  <c r="J448" i="40"/>
  <c r="G448" i="40"/>
  <c r="L448" i="40" s="1"/>
  <c r="V447" i="40"/>
  <c r="U447" i="40"/>
  <c r="Q447" i="40"/>
  <c r="K447" i="40"/>
  <c r="J447" i="40"/>
  <c r="G447" i="40"/>
  <c r="L447" i="40" s="1"/>
  <c r="V446" i="40"/>
  <c r="Q446" i="40"/>
  <c r="U446" i="40" s="1"/>
  <c r="K446" i="40"/>
  <c r="J446" i="40"/>
  <c r="G446" i="40"/>
  <c r="L446" i="40" s="1"/>
  <c r="V445" i="40"/>
  <c r="U445" i="40"/>
  <c r="Q445" i="40"/>
  <c r="K445" i="40"/>
  <c r="J445" i="40"/>
  <c r="G445" i="40"/>
  <c r="L445" i="40" s="1"/>
  <c r="V444" i="40"/>
  <c r="Q444" i="40"/>
  <c r="U444" i="40" s="1"/>
  <c r="K444" i="40"/>
  <c r="J444" i="40"/>
  <c r="G444" i="40"/>
  <c r="L444" i="40" s="1"/>
  <c r="V443" i="40"/>
  <c r="U443" i="40"/>
  <c r="Q443" i="40"/>
  <c r="L443" i="40"/>
  <c r="K443" i="40"/>
  <c r="J443" i="40"/>
  <c r="G443" i="40"/>
  <c r="V442" i="40"/>
  <c r="U442" i="40"/>
  <c r="Q442" i="40"/>
  <c r="L442" i="40"/>
  <c r="K442" i="40"/>
  <c r="J442" i="40"/>
  <c r="G442" i="40"/>
  <c r="V441" i="40"/>
  <c r="Q441" i="40"/>
  <c r="U441" i="40" s="1"/>
  <c r="K441" i="40"/>
  <c r="J441" i="40"/>
  <c r="G441" i="40"/>
  <c r="L441" i="40" s="1"/>
  <c r="V440" i="40"/>
  <c r="U440" i="40"/>
  <c r="Q440" i="40"/>
  <c r="K440" i="40"/>
  <c r="J440" i="40"/>
  <c r="G440" i="40"/>
  <c r="L440" i="40" s="1"/>
  <c r="V439" i="40"/>
  <c r="U439" i="40"/>
  <c r="Q439" i="40"/>
  <c r="K439" i="40"/>
  <c r="J439" i="40"/>
  <c r="G439" i="40"/>
  <c r="L439" i="40" s="1"/>
  <c r="V438" i="40"/>
  <c r="U438" i="40"/>
  <c r="Q438" i="40"/>
  <c r="L438" i="40"/>
  <c r="K438" i="40"/>
  <c r="J438" i="40"/>
  <c r="G438" i="40"/>
  <c r="V437" i="40"/>
  <c r="U437" i="40"/>
  <c r="Q437" i="40"/>
  <c r="K437" i="40"/>
  <c r="J437" i="40"/>
  <c r="G437" i="40"/>
  <c r="L437" i="40" s="1"/>
  <c r="V436" i="40"/>
  <c r="U436" i="40"/>
  <c r="Q436" i="40"/>
  <c r="K436" i="40"/>
  <c r="J436" i="40"/>
  <c r="G436" i="40"/>
  <c r="L436" i="40" s="1"/>
  <c r="V435" i="40"/>
  <c r="U435" i="40"/>
  <c r="Q435" i="40"/>
  <c r="K435" i="40"/>
  <c r="J435" i="40"/>
  <c r="G435" i="40"/>
  <c r="L435" i="40" s="1"/>
  <c r="V434" i="40"/>
  <c r="U434" i="40"/>
  <c r="Q434" i="40"/>
  <c r="K434" i="40"/>
  <c r="J434" i="40"/>
  <c r="G434" i="40"/>
  <c r="L434" i="40" s="1"/>
  <c r="V433" i="40"/>
  <c r="U433" i="40"/>
  <c r="Q433" i="40"/>
  <c r="L433" i="40"/>
  <c r="K433" i="40"/>
  <c r="J433" i="40"/>
  <c r="G433" i="40"/>
  <c r="V432" i="40"/>
  <c r="U432" i="40"/>
  <c r="Q432" i="40"/>
  <c r="K432" i="40"/>
  <c r="J432" i="40"/>
  <c r="G432" i="40"/>
  <c r="L432" i="40" s="1"/>
  <c r="V431" i="40"/>
  <c r="U431" i="40"/>
  <c r="Q431" i="40"/>
  <c r="K431" i="40"/>
  <c r="J431" i="40"/>
  <c r="G431" i="40"/>
  <c r="L431" i="40" s="1"/>
  <c r="V430" i="40"/>
  <c r="U430" i="40"/>
  <c r="Q430" i="40"/>
  <c r="K430" i="40"/>
  <c r="J430" i="40"/>
  <c r="G430" i="40"/>
  <c r="L430" i="40" s="1"/>
  <c r="V429" i="40"/>
  <c r="U429" i="40"/>
  <c r="Q429" i="40"/>
  <c r="K429" i="40"/>
  <c r="J429" i="40"/>
  <c r="G429" i="40"/>
  <c r="L429" i="40" s="1"/>
  <c r="V428" i="40"/>
  <c r="U428" i="40"/>
  <c r="Q428" i="40"/>
  <c r="K428" i="40"/>
  <c r="J428" i="40"/>
  <c r="G428" i="40"/>
  <c r="L428" i="40" s="1"/>
  <c r="V427" i="40"/>
  <c r="U427" i="40"/>
  <c r="Q427" i="40"/>
  <c r="L427" i="40"/>
  <c r="K427" i="40"/>
  <c r="J427" i="40"/>
  <c r="G427" i="40"/>
  <c r="V426" i="40"/>
  <c r="U426" i="40"/>
  <c r="Q426" i="40"/>
  <c r="K426" i="40"/>
  <c r="J426" i="40"/>
  <c r="G426" i="40"/>
  <c r="L426" i="40" s="1"/>
  <c r="V425" i="40"/>
  <c r="U425" i="40"/>
  <c r="Q425" i="40"/>
  <c r="K425" i="40"/>
  <c r="J425" i="40"/>
  <c r="G425" i="40"/>
  <c r="L425" i="40" s="1"/>
  <c r="V424" i="40"/>
  <c r="U424" i="40"/>
  <c r="Q424" i="40"/>
  <c r="K424" i="40"/>
  <c r="J424" i="40"/>
  <c r="G424" i="40"/>
  <c r="L424" i="40" s="1"/>
  <c r="V423" i="40"/>
  <c r="Q423" i="40"/>
  <c r="U423" i="40" s="1"/>
  <c r="K423" i="40"/>
  <c r="J423" i="40"/>
  <c r="G423" i="40"/>
  <c r="L423" i="40" s="1"/>
  <c r="V422" i="40"/>
  <c r="U422" i="40"/>
  <c r="Q422" i="40"/>
  <c r="K422" i="40"/>
  <c r="J422" i="40"/>
  <c r="G422" i="40"/>
  <c r="L422" i="40" s="1"/>
  <c r="V421" i="40"/>
  <c r="U421" i="40"/>
  <c r="Q421" i="40"/>
  <c r="K421" i="40"/>
  <c r="J421" i="40"/>
  <c r="G421" i="40"/>
  <c r="L421" i="40" s="1"/>
  <c r="V420" i="40"/>
  <c r="U420" i="40"/>
  <c r="Q420" i="40"/>
  <c r="K420" i="40"/>
  <c r="J420" i="40"/>
  <c r="G420" i="40"/>
  <c r="L420" i="40" s="1"/>
  <c r="V419" i="40"/>
  <c r="U419" i="40"/>
  <c r="Q419" i="40"/>
  <c r="K419" i="40"/>
  <c r="J419" i="40"/>
  <c r="G419" i="40"/>
  <c r="L419" i="40" s="1"/>
  <c r="V418" i="40"/>
  <c r="U418" i="40"/>
  <c r="Q418" i="40"/>
  <c r="L418" i="40"/>
  <c r="K418" i="40"/>
  <c r="J418" i="40"/>
  <c r="G418" i="40"/>
  <c r="V417" i="40"/>
  <c r="Q417" i="40"/>
  <c r="U417" i="40" s="1"/>
  <c r="K417" i="40"/>
  <c r="J417" i="40"/>
  <c r="G417" i="40"/>
  <c r="L417" i="40" s="1"/>
  <c r="V416" i="40"/>
  <c r="Q416" i="40"/>
  <c r="U416" i="40" s="1"/>
  <c r="K416" i="40"/>
  <c r="J416" i="40"/>
  <c r="G416" i="40"/>
  <c r="L416" i="40" s="1"/>
  <c r="V415" i="40"/>
  <c r="U415" i="40"/>
  <c r="Q415" i="40"/>
  <c r="K415" i="40"/>
  <c r="J415" i="40"/>
  <c r="G415" i="40"/>
  <c r="L415" i="40" s="1"/>
  <c r="V414" i="40"/>
  <c r="U414" i="40"/>
  <c r="Q414" i="40"/>
  <c r="K414" i="40"/>
  <c r="J414" i="40"/>
  <c r="G414" i="40"/>
  <c r="L414" i="40" s="1"/>
  <c r="V413" i="40"/>
  <c r="U413" i="40"/>
  <c r="Q413" i="40"/>
  <c r="K413" i="40"/>
  <c r="J413" i="40"/>
  <c r="G413" i="40"/>
  <c r="L413" i="40" s="1"/>
  <c r="V412" i="40"/>
  <c r="U412" i="40"/>
  <c r="Q412" i="40"/>
  <c r="K412" i="40"/>
  <c r="J412" i="40"/>
  <c r="G412" i="40"/>
  <c r="L412" i="40" s="1"/>
  <c r="V411" i="40"/>
  <c r="U411" i="40"/>
  <c r="Q411" i="40"/>
  <c r="L411" i="40"/>
  <c r="K411" i="40"/>
  <c r="J411" i="40"/>
  <c r="G411" i="40"/>
  <c r="V410" i="40"/>
  <c r="U410" i="40"/>
  <c r="Q410" i="40"/>
  <c r="K410" i="40"/>
  <c r="J410" i="40"/>
  <c r="G410" i="40"/>
  <c r="L410" i="40" s="1"/>
  <c r="V409" i="40"/>
  <c r="U409" i="40"/>
  <c r="Q409" i="40"/>
  <c r="K409" i="40"/>
  <c r="J409" i="40"/>
  <c r="G409" i="40"/>
  <c r="L409" i="40" s="1"/>
  <c r="V408" i="40"/>
  <c r="U408" i="40"/>
  <c r="Q408" i="40"/>
  <c r="K408" i="40"/>
  <c r="J408" i="40"/>
  <c r="G408" i="40"/>
  <c r="L408" i="40" s="1"/>
  <c r="V407" i="40"/>
  <c r="U407" i="40"/>
  <c r="Q407" i="40"/>
  <c r="K407" i="40"/>
  <c r="J407" i="40"/>
  <c r="G407" i="40"/>
  <c r="L407" i="40" s="1"/>
  <c r="V406" i="40"/>
  <c r="U406" i="40"/>
  <c r="Q406" i="40"/>
  <c r="K406" i="40"/>
  <c r="J406" i="40"/>
  <c r="G406" i="40"/>
  <c r="L406" i="40" s="1"/>
  <c r="V405" i="40"/>
  <c r="U405" i="40"/>
  <c r="Q405" i="40"/>
  <c r="K405" i="40"/>
  <c r="J405" i="40"/>
  <c r="G405" i="40"/>
  <c r="L405" i="40" s="1"/>
  <c r="V404" i="40"/>
  <c r="U404" i="40"/>
  <c r="Q404" i="40"/>
  <c r="K404" i="40"/>
  <c r="J404" i="40"/>
  <c r="G404" i="40"/>
  <c r="L404" i="40" s="1"/>
  <c r="V403" i="40"/>
  <c r="U403" i="40"/>
  <c r="Q403" i="40"/>
  <c r="K403" i="40"/>
  <c r="J403" i="40"/>
  <c r="G403" i="40"/>
  <c r="L403" i="40" s="1"/>
  <c r="V402" i="40"/>
  <c r="U402" i="40"/>
  <c r="Q402" i="40"/>
  <c r="K402" i="40"/>
  <c r="J402" i="40"/>
  <c r="G402" i="40"/>
  <c r="L402" i="40" s="1"/>
  <c r="V401" i="40"/>
  <c r="U401" i="40"/>
  <c r="Q401" i="40"/>
  <c r="K401" i="40"/>
  <c r="J401" i="40"/>
  <c r="G401" i="40"/>
  <c r="L401" i="40" s="1"/>
  <c r="V400" i="40"/>
  <c r="U400" i="40"/>
  <c r="Q400" i="40"/>
  <c r="K400" i="40"/>
  <c r="J400" i="40"/>
  <c r="G400" i="40"/>
  <c r="L400" i="40" s="1"/>
  <c r="V399" i="40"/>
  <c r="U399" i="40"/>
  <c r="Q399" i="40"/>
  <c r="K399" i="40"/>
  <c r="J399" i="40"/>
  <c r="G399" i="40"/>
  <c r="L399" i="40" s="1"/>
  <c r="V398" i="40"/>
  <c r="U398" i="40"/>
  <c r="Q398" i="40"/>
  <c r="K398" i="40"/>
  <c r="J398" i="40"/>
  <c r="G398" i="40"/>
  <c r="L398" i="40" s="1"/>
  <c r="V397" i="40"/>
  <c r="U397" i="40"/>
  <c r="Q397" i="40"/>
  <c r="K397" i="40"/>
  <c r="J397" i="40"/>
  <c r="G397" i="40"/>
  <c r="L397" i="40" s="1"/>
  <c r="V396" i="40"/>
  <c r="Q396" i="40"/>
  <c r="U396" i="40" s="1"/>
  <c r="K396" i="40"/>
  <c r="J396" i="40"/>
  <c r="G396" i="40"/>
  <c r="L396" i="40" s="1"/>
  <c r="V395" i="40"/>
  <c r="U395" i="40"/>
  <c r="Q395" i="40"/>
  <c r="L395" i="40"/>
  <c r="K395" i="40"/>
  <c r="J395" i="40"/>
  <c r="G395" i="40"/>
  <c r="V394" i="40"/>
  <c r="U394" i="40"/>
  <c r="Q394" i="40"/>
  <c r="K394" i="40"/>
  <c r="J394" i="40"/>
  <c r="G394" i="40"/>
  <c r="L394" i="40" s="1"/>
  <c r="V393" i="40"/>
  <c r="U393" i="40"/>
  <c r="Q393" i="40"/>
  <c r="K393" i="40"/>
  <c r="J393" i="40"/>
  <c r="G393" i="40"/>
  <c r="L393" i="40" s="1"/>
  <c r="V392" i="40"/>
  <c r="U392" i="40"/>
  <c r="Q392" i="40"/>
  <c r="K392" i="40"/>
  <c r="J392" i="40"/>
  <c r="G392" i="40"/>
  <c r="L392" i="40" s="1"/>
  <c r="V391" i="40"/>
  <c r="U391" i="40"/>
  <c r="Q391" i="40"/>
  <c r="K391" i="40"/>
  <c r="J391" i="40"/>
  <c r="G391" i="40"/>
  <c r="L391" i="40" s="1"/>
  <c r="V390" i="40"/>
  <c r="U390" i="40"/>
  <c r="Q390" i="40"/>
  <c r="K390" i="40"/>
  <c r="J390" i="40"/>
  <c r="G390" i="40"/>
  <c r="L390" i="40" s="1"/>
  <c r="V389" i="40"/>
  <c r="U389" i="40"/>
  <c r="Q389" i="40"/>
  <c r="L389" i="40"/>
  <c r="K389" i="40"/>
  <c r="J389" i="40"/>
  <c r="G389" i="40"/>
  <c r="V388" i="40"/>
  <c r="Q388" i="40"/>
  <c r="U388" i="40" s="1"/>
  <c r="K388" i="40"/>
  <c r="J388" i="40"/>
  <c r="G388" i="40"/>
  <c r="L388" i="40" s="1"/>
  <c r="V387" i="40"/>
  <c r="U387" i="40"/>
  <c r="Q387" i="40"/>
  <c r="K387" i="40"/>
  <c r="J387" i="40"/>
  <c r="G387" i="40"/>
  <c r="L387" i="40" s="1"/>
  <c r="V386" i="40"/>
  <c r="U386" i="40"/>
  <c r="Q386" i="40"/>
  <c r="L386" i="40"/>
  <c r="K386" i="40"/>
  <c r="J386" i="40"/>
  <c r="G386" i="40"/>
  <c r="V385" i="40"/>
  <c r="Q385" i="40"/>
  <c r="U385" i="40" s="1"/>
  <c r="L385" i="40"/>
  <c r="K385" i="40"/>
  <c r="J385" i="40"/>
  <c r="G385" i="40"/>
  <c r="V384" i="40"/>
  <c r="U384" i="40"/>
  <c r="Q384" i="40"/>
  <c r="K384" i="40"/>
  <c r="J384" i="40"/>
  <c r="G384" i="40"/>
  <c r="L384" i="40" s="1"/>
  <c r="V383" i="40"/>
  <c r="U383" i="40"/>
  <c r="Q383" i="40"/>
  <c r="K383" i="40"/>
  <c r="J383" i="40"/>
  <c r="G383" i="40"/>
  <c r="L383" i="40" s="1"/>
  <c r="V382" i="40"/>
  <c r="U382" i="40"/>
  <c r="Q382" i="40"/>
  <c r="K382" i="40"/>
  <c r="J382" i="40"/>
  <c r="G382" i="40"/>
  <c r="L382" i="40" s="1"/>
  <c r="V381" i="40"/>
  <c r="U381" i="40"/>
  <c r="Q381" i="40"/>
  <c r="K381" i="40"/>
  <c r="J381" i="40"/>
  <c r="G381" i="40"/>
  <c r="L381" i="40" s="1"/>
  <c r="V380" i="40"/>
  <c r="U380" i="40"/>
  <c r="Q380" i="40"/>
  <c r="K380" i="40"/>
  <c r="J380" i="40"/>
  <c r="G380" i="40"/>
  <c r="L380" i="40" s="1"/>
  <c r="V379" i="40"/>
  <c r="U379" i="40"/>
  <c r="Q379" i="40"/>
  <c r="K379" i="40"/>
  <c r="J379" i="40"/>
  <c r="G379" i="40"/>
  <c r="L379" i="40" s="1"/>
  <c r="V378" i="40"/>
  <c r="U378" i="40"/>
  <c r="Q378" i="40"/>
  <c r="L378" i="40"/>
  <c r="K378" i="40"/>
  <c r="J378" i="40"/>
  <c r="G378" i="40"/>
  <c r="V377" i="40"/>
  <c r="U377" i="40"/>
  <c r="Q377" i="40"/>
  <c r="K377" i="40"/>
  <c r="J377" i="40"/>
  <c r="G377" i="40"/>
  <c r="L377" i="40" s="1"/>
  <c r="V376" i="40"/>
  <c r="U376" i="40"/>
  <c r="Q376" i="40"/>
  <c r="K376" i="40"/>
  <c r="J376" i="40"/>
  <c r="G376" i="40"/>
  <c r="L376" i="40" s="1"/>
  <c r="V375" i="40"/>
  <c r="Q375" i="40"/>
  <c r="U375" i="40" s="1"/>
  <c r="K375" i="40"/>
  <c r="J375" i="40"/>
  <c r="G375" i="40"/>
  <c r="L375" i="40" s="1"/>
  <c r="V374" i="40"/>
  <c r="U374" i="40"/>
  <c r="Q374" i="40"/>
  <c r="L374" i="40"/>
  <c r="K374" i="40"/>
  <c r="J374" i="40"/>
  <c r="G374" i="40"/>
  <c r="V373" i="40"/>
  <c r="U373" i="40"/>
  <c r="Q373" i="40"/>
  <c r="K373" i="40"/>
  <c r="J373" i="40"/>
  <c r="G373" i="40"/>
  <c r="L373" i="40" s="1"/>
  <c r="V372" i="40"/>
  <c r="U372" i="40"/>
  <c r="Q372" i="40"/>
  <c r="K372" i="40"/>
  <c r="J372" i="40"/>
  <c r="G372" i="40"/>
  <c r="L372" i="40" s="1"/>
  <c r="V371" i="40"/>
  <c r="U371" i="40"/>
  <c r="Q371" i="40"/>
  <c r="K371" i="40"/>
  <c r="J371" i="40"/>
  <c r="G371" i="40"/>
  <c r="L371" i="40" s="1"/>
  <c r="V370" i="40"/>
  <c r="U370" i="40"/>
  <c r="Q370" i="40"/>
  <c r="K370" i="40"/>
  <c r="J370" i="40"/>
  <c r="G370" i="40"/>
  <c r="L370" i="40" s="1"/>
  <c r="V369" i="40"/>
  <c r="U369" i="40"/>
  <c r="Q369" i="40"/>
  <c r="L369" i="40"/>
  <c r="K369" i="40"/>
  <c r="J369" i="40"/>
  <c r="G369" i="40"/>
  <c r="V368" i="40"/>
  <c r="U368" i="40"/>
  <c r="Q368" i="40"/>
  <c r="K368" i="40"/>
  <c r="J368" i="40"/>
  <c r="G368" i="40"/>
  <c r="L368" i="40" s="1"/>
  <c r="V367" i="40"/>
  <c r="Q367" i="40"/>
  <c r="U367" i="40" s="1"/>
  <c r="K367" i="40"/>
  <c r="J367" i="40"/>
  <c r="G367" i="40"/>
  <c r="L367" i="40" s="1"/>
  <c r="V366" i="40"/>
  <c r="U366" i="40"/>
  <c r="Q366" i="40"/>
  <c r="K366" i="40"/>
  <c r="J366" i="40"/>
  <c r="G366" i="40"/>
  <c r="L366" i="40" s="1"/>
  <c r="V365" i="40"/>
  <c r="U365" i="40"/>
  <c r="Q365" i="40"/>
  <c r="K365" i="40"/>
  <c r="J365" i="40"/>
  <c r="G365" i="40"/>
  <c r="L365" i="40" s="1"/>
  <c r="V364" i="40"/>
  <c r="U364" i="40"/>
  <c r="Q364" i="40"/>
  <c r="L364" i="40"/>
  <c r="K364" i="40"/>
  <c r="J364" i="40"/>
  <c r="G364" i="40"/>
  <c r="V363" i="40"/>
  <c r="U363" i="40"/>
  <c r="Q363" i="40"/>
  <c r="K363" i="40"/>
  <c r="J363" i="40"/>
  <c r="G363" i="40"/>
  <c r="L363" i="40" s="1"/>
  <c r="V362" i="40"/>
  <c r="U362" i="40"/>
  <c r="Q362" i="40"/>
  <c r="L362" i="40"/>
  <c r="K362" i="40"/>
  <c r="J362" i="40"/>
  <c r="G362" i="40"/>
  <c r="V361" i="40"/>
  <c r="U361" i="40"/>
  <c r="Q361" i="40"/>
  <c r="L361" i="40"/>
  <c r="K361" i="40"/>
  <c r="J361" i="40"/>
  <c r="G361" i="40"/>
  <c r="V360" i="40"/>
  <c r="U360" i="40"/>
  <c r="Q360" i="40"/>
  <c r="K360" i="40"/>
  <c r="J360" i="40"/>
  <c r="G360" i="40"/>
  <c r="L360" i="40" s="1"/>
  <c r="V359" i="40"/>
  <c r="U359" i="40"/>
  <c r="Q359" i="40"/>
  <c r="K359" i="40"/>
  <c r="J359" i="40"/>
  <c r="G359" i="40"/>
  <c r="L359" i="40" s="1"/>
  <c r="V358" i="40"/>
  <c r="U358" i="40"/>
  <c r="Q358" i="40"/>
  <c r="L358" i="40"/>
  <c r="K358" i="40"/>
  <c r="J358" i="40"/>
  <c r="G358" i="40"/>
  <c r="V357" i="40"/>
  <c r="U357" i="40"/>
  <c r="Q357" i="40"/>
  <c r="K357" i="40"/>
  <c r="J357" i="40"/>
  <c r="G357" i="40"/>
  <c r="L357" i="40" s="1"/>
  <c r="V356" i="40"/>
  <c r="U356" i="40"/>
  <c r="Q356" i="40"/>
  <c r="L356" i="40"/>
  <c r="K356" i="40"/>
  <c r="J356" i="40"/>
  <c r="G356" i="40"/>
  <c r="V355" i="40"/>
  <c r="U355" i="40"/>
  <c r="Q355" i="40"/>
  <c r="L355" i="40"/>
  <c r="K355" i="40"/>
  <c r="J355" i="40"/>
  <c r="G355" i="40"/>
  <c r="V354" i="40"/>
  <c r="U354" i="40"/>
  <c r="Q354" i="40"/>
  <c r="K354" i="40"/>
  <c r="J354" i="40"/>
  <c r="G354" i="40"/>
  <c r="L354" i="40" s="1"/>
  <c r="V353" i="40"/>
  <c r="U353" i="40"/>
  <c r="Q353" i="40"/>
  <c r="K353" i="40"/>
  <c r="J353" i="40"/>
  <c r="G353" i="40"/>
  <c r="L353" i="40" s="1"/>
  <c r="V352" i="40"/>
  <c r="U352" i="40"/>
  <c r="Q352" i="40"/>
  <c r="K352" i="40"/>
  <c r="J352" i="40"/>
  <c r="G352" i="40"/>
  <c r="L352" i="40" s="1"/>
  <c r="V351" i="40"/>
  <c r="U351" i="40"/>
  <c r="Q351" i="40"/>
  <c r="K351" i="40"/>
  <c r="J351" i="40"/>
  <c r="G351" i="40"/>
  <c r="L351" i="40" s="1"/>
  <c r="V350" i="40"/>
  <c r="U350" i="40"/>
  <c r="Q350" i="40"/>
  <c r="L350" i="40"/>
  <c r="K350" i="40"/>
  <c r="J350" i="40"/>
  <c r="G350" i="40"/>
  <c r="V349" i="40"/>
  <c r="U349" i="40"/>
  <c r="Q349" i="40"/>
  <c r="K349" i="40"/>
  <c r="J349" i="40"/>
  <c r="G349" i="40"/>
  <c r="L349" i="40" s="1"/>
  <c r="V348" i="40"/>
  <c r="Q348" i="40"/>
  <c r="U348" i="40" s="1"/>
  <c r="K348" i="40"/>
  <c r="J348" i="40"/>
  <c r="G348" i="40"/>
  <c r="L348" i="40" s="1"/>
  <c r="V347" i="40"/>
  <c r="U347" i="40"/>
  <c r="Q347" i="40"/>
  <c r="K347" i="40"/>
  <c r="J347" i="40"/>
  <c r="G347" i="40"/>
  <c r="L347" i="40" s="1"/>
  <c r="V346" i="40"/>
  <c r="U346" i="40"/>
  <c r="Q346" i="40"/>
  <c r="K346" i="40"/>
  <c r="J346" i="40"/>
  <c r="G346" i="40"/>
  <c r="L346" i="40" s="1"/>
  <c r="V345" i="40"/>
  <c r="U345" i="40"/>
  <c r="Q345" i="40"/>
  <c r="K345" i="40"/>
  <c r="J345" i="40"/>
  <c r="G345" i="40"/>
  <c r="L345" i="40" s="1"/>
  <c r="V344" i="40"/>
  <c r="U344" i="40"/>
  <c r="Q344" i="40"/>
  <c r="K344" i="40"/>
  <c r="J344" i="40"/>
  <c r="G344" i="40"/>
  <c r="L344" i="40" s="1"/>
  <c r="V343" i="40"/>
  <c r="U343" i="40"/>
  <c r="Q343" i="40"/>
  <c r="K343" i="40"/>
  <c r="J343" i="40"/>
  <c r="G343" i="40"/>
  <c r="L343" i="40" s="1"/>
  <c r="V342" i="40"/>
  <c r="U342" i="40"/>
  <c r="Q342" i="40"/>
  <c r="K342" i="40"/>
  <c r="J342" i="40"/>
  <c r="G342" i="40"/>
  <c r="L342" i="40" s="1"/>
  <c r="V341" i="40"/>
  <c r="U341" i="40"/>
  <c r="Q341" i="40"/>
  <c r="K341" i="40"/>
  <c r="J341" i="40"/>
  <c r="G341" i="40"/>
  <c r="L341" i="40" s="1"/>
  <c r="V340" i="40"/>
  <c r="U340" i="40"/>
  <c r="Q340" i="40"/>
  <c r="K340" i="40"/>
  <c r="J340" i="40"/>
  <c r="G340" i="40"/>
  <c r="L340" i="40" s="1"/>
  <c r="V339" i="40"/>
  <c r="U339" i="40"/>
  <c r="Q339" i="40"/>
  <c r="L339" i="40"/>
  <c r="K339" i="40"/>
  <c r="J339" i="40"/>
  <c r="G339" i="40"/>
  <c r="V338" i="40"/>
  <c r="U338" i="40"/>
  <c r="Q338" i="40"/>
  <c r="K338" i="40"/>
  <c r="J338" i="40"/>
  <c r="G338" i="40"/>
  <c r="L338" i="40" s="1"/>
  <c r="V337" i="40"/>
  <c r="U337" i="40"/>
  <c r="Q337" i="40"/>
  <c r="L337" i="40"/>
  <c r="K337" i="40"/>
  <c r="J337" i="40"/>
  <c r="G337" i="40"/>
  <c r="V336" i="40"/>
  <c r="U336" i="40"/>
  <c r="Q336" i="40"/>
  <c r="K336" i="40"/>
  <c r="J336" i="40"/>
  <c r="G336" i="40"/>
  <c r="L336" i="40" s="1"/>
  <c r="V335" i="40"/>
  <c r="U335" i="40"/>
  <c r="Q335" i="40"/>
  <c r="K335" i="40"/>
  <c r="J335" i="40"/>
  <c r="G335" i="40"/>
  <c r="L335" i="40" s="1"/>
  <c r="V334" i="40"/>
  <c r="U334" i="40"/>
  <c r="Q334" i="40"/>
  <c r="K334" i="40"/>
  <c r="J334" i="40"/>
  <c r="G334" i="40"/>
  <c r="L334" i="40" s="1"/>
  <c r="V333" i="40"/>
  <c r="U333" i="40"/>
  <c r="Q333" i="40"/>
  <c r="L333" i="40"/>
  <c r="K333" i="40"/>
  <c r="J333" i="40"/>
  <c r="G333" i="40"/>
  <c r="V332" i="40"/>
  <c r="Q332" i="40"/>
  <c r="U332" i="40" s="1"/>
  <c r="K332" i="40"/>
  <c r="J332" i="40"/>
  <c r="G332" i="40"/>
  <c r="L332" i="40" s="1"/>
  <c r="V331" i="40"/>
  <c r="U331" i="40"/>
  <c r="Q331" i="40"/>
  <c r="K331" i="40"/>
  <c r="J331" i="40"/>
  <c r="G331" i="40"/>
  <c r="L331" i="40" s="1"/>
  <c r="V330" i="40"/>
  <c r="U330" i="40"/>
  <c r="Q330" i="40"/>
  <c r="K330" i="40"/>
  <c r="J330" i="40"/>
  <c r="G330" i="40"/>
  <c r="L330" i="40" s="1"/>
  <c r="V329" i="40"/>
  <c r="U329" i="40"/>
  <c r="Q329" i="40"/>
  <c r="K329" i="40"/>
  <c r="J329" i="40"/>
  <c r="G329" i="40"/>
  <c r="L329" i="40" s="1"/>
  <c r="V328" i="40"/>
  <c r="U328" i="40"/>
  <c r="Q328" i="40"/>
  <c r="K328" i="40"/>
  <c r="J328" i="40"/>
  <c r="G328" i="40"/>
  <c r="L328" i="40" s="1"/>
  <c r="V327" i="40"/>
  <c r="Q327" i="40"/>
  <c r="U327" i="40" s="1"/>
  <c r="K327" i="40"/>
  <c r="J327" i="40"/>
  <c r="G327" i="40"/>
  <c r="L327" i="40" s="1"/>
  <c r="V326" i="40"/>
  <c r="U326" i="40"/>
  <c r="Q326" i="40"/>
  <c r="K326" i="40"/>
  <c r="J326" i="40"/>
  <c r="G326" i="40"/>
  <c r="L326" i="40" s="1"/>
  <c r="V325" i="40"/>
  <c r="U325" i="40"/>
  <c r="Q325" i="40"/>
  <c r="K325" i="40"/>
  <c r="J325" i="40"/>
  <c r="G325" i="40"/>
  <c r="L325" i="40" s="1"/>
  <c r="V324" i="40"/>
  <c r="U324" i="40"/>
  <c r="Q324" i="40"/>
  <c r="K324" i="40"/>
  <c r="J324" i="40"/>
  <c r="G324" i="40"/>
  <c r="L324" i="40" s="1"/>
  <c r="V323" i="40"/>
  <c r="U323" i="40"/>
  <c r="Q323" i="40"/>
  <c r="K323" i="40"/>
  <c r="J323" i="40"/>
  <c r="G323" i="40"/>
  <c r="L323" i="40" s="1"/>
  <c r="V322" i="40"/>
  <c r="U322" i="40"/>
  <c r="Q322" i="40"/>
  <c r="L322" i="40"/>
  <c r="K322" i="40"/>
  <c r="J322" i="40"/>
  <c r="G322" i="40"/>
  <c r="V321" i="40"/>
  <c r="U321" i="40"/>
  <c r="Q321" i="40"/>
  <c r="K321" i="40"/>
  <c r="J321" i="40"/>
  <c r="G321" i="40"/>
  <c r="L321" i="40" s="1"/>
  <c r="V320" i="40"/>
  <c r="U320" i="40"/>
  <c r="Q320" i="40"/>
  <c r="K320" i="40"/>
  <c r="J320" i="40"/>
  <c r="G320" i="40"/>
  <c r="L320" i="40" s="1"/>
  <c r="V319" i="40"/>
  <c r="U319" i="40"/>
  <c r="Q319" i="40"/>
  <c r="K319" i="40"/>
  <c r="J319" i="40"/>
  <c r="G319" i="40"/>
  <c r="L319" i="40" s="1"/>
  <c r="V318" i="40"/>
  <c r="U318" i="40"/>
  <c r="Q318" i="40"/>
  <c r="K318" i="40"/>
  <c r="J318" i="40"/>
  <c r="G318" i="40"/>
  <c r="L318" i="40" s="1"/>
  <c r="V317" i="40"/>
  <c r="U317" i="40"/>
  <c r="Q317" i="40"/>
  <c r="L317" i="40"/>
  <c r="K317" i="40"/>
  <c r="J317" i="40"/>
  <c r="G317" i="40"/>
  <c r="V316" i="40"/>
  <c r="U316" i="40"/>
  <c r="Q316" i="40"/>
  <c r="K316" i="40"/>
  <c r="J316" i="40"/>
  <c r="G316" i="40"/>
  <c r="L316" i="40" s="1"/>
  <c r="V315" i="40"/>
  <c r="U315" i="40"/>
  <c r="Q315" i="40"/>
  <c r="L315" i="40"/>
  <c r="K315" i="40"/>
  <c r="J315" i="40"/>
  <c r="G315" i="40"/>
  <c r="V314" i="40"/>
  <c r="U314" i="40"/>
  <c r="Q314" i="40"/>
  <c r="K314" i="40"/>
  <c r="J314" i="40"/>
  <c r="G314" i="40"/>
  <c r="L314" i="40" s="1"/>
  <c r="V313" i="40"/>
  <c r="U313" i="40"/>
  <c r="Q313" i="40"/>
  <c r="K313" i="40"/>
  <c r="J313" i="40"/>
  <c r="G313" i="40"/>
  <c r="L313" i="40" s="1"/>
  <c r="V312" i="40"/>
  <c r="U312" i="40"/>
  <c r="Q312" i="40"/>
  <c r="K312" i="40"/>
  <c r="J312" i="40"/>
  <c r="G312" i="40"/>
  <c r="L312" i="40" s="1"/>
  <c r="V311" i="40"/>
  <c r="U311" i="40"/>
  <c r="Q311" i="40"/>
  <c r="K311" i="40"/>
  <c r="J311" i="40"/>
  <c r="G311" i="40"/>
  <c r="L311" i="40" s="1"/>
  <c r="V310" i="40"/>
  <c r="Q310" i="40"/>
  <c r="U310" i="40" s="1"/>
  <c r="K310" i="40"/>
  <c r="J310" i="40"/>
  <c r="G310" i="40"/>
  <c r="L310" i="40" s="1"/>
  <c r="V309" i="40"/>
  <c r="U309" i="40"/>
  <c r="Q309" i="40"/>
  <c r="L309" i="40"/>
  <c r="K309" i="40"/>
  <c r="J309" i="40"/>
  <c r="G309" i="40"/>
  <c r="V308" i="40"/>
  <c r="Q308" i="40"/>
  <c r="U308" i="40" s="1"/>
  <c r="K308" i="40"/>
  <c r="J308" i="40"/>
  <c r="G308" i="40"/>
  <c r="L308" i="40" s="1"/>
  <c r="V307" i="40"/>
  <c r="Q307" i="40"/>
  <c r="U307" i="40" s="1"/>
  <c r="K307" i="40"/>
  <c r="J307" i="40"/>
  <c r="G307" i="40"/>
  <c r="L307" i="40" s="1"/>
  <c r="V306" i="40"/>
  <c r="U306" i="40"/>
  <c r="Q306" i="40"/>
  <c r="K306" i="40"/>
  <c r="J306" i="40"/>
  <c r="G306" i="40"/>
  <c r="L306" i="40" s="1"/>
  <c r="V305" i="40"/>
  <c r="U305" i="40"/>
  <c r="Q305" i="40"/>
  <c r="L305" i="40"/>
  <c r="K305" i="40"/>
  <c r="J305" i="40"/>
  <c r="G305" i="40"/>
  <c r="V304" i="40"/>
  <c r="U304" i="40"/>
  <c r="Q304" i="40"/>
  <c r="K304" i="40"/>
  <c r="J304" i="40"/>
  <c r="G304" i="40"/>
  <c r="L304" i="40" s="1"/>
  <c r="V303" i="40"/>
  <c r="U303" i="40"/>
  <c r="Q303" i="40"/>
  <c r="K303" i="40"/>
  <c r="J303" i="40"/>
  <c r="G303" i="40"/>
  <c r="L303" i="40" s="1"/>
  <c r="V302" i="40"/>
  <c r="U302" i="40"/>
  <c r="Q302" i="40"/>
  <c r="K302" i="40"/>
  <c r="J302" i="40"/>
  <c r="G302" i="40"/>
  <c r="L302" i="40" s="1"/>
  <c r="V301" i="40"/>
  <c r="U301" i="40"/>
  <c r="Q301" i="40"/>
  <c r="K301" i="40"/>
  <c r="J301" i="40"/>
  <c r="G301" i="40"/>
  <c r="L301" i="40" s="1"/>
  <c r="V300" i="40"/>
  <c r="U300" i="40"/>
  <c r="Q300" i="40"/>
  <c r="L300" i="40"/>
  <c r="K300" i="40"/>
  <c r="J300" i="40"/>
  <c r="G300" i="40"/>
  <c r="V299" i="40"/>
  <c r="U299" i="40"/>
  <c r="Q299" i="40"/>
  <c r="L299" i="40"/>
  <c r="K299" i="40"/>
  <c r="J299" i="40"/>
  <c r="G299" i="40"/>
  <c r="V298" i="40"/>
  <c r="U298" i="40"/>
  <c r="Q298" i="40"/>
  <c r="K298" i="40"/>
  <c r="J298" i="40"/>
  <c r="G298" i="40"/>
  <c r="L298" i="40" s="1"/>
  <c r="V297" i="40"/>
  <c r="U297" i="40"/>
  <c r="Q297" i="40"/>
  <c r="L297" i="40"/>
  <c r="K297" i="40"/>
  <c r="J297" i="40"/>
  <c r="G297" i="40"/>
  <c r="V296" i="40"/>
  <c r="U296" i="40"/>
  <c r="Q296" i="40"/>
  <c r="K296" i="40"/>
  <c r="J296" i="40"/>
  <c r="G296" i="40"/>
  <c r="L296" i="40" s="1"/>
  <c r="V295" i="40"/>
  <c r="U295" i="40"/>
  <c r="Q295" i="40"/>
  <c r="K295" i="40"/>
  <c r="J295" i="40"/>
  <c r="G295" i="40"/>
  <c r="L295" i="40" s="1"/>
  <c r="V294" i="40"/>
  <c r="U294" i="40"/>
  <c r="Q294" i="40"/>
  <c r="L294" i="40"/>
  <c r="K294" i="40"/>
  <c r="J294" i="40"/>
  <c r="G294" i="40"/>
  <c r="V293" i="40"/>
  <c r="U293" i="40"/>
  <c r="Q293" i="40"/>
  <c r="L293" i="40"/>
  <c r="K293" i="40"/>
  <c r="J293" i="40"/>
  <c r="G293" i="40"/>
  <c r="V292" i="40"/>
  <c r="U292" i="40"/>
  <c r="Q292" i="40"/>
  <c r="K292" i="40"/>
  <c r="J292" i="40"/>
  <c r="G292" i="40"/>
  <c r="L292" i="40" s="1"/>
  <c r="V291" i="40"/>
  <c r="U291" i="40"/>
  <c r="Q291" i="40"/>
  <c r="L291" i="40"/>
  <c r="K291" i="40"/>
  <c r="J291" i="40"/>
  <c r="G291" i="40"/>
  <c r="V290" i="40"/>
  <c r="U290" i="40"/>
  <c r="Q290" i="40"/>
  <c r="K290" i="40"/>
  <c r="J290" i="40"/>
  <c r="G290" i="40"/>
  <c r="L290" i="40" s="1"/>
  <c r="V289" i="40"/>
  <c r="U289" i="40"/>
  <c r="Q289" i="40"/>
  <c r="K289" i="40"/>
  <c r="J289" i="40"/>
  <c r="G289" i="40"/>
  <c r="L289" i="40" s="1"/>
  <c r="V288" i="40"/>
  <c r="U288" i="40"/>
  <c r="Q288" i="40"/>
  <c r="K288" i="40"/>
  <c r="J288" i="40"/>
  <c r="G288" i="40"/>
  <c r="L288" i="40" s="1"/>
  <c r="V287" i="40"/>
  <c r="U287" i="40"/>
  <c r="Q287" i="40"/>
  <c r="K287" i="40"/>
  <c r="J287" i="40"/>
  <c r="G287" i="40"/>
  <c r="L287" i="40" s="1"/>
  <c r="V286" i="40"/>
  <c r="U286" i="40"/>
  <c r="Q286" i="40"/>
  <c r="K286" i="40"/>
  <c r="J286" i="40"/>
  <c r="G286" i="40"/>
  <c r="L286" i="40" s="1"/>
  <c r="V285" i="40"/>
  <c r="Q285" i="40"/>
  <c r="U285" i="40" s="1"/>
  <c r="K285" i="40"/>
  <c r="J285" i="40"/>
  <c r="G285" i="40"/>
  <c r="L285" i="40" s="1"/>
  <c r="V284" i="40"/>
  <c r="U284" i="40"/>
  <c r="Q284" i="40"/>
  <c r="K284" i="40"/>
  <c r="J284" i="40"/>
  <c r="G284" i="40"/>
  <c r="L284" i="40" s="1"/>
  <c r="V283" i="40"/>
  <c r="U283" i="40"/>
  <c r="Q283" i="40"/>
  <c r="K283" i="40"/>
  <c r="J283" i="40"/>
  <c r="G283" i="40"/>
  <c r="L283" i="40" s="1"/>
  <c r="V282" i="40"/>
  <c r="Q282" i="40"/>
  <c r="U282" i="40" s="1"/>
  <c r="K282" i="40"/>
  <c r="J282" i="40"/>
  <c r="G282" i="40"/>
  <c r="L282" i="40" s="1"/>
  <c r="V281" i="40"/>
  <c r="U281" i="40"/>
  <c r="Q281" i="40"/>
  <c r="K281" i="40"/>
  <c r="J281" i="40"/>
  <c r="G281" i="40"/>
  <c r="L281" i="40" s="1"/>
  <c r="V280" i="40"/>
  <c r="U280" i="40"/>
  <c r="Q280" i="40"/>
  <c r="K280" i="40"/>
  <c r="J280" i="40"/>
  <c r="G280" i="40"/>
  <c r="L280" i="40" s="1"/>
  <c r="V279" i="40"/>
  <c r="U279" i="40"/>
  <c r="Q279" i="40"/>
  <c r="K279" i="40"/>
  <c r="J279" i="40"/>
  <c r="G279" i="40"/>
  <c r="L279" i="40" s="1"/>
  <c r="V278" i="40"/>
  <c r="U278" i="40"/>
  <c r="Q278" i="40"/>
  <c r="K278" i="40"/>
  <c r="J278" i="40"/>
  <c r="G278" i="40"/>
  <c r="L278" i="40" s="1"/>
  <c r="V277" i="40"/>
  <c r="U277" i="40"/>
  <c r="Q277" i="40"/>
  <c r="K277" i="40"/>
  <c r="J277" i="40"/>
  <c r="G277" i="40"/>
  <c r="L277" i="40" s="1"/>
  <c r="V276" i="40"/>
  <c r="U276" i="40"/>
  <c r="Q276" i="40"/>
  <c r="K276" i="40"/>
  <c r="J276" i="40"/>
  <c r="G276" i="40"/>
  <c r="L276" i="40" s="1"/>
  <c r="V275" i="40"/>
  <c r="U275" i="40"/>
  <c r="Q275" i="40"/>
  <c r="L275" i="40"/>
  <c r="K275" i="40"/>
  <c r="J275" i="40"/>
  <c r="G275" i="40"/>
  <c r="V274" i="40"/>
  <c r="U274" i="40"/>
  <c r="Q274" i="40"/>
  <c r="L274" i="40"/>
  <c r="K274" i="40"/>
  <c r="J274" i="40"/>
  <c r="G274" i="40"/>
  <c r="V273" i="40"/>
  <c r="U273" i="40"/>
  <c r="Q273" i="40"/>
  <c r="L273" i="40"/>
  <c r="K273" i="40"/>
  <c r="J273" i="40"/>
  <c r="G273" i="40"/>
  <c r="V272" i="40"/>
  <c r="U272" i="40"/>
  <c r="Q272" i="40"/>
  <c r="K272" i="40"/>
  <c r="J272" i="40"/>
  <c r="G272" i="40"/>
  <c r="L272" i="40" s="1"/>
  <c r="V271" i="40"/>
  <c r="U271" i="40"/>
  <c r="Q271" i="40"/>
  <c r="K271" i="40"/>
  <c r="J271" i="40"/>
  <c r="G271" i="40"/>
  <c r="L271" i="40" s="1"/>
  <c r="V270" i="40"/>
  <c r="U270" i="40"/>
  <c r="Q270" i="40"/>
  <c r="K270" i="40"/>
  <c r="J270" i="40"/>
  <c r="G270" i="40"/>
  <c r="L270" i="40" s="1"/>
  <c r="V269" i="40"/>
  <c r="U269" i="40"/>
  <c r="Q269" i="40"/>
  <c r="K269" i="40"/>
  <c r="J269" i="40"/>
  <c r="G269" i="40"/>
  <c r="L269" i="40" s="1"/>
  <c r="V268" i="40"/>
  <c r="U268" i="40"/>
  <c r="Q268" i="40"/>
  <c r="L268" i="40"/>
  <c r="K268" i="40"/>
  <c r="J268" i="40"/>
  <c r="G268" i="40"/>
  <c r="V267" i="40"/>
  <c r="U267" i="40"/>
  <c r="Q267" i="40"/>
  <c r="K267" i="40"/>
  <c r="J267" i="40"/>
  <c r="G267" i="40"/>
  <c r="L267" i="40" s="1"/>
  <c r="V266" i="40"/>
  <c r="U266" i="40"/>
  <c r="Q266" i="40"/>
  <c r="L266" i="40"/>
  <c r="K266" i="40"/>
  <c r="J266" i="40"/>
  <c r="G266" i="40"/>
  <c r="V265" i="40"/>
  <c r="U265" i="40"/>
  <c r="Q265" i="40"/>
  <c r="K265" i="40"/>
  <c r="J265" i="40"/>
  <c r="G265" i="40"/>
  <c r="L265" i="40" s="1"/>
  <c r="V264" i="40"/>
  <c r="U264" i="40"/>
  <c r="Q264" i="40"/>
  <c r="K264" i="40"/>
  <c r="J264" i="40"/>
  <c r="G264" i="40"/>
  <c r="L264" i="40" s="1"/>
  <c r="V263" i="40"/>
  <c r="U263" i="40"/>
  <c r="Q263" i="40"/>
  <c r="K263" i="40"/>
  <c r="J263" i="40"/>
  <c r="G263" i="40"/>
  <c r="L263" i="40" s="1"/>
  <c r="V262" i="40"/>
  <c r="U262" i="40"/>
  <c r="Q262" i="40"/>
  <c r="K262" i="40"/>
  <c r="J262" i="40"/>
  <c r="G262" i="40"/>
  <c r="L262" i="40" s="1"/>
  <c r="V261" i="40"/>
  <c r="U261" i="40"/>
  <c r="Q261" i="40"/>
  <c r="L261" i="40"/>
  <c r="K261" i="40"/>
  <c r="J261" i="40"/>
  <c r="G261" i="40"/>
  <c r="V260" i="40"/>
  <c r="U260" i="40"/>
  <c r="Q260" i="40"/>
  <c r="K260" i="40"/>
  <c r="J260" i="40"/>
  <c r="G260" i="40"/>
  <c r="L260" i="40" s="1"/>
  <c r="V259" i="40"/>
  <c r="U259" i="40"/>
  <c r="Q259" i="40"/>
  <c r="K259" i="40"/>
  <c r="J259" i="40"/>
  <c r="G259" i="40"/>
  <c r="L259" i="40" s="1"/>
  <c r="V258" i="40"/>
  <c r="U258" i="40"/>
  <c r="Q258" i="40"/>
  <c r="K258" i="40"/>
  <c r="J258" i="40"/>
  <c r="G258" i="40"/>
  <c r="L258" i="40" s="1"/>
  <c r="V257" i="40"/>
  <c r="U257" i="40"/>
  <c r="Q257" i="40"/>
  <c r="K257" i="40"/>
  <c r="J257" i="40"/>
  <c r="G257" i="40"/>
  <c r="L257" i="40" s="1"/>
  <c r="V256" i="40"/>
  <c r="U256" i="40"/>
  <c r="Q256" i="40"/>
  <c r="K256" i="40"/>
  <c r="J256" i="40"/>
  <c r="G256" i="40"/>
  <c r="L256" i="40" s="1"/>
  <c r="V255" i="40"/>
  <c r="U255" i="40"/>
  <c r="Q255" i="40"/>
  <c r="K255" i="40"/>
  <c r="J255" i="40"/>
  <c r="G255" i="40"/>
  <c r="L255" i="40" s="1"/>
  <c r="V254" i="40"/>
  <c r="Q254" i="40"/>
  <c r="U254" i="40" s="1"/>
  <c r="K254" i="40"/>
  <c r="J254" i="40"/>
  <c r="G254" i="40"/>
  <c r="L254" i="40" s="1"/>
  <c r="V253" i="40"/>
  <c r="U253" i="40"/>
  <c r="Q253" i="40"/>
  <c r="K253" i="40"/>
  <c r="J253" i="40"/>
  <c r="G253" i="40"/>
  <c r="L253" i="40" s="1"/>
  <c r="V252" i="40"/>
  <c r="Q252" i="40"/>
  <c r="U252" i="40" s="1"/>
  <c r="K252" i="40"/>
  <c r="J252" i="40"/>
  <c r="G252" i="40"/>
  <c r="L252" i="40" s="1"/>
  <c r="V251" i="40"/>
  <c r="U251" i="40"/>
  <c r="Q251" i="40"/>
  <c r="L251" i="40"/>
  <c r="K251" i="40"/>
  <c r="J251" i="40"/>
  <c r="G251" i="40"/>
  <c r="V250" i="40"/>
  <c r="U250" i="40"/>
  <c r="Q250" i="40"/>
  <c r="K250" i="40"/>
  <c r="J250" i="40"/>
  <c r="G250" i="40"/>
  <c r="L250" i="40" s="1"/>
  <c r="V249" i="40"/>
  <c r="U249" i="40"/>
  <c r="Q249" i="40"/>
  <c r="L249" i="40"/>
  <c r="K249" i="40"/>
  <c r="J249" i="40"/>
  <c r="G249" i="40"/>
  <c r="V248" i="40"/>
  <c r="U248" i="40"/>
  <c r="Q248" i="40"/>
  <c r="K248" i="40"/>
  <c r="J248" i="40"/>
  <c r="G248" i="40"/>
  <c r="L248" i="40" s="1"/>
  <c r="V247" i="40"/>
  <c r="U247" i="40"/>
  <c r="Q247" i="40"/>
  <c r="K247" i="40"/>
  <c r="J247" i="40"/>
  <c r="G247" i="40"/>
  <c r="L247" i="40" s="1"/>
  <c r="V246" i="40"/>
  <c r="U246" i="40"/>
  <c r="Q246" i="40"/>
  <c r="K246" i="40"/>
  <c r="J246" i="40"/>
  <c r="G246" i="40"/>
  <c r="L246" i="40" s="1"/>
  <c r="V245" i="40"/>
  <c r="U245" i="40"/>
  <c r="Q245" i="40"/>
  <c r="K245" i="40"/>
  <c r="J245" i="40"/>
  <c r="G245" i="40"/>
  <c r="L245" i="40" s="1"/>
  <c r="V244" i="40"/>
  <c r="U244" i="40"/>
  <c r="Q244" i="40"/>
  <c r="L244" i="40"/>
  <c r="K244" i="40"/>
  <c r="J244" i="40"/>
  <c r="G244" i="40"/>
  <c r="V243" i="40"/>
  <c r="U243" i="40"/>
  <c r="Q243" i="40"/>
  <c r="K243" i="40"/>
  <c r="J243" i="40"/>
  <c r="G243" i="40"/>
  <c r="L243" i="40" s="1"/>
  <c r="V242" i="40"/>
  <c r="U242" i="40"/>
  <c r="Q242" i="40"/>
  <c r="L242" i="40"/>
  <c r="K242" i="40"/>
  <c r="J242" i="40"/>
  <c r="G242" i="40"/>
  <c r="V241" i="40"/>
  <c r="U241" i="40"/>
  <c r="Q241" i="40"/>
  <c r="K241" i="40"/>
  <c r="J241" i="40"/>
  <c r="G241" i="40"/>
  <c r="L241" i="40" s="1"/>
  <c r="V240" i="40"/>
  <c r="U240" i="40"/>
  <c r="Q240" i="40"/>
  <c r="K240" i="40"/>
  <c r="J240" i="40"/>
  <c r="G240" i="40"/>
  <c r="L240" i="40" s="1"/>
  <c r="V239" i="40"/>
  <c r="U239" i="40"/>
  <c r="Q239" i="40"/>
  <c r="K239" i="40"/>
  <c r="J239" i="40"/>
  <c r="G239" i="40"/>
  <c r="L239" i="40" s="1"/>
  <c r="V238" i="40"/>
  <c r="U238" i="40"/>
  <c r="Q238" i="40"/>
  <c r="K238" i="40"/>
  <c r="J238" i="40"/>
  <c r="G238" i="40"/>
  <c r="L238" i="40" s="1"/>
  <c r="V237" i="40"/>
  <c r="U237" i="40"/>
  <c r="Q237" i="40"/>
  <c r="L237" i="40"/>
  <c r="K237" i="40"/>
  <c r="J237" i="40"/>
  <c r="G237" i="40"/>
  <c r="V236" i="40"/>
  <c r="U236" i="40"/>
  <c r="Q236" i="40"/>
  <c r="K236" i="40"/>
  <c r="J236" i="40"/>
  <c r="G236" i="40"/>
  <c r="L236" i="40" s="1"/>
  <c r="V235" i="40"/>
  <c r="U235" i="40"/>
  <c r="Q235" i="40"/>
  <c r="K235" i="40"/>
  <c r="J235" i="40"/>
  <c r="G235" i="40"/>
  <c r="L235" i="40" s="1"/>
  <c r="V234" i="40"/>
  <c r="U234" i="40"/>
  <c r="Q234" i="40"/>
  <c r="K234" i="40"/>
  <c r="J234" i="40"/>
  <c r="G234" i="40"/>
  <c r="L234" i="40" s="1"/>
  <c r="V233" i="40"/>
  <c r="U233" i="40"/>
  <c r="Q233" i="40"/>
  <c r="K233" i="40"/>
  <c r="J233" i="40"/>
  <c r="G233" i="40"/>
  <c r="L233" i="40" s="1"/>
  <c r="V232" i="40"/>
  <c r="U232" i="40"/>
  <c r="Q232" i="40"/>
  <c r="K232" i="40"/>
  <c r="J232" i="40"/>
  <c r="G232" i="40"/>
  <c r="L232" i="40" s="1"/>
  <c r="V231" i="40"/>
  <c r="U231" i="40"/>
  <c r="Q231" i="40"/>
  <c r="K231" i="40"/>
  <c r="J231" i="40"/>
  <c r="G231" i="40"/>
  <c r="L231" i="40" s="1"/>
  <c r="V230" i="40"/>
  <c r="U230" i="40"/>
  <c r="Q230" i="40"/>
  <c r="L230" i="40"/>
  <c r="K230" i="40"/>
  <c r="J230" i="40"/>
  <c r="G230" i="40"/>
  <c r="V229" i="40"/>
  <c r="U229" i="40"/>
  <c r="Q229" i="40"/>
  <c r="K229" i="40"/>
  <c r="J229" i="40"/>
  <c r="G229" i="40"/>
  <c r="L229" i="40" s="1"/>
  <c r="V228" i="40"/>
  <c r="U228" i="40"/>
  <c r="Q228" i="40"/>
  <c r="K228" i="40"/>
  <c r="J228" i="40"/>
  <c r="G228" i="40"/>
  <c r="L228" i="40" s="1"/>
  <c r="V227" i="40"/>
  <c r="U227" i="40"/>
  <c r="Q227" i="40"/>
  <c r="K227" i="40"/>
  <c r="J227" i="40"/>
  <c r="G227" i="40"/>
  <c r="L227" i="40" s="1"/>
  <c r="V226" i="40"/>
  <c r="U226" i="40"/>
  <c r="Q226" i="40"/>
  <c r="K226" i="40"/>
  <c r="J226" i="40"/>
  <c r="G226" i="40"/>
  <c r="L226" i="40" s="1"/>
  <c r="V225" i="40"/>
  <c r="U225" i="40"/>
  <c r="Q225" i="40"/>
  <c r="K225" i="40"/>
  <c r="J225" i="40"/>
  <c r="G225" i="40"/>
  <c r="L225" i="40" s="1"/>
  <c r="V224" i="40"/>
  <c r="U224" i="40"/>
  <c r="Q224" i="40"/>
  <c r="K224" i="40"/>
  <c r="J224" i="40"/>
  <c r="G224" i="40"/>
  <c r="L224" i="40" s="1"/>
  <c r="V223" i="40"/>
  <c r="U223" i="40"/>
  <c r="Q223" i="40"/>
  <c r="K223" i="40"/>
  <c r="J223" i="40"/>
  <c r="G223" i="40"/>
  <c r="L223" i="40" s="1"/>
  <c r="V222" i="40"/>
  <c r="U222" i="40"/>
  <c r="Q222" i="40"/>
  <c r="K222" i="40"/>
  <c r="J222" i="40"/>
  <c r="G222" i="40"/>
  <c r="L222" i="40" s="1"/>
  <c r="V221" i="40"/>
  <c r="U221" i="40"/>
  <c r="Q221" i="40"/>
  <c r="K221" i="40"/>
  <c r="J221" i="40"/>
  <c r="G221" i="40"/>
  <c r="L221" i="40" s="1"/>
  <c r="V220" i="40"/>
  <c r="U220" i="40"/>
  <c r="Q220" i="40"/>
  <c r="K220" i="40"/>
  <c r="J220" i="40"/>
  <c r="G220" i="40"/>
  <c r="L220" i="40" s="1"/>
  <c r="V219" i="40"/>
  <c r="U219" i="40"/>
  <c r="Q219" i="40"/>
  <c r="L219" i="40"/>
  <c r="K219" i="40"/>
  <c r="J219" i="40"/>
  <c r="G219" i="40"/>
  <c r="V218" i="40"/>
  <c r="U218" i="40"/>
  <c r="Q218" i="40"/>
  <c r="K218" i="40"/>
  <c r="J218" i="40"/>
  <c r="G218" i="40"/>
  <c r="L218" i="40" s="1"/>
  <c r="V217" i="40"/>
  <c r="U217" i="40"/>
  <c r="Q217" i="40"/>
  <c r="K217" i="40"/>
  <c r="J217" i="40"/>
  <c r="G217" i="40"/>
  <c r="L217" i="40" s="1"/>
  <c r="V216" i="40"/>
  <c r="U216" i="40"/>
  <c r="Q216" i="40"/>
  <c r="K216" i="40"/>
  <c r="J216" i="40"/>
  <c r="G216" i="40"/>
  <c r="L216" i="40" s="1"/>
  <c r="V215" i="40"/>
  <c r="U215" i="40"/>
  <c r="Q215" i="40"/>
  <c r="K215" i="40"/>
  <c r="J215" i="40"/>
  <c r="G215" i="40"/>
  <c r="L215" i="40" s="1"/>
  <c r="V214" i="40"/>
  <c r="U214" i="40"/>
  <c r="Q214" i="40"/>
  <c r="K214" i="40"/>
  <c r="J214" i="40"/>
  <c r="G214" i="40"/>
  <c r="L214" i="40" s="1"/>
  <c r="V213" i="40"/>
  <c r="U213" i="40"/>
  <c r="Q213" i="40"/>
  <c r="K213" i="40"/>
  <c r="J213" i="40"/>
  <c r="G213" i="40"/>
  <c r="L213" i="40" s="1"/>
  <c r="V212" i="40"/>
  <c r="U212" i="40"/>
  <c r="Q212" i="40"/>
  <c r="K212" i="40"/>
  <c r="J212" i="40"/>
  <c r="G212" i="40"/>
  <c r="L212" i="40" s="1"/>
  <c r="V211" i="40"/>
  <c r="U211" i="40"/>
  <c r="Q211" i="40"/>
  <c r="L211" i="40"/>
  <c r="K211" i="40"/>
  <c r="J211" i="40"/>
  <c r="G211" i="40"/>
  <c r="V210" i="40"/>
  <c r="U210" i="40"/>
  <c r="Q210" i="40"/>
  <c r="L210" i="40"/>
  <c r="K210" i="40"/>
  <c r="J210" i="40"/>
  <c r="G210" i="40"/>
  <c r="V209" i="40"/>
  <c r="Q209" i="40"/>
  <c r="U209" i="40" s="1"/>
  <c r="K209" i="40"/>
  <c r="J209" i="40"/>
  <c r="G209" i="40"/>
  <c r="L209" i="40" s="1"/>
  <c r="V208" i="40"/>
  <c r="U208" i="40"/>
  <c r="Q208" i="40"/>
  <c r="K208" i="40"/>
  <c r="J208" i="40"/>
  <c r="G208" i="40"/>
  <c r="L208" i="40" s="1"/>
  <c r="V207" i="40"/>
  <c r="U207" i="40"/>
  <c r="Q207" i="40"/>
  <c r="K207" i="40"/>
  <c r="J207" i="40"/>
  <c r="G207" i="40"/>
  <c r="L207" i="40" s="1"/>
  <c r="V206" i="40"/>
  <c r="U206" i="40"/>
  <c r="Q206" i="40"/>
  <c r="L206" i="40"/>
  <c r="K206" i="40"/>
  <c r="J206" i="40"/>
  <c r="G206" i="40"/>
  <c r="V205" i="40"/>
  <c r="U205" i="40"/>
  <c r="Q205" i="40"/>
  <c r="L205" i="40"/>
  <c r="K205" i="40"/>
  <c r="J205" i="40"/>
  <c r="G205" i="40"/>
  <c r="V204" i="40"/>
  <c r="U204" i="40"/>
  <c r="Q204" i="40"/>
  <c r="L204" i="40"/>
  <c r="K204" i="40"/>
  <c r="J204" i="40"/>
  <c r="G204" i="40"/>
  <c r="V203" i="40"/>
  <c r="U203" i="40"/>
  <c r="Q203" i="40"/>
  <c r="K203" i="40"/>
  <c r="J203" i="40"/>
  <c r="G203" i="40"/>
  <c r="L203" i="40" s="1"/>
  <c r="V202" i="40"/>
  <c r="U202" i="40"/>
  <c r="Q202" i="40"/>
  <c r="K202" i="40"/>
  <c r="J202" i="40"/>
  <c r="G202" i="40"/>
  <c r="L202" i="40" s="1"/>
  <c r="V201" i="40"/>
  <c r="U201" i="40"/>
  <c r="Q201" i="40"/>
  <c r="K201" i="40"/>
  <c r="J201" i="40"/>
  <c r="G201" i="40"/>
  <c r="L201" i="40" s="1"/>
  <c r="V200" i="40"/>
  <c r="U200" i="40"/>
  <c r="Q200" i="40"/>
  <c r="K200" i="40"/>
  <c r="J200" i="40"/>
  <c r="G200" i="40"/>
  <c r="L200" i="40" s="1"/>
  <c r="V199" i="40"/>
  <c r="Q199" i="40"/>
  <c r="U199" i="40" s="1"/>
  <c r="K199" i="40"/>
  <c r="J199" i="40"/>
  <c r="G199" i="40"/>
  <c r="L199" i="40" s="1"/>
  <c r="V198" i="40"/>
  <c r="U198" i="40"/>
  <c r="Q198" i="40"/>
  <c r="K198" i="40"/>
  <c r="J198" i="40"/>
  <c r="G198" i="40"/>
  <c r="L198" i="40" s="1"/>
  <c r="V197" i="40"/>
  <c r="U197" i="40"/>
  <c r="Q197" i="40"/>
  <c r="K197" i="40"/>
  <c r="J197" i="40"/>
  <c r="G197" i="40"/>
  <c r="L197" i="40" s="1"/>
  <c r="V196" i="40"/>
  <c r="U196" i="40"/>
  <c r="Q196" i="40"/>
  <c r="K196" i="40"/>
  <c r="J196" i="40"/>
  <c r="G196" i="40"/>
  <c r="L196" i="40" s="1"/>
  <c r="V195" i="40"/>
  <c r="U195" i="40"/>
  <c r="Q195" i="40"/>
  <c r="K195" i="40"/>
  <c r="J195" i="40"/>
  <c r="G195" i="40"/>
  <c r="L195" i="40" s="1"/>
  <c r="V194" i="40"/>
  <c r="U194" i="40"/>
  <c r="Q194" i="40"/>
  <c r="K194" i="40"/>
  <c r="J194" i="40"/>
  <c r="G194" i="40"/>
  <c r="L194" i="40" s="1"/>
  <c r="V193" i="40"/>
  <c r="U193" i="40"/>
  <c r="Q193" i="40"/>
  <c r="K193" i="40"/>
  <c r="J193" i="40"/>
  <c r="G193" i="40"/>
  <c r="L193" i="40" s="1"/>
  <c r="V192" i="40"/>
  <c r="U192" i="40"/>
  <c r="Q192" i="40"/>
  <c r="K192" i="40"/>
  <c r="J192" i="40"/>
  <c r="G192" i="40"/>
  <c r="L192" i="40" s="1"/>
  <c r="V191" i="40"/>
  <c r="U191" i="40"/>
  <c r="Q191" i="40"/>
  <c r="K191" i="40"/>
  <c r="J191" i="40"/>
  <c r="G191" i="40"/>
  <c r="L191" i="40" s="1"/>
  <c r="V190" i="40"/>
  <c r="U190" i="40"/>
  <c r="Q190" i="40"/>
  <c r="K190" i="40"/>
  <c r="J190" i="40"/>
  <c r="G190" i="40"/>
  <c r="L190" i="40" s="1"/>
  <c r="V189" i="40"/>
  <c r="U189" i="40"/>
  <c r="Q189" i="40"/>
  <c r="K189" i="40"/>
  <c r="J189" i="40"/>
  <c r="G189" i="40"/>
  <c r="L189" i="40" s="1"/>
  <c r="V188" i="40"/>
  <c r="U188" i="40"/>
  <c r="Q188" i="40"/>
  <c r="K188" i="40"/>
  <c r="J188" i="40"/>
  <c r="G188" i="40"/>
  <c r="L188" i="40" s="1"/>
  <c r="V187" i="40"/>
  <c r="U187" i="40"/>
  <c r="Q187" i="40"/>
  <c r="L187" i="40"/>
  <c r="K187" i="40"/>
  <c r="J187" i="40"/>
  <c r="G187" i="40"/>
  <c r="V186" i="40"/>
  <c r="U186" i="40"/>
  <c r="Q186" i="40"/>
  <c r="L186" i="40"/>
  <c r="K186" i="40"/>
  <c r="J186" i="40"/>
  <c r="G186" i="40"/>
  <c r="V185" i="40"/>
  <c r="U185" i="40"/>
  <c r="Q185" i="40"/>
  <c r="L185" i="40"/>
  <c r="K185" i="40"/>
  <c r="J185" i="40"/>
  <c r="G185" i="40"/>
  <c r="V184" i="40"/>
  <c r="U184" i="40"/>
  <c r="Q184" i="40"/>
  <c r="K184" i="40"/>
  <c r="J184" i="40"/>
  <c r="G184" i="40"/>
  <c r="L184" i="40" s="1"/>
  <c r="V183" i="40"/>
  <c r="U183" i="40"/>
  <c r="Q183" i="40"/>
  <c r="K183" i="40"/>
  <c r="J183" i="40"/>
  <c r="G183" i="40"/>
  <c r="L183" i="40" s="1"/>
  <c r="V182" i="40"/>
  <c r="U182" i="40"/>
  <c r="Q182" i="40"/>
  <c r="K182" i="40"/>
  <c r="J182" i="40"/>
  <c r="G182" i="40"/>
  <c r="L182" i="40" s="1"/>
  <c r="V181" i="40"/>
  <c r="U181" i="40"/>
  <c r="Q181" i="40"/>
  <c r="L181" i="40"/>
  <c r="K181" i="40"/>
  <c r="J181" i="40"/>
  <c r="G181" i="40"/>
  <c r="V180" i="40"/>
  <c r="U180" i="40"/>
  <c r="Q180" i="40"/>
  <c r="L180" i="40"/>
  <c r="K180" i="40"/>
  <c r="J180" i="40"/>
  <c r="G180" i="40"/>
  <c r="V179" i="40"/>
  <c r="U179" i="40"/>
  <c r="Q179" i="40"/>
  <c r="L179" i="40"/>
  <c r="K179" i="40"/>
  <c r="J179" i="40"/>
  <c r="G179" i="40"/>
  <c r="V178" i="40"/>
  <c r="U178" i="40"/>
  <c r="Q178" i="40"/>
  <c r="K178" i="40"/>
  <c r="J178" i="40"/>
  <c r="G178" i="40"/>
  <c r="L178" i="40" s="1"/>
  <c r="V177" i="40"/>
  <c r="U177" i="40"/>
  <c r="Q177" i="40"/>
  <c r="K177" i="40"/>
  <c r="J177" i="40"/>
  <c r="G177" i="40"/>
  <c r="L177" i="40" s="1"/>
  <c r="V176" i="40"/>
  <c r="U176" i="40"/>
  <c r="Q176" i="40"/>
  <c r="K176" i="40"/>
  <c r="J176" i="40"/>
  <c r="G176" i="40"/>
  <c r="L176" i="40" s="1"/>
  <c r="V175" i="40"/>
  <c r="U175" i="40"/>
  <c r="Q175" i="40"/>
  <c r="K175" i="40"/>
  <c r="J175" i="40"/>
  <c r="G175" i="40"/>
  <c r="L175" i="40" s="1"/>
  <c r="V174" i="40"/>
  <c r="U174" i="40"/>
  <c r="Q174" i="40"/>
  <c r="K174" i="40"/>
  <c r="J174" i="40"/>
  <c r="G174" i="40"/>
  <c r="L174" i="40" s="1"/>
  <c r="V173" i="40"/>
  <c r="U173" i="40"/>
  <c r="Q173" i="40"/>
  <c r="L173" i="40"/>
  <c r="K173" i="40"/>
  <c r="J173" i="40"/>
  <c r="G173" i="40"/>
  <c r="V172" i="40"/>
  <c r="U172" i="40"/>
  <c r="Q172" i="40"/>
  <c r="K172" i="40"/>
  <c r="J172" i="40"/>
  <c r="G172" i="40"/>
  <c r="L172" i="40" s="1"/>
  <c r="V171" i="40"/>
  <c r="U171" i="40"/>
  <c r="Q171" i="40"/>
  <c r="K171" i="40"/>
  <c r="J171" i="40"/>
  <c r="G171" i="40"/>
  <c r="L171" i="40" s="1"/>
  <c r="V170" i="40"/>
  <c r="U170" i="40"/>
  <c r="Q170" i="40"/>
  <c r="K170" i="40"/>
  <c r="J170" i="40"/>
  <c r="G170" i="40"/>
  <c r="L170" i="40" s="1"/>
  <c r="V169" i="40"/>
  <c r="U169" i="40"/>
  <c r="Q169" i="40"/>
  <c r="K169" i="40"/>
  <c r="J169" i="40"/>
  <c r="G169" i="40"/>
  <c r="L169" i="40" s="1"/>
  <c r="V168" i="40"/>
  <c r="U168" i="40"/>
  <c r="Q168" i="40"/>
  <c r="K168" i="40"/>
  <c r="J168" i="40"/>
  <c r="G168" i="40"/>
  <c r="L168" i="40" s="1"/>
  <c r="V167" i="40"/>
  <c r="U167" i="40"/>
  <c r="Q167" i="40"/>
  <c r="K167" i="40"/>
  <c r="J167" i="40"/>
  <c r="G167" i="40"/>
  <c r="L167" i="40" s="1"/>
  <c r="V166" i="40"/>
  <c r="U166" i="40"/>
  <c r="Q166" i="40"/>
  <c r="K166" i="40"/>
  <c r="J166" i="40"/>
  <c r="G166" i="40"/>
  <c r="L166" i="40" s="1"/>
  <c r="V165" i="40"/>
  <c r="U165" i="40"/>
  <c r="Q165" i="40"/>
  <c r="K165" i="40"/>
  <c r="J165" i="40"/>
  <c r="G165" i="40"/>
  <c r="L165" i="40" s="1"/>
  <c r="V164" i="40"/>
  <c r="U164" i="40"/>
  <c r="Q164" i="40"/>
  <c r="K164" i="40"/>
  <c r="J164" i="40"/>
  <c r="G164" i="40"/>
  <c r="L164" i="40" s="1"/>
  <c r="V163" i="40"/>
  <c r="U163" i="40"/>
  <c r="Q163" i="40"/>
  <c r="K163" i="40"/>
  <c r="J163" i="40"/>
  <c r="G163" i="40"/>
  <c r="L163" i="40" s="1"/>
  <c r="V162" i="40"/>
  <c r="U162" i="40"/>
  <c r="Q162" i="40"/>
  <c r="K162" i="40"/>
  <c r="J162" i="40"/>
  <c r="G162" i="40"/>
  <c r="L162" i="40" s="1"/>
  <c r="V161" i="40"/>
  <c r="U161" i="40"/>
  <c r="Q161" i="40"/>
  <c r="L161" i="40"/>
  <c r="K161" i="40"/>
  <c r="J161" i="40"/>
  <c r="G161" i="40"/>
  <c r="V160" i="40"/>
  <c r="U160" i="40"/>
  <c r="Q160" i="40"/>
  <c r="K160" i="40"/>
  <c r="J160" i="40"/>
  <c r="G160" i="40"/>
  <c r="L160" i="40" s="1"/>
  <c r="V159" i="40"/>
  <c r="U159" i="40"/>
  <c r="Q159" i="40"/>
  <c r="K159" i="40"/>
  <c r="J159" i="40"/>
  <c r="G159" i="40"/>
  <c r="L159" i="40" s="1"/>
  <c r="V158" i="40"/>
  <c r="U158" i="40"/>
  <c r="Q158" i="40"/>
  <c r="K158" i="40"/>
  <c r="J158" i="40"/>
  <c r="G158" i="40"/>
  <c r="L158" i="40" s="1"/>
  <c r="V157" i="40"/>
  <c r="U157" i="40"/>
  <c r="Q157" i="40"/>
  <c r="K157" i="40"/>
  <c r="J157" i="40"/>
  <c r="G157" i="40"/>
  <c r="L157" i="40" s="1"/>
  <c r="V156" i="40"/>
  <c r="U156" i="40"/>
  <c r="Q156" i="40"/>
  <c r="K156" i="40"/>
  <c r="J156" i="40"/>
  <c r="G156" i="40"/>
  <c r="L156" i="40" s="1"/>
  <c r="V155" i="40"/>
  <c r="U155" i="40"/>
  <c r="Q155" i="40"/>
  <c r="L155" i="40"/>
  <c r="K155" i="40"/>
  <c r="J155" i="40"/>
  <c r="G155" i="40"/>
  <c r="V154" i="40"/>
  <c r="U154" i="40"/>
  <c r="Q154" i="40"/>
  <c r="K154" i="40"/>
  <c r="J154" i="40"/>
  <c r="G154" i="40"/>
  <c r="L154" i="40" s="1"/>
  <c r="V153" i="40"/>
  <c r="U153" i="40"/>
  <c r="Q153" i="40"/>
  <c r="L153" i="40"/>
  <c r="K153" i="40"/>
  <c r="J153" i="40"/>
  <c r="G153" i="40"/>
  <c r="V152" i="40"/>
  <c r="U152" i="40"/>
  <c r="Q152" i="40"/>
  <c r="K152" i="40"/>
  <c r="J152" i="40"/>
  <c r="G152" i="40"/>
  <c r="L152" i="40" s="1"/>
  <c r="V151" i="40"/>
  <c r="U151" i="40"/>
  <c r="Q151" i="40"/>
  <c r="K151" i="40"/>
  <c r="J151" i="40"/>
  <c r="G151" i="40"/>
  <c r="L151" i="40" s="1"/>
  <c r="V150" i="40"/>
  <c r="U150" i="40"/>
  <c r="Q150" i="40"/>
  <c r="K150" i="40"/>
  <c r="J150" i="40"/>
  <c r="G150" i="40"/>
  <c r="L150" i="40" s="1"/>
  <c r="V149" i="40"/>
  <c r="U149" i="40"/>
  <c r="Q149" i="40"/>
  <c r="L149" i="40"/>
  <c r="K149" i="40"/>
  <c r="J149" i="40"/>
  <c r="G149" i="40"/>
  <c r="V148" i="40"/>
  <c r="U148" i="40"/>
  <c r="Q148" i="40"/>
  <c r="K148" i="40"/>
  <c r="J148" i="40"/>
  <c r="G148" i="40"/>
  <c r="L148" i="40" s="1"/>
  <c r="V147" i="40"/>
  <c r="U147" i="40"/>
  <c r="Q147" i="40"/>
  <c r="L147" i="40"/>
  <c r="K147" i="40"/>
  <c r="J147" i="40"/>
  <c r="G147" i="40"/>
  <c r="V146" i="40"/>
  <c r="U146" i="40"/>
  <c r="Q146" i="40"/>
  <c r="K146" i="40"/>
  <c r="J146" i="40"/>
  <c r="G146" i="40"/>
  <c r="L146" i="40" s="1"/>
  <c r="V145" i="40"/>
  <c r="U145" i="40"/>
  <c r="Q145" i="40"/>
  <c r="K145" i="40"/>
  <c r="J145" i="40"/>
  <c r="G145" i="40"/>
  <c r="L145" i="40" s="1"/>
  <c r="V144" i="40"/>
  <c r="U144" i="40"/>
  <c r="Q144" i="40"/>
  <c r="K144" i="40"/>
  <c r="J144" i="40"/>
  <c r="G144" i="40"/>
  <c r="L144" i="40" s="1"/>
  <c r="V143" i="40"/>
  <c r="U143" i="40"/>
  <c r="Q143" i="40"/>
  <c r="K143" i="40"/>
  <c r="J143" i="40"/>
  <c r="G143" i="40"/>
  <c r="L143" i="40" s="1"/>
  <c r="V142" i="40"/>
  <c r="U142" i="40"/>
  <c r="Q142" i="40"/>
  <c r="K142" i="40"/>
  <c r="J142" i="40"/>
  <c r="G142" i="40"/>
  <c r="L142" i="40" s="1"/>
  <c r="V141" i="40"/>
  <c r="U141" i="40"/>
  <c r="Q141" i="40"/>
  <c r="L141" i="40"/>
  <c r="K141" i="40"/>
  <c r="J141" i="40"/>
  <c r="G141" i="40"/>
  <c r="V140" i="40"/>
  <c r="U140" i="40"/>
  <c r="Q140" i="40"/>
  <c r="K140" i="40"/>
  <c r="J140" i="40"/>
  <c r="G140" i="40"/>
  <c r="L140" i="40" s="1"/>
  <c r="V139" i="40"/>
  <c r="U139" i="40"/>
  <c r="Q139" i="40"/>
  <c r="K139" i="40"/>
  <c r="J139" i="40"/>
  <c r="G139" i="40"/>
  <c r="L139" i="40" s="1"/>
  <c r="V138" i="40"/>
  <c r="U138" i="40"/>
  <c r="Q138" i="40"/>
  <c r="K138" i="40"/>
  <c r="J138" i="40"/>
  <c r="G138" i="40"/>
  <c r="L138" i="40" s="1"/>
  <c r="V137" i="40"/>
  <c r="U137" i="40"/>
  <c r="Q137" i="40"/>
  <c r="K137" i="40"/>
  <c r="J137" i="40"/>
  <c r="G137" i="40"/>
  <c r="L137" i="40" s="1"/>
  <c r="V136" i="40"/>
  <c r="U136" i="40"/>
  <c r="Q136" i="40"/>
  <c r="K136" i="40"/>
  <c r="J136" i="40"/>
  <c r="G136" i="40"/>
  <c r="L136" i="40" s="1"/>
  <c r="V135" i="40"/>
  <c r="U135" i="40"/>
  <c r="Q135" i="40"/>
  <c r="K135" i="40"/>
  <c r="J135" i="40"/>
  <c r="G135" i="40"/>
  <c r="L135" i="40" s="1"/>
  <c r="V134" i="40"/>
  <c r="U134" i="40"/>
  <c r="Q134" i="40"/>
  <c r="K134" i="40"/>
  <c r="J134" i="40"/>
  <c r="G134" i="40"/>
  <c r="L134" i="40" s="1"/>
  <c r="V133" i="40"/>
  <c r="U133" i="40"/>
  <c r="Q133" i="40"/>
  <c r="K133" i="40"/>
  <c r="J133" i="40"/>
  <c r="G133" i="40"/>
  <c r="L133" i="40" s="1"/>
  <c r="V132" i="40"/>
  <c r="U132" i="40"/>
  <c r="Q132" i="40"/>
  <c r="K132" i="40"/>
  <c r="J132" i="40"/>
  <c r="G132" i="40"/>
  <c r="L132" i="40" s="1"/>
  <c r="V131" i="40"/>
  <c r="U131" i="40"/>
  <c r="Q131" i="40"/>
  <c r="K131" i="40"/>
  <c r="J131" i="40"/>
  <c r="G131" i="40"/>
  <c r="L131" i="40" s="1"/>
  <c r="V130" i="40"/>
  <c r="U130" i="40"/>
  <c r="Q130" i="40"/>
  <c r="K130" i="40"/>
  <c r="J130" i="40"/>
  <c r="G130" i="40"/>
  <c r="L130" i="40" s="1"/>
  <c r="V129" i="40"/>
  <c r="U129" i="40"/>
  <c r="Q129" i="40"/>
  <c r="L129" i="40"/>
  <c r="K129" i="40"/>
  <c r="J129" i="40"/>
  <c r="G129" i="40"/>
  <c r="V128" i="40"/>
  <c r="U128" i="40"/>
  <c r="Q128" i="40"/>
  <c r="K128" i="40"/>
  <c r="J128" i="40"/>
  <c r="G128" i="40"/>
  <c r="L128" i="40" s="1"/>
  <c r="V127" i="40"/>
  <c r="U127" i="40"/>
  <c r="Q127" i="40"/>
  <c r="K127" i="40"/>
  <c r="J127" i="40"/>
  <c r="G127" i="40"/>
  <c r="L127" i="40" s="1"/>
  <c r="V126" i="40"/>
  <c r="U126" i="40"/>
  <c r="Q126" i="40"/>
  <c r="K126" i="40"/>
  <c r="J126" i="40"/>
  <c r="G126" i="40"/>
  <c r="L126" i="40" s="1"/>
  <c r="V125" i="40"/>
  <c r="U125" i="40"/>
  <c r="Q125" i="40"/>
  <c r="K125" i="40"/>
  <c r="J125" i="40"/>
  <c r="G125" i="40"/>
  <c r="L125" i="40" s="1"/>
  <c r="V124" i="40"/>
  <c r="U124" i="40"/>
  <c r="Q124" i="40"/>
  <c r="K124" i="40"/>
  <c r="J124" i="40"/>
  <c r="G124" i="40"/>
  <c r="L124" i="40" s="1"/>
  <c r="V123" i="40"/>
  <c r="U123" i="40"/>
  <c r="Q123" i="40"/>
  <c r="L123" i="40"/>
  <c r="K123" i="40"/>
  <c r="J123" i="40"/>
  <c r="G123" i="40"/>
  <c r="V122" i="40"/>
  <c r="U122" i="40"/>
  <c r="Q122" i="40"/>
  <c r="K122" i="40"/>
  <c r="J122" i="40"/>
  <c r="G122" i="40"/>
  <c r="L122" i="40" s="1"/>
  <c r="V121" i="40"/>
  <c r="U121" i="40"/>
  <c r="Q121" i="40"/>
  <c r="L121" i="40"/>
  <c r="K121" i="40"/>
  <c r="J121" i="40"/>
  <c r="G121" i="40"/>
  <c r="V120" i="40"/>
  <c r="U120" i="40"/>
  <c r="Q120" i="40"/>
  <c r="K120" i="40"/>
  <c r="J120" i="40"/>
  <c r="G120" i="40"/>
  <c r="L120" i="40" s="1"/>
  <c r="V119" i="40"/>
  <c r="U119" i="40"/>
  <c r="Q119" i="40"/>
  <c r="K119" i="40"/>
  <c r="J119" i="40"/>
  <c r="G119" i="40"/>
  <c r="L119" i="40" s="1"/>
  <c r="V118" i="40"/>
  <c r="U118" i="40"/>
  <c r="Q118" i="40"/>
  <c r="K118" i="40"/>
  <c r="J118" i="40"/>
  <c r="G118" i="40"/>
  <c r="L118" i="40" s="1"/>
  <c r="V117" i="40"/>
  <c r="U117" i="40"/>
  <c r="Q117" i="40"/>
  <c r="L117" i="40"/>
  <c r="K117" i="40"/>
  <c r="J117" i="40"/>
  <c r="G117" i="40"/>
  <c r="V116" i="40"/>
  <c r="U116" i="40"/>
  <c r="Q116" i="40"/>
  <c r="K116" i="40"/>
  <c r="J116" i="40"/>
  <c r="G116" i="40"/>
  <c r="L116" i="40" s="1"/>
  <c r="V115" i="40"/>
  <c r="U115" i="40"/>
  <c r="Q115" i="40"/>
  <c r="L115" i="40"/>
  <c r="K115" i="40"/>
  <c r="J115" i="40"/>
  <c r="G115" i="40"/>
  <c r="V114" i="40"/>
  <c r="U114" i="40"/>
  <c r="Q114" i="40"/>
  <c r="K114" i="40"/>
  <c r="J114" i="40"/>
  <c r="G114" i="40"/>
  <c r="L114" i="40" s="1"/>
  <c r="V113" i="40"/>
  <c r="U113" i="40"/>
  <c r="Q113" i="40"/>
  <c r="K113" i="40"/>
  <c r="J113" i="40"/>
  <c r="G113" i="40"/>
  <c r="L113" i="40" s="1"/>
  <c r="V112" i="40"/>
  <c r="U112" i="40"/>
  <c r="Q112" i="40"/>
  <c r="K112" i="40"/>
  <c r="J112" i="40"/>
  <c r="G112" i="40"/>
  <c r="L112" i="40" s="1"/>
  <c r="V111" i="40"/>
  <c r="U111" i="40"/>
  <c r="Q111" i="40"/>
  <c r="K111" i="40"/>
  <c r="J111" i="40"/>
  <c r="G111" i="40"/>
  <c r="L111" i="40" s="1"/>
  <c r="V110" i="40"/>
  <c r="U110" i="40"/>
  <c r="Q110" i="40"/>
  <c r="K110" i="40"/>
  <c r="J110" i="40"/>
  <c r="G110" i="40"/>
  <c r="L110" i="40" s="1"/>
  <c r="V109" i="40"/>
  <c r="U109" i="40"/>
  <c r="Q109" i="40"/>
  <c r="L109" i="40"/>
  <c r="K109" i="40"/>
  <c r="J109" i="40"/>
  <c r="G109" i="40"/>
  <c r="V108" i="40"/>
  <c r="U108" i="40"/>
  <c r="Q108" i="40"/>
  <c r="K108" i="40"/>
  <c r="J108" i="40"/>
  <c r="G108" i="40"/>
  <c r="L108" i="40" s="1"/>
  <c r="V107" i="40"/>
  <c r="U107" i="40"/>
  <c r="Q107" i="40"/>
  <c r="K107" i="40"/>
  <c r="J107" i="40"/>
  <c r="G107" i="40"/>
  <c r="L107" i="40" s="1"/>
  <c r="V106" i="40"/>
  <c r="U106" i="40"/>
  <c r="Q106" i="40"/>
  <c r="K106" i="40"/>
  <c r="J106" i="40"/>
  <c r="G106" i="40"/>
  <c r="L106" i="40" s="1"/>
  <c r="V105" i="40"/>
  <c r="U105" i="40"/>
  <c r="Q105" i="40"/>
  <c r="K105" i="40"/>
  <c r="J105" i="40"/>
  <c r="G105" i="40"/>
  <c r="L105" i="40" s="1"/>
  <c r="V104" i="40"/>
  <c r="U104" i="40"/>
  <c r="Q104" i="40"/>
  <c r="K104" i="40"/>
  <c r="J104" i="40"/>
  <c r="G104" i="40"/>
  <c r="L104" i="40" s="1"/>
  <c r="V103" i="40"/>
  <c r="U103" i="40"/>
  <c r="Q103" i="40"/>
  <c r="K103" i="40"/>
  <c r="J103" i="40"/>
  <c r="G103" i="40"/>
  <c r="L103" i="40" s="1"/>
  <c r="V102" i="40"/>
  <c r="U102" i="40"/>
  <c r="Q102" i="40"/>
  <c r="K102" i="40"/>
  <c r="J102" i="40"/>
  <c r="G102" i="40"/>
  <c r="L102" i="40" s="1"/>
  <c r="V101" i="40"/>
  <c r="U101" i="40"/>
  <c r="Q101" i="40"/>
  <c r="K101" i="40"/>
  <c r="J101" i="40"/>
  <c r="G101" i="40"/>
  <c r="L101" i="40" s="1"/>
  <c r="V100" i="40"/>
  <c r="U100" i="40"/>
  <c r="Q100" i="40"/>
  <c r="K100" i="40"/>
  <c r="J100" i="40"/>
  <c r="G100" i="40"/>
  <c r="L100" i="40" s="1"/>
  <c r="V99" i="40"/>
  <c r="U99" i="40"/>
  <c r="Q99" i="40"/>
  <c r="K99" i="40"/>
  <c r="J99" i="40"/>
  <c r="G99" i="40"/>
  <c r="L99" i="40" s="1"/>
  <c r="V98" i="40"/>
  <c r="U98" i="40"/>
  <c r="Q98" i="40"/>
  <c r="K98" i="40"/>
  <c r="J98" i="40"/>
  <c r="G98" i="40"/>
  <c r="L98" i="40" s="1"/>
  <c r="V97" i="40"/>
  <c r="U97" i="40"/>
  <c r="Q97" i="40"/>
  <c r="L97" i="40"/>
  <c r="K97" i="40"/>
  <c r="J97" i="40"/>
  <c r="G97" i="40"/>
  <c r="V96" i="40"/>
  <c r="U96" i="40"/>
  <c r="Q96" i="40"/>
  <c r="K96" i="40"/>
  <c r="J96" i="40"/>
  <c r="G96" i="40"/>
  <c r="L96" i="40" s="1"/>
  <c r="V95" i="40"/>
  <c r="U95" i="40"/>
  <c r="Q95" i="40"/>
  <c r="K95" i="40"/>
  <c r="J95" i="40"/>
  <c r="G95" i="40"/>
  <c r="L95" i="40" s="1"/>
  <c r="V94" i="40"/>
  <c r="U94" i="40"/>
  <c r="Q94" i="40"/>
  <c r="K94" i="40"/>
  <c r="J94" i="40"/>
  <c r="G94" i="40"/>
  <c r="L94" i="40" s="1"/>
  <c r="V93" i="40"/>
  <c r="U93" i="40"/>
  <c r="Q93" i="40"/>
  <c r="K93" i="40"/>
  <c r="J93" i="40"/>
  <c r="G93" i="40"/>
  <c r="L93" i="40" s="1"/>
  <c r="V92" i="40"/>
  <c r="U92" i="40"/>
  <c r="Q92" i="40"/>
  <c r="K92" i="40"/>
  <c r="J92" i="40"/>
  <c r="G92" i="40"/>
  <c r="L92" i="40" s="1"/>
  <c r="V91" i="40"/>
  <c r="U91" i="40"/>
  <c r="Q91" i="40"/>
  <c r="L91" i="40"/>
  <c r="K91" i="40"/>
  <c r="J91" i="40"/>
  <c r="G91" i="40"/>
  <c r="V90" i="40"/>
  <c r="U90" i="40"/>
  <c r="Q90" i="40"/>
  <c r="K90" i="40"/>
  <c r="J90" i="40"/>
  <c r="G90" i="40"/>
  <c r="L90" i="40" s="1"/>
  <c r="V89" i="40"/>
  <c r="U89" i="40"/>
  <c r="Q89" i="40"/>
  <c r="L89" i="40"/>
  <c r="K89" i="40"/>
  <c r="J89" i="40"/>
  <c r="G89" i="40"/>
  <c r="V88" i="40"/>
  <c r="U88" i="40"/>
  <c r="Q88" i="40"/>
  <c r="K88" i="40"/>
  <c r="J88" i="40"/>
  <c r="G88" i="40"/>
  <c r="L88" i="40" s="1"/>
  <c r="V87" i="40"/>
  <c r="U87" i="40"/>
  <c r="Q87" i="40"/>
  <c r="K87" i="40"/>
  <c r="J87" i="40"/>
  <c r="G87" i="40"/>
  <c r="L87" i="40" s="1"/>
  <c r="V86" i="40"/>
  <c r="U86" i="40"/>
  <c r="Q86" i="40"/>
  <c r="K86" i="40"/>
  <c r="J86" i="40"/>
  <c r="G86" i="40"/>
  <c r="L86" i="40" s="1"/>
  <c r="V85" i="40"/>
  <c r="U85" i="40"/>
  <c r="Q85" i="40"/>
  <c r="L85" i="40"/>
  <c r="K85" i="40"/>
  <c r="J85" i="40"/>
  <c r="G85" i="40"/>
  <c r="V84" i="40"/>
  <c r="U84" i="40"/>
  <c r="Q84" i="40"/>
  <c r="K84" i="40"/>
  <c r="J84" i="40"/>
  <c r="G84" i="40"/>
  <c r="L84" i="40" s="1"/>
  <c r="V83" i="40"/>
  <c r="U83" i="40"/>
  <c r="Q83" i="40"/>
  <c r="L83" i="40"/>
  <c r="K83" i="40"/>
  <c r="J83" i="40"/>
  <c r="G83" i="40"/>
  <c r="V82" i="40"/>
  <c r="U82" i="40"/>
  <c r="Q82" i="40"/>
  <c r="K82" i="40"/>
  <c r="J82" i="40"/>
  <c r="G82" i="40"/>
  <c r="L82" i="40" s="1"/>
  <c r="V81" i="40"/>
  <c r="U81" i="40"/>
  <c r="Q81" i="40"/>
  <c r="K81" i="40"/>
  <c r="J81" i="40"/>
  <c r="G81" i="40"/>
  <c r="L81" i="40" s="1"/>
  <c r="V80" i="40"/>
  <c r="U80" i="40"/>
  <c r="Q80" i="40"/>
  <c r="K80" i="40"/>
  <c r="J80" i="40"/>
  <c r="G80" i="40"/>
  <c r="L80" i="40" s="1"/>
  <c r="V79" i="40"/>
  <c r="U79" i="40"/>
  <c r="Q79" i="40"/>
  <c r="K79" i="40"/>
  <c r="J79" i="40"/>
  <c r="G79" i="40"/>
  <c r="L79" i="40" s="1"/>
  <c r="V78" i="40"/>
  <c r="U78" i="40"/>
  <c r="Q78" i="40"/>
  <c r="K78" i="40"/>
  <c r="J78" i="40"/>
  <c r="G78" i="40"/>
  <c r="L78" i="40" s="1"/>
  <c r="V77" i="40"/>
  <c r="U77" i="40"/>
  <c r="Q77" i="40"/>
  <c r="L77" i="40"/>
  <c r="K77" i="40"/>
  <c r="J77" i="40"/>
  <c r="G77" i="40"/>
  <c r="V76" i="40"/>
  <c r="U76" i="40"/>
  <c r="Q76" i="40"/>
  <c r="K76" i="40"/>
  <c r="J76" i="40"/>
  <c r="G76" i="40"/>
  <c r="L76" i="40" s="1"/>
  <c r="V75" i="40"/>
  <c r="U75" i="40"/>
  <c r="Q75" i="40"/>
  <c r="K75" i="40"/>
  <c r="J75" i="40"/>
  <c r="G75" i="40"/>
  <c r="L75" i="40" s="1"/>
  <c r="V74" i="40"/>
  <c r="U74" i="40"/>
  <c r="Q74" i="40"/>
  <c r="K74" i="40"/>
  <c r="J74" i="40"/>
  <c r="G74" i="40"/>
  <c r="L74" i="40" s="1"/>
  <c r="V73" i="40"/>
  <c r="U73" i="40"/>
  <c r="Q73" i="40"/>
  <c r="K73" i="40"/>
  <c r="J73" i="40"/>
  <c r="G73" i="40"/>
  <c r="L73" i="40" s="1"/>
  <c r="V72" i="40"/>
  <c r="U72" i="40"/>
  <c r="Q72" i="40"/>
  <c r="K72" i="40"/>
  <c r="J72" i="40"/>
  <c r="G72" i="40"/>
  <c r="L72" i="40" s="1"/>
  <c r="V71" i="40"/>
  <c r="U71" i="40"/>
  <c r="Q71" i="40"/>
  <c r="K71" i="40"/>
  <c r="J71" i="40"/>
  <c r="G71" i="40"/>
  <c r="L71" i="40" s="1"/>
  <c r="V70" i="40"/>
  <c r="U70" i="40"/>
  <c r="Q70" i="40"/>
  <c r="K70" i="40"/>
  <c r="J70" i="40"/>
  <c r="G70" i="40"/>
  <c r="L70" i="40" s="1"/>
  <c r="V69" i="40"/>
  <c r="U69" i="40"/>
  <c r="Q69" i="40"/>
  <c r="K69" i="40"/>
  <c r="J69" i="40"/>
  <c r="G69" i="40"/>
  <c r="L69" i="40" s="1"/>
  <c r="V68" i="40"/>
  <c r="U68" i="40"/>
  <c r="Q68" i="40"/>
  <c r="K68" i="40"/>
  <c r="J68" i="40"/>
  <c r="G68" i="40"/>
  <c r="L68" i="40" s="1"/>
  <c r="V67" i="40"/>
  <c r="U67" i="40"/>
  <c r="Q67" i="40"/>
  <c r="K67" i="40"/>
  <c r="J67" i="40"/>
  <c r="G67" i="40"/>
  <c r="L67" i="40" s="1"/>
  <c r="V66" i="40"/>
  <c r="U66" i="40"/>
  <c r="Q66" i="40"/>
  <c r="K66" i="40"/>
  <c r="J66" i="40"/>
  <c r="G66" i="40"/>
  <c r="L66" i="40" s="1"/>
  <c r="V65" i="40"/>
  <c r="U65" i="40"/>
  <c r="Q65" i="40"/>
  <c r="L65" i="40"/>
  <c r="K65" i="40"/>
  <c r="J65" i="40"/>
  <c r="G65" i="40"/>
  <c r="V64" i="40"/>
  <c r="U64" i="40"/>
  <c r="Q64" i="40"/>
  <c r="K64" i="40"/>
  <c r="J64" i="40"/>
  <c r="G64" i="40"/>
  <c r="L64" i="40" s="1"/>
  <c r="V63" i="40"/>
  <c r="U63" i="40"/>
  <c r="Q63" i="40"/>
  <c r="K63" i="40"/>
  <c r="J63" i="40"/>
  <c r="G63" i="40"/>
  <c r="L63" i="40" s="1"/>
  <c r="V62" i="40"/>
  <c r="U62" i="40"/>
  <c r="Q62" i="40"/>
  <c r="K62" i="40"/>
  <c r="J62" i="40"/>
  <c r="G62" i="40"/>
  <c r="L62" i="40" s="1"/>
  <c r="V61" i="40"/>
  <c r="U61" i="40"/>
  <c r="Q61" i="40"/>
  <c r="K61" i="40"/>
  <c r="J61" i="40"/>
  <c r="G61" i="40"/>
  <c r="L61" i="40" s="1"/>
  <c r="V60" i="40"/>
  <c r="U60" i="40"/>
  <c r="Q60" i="40"/>
  <c r="K60" i="40"/>
  <c r="J60" i="40"/>
  <c r="G60" i="40"/>
  <c r="L60" i="40" s="1"/>
  <c r="V59" i="40"/>
  <c r="U59" i="40"/>
  <c r="Q59" i="40"/>
  <c r="L59" i="40"/>
  <c r="K59" i="40"/>
  <c r="J59" i="40"/>
  <c r="G59" i="40"/>
  <c r="V58" i="40"/>
  <c r="U58" i="40"/>
  <c r="Q58" i="40"/>
  <c r="K58" i="40"/>
  <c r="J58" i="40"/>
  <c r="G58" i="40"/>
  <c r="L58" i="40" s="1"/>
  <c r="V57" i="40"/>
  <c r="U57" i="40"/>
  <c r="Q57" i="40"/>
  <c r="L57" i="40"/>
  <c r="K57" i="40"/>
  <c r="J57" i="40"/>
  <c r="G57" i="40"/>
  <c r="V56" i="40"/>
  <c r="U56" i="40"/>
  <c r="Q56" i="40"/>
  <c r="K56" i="40"/>
  <c r="J56" i="40"/>
  <c r="G56" i="40"/>
  <c r="L56" i="40" s="1"/>
  <c r="V55" i="40"/>
  <c r="U55" i="40"/>
  <c r="Q55" i="40"/>
  <c r="K55" i="40"/>
  <c r="J55" i="40"/>
  <c r="G55" i="40"/>
  <c r="L55" i="40" s="1"/>
  <c r="V54" i="40"/>
  <c r="U54" i="40"/>
  <c r="Q54" i="40"/>
  <c r="K54" i="40"/>
  <c r="J54" i="40"/>
  <c r="G54" i="40"/>
  <c r="L54" i="40" s="1"/>
  <c r="V53" i="40"/>
  <c r="U53" i="40"/>
  <c r="Q53" i="40"/>
  <c r="L53" i="40"/>
  <c r="K53" i="40"/>
  <c r="J53" i="40"/>
  <c r="G53" i="40"/>
  <c r="V52" i="40"/>
  <c r="U52" i="40"/>
  <c r="Q52" i="40"/>
  <c r="K52" i="40"/>
  <c r="J52" i="40"/>
  <c r="G52" i="40"/>
  <c r="L52" i="40" s="1"/>
  <c r="V51" i="40"/>
  <c r="U51" i="40"/>
  <c r="Q51" i="40"/>
  <c r="L51" i="40"/>
  <c r="K51" i="40"/>
  <c r="J51" i="40"/>
  <c r="G51" i="40"/>
  <c r="V50" i="40"/>
  <c r="U50" i="40"/>
  <c r="Q50" i="40"/>
  <c r="K50" i="40"/>
  <c r="J50" i="40"/>
  <c r="G50" i="40"/>
  <c r="L50" i="40" s="1"/>
  <c r="V49" i="40"/>
  <c r="U49" i="40"/>
  <c r="Q49" i="40"/>
  <c r="K49" i="40"/>
  <c r="J49" i="40"/>
  <c r="G49" i="40"/>
  <c r="L49" i="40" s="1"/>
  <c r="V48" i="40"/>
  <c r="U48" i="40"/>
  <c r="Q48" i="40"/>
  <c r="K48" i="40"/>
  <c r="J48" i="40"/>
  <c r="G48" i="40"/>
  <c r="L48" i="40" s="1"/>
  <c r="V47" i="40"/>
  <c r="U47" i="40"/>
  <c r="Q47" i="40"/>
  <c r="K47" i="40"/>
  <c r="J47" i="40"/>
  <c r="G47" i="40"/>
  <c r="L47" i="40" s="1"/>
  <c r="V46" i="40"/>
  <c r="U46" i="40"/>
  <c r="Q46" i="40"/>
  <c r="K46" i="40"/>
  <c r="J46" i="40"/>
  <c r="G46" i="40"/>
  <c r="L46" i="40" s="1"/>
  <c r="V45" i="40"/>
  <c r="U45" i="40"/>
  <c r="Q45" i="40"/>
  <c r="L45" i="40"/>
  <c r="K45" i="40"/>
  <c r="J45" i="40"/>
  <c r="G45" i="40"/>
  <c r="V44" i="40"/>
  <c r="U44" i="40"/>
  <c r="Q44" i="40"/>
  <c r="K44" i="40"/>
  <c r="J44" i="40"/>
  <c r="G44" i="40"/>
  <c r="L44" i="40" s="1"/>
  <c r="V43" i="40"/>
  <c r="U43" i="40"/>
  <c r="Q43" i="40"/>
  <c r="K43" i="40"/>
  <c r="J43" i="40"/>
  <c r="G43" i="40"/>
  <c r="L43" i="40" s="1"/>
  <c r="V42" i="40"/>
  <c r="U42" i="40"/>
  <c r="Q42" i="40"/>
  <c r="K42" i="40"/>
  <c r="J42" i="40"/>
  <c r="G42" i="40"/>
  <c r="L42" i="40" s="1"/>
  <c r="V41" i="40"/>
  <c r="U41" i="40"/>
  <c r="Q41" i="40"/>
  <c r="K41" i="40"/>
  <c r="J41" i="40"/>
  <c r="G41" i="40"/>
  <c r="L41" i="40" s="1"/>
  <c r="V40" i="40"/>
  <c r="U40" i="40"/>
  <c r="Q40" i="40"/>
  <c r="K40" i="40"/>
  <c r="J40" i="40"/>
  <c r="G40" i="40"/>
  <c r="L40" i="40" s="1"/>
  <c r="V39" i="40"/>
  <c r="U39" i="40"/>
  <c r="Q39" i="40"/>
  <c r="K39" i="40"/>
  <c r="J39" i="40"/>
  <c r="G39" i="40"/>
  <c r="L39" i="40" s="1"/>
  <c r="V38" i="40"/>
  <c r="U38" i="40"/>
  <c r="Q38" i="40"/>
  <c r="K38" i="40"/>
  <c r="J38" i="40"/>
  <c r="G38" i="40"/>
  <c r="L38" i="40" s="1"/>
  <c r="V37" i="40"/>
  <c r="U37" i="40"/>
  <c r="Q37" i="40"/>
  <c r="K37" i="40"/>
  <c r="J37" i="40"/>
  <c r="G37" i="40"/>
  <c r="L37" i="40" s="1"/>
  <c r="V36" i="40"/>
  <c r="U36" i="40"/>
  <c r="Q36" i="40"/>
  <c r="K36" i="40"/>
  <c r="J36" i="40"/>
  <c r="G36" i="40"/>
  <c r="L36" i="40" s="1"/>
  <c r="V35" i="40"/>
  <c r="U35" i="40"/>
  <c r="Q35" i="40"/>
  <c r="K35" i="40"/>
  <c r="J35" i="40"/>
  <c r="G35" i="40"/>
  <c r="L35" i="40" s="1"/>
  <c r="V34" i="40"/>
  <c r="U34" i="40"/>
  <c r="Q34" i="40"/>
  <c r="K34" i="40"/>
  <c r="J34" i="40"/>
  <c r="G34" i="40"/>
  <c r="L34" i="40" s="1"/>
  <c r="V33" i="40"/>
  <c r="U33" i="40"/>
  <c r="Q33" i="40"/>
  <c r="L33" i="40"/>
  <c r="K33" i="40"/>
  <c r="J33" i="40"/>
  <c r="G33" i="40"/>
  <c r="V32" i="40"/>
  <c r="U32" i="40"/>
  <c r="Q32" i="40"/>
  <c r="K32" i="40"/>
  <c r="J32" i="40"/>
  <c r="G32" i="40"/>
  <c r="L32" i="40" s="1"/>
  <c r="V31" i="40"/>
  <c r="U31" i="40"/>
  <c r="Q31" i="40"/>
  <c r="K31" i="40"/>
  <c r="J31" i="40"/>
  <c r="G31" i="40"/>
  <c r="L31" i="40" s="1"/>
  <c r="V30" i="40"/>
  <c r="U30" i="40"/>
  <c r="Q30" i="40"/>
  <c r="K30" i="40"/>
  <c r="J30" i="40"/>
  <c r="G30" i="40"/>
  <c r="L30" i="40" s="1"/>
  <c r="V29" i="40"/>
  <c r="U29" i="40"/>
  <c r="Q29" i="40"/>
  <c r="K29" i="40"/>
  <c r="J29" i="40"/>
  <c r="G29" i="40"/>
  <c r="L29" i="40" s="1"/>
  <c r="V28" i="40"/>
  <c r="U28" i="40"/>
  <c r="Q28" i="40"/>
  <c r="K28" i="40"/>
  <c r="J28" i="40"/>
  <c r="G28" i="40"/>
  <c r="L28" i="40" s="1"/>
  <c r="V27" i="40"/>
  <c r="U27" i="40"/>
  <c r="Q27" i="40"/>
  <c r="L27" i="40"/>
  <c r="K27" i="40"/>
  <c r="J27" i="40"/>
  <c r="G27" i="40"/>
  <c r="V26" i="40"/>
  <c r="U26" i="40"/>
  <c r="Q26" i="40"/>
  <c r="K26" i="40"/>
  <c r="J26" i="40"/>
  <c r="G26" i="40"/>
  <c r="L26" i="40" s="1"/>
  <c r="V25" i="40"/>
  <c r="U25" i="40"/>
  <c r="Q25" i="40"/>
  <c r="L25" i="40"/>
  <c r="K25" i="40"/>
  <c r="J25" i="40"/>
  <c r="G25" i="40"/>
  <c r="V24" i="40"/>
  <c r="U24" i="40"/>
  <c r="Q24" i="40"/>
  <c r="K24" i="40"/>
  <c r="J24" i="40"/>
  <c r="G24" i="40"/>
  <c r="L24" i="40" s="1"/>
  <c r="V23" i="40"/>
  <c r="U23" i="40"/>
  <c r="Q23" i="40"/>
  <c r="K23" i="40"/>
  <c r="J23" i="40"/>
  <c r="G23" i="40"/>
  <c r="L23" i="40" s="1"/>
  <c r="V22" i="40"/>
  <c r="U22" i="40"/>
  <c r="Q22" i="40"/>
  <c r="K22" i="40"/>
  <c r="J22" i="40"/>
  <c r="G22" i="40"/>
  <c r="L22" i="40" s="1"/>
  <c r="V21" i="40"/>
  <c r="U21" i="40"/>
  <c r="Q21" i="40"/>
  <c r="L21" i="40"/>
  <c r="K21" i="40"/>
  <c r="J21" i="40"/>
  <c r="G21" i="40"/>
  <c r="V20" i="40"/>
  <c r="U20" i="40"/>
  <c r="Q20" i="40"/>
  <c r="K20" i="40"/>
  <c r="J20" i="40"/>
  <c r="G20" i="40"/>
  <c r="L20" i="40" s="1"/>
  <c r="V19" i="40"/>
  <c r="U19" i="40"/>
  <c r="Q19" i="40"/>
  <c r="L19" i="40"/>
  <c r="K19" i="40"/>
  <c r="J19" i="40"/>
  <c r="G19" i="40"/>
  <c r="V18" i="40"/>
  <c r="U18" i="40"/>
  <c r="Q18" i="40"/>
  <c r="K18" i="40"/>
  <c r="J18" i="40"/>
  <c r="G18" i="40"/>
  <c r="L18" i="40" s="1"/>
  <c r="V17" i="40"/>
  <c r="U17" i="40"/>
  <c r="Q17" i="40"/>
  <c r="K17" i="40"/>
  <c r="J17" i="40"/>
  <c r="G17" i="40"/>
  <c r="L17" i="40" s="1"/>
  <c r="V16" i="40"/>
  <c r="U16" i="40"/>
  <c r="Q16" i="40"/>
  <c r="K16" i="40"/>
  <c r="J16" i="40"/>
  <c r="G16" i="40"/>
  <c r="L16" i="40" s="1"/>
  <c r="V15" i="40"/>
  <c r="U15" i="40"/>
  <c r="Q15" i="40"/>
  <c r="K15" i="40"/>
  <c r="J15" i="40"/>
  <c r="G15" i="40"/>
  <c r="L15" i="40" s="1"/>
  <c r="V14" i="40"/>
  <c r="U14" i="40"/>
  <c r="Q14" i="40"/>
  <c r="K14" i="40"/>
  <c r="J14" i="40"/>
  <c r="G14" i="40"/>
  <c r="L14" i="40" s="1"/>
  <c r="V13" i="40"/>
  <c r="U13" i="40"/>
  <c r="Q13" i="40"/>
  <c r="L13" i="40"/>
  <c r="K13" i="40"/>
  <c r="J13" i="40"/>
  <c r="G13" i="40"/>
  <c r="V12" i="40"/>
  <c r="U12" i="40"/>
  <c r="Q12" i="40"/>
  <c r="K12" i="40"/>
  <c r="J12" i="40"/>
  <c r="G12" i="40"/>
  <c r="L12" i="40" s="1"/>
  <c r="V11" i="40"/>
  <c r="U11" i="40"/>
  <c r="Q11" i="40"/>
  <c r="K11" i="40"/>
  <c r="J11" i="40"/>
  <c r="G11" i="40"/>
  <c r="L11" i="40" s="1"/>
  <c r="V10" i="40"/>
  <c r="U10" i="40"/>
  <c r="Q10" i="40"/>
  <c r="K10" i="40"/>
  <c r="J10" i="40"/>
  <c r="G10" i="40"/>
  <c r="L10" i="40" s="1"/>
  <c r="V9" i="40"/>
  <c r="U9" i="40"/>
  <c r="Q9" i="40"/>
  <c r="K9" i="40"/>
  <c r="J9" i="40"/>
  <c r="G9" i="40"/>
  <c r="L9" i="40" s="1"/>
  <c r="V8" i="40"/>
  <c r="U8" i="40"/>
  <c r="Q8" i="40"/>
  <c r="K8" i="40"/>
  <c r="J8" i="40"/>
  <c r="G8" i="40"/>
  <c r="L8" i="40" s="1"/>
  <c r="V7" i="40"/>
  <c r="U7" i="40"/>
  <c r="Q7" i="40"/>
  <c r="K7" i="40"/>
  <c r="J7" i="40"/>
  <c r="G7" i="40"/>
  <c r="L7" i="40" s="1"/>
  <c r="V6" i="40"/>
  <c r="U6" i="40"/>
  <c r="Q6" i="40"/>
  <c r="K6" i="40"/>
  <c r="J6" i="40"/>
  <c r="G6" i="40"/>
  <c r="L6" i="40" s="1"/>
  <c r="V5" i="40"/>
  <c r="U5" i="40"/>
  <c r="Q5" i="40"/>
  <c r="K5" i="40"/>
  <c r="J5" i="40"/>
  <c r="G5" i="40"/>
  <c r="L5" i="40" s="1"/>
  <c r="V4" i="40"/>
  <c r="U4" i="40"/>
  <c r="Q4" i="40"/>
  <c r="K4" i="40"/>
  <c r="J4" i="40"/>
  <c r="G4" i="40"/>
  <c r="L4" i="40" s="1"/>
  <c r="V3" i="40"/>
  <c r="U3" i="40"/>
  <c r="Q3" i="40"/>
  <c r="K3" i="40"/>
  <c r="J3" i="40"/>
  <c r="G3" i="40"/>
  <c r="L3" i="40" s="1"/>
  <c r="V2" i="40"/>
  <c r="U2" i="40"/>
  <c r="Q2" i="40"/>
  <c r="K2" i="40"/>
  <c r="J2" i="40"/>
  <c r="G2" i="40"/>
  <c r="L2" i="40" s="1"/>
  <c r="N2353" i="40" l="1"/>
  <c r="N2174" i="40"/>
  <c r="V2174" i="40" s="1"/>
  <c r="N2203" i="40"/>
  <c r="N2215" i="40"/>
  <c r="V2215" i="40" s="1"/>
  <c r="N2350" i="40"/>
  <c r="N2314" i="40"/>
  <c r="N2301" i="40"/>
  <c r="U2301" i="40" s="1"/>
  <c r="N2214" i="40"/>
  <c r="U2214" i="40" s="1"/>
  <c r="N2172" i="40"/>
  <c r="N2357" i="40"/>
  <c r="V2357" i="40" s="1"/>
  <c r="V2259" i="40"/>
  <c r="U2259" i="40"/>
  <c r="N2245" i="40"/>
  <c r="N2352" i="40"/>
  <c r="N2186" i="40"/>
  <c r="V2186" i="40" s="1"/>
  <c r="N2181" i="40"/>
  <c r="V2181" i="40" s="1"/>
  <c r="N2225" i="40"/>
  <c r="N2241" i="40"/>
  <c r="U2241" i="40" s="1"/>
  <c r="N2257" i="40"/>
  <c r="V2257" i="40" s="1"/>
  <c r="N2273" i="40"/>
  <c r="V2273" i="40" s="1"/>
  <c r="N2169" i="40"/>
  <c r="N2298" i="40"/>
  <c r="V2298" i="40" s="1"/>
  <c r="N2282" i="40"/>
  <c r="U2282" i="40" s="1"/>
  <c r="N2179" i="40"/>
  <c r="V2179" i="40" s="1"/>
  <c r="N2190" i="40"/>
  <c r="N2201" i="40"/>
  <c r="U2201" i="40" s="1"/>
  <c r="N2221" i="40"/>
  <c r="V2221" i="40" s="1"/>
  <c r="V2226" i="40"/>
  <c r="U2226" i="40"/>
  <c r="V2242" i="40"/>
  <c r="U2242" i="40"/>
  <c r="V2258" i="40"/>
  <c r="U2258" i="40"/>
  <c r="V2274" i="40"/>
  <c r="U2274" i="40"/>
  <c r="V2232" i="40"/>
  <c r="U2232" i="40"/>
  <c r="V2248" i="40"/>
  <c r="U2248" i="40"/>
  <c r="V2264" i="40"/>
  <c r="U2264" i="40"/>
  <c r="V2280" i="40"/>
  <c r="U2280" i="40"/>
  <c r="V2190" i="40"/>
  <c r="U2190" i="40"/>
  <c r="V2201" i="40"/>
  <c r="V2225" i="40"/>
  <c r="U2225" i="40"/>
  <c r="V2241" i="40"/>
  <c r="V2169" i="40"/>
  <c r="U2169" i="40"/>
  <c r="V2172" i="40"/>
  <c r="U2172" i="40"/>
  <c r="N2177" i="40"/>
  <c r="N2192" i="40"/>
  <c r="V2203" i="40"/>
  <c r="U2203" i="40"/>
  <c r="V2245" i="40"/>
  <c r="U2245" i="40"/>
  <c r="V2314" i="40"/>
  <c r="U2314" i="40"/>
  <c r="N2317" i="40"/>
  <c r="V2350" i="40"/>
  <c r="U2350" i="40"/>
  <c r="V2353" i="40"/>
  <c r="U2353" i="40"/>
  <c r="U2357" i="40"/>
  <c r="N2176" i="40"/>
  <c r="N2185" i="40"/>
  <c r="N2199" i="40"/>
  <c r="N2205" i="40"/>
  <c r="N2210" i="40"/>
  <c r="N2216" i="40"/>
  <c r="N2240" i="40"/>
  <c r="N2293" i="40"/>
  <c r="V2235" i="40"/>
  <c r="U2235" i="40"/>
  <c r="V2251" i="40"/>
  <c r="U2251" i="40"/>
  <c r="V2267" i="40"/>
  <c r="U2267" i="40"/>
  <c r="N2173" i="40"/>
  <c r="N2178" i="40"/>
  <c r="N2187" i="40"/>
  <c r="N2198" i="40"/>
  <c r="N2209" i="40"/>
  <c r="N2223" i="40"/>
  <c r="U2243" i="40"/>
  <c r="N2277" i="40"/>
  <c r="N2171" i="40"/>
  <c r="U2174" i="40"/>
  <c r="N2183" i="40"/>
  <c r="N2189" i="40"/>
  <c r="N2194" i="40"/>
  <c r="N2200" i="40"/>
  <c r="N2211" i="40"/>
  <c r="N2222" i="40"/>
  <c r="N2229" i="40"/>
  <c r="N2272" i="40"/>
  <c r="N2311" i="40"/>
  <c r="N2327" i="40"/>
  <c r="V2233" i="40"/>
  <c r="U2233" i="40"/>
  <c r="V2234" i="40"/>
  <c r="U2234" i="40"/>
  <c r="V2249" i="40"/>
  <c r="U2249" i="40"/>
  <c r="V2250" i="40"/>
  <c r="U2250" i="40"/>
  <c r="V2265" i="40"/>
  <c r="U2265" i="40"/>
  <c r="V2266" i="40"/>
  <c r="U2266" i="40"/>
  <c r="N2182" i="40"/>
  <c r="N2193" i="40"/>
  <c r="N2207" i="40"/>
  <c r="N2213" i="40"/>
  <c r="N2218" i="40"/>
  <c r="N2224" i="40"/>
  <c r="U2275" i="40"/>
  <c r="N2290" i="40"/>
  <c r="N2175" i="40"/>
  <c r="N2184" i="40"/>
  <c r="N2195" i="40"/>
  <c r="N2206" i="40"/>
  <c r="N2217" i="40"/>
  <c r="U2227" i="40"/>
  <c r="N2261" i="40"/>
  <c r="N2191" i="40"/>
  <c r="N2197" i="40"/>
  <c r="N2202" i="40"/>
  <c r="N2208" i="40"/>
  <c r="N2219" i="40"/>
  <c r="N2256" i="40"/>
  <c r="V2322" i="40"/>
  <c r="U2322" i="40"/>
  <c r="N2170" i="40"/>
  <c r="N2180" i="40"/>
  <c r="N2188" i="40"/>
  <c r="N2196" i="40"/>
  <c r="N2204" i="40"/>
  <c r="N2212" i="40"/>
  <c r="N2220" i="40"/>
  <c r="N2228" i="40"/>
  <c r="N2238" i="40"/>
  <c r="N2244" i="40"/>
  <c r="N2254" i="40"/>
  <c r="N2260" i="40"/>
  <c r="N2270" i="40"/>
  <c r="N2276" i="40"/>
  <c r="N2285" i="40"/>
  <c r="N2288" i="40"/>
  <c r="N2295" i="40"/>
  <c r="N2306" i="40"/>
  <c r="N2321" i="40"/>
  <c r="N2324" i="40"/>
  <c r="V2352" i="40"/>
  <c r="U2352" i="40"/>
  <c r="N2355" i="40"/>
  <c r="N2364" i="40"/>
  <c r="N2231" i="40"/>
  <c r="N2247" i="40"/>
  <c r="N2263" i="40"/>
  <c r="N2279" i="40"/>
  <c r="N2287" i="40"/>
  <c r="N2305" i="40"/>
  <c r="N2308" i="40"/>
  <c r="N2323" i="40"/>
  <c r="N2343" i="40"/>
  <c r="N2348" i="40"/>
  <c r="N2354" i="40"/>
  <c r="N2363" i="40"/>
  <c r="N2237" i="40"/>
  <c r="N2253" i="40"/>
  <c r="N2269" i="40"/>
  <c r="N2307" i="40"/>
  <c r="N2334" i="40"/>
  <c r="N2336" i="40"/>
  <c r="N2347" i="40"/>
  <c r="N2359" i="40"/>
  <c r="N2284" i="40"/>
  <c r="N2292" i="40"/>
  <c r="N2318" i="40"/>
  <c r="N2230" i="40"/>
  <c r="N2236" i="40"/>
  <c r="N2246" i="40"/>
  <c r="N2252" i="40"/>
  <c r="N2262" i="40"/>
  <c r="N2268" i="40"/>
  <c r="N2278" i="40"/>
  <c r="N2283" i="40"/>
  <c r="N2291" i="40"/>
  <c r="N2302" i="40"/>
  <c r="N2320" i="40"/>
  <c r="N2340" i="40"/>
  <c r="N2239" i="40"/>
  <c r="N2255" i="40"/>
  <c r="N2271" i="40"/>
  <c r="N2304" i="40"/>
  <c r="N2330" i="40"/>
  <c r="N2333" i="40"/>
  <c r="N2297" i="40"/>
  <c r="N2303" i="40"/>
  <c r="N2313" i="40"/>
  <c r="N2319" i="40"/>
  <c r="N2329" i="40"/>
  <c r="N2335" i="40"/>
  <c r="N2338" i="40"/>
  <c r="N2345" i="40"/>
  <c r="N2349" i="40"/>
  <c r="N2358" i="40"/>
  <c r="N2361" i="40"/>
  <c r="N2365" i="40"/>
  <c r="N2294" i="40"/>
  <c r="N2300" i="40"/>
  <c r="N2310" i="40"/>
  <c r="N2316" i="40"/>
  <c r="N2326" i="40"/>
  <c r="N2332" i="40"/>
  <c r="N2337" i="40"/>
  <c r="N2344" i="40"/>
  <c r="N2360" i="40"/>
  <c r="N2286" i="40"/>
  <c r="N2289" i="40"/>
  <c r="N2296" i="40"/>
  <c r="N2299" i="40"/>
  <c r="N2312" i="40"/>
  <c r="N2315" i="40"/>
  <c r="N2328" i="40"/>
  <c r="N2331" i="40"/>
  <c r="N2339" i="40"/>
  <c r="N2342" i="40"/>
  <c r="N2346" i="40"/>
  <c r="N2356" i="40"/>
  <c r="N2362" i="40"/>
  <c r="N2281" i="40"/>
  <c r="N2309" i="40"/>
  <c r="N2325" i="40"/>
  <c r="N2341" i="40"/>
  <c r="N2351" i="40"/>
  <c r="A2" i="39"/>
  <c r="A5" i="39" s="1"/>
  <c r="V2214" i="40" l="1"/>
  <c r="V2301" i="40"/>
  <c r="U2179" i="40"/>
  <c r="U2273" i="40"/>
  <c r="U2215" i="40"/>
  <c r="U2181" i="40"/>
  <c r="V2282" i="40"/>
  <c r="U2221" i="40"/>
  <c r="U2186" i="40"/>
  <c r="U2257" i="40"/>
  <c r="U2298" i="40"/>
  <c r="U2297" i="40"/>
  <c r="V2297" i="40"/>
  <c r="V2247" i="40"/>
  <c r="U2247" i="40"/>
  <c r="V2197" i="40"/>
  <c r="U2197" i="40"/>
  <c r="V2229" i="40"/>
  <c r="U2229" i="40"/>
  <c r="V2302" i="40"/>
  <c r="U2302" i="40"/>
  <c r="U2238" i="40"/>
  <c r="V2238" i="40"/>
  <c r="V2351" i="40"/>
  <c r="U2351" i="40"/>
  <c r="V2342" i="40"/>
  <c r="U2342" i="40"/>
  <c r="U2289" i="40"/>
  <c r="V2289" i="40"/>
  <c r="V2310" i="40"/>
  <c r="U2310" i="40"/>
  <c r="V2338" i="40"/>
  <c r="U2338" i="40"/>
  <c r="V2330" i="40"/>
  <c r="U2330" i="40"/>
  <c r="U2291" i="40"/>
  <c r="V2291" i="40"/>
  <c r="U2230" i="40"/>
  <c r="V2230" i="40"/>
  <c r="V2307" i="40"/>
  <c r="U2307" i="40"/>
  <c r="V2323" i="40"/>
  <c r="U2323" i="40"/>
  <c r="V2364" i="40"/>
  <c r="U2364" i="40"/>
  <c r="V2288" i="40"/>
  <c r="U2288" i="40"/>
  <c r="V2228" i="40"/>
  <c r="U2228" i="40"/>
  <c r="V2261" i="40"/>
  <c r="U2261" i="40"/>
  <c r="V2211" i="40"/>
  <c r="U2211" i="40"/>
  <c r="V2210" i="40"/>
  <c r="U2210" i="40"/>
  <c r="V2326" i="40"/>
  <c r="U2326" i="40"/>
  <c r="V2348" i="40"/>
  <c r="U2348" i="40"/>
  <c r="V2180" i="40"/>
  <c r="U2180" i="40"/>
  <c r="V2171" i="40"/>
  <c r="U2171" i="40"/>
  <c r="V2346" i="40"/>
  <c r="U2346" i="40"/>
  <c r="V2236" i="40"/>
  <c r="U2236" i="40"/>
  <c r="V2290" i="40"/>
  <c r="U2290" i="40"/>
  <c r="V2341" i="40"/>
  <c r="U2341" i="40"/>
  <c r="V2339" i="40"/>
  <c r="U2339" i="40"/>
  <c r="V2286" i="40"/>
  <c r="U2286" i="40"/>
  <c r="V2300" i="40"/>
  <c r="U2300" i="40"/>
  <c r="V2335" i="40"/>
  <c r="U2335" i="40"/>
  <c r="V2304" i="40"/>
  <c r="U2304" i="40"/>
  <c r="U2283" i="40"/>
  <c r="V2283" i="40"/>
  <c r="V2318" i="40"/>
  <c r="U2318" i="40"/>
  <c r="V2269" i="40"/>
  <c r="U2269" i="40"/>
  <c r="V2308" i="40"/>
  <c r="U2308" i="40"/>
  <c r="V2355" i="40"/>
  <c r="U2355" i="40"/>
  <c r="U2285" i="40"/>
  <c r="V2285" i="40"/>
  <c r="V2220" i="40"/>
  <c r="U2220" i="40"/>
  <c r="V2224" i="40"/>
  <c r="U2224" i="40"/>
  <c r="V2200" i="40"/>
  <c r="U2200" i="40"/>
  <c r="V2223" i="40"/>
  <c r="U2223" i="40"/>
  <c r="V2205" i="40"/>
  <c r="U2205" i="40"/>
  <c r="V2177" i="40"/>
  <c r="U2177" i="40"/>
  <c r="V2299" i="40"/>
  <c r="U2299" i="40"/>
  <c r="V2336" i="40"/>
  <c r="U2336" i="40"/>
  <c r="V2345" i="40"/>
  <c r="U2345" i="40"/>
  <c r="V2334" i="40"/>
  <c r="U2334" i="40"/>
  <c r="V2170" i="40"/>
  <c r="U2170" i="40"/>
  <c r="V2222" i="40"/>
  <c r="U2222" i="40"/>
  <c r="V2216" i="40"/>
  <c r="U2216" i="40"/>
  <c r="U2325" i="40"/>
  <c r="V2325" i="40"/>
  <c r="V2331" i="40"/>
  <c r="U2331" i="40"/>
  <c r="V2360" i="40"/>
  <c r="U2360" i="40"/>
  <c r="V2294" i="40"/>
  <c r="U2294" i="40"/>
  <c r="U2329" i="40"/>
  <c r="V2329" i="40"/>
  <c r="V2271" i="40"/>
  <c r="U2271" i="40"/>
  <c r="U2278" i="40"/>
  <c r="V2278" i="40"/>
  <c r="V2292" i="40"/>
  <c r="U2292" i="40"/>
  <c r="V2253" i="40"/>
  <c r="U2253" i="40"/>
  <c r="U2305" i="40"/>
  <c r="V2305" i="40"/>
  <c r="V2276" i="40"/>
  <c r="U2276" i="40"/>
  <c r="V2212" i="40"/>
  <c r="U2212" i="40"/>
  <c r="V2256" i="40"/>
  <c r="U2256" i="40"/>
  <c r="V2217" i="40"/>
  <c r="U2217" i="40"/>
  <c r="V2218" i="40"/>
  <c r="U2218" i="40"/>
  <c r="V2194" i="40"/>
  <c r="U2194" i="40"/>
  <c r="V2209" i="40"/>
  <c r="U2209" i="40"/>
  <c r="V2199" i="40"/>
  <c r="U2199" i="40"/>
  <c r="V2356" i="40"/>
  <c r="U2356" i="40"/>
  <c r="U2246" i="40"/>
  <c r="V2246" i="40"/>
  <c r="V2244" i="40"/>
  <c r="U2244" i="40"/>
  <c r="V2182" i="40"/>
  <c r="U2182" i="40"/>
  <c r="V2240" i="40"/>
  <c r="U2240" i="40"/>
  <c r="U2333" i="40"/>
  <c r="V2333" i="40"/>
  <c r="V2343" i="40"/>
  <c r="U2343" i="40"/>
  <c r="V2191" i="40"/>
  <c r="U2191" i="40"/>
  <c r="V2277" i="40"/>
  <c r="U2277" i="40"/>
  <c r="U2309" i="40"/>
  <c r="V2309" i="40"/>
  <c r="V2328" i="40"/>
  <c r="U2328" i="40"/>
  <c r="V2344" i="40"/>
  <c r="U2344" i="40"/>
  <c r="V2365" i="40"/>
  <c r="U2365" i="40"/>
  <c r="V2319" i="40"/>
  <c r="U2319" i="40"/>
  <c r="V2255" i="40"/>
  <c r="U2255" i="40"/>
  <c r="V2268" i="40"/>
  <c r="U2268" i="40"/>
  <c r="V2284" i="40"/>
  <c r="U2284" i="40"/>
  <c r="V2237" i="40"/>
  <c r="U2237" i="40"/>
  <c r="V2287" i="40"/>
  <c r="U2287" i="40"/>
  <c r="U2270" i="40"/>
  <c r="V2270" i="40"/>
  <c r="V2204" i="40"/>
  <c r="U2204" i="40"/>
  <c r="V2219" i="40"/>
  <c r="U2219" i="40"/>
  <c r="V2206" i="40"/>
  <c r="U2206" i="40"/>
  <c r="V2213" i="40"/>
  <c r="U2213" i="40"/>
  <c r="V2327" i="40"/>
  <c r="U2327" i="40"/>
  <c r="V2189" i="40"/>
  <c r="U2189" i="40"/>
  <c r="V2198" i="40"/>
  <c r="U2198" i="40"/>
  <c r="V2185" i="40"/>
  <c r="U2185" i="40"/>
  <c r="U2317" i="40"/>
  <c r="V2317" i="40"/>
  <c r="V2349" i="40"/>
  <c r="U2349" i="40"/>
  <c r="V2296" i="40"/>
  <c r="U2296" i="40"/>
  <c r="V2231" i="40"/>
  <c r="U2231" i="40"/>
  <c r="U2281" i="40"/>
  <c r="V2281" i="40"/>
  <c r="V2315" i="40"/>
  <c r="U2315" i="40"/>
  <c r="V2337" i="40"/>
  <c r="U2337" i="40"/>
  <c r="V2361" i="40"/>
  <c r="U2361" i="40"/>
  <c r="U2313" i="40"/>
  <c r="V2313" i="40"/>
  <c r="V2239" i="40"/>
  <c r="U2239" i="40"/>
  <c r="U2262" i="40"/>
  <c r="V2262" i="40"/>
  <c r="V2359" i="40"/>
  <c r="U2359" i="40"/>
  <c r="V2363" i="40"/>
  <c r="U2363" i="40"/>
  <c r="V2279" i="40"/>
  <c r="U2279" i="40"/>
  <c r="V2324" i="40"/>
  <c r="U2324" i="40"/>
  <c r="V2260" i="40"/>
  <c r="U2260" i="40"/>
  <c r="V2196" i="40"/>
  <c r="U2196" i="40"/>
  <c r="V2208" i="40"/>
  <c r="U2208" i="40"/>
  <c r="V2195" i="40"/>
  <c r="U2195" i="40"/>
  <c r="V2207" i="40"/>
  <c r="U2207" i="40"/>
  <c r="V2311" i="40"/>
  <c r="U2311" i="40"/>
  <c r="V2183" i="40"/>
  <c r="U2183" i="40"/>
  <c r="V2187" i="40"/>
  <c r="U2187" i="40"/>
  <c r="V2176" i="40"/>
  <c r="U2176" i="40"/>
  <c r="V2192" i="40"/>
  <c r="U2192" i="40"/>
  <c r="V2320" i="40"/>
  <c r="U2320" i="40"/>
  <c r="V2306" i="40"/>
  <c r="U2306" i="40"/>
  <c r="V2175" i="40"/>
  <c r="U2175" i="40"/>
  <c r="V2173" i="40"/>
  <c r="U2173" i="40"/>
  <c r="V2316" i="40"/>
  <c r="U2316" i="40"/>
  <c r="V2295" i="40"/>
  <c r="U2295" i="40"/>
  <c r="V2362" i="40"/>
  <c r="U2362" i="40"/>
  <c r="V2312" i="40"/>
  <c r="U2312" i="40"/>
  <c r="V2332" i="40"/>
  <c r="U2332" i="40"/>
  <c r="V2358" i="40"/>
  <c r="U2358" i="40"/>
  <c r="V2303" i="40"/>
  <c r="U2303" i="40"/>
  <c r="V2340" i="40"/>
  <c r="U2340" i="40"/>
  <c r="V2252" i="40"/>
  <c r="U2252" i="40"/>
  <c r="V2347" i="40"/>
  <c r="U2347" i="40"/>
  <c r="V2354" i="40"/>
  <c r="U2354" i="40"/>
  <c r="V2263" i="40"/>
  <c r="U2263" i="40"/>
  <c r="U2321" i="40"/>
  <c r="V2321" i="40"/>
  <c r="U2254" i="40"/>
  <c r="V2254" i="40"/>
  <c r="V2188" i="40"/>
  <c r="U2188" i="40"/>
  <c r="V2202" i="40"/>
  <c r="U2202" i="40"/>
  <c r="V2184" i="40"/>
  <c r="U2184" i="40"/>
  <c r="V2193" i="40"/>
  <c r="U2193" i="40"/>
  <c r="V2272" i="40"/>
  <c r="U2272" i="40"/>
  <c r="V2178" i="40"/>
  <c r="U2178" i="40"/>
  <c r="U2293" i="40"/>
  <c r="V2293" i="40"/>
  <c r="A46" i="2" l="1"/>
  <c r="C21" i="22"/>
  <c r="C20" i="22"/>
  <c r="C19" i="22"/>
  <c r="G26" i="30" l="1"/>
  <c r="H19" i="30"/>
  <c r="H18" i="30"/>
  <c r="H13" i="30" l="1"/>
  <c r="C5" i="25" l="1"/>
  <c r="O16" i="26" l="1"/>
  <c r="H16" i="26"/>
  <c r="C10" i="26"/>
  <c r="D9" i="36" l="1"/>
  <c r="D10" i="36"/>
  <c r="D11" i="36"/>
  <c r="D12" i="36"/>
  <c r="D13" i="36"/>
  <c r="D14" i="36"/>
  <c r="D15" i="36"/>
  <c r="D16" i="36"/>
  <c r="D17" i="36"/>
  <c r="D18" i="36"/>
  <c r="D19" i="36"/>
  <c r="D20" i="36"/>
  <c r="D21" i="36"/>
  <c r="D22" i="36"/>
  <c r="D23" i="36"/>
  <c r="D24" i="36"/>
  <c r="D25" i="36"/>
  <c r="D26" i="36"/>
  <c r="D27" i="36"/>
  <c r="D28" i="36"/>
  <c r="D29" i="36"/>
  <c r="D30" i="36"/>
  <c r="D31" i="36"/>
  <c r="D32" i="36"/>
  <c r="D33" i="36"/>
  <c r="D34" i="36"/>
  <c r="D35" i="36"/>
  <c r="D36" i="36"/>
  <c r="D37" i="36"/>
  <c r="D38" i="36"/>
  <c r="D39" i="36"/>
  <c r="D40" i="36"/>
  <c r="D41" i="36"/>
  <c r="D42" i="36"/>
  <c r="D43" i="36"/>
  <c r="D44" i="36"/>
  <c r="D45" i="36"/>
  <c r="D46" i="36"/>
  <c r="D47" i="36"/>
  <c r="D48" i="36"/>
  <c r="D49" i="36"/>
  <c r="D50" i="36"/>
  <c r="D51" i="36"/>
  <c r="D52" i="36"/>
  <c r="D53" i="36"/>
  <c r="D54" i="36"/>
  <c r="D55" i="36"/>
  <c r="D56" i="36"/>
  <c r="D57" i="36"/>
  <c r="D58" i="36"/>
  <c r="D59" i="36"/>
  <c r="D60" i="36"/>
  <c r="D61" i="36"/>
  <c r="D62" i="36"/>
  <c r="D63" i="36"/>
  <c r="D64" i="36"/>
  <c r="D65" i="36"/>
  <c r="D66" i="36"/>
  <c r="D67" i="36"/>
  <c r="D68" i="36"/>
  <c r="D69" i="36"/>
  <c r="D70" i="36"/>
  <c r="D71" i="36"/>
  <c r="D72" i="36"/>
  <c r="D73" i="36"/>
  <c r="D74" i="36"/>
  <c r="D75" i="36"/>
  <c r="D76" i="36"/>
  <c r="D77" i="36"/>
  <c r="D78" i="36"/>
  <c r="D79" i="36"/>
  <c r="D80" i="36"/>
  <c r="D81" i="36"/>
  <c r="D82" i="36"/>
  <c r="D83" i="36"/>
  <c r="D84" i="36"/>
  <c r="D85" i="36"/>
  <c r="D86" i="36"/>
  <c r="D87" i="36"/>
  <c r="D88" i="36"/>
  <c r="D89" i="36"/>
  <c r="D90" i="36"/>
  <c r="D91" i="36"/>
  <c r="D92" i="36"/>
  <c r="D93" i="36"/>
  <c r="D94" i="36"/>
  <c r="D95" i="36"/>
  <c r="D96" i="36"/>
  <c r="D97" i="36"/>
  <c r="D98" i="36"/>
  <c r="D99" i="36"/>
  <c r="D100" i="36"/>
  <c r="D101" i="36"/>
  <c r="D102" i="36"/>
  <c r="D103" i="36"/>
  <c r="D104" i="36"/>
  <c r="D105" i="36"/>
  <c r="D106" i="36"/>
  <c r="D107" i="36"/>
  <c r="D108" i="36"/>
  <c r="D109" i="36"/>
  <c r="D110" i="36"/>
  <c r="D111" i="36"/>
  <c r="D112" i="36"/>
  <c r="D113" i="36"/>
  <c r="D114" i="36"/>
  <c r="D115" i="36"/>
  <c r="D116" i="36"/>
  <c r="D117" i="36"/>
  <c r="D118" i="36"/>
  <c r="D119" i="36"/>
  <c r="D120" i="36"/>
  <c r="D121" i="36"/>
  <c r="D122" i="36"/>
  <c r="D123" i="36"/>
  <c r="D124" i="36"/>
  <c r="D125" i="36"/>
  <c r="D126" i="36"/>
  <c r="D127" i="36"/>
  <c r="D128" i="36"/>
  <c r="D129" i="36"/>
  <c r="D130" i="36"/>
  <c r="D131" i="36"/>
  <c r="D132" i="36"/>
  <c r="D133" i="36"/>
  <c r="D134" i="36"/>
  <c r="D135" i="36"/>
  <c r="D136" i="36"/>
  <c r="D137" i="36"/>
  <c r="D138" i="36"/>
  <c r="D139" i="36"/>
  <c r="D140" i="36"/>
  <c r="D141" i="36"/>
  <c r="D142" i="36"/>
  <c r="D143" i="36"/>
  <c r="D144" i="36"/>
  <c r="D145" i="36"/>
  <c r="D146" i="36"/>
  <c r="D147" i="36"/>
  <c r="D148" i="36"/>
  <c r="D149" i="36"/>
  <c r="D150" i="36"/>
  <c r="D151" i="36"/>
  <c r="D152" i="36"/>
  <c r="D153" i="36"/>
  <c r="D154" i="36"/>
  <c r="D155" i="36"/>
  <c r="D156" i="36"/>
  <c r="D157" i="36"/>
  <c r="D158" i="36"/>
  <c r="D159" i="36"/>
  <c r="D160" i="36"/>
  <c r="D161" i="36"/>
  <c r="D162" i="36"/>
  <c r="D163" i="36"/>
  <c r="D164" i="36"/>
  <c r="D165" i="36"/>
  <c r="D166" i="36"/>
  <c r="D167" i="36"/>
  <c r="D168" i="36"/>
  <c r="D169" i="36"/>
  <c r="D170" i="36"/>
  <c r="D171" i="36"/>
  <c r="D172" i="36"/>
  <c r="D173" i="36"/>
  <c r="D174" i="36"/>
  <c r="D175" i="36"/>
  <c r="D176" i="36"/>
  <c r="D177" i="36"/>
  <c r="D178" i="36"/>
  <c r="D179" i="36"/>
  <c r="D180" i="36"/>
  <c r="D181" i="36"/>
  <c r="D182" i="36"/>
  <c r="D183" i="36"/>
  <c r="D184" i="36"/>
  <c r="D185" i="36"/>
  <c r="D186" i="36"/>
  <c r="D187" i="36"/>
  <c r="D188" i="36"/>
  <c r="D189" i="36"/>
  <c r="D190" i="36"/>
  <c r="D191" i="36"/>
  <c r="D192" i="36"/>
  <c r="D193" i="36"/>
  <c r="D194" i="36"/>
  <c r="D195" i="36"/>
  <c r="D196" i="36"/>
  <c r="D197" i="36"/>
  <c r="D198" i="36"/>
  <c r="D3" i="36"/>
  <c r="D4" i="36"/>
  <c r="D5" i="36"/>
  <c r="D6" i="36"/>
  <c r="D7" i="36"/>
  <c r="D8" i="36"/>
  <c r="D2" i="36"/>
  <c r="B39" i="11" l="1"/>
  <c r="B7" i="30" l="1"/>
  <c r="B3" i="2" l="1"/>
  <c r="E1" i="31" l="1"/>
  <c r="L1" i="32"/>
  <c r="CK2" i="26"/>
  <c r="CJ2" i="26"/>
  <c r="CI2" i="26"/>
  <c r="CH2" i="26"/>
  <c r="CG2" i="26"/>
  <c r="CF2" i="26"/>
  <c r="CE2" i="26"/>
  <c r="CD2" i="26"/>
  <c r="CC2" i="26"/>
  <c r="CB2" i="26"/>
  <c r="CA2" i="26"/>
  <c r="BZ2" i="26"/>
  <c r="BY2" i="26"/>
  <c r="BX2" i="26"/>
  <c r="BW2" i="26"/>
  <c r="H8" i="26" l="1"/>
  <c r="P16" i="26" l="1"/>
  <c r="N16" i="26"/>
  <c r="M16" i="26"/>
  <c r="L16" i="26"/>
  <c r="K16" i="26"/>
  <c r="J16" i="26"/>
  <c r="I16" i="26"/>
  <c r="G16" i="26"/>
  <c r="F16" i="26"/>
  <c r="E16" i="26"/>
  <c r="D16" i="26"/>
  <c r="C16" i="26"/>
  <c r="B16" i="26"/>
  <c r="CY2" i="26"/>
  <c r="B24" i="26" l="1"/>
  <c r="C24" i="26"/>
  <c r="B23" i="3" l="1"/>
  <c r="H25" i="30" l="1"/>
  <c r="CL2" i="26" l="1"/>
  <c r="CO2" i="26"/>
  <c r="H20" i="30" l="1"/>
  <c r="CV2" i="26" s="1"/>
  <c r="CU2" i="26"/>
  <c r="H17" i="30"/>
  <c r="CT2" i="26" s="1"/>
  <c r="H24" i="30"/>
  <c r="CR2" i="26"/>
  <c r="H14" i="30" l="1"/>
  <c r="CP2" i="26" s="1"/>
  <c r="H15" i="30"/>
  <c r="CQ2" i="26" s="1"/>
  <c r="H16" i="30"/>
  <c r="CS2" i="26" s="1"/>
  <c r="D7" i="25" l="1"/>
  <c r="C18" i="22" l="1"/>
  <c r="C22" i="22"/>
  <c r="C23" i="22"/>
  <c r="B20" i="2"/>
  <c r="H21" i="30" l="1"/>
  <c r="CW2" i="26" s="1"/>
  <c r="H23" i="30"/>
  <c r="H22" i="30"/>
  <c r="CX2" i="26" s="1"/>
  <c r="CZ2" i="26"/>
  <c r="CN2" i="26"/>
  <c r="CM2" i="26" l="1"/>
  <c r="H26" i="30"/>
  <c r="B19" i="2"/>
  <c r="V2" i="29"/>
  <c r="V3" i="29"/>
  <c r="V4" i="29"/>
  <c r="V5" i="29"/>
  <c r="V6" i="29"/>
  <c r="V7" i="29"/>
  <c r="V8" i="29"/>
  <c r="V9" i="29"/>
  <c r="V10" i="29"/>
  <c r="V11" i="29"/>
  <c r="V12" i="29"/>
  <c r="V13" i="29"/>
  <c r="V14" i="29"/>
  <c r="V15" i="29"/>
  <c r="V16" i="29"/>
  <c r="V17" i="29"/>
  <c r="V18" i="29"/>
  <c r="V19" i="29"/>
  <c r="V20" i="29"/>
  <c r="V21" i="29"/>
  <c r="V22" i="29"/>
  <c r="V23" i="29"/>
  <c r="V24" i="29"/>
  <c r="V25" i="29"/>
  <c r="V26" i="29"/>
  <c r="V27" i="29"/>
  <c r="V28" i="29"/>
  <c r="V29" i="29"/>
  <c r="V30" i="29"/>
  <c r="V31" i="29"/>
  <c r="V32" i="29"/>
  <c r="V33" i="29"/>
  <c r="V34" i="29"/>
  <c r="V35" i="29"/>
  <c r="V36" i="29"/>
  <c r="V37" i="29"/>
  <c r="V38" i="29"/>
  <c r="V39" i="29"/>
  <c r="V40" i="29"/>
  <c r="V41" i="29"/>
  <c r="V42" i="29"/>
  <c r="V43" i="29"/>
  <c r="V44" i="29"/>
  <c r="V45" i="29"/>
  <c r="V46" i="29"/>
  <c r="V47" i="29"/>
  <c r="V48" i="29"/>
  <c r="V49" i="29"/>
  <c r="V50" i="29"/>
  <c r="V51" i="29"/>
  <c r="V52" i="29"/>
  <c r="V53" i="29"/>
  <c r="V54" i="29"/>
  <c r="V55" i="29"/>
  <c r="V56" i="29"/>
  <c r="V57" i="29"/>
  <c r="V58" i="29"/>
  <c r="V59" i="29"/>
  <c r="V60" i="29"/>
  <c r="V61" i="29"/>
  <c r="V62" i="29"/>
  <c r="V63" i="29"/>
  <c r="V64" i="29"/>
  <c r="V65" i="29"/>
  <c r="V66" i="29"/>
  <c r="V67" i="29"/>
  <c r="V68" i="29"/>
  <c r="V69" i="29"/>
  <c r="V70" i="29"/>
  <c r="V71" i="29"/>
  <c r="V72" i="29"/>
  <c r="V73" i="29"/>
  <c r="V74" i="29"/>
  <c r="V75" i="29"/>
  <c r="V76" i="29"/>
  <c r="V77" i="29"/>
  <c r="V78" i="29"/>
  <c r="V79" i="29"/>
  <c r="V80" i="29"/>
  <c r="V81" i="29"/>
  <c r="V82" i="29"/>
  <c r="V83" i="29"/>
  <c r="V84" i="29"/>
  <c r="V85" i="29"/>
  <c r="V86" i="29"/>
  <c r="V87" i="29"/>
  <c r="V88" i="29"/>
  <c r="V89" i="29"/>
  <c r="V90" i="29"/>
  <c r="V91" i="29"/>
  <c r="V92" i="29"/>
  <c r="V93" i="29"/>
  <c r="V94" i="29"/>
  <c r="V95" i="29"/>
  <c r="V96" i="29"/>
  <c r="V97" i="29"/>
  <c r="V98" i="29"/>
  <c r="V99" i="29"/>
  <c r="V100" i="29"/>
  <c r="V101" i="29"/>
  <c r="V102" i="29"/>
  <c r="V103" i="29"/>
  <c r="V104" i="29"/>
  <c r="V105" i="29"/>
  <c r="V106" i="29"/>
  <c r="V107" i="29"/>
  <c r="V108" i="29"/>
  <c r="V109" i="29"/>
  <c r="V110" i="29"/>
  <c r="V111" i="29"/>
  <c r="V112" i="29"/>
  <c r="V113" i="29"/>
  <c r="V114" i="29"/>
  <c r="V115" i="29"/>
  <c r="V116" i="29"/>
  <c r="V117" i="29"/>
  <c r="V118" i="29"/>
  <c r="V119" i="29"/>
  <c r="V120" i="29"/>
  <c r="V121" i="29"/>
  <c r="V122" i="29"/>
  <c r="V123" i="29"/>
  <c r="V124" i="29"/>
  <c r="V125" i="29"/>
  <c r="V126" i="29"/>
  <c r="V127" i="29"/>
  <c r="V128" i="29"/>
  <c r="V129" i="29"/>
  <c r="V130" i="29"/>
  <c r="V131" i="29"/>
  <c r="V132" i="29"/>
  <c r="V133" i="29"/>
  <c r="V134" i="29"/>
  <c r="V135" i="29"/>
  <c r="V136" i="29"/>
  <c r="V137" i="29"/>
  <c r="V138" i="29"/>
  <c r="V139" i="29"/>
  <c r="V140" i="29"/>
  <c r="V141" i="29"/>
  <c r="V142" i="29"/>
  <c r="V143" i="29"/>
  <c r="V144" i="29"/>
  <c r="V145" i="29"/>
  <c r="V146" i="29"/>
  <c r="V147" i="29"/>
  <c r="V148" i="29"/>
  <c r="V149" i="29"/>
  <c r="V150" i="29"/>
  <c r="V151" i="29"/>
  <c r="V152" i="29"/>
  <c r="V153" i="29"/>
  <c r="V154" i="29"/>
  <c r="V155" i="29"/>
  <c r="V156" i="29"/>
  <c r="V157" i="29"/>
  <c r="V158" i="29"/>
  <c r="V159" i="29"/>
  <c r="V160" i="29"/>
  <c r="V161" i="29"/>
  <c r="V162" i="29"/>
  <c r="V163" i="29"/>
  <c r="V164" i="29"/>
  <c r="V165" i="29"/>
  <c r="V166" i="29"/>
  <c r="V167" i="29"/>
  <c r="V168" i="29"/>
  <c r="V169" i="29"/>
  <c r="V170" i="29"/>
  <c r="V171" i="29"/>
  <c r="V172" i="29"/>
  <c r="V173" i="29"/>
  <c r="V174" i="29"/>
  <c r="V175" i="29"/>
  <c r="V176" i="29"/>
  <c r="V177" i="29"/>
  <c r="V178" i="29"/>
  <c r="V179" i="29"/>
  <c r="V180" i="29"/>
  <c r="V181" i="29"/>
  <c r="V182" i="29"/>
  <c r="V183" i="29"/>
  <c r="V184" i="29"/>
  <c r="V185" i="29"/>
  <c r="V186" i="29"/>
  <c r="V187" i="29"/>
  <c r="V188" i="29"/>
  <c r="V189" i="29"/>
  <c r="V190" i="29"/>
  <c r="V191" i="29"/>
  <c r="V192" i="29"/>
  <c r="V193" i="29"/>
  <c r="V194" i="29"/>
  <c r="V195" i="29"/>
  <c r="V196" i="29"/>
  <c r="V197" i="29"/>
  <c r="V198" i="29"/>
  <c r="V199" i="29"/>
  <c r="V200" i="29"/>
  <c r="V201" i="29"/>
  <c r="V202" i="29"/>
  <c r="V203" i="29"/>
  <c r="V204" i="29"/>
  <c r="V205" i="29"/>
  <c r="V206" i="29"/>
  <c r="V207" i="29"/>
  <c r="V208" i="29"/>
  <c r="V209" i="29"/>
  <c r="V210" i="29"/>
  <c r="V211" i="29"/>
  <c r="V212" i="29"/>
  <c r="V213" i="29"/>
  <c r="V214" i="29"/>
  <c r="V215" i="29"/>
  <c r="V216" i="29"/>
  <c r="V217" i="29"/>
  <c r="V218" i="29"/>
  <c r="V219" i="29"/>
  <c r="V220" i="29"/>
  <c r="V221" i="29"/>
  <c r="V222" i="29"/>
  <c r="V223" i="29"/>
  <c r="V224" i="29"/>
  <c r="V225" i="29"/>
  <c r="V226" i="29"/>
  <c r="V227" i="29"/>
  <c r="V228" i="29"/>
  <c r="V229" i="29"/>
  <c r="V230" i="29"/>
  <c r="V231" i="29"/>
  <c r="V232" i="29"/>
  <c r="V233" i="29"/>
  <c r="V234" i="29"/>
  <c r="V235" i="29"/>
  <c r="V236" i="29"/>
  <c r="V237" i="29"/>
  <c r="V238" i="29"/>
  <c r="V239" i="29"/>
  <c r="V240" i="29"/>
  <c r="V241" i="29"/>
  <c r="V242" i="29"/>
  <c r="V243" i="29"/>
  <c r="V244" i="29"/>
  <c r="V245" i="29"/>
  <c r="V246" i="29"/>
  <c r="V247" i="29"/>
  <c r="V248" i="29"/>
  <c r="V249" i="29"/>
  <c r="V250" i="29"/>
  <c r="V251" i="29"/>
  <c r="V252" i="29"/>
  <c r="V253" i="29"/>
  <c r="V254" i="29"/>
  <c r="V255" i="29"/>
  <c r="V256" i="29"/>
  <c r="V257" i="29"/>
  <c r="V258" i="29"/>
  <c r="V259" i="29"/>
  <c r="V260" i="29"/>
  <c r="V261" i="29"/>
  <c r="V262" i="29"/>
  <c r="V263" i="29"/>
  <c r="V264" i="29"/>
  <c r="V265" i="29"/>
  <c r="V266" i="29"/>
  <c r="V267" i="29"/>
  <c r="V268" i="29"/>
  <c r="V269" i="29"/>
  <c r="V270" i="29"/>
  <c r="V271" i="29"/>
  <c r="V272" i="29"/>
  <c r="V273" i="29"/>
  <c r="V274" i="29"/>
  <c r="V275" i="29"/>
  <c r="V276" i="29"/>
  <c r="V277" i="29"/>
  <c r="V278" i="29"/>
  <c r="V279" i="29"/>
  <c r="V280" i="29"/>
  <c r="V281" i="29"/>
  <c r="V282" i="29"/>
  <c r="V283" i="29"/>
  <c r="V284" i="29"/>
  <c r="V285" i="29"/>
  <c r="V286" i="29"/>
  <c r="V287" i="29"/>
  <c r="V288" i="29"/>
  <c r="V289" i="29"/>
  <c r="V290" i="29"/>
  <c r="V291" i="29"/>
  <c r="V292" i="29"/>
  <c r="V293" i="29"/>
  <c r="V294" i="29"/>
  <c r="V295" i="29"/>
  <c r="V296" i="29"/>
  <c r="V297" i="29"/>
  <c r="V298" i="29"/>
  <c r="V299" i="29"/>
  <c r="V300" i="29"/>
  <c r="V301" i="29"/>
  <c r="V302" i="29"/>
  <c r="V303" i="29"/>
  <c r="V304" i="29"/>
  <c r="V305" i="29"/>
  <c r="V306" i="29"/>
  <c r="V307" i="29"/>
  <c r="V308" i="29"/>
  <c r="V309" i="29"/>
  <c r="V310" i="29"/>
  <c r="V311" i="29"/>
  <c r="V312" i="29"/>
  <c r="V313" i="29"/>
  <c r="V314" i="29"/>
  <c r="V315" i="29"/>
  <c r="V316" i="29"/>
  <c r="V317" i="29"/>
  <c r="V318" i="29"/>
  <c r="V319" i="29"/>
  <c r="V320" i="29"/>
  <c r="V321" i="29"/>
  <c r="V322" i="29"/>
  <c r="V323" i="29"/>
  <c r="V324" i="29"/>
  <c r="V325" i="29"/>
  <c r="V326" i="29"/>
  <c r="V327" i="29"/>
  <c r="V328" i="29"/>
  <c r="V329" i="29"/>
  <c r="V330" i="29"/>
  <c r="V331" i="29"/>
  <c r="V332" i="29"/>
  <c r="V333" i="29"/>
  <c r="V334" i="29"/>
  <c r="V335" i="29"/>
  <c r="V336" i="29"/>
  <c r="V337" i="29"/>
  <c r="V338" i="29"/>
  <c r="V339" i="29"/>
  <c r="V340" i="29"/>
  <c r="V341" i="29"/>
  <c r="V342" i="29"/>
  <c r="V343" i="29"/>
  <c r="V344" i="29"/>
  <c r="V345" i="29"/>
  <c r="V346" i="29"/>
  <c r="V347" i="29"/>
  <c r="V348" i="29"/>
  <c r="V349" i="29"/>
  <c r="V350" i="29"/>
  <c r="V351" i="29"/>
  <c r="V352" i="29"/>
  <c r="V353" i="29"/>
  <c r="V354" i="29"/>
  <c r="V355" i="29"/>
  <c r="V356" i="29"/>
  <c r="V357" i="29"/>
  <c r="V358" i="29"/>
  <c r="V359" i="29"/>
  <c r="V360" i="29"/>
  <c r="V361" i="29"/>
  <c r="V362" i="29"/>
  <c r="V363" i="29"/>
  <c r="V364" i="29"/>
  <c r="V365" i="29"/>
  <c r="V366" i="29"/>
  <c r="V367" i="29"/>
  <c r="V368" i="29"/>
  <c r="V369" i="29"/>
  <c r="V370" i="29"/>
  <c r="V371" i="29"/>
  <c r="V372" i="29"/>
  <c r="V373" i="29"/>
  <c r="V374" i="29"/>
  <c r="V375" i="29"/>
  <c r="V376" i="29"/>
  <c r="V377" i="29"/>
  <c r="V378" i="29"/>
  <c r="V379" i="29"/>
  <c r="V380" i="29"/>
  <c r="V381" i="29"/>
  <c r="V382" i="29"/>
  <c r="V383" i="29"/>
  <c r="V384" i="29"/>
  <c r="V385" i="29"/>
  <c r="V386" i="29"/>
  <c r="V387" i="29"/>
  <c r="V388" i="29"/>
  <c r="V389" i="29"/>
  <c r="V390" i="29"/>
  <c r="V391" i="29"/>
  <c r="V392" i="29"/>
  <c r="V393" i="29"/>
  <c r="V394" i="29"/>
  <c r="V395" i="29"/>
  <c r="V396" i="29"/>
  <c r="V397" i="29"/>
  <c r="V398" i="29"/>
  <c r="V399" i="29"/>
  <c r="V400" i="29"/>
  <c r="V401" i="29"/>
  <c r="V402" i="29"/>
  <c r="V403" i="29"/>
  <c r="V404" i="29"/>
  <c r="V405" i="29"/>
  <c r="V406" i="29"/>
  <c r="V407" i="29"/>
  <c r="V408" i="29"/>
  <c r="V409" i="29"/>
  <c r="V410" i="29"/>
  <c r="V411" i="29"/>
  <c r="V412" i="29"/>
  <c r="V413" i="29"/>
  <c r="V414" i="29"/>
  <c r="V415" i="29"/>
  <c r="V416" i="29"/>
  <c r="V417" i="29"/>
  <c r="V418" i="29"/>
  <c r="V419" i="29"/>
  <c r="V420" i="29"/>
  <c r="V421" i="29"/>
  <c r="V422" i="29"/>
  <c r="V423" i="29"/>
  <c r="V424" i="29"/>
  <c r="V425" i="29"/>
  <c r="V426" i="29"/>
  <c r="V427" i="29"/>
  <c r="V428" i="29"/>
  <c r="V429" i="29"/>
  <c r="V430" i="29"/>
  <c r="V431" i="29"/>
  <c r="V432" i="29"/>
  <c r="V433" i="29"/>
  <c r="V434" i="29"/>
  <c r="V435" i="29"/>
  <c r="V436" i="29"/>
  <c r="V437" i="29"/>
  <c r="V438" i="29"/>
  <c r="V439" i="29"/>
  <c r="V440" i="29"/>
  <c r="V441" i="29"/>
  <c r="V442" i="29"/>
  <c r="V443" i="29"/>
  <c r="V444" i="29"/>
  <c r="V445" i="29"/>
  <c r="V446" i="29"/>
  <c r="V447" i="29"/>
  <c r="V448" i="29"/>
  <c r="V449" i="29"/>
  <c r="V450" i="29"/>
  <c r="V451" i="29"/>
  <c r="V452" i="29"/>
  <c r="V453" i="29"/>
  <c r="V454" i="29"/>
  <c r="V455" i="29"/>
  <c r="V456" i="29"/>
  <c r="V457" i="29"/>
  <c r="V458" i="29"/>
  <c r="V459" i="29"/>
  <c r="V460" i="29"/>
  <c r="V461" i="29"/>
  <c r="V462" i="29"/>
  <c r="V463" i="29"/>
  <c r="V464" i="29"/>
  <c r="V465" i="29"/>
  <c r="V466" i="29"/>
  <c r="V467" i="29"/>
  <c r="V468" i="29"/>
  <c r="V469" i="29"/>
  <c r="V470" i="29"/>
  <c r="V471" i="29"/>
  <c r="V472" i="29"/>
  <c r="V473" i="29"/>
  <c r="V474" i="29"/>
  <c r="V475" i="29"/>
  <c r="V476" i="29"/>
  <c r="V477" i="29"/>
  <c r="V478" i="29"/>
  <c r="V479" i="29"/>
  <c r="V480" i="29"/>
  <c r="V481" i="29"/>
  <c r="V482" i="29"/>
  <c r="V483" i="29"/>
  <c r="V484" i="29"/>
  <c r="V485" i="29"/>
  <c r="V486" i="29"/>
  <c r="V487" i="29"/>
  <c r="V488" i="29"/>
  <c r="V489" i="29"/>
  <c r="V490" i="29"/>
  <c r="V491" i="29"/>
  <c r="V492" i="29"/>
  <c r="V493" i="29"/>
  <c r="V494" i="29"/>
  <c r="V495" i="29"/>
  <c r="V496" i="29"/>
  <c r="V497" i="29"/>
  <c r="V498" i="29"/>
  <c r="V499" i="29"/>
  <c r="V500" i="29"/>
  <c r="V501" i="29"/>
  <c r="V502" i="29"/>
  <c r="V503" i="29"/>
  <c r="V504" i="29"/>
  <c r="V505" i="29"/>
  <c r="V506" i="29"/>
  <c r="V507" i="29"/>
  <c r="V508" i="29"/>
  <c r="V509" i="29"/>
  <c r="V510" i="29"/>
  <c r="V511" i="29"/>
  <c r="V512" i="29"/>
  <c r="V513" i="29"/>
  <c r="V514" i="29"/>
  <c r="V515" i="29"/>
  <c r="V516" i="29"/>
  <c r="V517" i="29"/>
  <c r="V518" i="29"/>
  <c r="V519" i="29"/>
  <c r="V520" i="29"/>
  <c r="V521" i="29"/>
  <c r="V522" i="29"/>
  <c r="V523" i="29"/>
  <c r="V524" i="29"/>
  <c r="V525" i="29"/>
  <c r="V526" i="29"/>
  <c r="V527" i="29"/>
  <c r="V528" i="29"/>
  <c r="V529" i="29"/>
  <c r="V530" i="29"/>
  <c r="V531" i="29"/>
  <c r="V532" i="29"/>
  <c r="V533" i="29"/>
  <c r="V534" i="29"/>
  <c r="V535" i="29"/>
  <c r="V536" i="29"/>
  <c r="V537" i="29"/>
  <c r="V538" i="29"/>
  <c r="V539" i="29"/>
  <c r="V540" i="29"/>
  <c r="V541" i="29"/>
  <c r="V542" i="29"/>
  <c r="V543" i="29"/>
  <c r="V544" i="29"/>
  <c r="V545" i="29"/>
  <c r="V546" i="29"/>
  <c r="V547" i="29"/>
  <c r="V548" i="29"/>
  <c r="V549" i="29"/>
  <c r="V550" i="29"/>
  <c r="V551" i="29"/>
  <c r="V552" i="29"/>
  <c r="V553" i="29"/>
  <c r="V554" i="29"/>
  <c r="V555" i="29"/>
  <c r="V556" i="29"/>
  <c r="V557" i="29"/>
  <c r="V558" i="29"/>
  <c r="V559" i="29"/>
  <c r="V560" i="29"/>
  <c r="V561" i="29"/>
  <c r="V562" i="29"/>
  <c r="V563" i="29"/>
  <c r="V564" i="29"/>
  <c r="V565" i="29"/>
  <c r="V566" i="29"/>
  <c r="V567" i="29"/>
  <c r="V568" i="29"/>
  <c r="V569" i="29"/>
  <c r="V570" i="29"/>
  <c r="V571" i="29"/>
  <c r="V572" i="29"/>
  <c r="V573" i="29"/>
  <c r="V574" i="29"/>
  <c r="V575" i="29"/>
  <c r="V576" i="29"/>
  <c r="V577" i="29"/>
  <c r="V578" i="29"/>
  <c r="V579" i="29"/>
  <c r="V580" i="29"/>
  <c r="V581" i="29"/>
  <c r="V582" i="29"/>
  <c r="V583" i="29"/>
  <c r="V584" i="29"/>
  <c r="V585" i="29"/>
  <c r="V586" i="29"/>
  <c r="V587" i="29"/>
  <c r="V588" i="29"/>
  <c r="V589" i="29"/>
  <c r="V590" i="29"/>
  <c r="V591" i="29"/>
  <c r="V592" i="29"/>
  <c r="V593" i="29"/>
  <c r="V594" i="29"/>
  <c r="V595" i="29"/>
  <c r="V596" i="29"/>
  <c r="V597" i="29"/>
  <c r="V598" i="29"/>
  <c r="V599" i="29"/>
  <c r="V600" i="29"/>
  <c r="V601" i="29"/>
  <c r="V602" i="29"/>
  <c r="V603" i="29"/>
  <c r="V604" i="29"/>
  <c r="V605" i="29"/>
  <c r="V606" i="29"/>
  <c r="V607" i="29"/>
  <c r="V608" i="29"/>
  <c r="V609" i="29"/>
  <c r="V610" i="29"/>
  <c r="V611" i="29"/>
  <c r="V612" i="29"/>
  <c r="V613" i="29"/>
  <c r="V614" i="29"/>
  <c r="V615" i="29"/>
  <c r="V616" i="29"/>
  <c r="V617" i="29"/>
  <c r="V618" i="29"/>
  <c r="V619" i="29"/>
  <c r="V620" i="29"/>
  <c r="V621" i="29"/>
  <c r="V622" i="29"/>
  <c r="V623" i="29"/>
  <c r="V624" i="29"/>
  <c r="V625" i="29"/>
  <c r="V626" i="29"/>
  <c r="V627" i="29"/>
  <c r="V628" i="29"/>
  <c r="V629" i="29"/>
  <c r="V630" i="29"/>
  <c r="V631" i="29"/>
  <c r="V632" i="29"/>
  <c r="V633" i="29"/>
  <c r="V634" i="29"/>
  <c r="V635" i="29"/>
  <c r="V636" i="29"/>
  <c r="V637" i="29"/>
  <c r="V638" i="29"/>
  <c r="V639" i="29"/>
  <c r="V640" i="29"/>
  <c r="V641" i="29"/>
  <c r="V642" i="29"/>
  <c r="V643" i="29"/>
  <c r="V644" i="29"/>
  <c r="V645" i="29"/>
  <c r="V646" i="29"/>
  <c r="V647" i="29"/>
  <c r="V648" i="29"/>
  <c r="V649" i="29"/>
  <c r="V650" i="29"/>
  <c r="V651" i="29"/>
  <c r="V652" i="29"/>
  <c r="V653" i="29"/>
  <c r="V654" i="29"/>
  <c r="V655" i="29"/>
  <c r="V656" i="29"/>
  <c r="V657" i="29"/>
  <c r="V658" i="29"/>
  <c r="V659" i="29"/>
  <c r="V660" i="29"/>
  <c r="V661" i="29"/>
  <c r="V662" i="29"/>
  <c r="V663" i="29"/>
  <c r="V664" i="29"/>
  <c r="V665" i="29"/>
  <c r="V666" i="29"/>
  <c r="V667" i="29"/>
  <c r="V668" i="29"/>
  <c r="V669" i="29"/>
  <c r="V670" i="29"/>
  <c r="V671" i="29"/>
  <c r="V672" i="29"/>
  <c r="V673" i="29"/>
  <c r="V674" i="29"/>
  <c r="V675" i="29"/>
  <c r="V676" i="29"/>
  <c r="V677" i="29"/>
  <c r="V678" i="29"/>
  <c r="V679" i="29"/>
  <c r="V680" i="29"/>
  <c r="V681" i="29"/>
  <c r="V682" i="29"/>
  <c r="V683" i="29"/>
  <c r="V684" i="29"/>
  <c r="V685" i="29"/>
  <c r="V686" i="29"/>
  <c r="V687" i="29"/>
  <c r="V688" i="29"/>
  <c r="V689" i="29"/>
  <c r="V690" i="29"/>
  <c r="V691" i="29"/>
  <c r="V692" i="29"/>
  <c r="V693" i="29"/>
  <c r="V694" i="29"/>
  <c r="V695" i="29"/>
  <c r="V696" i="29"/>
  <c r="V697" i="29"/>
  <c r="V698" i="29"/>
  <c r="V699" i="29"/>
  <c r="V700" i="29"/>
  <c r="V701" i="29"/>
  <c r="V702" i="29"/>
  <c r="V703" i="29"/>
  <c r="V704" i="29"/>
  <c r="V705" i="29"/>
  <c r="V706" i="29"/>
  <c r="V707" i="29"/>
  <c r="V708" i="29"/>
  <c r="V709" i="29"/>
  <c r="V710" i="29"/>
  <c r="V711" i="29"/>
  <c r="V712" i="29"/>
  <c r="V713" i="29"/>
  <c r="V714" i="29"/>
  <c r="V715" i="29"/>
  <c r="V716" i="29"/>
  <c r="V717" i="29"/>
  <c r="V718" i="29"/>
  <c r="V719" i="29"/>
  <c r="V720" i="29"/>
  <c r="V721" i="29"/>
  <c r="V722" i="29"/>
  <c r="V723" i="29"/>
  <c r="V724" i="29"/>
  <c r="V725" i="29"/>
  <c r="V726" i="29"/>
  <c r="V727" i="29"/>
  <c r="V728" i="29"/>
  <c r="V729" i="29"/>
  <c r="V730" i="29"/>
  <c r="V731" i="29"/>
  <c r="V732" i="29"/>
  <c r="V733" i="29"/>
  <c r="V734" i="29"/>
  <c r="V735" i="29"/>
  <c r="V736" i="29"/>
  <c r="V737" i="29"/>
  <c r="V738" i="29"/>
  <c r="V739" i="29"/>
  <c r="V740" i="29"/>
  <c r="V741" i="29"/>
  <c r="V742" i="29"/>
  <c r="V743" i="29"/>
  <c r="V744" i="29"/>
  <c r="V745" i="29"/>
  <c r="V746" i="29"/>
  <c r="V747" i="29"/>
  <c r="V748" i="29"/>
  <c r="V749" i="29"/>
  <c r="V750" i="29"/>
  <c r="V751" i="29"/>
  <c r="V752" i="29"/>
  <c r="V753" i="29"/>
  <c r="V754" i="29"/>
  <c r="V755" i="29"/>
  <c r="V756" i="29"/>
  <c r="V757" i="29"/>
  <c r="V758" i="29"/>
  <c r="V759" i="29"/>
  <c r="V760" i="29"/>
  <c r="V761" i="29"/>
  <c r="V762" i="29"/>
  <c r="V763" i="29"/>
  <c r="V764" i="29"/>
  <c r="V765" i="29"/>
  <c r="V766" i="29"/>
  <c r="V767" i="29"/>
  <c r="V768" i="29"/>
  <c r="V769" i="29"/>
  <c r="V770" i="29"/>
  <c r="V771" i="29"/>
  <c r="V772" i="29"/>
  <c r="V773" i="29"/>
  <c r="V774" i="29"/>
  <c r="V775" i="29"/>
  <c r="V776" i="29"/>
  <c r="V777" i="29"/>
  <c r="V778" i="29"/>
  <c r="V779" i="29"/>
  <c r="V780" i="29"/>
  <c r="V781" i="29"/>
  <c r="V782" i="29"/>
  <c r="V783" i="29"/>
  <c r="V784" i="29"/>
  <c r="V785" i="29"/>
  <c r="V786" i="29"/>
  <c r="V787" i="29"/>
  <c r="V788" i="29"/>
  <c r="V789" i="29"/>
  <c r="V790" i="29"/>
  <c r="V791" i="29"/>
  <c r="V792" i="29"/>
  <c r="V793" i="29"/>
  <c r="V794" i="29"/>
  <c r="V795" i="29"/>
  <c r="V796" i="29"/>
  <c r="V797" i="29"/>
  <c r="V798" i="29"/>
  <c r="V799" i="29"/>
  <c r="V800" i="29"/>
  <c r="V801" i="29"/>
  <c r="V802" i="29"/>
  <c r="V803" i="29"/>
  <c r="V804" i="29"/>
  <c r="V805" i="29"/>
  <c r="V806" i="29"/>
  <c r="V807" i="29"/>
  <c r="V808" i="29"/>
  <c r="V809" i="29"/>
  <c r="V810" i="29"/>
  <c r="V811" i="29"/>
  <c r="V812" i="29"/>
  <c r="V813" i="29"/>
  <c r="V814" i="29"/>
  <c r="V815" i="29"/>
  <c r="V816" i="29"/>
  <c r="V817" i="29"/>
  <c r="V818" i="29"/>
  <c r="V819" i="29"/>
  <c r="V820" i="29"/>
  <c r="V821" i="29"/>
  <c r="V822" i="29"/>
  <c r="V823" i="29"/>
  <c r="V824" i="29"/>
  <c r="V825" i="29"/>
  <c r="V826" i="29"/>
  <c r="V827" i="29"/>
  <c r="V828" i="29"/>
  <c r="V829" i="29"/>
  <c r="V830" i="29"/>
  <c r="V831" i="29"/>
  <c r="V832" i="29"/>
  <c r="V833" i="29"/>
  <c r="V834" i="29"/>
  <c r="V835" i="29"/>
  <c r="V836" i="29"/>
  <c r="V837" i="29"/>
  <c r="V838" i="29"/>
  <c r="V839" i="29"/>
  <c r="V840" i="29"/>
  <c r="V841" i="29"/>
  <c r="V842" i="29"/>
  <c r="V843" i="29"/>
  <c r="V844" i="29"/>
  <c r="V845" i="29"/>
  <c r="V846" i="29"/>
  <c r="V847" i="29"/>
  <c r="V848" i="29"/>
  <c r="V849" i="29"/>
  <c r="V850" i="29"/>
  <c r="V851" i="29"/>
  <c r="V852" i="29"/>
  <c r="V853" i="29"/>
  <c r="V854" i="29"/>
  <c r="V855" i="29"/>
  <c r="V856" i="29"/>
  <c r="V857" i="29"/>
  <c r="V858" i="29"/>
  <c r="V859" i="29"/>
  <c r="V860" i="29"/>
  <c r="V861" i="29"/>
  <c r="V862" i="29"/>
  <c r="V863" i="29"/>
  <c r="V864" i="29"/>
  <c r="V865" i="29"/>
  <c r="V866" i="29"/>
  <c r="V867" i="29"/>
  <c r="V868" i="29"/>
  <c r="V869" i="29"/>
  <c r="V870" i="29"/>
  <c r="V871" i="29"/>
  <c r="V872" i="29"/>
  <c r="V873" i="29"/>
  <c r="V874" i="29"/>
  <c r="V875" i="29"/>
  <c r="V876" i="29"/>
  <c r="V877" i="29"/>
  <c r="V878" i="29"/>
  <c r="V879" i="29"/>
  <c r="V880" i="29"/>
  <c r="V881" i="29"/>
  <c r="V882" i="29"/>
  <c r="V883" i="29"/>
  <c r="V884" i="29"/>
  <c r="V885" i="29"/>
  <c r="V886" i="29"/>
  <c r="V887" i="29"/>
  <c r="V888" i="29"/>
  <c r="V889" i="29"/>
  <c r="V890" i="29"/>
  <c r="V891" i="29"/>
  <c r="V892" i="29"/>
  <c r="V893" i="29"/>
  <c r="V894" i="29"/>
  <c r="V895" i="29"/>
  <c r="V896" i="29"/>
  <c r="V897" i="29"/>
  <c r="V898" i="29"/>
  <c r="V899" i="29"/>
  <c r="V900" i="29"/>
  <c r="V901" i="29"/>
  <c r="V902" i="29"/>
  <c r="V903" i="29"/>
  <c r="V904" i="29"/>
  <c r="V905" i="29"/>
  <c r="V906" i="29"/>
  <c r="V907" i="29"/>
  <c r="V908" i="29"/>
  <c r="V909" i="29"/>
  <c r="V910" i="29"/>
  <c r="V911" i="29"/>
  <c r="V912" i="29"/>
  <c r="V913" i="29"/>
  <c r="V914" i="29"/>
  <c r="V915" i="29"/>
  <c r="V916" i="29"/>
  <c r="V917" i="29"/>
  <c r="V918" i="29"/>
  <c r="V919" i="29"/>
  <c r="V920" i="29"/>
  <c r="V921" i="29"/>
  <c r="V922" i="29"/>
  <c r="V923" i="29"/>
  <c r="V924" i="29"/>
  <c r="V925" i="29"/>
  <c r="V926" i="29"/>
  <c r="V927" i="29"/>
  <c r="V928" i="29"/>
  <c r="V929" i="29"/>
  <c r="V930" i="29"/>
  <c r="V931" i="29"/>
  <c r="V932" i="29"/>
  <c r="V933" i="29"/>
  <c r="V934" i="29"/>
  <c r="V935" i="29"/>
  <c r="V936" i="29"/>
  <c r="V937" i="29"/>
  <c r="V938" i="29"/>
  <c r="V939" i="29"/>
  <c r="V940" i="29"/>
  <c r="V941" i="29"/>
  <c r="V942" i="29"/>
  <c r="V943" i="29"/>
  <c r="V944" i="29"/>
  <c r="V945" i="29"/>
  <c r="V946" i="29"/>
  <c r="V947" i="29"/>
  <c r="V948" i="29"/>
  <c r="V949" i="29"/>
  <c r="V950" i="29"/>
  <c r="V951" i="29"/>
  <c r="V952" i="29"/>
  <c r="V953" i="29"/>
  <c r="V954" i="29"/>
  <c r="V955" i="29"/>
  <c r="V956" i="29"/>
  <c r="V957" i="29"/>
  <c r="V958" i="29"/>
  <c r="V959" i="29"/>
  <c r="V960" i="29"/>
  <c r="V961" i="29"/>
  <c r="V962" i="29"/>
  <c r="V963" i="29"/>
  <c r="V964" i="29"/>
  <c r="V965" i="29"/>
  <c r="V966" i="29"/>
  <c r="V967" i="29"/>
  <c r="V968" i="29"/>
  <c r="V969" i="29"/>
  <c r="V970" i="29"/>
  <c r="V971" i="29"/>
  <c r="V972" i="29"/>
  <c r="V973" i="29"/>
  <c r="V974" i="29"/>
  <c r="V975" i="29"/>
  <c r="V976" i="29"/>
  <c r="V977" i="29"/>
  <c r="V978" i="29"/>
  <c r="V979" i="29"/>
  <c r="V980" i="29"/>
  <c r="V981" i="29"/>
  <c r="V982" i="29"/>
  <c r="V983" i="29"/>
  <c r="V984" i="29"/>
  <c r="V985" i="29"/>
  <c r="V986" i="29"/>
  <c r="V987" i="29"/>
  <c r="V988" i="29"/>
  <c r="V989" i="29"/>
  <c r="V990" i="29"/>
  <c r="V991" i="29"/>
  <c r="V992" i="29"/>
  <c r="V993" i="29"/>
  <c r="V994" i="29"/>
  <c r="V995" i="29"/>
  <c r="V996" i="29"/>
  <c r="V997" i="29"/>
  <c r="V998" i="29"/>
  <c r="V999" i="29"/>
  <c r="V1000" i="29"/>
  <c r="V1001" i="29"/>
  <c r="V1002" i="29"/>
  <c r="V1003" i="29"/>
  <c r="V1004" i="29"/>
  <c r="V1005" i="29"/>
  <c r="V1006" i="29"/>
  <c r="V1007" i="29"/>
  <c r="V1008" i="29"/>
  <c r="V1009" i="29"/>
  <c r="V1010" i="29"/>
  <c r="V1011" i="29"/>
  <c r="V1012" i="29"/>
  <c r="V1013" i="29"/>
  <c r="V1014" i="29"/>
  <c r="V1015" i="29"/>
  <c r="V1016" i="29"/>
  <c r="V1017" i="29"/>
  <c r="V1018" i="29"/>
  <c r="V1019" i="29"/>
  <c r="V1020" i="29"/>
  <c r="V1021" i="29"/>
  <c r="V1022" i="29"/>
  <c r="V1023" i="29"/>
  <c r="V1024" i="29"/>
  <c r="V1025" i="29"/>
  <c r="V1026" i="29"/>
  <c r="V1027" i="29"/>
  <c r="V1028" i="29"/>
  <c r="V1029" i="29"/>
  <c r="V1030" i="29"/>
  <c r="V1031" i="29"/>
  <c r="V1032" i="29"/>
  <c r="V1033" i="29"/>
  <c r="V1034" i="29"/>
  <c r="V1035" i="29"/>
  <c r="V1036" i="29"/>
  <c r="V1037" i="29"/>
  <c r="V1038" i="29"/>
  <c r="V1039" i="29"/>
  <c r="V1040" i="29"/>
  <c r="V1041" i="29"/>
  <c r="V1042" i="29"/>
  <c r="V1043" i="29"/>
  <c r="V1044" i="29"/>
  <c r="V1045" i="29"/>
  <c r="V1046" i="29"/>
  <c r="V1047" i="29"/>
  <c r="V1048" i="29"/>
  <c r="V1049" i="29"/>
  <c r="V1050" i="29"/>
  <c r="V1051" i="29"/>
  <c r="V1052" i="29"/>
  <c r="V1053" i="29"/>
  <c r="V1054" i="29"/>
  <c r="V1055" i="29"/>
  <c r="V1056" i="29"/>
  <c r="V1057" i="29"/>
  <c r="V1058" i="29"/>
  <c r="V1059" i="29"/>
  <c r="V1060" i="29"/>
  <c r="V1061" i="29"/>
  <c r="V1062" i="29"/>
  <c r="V1063" i="29"/>
  <c r="V1064" i="29"/>
  <c r="V1065" i="29"/>
  <c r="V1066" i="29"/>
  <c r="V1067" i="29"/>
  <c r="V1068" i="29"/>
  <c r="V1069" i="29"/>
  <c r="V1070" i="29"/>
  <c r="V1071" i="29"/>
  <c r="V1072" i="29"/>
  <c r="V1073" i="29"/>
  <c r="V1074" i="29"/>
  <c r="V1075" i="29"/>
  <c r="V1076" i="29"/>
  <c r="V1077" i="29"/>
  <c r="V1078" i="29"/>
  <c r="V1079" i="29"/>
  <c r="V1080" i="29"/>
  <c r="V1081" i="29"/>
  <c r="V1082" i="29"/>
  <c r="V1083" i="29"/>
  <c r="V1084" i="29"/>
  <c r="V1085" i="29"/>
  <c r="V1086" i="29"/>
  <c r="V1087" i="29"/>
  <c r="V1088" i="29"/>
  <c r="V1089" i="29"/>
  <c r="V1090" i="29"/>
  <c r="V1091" i="29"/>
  <c r="V1092" i="29"/>
  <c r="V1093" i="29"/>
  <c r="V1094" i="29"/>
  <c r="V1095" i="29"/>
  <c r="V1096" i="29"/>
  <c r="V1097" i="29"/>
  <c r="V1098" i="29"/>
  <c r="V1099" i="29"/>
  <c r="V1100" i="29"/>
  <c r="V1101" i="29"/>
  <c r="V1102" i="29"/>
  <c r="V1103" i="29"/>
  <c r="V1104" i="29"/>
  <c r="V1105" i="29"/>
  <c r="V1106" i="29"/>
  <c r="V1107" i="29"/>
  <c r="V1108" i="29"/>
  <c r="V1109" i="29"/>
  <c r="V1110" i="29"/>
  <c r="V1111" i="29"/>
  <c r="V1112" i="29"/>
  <c r="V1113" i="29"/>
  <c r="V1114" i="29"/>
  <c r="V1115" i="29"/>
  <c r="V1116" i="29"/>
  <c r="V1117" i="29"/>
  <c r="V1118" i="29"/>
  <c r="V1119" i="29"/>
  <c r="V1120" i="29"/>
  <c r="V1121" i="29"/>
  <c r="V1122" i="29"/>
  <c r="V1123" i="29"/>
  <c r="V1124" i="29"/>
  <c r="V1125" i="29"/>
  <c r="V1126" i="29"/>
  <c r="V1127" i="29"/>
  <c r="V1128" i="29"/>
  <c r="V1129" i="29"/>
  <c r="V1130" i="29"/>
  <c r="V1131" i="29"/>
  <c r="V1132" i="29"/>
  <c r="V1133" i="29"/>
  <c r="V1134" i="29"/>
  <c r="V1135" i="29"/>
  <c r="V1136" i="29"/>
  <c r="V1137" i="29"/>
  <c r="V1138" i="29"/>
  <c r="V1139" i="29"/>
  <c r="V1140" i="29"/>
  <c r="V1141" i="29"/>
  <c r="V1142" i="29"/>
  <c r="V1143" i="29"/>
  <c r="V1144" i="29"/>
  <c r="V1145" i="29"/>
  <c r="V1146" i="29"/>
  <c r="V1147" i="29"/>
  <c r="V1148" i="29"/>
  <c r="V1149" i="29"/>
  <c r="V1150" i="29"/>
  <c r="V1151" i="29"/>
  <c r="V1152" i="29"/>
  <c r="V1153" i="29"/>
  <c r="V1154" i="29"/>
  <c r="V1155" i="29"/>
  <c r="V1156" i="29"/>
  <c r="V1157" i="29"/>
  <c r="V1158" i="29"/>
  <c r="V1159" i="29"/>
  <c r="V1160" i="29"/>
  <c r="V1161" i="29"/>
  <c r="V1162" i="29"/>
  <c r="V1163" i="29"/>
  <c r="V1164" i="29"/>
  <c r="V1165" i="29"/>
  <c r="V1166" i="29"/>
  <c r="V1167" i="29"/>
  <c r="V1168" i="29"/>
  <c r="V1169" i="29"/>
  <c r="V1170" i="29"/>
  <c r="V1171" i="29"/>
  <c r="V1172" i="29"/>
  <c r="V1173" i="29"/>
  <c r="V1174" i="29"/>
  <c r="V1175" i="29"/>
  <c r="V1176" i="29"/>
  <c r="V1177" i="29"/>
  <c r="V1178" i="29"/>
  <c r="V1179" i="29"/>
  <c r="V1180" i="29"/>
  <c r="V1181" i="29"/>
  <c r="V1182" i="29"/>
  <c r="V1183" i="29"/>
  <c r="V1184" i="29"/>
  <c r="V1185" i="29"/>
  <c r="V1186" i="29"/>
  <c r="V1187" i="29"/>
  <c r="V1188" i="29"/>
  <c r="V1189" i="29"/>
  <c r="V1190" i="29"/>
  <c r="V1191" i="29"/>
  <c r="V1192" i="29"/>
  <c r="V1193" i="29"/>
  <c r="V1194" i="29"/>
  <c r="V1195" i="29"/>
  <c r="V1196" i="29"/>
  <c r="V1197" i="29"/>
  <c r="V1198" i="29"/>
  <c r="V1199" i="29"/>
  <c r="V1200" i="29"/>
  <c r="V1201" i="29"/>
  <c r="V1202" i="29"/>
  <c r="V1203" i="29"/>
  <c r="V1204" i="29"/>
  <c r="V1205" i="29"/>
  <c r="V1206" i="29"/>
  <c r="V1207" i="29"/>
  <c r="V1208" i="29"/>
  <c r="V1209" i="29"/>
  <c r="V1210" i="29"/>
  <c r="V1211" i="29"/>
  <c r="V1212" i="29"/>
  <c r="V1213" i="29"/>
  <c r="V1214" i="29"/>
  <c r="V1215" i="29"/>
  <c r="V1216" i="29"/>
  <c r="V1217" i="29"/>
  <c r="V1218" i="29"/>
  <c r="V1219" i="29"/>
  <c r="V1220" i="29"/>
  <c r="V1221" i="29"/>
  <c r="V1222" i="29"/>
  <c r="V1223" i="29"/>
  <c r="V1224" i="29"/>
  <c r="V1225" i="29"/>
  <c r="V1226" i="29"/>
  <c r="V1227" i="29"/>
  <c r="V1228" i="29"/>
  <c r="V1229" i="29"/>
  <c r="V1230" i="29"/>
  <c r="V1231" i="29"/>
  <c r="V1232" i="29"/>
  <c r="V1233" i="29"/>
  <c r="V1234" i="29"/>
  <c r="V1235" i="29"/>
  <c r="V1236" i="29"/>
  <c r="V1237" i="29"/>
  <c r="V1238" i="29"/>
  <c r="V1239" i="29"/>
  <c r="V1240" i="29"/>
  <c r="V1241" i="29"/>
  <c r="V1242" i="29"/>
  <c r="V1243" i="29"/>
  <c r="V1244" i="29"/>
  <c r="V1245" i="29"/>
  <c r="V1246" i="29"/>
  <c r="V1247" i="29"/>
  <c r="V1248" i="29"/>
  <c r="V1249" i="29"/>
  <c r="V1250" i="29"/>
  <c r="V1251" i="29"/>
  <c r="V1252" i="29"/>
  <c r="V1253" i="29"/>
  <c r="V1254" i="29"/>
  <c r="V1255" i="29"/>
  <c r="V1256" i="29"/>
  <c r="V1257" i="29"/>
  <c r="V1258" i="29"/>
  <c r="V1259" i="29"/>
  <c r="V1260" i="29"/>
  <c r="V1261" i="29"/>
  <c r="V1262" i="29"/>
  <c r="V1263" i="29"/>
  <c r="V1264" i="29"/>
  <c r="V1265" i="29"/>
  <c r="V1266" i="29"/>
  <c r="V1267" i="29"/>
  <c r="V1268" i="29"/>
  <c r="V1269" i="29"/>
  <c r="V1270" i="29"/>
  <c r="V1271" i="29"/>
  <c r="V1272" i="29"/>
  <c r="V1273" i="29"/>
  <c r="V1274" i="29"/>
  <c r="V1275" i="29"/>
  <c r="V1276" i="29"/>
  <c r="V1277" i="29"/>
  <c r="V1278" i="29"/>
  <c r="V1279" i="29"/>
  <c r="V1280" i="29"/>
  <c r="V1281" i="29"/>
  <c r="V1282" i="29"/>
  <c r="V1283" i="29"/>
  <c r="V1284" i="29"/>
  <c r="V1285" i="29"/>
  <c r="V1286" i="29"/>
  <c r="V1287" i="29"/>
  <c r="V1288" i="29"/>
  <c r="V1289" i="29"/>
  <c r="V1290" i="29"/>
  <c r="V1291" i="29"/>
  <c r="V1292" i="29"/>
  <c r="V1293" i="29"/>
  <c r="V1294" i="29"/>
  <c r="V1295" i="29"/>
  <c r="V1296" i="29"/>
  <c r="V1297" i="29"/>
  <c r="V1298" i="29"/>
  <c r="V1299" i="29"/>
  <c r="V1300" i="29"/>
  <c r="V1301" i="29"/>
  <c r="V1302" i="29"/>
  <c r="V1303" i="29"/>
  <c r="V1304" i="29"/>
  <c r="V1305" i="29"/>
  <c r="V1306" i="29"/>
  <c r="V1307" i="29"/>
  <c r="V1308" i="29"/>
  <c r="V1309" i="29"/>
  <c r="V1310" i="29"/>
  <c r="V1311" i="29"/>
  <c r="V1312" i="29"/>
  <c r="V1313" i="29"/>
  <c r="V1314" i="29"/>
  <c r="V1315" i="29"/>
  <c r="V1316" i="29"/>
  <c r="V1317" i="29"/>
  <c r="V1318" i="29"/>
  <c r="V1319" i="29"/>
  <c r="V1320" i="29"/>
  <c r="V1321" i="29"/>
  <c r="V1322" i="29"/>
  <c r="V1323" i="29"/>
  <c r="V1324" i="29"/>
  <c r="V1325" i="29"/>
  <c r="V1326" i="29"/>
  <c r="V1327" i="29"/>
  <c r="V1328" i="29"/>
  <c r="V1329" i="29"/>
  <c r="V1330" i="29"/>
  <c r="V1331" i="29"/>
  <c r="V1332" i="29"/>
  <c r="V1333" i="29"/>
  <c r="V1334" i="29"/>
  <c r="V1335" i="29"/>
  <c r="V1336" i="29"/>
  <c r="V1337" i="29"/>
  <c r="V1338" i="29"/>
  <c r="V1339" i="29"/>
  <c r="V1340" i="29"/>
  <c r="V1341" i="29"/>
  <c r="V1342" i="29"/>
  <c r="V1343" i="29"/>
  <c r="V1344" i="29"/>
  <c r="V1345" i="29"/>
  <c r="V1346" i="29"/>
  <c r="V1347" i="29"/>
  <c r="V1348" i="29"/>
  <c r="V1349" i="29"/>
  <c r="V1350" i="29"/>
  <c r="V1351" i="29"/>
  <c r="V1352" i="29"/>
  <c r="V1353" i="29"/>
  <c r="V1354" i="29"/>
  <c r="V1355" i="29"/>
  <c r="V1356" i="29"/>
  <c r="V1357" i="29"/>
  <c r="V1358" i="29"/>
  <c r="V1359" i="29"/>
  <c r="V1360" i="29"/>
  <c r="V1361" i="29"/>
  <c r="V1362" i="29"/>
  <c r="V1363" i="29"/>
  <c r="V1364" i="29"/>
  <c r="V1365" i="29"/>
  <c r="V1366" i="29"/>
  <c r="V1367" i="29"/>
  <c r="V1368" i="29"/>
  <c r="V1369" i="29"/>
  <c r="V1370" i="29"/>
  <c r="V1371" i="29"/>
  <c r="V1372" i="29"/>
  <c r="V1373" i="29"/>
  <c r="V1374" i="29"/>
  <c r="V1375" i="29"/>
  <c r="V1376" i="29"/>
  <c r="V1377" i="29"/>
  <c r="V1378" i="29"/>
  <c r="V1379" i="29"/>
  <c r="V1380" i="29"/>
  <c r="V1381" i="29"/>
  <c r="V1382" i="29"/>
  <c r="V1383" i="29"/>
  <c r="V1384" i="29"/>
  <c r="V1385" i="29"/>
  <c r="V1386" i="29"/>
  <c r="V1387" i="29"/>
  <c r="V1388" i="29"/>
  <c r="V1389" i="29"/>
  <c r="V1390" i="29"/>
  <c r="V1391" i="29"/>
  <c r="V1392" i="29"/>
  <c r="V1393" i="29"/>
  <c r="V1394" i="29"/>
  <c r="V1395" i="29"/>
  <c r="V1396" i="29"/>
  <c r="V1397" i="29"/>
  <c r="V1398" i="29"/>
  <c r="V1399" i="29"/>
  <c r="V1400" i="29"/>
  <c r="V1401" i="29"/>
  <c r="V1402" i="29"/>
  <c r="V1403" i="29"/>
  <c r="V1404" i="29"/>
  <c r="V1405" i="29"/>
  <c r="V1406" i="29"/>
  <c r="V1407" i="29"/>
  <c r="V1408" i="29"/>
  <c r="V1409" i="29"/>
  <c r="V1410" i="29"/>
  <c r="V1411" i="29"/>
  <c r="V1412" i="29"/>
  <c r="V1413" i="29"/>
  <c r="V1414" i="29"/>
  <c r="V1415" i="29"/>
  <c r="V1416" i="29"/>
  <c r="V1417" i="29"/>
  <c r="V1418" i="29"/>
  <c r="V1419" i="29"/>
  <c r="V1420" i="29"/>
  <c r="V1421" i="29"/>
  <c r="V1422" i="29"/>
  <c r="V1423" i="29"/>
  <c r="V1424" i="29"/>
  <c r="V1425" i="29"/>
  <c r="V1426" i="29"/>
  <c r="V1427" i="29"/>
  <c r="V1428" i="29"/>
  <c r="V1429" i="29"/>
  <c r="V1430" i="29"/>
  <c r="V1431" i="29"/>
  <c r="V1432" i="29"/>
  <c r="V1433" i="29"/>
  <c r="V1434" i="29"/>
  <c r="V1435" i="29"/>
  <c r="V1436" i="29"/>
  <c r="V1437" i="29"/>
  <c r="V1438" i="29"/>
  <c r="V1439" i="29"/>
  <c r="V1440" i="29"/>
  <c r="V1441" i="29"/>
  <c r="V1442" i="29"/>
  <c r="V1443" i="29"/>
  <c r="V1444" i="29"/>
  <c r="V1445" i="29"/>
  <c r="V1446" i="29"/>
  <c r="V1447" i="29"/>
  <c r="V1448" i="29"/>
  <c r="V1449" i="29"/>
  <c r="V1450" i="29"/>
  <c r="V1451" i="29"/>
  <c r="V1452" i="29"/>
  <c r="V1453" i="29"/>
  <c r="V1454" i="29"/>
  <c r="V1455" i="29"/>
  <c r="V1456" i="29"/>
  <c r="V1457" i="29"/>
  <c r="V1458" i="29"/>
  <c r="V1459" i="29"/>
  <c r="V1460" i="29"/>
  <c r="V1461" i="29"/>
  <c r="V1462" i="29"/>
  <c r="V1463" i="29"/>
  <c r="V1464" i="29"/>
  <c r="V1465" i="29"/>
  <c r="V1466" i="29"/>
  <c r="V1467" i="29"/>
  <c r="V1468" i="29"/>
  <c r="V1469" i="29"/>
  <c r="V1470" i="29"/>
  <c r="V1471" i="29"/>
  <c r="V1472" i="29"/>
  <c r="V1473" i="29"/>
  <c r="V1474" i="29"/>
  <c r="V1475" i="29"/>
  <c r="V1476" i="29"/>
  <c r="V1477" i="29"/>
  <c r="V1478" i="29"/>
  <c r="V1479" i="29"/>
  <c r="V1480" i="29"/>
  <c r="V1481" i="29"/>
  <c r="V1482" i="29"/>
  <c r="V1483" i="29"/>
  <c r="V1484" i="29"/>
  <c r="V1485" i="29"/>
  <c r="V1486" i="29"/>
  <c r="V1487" i="29"/>
  <c r="V1488" i="29"/>
  <c r="V1489" i="29"/>
  <c r="V1490" i="29"/>
  <c r="V1491" i="29"/>
  <c r="V1492" i="29"/>
  <c r="V1493" i="29"/>
  <c r="V1494" i="29"/>
  <c r="V1495" i="29"/>
  <c r="V1496" i="29"/>
  <c r="V1497" i="29"/>
  <c r="V1498" i="29"/>
  <c r="V1499" i="29"/>
  <c r="V1500" i="29"/>
  <c r="V1501" i="29"/>
  <c r="V1502" i="29"/>
  <c r="V1503" i="29"/>
  <c r="V1504" i="29"/>
  <c r="V1505" i="29"/>
  <c r="V1506" i="29"/>
  <c r="V1507" i="29"/>
  <c r="V1508" i="29"/>
  <c r="V1509" i="29"/>
  <c r="V1510" i="29"/>
  <c r="V1511" i="29"/>
  <c r="V1512" i="29"/>
  <c r="V1513" i="29"/>
  <c r="V1514" i="29"/>
  <c r="V1515" i="29"/>
  <c r="V1516" i="29"/>
  <c r="V1517" i="29"/>
  <c r="V1518" i="29"/>
  <c r="V1519" i="29"/>
  <c r="V1520" i="29"/>
  <c r="V1521" i="29"/>
  <c r="V1522" i="29"/>
  <c r="V1523" i="29"/>
  <c r="V1524" i="29"/>
  <c r="V1525" i="29"/>
  <c r="V1526" i="29"/>
  <c r="V1527" i="29"/>
  <c r="V1528" i="29"/>
  <c r="V1529" i="29"/>
  <c r="V1530" i="29"/>
  <c r="V1531" i="29"/>
  <c r="V1532" i="29"/>
  <c r="V1533" i="29"/>
  <c r="V1534" i="29"/>
  <c r="V1535" i="29"/>
  <c r="V1536" i="29"/>
  <c r="V1537" i="29"/>
  <c r="V1538" i="29"/>
  <c r="V1539" i="29"/>
  <c r="V1540" i="29"/>
  <c r="V1541" i="29"/>
  <c r="V1542" i="29"/>
  <c r="V1543" i="29"/>
  <c r="V1544" i="29"/>
  <c r="V1545" i="29"/>
  <c r="V1546" i="29"/>
  <c r="V1547" i="29"/>
  <c r="V1548" i="29"/>
  <c r="V1549" i="29"/>
  <c r="V1550" i="29"/>
  <c r="V1551" i="29"/>
  <c r="V1552" i="29"/>
  <c r="V1553" i="29"/>
  <c r="V1554" i="29"/>
  <c r="V1555" i="29"/>
  <c r="V1556" i="29"/>
  <c r="V1557" i="29"/>
  <c r="V1558" i="29"/>
  <c r="V1559" i="29"/>
  <c r="V1560" i="29"/>
  <c r="V1561" i="29"/>
  <c r="V1562" i="29"/>
  <c r="V1563" i="29"/>
  <c r="V1564" i="29"/>
  <c r="V1565" i="29"/>
  <c r="V1566" i="29"/>
  <c r="V1567" i="29"/>
  <c r="V1568" i="29"/>
  <c r="V1569" i="29"/>
  <c r="V1570" i="29"/>
  <c r="V1571" i="29"/>
  <c r="V1572" i="29"/>
  <c r="V1573" i="29"/>
  <c r="V1574" i="29"/>
  <c r="V1575" i="29"/>
  <c r="V1576" i="29"/>
  <c r="V1577" i="29"/>
  <c r="V1578" i="29"/>
  <c r="V1579" i="29"/>
  <c r="V1580" i="29"/>
  <c r="V1581" i="29"/>
  <c r="V1582" i="29"/>
  <c r="V1583" i="29"/>
  <c r="V1584" i="29"/>
  <c r="V1585" i="29"/>
  <c r="V1586" i="29"/>
  <c r="V1587" i="29"/>
  <c r="V1588" i="29"/>
  <c r="V1589" i="29"/>
  <c r="V1590" i="29"/>
  <c r="V1591" i="29"/>
  <c r="V1592" i="29"/>
  <c r="V1593" i="29"/>
  <c r="V1594" i="29"/>
  <c r="V1595" i="29"/>
  <c r="V1596" i="29"/>
  <c r="V1597" i="29"/>
  <c r="V1598" i="29"/>
  <c r="V1599" i="29"/>
  <c r="V1600" i="29"/>
  <c r="V1601" i="29"/>
  <c r="V1602" i="29"/>
  <c r="V1603" i="29"/>
  <c r="V1604" i="29"/>
  <c r="V1605" i="29"/>
  <c r="V1606" i="29"/>
  <c r="V1607" i="29"/>
  <c r="V1608" i="29"/>
  <c r="V1609" i="29"/>
  <c r="V1610" i="29"/>
  <c r="V1611" i="29"/>
  <c r="V1612" i="29"/>
  <c r="V1613" i="29"/>
  <c r="V1614" i="29"/>
  <c r="V1615" i="29"/>
  <c r="V1616" i="29"/>
  <c r="V1617" i="29"/>
  <c r="V1618" i="29"/>
  <c r="V1619" i="29"/>
  <c r="V1620" i="29"/>
  <c r="V1621" i="29"/>
  <c r="V1622" i="29"/>
  <c r="V1623" i="29"/>
  <c r="V1624" i="29"/>
  <c r="V1625" i="29"/>
  <c r="V1626" i="29"/>
  <c r="V1627" i="29"/>
  <c r="V1628" i="29"/>
  <c r="V1629" i="29"/>
  <c r="V1630" i="29"/>
  <c r="V1631" i="29"/>
  <c r="V1632" i="29"/>
  <c r="V1633" i="29"/>
  <c r="V1634" i="29"/>
  <c r="V1635" i="29"/>
  <c r="V1636" i="29"/>
  <c r="V1637" i="29"/>
  <c r="V1638" i="29"/>
  <c r="V1639" i="29"/>
  <c r="V1640" i="29"/>
  <c r="V1641" i="29"/>
  <c r="V1642" i="29"/>
  <c r="V1643" i="29"/>
  <c r="V1644" i="29"/>
  <c r="V1645" i="29"/>
  <c r="V1646" i="29"/>
  <c r="V1647" i="29"/>
  <c r="V1648" i="29"/>
  <c r="V1649" i="29"/>
  <c r="V1650" i="29"/>
  <c r="V1651" i="29"/>
  <c r="V1652" i="29"/>
  <c r="V1653" i="29"/>
  <c r="V1654" i="29"/>
  <c r="V1655" i="29"/>
  <c r="V1656" i="29"/>
  <c r="V1657" i="29"/>
  <c r="V1658" i="29"/>
  <c r="V1659" i="29"/>
  <c r="V1660" i="29"/>
  <c r="V1661" i="29"/>
  <c r="V1662" i="29"/>
  <c r="V1663" i="29"/>
  <c r="V1664" i="29"/>
  <c r="V1665" i="29"/>
  <c r="V1666" i="29"/>
  <c r="V1667" i="29"/>
  <c r="V1668" i="29"/>
  <c r="V1669" i="29"/>
  <c r="V1670" i="29"/>
  <c r="V1671" i="29"/>
  <c r="V1672" i="29"/>
  <c r="V1673" i="29"/>
  <c r="V1674" i="29"/>
  <c r="V1675" i="29"/>
  <c r="V1676" i="29"/>
  <c r="V1677" i="29"/>
  <c r="V1678" i="29"/>
  <c r="V1679" i="29"/>
  <c r="V1680" i="29"/>
  <c r="V1681" i="29"/>
  <c r="V1682" i="29"/>
  <c r="V1683" i="29"/>
  <c r="V1684" i="29"/>
  <c r="V1685" i="29"/>
  <c r="V1686" i="29"/>
  <c r="V1687" i="29"/>
  <c r="V1688" i="29"/>
  <c r="V1689" i="29"/>
  <c r="V1690" i="29"/>
  <c r="V1691" i="29"/>
  <c r="V1692" i="29"/>
  <c r="V1693" i="29"/>
  <c r="V1694" i="29"/>
  <c r="V1695" i="29"/>
  <c r="V1696" i="29"/>
  <c r="V1697" i="29"/>
  <c r="V1698" i="29"/>
  <c r="V1699" i="29"/>
  <c r="V1700" i="29"/>
  <c r="V1701" i="29"/>
  <c r="V1702" i="29"/>
  <c r="V1703" i="29"/>
  <c r="V1704" i="29"/>
  <c r="V1705" i="29"/>
  <c r="V1706" i="29"/>
  <c r="V1707" i="29"/>
  <c r="V1708" i="29"/>
  <c r="V1709" i="29"/>
  <c r="V1710" i="29"/>
  <c r="V1711" i="29"/>
  <c r="V1712" i="29"/>
  <c r="V1713" i="29"/>
  <c r="V1714" i="29"/>
  <c r="V1715" i="29"/>
  <c r="V1716" i="29"/>
  <c r="V1717" i="29"/>
  <c r="V1718" i="29"/>
  <c r="V1719" i="29"/>
  <c r="V1720" i="29"/>
  <c r="V1721" i="29"/>
  <c r="V1722" i="29"/>
  <c r="V1723" i="29"/>
  <c r="V1724" i="29"/>
  <c r="V1725" i="29"/>
  <c r="V1726" i="29"/>
  <c r="V1727" i="29"/>
  <c r="V1728" i="29"/>
  <c r="V1729" i="29"/>
  <c r="V1730" i="29"/>
  <c r="V1731" i="29"/>
  <c r="V1732" i="29"/>
  <c r="V1733" i="29"/>
  <c r="V1734" i="29"/>
  <c r="V1735" i="29"/>
  <c r="V1736" i="29"/>
  <c r="V1737" i="29"/>
  <c r="V1738" i="29"/>
  <c r="V1739" i="29"/>
  <c r="V1740" i="29"/>
  <c r="V1741" i="29"/>
  <c r="V1742" i="29"/>
  <c r="V1743" i="29"/>
  <c r="V1744" i="29"/>
  <c r="V1745" i="29"/>
  <c r="V1746" i="29"/>
  <c r="V1747" i="29"/>
  <c r="V1748" i="29"/>
  <c r="V1749" i="29"/>
  <c r="V1750" i="29"/>
  <c r="V1751" i="29"/>
  <c r="V1752" i="29"/>
  <c r="V1753" i="29"/>
  <c r="V1754" i="29"/>
  <c r="V1755" i="29"/>
  <c r="V1756" i="29"/>
  <c r="V1757" i="29"/>
  <c r="V1758" i="29"/>
  <c r="V1759" i="29"/>
  <c r="V1760" i="29"/>
  <c r="V1761" i="29"/>
  <c r="V1762" i="29"/>
  <c r="V1763" i="29"/>
  <c r="V1764" i="29"/>
  <c r="V1765" i="29"/>
  <c r="V1766" i="29"/>
  <c r="V1767" i="29"/>
  <c r="V1768" i="29"/>
  <c r="V1769" i="29"/>
  <c r="V1770" i="29"/>
  <c r="V1771" i="29"/>
  <c r="V1772" i="29"/>
  <c r="V1773" i="29"/>
  <c r="V1774" i="29"/>
  <c r="V1775" i="29"/>
  <c r="V1776" i="29"/>
  <c r="V1777" i="29"/>
  <c r="V1778" i="29"/>
  <c r="V1779" i="29"/>
  <c r="V1780" i="29"/>
  <c r="V1781" i="29"/>
  <c r="V1782" i="29"/>
  <c r="V1783" i="29"/>
  <c r="V1784" i="29"/>
  <c r="V1785" i="29"/>
  <c r="V1786" i="29"/>
  <c r="V1787" i="29"/>
  <c r="V1788" i="29"/>
  <c r="V1789" i="29"/>
  <c r="V1790" i="29"/>
  <c r="V1791" i="29"/>
  <c r="V1792" i="29"/>
  <c r="V1793" i="29"/>
  <c r="V1794" i="29"/>
  <c r="V1795" i="29"/>
  <c r="V1796" i="29"/>
  <c r="V1797" i="29"/>
  <c r="V1798" i="29"/>
  <c r="V1799" i="29"/>
  <c r="V1800" i="29"/>
  <c r="V1801" i="29"/>
  <c r="V1802" i="29"/>
  <c r="V1803" i="29"/>
  <c r="V1804" i="29"/>
  <c r="V1805" i="29"/>
  <c r="V1806" i="29"/>
  <c r="V1807" i="29"/>
  <c r="V1808" i="29"/>
  <c r="V1809" i="29"/>
  <c r="V1810" i="29"/>
  <c r="V1811" i="29"/>
  <c r="V1812" i="29"/>
  <c r="V1813" i="29"/>
  <c r="V1814" i="29"/>
  <c r="V1815" i="29"/>
  <c r="V1816" i="29"/>
  <c r="V1817" i="29"/>
  <c r="V1818" i="29"/>
  <c r="V1819" i="29"/>
  <c r="V1820" i="29"/>
  <c r="V1821" i="29"/>
  <c r="V1822" i="29"/>
  <c r="V1823" i="29"/>
  <c r="V1824" i="29"/>
  <c r="V1825" i="29"/>
  <c r="V1826" i="29"/>
  <c r="V1827" i="29"/>
  <c r="V1828" i="29"/>
  <c r="V1829" i="29"/>
  <c r="V1830" i="29"/>
  <c r="V1831" i="29"/>
  <c r="V1832" i="29"/>
  <c r="V1833" i="29"/>
  <c r="V1834" i="29"/>
  <c r="V1835" i="29"/>
  <c r="V1836" i="29"/>
  <c r="V1837" i="29"/>
  <c r="V1838" i="29"/>
  <c r="V1839" i="29"/>
  <c r="V1840" i="29"/>
  <c r="V1841" i="29"/>
  <c r="V1842" i="29"/>
  <c r="V1843" i="29"/>
  <c r="V1844" i="29"/>
  <c r="V1845" i="29"/>
  <c r="V1846" i="29"/>
  <c r="V1847" i="29"/>
  <c r="V1848" i="29"/>
  <c r="V1849" i="29"/>
  <c r="V1850" i="29"/>
  <c r="V1851" i="29"/>
  <c r="V1852" i="29"/>
  <c r="V1853" i="29"/>
  <c r="V1854" i="29"/>
  <c r="V1855" i="29"/>
  <c r="V1856" i="29"/>
  <c r="V1857" i="29"/>
  <c r="V1858" i="29"/>
  <c r="V1859" i="29"/>
  <c r="V1860" i="29"/>
  <c r="V1861" i="29"/>
  <c r="V1862" i="29"/>
  <c r="V1863" i="29"/>
  <c r="V1864" i="29"/>
  <c r="V1865" i="29"/>
  <c r="V1866" i="29"/>
  <c r="V1867" i="29"/>
  <c r="V1868" i="29"/>
  <c r="V1869" i="29"/>
  <c r="V1870" i="29"/>
  <c r="V1871" i="29"/>
  <c r="V1872" i="29"/>
  <c r="V1873" i="29"/>
  <c r="V1874" i="29"/>
  <c r="V1875" i="29"/>
  <c r="V1876" i="29"/>
  <c r="V1877" i="29"/>
  <c r="V1878" i="29"/>
  <c r="V1879" i="29"/>
  <c r="V1880" i="29"/>
  <c r="V1881" i="29"/>
  <c r="V1882" i="29"/>
  <c r="V1883" i="29"/>
  <c r="V1884" i="29"/>
  <c r="V1885" i="29"/>
  <c r="V1886" i="29"/>
  <c r="V1887" i="29"/>
  <c r="V1888" i="29"/>
  <c r="V1889" i="29"/>
  <c r="V1890" i="29"/>
  <c r="V1891" i="29"/>
  <c r="V1892" i="29"/>
  <c r="V1893" i="29"/>
  <c r="V1894" i="29"/>
  <c r="V1895" i="29"/>
  <c r="V1896" i="29"/>
  <c r="V1897" i="29"/>
  <c r="V1898" i="29"/>
  <c r="V1899" i="29"/>
  <c r="V1900" i="29"/>
  <c r="V1901" i="29"/>
  <c r="V1902" i="29"/>
  <c r="V1903" i="29"/>
  <c r="V1904" i="29"/>
  <c r="V1905" i="29"/>
  <c r="V1906" i="29"/>
  <c r="V1907" i="29"/>
  <c r="V1908" i="29"/>
  <c r="V1909" i="29"/>
  <c r="V1910" i="29"/>
  <c r="V1911" i="29"/>
  <c r="V1912" i="29"/>
  <c r="V1913" i="29"/>
  <c r="V1914" i="29"/>
  <c r="V1915" i="29"/>
  <c r="V1916" i="29"/>
  <c r="V1917" i="29"/>
  <c r="V1918" i="29"/>
  <c r="V1919" i="29"/>
  <c r="V1920" i="29"/>
  <c r="V1921" i="29"/>
  <c r="V1922" i="29"/>
  <c r="V1923" i="29"/>
  <c r="V1924" i="29"/>
  <c r="V1925" i="29"/>
  <c r="V1926" i="29"/>
  <c r="V1927" i="29"/>
  <c r="V1928" i="29"/>
  <c r="V1929" i="29"/>
  <c r="V1930" i="29"/>
  <c r="V1931" i="29"/>
  <c r="V1932" i="29"/>
  <c r="V1933" i="29"/>
  <c r="V1934" i="29"/>
  <c r="V1935" i="29"/>
  <c r="V1936" i="29"/>
  <c r="V1937" i="29"/>
  <c r="V1938" i="29"/>
  <c r="V1939" i="29"/>
  <c r="V1940" i="29"/>
  <c r="V1941" i="29"/>
  <c r="V1942" i="29"/>
  <c r="V1943" i="29"/>
  <c r="V1944" i="29"/>
  <c r="V1945" i="29"/>
  <c r="V1946" i="29"/>
  <c r="V1947" i="29"/>
  <c r="V1948" i="29"/>
  <c r="V1949" i="29"/>
  <c r="V1950" i="29"/>
  <c r="V1951" i="29"/>
  <c r="V1952" i="29"/>
  <c r="V1953" i="29"/>
  <c r="V1954" i="29"/>
  <c r="V1955" i="29"/>
  <c r="V1956" i="29"/>
  <c r="V1957" i="29"/>
  <c r="V1958" i="29"/>
  <c r="V1959" i="29"/>
  <c r="V1960" i="29"/>
  <c r="V1961" i="29"/>
  <c r="V1962" i="29"/>
  <c r="V1963" i="29"/>
  <c r="V1964" i="29"/>
  <c r="V1965" i="29"/>
  <c r="V1966" i="29"/>
  <c r="V1967" i="29"/>
  <c r="V1968" i="29"/>
  <c r="V1969" i="29"/>
  <c r="V1970" i="29"/>
  <c r="V1971" i="29"/>
  <c r="B18" i="2"/>
  <c r="G2169" i="29" l="1"/>
  <c r="L2169" i="29" s="1"/>
  <c r="N2366" i="29" s="1"/>
  <c r="G2170" i="29"/>
  <c r="G2171" i="29"/>
  <c r="L2171" i="29" s="1"/>
  <c r="N2368" i="29" s="1"/>
  <c r="G2172" i="29"/>
  <c r="L2172" i="29" s="1"/>
  <c r="N2369" i="29" s="1"/>
  <c r="G2173" i="29"/>
  <c r="L2173" i="29" s="1"/>
  <c r="N2370" i="29" s="1"/>
  <c r="G2174" i="29"/>
  <c r="L2174" i="29" s="1"/>
  <c r="N2371" i="29" s="1"/>
  <c r="G2175" i="29"/>
  <c r="L2175" i="29" s="1"/>
  <c r="N2372" i="29" s="1"/>
  <c r="G2176" i="29"/>
  <c r="L2176" i="29" s="1"/>
  <c r="N2373" i="29" s="1"/>
  <c r="G2177" i="29"/>
  <c r="G2178" i="29"/>
  <c r="L2178" i="29" s="1"/>
  <c r="N2375" i="29" s="1"/>
  <c r="G2179" i="29"/>
  <c r="L2179" i="29" s="1"/>
  <c r="N2376" i="29" s="1"/>
  <c r="G2180" i="29"/>
  <c r="L2180" i="29" s="1"/>
  <c r="N2377" i="29" s="1"/>
  <c r="G2181" i="29"/>
  <c r="L2181" i="29" s="1"/>
  <c r="N2378" i="29" s="1"/>
  <c r="G2182" i="29"/>
  <c r="L2182" i="29" s="1"/>
  <c r="N2379" i="29" s="1"/>
  <c r="G2183" i="29"/>
  <c r="L2183" i="29" s="1"/>
  <c r="N2380" i="29" s="1"/>
  <c r="G2184" i="29"/>
  <c r="L2184" i="29" s="1"/>
  <c r="N2381" i="29" s="1"/>
  <c r="G2185" i="29"/>
  <c r="G2186" i="29"/>
  <c r="L2186" i="29" s="1"/>
  <c r="N2383" i="29" s="1"/>
  <c r="G2187" i="29"/>
  <c r="L2187" i="29" s="1"/>
  <c r="N2384" i="29" s="1"/>
  <c r="G2188" i="29"/>
  <c r="L2188" i="29" s="1"/>
  <c r="N2385" i="29" s="1"/>
  <c r="G2189" i="29"/>
  <c r="L2189" i="29" s="1"/>
  <c r="N2386" i="29" s="1"/>
  <c r="G2190" i="29"/>
  <c r="L2190" i="29" s="1"/>
  <c r="N2387" i="29" s="1"/>
  <c r="G2191" i="29"/>
  <c r="L2191" i="29" s="1"/>
  <c r="N2388" i="29" s="1"/>
  <c r="G2192" i="29"/>
  <c r="L2192" i="29" s="1"/>
  <c r="N2389" i="29" s="1"/>
  <c r="G2193" i="29"/>
  <c r="G2194" i="29"/>
  <c r="L2194" i="29" s="1"/>
  <c r="N2391" i="29" s="1"/>
  <c r="G2195" i="29"/>
  <c r="L2195" i="29" s="1"/>
  <c r="N2392" i="29" s="1"/>
  <c r="G2196" i="29"/>
  <c r="L2196" i="29" s="1"/>
  <c r="N2393" i="29" s="1"/>
  <c r="G2197" i="29"/>
  <c r="L2197" i="29" s="1"/>
  <c r="N2394" i="29" s="1"/>
  <c r="G2198" i="29"/>
  <c r="L2198" i="29" s="1"/>
  <c r="N2395" i="29" s="1"/>
  <c r="G2199" i="29"/>
  <c r="L2199" i="29" s="1"/>
  <c r="N2396" i="29" s="1"/>
  <c r="G2200" i="29"/>
  <c r="L2200" i="29" s="1"/>
  <c r="N2397" i="29" s="1"/>
  <c r="G2201" i="29"/>
  <c r="L2201" i="29" s="1"/>
  <c r="N2398" i="29" s="1"/>
  <c r="G2202" i="29"/>
  <c r="L2202" i="29" s="1"/>
  <c r="N2399" i="29" s="1"/>
  <c r="G2203" i="29"/>
  <c r="L2203" i="29" s="1"/>
  <c r="N2400" i="29" s="1"/>
  <c r="G2204" i="29"/>
  <c r="L2204" i="29" s="1"/>
  <c r="N2401" i="29" s="1"/>
  <c r="G2205" i="29"/>
  <c r="L2205" i="29" s="1"/>
  <c r="N2402" i="29" s="1"/>
  <c r="G2206" i="29"/>
  <c r="L2206" i="29" s="1"/>
  <c r="N2403" i="29" s="1"/>
  <c r="G2207" i="29"/>
  <c r="L2207" i="29" s="1"/>
  <c r="N2404" i="29" s="1"/>
  <c r="G2208" i="29"/>
  <c r="L2208" i="29" s="1"/>
  <c r="N2405" i="29" s="1"/>
  <c r="G2209" i="29"/>
  <c r="L2209" i="29" s="1"/>
  <c r="N2406" i="29" s="1"/>
  <c r="G2210" i="29"/>
  <c r="L2210" i="29" s="1"/>
  <c r="N2407" i="29" s="1"/>
  <c r="G2211" i="29"/>
  <c r="L2211" i="29" s="1"/>
  <c r="N2408" i="29" s="1"/>
  <c r="G2212" i="29"/>
  <c r="L2212" i="29" s="1"/>
  <c r="N2409" i="29" s="1"/>
  <c r="G2213" i="29"/>
  <c r="L2213" i="29" s="1"/>
  <c r="N2410" i="29" s="1"/>
  <c r="G2214" i="29"/>
  <c r="L2214" i="29" s="1"/>
  <c r="N2411" i="29" s="1"/>
  <c r="G2215" i="29"/>
  <c r="L2215" i="29" s="1"/>
  <c r="N2412" i="29" s="1"/>
  <c r="G2216" i="29"/>
  <c r="L2216" i="29" s="1"/>
  <c r="N2413" i="29" s="1"/>
  <c r="G2217" i="29"/>
  <c r="L2217" i="29" s="1"/>
  <c r="N2414" i="29" s="1"/>
  <c r="G2218" i="29"/>
  <c r="L2218" i="29" s="1"/>
  <c r="N2415" i="29" s="1"/>
  <c r="G2219" i="29"/>
  <c r="L2219" i="29" s="1"/>
  <c r="N2416" i="29" s="1"/>
  <c r="G2220" i="29"/>
  <c r="L2220" i="29" s="1"/>
  <c r="N2417" i="29" s="1"/>
  <c r="G2221" i="29"/>
  <c r="L2221" i="29" s="1"/>
  <c r="N2418" i="29" s="1"/>
  <c r="G2222" i="29"/>
  <c r="L2222" i="29" s="1"/>
  <c r="N2419" i="29" s="1"/>
  <c r="G2223" i="29"/>
  <c r="L2223" i="29" s="1"/>
  <c r="N2420" i="29" s="1"/>
  <c r="G2224" i="29"/>
  <c r="L2224" i="29" s="1"/>
  <c r="N2421" i="29" s="1"/>
  <c r="G2225" i="29"/>
  <c r="L2225" i="29" s="1"/>
  <c r="N2422" i="29" s="1"/>
  <c r="G2226" i="29"/>
  <c r="L2226" i="29" s="1"/>
  <c r="N2423" i="29" s="1"/>
  <c r="G2227" i="29"/>
  <c r="L2227" i="29" s="1"/>
  <c r="N2424" i="29" s="1"/>
  <c r="G2228" i="29"/>
  <c r="L2228" i="29" s="1"/>
  <c r="N2425" i="29" s="1"/>
  <c r="G2229" i="29"/>
  <c r="L2229" i="29" s="1"/>
  <c r="N2426" i="29" s="1"/>
  <c r="G2230" i="29"/>
  <c r="L2230" i="29" s="1"/>
  <c r="N2427" i="29" s="1"/>
  <c r="G2231" i="29"/>
  <c r="L2231" i="29" s="1"/>
  <c r="N2428" i="29" s="1"/>
  <c r="G2232" i="29"/>
  <c r="L2232" i="29" s="1"/>
  <c r="N2429" i="29" s="1"/>
  <c r="G2233" i="29"/>
  <c r="L2233" i="29" s="1"/>
  <c r="N2430" i="29" s="1"/>
  <c r="G2234" i="29"/>
  <c r="L2234" i="29" s="1"/>
  <c r="N2431" i="29" s="1"/>
  <c r="G2235" i="29"/>
  <c r="L2235" i="29" s="1"/>
  <c r="N2432" i="29" s="1"/>
  <c r="G2236" i="29"/>
  <c r="L2236" i="29" s="1"/>
  <c r="N2433" i="29" s="1"/>
  <c r="G2237" i="29"/>
  <c r="L2237" i="29" s="1"/>
  <c r="N2434" i="29" s="1"/>
  <c r="G2238" i="29"/>
  <c r="L2238" i="29" s="1"/>
  <c r="N2435" i="29" s="1"/>
  <c r="G2239" i="29"/>
  <c r="L2239" i="29" s="1"/>
  <c r="N2436" i="29" s="1"/>
  <c r="G2240" i="29"/>
  <c r="L2240" i="29" s="1"/>
  <c r="N2437" i="29" s="1"/>
  <c r="G2241" i="29"/>
  <c r="L2241" i="29" s="1"/>
  <c r="N2438" i="29" s="1"/>
  <c r="G2242" i="29"/>
  <c r="L2242" i="29" s="1"/>
  <c r="N2439" i="29" s="1"/>
  <c r="G2243" i="29"/>
  <c r="L2243" i="29" s="1"/>
  <c r="N2440" i="29" s="1"/>
  <c r="G2244" i="29"/>
  <c r="L2244" i="29" s="1"/>
  <c r="N2441" i="29" s="1"/>
  <c r="G2245" i="29"/>
  <c r="L2245" i="29" s="1"/>
  <c r="N2442" i="29" s="1"/>
  <c r="G2246" i="29"/>
  <c r="L2246" i="29" s="1"/>
  <c r="N2443" i="29" s="1"/>
  <c r="G2247" i="29"/>
  <c r="L2247" i="29" s="1"/>
  <c r="N2444" i="29" s="1"/>
  <c r="G2248" i="29"/>
  <c r="L2248" i="29" s="1"/>
  <c r="N2445" i="29" s="1"/>
  <c r="G2249" i="29"/>
  <c r="L2249" i="29" s="1"/>
  <c r="N2446" i="29" s="1"/>
  <c r="G2250" i="29"/>
  <c r="L2250" i="29" s="1"/>
  <c r="N2447" i="29" s="1"/>
  <c r="G2251" i="29"/>
  <c r="L2251" i="29" s="1"/>
  <c r="N2448" i="29" s="1"/>
  <c r="G2252" i="29"/>
  <c r="L2252" i="29" s="1"/>
  <c r="N2449" i="29" s="1"/>
  <c r="G2253" i="29"/>
  <c r="L2253" i="29" s="1"/>
  <c r="N2450" i="29" s="1"/>
  <c r="G2254" i="29"/>
  <c r="L2254" i="29" s="1"/>
  <c r="N2451" i="29" s="1"/>
  <c r="G2255" i="29"/>
  <c r="L2255" i="29" s="1"/>
  <c r="N2452" i="29" s="1"/>
  <c r="G2256" i="29"/>
  <c r="L2256" i="29" s="1"/>
  <c r="N2453" i="29" s="1"/>
  <c r="G2257" i="29"/>
  <c r="L2257" i="29" s="1"/>
  <c r="N2454" i="29" s="1"/>
  <c r="G2258" i="29"/>
  <c r="L2258" i="29" s="1"/>
  <c r="N2455" i="29" s="1"/>
  <c r="G2259" i="29"/>
  <c r="L2259" i="29" s="1"/>
  <c r="N2456" i="29" s="1"/>
  <c r="G2260" i="29"/>
  <c r="L2260" i="29" s="1"/>
  <c r="N2457" i="29" s="1"/>
  <c r="G2261" i="29"/>
  <c r="L2261" i="29" s="1"/>
  <c r="N2458" i="29" s="1"/>
  <c r="G2262" i="29"/>
  <c r="L2262" i="29" s="1"/>
  <c r="N2459" i="29" s="1"/>
  <c r="G2263" i="29"/>
  <c r="L2263" i="29" s="1"/>
  <c r="N2460" i="29" s="1"/>
  <c r="G2264" i="29"/>
  <c r="L2264" i="29" s="1"/>
  <c r="N2461" i="29" s="1"/>
  <c r="G2265" i="29"/>
  <c r="L2265" i="29" s="1"/>
  <c r="N2462" i="29" s="1"/>
  <c r="G2266" i="29"/>
  <c r="L2266" i="29" s="1"/>
  <c r="N2463" i="29" s="1"/>
  <c r="G2267" i="29"/>
  <c r="L2267" i="29" s="1"/>
  <c r="N2464" i="29" s="1"/>
  <c r="G2268" i="29"/>
  <c r="L2268" i="29" s="1"/>
  <c r="N2465" i="29" s="1"/>
  <c r="G2269" i="29"/>
  <c r="L2269" i="29" s="1"/>
  <c r="N2466" i="29" s="1"/>
  <c r="G2270" i="29"/>
  <c r="L2270" i="29" s="1"/>
  <c r="N2467" i="29" s="1"/>
  <c r="G2271" i="29"/>
  <c r="L2271" i="29" s="1"/>
  <c r="N2468" i="29" s="1"/>
  <c r="G2272" i="29"/>
  <c r="L2272" i="29" s="1"/>
  <c r="N2469" i="29" s="1"/>
  <c r="G2273" i="29"/>
  <c r="L2273" i="29" s="1"/>
  <c r="N2470" i="29" s="1"/>
  <c r="G2274" i="29"/>
  <c r="L2274" i="29" s="1"/>
  <c r="N2471" i="29" s="1"/>
  <c r="G2275" i="29"/>
  <c r="L2275" i="29" s="1"/>
  <c r="N2472" i="29" s="1"/>
  <c r="G2276" i="29"/>
  <c r="L2276" i="29" s="1"/>
  <c r="N2473" i="29" s="1"/>
  <c r="G2277" i="29"/>
  <c r="L2277" i="29" s="1"/>
  <c r="N2474" i="29" s="1"/>
  <c r="G2278" i="29"/>
  <c r="L2278" i="29" s="1"/>
  <c r="N2475" i="29" s="1"/>
  <c r="G2279" i="29"/>
  <c r="L2279" i="29" s="1"/>
  <c r="N2476" i="29" s="1"/>
  <c r="G2280" i="29"/>
  <c r="L2280" i="29" s="1"/>
  <c r="N2477" i="29" s="1"/>
  <c r="G2281" i="29"/>
  <c r="L2281" i="29" s="1"/>
  <c r="N2478" i="29" s="1"/>
  <c r="G2282" i="29"/>
  <c r="L2282" i="29" s="1"/>
  <c r="N2479" i="29" s="1"/>
  <c r="G2283" i="29"/>
  <c r="L2283" i="29" s="1"/>
  <c r="N2480" i="29" s="1"/>
  <c r="G2284" i="29"/>
  <c r="L2284" i="29" s="1"/>
  <c r="N2481" i="29" s="1"/>
  <c r="G2285" i="29"/>
  <c r="L2285" i="29" s="1"/>
  <c r="N2482" i="29" s="1"/>
  <c r="G2286" i="29"/>
  <c r="L2286" i="29" s="1"/>
  <c r="N2483" i="29" s="1"/>
  <c r="G2287" i="29"/>
  <c r="L2287" i="29" s="1"/>
  <c r="N2484" i="29" s="1"/>
  <c r="G2288" i="29"/>
  <c r="L2288" i="29" s="1"/>
  <c r="N2485" i="29" s="1"/>
  <c r="G2289" i="29"/>
  <c r="L2289" i="29" s="1"/>
  <c r="N2486" i="29" s="1"/>
  <c r="G2290" i="29"/>
  <c r="L2290" i="29" s="1"/>
  <c r="N2487" i="29" s="1"/>
  <c r="G2291" i="29"/>
  <c r="L2291" i="29" s="1"/>
  <c r="N2488" i="29" s="1"/>
  <c r="G2292" i="29"/>
  <c r="L2292" i="29" s="1"/>
  <c r="N2489" i="29" s="1"/>
  <c r="G2293" i="29"/>
  <c r="L2293" i="29" s="1"/>
  <c r="N2490" i="29" s="1"/>
  <c r="G2294" i="29"/>
  <c r="L2294" i="29" s="1"/>
  <c r="N2491" i="29" s="1"/>
  <c r="G2295" i="29"/>
  <c r="L2295" i="29" s="1"/>
  <c r="N2492" i="29" s="1"/>
  <c r="G2296" i="29"/>
  <c r="L2296" i="29" s="1"/>
  <c r="N2493" i="29" s="1"/>
  <c r="G2297" i="29"/>
  <c r="L2297" i="29" s="1"/>
  <c r="N2494" i="29" s="1"/>
  <c r="G2298" i="29"/>
  <c r="L2298" i="29" s="1"/>
  <c r="N2495" i="29" s="1"/>
  <c r="G2299" i="29"/>
  <c r="L2299" i="29" s="1"/>
  <c r="N2496" i="29" s="1"/>
  <c r="G2300" i="29"/>
  <c r="L2300" i="29" s="1"/>
  <c r="N2497" i="29" s="1"/>
  <c r="G2301" i="29"/>
  <c r="L2301" i="29" s="1"/>
  <c r="N2498" i="29" s="1"/>
  <c r="G2302" i="29"/>
  <c r="L2302" i="29" s="1"/>
  <c r="N2499" i="29" s="1"/>
  <c r="G2303" i="29"/>
  <c r="L2303" i="29" s="1"/>
  <c r="N2500" i="29" s="1"/>
  <c r="G2304" i="29"/>
  <c r="L2304" i="29" s="1"/>
  <c r="N2501" i="29" s="1"/>
  <c r="G2305" i="29"/>
  <c r="L2305" i="29" s="1"/>
  <c r="N2502" i="29" s="1"/>
  <c r="G2306" i="29"/>
  <c r="L2306" i="29" s="1"/>
  <c r="N2503" i="29" s="1"/>
  <c r="G2307" i="29"/>
  <c r="L2307" i="29" s="1"/>
  <c r="N2504" i="29" s="1"/>
  <c r="G2308" i="29"/>
  <c r="L2308" i="29" s="1"/>
  <c r="N2505" i="29" s="1"/>
  <c r="G2309" i="29"/>
  <c r="L2309" i="29" s="1"/>
  <c r="N2506" i="29" s="1"/>
  <c r="G2310" i="29"/>
  <c r="L2310" i="29" s="1"/>
  <c r="N2507" i="29" s="1"/>
  <c r="G2311" i="29"/>
  <c r="L2311" i="29" s="1"/>
  <c r="N2508" i="29" s="1"/>
  <c r="G2312" i="29"/>
  <c r="L2312" i="29" s="1"/>
  <c r="N2509" i="29" s="1"/>
  <c r="G2313" i="29"/>
  <c r="L2313" i="29" s="1"/>
  <c r="N2510" i="29" s="1"/>
  <c r="G2314" i="29"/>
  <c r="L2314" i="29" s="1"/>
  <c r="N2511" i="29" s="1"/>
  <c r="G2315" i="29"/>
  <c r="L2315" i="29" s="1"/>
  <c r="N2512" i="29" s="1"/>
  <c r="G2316" i="29"/>
  <c r="L2316" i="29" s="1"/>
  <c r="N2513" i="29" s="1"/>
  <c r="G2317" i="29"/>
  <c r="L2317" i="29" s="1"/>
  <c r="N2514" i="29" s="1"/>
  <c r="G2318" i="29"/>
  <c r="L2318" i="29" s="1"/>
  <c r="N2515" i="29" s="1"/>
  <c r="G2319" i="29"/>
  <c r="L2319" i="29" s="1"/>
  <c r="N2516" i="29" s="1"/>
  <c r="G2320" i="29"/>
  <c r="L2320" i="29" s="1"/>
  <c r="N2517" i="29" s="1"/>
  <c r="G2321" i="29"/>
  <c r="L2321" i="29" s="1"/>
  <c r="N2518" i="29" s="1"/>
  <c r="G2322" i="29"/>
  <c r="L2322" i="29" s="1"/>
  <c r="N2519" i="29" s="1"/>
  <c r="G2323" i="29"/>
  <c r="L2323" i="29" s="1"/>
  <c r="N2520" i="29" s="1"/>
  <c r="G2324" i="29"/>
  <c r="L2324" i="29" s="1"/>
  <c r="N2521" i="29" s="1"/>
  <c r="G2325" i="29"/>
  <c r="L2325" i="29" s="1"/>
  <c r="N2522" i="29" s="1"/>
  <c r="G2326" i="29"/>
  <c r="L2326" i="29" s="1"/>
  <c r="N2523" i="29" s="1"/>
  <c r="G2327" i="29"/>
  <c r="L2327" i="29" s="1"/>
  <c r="N2524" i="29" s="1"/>
  <c r="G2328" i="29"/>
  <c r="L2328" i="29" s="1"/>
  <c r="N2525" i="29" s="1"/>
  <c r="G2329" i="29"/>
  <c r="L2329" i="29" s="1"/>
  <c r="N2526" i="29" s="1"/>
  <c r="G2330" i="29"/>
  <c r="L2330" i="29" s="1"/>
  <c r="N2527" i="29" s="1"/>
  <c r="G2331" i="29"/>
  <c r="L2331" i="29" s="1"/>
  <c r="N2528" i="29" s="1"/>
  <c r="G2332" i="29"/>
  <c r="L2332" i="29" s="1"/>
  <c r="N2529" i="29" s="1"/>
  <c r="G2333" i="29"/>
  <c r="L2333" i="29" s="1"/>
  <c r="N2530" i="29" s="1"/>
  <c r="G2334" i="29"/>
  <c r="L2334" i="29" s="1"/>
  <c r="N2531" i="29" s="1"/>
  <c r="G2335" i="29"/>
  <c r="L2335" i="29" s="1"/>
  <c r="N2532" i="29" s="1"/>
  <c r="G2336" i="29"/>
  <c r="L2336" i="29" s="1"/>
  <c r="N2533" i="29" s="1"/>
  <c r="G2337" i="29"/>
  <c r="L2337" i="29" s="1"/>
  <c r="N2534" i="29" s="1"/>
  <c r="G2338" i="29"/>
  <c r="L2338" i="29" s="1"/>
  <c r="N2535" i="29" s="1"/>
  <c r="G2339" i="29"/>
  <c r="L2339" i="29" s="1"/>
  <c r="N2536" i="29" s="1"/>
  <c r="G2340" i="29"/>
  <c r="L2340" i="29" s="1"/>
  <c r="N2537" i="29" s="1"/>
  <c r="G2341" i="29"/>
  <c r="L2341" i="29" s="1"/>
  <c r="N2538" i="29" s="1"/>
  <c r="G2342" i="29"/>
  <c r="L2342" i="29" s="1"/>
  <c r="N2539" i="29" s="1"/>
  <c r="G2343" i="29"/>
  <c r="L2343" i="29" s="1"/>
  <c r="N2540" i="29" s="1"/>
  <c r="G2344" i="29"/>
  <c r="L2344" i="29" s="1"/>
  <c r="N2541" i="29" s="1"/>
  <c r="G2345" i="29"/>
  <c r="L2345" i="29" s="1"/>
  <c r="N2542" i="29" s="1"/>
  <c r="G2346" i="29"/>
  <c r="L2346" i="29" s="1"/>
  <c r="N2543" i="29" s="1"/>
  <c r="G2347" i="29"/>
  <c r="L2347" i="29" s="1"/>
  <c r="N2544" i="29" s="1"/>
  <c r="G2348" i="29"/>
  <c r="L2348" i="29" s="1"/>
  <c r="N2545" i="29" s="1"/>
  <c r="G2349" i="29"/>
  <c r="L2349" i="29" s="1"/>
  <c r="N2546" i="29" s="1"/>
  <c r="G2350" i="29"/>
  <c r="L2350" i="29" s="1"/>
  <c r="N2547" i="29" s="1"/>
  <c r="G2351" i="29"/>
  <c r="L2351" i="29" s="1"/>
  <c r="N2548" i="29" s="1"/>
  <c r="G2352" i="29"/>
  <c r="L2352" i="29" s="1"/>
  <c r="N2549" i="29" s="1"/>
  <c r="G2353" i="29"/>
  <c r="L2353" i="29" s="1"/>
  <c r="N2550" i="29" s="1"/>
  <c r="G2354" i="29"/>
  <c r="L2354" i="29" s="1"/>
  <c r="N2551" i="29" s="1"/>
  <c r="G2355" i="29"/>
  <c r="L2355" i="29" s="1"/>
  <c r="N2552" i="29" s="1"/>
  <c r="G2356" i="29"/>
  <c r="L2356" i="29" s="1"/>
  <c r="N2553" i="29" s="1"/>
  <c r="G2357" i="29"/>
  <c r="L2357" i="29" s="1"/>
  <c r="N2554" i="29" s="1"/>
  <c r="G2358" i="29"/>
  <c r="L2358" i="29" s="1"/>
  <c r="N2555" i="29" s="1"/>
  <c r="G2359" i="29"/>
  <c r="L2359" i="29" s="1"/>
  <c r="N2556" i="29" s="1"/>
  <c r="G2360" i="29"/>
  <c r="L2360" i="29" s="1"/>
  <c r="N2557" i="29" s="1"/>
  <c r="G2361" i="29"/>
  <c r="L2361" i="29" s="1"/>
  <c r="N2558" i="29" s="1"/>
  <c r="G2362" i="29"/>
  <c r="L2362" i="29" s="1"/>
  <c r="N2559" i="29" s="1"/>
  <c r="G2363" i="29"/>
  <c r="L2363" i="29" s="1"/>
  <c r="N2560" i="29" s="1"/>
  <c r="G2364" i="29"/>
  <c r="L2364" i="29" s="1"/>
  <c r="N2561" i="29" s="1"/>
  <c r="G2365" i="29"/>
  <c r="L2365" i="29" s="1"/>
  <c r="N2562" i="29" s="1"/>
  <c r="J2169" i="29"/>
  <c r="J2170" i="29"/>
  <c r="J2171" i="29"/>
  <c r="J2172" i="29"/>
  <c r="J2173" i="29"/>
  <c r="J2174" i="29"/>
  <c r="J2175" i="29"/>
  <c r="J2176" i="29"/>
  <c r="J2177" i="29"/>
  <c r="J2178" i="29"/>
  <c r="J2179" i="29"/>
  <c r="J2180" i="29"/>
  <c r="J2181" i="29"/>
  <c r="J2182" i="29"/>
  <c r="J2183" i="29"/>
  <c r="J2184" i="29"/>
  <c r="J2185" i="29"/>
  <c r="J2186" i="29"/>
  <c r="J2187" i="29"/>
  <c r="J2188" i="29"/>
  <c r="J2189" i="29"/>
  <c r="J2190" i="29"/>
  <c r="J2191" i="29"/>
  <c r="J2192" i="29"/>
  <c r="J2193" i="29"/>
  <c r="J2194" i="29"/>
  <c r="J2195" i="29"/>
  <c r="J2196" i="29"/>
  <c r="J2197" i="29"/>
  <c r="J2198" i="29"/>
  <c r="J2199" i="29"/>
  <c r="J2200" i="29"/>
  <c r="J2201" i="29"/>
  <c r="J2202" i="29"/>
  <c r="J2203" i="29"/>
  <c r="J2204" i="29"/>
  <c r="J2205" i="29"/>
  <c r="J2206" i="29"/>
  <c r="J2207" i="29"/>
  <c r="J2208" i="29"/>
  <c r="J2209" i="29"/>
  <c r="J2210" i="29"/>
  <c r="J2211" i="29"/>
  <c r="J2212" i="29"/>
  <c r="J2213" i="29"/>
  <c r="J2214" i="29"/>
  <c r="J2215" i="29"/>
  <c r="J2216" i="29"/>
  <c r="J2217" i="29"/>
  <c r="J2218" i="29"/>
  <c r="J2219" i="29"/>
  <c r="J2220" i="29"/>
  <c r="J2221" i="29"/>
  <c r="J2222" i="29"/>
  <c r="J2223" i="29"/>
  <c r="J2224" i="29"/>
  <c r="J2225" i="29"/>
  <c r="J2226" i="29"/>
  <c r="J2227" i="29"/>
  <c r="J2228" i="29"/>
  <c r="J2229" i="29"/>
  <c r="J2230" i="29"/>
  <c r="J2231" i="29"/>
  <c r="J2232" i="29"/>
  <c r="J2233" i="29"/>
  <c r="J2234" i="29"/>
  <c r="J2235" i="29"/>
  <c r="J2236" i="29"/>
  <c r="J2237" i="29"/>
  <c r="J2238" i="29"/>
  <c r="J2239" i="29"/>
  <c r="J2240" i="29"/>
  <c r="J2241" i="29"/>
  <c r="J2242" i="29"/>
  <c r="J2243" i="29"/>
  <c r="J2244" i="29"/>
  <c r="J2245" i="29"/>
  <c r="J2246" i="29"/>
  <c r="J2247" i="29"/>
  <c r="J2248" i="29"/>
  <c r="J2249" i="29"/>
  <c r="J2250" i="29"/>
  <c r="J2251" i="29"/>
  <c r="J2252" i="29"/>
  <c r="J2253" i="29"/>
  <c r="J2254" i="29"/>
  <c r="J2255" i="29"/>
  <c r="J2256" i="29"/>
  <c r="J2257" i="29"/>
  <c r="J2258" i="29"/>
  <c r="J2259" i="29"/>
  <c r="J2260" i="29"/>
  <c r="J2261" i="29"/>
  <c r="J2262" i="29"/>
  <c r="J2263" i="29"/>
  <c r="J2264" i="29"/>
  <c r="J2265" i="29"/>
  <c r="J2266" i="29"/>
  <c r="J2267" i="29"/>
  <c r="J2268" i="29"/>
  <c r="J2269" i="29"/>
  <c r="J2270" i="29"/>
  <c r="J2271" i="29"/>
  <c r="J2272" i="29"/>
  <c r="J2273" i="29"/>
  <c r="J2274" i="29"/>
  <c r="J2275" i="29"/>
  <c r="J2276" i="29"/>
  <c r="J2277" i="29"/>
  <c r="J2278" i="29"/>
  <c r="J2279" i="29"/>
  <c r="J2280" i="29"/>
  <c r="J2281" i="29"/>
  <c r="J2282" i="29"/>
  <c r="J2283" i="29"/>
  <c r="J2284" i="29"/>
  <c r="J2285" i="29"/>
  <c r="J2286" i="29"/>
  <c r="J2287" i="29"/>
  <c r="J2288" i="29"/>
  <c r="J2289" i="29"/>
  <c r="J2290" i="29"/>
  <c r="J2291" i="29"/>
  <c r="J2292" i="29"/>
  <c r="J2293" i="29"/>
  <c r="J2294" i="29"/>
  <c r="J2295" i="29"/>
  <c r="J2296" i="29"/>
  <c r="J2297" i="29"/>
  <c r="J2298" i="29"/>
  <c r="J2299" i="29"/>
  <c r="J2300" i="29"/>
  <c r="J2301" i="29"/>
  <c r="J2302" i="29"/>
  <c r="J2303" i="29"/>
  <c r="J2304" i="29"/>
  <c r="J2305" i="29"/>
  <c r="J2306" i="29"/>
  <c r="J2307" i="29"/>
  <c r="J2308" i="29"/>
  <c r="J2309" i="29"/>
  <c r="J2310" i="29"/>
  <c r="J2311" i="29"/>
  <c r="J2312" i="29"/>
  <c r="J2313" i="29"/>
  <c r="J2314" i="29"/>
  <c r="J2315" i="29"/>
  <c r="J2316" i="29"/>
  <c r="J2317" i="29"/>
  <c r="J2318" i="29"/>
  <c r="J2319" i="29"/>
  <c r="J2320" i="29"/>
  <c r="J2321" i="29"/>
  <c r="J2322" i="29"/>
  <c r="J2323" i="29"/>
  <c r="J2324" i="29"/>
  <c r="J2325" i="29"/>
  <c r="J2326" i="29"/>
  <c r="J2327" i="29"/>
  <c r="J2328" i="29"/>
  <c r="J2329" i="29"/>
  <c r="J2330" i="29"/>
  <c r="J2331" i="29"/>
  <c r="J2332" i="29"/>
  <c r="J2333" i="29"/>
  <c r="J2334" i="29"/>
  <c r="J2335" i="29"/>
  <c r="J2336" i="29"/>
  <c r="J2337" i="29"/>
  <c r="J2338" i="29"/>
  <c r="J2339" i="29"/>
  <c r="J2340" i="29"/>
  <c r="J2341" i="29"/>
  <c r="J2342" i="29"/>
  <c r="J2343" i="29"/>
  <c r="J2344" i="29"/>
  <c r="J2345" i="29"/>
  <c r="J2346" i="29"/>
  <c r="J2347" i="29"/>
  <c r="J2348" i="29"/>
  <c r="J2349" i="29"/>
  <c r="J2350" i="29"/>
  <c r="J2351" i="29"/>
  <c r="J2352" i="29"/>
  <c r="J2353" i="29"/>
  <c r="J2354" i="29"/>
  <c r="J2355" i="29"/>
  <c r="J2356" i="29"/>
  <c r="J2357" i="29"/>
  <c r="J2358" i="29"/>
  <c r="J2359" i="29"/>
  <c r="J2360" i="29"/>
  <c r="J2361" i="29"/>
  <c r="J2362" i="29"/>
  <c r="J2363" i="29"/>
  <c r="J2364" i="29"/>
  <c r="J2365" i="29"/>
  <c r="K2170" i="29"/>
  <c r="K2171" i="29"/>
  <c r="K2172" i="29"/>
  <c r="K2173" i="29"/>
  <c r="K2174" i="29"/>
  <c r="K2175" i="29"/>
  <c r="K2176" i="29"/>
  <c r="K2177" i="29"/>
  <c r="K2178" i="29"/>
  <c r="K2179" i="29"/>
  <c r="K2180" i="29"/>
  <c r="K2181" i="29"/>
  <c r="K2182" i="29"/>
  <c r="K2183" i="29"/>
  <c r="K2184" i="29"/>
  <c r="K2185" i="29"/>
  <c r="K2186" i="29"/>
  <c r="K2187" i="29"/>
  <c r="K2188" i="29"/>
  <c r="K2189" i="29"/>
  <c r="K2190" i="29"/>
  <c r="K2191" i="29"/>
  <c r="K2192" i="29"/>
  <c r="K2193" i="29"/>
  <c r="K2194" i="29"/>
  <c r="K2195" i="29"/>
  <c r="K2196" i="29"/>
  <c r="K2197" i="29"/>
  <c r="K2198" i="29"/>
  <c r="K2199" i="29"/>
  <c r="K2200" i="29"/>
  <c r="K2201" i="29"/>
  <c r="K2202" i="29"/>
  <c r="K2203" i="29"/>
  <c r="K2204" i="29"/>
  <c r="K2205" i="29"/>
  <c r="K2206" i="29"/>
  <c r="K2207" i="29"/>
  <c r="K2208" i="29"/>
  <c r="K2209" i="29"/>
  <c r="K2210" i="29"/>
  <c r="K2211" i="29"/>
  <c r="K2212" i="29"/>
  <c r="K2213" i="29"/>
  <c r="K2214" i="29"/>
  <c r="K2215" i="29"/>
  <c r="K2216" i="29"/>
  <c r="K2217" i="29"/>
  <c r="K2218" i="29"/>
  <c r="K2219" i="29"/>
  <c r="K2220" i="29"/>
  <c r="K2221" i="29"/>
  <c r="K2222" i="29"/>
  <c r="K2223" i="29"/>
  <c r="K2224" i="29"/>
  <c r="K2225" i="29"/>
  <c r="K2226" i="29"/>
  <c r="K2227" i="29"/>
  <c r="K2228" i="29"/>
  <c r="K2229" i="29"/>
  <c r="K2230" i="29"/>
  <c r="K2231" i="29"/>
  <c r="K2232" i="29"/>
  <c r="K2233" i="29"/>
  <c r="K2234" i="29"/>
  <c r="K2235" i="29"/>
  <c r="K2236" i="29"/>
  <c r="K2237" i="29"/>
  <c r="K2238" i="29"/>
  <c r="K2239" i="29"/>
  <c r="K2240" i="29"/>
  <c r="K2241" i="29"/>
  <c r="K2242" i="29"/>
  <c r="K2243" i="29"/>
  <c r="K2244" i="29"/>
  <c r="K2245" i="29"/>
  <c r="K2246" i="29"/>
  <c r="K2247" i="29"/>
  <c r="K2248" i="29"/>
  <c r="K2249" i="29"/>
  <c r="K2250" i="29"/>
  <c r="K2251" i="29"/>
  <c r="K2252" i="29"/>
  <c r="K2253" i="29"/>
  <c r="K2254" i="29"/>
  <c r="K2255" i="29"/>
  <c r="K2256" i="29"/>
  <c r="K2257" i="29"/>
  <c r="K2258" i="29"/>
  <c r="K2259" i="29"/>
  <c r="K2260" i="29"/>
  <c r="K2261" i="29"/>
  <c r="K2262" i="29"/>
  <c r="K2263" i="29"/>
  <c r="K2264" i="29"/>
  <c r="K2265" i="29"/>
  <c r="K2266" i="29"/>
  <c r="K2267" i="29"/>
  <c r="K2268" i="29"/>
  <c r="K2269" i="29"/>
  <c r="K2270" i="29"/>
  <c r="K2271" i="29"/>
  <c r="K2272" i="29"/>
  <c r="K2273" i="29"/>
  <c r="K2274" i="29"/>
  <c r="K2275" i="29"/>
  <c r="K2276" i="29"/>
  <c r="K2277" i="29"/>
  <c r="K2278" i="29"/>
  <c r="K2279" i="29"/>
  <c r="K2280" i="29"/>
  <c r="K2281" i="29"/>
  <c r="K2282" i="29"/>
  <c r="K2283" i="29"/>
  <c r="K2284" i="29"/>
  <c r="K2285" i="29"/>
  <c r="K2286" i="29"/>
  <c r="K2287" i="29"/>
  <c r="K2288" i="29"/>
  <c r="K2289" i="29"/>
  <c r="K2290" i="29"/>
  <c r="K2291" i="29"/>
  <c r="K2292" i="29"/>
  <c r="K2293" i="29"/>
  <c r="K2294" i="29"/>
  <c r="K2295" i="29"/>
  <c r="K2296" i="29"/>
  <c r="K2297" i="29"/>
  <c r="K2298" i="29"/>
  <c r="K2299" i="29"/>
  <c r="K2300" i="29"/>
  <c r="K2301" i="29"/>
  <c r="K2302" i="29"/>
  <c r="K2303" i="29"/>
  <c r="K2304" i="29"/>
  <c r="K2305" i="29"/>
  <c r="K2306" i="29"/>
  <c r="K2307" i="29"/>
  <c r="K2308" i="29"/>
  <c r="K2309" i="29"/>
  <c r="K2310" i="29"/>
  <c r="K2311" i="29"/>
  <c r="K2312" i="29"/>
  <c r="K2313" i="29"/>
  <c r="K2314" i="29"/>
  <c r="K2315" i="29"/>
  <c r="K2316" i="29"/>
  <c r="K2317" i="29"/>
  <c r="K2318" i="29"/>
  <c r="K2319" i="29"/>
  <c r="K2320" i="29"/>
  <c r="K2321" i="29"/>
  <c r="K2322" i="29"/>
  <c r="K2323" i="29"/>
  <c r="K2324" i="29"/>
  <c r="K2325" i="29"/>
  <c r="K2326" i="29"/>
  <c r="K2327" i="29"/>
  <c r="K2328" i="29"/>
  <c r="K2329" i="29"/>
  <c r="K2330" i="29"/>
  <c r="K2331" i="29"/>
  <c r="K2332" i="29"/>
  <c r="K2333" i="29"/>
  <c r="K2334" i="29"/>
  <c r="K2335" i="29"/>
  <c r="K2336" i="29"/>
  <c r="K2337" i="29"/>
  <c r="K2338" i="29"/>
  <c r="K2339" i="29"/>
  <c r="K2340" i="29"/>
  <c r="K2341" i="29"/>
  <c r="K2342" i="29"/>
  <c r="K2343" i="29"/>
  <c r="K2344" i="29"/>
  <c r="K2345" i="29"/>
  <c r="K2346" i="29"/>
  <c r="K2347" i="29"/>
  <c r="K2348" i="29"/>
  <c r="K2349" i="29"/>
  <c r="K2350" i="29"/>
  <c r="K2351" i="29"/>
  <c r="K2352" i="29"/>
  <c r="K2353" i="29"/>
  <c r="K2354" i="29"/>
  <c r="K2355" i="29"/>
  <c r="K2356" i="29"/>
  <c r="K2357" i="29"/>
  <c r="K2358" i="29"/>
  <c r="K2359" i="29"/>
  <c r="K2360" i="29"/>
  <c r="K2361" i="29"/>
  <c r="K2362" i="29"/>
  <c r="K2363" i="29"/>
  <c r="K2364" i="29"/>
  <c r="K2365" i="29"/>
  <c r="L2177" i="29"/>
  <c r="N2374" i="29" s="1"/>
  <c r="L2185" i="29"/>
  <c r="N2382" i="29" s="1"/>
  <c r="L2193" i="29"/>
  <c r="N2390" i="29" s="1"/>
  <c r="Q2169" i="29"/>
  <c r="Q2170" i="29"/>
  <c r="Q2171" i="29"/>
  <c r="Q2172" i="29"/>
  <c r="Q2173" i="29"/>
  <c r="Q2174" i="29"/>
  <c r="Q2175" i="29"/>
  <c r="Q2176" i="29"/>
  <c r="Q2177" i="29"/>
  <c r="Q2178" i="29"/>
  <c r="Q2179" i="29"/>
  <c r="Q2180" i="29"/>
  <c r="Q2181" i="29"/>
  <c r="Q2182" i="29"/>
  <c r="Q2183" i="29"/>
  <c r="Q2184" i="29"/>
  <c r="Q2185" i="29"/>
  <c r="Q2186" i="29"/>
  <c r="Q2187" i="29"/>
  <c r="Q2188" i="29"/>
  <c r="Q2189" i="29"/>
  <c r="Q2190" i="29"/>
  <c r="Q2191" i="29"/>
  <c r="Q2192" i="29"/>
  <c r="Q2193" i="29"/>
  <c r="Q2194" i="29"/>
  <c r="Q2195" i="29"/>
  <c r="Q2196" i="29"/>
  <c r="Q2197" i="29"/>
  <c r="Q2198" i="29"/>
  <c r="Q2199" i="29"/>
  <c r="Q2200" i="29"/>
  <c r="Q2201" i="29"/>
  <c r="Q2202" i="29"/>
  <c r="Q2203" i="29"/>
  <c r="Q2204" i="29"/>
  <c r="Q2205" i="29"/>
  <c r="Q2206" i="29"/>
  <c r="Q2207" i="29"/>
  <c r="Q2208" i="29"/>
  <c r="Q2209" i="29"/>
  <c r="Q2210" i="29"/>
  <c r="Q2211" i="29"/>
  <c r="Q2212" i="29"/>
  <c r="Q2213" i="29"/>
  <c r="Q2214" i="29"/>
  <c r="Q2215" i="29"/>
  <c r="Q2216" i="29"/>
  <c r="Q2217" i="29"/>
  <c r="Q2218" i="29"/>
  <c r="Q2219" i="29"/>
  <c r="Q2220" i="29"/>
  <c r="Q2221" i="29"/>
  <c r="Q2222" i="29"/>
  <c r="Q2223" i="29"/>
  <c r="Q2224" i="29"/>
  <c r="Q2225" i="29"/>
  <c r="Q2226" i="29"/>
  <c r="Q2227" i="29"/>
  <c r="Q2228" i="29"/>
  <c r="Q2229" i="29"/>
  <c r="Q2230" i="29"/>
  <c r="Q2231" i="29"/>
  <c r="Q2232" i="29"/>
  <c r="Q2233" i="29"/>
  <c r="Q2234" i="29"/>
  <c r="Q2235" i="29"/>
  <c r="Q2236" i="29"/>
  <c r="Q2237" i="29"/>
  <c r="Q2238" i="29"/>
  <c r="Q2239" i="29"/>
  <c r="Q2240" i="29"/>
  <c r="Q2241" i="29"/>
  <c r="Q2242" i="29"/>
  <c r="Q2243" i="29"/>
  <c r="Q2244" i="29"/>
  <c r="Q2245" i="29"/>
  <c r="Q2246" i="29"/>
  <c r="Q2247" i="29"/>
  <c r="Q2248" i="29"/>
  <c r="Q2249" i="29"/>
  <c r="Q2250" i="29"/>
  <c r="Q2251" i="29"/>
  <c r="Q2252" i="29"/>
  <c r="Q2253" i="29"/>
  <c r="Q2254" i="29"/>
  <c r="Q2255" i="29"/>
  <c r="Q2256" i="29"/>
  <c r="Q2257" i="29"/>
  <c r="Q2258" i="29"/>
  <c r="Q2259" i="29"/>
  <c r="Q2260" i="29"/>
  <c r="Q2261" i="29"/>
  <c r="Q2262" i="29"/>
  <c r="Q2263" i="29"/>
  <c r="Q2264" i="29"/>
  <c r="Q2265" i="29"/>
  <c r="Q2266" i="29"/>
  <c r="Q2267" i="29"/>
  <c r="Q2268" i="29"/>
  <c r="Q2269" i="29"/>
  <c r="Q2270" i="29"/>
  <c r="Q2271" i="29"/>
  <c r="Q2272" i="29"/>
  <c r="Q2273" i="29"/>
  <c r="Q2274" i="29"/>
  <c r="Q2275" i="29"/>
  <c r="Q2276" i="29"/>
  <c r="Q2277" i="29"/>
  <c r="Q2278" i="29"/>
  <c r="Q2279" i="29"/>
  <c r="Q2280" i="29"/>
  <c r="Q2281" i="29"/>
  <c r="Q2282" i="29"/>
  <c r="Q2283" i="29"/>
  <c r="Q2284" i="29"/>
  <c r="Q2285" i="29"/>
  <c r="Q2286" i="29"/>
  <c r="Q2287" i="29"/>
  <c r="Q2288" i="29"/>
  <c r="Q2289" i="29"/>
  <c r="Q2290" i="29"/>
  <c r="Q2291" i="29"/>
  <c r="Q2292" i="29"/>
  <c r="Q2293" i="29"/>
  <c r="Q2294" i="29"/>
  <c r="Q2295" i="29"/>
  <c r="Q2296" i="29"/>
  <c r="Q2297" i="29"/>
  <c r="Q2298" i="29"/>
  <c r="Q2299" i="29"/>
  <c r="Q2300" i="29"/>
  <c r="Q2301" i="29"/>
  <c r="Q2302" i="29"/>
  <c r="Q2303" i="29"/>
  <c r="Q2304" i="29"/>
  <c r="Q2305" i="29"/>
  <c r="Q2306" i="29"/>
  <c r="Q2307" i="29"/>
  <c r="Q2308" i="29"/>
  <c r="Q2309" i="29"/>
  <c r="Q2310" i="29"/>
  <c r="Q2311" i="29"/>
  <c r="Q2312" i="29"/>
  <c r="Q2313" i="29"/>
  <c r="Q2314" i="29"/>
  <c r="Q2315" i="29"/>
  <c r="Q2316" i="29"/>
  <c r="Q2317" i="29"/>
  <c r="Q2318" i="29"/>
  <c r="Q2319" i="29"/>
  <c r="Q2320" i="29"/>
  <c r="Q2321" i="29"/>
  <c r="Q2322" i="29"/>
  <c r="Q2323" i="29"/>
  <c r="Q2324" i="29"/>
  <c r="Q2325" i="29"/>
  <c r="Q2326" i="29"/>
  <c r="Q2327" i="29"/>
  <c r="Q2328" i="29"/>
  <c r="Q2329" i="29"/>
  <c r="Q2330" i="29"/>
  <c r="Q2331" i="29"/>
  <c r="Q2332" i="29"/>
  <c r="Q2333" i="29"/>
  <c r="Q2334" i="29"/>
  <c r="Q2335" i="29"/>
  <c r="Q2336" i="29"/>
  <c r="Q2337" i="29"/>
  <c r="Q2338" i="29"/>
  <c r="Q2339" i="29"/>
  <c r="Q2340" i="29"/>
  <c r="Q2341" i="29"/>
  <c r="Q2342" i="29"/>
  <c r="Q2343" i="29"/>
  <c r="Q2344" i="29"/>
  <c r="Q2345" i="29"/>
  <c r="Q2346" i="29"/>
  <c r="Q2347" i="29"/>
  <c r="Q2348" i="29"/>
  <c r="Q2349" i="29"/>
  <c r="Q2350" i="29"/>
  <c r="Q2351" i="29"/>
  <c r="Q2352" i="29"/>
  <c r="Q2353" i="29"/>
  <c r="Q2354" i="29"/>
  <c r="Q2355" i="29"/>
  <c r="Q2356" i="29"/>
  <c r="Q2357" i="29"/>
  <c r="Q2358" i="29"/>
  <c r="Q2359" i="29"/>
  <c r="Q2360" i="29"/>
  <c r="Q2361" i="29"/>
  <c r="Q2362" i="29"/>
  <c r="Q2363" i="29"/>
  <c r="Q2364" i="29"/>
  <c r="Q2365" i="29"/>
  <c r="V2541" i="29" l="1"/>
  <c r="U2541" i="29"/>
  <c r="V2493" i="29"/>
  <c r="U2493" i="29"/>
  <c r="V2453" i="29"/>
  <c r="U2453" i="29"/>
  <c r="V2405" i="29"/>
  <c r="U2405" i="29"/>
  <c r="U2556" i="29"/>
  <c r="V2556" i="29"/>
  <c r="U2508" i="29"/>
  <c r="V2508" i="29"/>
  <c r="V2460" i="29"/>
  <c r="U2460" i="29"/>
  <c r="V2444" i="29"/>
  <c r="U2444" i="29"/>
  <c r="V2428" i="29"/>
  <c r="U2428" i="29"/>
  <c r="V2420" i="29"/>
  <c r="U2420" i="29"/>
  <c r="V2372" i="29"/>
  <c r="U2372" i="29"/>
  <c r="V2555" i="29"/>
  <c r="U2555" i="29"/>
  <c r="V2547" i="29"/>
  <c r="U2547" i="29"/>
  <c r="V2539" i="29"/>
  <c r="U2539" i="29"/>
  <c r="V2531" i="29"/>
  <c r="U2531" i="29"/>
  <c r="V2523" i="29"/>
  <c r="U2523" i="29"/>
  <c r="V2515" i="29"/>
  <c r="U2515" i="29"/>
  <c r="V2507" i="29"/>
  <c r="U2507" i="29"/>
  <c r="V2499" i="29"/>
  <c r="U2499" i="29"/>
  <c r="V2491" i="29"/>
  <c r="U2491" i="29"/>
  <c r="V2483" i="29"/>
  <c r="U2483" i="29"/>
  <c r="V2475" i="29"/>
  <c r="U2475" i="29"/>
  <c r="V2467" i="29"/>
  <c r="U2467" i="29"/>
  <c r="V2459" i="29"/>
  <c r="U2459" i="29"/>
  <c r="V2451" i="29"/>
  <c r="U2451" i="29"/>
  <c r="V2443" i="29"/>
  <c r="U2443" i="29"/>
  <c r="V2435" i="29"/>
  <c r="U2435" i="29"/>
  <c r="V2427" i="29"/>
  <c r="U2427" i="29"/>
  <c r="V2419" i="29"/>
  <c r="U2419" i="29"/>
  <c r="V2411" i="29"/>
  <c r="U2411" i="29"/>
  <c r="V2403" i="29"/>
  <c r="U2403" i="29"/>
  <c r="V2395" i="29"/>
  <c r="U2395" i="29"/>
  <c r="V2387" i="29"/>
  <c r="U2387" i="29"/>
  <c r="V2379" i="29"/>
  <c r="U2379" i="29"/>
  <c r="V2371" i="29"/>
  <c r="U2371" i="29"/>
  <c r="V2533" i="29"/>
  <c r="U2533" i="29"/>
  <c r="V2485" i="29"/>
  <c r="U2485" i="29"/>
  <c r="V2437" i="29"/>
  <c r="U2437" i="29"/>
  <c r="V2397" i="29"/>
  <c r="U2397" i="29"/>
  <c r="V2516" i="29"/>
  <c r="U2516" i="29"/>
  <c r="V2476" i="29"/>
  <c r="U2476" i="29"/>
  <c r="V2452" i="29"/>
  <c r="U2452" i="29"/>
  <c r="V2436" i="29"/>
  <c r="U2436" i="29"/>
  <c r="V2380" i="29"/>
  <c r="U2380" i="29"/>
  <c r="V2562" i="29"/>
  <c r="U2562" i="29"/>
  <c r="V2554" i="29"/>
  <c r="U2554" i="29"/>
  <c r="V2546" i="29"/>
  <c r="U2546" i="29"/>
  <c r="V2538" i="29"/>
  <c r="U2538" i="29"/>
  <c r="V2530" i="29"/>
  <c r="U2530" i="29"/>
  <c r="V2522" i="29"/>
  <c r="U2522" i="29"/>
  <c r="V2514" i="29"/>
  <c r="U2514" i="29"/>
  <c r="V2506" i="29"/>
  <c r="U2506" i="29"/>
  <c r="V2498" i="29"/>
  <c r="U2498" i="29"/>
  <c r="V2490" i="29"/>
  <c r="U2490" i="29"/>
  <c r="V2482" i="29"/>
  <c r="U2482" i="29"/>
  <c r="V2474" i="29"/>
  <c r="U2474" i="29"/>
  <c r="V2466" i="29"/>
  <c r="U2466" i="29"/>
  <c r="V2458" i="29"/>
  <c r="U2458" i="29"/>
  <c r="V2450" i="29"/>
  <c r="U2450" i="29"/>
  <c r="V2442" i="29"/>
  <c r="U2442" i="29"/>
  <c r="V2434" i="29"/>
  <c r="U2434" i="29"/>
  <c r="V2426" i="29"/>
  <c r="U2426" i="29"/>
  <c r="V2418" i="29"/>
  <c r="U2418" i="29"/>
  <c r="V2410" i="29"/>
  <c r="U2410" i="29"/>
  <c r="V2402" i="29"/>
  <c r="U2402" i="29"/>
  <c r="V2394" i="29"/>
  <c r="U2394" i="29"/>
  <c r="V2386" i="29"/>
  <c r="U2386" i="29"/>
  <c r="V2378" i="29"/>
  <c r="U2378" i="29"/>
  <c r="V2370" i="29"/>
  <c r="U2370" i="29"/>
  <c r="V2525" i="29"/>
  <c r="U2525" i="29"/>
  <c r="V2477" i="29"/>
  <c r="U2477" i="29"/>
  <c r="V2429" i="29"/>
  <c r="U2429" i="29"/>
  <c r="V2389" i="29"/>
  <c r="U2389" i="29"/>
  <c r="V2548" i="29"/>
  <c r="U2548" i="29"/>
  <c r="V2500" i="29"/>
  <c r="U2500" i="29"/>
  <c r="U2396" i="29"/>
  <c r="V2396" i="29"/>
  <c r="U2561" i="29"/>
  <c r="V2561" i="29"/>
  <c r="U2553" i="29"/>
  <c r="V2553" i="29"/>
  <c r="U2545" i="29"/>
  <c r="V2545" i="29"/>
  <c r="U2537" i="29"/>
  <c r="V2537" i="29"/>
  <c r="U2529" i="29"/>
  <c r="V2529" i="29"/>
  <c r="U2521" i="29"/>
  <c r="V2521" i="29"/>
  <c r="U2513" i="29"/>
  <c r="V2513" i="29"/>
  <c r="U2505" i="29"/>
  <c r="V2505" i="29"/>
  <c r="U2497" i="29"/>
  <c r="V2497" i="29"/>
  <c r="U2489" i="29"/>
  <c r="V2489" i="29"/>
  <c r="U2481" i="29"/>
  <c r="V2481" i="29"/>
  <c r="U2473" i="29"/>
  <c r="V2473" i="29"/>
  <c r="U2465" i="29"/>
  <c r="V2465" i="29"/>
  <c r="U2457" i="29"/>
  <c r="V2457" i="29"/>
  <c r="U2449" i="29"/>
  <c r="V2449" i="29"/>
  <c r="U2441" i="29"/>
  <c r="V2441" i="29"/>
  <c r="U2433" i="29"/>
  <c r="V2433" i="29"/>
  <c r="U2425" i="29"/>
  <c r="V2425" i="29"/>
  <c r="U2417" i="29"/>
  <c r="V2417" i="29"/>
  <c r="U2409" i="29"/>
  <c r="V2409" i="29"/>
  <c r="U2401" i="29"/>
  <c r="V2401" i="29"/>
  <c r="U2393" i="29"/>
  <c r="V2393" i="29"/>
  <c r="U2385" i="29"/>
  <c r="V2385" i="29"/>
  <c r="U2377" i="29"/>
  <c r="V2377" i="29"/>
  <c r="U2369" i="29"/>
  <c r="V2369" i="29"/>
  <c r="V2517" i="29"/>
  <c r="U2517" i="29"/>
  <c r="V2469" i="29"/>
  <c r="U2469" i="29"/>
  <c r="V2421" i="29"/>
  <c r="U2421" i="29"/>
  <c r="V2413" i="29"/>
  <c r="U2413" i="29"/>
  <c r="V2540" i="29"/>
  <c r="U2540" i="29"/>
  <c r="V2484" i="29"/>
  <c r="U2484" i="29"/>
  <c r="V2388" i="29"/>
  <c r="U2388" i="29"/>
  <c r="U2560" i="29"/>
  <c r="V2560" i="29"/>
  <c r="U2552" i="29"/>
  <c r="V2552" i="29"/>
  <c r="U2544" i="29"/>
  <c r="V2544" i="29"/>
  <c r="U2536" i="29"/>
  <c r="V2536" i="29"/>
  <c r="U2528" i="29"/>
  <c r="V2528" i="29"/>
  <c r="U2520" i="29"/>
  <c r="V2520" i="29"/>
  <c r="U2512" i="29"/>
  <c r="V2512" i="29"/>
  <c r="U2504" i="29"/>
  <c r="V2504" i="29"/>
  <c r="U2496" i="29"/>
  <c r="V2496" i="29"/>
  <c r="U2488" i="29"/>
  <c r="V2488" i="29"/>
  <c r="U2480" i="29"/>
  <c r="V2480" i="29"/>
  <c r="U2472" i="29"/>
  <c r="V2472" i="29"/>
  <c r="U2464" i="29"/>
  <c r="V2464" i="29"/>
  <c r="U2456" i="29"/>
  <c r="V2456" i="29"/>
  <c r="U2448" i="29"/>
  <c r="V2448" i="29"/>
  <c r="U2440" i="29"/>
  <c r="V2440" i="29"/>
  <c r="U2432" i="29"/>
  <c r="V2432" i="29"/>
  <c r="U2424" i="29"/>
  <c r="V2424" i="29"/>
  <c r="U2416" i="29"/>
  <c r="V2416" i="29"/>
  <c r="U2408" i="29"/>
  <c r="V2408" i="29"/>
  <c r="U2400" i="29"/>
  <c r="V2400" i="29"/>
  <c r="U2392" i="29"/>
  <c r="V2392" i="29"/>
  <c r="U2384" i="29"/>
  <c r="V2384" i="29"/>
  <c r="U2376" i="29"/>
  <c r="V2376" i="29"/>
  <c r="U2368" i="29"/>
  <c r="V2368" i="29"/>
  <c r="V2382" i="29"/>
  <c r="U2382" i="29"/>
  <c r="V2549" i="29"/>
  <c r="U2549" i="29"/>
  <c r="V2501" i="29"/>
  <c r="U2501" i="29"/>
  <c r="V2461" i="29"/>
  <c r="U2461" i="29"/>
  <c r="V2381" i="29"/>
  <c r="U2381" i="29"/>
  <c r="V2374" i="29"/>
  <c r="U2374" i="29"/>
  <c r="V2524" i="29"/>
  <c r="U2524" i="29"/>
  <c r="V2468" i="29"/>
  <c r="U2468" i="29"/>
  <c r="V2412" i="29"/>
  <c r="U2412" i="29"/>
  <c r="U2559" i="29"/>
  <c r="V2559" i="29"/>
  <c r="U2551" i="29"/>
  <c r="V2551" i="29"/>
  <c r="U2543" i="29"/>
  <c r="V2543" i="29"/>
  <c r="U2535" i="29"/>
  <c r="V2535" i="29"/>
  <c r="U2527" i="29"/>
  <c r="V2527" i="29"/>
  <c r="U2519" i="29"/>
  <c r="V2519" i="29"/>
  <c r="U2511" i="29"/>
  <c r="V2511" i="29"/>
  <c r="U2503" i="29"/>
  <c r="V2503" i="29"/>
  <c r="U2495" i="29"/>
  <c r="V2495" i="29"/>
  <c r="U2487" i="29"/>
  <c r="V2487" i="29"/>
  <c r="U2479" i="29"/>
  <c r="V2479" i="29"/>
  <c r="U2471" i="29"/>
  <c r="V2471" i="29"/>
  <c r="U2463" i="29"/>
  <c r="V2463" i="29"/>
  <c r="U2455" i="29"/>
  <c r="V2455" i="29"/>
  <c r="U2447" i="29"/>
  <c r="V2447" i="29"/>
  <c r="U2439" i="29"/>
  <c r="V2439" i="29"/>
  <c r="U2431" i="29"/>
  <c r="V2431" i="29"/>
  <c r="U2423" i="29"/>
  <c r="V2423" i="29"/>
  <c r="U2415" i="29"/>
  <c r="V2415" i="29"/>
  <c r="U2407" i="29"/>
  <c r="V2407" i="29"/>
  <c r="U2399" i="29"/>
  <c r="V2399" i="29"/>
  <c r="U2391" i="29"/>
  <c r="V2391" i="29"/>
  <c r="U2383" i="29"/>
  <c r="V2383" i="29"/>
  <c r="U2375" i="29"/>
  <c r="V2375" i="29"/>
  <c r="V2557" i="29"/>
  <c r="U2557" i="29"/>
  <c r="V2509" i="29"/>
  <c r="U2509" i="29"/>
  <c r="V2445" i="29"/>
  <c r="U2445" i="29"/>
  <c r="V2373" i="29"/>
  <c r="U2373" i="29"/>
  <c r="V2532" i="29"/>
  <c r="U2532" i="29"/>
  <c r="V2492" i="29"/>
  <c r="U2492" i="29"/>
  <c r="V2404" i="29"/>
  <c r="U2404" i="29"/>
  <c r="V2390" i="29"/>
  <c r="U2390" i="29"/>
  <c r="V2558" i="29"/>
  <c r="U2558" i="29"/>
  <c r="V2550" i="29"/>
  <c r="U2550" i="29"/>
  <c r="V2542" i="29"/>
  <c r="U2542" i="29"/>
  <c r="V2534" i="29"/>
  <c r="U2534" i="29"/>
  <c r="V2526" i="29"/>
  <c r="U2526" i="29"/>
  <c r="V2518" i="29"/>
  <c r="U2518" i="29"/>
  <c r="V2510" i="29"/>
  <c r="U2510" i="29"/>
  <c r="V2502" i="29"/>
  <c r="U2502" i="29"/>
  <c r="V2494" i="29"/>
  <c r="U2494" i="29"/>
  <c r="V2486" i="29"/>
  <c r="U2486" i="29"/>
  <c r="V2478" i="29"/>
  <c r="U2478" i="29"/>
  <c r="V2470" i="29"/>
  <c r="U2470" i="29"/>
  <c r="V2462" i="29"/>
  <c r="U2462" i="29"/>
  <c r="V2454" i="29"/>
  <c r="U2454" i="29"/>
  <c r="V2446" i="29"/>
  <c r="U2446" i="29"/>
  <c r="V2438" i="29"/>
  <c r="U2438" i="29"/>
  <c r="V2430" i="29"/>
  <c r="U2430" i="29"/>
  <c r="V2422" i="29"/>
  <c r="U2422" i="29"/>
  <c r="V2414" i="29"/>
  <c r="U2414" i="29"/>
  <c r="V2406" i="29"/>
  <c r="U2406" i="29"/>
  <c r="V2398" i="29"/>
  <c r="U2398" i="29"/>
  <c r="V2366" i="29"/>
  <c r="U2366" i="29"/>
  <c r="L2170" i="29"/>
  <c r="N2367" i="29" s="1"/>
  <c r="B17" i="2"/>
  <c r="B16" i="2"/>
  <c r="G1972" i="29"/>
  <c r="L1972" i="29" s="1"/>
  <c r="N2169" i="29" s="1"/>
  <c r="G1973" i="29"/>
  <c r="L1973" i="29" s="1"/>
  <c r="N2170" i="29" s="1"/>
  <c r="G1974" i="29"/>
  <c r="L1974" i="29" s="1"/>
  <c r="N2171" i="29" s="1"/>
  <c r="G1975" i="29"/>
  <c r="L1975" i="29" s="1"/>
  <c r="N2172" i="29" s="1"/>
  <c r="G1976" i="29"/>
  <c r="L1976" i="29" s="1"/>
  <c r="N2173" i="29" s="1"/>
  <c r="G1977" i="29"/>
  <c r="L1977" i="29" s="1"/>
  <c r="N2174" i="29" s="1"/>
  <c r="G1978" i="29"/>
  <c r="L1978" i="29" s="1"/>
  <c r="N2175" i="29" s="1"/>
  <c r="G1979" i="29"/>
  <c r="L1979" i="29" s="1"/>
  <c r="N2176" i="29" s="1"/>
  <c r="G1980" i="29"/>
  <c r="L1980" i="29" s="1"/>
  <c r="N2177" i="29" s="1"/>
  <c r="G1981" i="29"/>
  <c r="L1981" i="29" s="1"/>
  <c r="N2178" i="29" s="1"/>
  <c r="G1982" i="29"/>
  <c r="L1982" i="29" s="1"/>
  <c r="N2179" i="29" s="1"/>
  <c r="G1983" i="29"/>
  <c r="L1983" i="29" s="1"/>
  <c r="N2180" i="29" s="1"/>
  <c r="G1984" i="29"/>
  <c r="L1984" i="29" s="1"/>
  <c r="N2181" i="29" s="1"/>
  <c r="G1985" i="29"/>
  <c r="L1985" i="29" s="1"/>
  <c r="N2182" i="29" s="1"/>
  <c r="G1986" i="29"/>
  <c r="L1986" i="29" s="1"/>
  <c r="N2183" i="29" s="1"/>
  <c r="G1987" i="29"/>
  <c r="L1987" i="29" s="1"/>
  <c r="N2184" i="29" s="1"/>
  <c r="G1988" i="29"/>
  <c r="L1988" i="29" s="1"/>
  <c r="N2185" i="29" s="1"/>
  <c r="G1989" i="29"/>
  <c r="L1989" i="29" s="1"/>
  <c r="N2186" i="29" s="1"/>
  <c r="G1990" i="29"/>
  <c r="L1990" i="29" s="1"/>
  <c r="N2187" i="29" s="1"/>
  <c r="G1991" i="29"/>
  <c r="L1991" i="29" s="1"/>
  <c r="N2188" i="29" s="1"/>
  <c r="G1992" i="29"/>
  <c r="L1992" i="29" s="1"/>
  <c r="N2189" i="29" s="1"/>
  <c r="G1993" i="29"/>
  <c r="L1993" i="29" s="1"/>
  <c r="N2190" i="29" s="1"/>
  <c r="G1994" i="29"/>
  <c r="L1994" i="29" s="1"/>
  <c r="N2191" i="29" s="1"/>
  <c r="G1995" i="29"/>
  <c r="L1995" i="29" s="1"/>
  <c r="N2192" i="29" s="1"/>
  <c r="G1996" i="29"/>
  <c r="L1996" i="29" s="1"/>
  <c r="N2193" i="29" s="1"/>
  <c r="G1997" i="29"/>
  <c r="L1997" i="29" s="1"/>
  <c r="N2194" i="29" s="1"/>
  <c r="G1998" i="29"/>
  <c r="L1998" i="29" s="1"/>
  <c r="N2195" i="29" s="1"/>
  <c r="G1999" i="29"/>
  <c r="L1999" i="29" s="1"/>
  <c r="N2196" i="29" s="1"/>
  <c r="G2000" i="29"/>
  <c r="L2000" i="29" s="1"/>
  <c r="N2197" i="29" s="1"/>
  <c r="G2001" i="29"/>
  <c r="L2001" i="29" s="1"/>
  <c r="N2198" i="29" s="1"/>
  <c r="G2002" i="29"/>
  <c r="L2002" i="29" s="1"/>
  <c r="N2199" i="29" s="1"/>
  <c r="G2003" i="29"/>
  <c r="L2003" i="29" s="1"/>
  <c r="N2200" i="29" s="1"/>
  <c r="G2004" i="29"/>
  <c r="L2004" i="29" s="1"/>
  <c r="N2201" i="29" s="1"/>
  <c r="G2005" i="29"/>
  <c r="L2005" i="29" s="1"/>
  <c r="N2202" i="29" s="1"/>
  <c r="G2006" i="29"/>
  <c r="L2006" i="29" s="1"/>
  <c r="N2203" i="29" s="1"/>
  <c r="G2007" i="29"/>
  <c r="L2007" i="29" s="1"/>
  <c r="N2204" i="29" s="1"/>
  <c r="G2008" i="29"/>
  <c r="L2008" i="29" s="1"/>
  <c r="N2205" i="29" s="1"/>
  <c r="G2009" i="29"/>
  <c r="L2009" i="29" s="1"/>
  <c r="N2206" i="29" s="1"/>
  <c r="G2010" i="29"/>
  <c r="L2010" i="29" s="1"/>
  <c r="N2207" i="29" s="1"/>
  <c r="G2011" i="29"/>
  <c r="L2011" i="29" s="1"/>
  <c r="N2208" i="29" s="1"/>
  <c r="G2012" i="29"/>
  <c r="L2012" i="29" s="1"/>
  <c r="N2209" i="29" s="1"/>
  <c r="G2013" i="29"/>
  <c r="L2013" i="29" s="1"/>
  <c r="N2210" i="29" s="1"/>
  <c r="G2014" i="29"/>
  <c r="L2014" i="29" s="1"/>
  <c r="N2211" i="29" s="1"/>
  <c r="G2015" i="29"/>
  <c r="L2015" i="29" s="1"/>
  <c r="N2212" i="29" s="1"/>
  <c r="G2016" i="29"/>
  <c r="L2016" i="29" s="1"/>
  <c r="N2213" i="29" s="1"/>
  <c r="G2017" i="29"/>
  <c r="L2017" i="29" s="1"/>
  <c r="N2214" i="29" s="1"/>
  <c r="G2018" i="29"/>
  <c r="L2018" i="29" s="1"/>
  <c r="N2215" i="29" s="1"/>
  <c r="G2019" i="29"/>
  <c r="L2019" i="29" s="1"/>
  <c r="N2216" i="29" s="1"/>
  <c r="G2020" i="29"/>
  <c r="L2020" i="29" s="1"/>
  <c r="N2217" i="29" s="1"/>
  <c r="G2021" i="29"/>
  <c r="L2021" i="29" s="1"/>
  <c r="N2218" i="29" s="1"/>
  <c r="G2022" i="29"/>
  <c r="L2022" i="29" s="1"/>
  <c r="N2219" i="29" s="1"/>
  <c r="G2023" i="29"/>
  <c r="L2023" i="29" s="1"/>
  <c r="N2220" i="29" s="1"/>
  <c r="G2024" i="29"/>
  <c r="L2024" i="29" s="1"/>
  <c r="N2221" i="29" s="1"/>
  <c r="G2025" i="29"/>
  <c r="L2025" i="29" s="1"/>
  <c r="N2222" i="29" s="1"/>
  <c r="G2026" i="29"/>
  <c r="L2026" i="29" s="1"/>
  <c r="N2223" i="29" s="1"/>
  <c r="G2027" i="29"/>
  <c r="L2027" i="29" s="1"/>
  <c r="N2224" i="29" s="1"/>
  <c r="G2028" i="29"/>
  <c r="L2028" i="29" s="1"/>
  <c r="N2225" i="29" s="1"/>
  <c r="G2029" i="29"/>
  <c r="L2029" i="29" s="1"/>
  <c r="N2226" i="29" s="1"/>
  <c r="G2030" i="29"/>
  <c r="L2030" i="29" s="1"/>
  <c r="N2227" i="29" s="1"/>
  <c r="G2031" i="29"/>
  <c r="L2031" i="29" s="1"/>
  <c r="N2228" i="29" s="1"/>
  <c r="G2032" i="29"/>
  <c r="L2032" i="29" s="1"/>
  <c r="N2229" i="29" s="1"/>
  <c r="G2033" i="29"/>
  <c r="L2033" i="29" s="1"/>
  <c r="N2230" i="29" s="1"/>
  <c r="G2034" i="29"/>
  <c r="L2034" i="29" s="1"/>
  <c r="N2231" i="29" s="1"/>
  <c r="G2035" i="29"/>
  <c r="L2035" i="29" s="1"/>
  <c r="N2232" i="29" s="1"/>
  <c r="G2036" i="29"/>
  <c r="L2036" i="29" s="1"/>
  <c r="N2233" i="29" s="1"/>
  <c r="G2037" i="29"/>
  <c r="L2037" i="29" s="1"/>
  <c r="N2234" i="29" s="1"/>
  <c r="G2038" i="29"/>
  <c r="L2038" i="29" s="1"/>
  <c r="N2235" i="29" s="1"/>
  <c r="G2039" i="29"/>
  <c r="L2039" i="29" s="1"/>
  <c r="N2236" i="29" s="1"/>
  <c r="G2040" i="29"/>
  <c r="L2040" i="29" s="1"/>
  <c r="N2237" i="29" s="1"/>
  <c r="G2041" i="29"/>
  <c r="L2041" i="29" s="1"/>
  <c r="N2238" i="29" s="1"/>
  <c r="G2042" i="29"/>
  <c r="L2042" i="29" s="1"/>
  <c r="N2239" i="29" s="1"/>
  <c r="G2043" i="29"/>
  <c r="L2043" i="29" s="1"/>
  <c r="N2240" i="29" s="1"/>
  <c r="G2044" i="29"/>
  <c r="L2044" i="29" s="1"/>
  <c r="N2241" i="29" s="1"/>
  <c r="G2045" i="29"/>
  <c r="L2045" i="29" s="1"/>
  <c r="N2242" i="29" s="1"/>
  <c r="G2046" i="29"/>
  <c r="L2046" i="29" s="1"/>
  <c r="N2243" i="29" s="1"/>
  <c r="G2047" i="29"/>
  <c r="L2047" i="29" s="1"/>
  <c r="N2244" i="29" s="1"/>
  <c r="G2048" i="29"/>
  <c r="L2048" i="29" s="1"/>
  <c r="N2245" i="29" s="1"/>
  <c r="G2049" i="29"/>
  <c r="L2049" i="29" s="1"/>
  <c r="N2246" i="29" s="1"/>
  <c r="G2050" i="29"/>
  <c r="L2050" i="29" s="1"/>
  <c r="N2247" i="29" s="1"/>
  <c r="G2051" i="29"/>
  <c r="L2051" i="29" s="1"/>
  <c r="N2248" i="29" s="1"/>
  <c r="G2052" i="29"/>
  <c r="L2052" i="29" s="1"/>
  <c r="N2249" i="29" s="1"/>
  <c r="G2053" i="29"/>
  <c r="L2053" i="29" s="1"/>
  <c r="N2250" i="29" s="1"/>
  <c r="G2054" i="29"/>
  <c r="L2054" i="29" s="1"/>
  <c r="N2251" i="29" s="1"/>
  <c r="G2055" i="29"/>
  <c r="L2055" i="29" s="1"/>
  <c r="N2252" i="29" s="1"/>
  <c r="G2056" i="29"/>
  <c r="L2056" i="29" s="1"/>
  <c r="N2253" i="29" s="1"/>
  <c r="G2057" i="29"/>
  <c r="L2057" i="29" s="1"/>
  <c r="N2254" i="29" s="1"/>
  <c r="G2058" i="29"/>
  <c r="L2058" i="29" s="1"/>
  <c r="N2255" i="29" s="1"/>
  <c r="G2059" i="29"/>
  <c r="L2059" i="29" s="1"/>
  <c r="N2256" i="29" s="1"/>
  <c r="G2060" i="29"/>
  <c r="L2060" i="29" s="1"/>
  <c r="N2257" i="29" s="1"/>
  <c r="G2061" i="29"/>
  <c r="L2061" i="29" s="1"/>
  <c r="N2258" i="29" s="1"/>
  <c r="G2062" i="29"/>
  <c r="L2062" i="29" s="1"/>
  <c r="N2259" i="29" s="1"/>
  <c r="G2063" i="29"/>
  <c r="L2063" i="29" s="1"/>
  <c r="N2260" i="29" s="1"/>
  <c r="G2064" i="29"/>
  <c r="L2064" i="29" s="1"/>
  <c r="N2261" i="29" s="1"/>
  <c r="G2065" i="29"/>
  <c r="L2065" i="29" s="1"/>
  <c r="N2262" i="29" s="1"/>
  <c r="G2066" i="29"/>
  <c r="L2066" i="29" s="1"/>
  <c r="N2263" i="29" s="1"/>
  <c r="G2067" i="29"/>
  <c r="L2067" i="29" s="1"/>
  <c r="N2264" i="29" s="1"/>
  <c r="G2068" i="29"/>
  <c r="L2068" i="29" s="1"/>
  <c r="N2265" i="29" s="1"/>
  <c r="G2069" i="29"/>
  <c r="L2069" i="29" s="1"/>
  <c r="N2266" i="29" s="1"/>
  <c r="G2070" i="29"/>
  <c r="L2070" i="29" s="1"/>
  <c r="N2267" i="29" s="1"/>
  <c r="G2071" i="29"/>
  <c r="L2071" i="29" s="1"/>
  <c r="N2268" i="29" s="1"/>
  <c r="G2072" i="29"/>
  <c r="L2072" i="29" s="1"/>
  <c r="N2269" i="29" s="1"/>
  <c r="G2073" i="29"/>
  <c r="L2073" i="29" s="1"/>
  <c r="N2270" i="29" s="1"/>
  <c r="G2074" i="29"/>
  <c r="L2074" i="29" s="1"/>
  <c r="N2271" i="29" s="1"/>
  <c r="G2075" i="29"/>
  <c r="L2075" i="29" s="1"/>
  <c r="N2272" i="29" s="1"/>
  <c r="G2076" i="29"/>
  <c r="L2076" i="29" s="1"/>
  <c r="N2273" i="29" s="1"/>
  <c r="G2077" i="29"/>
  <c r="L2077" i="29" s="1"/>
  <c r="N2274" i="29" s="1"/>
  <c r="G2078" i="29"/>
  <c r="L2078" i="29" s="1"/>
  <c r="N2275" i="29" s="1"/>
  <c r="G2079" i="29"/>
  <c r="L2079" i="29" s="1"/>
  <c r="N2276" i="29" s="1"/>
  <c r="G2080" i="29"/>
  <c r="L2080" i="29" s="1"/>
  <c r="N2277" i="29" s="1"/>
  <c r="G2081" i="29"/>
  <c r="L2081" i="29" s="1"/>
  <c r="N2278" i="29" s="1"/>
  <c r="G2082" i="29"/>
  <c r="L2082" i="29" s="1"/>
  <c r="N2279" i="29" s="1"/>
  <c r="G2083" i="29"/>
  <c r="L2083" i="29" s="1"/>
  <c r="N2280" i="29" s="1"/>
  <c r="G2084" i="29"/>
  <c r="L2084" i="29" s="1"/>
  <c r="N2281" i="29" s="1"/>
  <c r="G2085" i="29"/>
  <c r="L2085" i="29" s="1"/>
  <c r="N2282" i="29" s="1"/>
  <c r="G2086" i="29"/>
  <c r="L2086" i="29" s="1"/>
  <c r="N2283" i="29" s="1"/>
  <c r="G2087" i="29"/>
  <c r="L2087" i="29" s="1"/>
  <c r="N2284" i="29" s="1"/>
  <c r="G2088" i="29"/>
  <c r="L2088" i="29" s="1"/>
  <c r="N2285" i="29" s="1"/>
  <c r="G2089" i="29"/>
  <c r="L2089" i="29" s="1"/>
  <c r="N2286" i="29" s="1"/>
  <c r="G2090" i="29"/>
  <c r="L2090" i="29" s="1"/>
  <c r="N2287" i="29" s="1"/>
  <c r="G2091" i="29"/>
  <c r="L2091" i="29" s="1"/>
  <c r="N2288" i="29" s="1"/>
  <c r="G2092" i="29"/>
  <c r="L2092" i="29" s="1"/>
  <c r="N2289" i="29" s="1"/>
  <c r="G2093" i="29"/>
  <c r="L2093" i="29" s="1"/>
  <c r="N2290" i="29" s="1"/>
  <c r="G2094" i="29"/>
  <c r="L2094" i="29" s="1"/>
  <c r="N2291" i="29" s="1"/>
  <c r="G2095" i="29"/>
  <c r="L2095" i="29" s="1"/>
  <c r="N2292" i="29" s="1"/>
  <c r="G2096" i="29"/>
  <c r="L2096" i="29" s="1"/>
  <c r="N2293" i="29" s="1"/>
  <c r="G2097" i="29"/>
  <c r="L2097" i="29" s="1"/>
  <c r="N2294" i="29" s="1"/>
  <c r="G2098" i="29"/>
  <c r="L2098" i="29" s="1"/>
  <c r="N2295" i="29" s="1"/>
  <c r="G2099" i="29"/>
  <c r="L2099" i="29" s="1"/>
  <c r="N2296" i="29" s="1"/>
  <c r="G2100" i="29"/>
  <c r="L2100" i="29" s="1"/>
  <c r="N2297" i="29" s="1"/>
  <c r="G2101" i="29"/>
  <c r="L2101" i="29" s="1"/>
  <c r="N2298" i="29" s="1"/>
  <c r="G2102" i="29"/>
  <c r="L2102" i="29" s="1"/>
  <c r="N2299" i="29" s="1"/>
  <c r="G2103" i="29"/>
  <c r="L2103" i="29" s="1"/>
  <c r="N2300" i="29" s="1"/>
  <c r="G2104" i="29"/>
  <c r="L2104" i="29" s="1"/>
  <c r="N2301" i="29" s="1"/>
  <c r="G2105" i="29"/>
  <c r="L2105" i="29" s="1"/>
  <c r="N2302" i="29" s="1"/>
  <c r="G2106" i="29"/>
  <c r="L2106" i="29" s="1"/>
  <c r="N2303" i="29" s="1"/>
  <c r="G2107" i="29"/>
  <c r="L2107" i="29" s="1"/>
  <c r="N2304" i="29" s="1"/>
  <c r="G2108" i="29"/>
  <c r="L2108" i="29" s="1"/>
  <c r="N2305" i="29" s="1"/>
  <c r="G2109" i="29"/>
  <c r="L2109" i="29" s="1"/>
  <c r="N2306" i="29" s="1"/>
  <c r="G2110" i="29"/>
  <c r="L2110" i="29" s="1"/>
  <c r="N2307" i="29" s="1"/>
  <c r="G2111" i="29"/>
  <c r="L2111" i="29" s="1"/>
  <c r="N2308" i="29" s="1"/>
  <c r="G2112" i="29"/>
  <c r="L2112" i="29" s="1"/>
  <c r="N2309" i="29" s="1"/>
  <c r="G2113" i="29"/>
  <c r="L2113" i="29" s="1"/>
  <c r="N2310" i="29" s="1"/>
  <c r="G2114" i="29"/>
  <c r="L2114" i="29" s="1"/>
  <c r="N2311" i="29" s="1"/>
  <c r="G2115" i="29"/>
  <c r="L2115" i="29" s="1"/>
  <c r="N2312" i="29" s="1"/>
  <c r="G2116" i="29"/>
  <c r="L2116" i="29" s="1"/>
  <c r="N2313" i="29" s="1"/>
  <c r="G2117" i="29"/>
  <c r="L2117" i="29" s="1"/>
  <c r="N2314" i="29" s="1"/>
  <c r="G2118" i="29"/>
  <c r="L2118" i="29" s="1"/>
  <c r="N2315" i="29" s="1"/>
  <c r="G2119" i="29"/>
  <c r="L2119" i="29" s="1"/>
  <c r="N2316" i="29" s="1"/>
  <c r="G2120" i="29"/>
  <c r="L2120" i="29" s="1"/>
  <c r="N2317" i="29" s="1"/>
  <c r="G2121" i="29"/>
  <c r="L2121" i="29" s="1"/>
  <c r="N2318" i="29" s="1"/>
  <c r="G2122" i="29"/>
  <c r="L2122" i="29" s="1"/>
  <c r="N2319" i="29" s="1"/>
  <c r="G2123" i="29"/>
  <c r="L2123" i="29" s="1"/>
  <c r="N2320" i="29" s="1"/>
  <c r="G2124" i="29"/>
  <c r="L2124" i="29" s="1"/>
  <c r="N2321" i="29" s="1"/>
  <c r="G2125" i="29"/>
  <c r="L2125" i="29" s="1"/>
  <c r="N2322" i="29" s="1"/>
  <c r="G2126" i="29"/>
  <c r="L2126" i="29" s="1"/>
  <c r="N2323" i="29" s="1"/>
  <c r="G2127" i="29"/>
  <c r="L2127" i="29" s="1"/>
  <c r="N2324" i="29" s="1"/>
  <c r="G2128" i="29"/>
  <c r="L2128" i="29" s="1"/>
  <c r="N2325" i="29" s="1"/>
  <c r="G2129" i="29"/>
  <c r="L2129" i="29" s="1"/>
  <c r="N2326" i="29" s="1"/>
  <c r="G2130" i="29"/>
  <c r="L2130" i="29" s="1"/>
  <c r="N2327" i="29" s="1"/>
  <c r="G2131" i="29"/>
  <c r="L2131" i="29" s="1"/>
  <c r="N2328" i="29" s="1"/>
  <c r="G2132" i="29"/>
  <c r="L2132" i="29" s="1"/>
  <c r="N2329" i="29" s="1"/>
  <c r="G2133" i="29"/>
  <c r="L2133" i="29" s="1"/>
  <c r="N2330" i="29" s="1"/>
  <c r="G2134" i="29"/>
  <c r="L2134" i="29" s="1"/>
  <c r="N2331" i="29" s="1"/>
  <c r="G2135" i="29"/>
  <c r="L2135" i="29" s="1"/>
  <c r="N2332" i="29" s="1"/>
  <c r="G2136" i="29"/>
  <c r="L2136" i="29" s="1"/>
  <c r="N2333" i="29" s="1"/>
  <c r="G2137" i="29"/>
  <c r="L2137" i="29" s="1"/>
  <c r="N2334" i="29" s="1"/>
  <c r="G2138" i="29"/>
  <c r="L2138" i="29" s="1"/>
  <c r="N2335" i="29" s="1"/>
  <c r="G2139" i="29"/>
  <c r="L2139" i="29" s="1"/>
  <c r="N2336" i="29" s="1"/>
  <c r="G2140" i="29"/>
  <c r="L2140" i="29" s="1"/>
  <c r="N2337" i="29" s="1"/>
  <c r="G2141" i="29"/>
  <c r="L2141" i="29" s="1"/>
  <c r="N2338" i="29" s="1"/>
  <c r="G2142" i="29"/>
  <c r="L2142" i="29" s="1"/>
  <c r="N2339" i="29" s="1"/>
  <c r="G2143" i="29"/>
  <c r="L2143" i="29" s="1"/>
  <c r="N2340" i="29" s="1"/>
  <c r="G2144" i="29"/>
  <c r="L2144" i="29" s="1"/>
  <c r="N2341" i="29" s="1"/>
  <c r="G2145" i="29"/>
  <c r="L2145" i="29" s="1"/>
  <c r="N2342" i="29" s="1"/>
  <c r="G2146" i="29"/>
  <c r="L2146" i="29" s="1"/>
  <c r="N2343" i="29" s="1"/>
  <c r="G2147" i="29"/>
  <c r="L2147" i="29" s="1"/>
  <c r="N2344" i="29" s="1"/>
  <c r="G2148" i="29"/>
  <c r="L2148" i="29" s="1"/>
  <c r="N2345" i="29" s="1"/>
  <c r="G2149" i="29"/>
  <c r="L2149" i="29" s="1"/>
  <c r="N2346" i="29" s="1"/>
  <c r="G2150" i="29"/>
  <c r="L2150" i="29" s="1"/>
  <c r="N2347" i="29" s="1"/>
  <c r="G2151" i="29"/>
  <c r="L2151" i="29" s="1"/>
  <c r="N2348" i="29" s="1"/>
  <c r="G2152" i="29"/>
  <c r="L2152" i="29" s="1"/>
  <c r="N2349" i="29" s="1"/>
  <c r="G2153" i="29"/>
  <c r="L2153" i="29" s="1"/>
  <c r="N2350" i="29" s="1"/>
  <c r="G2154" i="29"/>
  <c r="L2154" i="29" s="1"/>
  <c r="N2351" i="29" s="1"/>
  <c r="G2155" i="29"/>
  <c r="L2155" i="29" s="1"/>
  <c r="N2352" i="29" s="1"/>
  <c r="G2156" i="29"/>
  <c r="L2156" i="29" s="1"/>
  <c r="N2353" i="29" s="1"/>
  <c r="G2157" i="29"/>
  <c r="L2157" i="29" s="1"/>
  <c r="N2354" i="29" s="1"/>
  <c r="G2158" i="29"/>
  <c r="L2158" i="29" s="1"/>
  <c r="N2355" i="29" s="1"/>
  <c r="G2159" i="29"/>
  <c r="L2159" i="29" s="1"/>
  <c r="N2356" i="29" s="1"/>
  <c r="G2160" i="29"/>
  <c r="L2160" i="29" s="1"/>
  <c r="N2357" i="29" s="1"/>
  <c r="G2161" i="29"/>
  <c r="L2161" i="29" s="1"/>
  <c r="N2358" i="29" s="1"/>
  <c r="G2162" i="29"/>
  <c r="L2162" i="29" s="1"/>
  <c r="N2359" i="29" s="1"/>
  <c r="G2163" i="29"/>
  <c r="L2163" i="29" s="1"/>
  <c r="N2360" i="29" s="1"/>
  <c r="G2164" i="29"/>
  <c r="L2164" i="29" s="1"/>
  <c r="N2361" i="29" s="1"/>
  <c r="G2165" i="29"/>
  <c r="L2165" i="29" s="1"/>
  <c r="N2362" i="29" s="1"/>
  <c r="G2166" i="29"/>
  <c r="L2166" i="29" s="1"/>
  <c r="N2363" i="29" s="1"/>
  <c r="G2167" i="29"/>
  <c r="L2167" i="29" s="1"/>
  <c r="N2364" i="29" s="1"/>
  <c r="G2168" i="29"/>
  <c r="L2168" i="29" s="1"/>
  <c r="N2365" i="29" s="1"/>
  <c r="J1972" i="29"/>
  <c r="J1973" i="29"/>
  <c r="J1974" i="29"/>
  <c r="J1975" i="29"/>
  <c r="J1976" i="29"/>
  <c r="J1977" i="29"/>
  <c r="J1978" i="29"/>
  <c r="J1979" i="29"/>
  <c r="J1980" i="29"/>
  <c r="J1981" i="29"/>
  <c r="J1982" i="29"/>
  <c r="J1983" i="29"/>
  <c r="J1984" i="29"/>
  <c r="J1985" i="29"/>
  <c r="J1986" i="29"/>
  <c r="J1987" i="29"/>
  <c r="J1988" i="29"/>
  <c r="J1989" i="29"/>
  <c r="J1990" i="29"/>
  <c r="J1991" i="29"/>
  <c r="J1992" i="29"/>
  <c r="J1993" i="29"/>
  <c r="J1994" i="29"/>
  <c r="J1995" i="29"/>
  <c r="J1996" i="29"/>
  <c r="J1997" i="29"/>
  <c r="J1998" i="29"/>
  <c r="J1999" i="29"/>
  <c r="J2000" i="29"/>
  <c r="J2001" i="29"/>
  <c r="J2002" i="29"/>
  <c r="J2003" i="29"/>
  <c r="J2004" i="29"/>
  <c r="J2005" i="29"/>
  <c r="J2006" i="29"/>
  <c r="J2007" i="29"/>
  <c r="J2008" i="29"/>
  <c r="J2009" i="29"/>
  <c r="J2010" i="29"/>
  <c r="J2011" i="29"/>
  <c r="J2012" i="29"/>
  <c r="J2013" i="29"/>
  <c r="J2014" i="29"/>
  <c r="J2015" i="29"/>
  <c r="J2016" i="29"/>
  <c r="J2017" i="29"/>
  <c r="J2018" i="29"/>
  <c r="J2019" i="29"/>
  <c r="J2020" i="29"/>
  <c r="J2021" i="29"/>
  <c r="J2022" i="29"/>
  <c r="J2023" i="29"/>
  <c r="J2024" i="29"/>
  <c r="J2025" i="29"/>
  <c r="J2026" i="29"/>
  <c r="J2027" i="29"/>
  <c r="J2028" i="29"/>
  <c r="J2029" i="29"/>
  <c r="J2030" i="29"/>
  <c r="J2031" i="29"/>
  <c r="J2032" i="29"/>
  <c r="J2033" i="29"/>
  <c r="J2034" i="29"/>
  <c r="J2035" i="29"/>
  <c r="J2036" i="29"/>
  <c r="J2037" i="29"/>
  <c r="J2038" i="29"/>
  <c r="J2039" i="29"/>
  <c r="J2040" i="29"/>
  <c r="J2041" i="29"/>
  <c r="J2042" i="29"/>
  <c r="J2043" i="29"/>
  <c r="J2044" i="29"/>
  <c r="J2045" i="29"/>
  <c r="J2046" i="29"/>
  <c r="J2047" i="29"/>
  <c r="J2048" i="29"/>
  <c r="J2049" i="29"/>
  <c r="J2050" i="29"/>
  <c r="J2051" i="29"/>
  <c r="J2052" i="29"/>
  <c r="J2053" i="29"/>
  <c r="J2054" i="29"/>
  <c r="J2055" i="29"/>
  <c r="J2056" i="29"/>
  <c r="J2057" i="29"/>
  <c r="J2058" i="29"/>
  <c r="J2059" i="29"/>
  <c r="J2060" i="29"/>
  <c r="J2061" i="29"/>
  <c r="J2062" i="29"/>
  <c r="J2063" i="29"/>
  <c r="J2064" i="29"/>
  <c r="J2065" i="29"/>
  <c r="J2066" i="29"/>
  <c r="J2067" i="29"/>
  <c r="J2068" i="29"/>
  <c r="J2069" i="29"/>
  <c r="J2070" i="29"/>
  <c r="J2071" i="29"/>
  <c r="J2072" i="29"/>
  <c r="J2073" i="29"/>
  <c r="J2074" i="29"/>
  <c r="J2075" i="29"/>
  <c r="J2076" i="29"/>
  <c r="J2077" i="29"/>
  <c r="J2078" i="29"/>
  <c r="J2079" i="29"/>
  <c r="J2080" i="29"/>
  <c r="J2081" i="29"/>
  <c r="J2082" i="29"/>
  <c r="J2083" i="29"/>
  <c r="J2084" i="29"/>
  <c r="J2085" i="29"/>
  <c r="J2086" i="29"/>
  <c r="J2087" i="29"/>
  <c r="J2088" i="29"/>
  <c r="J2089" i="29"/>
  <c r="J2090" i="29"/>
  <c r="J2091" i="29"/>
  <c r="J2092" i="29"/>
  <c r="J2093" i="29"/>
  <c r="J2094" i="29"/>
  <c r="J2095" i="29"/>
  <c r="J2096" i="29"/>
  <c r="J2097" i="29"/>
  <c r="J2098" i="29"/>
  <c r="J2099" i="29"/>
  <c r="J2100" i="29"/>
  <c r="J2101" i="29"/>
  <c r="J2102" i="29"/>
  <c r="J2103" i="29"/>
  <c r="J2104" i="29"/>
  <c r="J2105" i="29"/>
  <c r="J2106" i="29"/>
  <c r="J2107" i="29"/>
  <c r="J2108" i="29"/>
  <c r="J2109" i="29"/>
  <c r="J2110" i="29"/>
  <c r="J2111" i="29"/>
  <c r="J2112" i="29"/>
  <c r="J2113" i="29"/>
  <c r="J2114" i="29"/>
  <c r="J2115" i="29"/>
  <c r="J2116" i="29"/>
  <c r="J2117" i="29"/>
  <c r="J2118" i="29"/>
  <c r="J2119" i="29"/>
  <c r="J2120" i="29"/>
  <c r="J2121" i="29"/>
  <c r="J2122" i="29"/>
  <c r="J2123" i="29"/>
  <c r="J2124" i="29"/>
  <c r="J2125" i="29"/>
  <c r="J2126" i="29"/>
  <c r="J2127" i="29"/>
  <c r="J2128" i="29"/>
  <c r="J2129" i="29"/>
  <c r="J2130" i="29"/>
  <c r="J2131" i="29"/>
  <c r="J2132" i="29"/>
  <c r="J2133" i="29"/>
  <c r="J2134" i="29"/>
  <c r="J2135" i="29"/>
  <c r="J2136" i="29"/>
  <c r="J2137" i="29"/>
  <c r="J2138" i="29"/>
  <c r="J2139" i="29"/>
  <c r="J2140" i="29"/>
  <c r="J2141" i="29"/>
  <c r="J2142" i="29"/>
  <c r="J2143" i="29"/>
  <c r="J2144" i="29"/>
  <c r="J2145" i="29"/>
  <c r="J2146" i="29"/>
  <c r="J2147" i="29"/>
  <c r="J2148" i="29"/>
  <c r="J2149" i="29"/>
  <c r="J2150" i="29"/>
  <c r="J2151" i="29"/>
  <c r="J2152" i="29"/>
  <c r="J2153" i="29"/>
  <c r="J2154" i="29"/>
  <c r="J2155" i="29"/>
  <c r="J2156" i="29"/>
  <c r="J2157" i="29"/>
  <c r="J2158" i="29"/>
  <c r="J2159" i="29"/>
  <c r="J2160" i="29"/>
  <c r="J2161" i="29"/>
  <c r="J2162" i="29"/>
  <c r="J2163" i="29"/>
  <c r="J2164" i="29"/>
  <c r="J2165" i="29"/>
  <c r="J2166" i="29"/>
  <c r="J2167" i="29"/>
  <c r="J2168" i="29"/>
  <c r="K1972" i="29"/>
  <c r="K1973" i="29"/>
  <c r="K1974" i="29"/>
  <c r="K1975" i="29"/>
  <c r="K1976" i="29"/>
  <c r="K1977" i="29"/>
  <c r="K1978" i="29"/>
  <c r="K1979" i="29"/>
  <c r="K1980" i="29"/>
  <c r="K1981" i="29"/>
  <c r="K1982" i="29"/>
  <c r="K1983" i="29"/>
  <c r="K1984" i="29"/>
  <c r="K1985" i="29"/>
  <c r="K1986" i="29"/>
  <c r="K1987" i="29"/>
  <c r="K1988" i="29"/>
  <c r="K1989" i="29"/>
  <c r="K1990" i="29"/>
  <c r="K1991" i="29"/>
  <c r="K1992" i="29"/>
  <c r="K1993" i="29"/>
  <c r="K1994" i="29"/>
  <c r="K1995" i="29"/>
  <c r="K1996" i="29"/>
  <c r="K1997" i="29"/>
  <c r="K1998" i="29"/>
  <c r="K1999" i="29"/>
  <c r="K2000" i="29"/>
  <c r="K2001" i="29"/>
  <c r="K2002" i="29"/>
  <c r="K2003" i="29"/>
  <c r="K2004" i="29"/>
  <c r="K2005" i="29"/>
  <c r="K2006" i="29"/>
  <c r="K2007" i="29"/>
  <c r="K2008" i="29"/>
  <c r="K2009" i="29"/>
  <c r="K2010" i="29"/>
  <c r="K2011" i="29"/>
  <c r="K2012" i="29"/>
  <c r="K2013" i="29"/>
  <c r="K2014" i="29"/>
  <c r="K2015" i="29"/>
  <c r="K2016" i="29"/>
  <c r="K2017" i="29"/>
  <c r="K2018" i="29"/>
  <c r="K2019" i="29"/>
  <c r="K2020" i="29"/>
  <c r="K2021" i="29"/>
  <c r="K2022" i="29"/>
  <c r="K2023" i="29"/>
  <c r="K2024" i="29"/>
  <c r="K2025" i="29"/>
  <c r="K2026" i="29"/>
  <c r="K2027" i="29"/>
  <c r="K2028" i="29"/>
  <c r="K2029" i="29"/>
  <c r="K2030" i="29"/>
  <c r="K2031" i="29"/>
  <c r="K2032" i="29"/>
  <c r="K2033" i="29"/>
  <c r="K2034" i="29"/>
  <c r="K2035" i="29"/>
  <c r="K2036" i="29"/>
  <c r="K2037" i="29"/>
  <c r="K2038" i="29"/>
  <c r="K2039" i="29"/>
  <c r="K2040" i="29"/>
  <c r="K2041" i="29"/>
  <c r="K2042" i="29"/>
  <c r="K2043" i="29"/>
  <c r="K2044" i="29"/>
  <c r="K2045" i="29"/>
  <c r="K2046" i="29"/>
  <c r="K2047" i="29"/>
  <c r="K2048" i="29"/>
  <c r="K2049" i="29"/>
  <c r="K2050" i="29"/>
  <c r="K2051" i="29"/>
  <c r="K2052" i="29"/>
  <c r="K2053" i="29"/>
  <c r="K2054" i="29"/>
  <c r="K2055" i="29"/>
  <c r="K2056" i="29"/>
  <c r="K2057" i="29"/>
  <c r="K2058" i="29"/>
  <c r="K2059" i="29"/>
  <c r="K2060" i="29"/>
  <c r="K2061" i="29"/>
  <c r="K2062" i="29"/>
  <c r="K2063" i="29"/>
  <c r="K2064" i="29"/>
  <c r="K2065" i="29"/>
  <c r="K2066" i="29"/>
  <c r="K2067" i="29"/>
  <c r="K2068" i="29"/>
  <c r="K2069" i="29"/>
  <c r="K2070" i="29"/>
  <c r="K2071" i="29"/>
  <c r="K2072" i="29"/>
  <c r="K2073" i="29"/>
  <c r="K2074" i="29"/>
  <c r="K2075" i="29"/>
  <c r="K2076" i="29"/>
  <c r="K2077" i="29"/>
  <c r="K2078" i="29"/>
  <c r="K2079" i="29"/>
  <c r="K2080" i="29"/>
  <c r="K2081" i="29"/>
  <c r="K2082" i="29"/>
  <c r="K2083" i="29"/>
  <c r="K2084" i="29"/>
  <c r="K2085" i="29"/>
  <c r="K2086" i="29"/>
  <c r="K2087" i="29"/>
  <c r="K2088" i="29"/>
  <c r="K2089" i="29"/>
  <c r="K2090" i="29"/>
  <c r="K2091" i="29"/>
  <c r="K2092" i="29"/>
  <c r="K2093" i="29"/>
  <c r="K2094" i="29"/>
  <c r="K2095" i="29"/>
  <c r="K2096" i="29"/>
  <c r="K2097" i="29"/>
  <c r="K2098" i="29"/>
  <c r="K2099" i="29"/>
  <c r="K2100" i="29"/>
  <c r="K2101" i="29"/>
  <c r="K2102" i="29"/>
  <c r="K2103" i="29"/>
  <c r="K2104" i="29"/>
  <c r="K2105" i="29"/>
  <c r="K2106" i="29"/>
  <c r="K2107" i="29"/>
  <c r="K2108" i="29"/>
  <c r="K2109" i="29"/>
  <c r="K2110" i="29"/>
  <c r="K2111" i="29"/>
  <c r="K2112" i="29"/>
  <c r="K2113" i="29"/>
  <c r="K2114" i="29"/>
  <c r="K2115" i="29"/>
  <c r="K2116" i="29"/>
  <c r="K2117" i="29"/>
  <c r="K2118" i="29"/>
  <c r="K2119" i="29"/>
  <c r="K2120" i="29"/>
  <c r="K2121" i="29"/>
  <c r="K2122" i="29"/>
  <c r="K2123" i="29"/>
  <c r="K2124" i="29"/>
  <c r="K2125" i="29"/>
  <c r="K2126" i="29"/>
  <c r="K2127" i="29"/>
  <c r="K2128" i="29"/>
  <c r="K2129" i="29"/>
  <c r="K2130" i="29"/>
  <c r="K2131" i="29"/>
  <c r="K2132" i="29"/>
  <c r="K2133" i="29"/>
  <c r="K2134" i="29"/>
  <c r="K2135" i="29"/>
  <c r="K2136" i="29"/>
  <c r="K2137" i="29"/>
  <c r="K2138" i="29"/>
  <c r="K2139" i="29"/>
  <c r="K2140" i="29"/>
  <c r="K2141" i="29"/>
  <c r="K2142" i="29"/>
  <c r="K2143" i="29"/>
  <c r="K2144" i="29"/>
  <c r="K2145" i="29"/>
  <c r="K2146" i="29"/>
  <c r="K2147" i="29"/>
  <c r="K2148" i="29"/>
  <c r="K2149" i="29"/>
  <c r="K2150" i="29"/>
  <c r="K2151" i="29"/>
  <c r="K2152" i="29"/>
  <c r="K2153" i="29"/>
  <c r="K2154" i="29"/>
  <c r="K2155" i="29"/>
  <c r="K2156" i="29"/>
  <c r="K2157" i="29"/>
  <c r="K2158" i="29"/>
  <c r="K2159" i="29"/>
  <c r="K2160" i="29"/>
  <c r="K2161" i="29"/>
  <c r="K2162" i="29"/>
  <c r="K2163" i="29"/>
  <c r="K2164" i="29"/>
  <c r="K2165" i="29"/>
  <c r="K2166" i="29"/>
  <c r="K2167" i="29"/>
  <c r="K2168" i="29"/>
  <c r="Q1972" i="29"/>
  <c r="Q1973" i="29"/>
  <c r="Q1974" i="29"/>
  <c r="Q1975" i="29"/>
  <c r="Q1976" i="29"/>
  <c r="Q1977" i="29"/>
  <c r="Q1978" i="29"/>
  <c r="Q1979" i="29"/>
  <c r="Q1980" i="29"/>
  <c r="Q1981" i="29"/>
  <c r="Q1982" i="29"/>
  <c r="Q1983" i="29"/>
  <c r="Q1984" i="29"/>
  <c r="Q1985" i="29"/>
  <c r="Q1986" i="29"/>
  <c r="Q1987" i="29"/>
  <c r="Q1988" i="29"/>
  <c r="Q1989" i="29"/>
  <c r="Q1990" i="29"/>
  <c r="Q1991" i="29"/>
  <c r="Q1992" i="29"/>
  <c r="Q1993" i="29"/>
  <c r="Q1994" i="29"/>
  <c r="Q1995" i="29"/>
  <c r="Q1996" i="29"/>
  <c r="Q1997" i="29"/>
  <c r="Q1998" i="29"/>
  <c r="Q1999" i="29"/>
  <c r="Q2000" i="29"/>
  <c r="Q2001" i="29"/>
  <c r="Q2002" i="29"/>
  <c r="Q2003" i="29"/>
  <c r="Q2004" i="29"/>
  <c r="Q2005" i="29"/>
  <c r="Q2006" i="29"/>
  <c r="Q2007" i="29"/>
  <c r="Q2008" i="29"/>
  <c r="Q2009" i="29"/>
  <c r="Q2010" i="29"/>
  <c r="Q2011" i="29"/>
  <c r="Q2012" i="29"/>
  <c r="Q2013" i="29"/>
  <c r="Q2014" i="29"/>
  <c r="Q2015" i="29"/>
  <c r="Q2016" i="29"/>
  <c r="Q2017" i="29"/>
  <c r="Q2018" i="29"/>
  <c r="Q2019" i="29"/>
  <c r="Q2020" i="29"/>
  <c r="Q2021" i="29"/>
  <c r="Q2022" i="29"/>
  <c r="Q2023" i="29"/>
  <c r="Q2024" i="29"/>
  <c r="Q2025" i="29"/>
  <c r="Q2026" i="29"/>
  <c r="Q2027" i="29"/>
  <c r="Q2028" i="29"/>
  <c r="Q2029" i="29"/>
  <c r="Q2030" i="29"/>
  <c r="Q2031" i="29"/>
  <c r="Q2032" i="29"/>
  <c r="Q2033" i="29"/>
  <c r="Q2034" i="29"/>
  <c r="Q2035" i="29"/>
  <c r="Q2036" i="29"/>
  <c r="Q2037" i="29"/>
  <c r="Q2038" i="29"/>
  <c r="Q2039" i="29"/>
  <c r="Q2040" i="29"/>
  <c r="Q2041" i="29"/>
  <c r="Q2042" i="29"/>
  <c r="Q2043" i="29"/>
  <c r="Q2044" i="29"/>
  <c r="Q2045" i="29"/>
  <c r="Q2046" i="29"/>
  <c r="Q2047" i="29"/>
  <c r="Q2048" i="29"/>
  <c r="Q2049" i="29"/>
  <c r="Q2050" i="29"/>
  <c r="Q2051" i="29"/>
  <c r="Q2052" i="29"/>
  <c r="Q2053" i="29"/>
  <c r="Q2054" i="29"/>
  <c r="Q2055" i="29"/>
  <c r="Q2056" i="29"/>
  <c r="Q2057" i="29"/>
  <c r="Q2058" i="29"/>
  <c r="Q2059" i="29"/>
  <c r="Q2060" i="29"/>
  <c r="Q2061" i="29"/>
  <c r="Q2062" i="29"/>
  <c r="Q2063" i="29"/>
  <c r="Q2064" i="29"/>
  <c r="Q2065" i="29"/>
  <c r="Q2066" i="29"/>
  <c r="Q2067" i="29"/>
  <c r="Q2068" i="29"/>
  <c r="Q2069" i="29"/>
  <c r="Q2070" i="29"/>
  <c r="Q2071" i="29"/>
  <c r="Q2072" i="29"/>
  <c r="Q2073" i="29"/>
  <c r="Q2074" i="29"/>
  <c r="Q2075" i="29"/>
  <c r="Q2076" i="29"/>
  <c r="Q2077" i="29"/>
  <c r="Q2078" i="29"/>
  <c r="Q2079" i="29"/>
  <c r="Q2080" i="29"/>
  <c r="Q2081" i="29"/>
  <c r="Q2082" i="29"/>
  <c r="Q2083" i="29"/>
  <c r="Q2084" i="29"/>
  <c r="Q2085" i="29"/>
  <c r="Q2086" i="29"/>
  <c r="Q2087" i="29"/>
  <c r="Q2088" i="29"/>
  <c r="Q2089" i="29"/>
  <c r="Q2090" i="29"/>
  <c r="Q2091" i="29"/>
  <c r="Q2092" i="29"/>
  <c r="Q2093" i="29"/>
  <c r="Q2094" i="29"/>
  <c r="Q2095" i="29"/>
  <c r="Q2096" i="29"/>
  <c r="Q2097" i="29"/>
  <c r="Q2098" i="29"/>
  <c r="Q2099" i="29"/>
  <c r="Q2100" i="29"/>
  <c r="Q2101" i="29"/>
  <c r="Q2102" i="29"/>
  <c r="Q2103" i="29"/>
  <c r="Q2104" i="29"/>
  <c r="Q2105" i="29"/>
  <c r="Q2106" i="29"/>
  <c r="Q2107" i="29"/>
  <c r="Q2108" i="29"/>
  <c r="Q2109" i="29"/>
  <c r="Q2110" i="29"/>
  <c r="Q2111" i="29"/>
  <c r="Q2112" i="29"/>
  <c r="Q2113" i="29"/>
  <c r="Q2114" i="29"/>
  <c r="Q2115" i="29"/>
  <c r="Q2116" i="29"/>
  <c r="Q2117" i="29"/>
  <c r="Q2118" i="29"/>
  <c r="Q2119" i="29"/>
  <c r="Q2120" i="29"/>
  <c r="Q2121" i="29"/>
  <c r="Q2122" i="29"/>
  <c r="Q2123" i="29"/>
  <c r="Q2124" i="29"/>
  <c r="Q2125" i="29"/>
  <c r="Q2126" i="29"/>
  <c r="Q2127" i="29"/>
  <c r="Q2128" i="29"/>
  <c r="Q2129" i="29"/>
  <c r="Q2130" i="29"/>
  <c r="Q2131" i="29"/>
  <c r="Q2132" i="29"/>
  <c r="Q2133" i="29"/>
  <c r="Q2134" i="29"/>
  <c r="Q2135" i="29"/>
  <c r="Q2136" i="29"/>
  <c r="Q2137" i="29"/>
  <c r="Q2138" i="29"/>
  <c r="Q2139" i="29"/>
  <c r="Q2140" i="29"/>
  <c r="Q2141" i="29"/>
  <c r="Q2142" i="29"/>
  <c r="Q2143" i="29"/>
  <c r="Q2144" i="29"/>
  <c r="Q2145" i="29"/>
  <c r="Q2146" i="29"/>
  <c r="Q2147" i="29"/>
  <c r="Q2148" i="29"/>
  <c r="Q2149" i="29"/>
  <c r="Q2150" i="29"/>
  <c r="Q2151" i="29"/>
  <c r="Q2152" i="29"/>
  <c r="Q2153" i="29"/>
  <c r="Q2154" i="29"/>
  <c r="Q2155" i="29"/>
  <c r="Q2156" i="29"/>
  <c r="Q2157" i="29"/>
  <c r="Q2158" i="29"/>
  <c r="Q2159" i="29"/>
  <c r="Q2160" i="29"/>
  <c r="Q2161" i="29"/>
  <c r="Q2162" i="29"/>
  <c r="Q2163" i="29"/>
  <c r="Q2164" i="29"/>
  <c r="Q2165" i="29"/>
  <c r="Q2166" i="29"/>
  <c r="Q2167" i="29"/>
  <c r="Q2168" i="29"/>
  <c r="U1972" i="29"/>
  <c r="U1973" i="29"/>
  <c r="U1974" i="29"/>
  <c r="U1975" i="29"/>
  <c r="U1976" i="29"/>
  <c r="U1977" i="29"/>
  <c r="U1978" i="29"/>
  <c r="U1979" i="29"/>
  <c r="U1980" i="29"/>
  <c r="U1981" i="29"/>
  <c r="U1982" i="29"/>
  <c r="U1983" i="29"/>
  <c r="U1984" i="29"/>
  <c r="U1985" i="29"/>
  <c r="U1986" i="29"/>
  <c r="U1987" i="29"/>
  <c r="U1988" i="29"/>
  <c r="U1989" i="29"/>
  <c r="U1990" i="29"/>
  <c r="U1991" i="29"/>
  <c r="U1992" i="29"/>
  <c r="U1993" i="29"/>
  <c r="U1994" i="29"/>
  <c r="U1995" i="29"/>
  <c r="U1996" i="29"/>
  <c r="U1997" i="29"/>
  <c r="U1998" i="29"/>
  <c r="U1999" i="29"/>
  <c r="U2000" i="29"/>
  <c r="U2001" i="29"/>
  <c r="U2002" i="29"/>
  <c r="U2003" i="29"/>
  <c r="U2004" i="29"/>
  <c r="U2005" i="29"/>
  <c r="U2006" i="29"/>
  <c r="U2007" i="29"/>
  <c r="U2008" i="29"/>
  <c r="U2009" i="29"/>
  <c r="U2010" i="29"/>
  <c r="U2011" i="29"/>
  <c r="U2012" i="29"/>
  <c r="U2013" i="29"/>
  <c r="U2014" i="29"/>
  <c r="U2015" i="29"/>
  <c r="U2016" i="29"/>
  <c r="U2017" i="29"/>
  <c r="U2018" i="29"/>
  <c r="U2019" i="29"/>
  <c r="U2020" i="29"/>
  <c r="U2021" i="29"/>
  <c r="U2022" i="29"/>
  <c r="U2023" i="29"/>
  <c r="U2024" i="29"/>
  <c r="U2025" i="29"/>
  <c r="U2026" i="29"/>
  <c r="U2027" i="29"/>
  <c r="U2028" i="29"/>
  <c r="U2029" i="29"/>
  <c r="U2030" i="29"/>
  <c r="U2031" i="29"/>
  <c r="U2032" i="29"/>
  <c r="U2033" i="29"/>
  <c r="U2034" i="29"/>
  <c r="U2035" i="29"/>
  <c r="U2036" i="29"/>
  <c r="U2037" i="29"/>
  <c r="U2038" i="29"/>
  <c r="U2039" i="29"/>
  <c r="U2040" i="29"/>
  <c r="U2041" i="29"/>
  <c r="U2042" i="29"/>
  <c r="U2043" i="29"/>
  <c r="U2044" i="29"/>
  <c r="U2045" i="29"/>
  <c r="U2046" i="29"/>
  <c r="U2047" i="29"/>
  <c r="U2048" i="29"/>
  <c r="U2049" i="29"/>
  <c r="U2050" i="29"/>
  <c r="U2051" i="29"/>
  <c r="U2052" i="29"/>
  <c r="U2053" i="29"/>
  <c r="U2054" i="29"/>
  <c r="U2055" i="29"/>
  <c r="U2056" i="29"/>
  <c r="U2057" i="29"/>
  <c r="U2058" i="29"/>
  <c r="U2059" i="29"/>
  <c r="U2060" i="29"/>
  <c r="U2061" i="29"/>
  <c r="U2062" i="29"/>
  <c r="U2063" i="29"/>
  <c r="U2064" i="29"/>
  <c r="U2065" i="29"/>
  <c r="U2066" i="29"/>
  <c r="U2067" i="29"/>
  <c r="U2068" i="29"/>
  <c r="U2069" i="29"/>
  <c r="U2070" i="29"/>
  <c r="U2071" i="29"/>
  <c r="U2072" i="29"/>
  <c r="U2073" i="29"/>
  <c r="U2074" i="29"/>
  <c r="U2075" i="29"/>
  <c r="U2076" i="29"/>
  <c r="U2077" i="29"/>
  <c r="U2078" i="29"/>
  <c r="U2079" i="29"/>
  <c r="U2080" i="29"/>
  <c r="U2081" i="29"/>
  <c r="U2082" i="29"/>
  <c r="U2083" i="29"/>
  <c r="U2084" i="29"/>
  <c r="U2085" i="29"/>
  <c r="U2086" i="29"/>
  <c r="U2087" i="29"/>
  <c r="U2088" i="29"/>
  <c r="U2089" i="29"/>
  <c r="U2090" i="29"/>
  <c r="U2091" i="29"/>
  <c r="U2092" i="29"/>
  <c r="U2093" i="29"/>
  <c r="U2094" i="29"/>
  <c r="U2095" i="29"/>
  <c r="U2096" i="29"/>
  <c r="U2097" i="29"/>
  <c r="U2098" i="29"/>
  <c r="U2099" i="29"/>
  <c r="U2100" i="29"/>
  <c r="U2101" i="29"/>
  <c r="U2102" i="29"/>
  <c r="U2103" i="29"/>
  <c r="U2104" i="29"/>
  <c r="U2105" i="29"/>
  <c r="U2106" i="29"/>
  <c r="U2107" i="29"/>
  <c r="U2108" i="29"/>
  <c r="U2109" i="29"/>
  <c r="U2110" i="29"/>
  <c r="U2111" i="29"/>
  <c r="U2112" i="29"/>
  <c r="U2113" i="29"/>
  <c r="U2114" i="29"/>
  <c r="U2115" i="29"/>
  <c r="U2116" i="29"/>
  <c r="U2117" i="29"/>
  <c r="U2118" i="29"/>
  <c r="U2119" i="29"/>
  <c r="U2120" i="29"/>
  <c r="U2121" i="29"/>
  <c r="U2122" i="29"/>
  <c r="U2123" i="29"/>
  <c r="U2124" i="29"/>
  <c r="U2125" i="29"/>
  <c r="U2126" i="29"/>
  <c r="U2127" i="29"/>
  <c r="U2128" i="29"/>
  <c r="U2129" i="29"/>
  <c r="U2130" i="29"/>
  <c r="U2131" i="29"/>
  <c r="U2132" i="29"/>
  <c r="U2133" i="29"/>
  <c r="U2134" i="29"/>
  <c r="U2135" i="29"/>
  <c r="U2136" i="29"/>
  <c r="U2137" i="29"/>
  <c r="U2138" i="29"/>
  <c r="U2139" i="29"/>
  <c r="U2140" i="29"/>
  <c r="U2141" i="29"/>
  <c r="U2142" i="29"/>
  <c r="U2143" i="29"/>
  <c r="U2144" i="29"/>
  <c r="U2145" i="29"/>
  <c r="U2146" i="29"/>
  <c r="U2147" i="29"/>
  <c r="U2148" i="29"/>
  <c r="U2150" i="29"/>
  <c r="U2151" i="29"/>
  <c r="U2152" i="29"/>
  <c r="U2153" i="29"/>
  <c r="U2154" i="29"/>
  <c r="U2155" i="29"/>
  <c r="U2156" i="29"/>
  <c r="U2157" i="29"/>
  <c r="U2158" i="29"/>
  <c r="U2159" i="29"/>
  <c r="U2160" i="29"/>
  <c r="U2161" i="29"/>
  <c r="U2162" i="29"/>
  <c r="U2163" i="29"/>
  <c r="U2164" i="29"/>
  <c r="U2165" i="29"/>
  <c r="U2166" i="29"/>
  <c r="U2167" i="29"/>
  <c r="U2168" i="29"/>
  <c r="U2" i="29"/>
  <c r="U3" i="29"/>
  <c r="U4" i="29"/>
  <c r="U5" i="29"/>
  <c r="U6" i="29"/>
  <c r="U7" i="29"/>
  <c r="U8" i="29"/>
  <c r="U9" i="29"/>
  <c r="U10" i="29"/>
  <c r="U11" i="29"/>
  <c r="U12" i="29"/>
  <c r="U13" i="29"/>
  <c r="U14" i="29"/>
  <c r="U15" i="29"/>
  <c r="U16" i="29"/>
  <c r="U17" i="29"/>
  <c r="U18" i="29"/>
  <c r="U19" i="29"/>
  <c r="U20" i="29"/>
  <c r="U21" i="29"/>
  <c r="U22" i="29"/>
  <c r="U23" i="29"/>
  <c r="U24" i="29"/>
  <c r="U25" i="29"/>
  <c r="U26" i="29"/>
  <c r="U27" i="29"/>
  <c r="U28" i="29"/>
  <c r="U29" i="29"/>
  <c r="U30" i="29"/>
  <c r="U31" i="29"/>
  <c r="U32" i="29"/>
  <c r="U33" i="29"/>
  <c r="U34" i="29"/>
  <c r="U35" i="29"/>
  <c r="U36" i="29"/>
  <c r="U37" i="29"/>
  <c r="U38" i="29"/>
  <c r="U39" i="29"/>
  <c r="U40" i="29"/>
  <c r="U41" i="29"/>
  <c r="U42" i="29"/>
  <c r="U43" i="29"/>
  <c r="U44" i="29"/>
  <c r="U45" i="29"/>
  <c r="U46" i="29"/>
  <c r="U47" i="29"/>
  <c r="U48" i="29"/>
  <c r="U49" i="29"/>
  <c r="U50" i="29"/>
  <c r="U51" i="29"/>
  <c r="U52" i="29"/>
  <c r="U53" i="29"/>
  <c r="U54" i="29"/>
  <c r="U55" i="29"/>
  <c r="U56" i="29"/>
  <c r="U57" i="29"/>
  <c r="U58" i="29"/>
  <c r="U59" i="29"/>
  <c r="U60" i="29"/>
  <c r="U61" i="29"/>
  <c r="U62" i="29"/>
  <c r="U63" i="29"/>
  <c r="U64" i="29"/>
  <c r="U65" i="29"/>
  <c r="U66" i="29"/>
  <c r="U67" i="29"/>
  <c r="U68" i="29"/>
  <c r="U69" i="29"/>
  <c r="U70" i="29"/>
  <c r="U71" i="29"/>
  <c r="U72" i="29"/>
  <c r="U73" i="29"/>
  <c r="U74" i="29"/>
  <c r="U75" i="29"/>
  <c r="U76" i="29"/>
  <c r="U77" i="29"/>
  <c r="U78" i="29"/>
  <c r="U79" i="29"/>
  <c r="U80" i="29"/>
  <c r="U81" i="29"/>
  <c r="U82" i="29"/>
  <c r="U83" i="29"/>
  <c r="U84" i="29"/>
  <c r="U85" i="29"/>
  <c r="U86" i="29"/>
  <c r="U87" i="29"/>
  <c r="U88" i="29"/>
  <c r="U89" i="29"/>
  <c r="U90" i="29"/>
  <c r="U91" i="29"/>
  <c r="U92" i="29"/>
  <c r="U93" i="29"/>
  <c r="U94" i="29"/>
  <c r="U95" i="29"/>
  <c r="U96" i="29"/>
  <c r="U97" i="29"/>
  <c r="U98" i="29"/>
  <c r="U99" i="29"/>
  <c r="U100" i="29"/>
  <c r="U101" i="29"/>
  <c r="U102" i="29"/>
  <c r="U103" i="29"/>
  <c r="U104" i="29"/>
  <c r="U105" i="29"/>
  <c r="U106" i="29"/>
  <c r="U107" i="29"/>
  <c r="U108" i="29"/>
  <c r="U109" i="29"/>
  <c r="U110" i="29"/>
  <c r="U111" i="29"/>
  <c r="U112" i="29"/>
  <c r="U113" i="29"/>
  <c r="U114" i="29"/>
  <c r="U115" i="29"/>
  <c r="U116" i="29"/>
  <c r="U117" i="29"/>
  <c r="U118" i="29"/>
  <c r="U119" i="29"/>
  <c r="U120" i="29"/>
  <c r="U121" i="29"/>
  <c r="U122" i="29"/>
  <c r="U123" i="29"/>
  <c r="U124" i="29"/>
  <c r="U125" i="29"/>
  <c r="U126" i="29"/>
  <c r="U127" i="29"/>
  <c r="U128" i="29"/>
  <c r="U129" i="29"/>
  <c r="U130" i="29"/>
  <c r="U131" i="29"/>
  <c r="U132" i="29"/>
  <c r="U133" i="29"/>
  <c r="U134" i="29"/>
  <c r="U135" i="29"/>
  <c r="U136" i="29"/>
  <c r="U137" i="29"/>
  <c r="U138" i="29"/>
  <c r="U139" i="29"/>
  <c r="U140" i="29"/>
  <c r="U141" i="29"/>
  <c r="U142" i="29"/>
  <c r="U143" i="29"/>
  <c r="U144" i="29"/>
  <c r="U145" i="29"/>
  <c r="U146" i="29"/>
  <c r="U147" i="29"/>
  <c r="U148" i="29"/>
  <c r="U149" i="29"/>
  <c r="U150" i="29"/>
  <c r="U151" i="29"/>
  <c r="U152" i="29"/>
  <c r="U153" i="29"/>
  <c r="U154" i="29"/>
  <c r="U155" i="29"/>
  <c r="U156" i="29"/>
  <c r="U157" i="29"/>
  <c r="U158" i="29"/>
  <c r="U159" i="29"/>
  <c r="U160" i="29"/>
  <c r="U161" i="29"/>
  <c r="U162" i="29"/>
  <c r="U163" i="29"/>
  <c r="U164" i="29"/>
  <c r="U165" i="29"/>
  <c r="U166" i="29"/>
  <c r="U167" i="29"/>
  <c r="U168" i="29"/>
  <c r="U169" i="29"/>
  <c r="U170" i="29"/>
  <c r="U171" i="29"/>
  <c r="U172" i="29"/>
  <c r="U173" i="29"/>
  <c r="U174" i="29"/>
  <c r="U175" i="29"/>
  <c r="U176" i="29"/>
  <c r="U177" i="29"/>
  <c r="U178" i="29"/>
  <c r="U179" i="29"/>
  <c r="U180" i="29"/>
  <c r="U181" i="29"/>
  <c r="U182" i="29"/>
  <c r="U183" i="29"/>
  <c r="U184" i="29"/>
  <c r="U185" i="29"/>
  <c r="U186" i="29"/>
  <c r="U187" i="29"/>
  <c r="U188" i="29"/>
  <c r="U189" i="29"/>
  <c r="U190" i="29"/>
  <c r="U191" i="29"/>
  <c r="U192" i="29"/>
  <c r="U193" i="29"/>
  <c r="U194" i="29"/>
  <c r="U195" i="29"/>
  <c r="U196" i="29"/>
  <c r="U197" i="29"/>
  <c r="U198" i="29"/>
  <c r="U200" i="29"/>
  <c r="U201" i="29"/>
  <c r="U202" i="29"/>
  <c r="U203" i="29"/>
  <c r="U204" i="29"/>
  <c r="U205" i="29"/>
  <c r="U206" i="29"/>
  <c r="U207" i="29"/>
  <c r="U208" i="29"/>
  <c r="U210" i="29"/>
  <c r="U211" i="29"/>
  <c r="U212" i="29"/>
  <c r="U213" i="29"/>
  <c r="U214" i="29"/>
  <c r="U215" i="29"/>
  <c r="U216" i="29"/>
  <c r="U217" i="29"/>
  <c r="U218" i="29"/>
  <c r="U219" i="29"/>
  <c r="U220" i="29"/>
  <c r="U221" i="29"/>
  <c r="U222" i="29"/>
  <c r="U223" i="29"/>
  <c r="U224" i="29"/>
  <c r="U225" i="29"/>
  <c r="U226" i="29"/>
  <c r="U227" i="29"/>
  <c r="U228" i="29"/>
  <c r="U229" i="29"/>
  <c r="U230" i="29"/>
  <c r="U231" i="29"/>
  <c r="U232" i="29"/>
  <c r="U233" i="29"/>
  <c r="U234" i="29"/>
  <c r="U235" i="29"/>
  <c r="U236" i="29"/>
  <c r="U237" i="29"/>
  <c r="U238" i="29"/>
  <c r="U239" i="29"/>
  <c r="U240" i="29"/>
  <c r="U241" i="29"/>
  <c r="U242" i="29"/>
  <c r="U243" i="29"/>
  <c r="U244" i="29"/>
  <c r="U245" i="29"/>
  <c r="U246" i="29"/>
  <c r="U247" i="29"/>
  <c r="U248" i="29"/>
  <c r="U249" i="29"/>
  <c r="U250" i="29"/>
  <c r="U251" i="29"/>
  <c r="U253" i="29"/>
  <c r="U255" i="29"/>
  <c r="U256" i="29"/>
  <c r="U257" i="29"/>
  <c r="U258" i="29"/>
  <c r="U259" i="29"/>
  <c r="U260" i="29"/>
  <c r="U261" i="29"/>
  <c r="U262" i="29"/>
  <c r="U263" i="29"/>
  <c r="U264" i="29"/>
  <c r="U265" i="29"/>
  <c r="U266" i="29"/>
  <c r="U267" i="29"/>
  <c r="U268" i="29"/>
  <c r="U269" i="29"/>
  <c r="U270" i="29"/>
  <c r="U271" i="29"/>
  <c r="U272" i="29"/>
  <c r="U273" i="29"/>
  <c r="U274" i="29"/>
  <c r="U275" i="29"/>
  <c r="U276" i="29"/>
  <c r="U277" i="29"/>
  <c r="U278" i="29"/>
  <c r="U279" i="29"/>
  <c r="U280" i="29"/>
  <c r="U281" i="29"/>
  <c r="U283" i="29"/>
  <c r="U284" i="29"/>
  <c r="U286" i="29"/>
  <c r="U287" i="29"/>
  <c r="U288" i="29"/>
  <c r="U289" i="29"/>
  <c r="U290" i="29"/>
  <c r="U291" i="29"/>
  <c r="U292" i="29"/>
  <c r="U293" i="29"/>
  <c r="U294" i="29"/>
  <c r="U295" i="29"/>
  <c r="U296" i="29"/>
  <c r="U297" i="29"/>
  <c r="U298" i="29"/>
  <c r="U299" i="29"/>
  <c r="U300" i="29"/>
  <c r="U301" i="29"/>
  <c r="U302" i="29"/>
  <c r="U303" i="29"/>
  <c r="U304" i="29"/>
  <c r="U305" i="29"/>
  <c r="U306" i="29"/>
  <c r="U309" i="29"/>
  <c r="U311" i="29"/>
  <c r="U313" i="29"/>
  <c r="U314" i="29"/>
  <c r="U315" i="29"/>
  <c r="U316" i="29"/>
  <c r="U317" i="29"/>
  <c r="U318" i="29"/>
  <c r="U319" i="29"/>
  <c r="U320" i="29"/>
  <c r="U321" i="29"/>
  <c r="U322" i="29"/>
  <c r="U323" i="29"/>
  <c r="U324" i="29"/>
  <c r="U325" i="29"/>
  <c r="U326" i="29"/>
  <c r="U328" i="29"/>
  <c r="U329" i="29"/>
  <c r="U330" i="29"/>
  <c r="U331" i="29"/>
  <c r="U333" i="29"/>
  <c r="U334" i="29"/>
  <c r="U335" i="29"/>
  <c r="U336" i="29"/>
  <c r="U337" i="29"/>
  <c r="U338" i="29"/>
  <c r="U339" i="29"/>
  <c r="U340" i="29"/>
  <c r="U341" i="29"/>
  <c r="U342" i="29"/>
  <c r="U343" i="29"/>
  <c r="U344" i="29"/>
  <c r="U345" i="29"/>
  <c r="U346" i="29"/>
  <c r="U347" i="29"/>
  <c r="U349" i="29"/>
  <c r="U350" i="29"/>
  <c r="U351" i="29"/>
  <c r="U352" i="29"/>
  <c r="U354" i="29"/>
  <c r="U355" i="29"/>
  <c r="U356" i="29"/>
  <c r="U357" i="29"/>
  <c r="U358" i="29"/>
  <c r="U359" i="29"/>
  <c r="U360" i="29"/>
  <c r="U361" i="29"/>
  <c r="U362" i="29"/>
  <c r="U363" i="29"/>
  <c r="U364" i="29"/>
  <c r="U365" i="29"/>
  <c r="U366" i="29"/>
  <c r="U368" i="29"/>
  <c r="U369" i="29"/>
  <c r="U370" i="29"/>
  <c r="U371" i="29"/>
  <c r="U372" i="29"/>
  <c r="U373" i="29"/>
  <c r="U374" i="29"/>
  <c r="U377" i="29"/>
  <c r="U378" i="29"/>
  <c r="U379" i="29"/>
  <c r="U380" i="29"/>
  <c r="U381" i="29"/>
  <c r="U382" i="29"/>
  <c r="U383" i="29"/>
  <c r="U384" i="29"/>
  <c r="U386" i="29"/>
  <c r="U387" i="29"/>
  <c r="U389" i="29"/>
  <c r="U390" i="29"/>
  <c r="U391" i="29"/>
  <c r="U392" i="29"/>
  <c r="U393" i="29"/>
  <c r="U394" i="29"/>
  <c r="U395" i="29"/>
  <c r="U397" i="29"/>
  <c r="U398" i="29"/>
  <c r="U399" i="29"/>
  <c r="U400" i="29"/>
  <c r="U401" i="29"/>
  <c r="U402" i="29"/>
  <c r="U403" i="29"/>
  <c r="U404" i="29"/>
  <c r="U405" i="29"/>
  <c r="U406" i="29"/>
  <c r="U407" i="29"/>
  <c r="U408" i="29"/>
  <c r="U409" i="29"/>
  <c r="U410" i="29"/>
  <c r="U411" i="29"/>
  <c r="U412" i="29"/>
  <c r="U413" i="29"/>
  <c r="U414" i="29"/>
  <c r="U415" i="29"/>
  <c r="U418" i="29"/>
  <c r="U419" i="29"/>
  <c r="U420" i="29"/>
  <c r="U421" i="29"/>
  <c r="U422" i="29"/>
  <c r="U424" i="29"/>
  <c r="U425" i="29"/>
  <c r="U426" i="29"/>
  <c r="U427" i="29"/>
  <c r="U428" i="29"/>
  <c r="U429" i="29"/>
  <c r="U430" i="29"/>
  <c r="U431" i="29"/>
  <c r="U432" i="29"/>
  <c r="U433" i="29"/>
  <c r="U434" i="29"/>
  <c r="U435" i="29"/>
  <c r="U436" i="29"/>
  <c r="U437" i="29"/>
  <c r="U438" i="29"/>
  <c r="U439" i="29"/>
  <c r="U440" i="29"/>
  <c r="U442" i="29"/>
  <c r="U443" i="29"/>
  <c r="U445" i="29"/>
  <c r="U447" i="29"/>
  <c r="U448" i="29"/>
  <c r="U450" i="29"/>
  <c r="U451" i="29"/>
  <c r="U452" i="29"/>
  <c r="U453" i="29"/>
  <c r="U454" i="29"/>
  <c r="U455" i="29"/>
  <c r="U456" i="29"/>
  <c r="U457" i="29"/>
  <c r="U458" i="29"/>
  <c r="U459" i="29"/>
  <c r="U460" i="29"/>
  <c r="U461" i="29"/>
  <c r="U462" i="29"/>
  <c r="U463" i="29"/>
  <c r="U464" i="29"/>
  <c r="U465" i="29"/>
  <c r="U466" i="29"/>
  <c r="U467" i="29"/>
  <c r="U468" i="29"/>
  <c r="U469" i="29"/>
  <c r="U470" i="29"/>
  <c r="U471" i="29"/>
  <c r="U472" i="29"/>
  <c r="U473" i="29"/>
  <c r="U474" i="29"/>
  <c r="U475" i="29"/>
  <c r="U476" i="29"/>
  <c r="U477" i="29"/>
  <c r="U478" i="29"/>
  <c r="U479" i="29"/>
  <c r="U480" i="29"/>
  <c r="U481" i="29"/>
  <c r="U482" i="29"/>
  <c r="U483" i="29"/>
  <c r="U484" i="29"/>
  <c r="U486" i="29"/>
  <c r="U488" i="29"/>
  <c r="U489" i="29"/>
  <c r="U491" i="29"/>
  <c r="U492" i="29"/>
  <c r="U493" i="29"/>
  <c r="U494" i="29"/>
  <c r="U495" i="29"/>
  <c r="U497" i="29"/>
  <c r="U498" i="29"/>
  <c r="U499" i="29"/>
  <c r="U501" i="29"/>
  <c r="U502" i="29"/>
  <c r="U503" i="29"/>
  <c r="U506" i="29"/>
  <c r="U508" i="29"/>
  <c r="U511" i="29"/>
  <c r="U512" i="29"/>
  <c r="U513" i="29"/>
  <c r="U514" i="29"/>
  <c r="U515" i="29"/>
  <c r="U516" i="29"/>
  <c r="U517" i="29"/>
  <c r="U518" i="29"/>
  <c r="U519" i="29"/>
  <c r="U520" i="29"/>
  <c r="U521" i="29"/>
  <c r="U522" i="29"/>
  <c r="U523" i="29"/>
  <c r="U524" i="29"/>
  <c r="U525" i="29"/>
  <c r="U526" i="29"/>
  <c r="U527" i="29"/>
  <c r="U528" i="29"/>
  <c r="U529" i="29"/>
  <c r="U530" i="29"/>
  <c r="U531" i="29"/>
  <c r="U532" i="29"/>
  <c r="U533" i="29"/>
  <c r="U534" i="29"/>
  <c r="U536" i="29"/>
  <c r="U537" i="29"/>
  <c r="U538" i="29"/>
  <c r="U539" i="29"/>
  <c r="U541" i="29"/>
  <c r="U542" i="29"/>
  <c r="U543" i="29"/>
  <c r="U545" i="29"/>
  <c r="U546" i="29"/>
  <c r="U547" i="29"/>
  <c r="U548" i="29"/>
  <c r="U549" i="29"/>
  <c r="U550" i="29"/>
  <c r="U551" i="29"/>
  <c r="U552" i="29"/>
  <c r="U553" i="29"/>
  <c r="U555" i="29"/>
  <c r="U556" i="29"/>
  <c r="U557" i="29"/>
  <c r="U560" i="29"/>
  <c r="U561" i="29"/>
  <c r="U562" i="29"/>
  <c r="U563" i="29"/>
  <c r="U564" i="29"/>
  <c r="U565" i="29"/>
  <c r="U566" i="29"/>
  <c r="U567" i="29"/>
  <c r="U569" i="29"/>
  <c r="U570" i="29"/>
  <c r="U571" i="29"/>
  <c r="U573" i="29"/>
  <c r="U574" i="29"/>
  <c r="U575" i="29"/>
  <c r="U576" i="29"/>
  <c r="U577" i="29"/>
  <c r="U578" i="29"/>
  <c r="U579" i="29"/>
  <c r="U581" i="29"/>
  <c r="U582" i="29"/>
  <c r="U583" i="29"/>
  <c r="U584" i="29"/>
  <c r="U586" i="29"/>
  <c r="U587" i="29"/>
  <c r="U588" i="29"/>
  <c r="U589" i="29"/>
  <c r="U591" i="29"/>
  <c r="U592" i="29"/>
  <c r="U594" i="29"/>
  <c r="U595" i="29"/>
  <c r="U596" i="29"/>
  <c r="U599" i="29"/>
  <c r="U600" i="29"/>
  <c r="U601" i="29"/>
  <c r="U602" i="29"/>
  <c r="U603" i="29"/>
  <c r="U604" i="29"/>
  <c r="U605" i="29"/>
  <c r="U606" i="29"/>
  <c r="U607" i="29"/>
  <c r="U608" i="29"/>
  <c r="U609" i="29"/>
  <c r="U610" i="29"/>
  <c r="U612" i="29"/>
  <c r="U613" i="29"/>
  <c r="U614" i="29"/>
  <c r="U615" i="29"/>
  <c r="U616" i="29"/>
  <c r="U617" i="29"/>
  <c r="U618" i="29"/>
  <c r="U619" i="29"/>
  <c r="U621" i="29"/>
  <c r="U622" i="29"/>
  <c r="U624" i="29"/>
  <c r="U626" i="29"/>
  <c r="U627" i="29"/>
  <c r="U628" i="29"/>
  <c r="U629" i="29"/>
  <c r="U630" i="29"/>
  <c r="U631" i="29"/>
  <c r="U632" i="29"/>
  <c r="U633" i="29"/>
  <c r="U634" i="29"/>
  <c r="U635" i="29"/>
  <c r="U636" i="29"/>
  <c r="U637" i="29"/>
  <c r="U640" i="29"/>
  <c r="U641" i="29"/>
  <c r="U642" i="29"/>
  <c r="U644" i="29"/>
  <c r="U645" i="29"/>
  <c r="U646" i="29"/>
  <c r="U647" i="29"/>
  <c r="U648" i="29"/>
  <c r="U650" i="29"/>
  <c r="U651" i="29"/>
  <c r="U652" i="29"/>
  <c r="U653" i="29"/>
  <c r="U654" i="29"/>
  <c r="U655" i="29"/>
  <c r="U656" i="29"/>
  <c r="U657" i="29"/>
  <c r="U658" i="29"/>
  <c r="U659" i="29"/>
  <c r="U660" i="29"/>
  <c r="U661" i="29"/>
  <c r="U662" i="29"/>
  <c r="U663" i="29"/>
  <c r="U664" i="29"/>
  <c r="U665" i="29"/>
  <c r="U666" i="29"/>
  <c r="U668" i="29"/>
  <c r="U669" i="29"/>
  <c r="U671" i="29"/>
  <c r="U672" i="29"/>
  <c r="U673" i="29"/>
  <c r="U674" i="29"/>
  <c r="U675" i="29"/>
  <c r="U676" i="29"/>
  <c r="U677" i="29"/>
  <c r="U678" i="29"/>
  <c r="U679" i="29"/>
  <c r="U682" i="29"/>
  <c r="U683" i="29"/>
  <c r="U684" i="29"/>
  <c r="U685" i="29"/>
  <c r="U686" i="29"/>
  <c r="U688" i="29"/>
  <c r="U689" i="29"/>
  <c r="U690" i="29"/>
  <c r="U691" i="29"/>
  <c r="U692" i="29"/>
  <c r="U693" i="29"/>
  <c r="U694" i="29"/>
  <c r="U695" i="29"/>
  <c r="U698" i="29"/>
  <c r="U699" i="29"/>
  <c r="U700" i="29"/>
  <c r="U702" i="29"/>
  <c r="U705" i="29"/>
  <c r="U706" i="29"/>
  <c r="U707" i="29"/>
  <c r="U708" i="29"/>
  <c r="U709" i="29"/>
  <c r="U710" i="29"/>
  <c r="U711" i="29"/>
  <c r="U712" i="29"/>
  <c r="U713" i="29"/>
  <c r="U714" i="29"/>
  <c r="U715" i="29"/>
  <c r="U716" i="29"/>
  <c r="U717" i="29"/>
  <c r="U718" i="29"/>
  <c r="U719" i="29"/>
  <c r="U720" i="29"/>
  <c r="U721" i="29"/>
  <c r="U722" i="29"/>
  <c r="U723" i="29"/>
  <c r="U724" i="29"/>
  <c r="U725" i="29"/>
  <c r="U726" i="29"/>
  <c r="U727" i="29"/>
  <c r="U728" i="29"/>
  <c r="U730" i="29"/>
  <c r="U731" i="29"/>
  <c r="U732" i="29"/>
  <c r="U733" i="29"/>
  <c r="U734" i="29"/>
  <c r="U735" i="29"/>
  <c r="U736" i="29"/>
  <c r="U738" i="29"/>
  <c r="U739" i="29"/>
  <c r="U740" i="29"/>
  <c r="U742" i="29"/>
  <c r="U743" i="29"/>
  <c r="U744" i="29"/>
  <c r="U747" i="29"/>
  <c r="U748" i="29"/>
  <c r="U749" i="29"/>
  <c r="U750" i="29"/>
  <c r="U751" i="29"/>
  <c r="U752" i="29"/>
  <c r="U753" i="29"/>
  <c r="U755" i="29"/>
  <c r="U756" i="29"/>
  <c r="U757" i="29"/>
  <c r="U758" i="29"/>
  <c r="U759" i="29"/>
  <c r="U760" i="29"/>
  <c r="U761" i="29"/>
  <c r="U762" i="29"/>
  <c r="U764" i="29"/>
  <c r="U765" i="29"/>
  <c r="U766" i="29"/>
  <c r="U767" i="29"/>
  <c r="U772" i="29"/>
  <c r="U773" i="29"/>
  <c r="U774" i="29"/>
  <c r="U775" i="29"/>
  <c r="U776" i="29"/>
  <c r="U777" i="29"/>
  <c r="U779" i="29"/>
  <c r="U780" i="29"/>
  <c r="U781" i="29"/>
  <c r="U783" i="29"/>
  <c r="U784" i="29"/>
  <c r="U786" i="29"/>
  <c r="U787" i="29"/>
  <c r="U788" i="29"/>
  <c r="U789" i="29"/>
  <c r="U790" i="29"/>
  <c r="U791" i="29"/>
  <c r="U792" i="29"/>
  <c r="U793" i="29"/>
  <c r="U794" i="29"/>
  <c r="U795" i="29"/>
  <c r="U796" i="29"/>
  <c r="U797" i="29"/>
  <c r="U798" i="29"/>
  <c r="U799" i="29"/>
  <c r="U800" i="29"/>
  <c r="U801" i="29"/>
  <c r="U803" i="29"/>
  <c r="U804" i="29"/>
  <c r="U805" i="29"/>
  <c r="U806" i="29"/>
  <c r="U807" i="29"/>
  <c r="U808" i="29"/>
  <c r="U809" i="29"/>
  <c r="U810" i="29"/>
  <c r="U811" i="29"/>
  <c r="U812" i="29"/>
  <c r="U813" i="29"/>
  <c r="U814" i="29"/>
  <c r="U815" i="29"/>
  <c r="U816" i="29"/>
  <c r="U817" i="29"/>
  <c r="U818" i="29"/>
  <c r="U819" i="29"/>
  <c r="U820" i="29"/>
  <c r="U821" i="29"/>
  <c r="U822" i="29"/>
  <c r="U823" i="29"/>
  <c r="U825" i="29"/>
  <c r="U826" i="29"/>
  <c r="U827" i="29"/>
  <c r="U828" i="29"/>
  <c r="U829" i="29"/>
  <c r="U830" i="29"/>
  <c r="U831" i="29"/>
  <c r="U832" i="29"/>
  <c r="U833" i="29"/>
  <c r="U834" i="29"/>
  <c r="U835" i="29"/>
  <c r="U837" i="29"/>
  <c r="U838" i="29"/>
  <c r="U839" i="29"/>
  <c r="U840" i="29"/>
  <c r="U841" i="29"/>
  <c r="U842" i="29"/>
  <c r="U843" i="29"/>
  <c r="U844" i="29"/>
  <c r="U845" i="29"/>
  <c r="U846" i="29"/>
  <c r="U847" i="29"/>
  <c r="U848" i="29"/>
  <c r="U849" i="29"/>
  <c r="U850" i="29"/>
  <c r="U851" i="29"/>
  <c r="U852" i="29"/>
  <c r="U853" i="29"/>
  <c r="U854" i="29"/>
  <c r="U855" i="29"/>
  <c r="U856" i="29"/>
  <c r="U857" i="29"/>
  <c r="U858" i="29"/>
  <c r="U859" i="29"/>
  <c r="U860" i="29"/>
  <c r="U861" i="29"/>
  <c r="U862" i="29"/>
  <c r="U863" i="29"/>
  <c r="U865" i="29"/>
  <c r="U866" i="29"/>
  <c r="U867" i="29"/>
  <c r="U868" i="29"/>
  <c r="U869" i="29"/>
  <c r="U870" i="29"/>
  <c r="U871" i="29"/>
  <c r="U872" i="29"/>
  <c r="U873" i="29"/>
  <c r="U874" i="29"/>
  <c r="U875" i="29"/>
  <c r="U876" i="29"/>
  <c r="U877" i="29"/>
  <c r="U878" i="29"/>
  <c r="U879" i="29"/>
  <c r="U880" i="29"/>
  <c r="U881" i="29"/>
  <c r="U882" i="29"/>
  <c r="U883" i="29"/>
  <c r="U884" i="29"/>
  <c r="U885" i="29"/>
  <c r="U886" i="29"/>
  <c r="U887" i="29"/>
  <c r="U888" i="29"/>
  <c r="U889" i="29"/>
  <c r="U890" i="29"/>
  <c r="U891" i="29"/>
  <c r="U892" i="29"/>
  <c r="U893" i="29"/>
  <c r="U895" i="29"/>
  <c r="U896" i="29"/>
  <c r="U897" i="29"/>
  <c r="U898" i="29"/>
  <c r="U899" i="29"/>
  <c r="U900" i="29"/>
  <c r="U901" i="29"/>
  <c r="U902" i="29"/>
  <c r="U903" i="29"/>
  <c r="U904" i="29"/>
  <c r="U906" i="29"/>
  <c r="U907" i="29"/>
  <c r="U908" i="29"/>
  <c r="U909" i="29"/>
  <c r="U910" i="29"/>
  <c r="U911" i="29"/>
  <c r="U912" i="29"/>
  <c r="U913" i="29"/>
  <c r="U914" i="29"/>
  <c r="U915" i="29"/>
  <c r="U916" i="29"/>
  <c r="U917" i="29"/>
  <c r="U918" i="29"/>
  <c r="U919" i="29"/>
  <c r="U920" i="29"/>
  <c r="U921" i="29"/>
  <c r="U922" i="29"/>
  <c r="U923" i="29"/>
  <c r="U924" i="29"/>
  <c r="U925" i="29"/>
  <c r="U926" i="29"/>
  <c r="U927" i="29"/>
  <c r="U928" i="29"/>
  <c r="U929" i="29"/>
  <c r="U930" i="29"/>
  <c r="U931" i="29"/>
  <c r="U932" i="29"/>
  <c r="U933" i="29"/>
  <c r="U934" i="29"/>
  <c r="U935" i="29"/>
  <c r="U936" i="29"/>
  <c r="U937" i="29"/>
  <c r="U938" i="29"/>
  <c r="U939" i="29"/>
  <c r="U940" i="29"/>
  <c r="U941" i="29"/>
  <c r="U942" i="29"/>
  <c r="U943" i="29"/>
  <c r="U944" i="29"/>
  <c r="U945" i="29"/>
  <c r="U946" i="29"/>
  <c r="U947" i="29"/>
  <c r="U948" i="29"/>
  <c r="U949" i="29"/>
  <c r="U950" i="29"/>
  <c r="U952" i="29"/>
  <c r="U953" i="29"/>
  <c r="U954" i="29"/>
  <c r="U955" i="29"/>
  <c r="U956" i="29"/>
  <c r="U957" i="29"/>
  <c r="U958" i="29"/>
  <c r="U959" i="29"/>
  <c r="U960" i="29"/>
  <c r="U961" i="29"/>
  <c r="U962" i="29"/>
  <c r="U963" i="29"/>
  <c r="U964" i="29"/>
  <c r="U966" i="29"/>
  <c r="U967" i="29"/>
  <c r="U968" i="29"/>
  <c r="U969" i="29"/>
  <c r="U970" i="29"/>
  <c r="U971" i="29"/>
  <c r="U972" i="29"/>
  <c r="U973" i="29"/>
  <c r="U974" i="29"/>
  <c r="U975" i="29"/>
  <c r="U976" i="29"/>
  <c r="U977" i="29"/>
  <c r="U978" i="29"/>
  <c r="U979" i="29"/>
  <c r="U980" i="29"/>
  <c r="U981" i="29"/>
  <c r="U982" i="29"/>
  <c r="U983" i="29"/>
  <c r="U984" i="29"/>
  <c r="U985" i="29"/>
  <c r="U986" i="29"/>
  <c r="U987" i="29"/>
  <c r="U988" i="29"/>
  <c r="U990" i="29"/>
  <c r="U991" i="29"/>
  <c r="U992" i="29"/>
  <c r="U994" i="29"/>
  <c r="U995" i="29"/>
  <c r="U996" i="29"/>
  <c r="U997" i="29"/>
  <c r="U998" i="29"/>
  <c r="U999" i="29"/>
  <c r="U1000" i="29"/>
  <c r="U1001" i="29"/>
  <c r="U1002" i="29"/>
  <c r="U1003" i="29"/>
  <c r="U1004" i="29"/>
  <c r="U1005" i="29"/>
  <c r="U1006" i="29"/>
  <c r="U1007" i="29"/>
  <c r="U1008" i="29"/>
  <c r="U1009" i="29"/>
  <c r="U1010" i="29"/>
  <c r="U1011" i="29"/>
  <c r="U1012" i="29"/>
  <c r="U1013" i="29"/>
  <c r="U1014" i="29"/>
  <c r="U1015" i="29"/>
  <c r="U1016" i="29"/>
  <c r="U1017" i="29"/>
  <c r="U1018" i="29"/>
  <c r="U1019" i="29"/>
  <c r="U1020" i="29"/>
  <c r="U1021" i="29"/>
  <c r="U1022" i="29"/>
  <c r="U1023" i="29"/>
  <c r="U1024" i="29"/>
  <c r="U1025" i="29"/>
  <c r="U1026" i="29"/>
  <c r="U1027" i="29"/>
  <c r="U1028" i="29"/>
  <c r="U1029" i="29"/>
  <c r="U1030" i="29"/>
  <c r="U1031" i="29"/>
  <c r="U1032" i="29"/>
  <c r="U1033" i="29"/>
  <c r="U1034" i="29"/>
  <c r="U1035" i="29"/>
  <c r="U1036" i="29"/>
  <c r="U1037" i="29"/>
  <c r="U1038" i="29"/>
  <c r="U1039" i="29"/>
  <c r="U1040" i="29"/>
  <c r="U1041" i="29"/>
  <c r="U1042" i="29"/>
  <c r="U1043" i="29"/>
  <c r="U1044" i="29"/>
  <c r="U1045" i="29"/>
  <c r="U1046" i="29"/>
  <c r="U1047" i="29"/>
  <c r="U1048" i="29"/>
  <c r="U1049" i="29"/>
  <c r="U1050" i="29"/>
  <c r="U1051" i="29"/>
  <c r="U1052" i="29"/>
  <c r="U1053" i="29"/>
  <c r="U1054" i="29"/>
  <c r="U1055" i="29"/>
  <c r="U1056" i="29"/>
  <c r="U1057" i="29"/>
  <c r="U1058" i="29"/>
  <c r="U1059" i="29"/>
  <c r="U1061" i="29"/>
  <c r="U1062" i="29"/>
  <c r="U1063" i="29"/>
  <c r="U1064" i="29"/>
  <c r="U1065" i="29"/>
  <c r="U1066" i="29"/>
  <c r="U1067" i="29"/>
  <c r="U1069" i="29"/>
  <c r="U1070" i="29"/>
  <c r="U1071" i="29"/>
  <c r="U1072" i="29"/>
  <c r="U1073" i="29"/>
  <c r="U1074" i="29"/>
  <c r="U1076" i="29"/>
  <c r="U1077" i="29"/>
  <c r="U1078" i="29"/>
  <c r="U1079" i="29"/>
  <c r="U1080" i="29"/>
  <c r="U1081" i="29"/>
  <c r="U1082" i="29"/>
  <c r="U1083" i="29"/>
  <c r="U1084" i="29"/>
  <c r="U1085" i="29"/>
  <c r="U1086" i="29"/>
  <c r="U1087" i="29"/>
  <c r="U1088" i="29"/>
  <c r="U1089" i="29"/>
  <c r="U1090" i="29"/>
  <c r="U1091" i="29"/>
  <c r="U1092" i="29"/>
  <c r="U1093" i="29"/>
  <c r="U1094" i="29"/>
  <c r="U1095" i="29"/>
  <c r="U1096" i="29"/>
  <c r="U1097" i="29"/>
  <c r="U1098" i="29"/>
  <c r="U1099" i="29"/>
  <c r="U1100" i="29"/>
  <c r="U1101" i="29"/>
  <c r="U1102" i="29"/>
  <c r="U1103" i="29"/>
  <c r="U1104" i="29"/>
  <c r="U1105" i="29"/>
  <c r="U1106" i="29"/>
  <c r="U1107" i="29"/>
  <c r="U1108" i="29"/>
  <c r="U1109" i="29"/>
  <c r="U1110" i="29"/>
  <c r="U1111" i="29"/>
  <c r="U1112" i="29"/>
  <c r="U1113" i="29"/>
  <c r="U1114" i="29"/>
  <c r="U1115" i="29"/>
  <c r="U1116" i="29"/>
  <c r="U1117" i="29"/>
  <c r="U1118" i="29"/>
  <c r="U1119" i="29"/>
  <c r="U1120" i="29"/>
  <c r="U1121" i="29"/>
  <c r="U1122" i="29"/>
  <c r="U1123" i="29"/>
  <c r="U1124" i="29"/>
  <c r="U1125" i="29"/>
  <c r="U1126" i="29"/>
  <c r="U1127" i="29"/>
  <c r="U1128" i="29"/>
  <c r="U1130" i="29"/>
  <c r="U1131" i="29"/>
  <c r="U1132" i="29"/>
  <c r="U1133" i="29"/>
  <c r="U1134" i="29"/>
  <c r="U1135" i="29"/>
  <c r="U1137" i="29"/>
  <c r="U1138" i="29"/>
  <c r="U1139" i="29"/>
  <c r="U1140" i="29"/>
  <c r="U1141" i="29"/>
  <c r="U1142" i="29"/>
  <c r="U1143" i="29"/>
  <c r="U1144" i="29"/>
  <c r="U1145" i="29"/>
  <c r="U1146" i="29"/>
  <c r="U1147" i="29"/>
  <c r="U1148" i="29"/>
  <c r="U1149" i="29"/>
  <c r="U1151" i="29"/>
  <c r="U1152" i="29"/>
  <c r="U1153" i="29"/>
  <c r="U1154" i="29"/>
  <c r="U1155" i="29"/>
  <c r="U1156" i="29"/>
  <c r="U1157" i="29"/>
  <c r="U1158" i="29"/>
  <c r="U1159" i="29"/>
  <c r="U1160" i="29"/>
  <c r="U1161" i="29"/>
  <c r="U1162" i="29"/>
  <c r="U1163" i="29"/>
  <c r="U1164" i="29"/>
  <c r="U1165" i="29"/>
  <c r="U1166" i="29"/>
  <c r="U1167" i="29"/>
  <c r="U1168" i="29"/>
  <c r="U1169" i="29"/>
  <c r="U1170" i="29"/>
  <c r="U1171" i="29"/>
  <c r="U1172" i="29"/>
  <c r="U1173" i="29"/>
  <c r="U1174" i="29"/>
  <c r="U1175" i="29"/>
  <c r="U1176" i="29"/>
  <c r="U1177" i="29"/>
  <c r="U1178" i="29"/>
  <c r="U1179" i="29"/>
  <c r="U1180" i="29"/>
  <c r="U1181" i="29"/>
  <c r="U1182" i="29"/>
  <c r="U1183" i="29"/>
  <c r="U1184" i="29"/>
  <c r="U1185" i="29"/>
  <c r="U1186" i="29"/>
  <c r="U1187" i="29"/>
  <c r="U1188" i="29"/>
  <c r="U1189" i="29"/>
  <c r="U1190" i="29"/>
  <c r="U1191" i="29"/>
  <c r="U1192" i="29"/>
  <c r="U1193" i="29"/>
  <c r="U1194" i="29"/>
  <c r="U1195" i="29"/>
  <c r="U1196" i="29"/>
  <c r="U1197" i="29"/>
  <c r="U1198" i="29"/>
  <c r="U1199" i="29"/>
  <c r="U1200" i="29"/>
  <c r="U1201" i="29"/>
  <c r="U1202" i="29"/>
  <c r="U1203" i="29"/>
  <c r="U1204" i="29"/>
  <c r="U1205" i="29"/>
  <c r="U1206" i="29"/>
  <c r="U1207" i="29"/>
  <c r="U1208" i="29"/>
  <c r="U1209" i="29"/>
  <c r="U1210" i="29"/>
  <c r="U1212" i="29"/>
  <c r="U1213" i="29"/>
  <c r="U1214" i="29"/>
  <c r="U1215" i="29"/>
  <c r="U1216" i="29"/>
  <c r="U1217" i="29"/>
  <c r="U1218" i="29"/>
  <c r="U1219" i="29"/>
  <c r="U1220" i="29"/>
  <c r="U1221" i="29"/>
  <c r="U1222" i="29"/>
  <c r="U1223" i="29"/>
  <c r="U1224" i="29"/>
  <c r="U1226" i="29"/>
  <c r="U1227" i="29"/>
  <c r="U1228" i="29"/>
  <c r="U1229" i="29"/>
  <c r="U1230" i="29"/>
  <c r="U1231" i="29"/>
  <c r="U1232" i="29"/>
  <c r="U1233" i="29"/>
  <c r="U1235" i="29"/>
  <c r="U1236" i="29"/>
  <c r="U1237" i="29"/>
  <c r="U1239" i="29"/>
  <c r="U1240" i="29"/>
  <c r="U1241" i="29"/>
  <c r="U1242" i="29"/>
  <c r="U1243" i="29"/>
  <c r="U1244" i="29"/>
  <c r="U1245" i="29"/>
  <c r="U1246" i="29"/>
  <c r="U1247" i="29"/>
  <c r="U1248" i="29"/>
  <c r="U1249" i="29"/>
  <c r="U1250" i="29"/>
  <c r="U1251" i="29"/>
  <c r="U1252" i="29"/>
  <c r="U1253" i="29"/>
  <c r="U1254" i="29"/>
  <c r="U1255" i="29"/>
  <c r="U1256" i="29"/>
  <c r="U1258" i="29"/>
  <c r="U1259" i="29"/>
  <c r="U1260" i="29"/>
  <c r="U1261" i="29"/>
  <c r="U1262" i="29"/>
  <c r="U1263" i="29"/>
  <c r="U1264" i="29"/>
  <c r="U1265" i="29"/>
  <c r="U1266" i="29"/>
  <c r="U1267" i="29"/>
  <c r="U1268" i="29"/>
  <c r="U1269" i="29"/>
  <c r="U1270" i="29"/>
  <c r="U1271" i="29"/>
  <c r="U1272" i="29"/>
  <c r="U1273" i="29"/>
  <c r="U1274" i="29"/>
  <c r="U1275" i="29"/>
  <c r="U1276" i="29"/>
  <c r="U1277" i="29"/>
  <c r="U1278" i="29"/>
  <c r="U1279" i="29"/>
  <c r="U1280" i="29"/>
  <c r="U1281" i="29"/>
  <c r="U1282" i="29"/>
  <c r="U1283" i="29"/>
  <c r="U1284" i="29"/>
  <c r="U1285" i="29"/>
  <c r="U1286" i="29"/>
  <c r="U1287" i="29"/>
  <c r="U1288" i="29"/>
  <c r="U1289" i="29"/>
  <c r="U1290" i="29"/>
  <c r="U1291" i="29"/>
  <c r="U1292" i="29"/>
  <c r="U1293" i="29"/>
  <c r="U1294" i="29"/>
  <c r="U1295" i="29"/>
  <c r="U1296" i="29"/>
  <c r="U1297" i="29"/>
  <c r="U1298" i="29"/>
  <c r="U1299" i="29"/>
  <c r="U1300" i="29"/>
  <c r="U1301" i="29"/>
  <c r="U1302" i="29"/>
  <c r="U1303" i="29"/>
  <c r="U1304" i="29"/>
  <c r="U1305" i="29"/>
  <c r="U1306" i="29"/>
  <c r="U1307" i="29"/>
  <c r="U1308" i="29"/>
  <c r="U1309" i="29"/>
  <c r="U1310" i="29"/>
  <c r="U1311" i="29"/>
  <c r="U1312" i="29"/>
  <c r="U1313" i="29"/>
  <c r="U1314" i="29"/>
  <c r="U1315" i="29"/>
  <c r="U1316" i="29"/>
  <c r="U1317" i="29"/>
  <c r="U1318" i="29"/>
  <c r="U1319" i="29"/>
  <c r="U1320" i="29"/>
  <c r="U1321" i="29"/>
  <c r="U1322" i="29"/>
  <c r="U1323" i="29"/>
  <c r="U1324" i="29"/>
  <c r="U1325" i="29"/>
  <c r="U1326" i="29"/>
  <c r="U1327" i="29"/>
  <c r="U1328" i="29"/>
  <c r="U1329" i="29"/>
  <c r="U1330" i="29"/>
  <c r="U1331" i="29"/>
  <c r="U1332" i="29"/>
  <c r="U1333" i="29"/>
  <c r="U1334" i="29"/>
  <c r="U1335" i="29"/>
  <c r="U1336" i="29"/>
  <c r="U1337" i="29"/>
  <c r="U1338" i="29"/>
  <c r="U1339" i="29"/>
  <c r="U1340" i="29"/>
  <c r="U1341" i="29"/>
  <c r="U1342" i="29"/>
  <c r="U1343" i="29"/>
  <c r="U1344" i="29"/>
  <c r="U1345" i="29"/>
  <c r="U1346" i="29"/>
  <c r="U1347" i="29"/>
  <c r="U1348" i="29"/>
  <c r="U1349" i="29"/>
  <c r="U1350" i="29"/>
  <c r="U1351" i="29"/>
  <c r="U1352" i="29"/>
  <c r="U1353" i="29"/>
  <c r="U1354" i="29"/>
  <c r="U1355" i="29"/>
  <c r="U1356" i="29"/>
  <c r="U1357" i="29"/>
  <c r="U1358" i="29"/>
  <c r="U1359" i="29"/>
  <c r="U1360" i="29"/>
  <c r="U1362" i="29"/>
  <c r="U1363" i="29"/>
  <c r="U1364" i="29"/>
  <c r="U1365" i="29"/>
  <c r="U1366" i="29"/>
  <c r="U1367" i="29"/>
  <c r="U1368" i="29"/>
  <c r="U1369" i="29"/>
  <c r="U1370" i="29"/>
  <c r="U1371" i="29"/>
  <c r="U1372" i="29"/>
  <c r="U1373" i="29"/>
  <c r="U1374" i="29"/>
  <c r="U1375" i="29"/>
  <c r="U1376" i="29"/>
  <c r="U1377" i="29"/>
  <c r="U1378" i="29"/>
  <c r="U1379" i="29"/>
  <c r="U1380" i="29"/>
  <c r="U1381" i="29"/>
  <c r="U1382" i="29"/>
  <c r="U1383" i="29"/>
  <c r="U1384" i="29"/>
  <c r="U1385" i="29"/>
  <c r="U1386" i="29"/>
  <c r="U1388" i="29"/>
  <c r="U1389" i="29"/>
  <c r="U1390" i="29"/>
  <c r="U1391" i="29"/>
  <c r="U1392" i="29"/>
  <c r="U1393" i="29"/>
  <c r="U1394" i="29"/>
  <c r="U1395" i="29"/>
  <c r="U1396" i="29"/>
  <c r="U1397" i="29"/>
  <c r="U1398" i="29"/>
  <c r="U1399" i="29"/>
  <c r="U1400" i="29"/>
  <c r="U1402" i="29"/>
  <c r="U1404" i="29"/>
  <c r="U1405" i="29"/>
  <c r="U1406" i="29"/>
  <c r="U1407" i="29"/>
  <c r="U1408" i="29"/>
  <c r="U1409" i="29"/>
  <c r="U1410" i="29"/>
  <c r="U1411" i="29"/>
  <c r="U1412" i="29"/>
  <c r="U1413" i="29"/>
  <c r="U1414" i="29"/>
  <c r="U1415" i="29"/>
  <c r="U1416" i="29"/>
  <c r="U1417" i="29"/>
  <c r="U1418" i="29"/>
  <c r="U1419" i="29"/>
  <c r="U1420" i="29"/>
  <c r="U1421" i="29"/>
  <c r="U1422" i="29"/>
  <c r="U1423" i="29"/>
  <c r="U1424" i="29"/>
  <c r="U1425" i="29"/>
  <c r="U1426" i="29"/>
  <c r="U1427" i="29"/>
  <c r="U1428" i="29"/>
  <c r="U1429" i="29"/>
  <c r="U1430" i="29"/>
  <c r="U1431" i="29"/>
  <c r="U1432" i="29"/>
  <c r="U1433" i="29"/>
  <c r="U1434" i="29"/>
  <c r="U1435" i="29"/>
  <c r="U1436" i="29"/>
  <c r="U1437" i="29"/>
  <c r="U1438" i="29"/>
  <c r="U1439" i="29"/>
  <c r="U1440" i="29"/>
  <c r="U1441" i="29"/>
  <c r="U1442" i="29"/>
  <c r="U1444" i="29"/>
  <c r="U1445" i="29"/>
  <c r="U1446" i="29"/>
  <c r="U1447" i="29"/>
  <c r="U1448" i="29"/>
  <c r="U1449" i="29"/>
  <c r="U1450" i="29"/>
  <c r="U1451" i="29"/>
  <c r="U1452" i="29"/>
  <c r="U1453" i="29"/>
  <c r="U1455" i="29"/>
  <c r="U1457" i="29"/>
  <c r="U1458" i="29"/>
  <c r="U1459" i="29"/>
  <c r="U1460" i="29"/>
  <c r="U1461" i="29"/>
  <c r="U1462" i="29"/>
  <c r="U1463" i="29"/>
  <c r="U1464" i="29"/>
  <c r="U1465" i="29"/>
  <c r="U1466" i="29"/>
  <c r="U1467" i="29"/>
  <c r="U1468" i="29"/>
  <c r="U1469" i="29"/>
  <c r="U1470" i="29"/>
  <c r="U1471" i="29"/>
  <c r="U1472" i="29"/>
  <c r="U1473" i="29"/>
  <c r="U1474" i="29"/>
  <c r="U1475" i="29"/>
  <c r="U1476" i="29"/>
  <c r="U1477" i="29"/>
  <c r="U1478" i="29"/>
  <c r="U1479" i="29"/>
  <c r="U1480" i="29"/>
  <c r="U1481" i="29"/>
  <c r="U1482" i="29"/>
  <c r="U1483" i="29"/>
  <c r="U1484" i="29"/>
  <c r="U1485" i="29"/>
  <c r="U1486" i="29"/>
  <c r="U1487" i="29"/>
  <c r="U1488" i="29"/>
  <c r="U1489" i="29"/>
  <c r="U1490" i="29"/>
  <c r="U1491" i="29"/>
  <c r="U1492" i="29"/>
  <c r="U1493" i="29"/>
  <c r="U1494" i="29"/>
  <c r="U1495" i="29"/>
  <c r="U1496" i="29"/>
  <c r="U1497" i="29"/>
  <c r="U1498" i="29"/>
  <c r="U1499" i="29"/>
  <c r="U1500" i="29"/>
  <c r="U1501" i="29"/>
  <c r="U1502" i="29"/>
  <c r="U1503" i="29"/>
  <c r="U1504" i="29"/>
  <c r="U1505" i="29"/>
  <c r="U1506" i="29"/>
  <c r="U1507" i="29"/>
  <c r="U1508" i="29"/>
  <c r="U1510" i="29"/>
  <c r="U1511" i="29"/>
  <c r="U1512" i="29"/>
  <c r="U1513" i="29"/>
  <c r="U1514" i="29"/>
  <c r="U1515" i="29"/>
  <c r="U1516" i="29"/>
  <c r="U1517" i="29"/>
  <c r="U1518" i="29"/>
  <c r="U1519" i="29"/>
  <c r="U1520" i="29"/>
  <c r="U1521" i="29"/>
  <c r="U1522" i="29"/>
  <c r="U1523" i="29"/>
  <c r="U1524" i="29"/>
  <c r="U1525" i="29"/>
  <c r="U1526" i="29"/>
  <c r="U1527" i="29"/>
  <c r="U1528" i="29"/>
  <c r="U1529" i="29"/>
  <c r="U1531" i="29"/>
  <c r="U1532" i="29"/>
  <c r="U1533" i="29"/>
  <c r="U1534" i="29"/>
  <c r="U1536" i="29"/>
  <c r="U1538" i="29"/>
  <c r="U1539" i="29"/>
  <c r="U1540" i="29"/>
  <c r="U1541" i="29"/>
  <c r="U1542" i="29"/>
  <c r="U1543" i="29"/>
  <c r="U1544" i="29"/>
  <c r="U1545" i="29"/>
  <c r="U1546" i="29"/>
  <c r="U1547" i="29"/>
  <c r="U1548" i="29"/>
  <c r="U1549" i="29"/>
  <c r="U1550" i="29"/>
  <c r="U1551" i="29"/>
  <c r="U1552" i="29"/>
  <c r="U1553" i="29"/>
  <c r="U1554" i="29"/>
  <c r="U1555" i="29"/>
  <c r="U1556" i="29"/>
  <c r="U1557" i="29"/>
  <c r="U1558" i="29"/>
  <c r="U1559" i="29"/>
  <c r="U1560" i="29"/>
  <c r="U1561" i="29"/>
  <c r="U1562" i="29"/>
  <c r="U1563" i="29"/>
  <c r="U1564" i="29"/>
  <c r="U1565" i="29"/>
  <c r="U1566" i="29"/>
  <c r="U1568" i="29"/>
  <c r="U1569" i="29"/>
  <c r="U1570" i="29"/>
  <c r="U1571" i="29"/>
  <c r="U1572" i="29"/>
  <c r="U1573" i="29"/>
  <c r="U1574" i="29"/>
  <c r="U1575" i="29"/>
  <c r="U1576" i="29"/>
  <c r="U1577" i="29"/>
  <c r="U1578" i="29"/>
  <c r="U1579" i="29"/>
  <c r="U1580" i="29"/>
  <c r="U1581" i="29"/>
  <c r="U1582" i="29"/>
  <c r="U1583" i="29"/>
  <c r="U1584" i="29"/>
  <c r="U1585" i="29"/>
  <c r="U1586" i="29"/>
  <c r="U1587" i="29"/>
  <c r="U1588" i="29"/>
  <c r="U1589" i="29"/>
  <c r="U1590" i="29"/>
  <c r="U1591" i="29"/>
  <c r="U1592" i="29"/>
  <c r="U1593" i="29"/>
  <c r="U1594" i="29"/>
  <c r="U1595" i="29"/>
  <c r="U1597" i="29"/>
  <c r="U1599" i="29"/>
  <c r="U1601" i="29"/>
  <c r="U1602" i="29"/>
  <c r="U1603" i="29"/>
  <c r="U1604" i="29"/>
  <c r="U1605" i="29"/>
  <c r="U1606" i="29"/>
  <c r="U1607" i="29"/>
  <c r="U1608" i="29"/>
  <c r="U1609" i="29"/>
  <c r="U1610" i="29"/>
  <c r="U1611" i="29"/>
  <c r="U1612" i="29"/>
  <c r="U1613" i="29"/>
  <c r="U1614" i="29"/>
  <c r="U1615" i="29"/>
  <c r="U1616" i="29"/>
  <c r="U1617" i="29"/>
  <c r="U1618" i="29"/>
  <c r="U1619" i="29"/>
  <c r="U1620" i="29"/>
  <c r="U1621" i="29"/>
  <c r="U1622" i="29"/>
  <c r="U1623" i="29"/>
  <c r="U1624" i="29"/>
  <c r="U1625" i="29"/>
  <c r="U1627" i="29"/>
  <c r="U1628" i="29"/>
  <c r="U1629" i="29"/>
  <c r="U1630" i="29"/>
  <c r="U1631" i="29"/>
  <c r="U1632" i="29"/>
  <c r="U1633" i="29"/>
  <c r="U1634" i="29"/>
  <c r="U1635" i="29"/>
  <c r="U1636" i="29"/>
  <c r="U1638" i="29"/>
  <c r="U1639" i="29"/>
  <c r="U1640" i="29"/>
  <c r="U1641" i="29"/>
  <c r="U1642" i="29"/>
  <c r="U1643" i="29"/>
  <c r="U1644" i="29"/>
  <c r="U1645" i="29"/>
  <c r="U1646" i="29"/>
  <c r="U1647" i="29"/>
  <c r="U1648" i="29"/>
  <c r="U1649" i="29"/>
  <c r="U1650" i="29"/>
  <c r="U1651" i="29"/>
  <c r="U1652" i="29"/>
  <c r="U1653" i="29"/>
  <c r="U1654" i="29"/>
  <c r="U1655" i="29"/>
  <c r="U1656" i="29"/>
  <c r="U1657" i="29"/>
  <c r="U1658" i="29"/>
  <c r="U1659" i="29"/>
  <c r="U1660" i="29"/>
  <c r="U1661" i="29"/>
  <c r="U1662" i="29"/>
  <c r="U1663" i="29"/>
  <c r="U1664" i="29"/>
  <c r="U1665" i="29"/>
  <c r="U1666" i="29"/>
  <c r="U1667" i="29"/>
  <c r="U1668" i="29"/>
  <c r="U1669" i="29"/>
  <c r="U1670" i="29"/>
  <c r="U1671" i="29"/>
  <c r="U1672" i="29"/>
  <c r="U1673" i="29"/>
  <c r="U1674" i="29"/>
  <c r="U1675" i="29"/>
  <c r="U1676" i="29"/>
  <c r="U1677" i="29"/>
  <c r="U1678" i="29"/>
  <c r="U1679" i="29"/>
  <c r="U1680" i="29"/>
  <c r="U1681" i="29"/>
  <c r="U1682" i="29"/>
  <c r="U1683" i="29"/>
  <c r="U1684" i="29"/>
  <c r="U1685" i="29"/>
  <c r="U1686" i="29"/>
  <c r="U1687" i="29"/>
  <c r="U1688" i="29"/>
  <c r="U1690" i="29"/>
  <c r="U1691" i="29"/>
  <c r="U1692" i="29"/>
  <c r="U1693" i="29"/>
  <c r="U1694" i="29"/>
  <c r="U1695" i="29"/>
  <c r="U1696" i="29"/>
  <c r="U1697" i="29"/>
  <c r="U1698" i="29"/>
  <c r="U1699" i="29"/>
  <c r="U1700" i="29"/>
  <c r="U1701" i="29"/>
  <c r="U1702" i="29"/>
  <c r="U1703" i="29"/>
  <c r="U1704" i="29"/>
  <c r="U1705" i="29"/>
  <c r="U1706" i="29"/>
  <c r="U1707" i="29"/>
  <c r="U1708" i="29"/>
  <c r="U1709" i="29"/>
  <c r="U1710" i="29"/>
  <c r="U1711" i="29"/>
  <c r="U1712" i="29"/>
  <c r="U1713" i="29"/>
  <c r="U1714" i="29"/>
  <c r="U1715" i="29"/>
  <c r="U1716" i="29"/>
  <c r="U1717" i="29"/>
  <c r="U1718" i="29"/>
  <c r="U1719" i="29"/>
  <c r="U1720" i="29"/>
  <c r="U1721" i="29"/>
  <c r="U1722" i="29"/>
  <c r="U1723" i="29"/>
  <c r="U1724" i="29"/>
  <c r="U1725" i="29"/>
  <c r="U1726" i="29"/>
  <c r="U1727" i="29"/>
  <c r="U1729" i="29"/>
  <c r="U1730" i="29"/>
  <c r="U1731" i="29"/>
  <c r="U1733" i="29"/>
  <c r="U1734" i="29"/>
  <c r="U1735" i="29"/>
  <c r="U1736" i="29"/>
  <c r="U1737" i="29"/>
  <c r="U1738" i="29"/>
  <c r="U1739" i="29"/>
  <c r="U1740" i="29"/>
  <c r="U1741" i="29"/>
  <c r="U1742" i="29"/>
  <c r="U1743" i="29"/>
  <c r="U1744" i="29"/>
  <c r="U1745" i="29"/>
  <c r="U1746" i="29"/>
  <c r="U1747" i="29"/>
  <c r="U1748" i="29"/>
  <c r="U1749" i="29"/>
  <c r="U1750" i="29"/>
  <c r="U1751" i="29"/>
  <c r="U1752" i="29"/>
  <c r="U1753" i="29"/>
  <c r="U1754" i="29"/>
  <c r="U1755" i="29"/>
  <c r="U1756" i="29"/>
  <c r="U1757" i="29"/>
  <c r="U1758" i="29"/>
  <c r="U1759" i="29"/>
  <c r="U1760" i="29"/>
  <c r="U1761" i="29"/>
  <c r="U1762" i="29"/>
  <c r="U1763" i="29"/>
  <c r="U1764" i="29"/>
  <c r="U1765" i="29"/>
  <c r="U1766" i="29"/>
  <c r="U1767" i="29"/>
  <c r="U1768" i="29"/>
  <c r="U1769" i="29"/>
  <c r="U1770" i="29"/>
  <c r="U1771" i="29"/>
  <c r="U1772" i="29"/>
  <c r="U1773" i="29"/>
  <c r="U1774" i="29"/>
  <c r="U1775" i="29"/>
  <c r="U1776" i="29"/>
  <c r="U1777" i="29"/>
  <c r="U1778" i="29"/>
  <c r="U1779" i="29"/>
  <c r="U1780" i="29"/>
  <c r="U1781" i="29"/>
  <c r="U1782" i="29"/>
  <c r="U1783" i="29"/>
  <c r="U1784" i="29"/>
  <c r="U1785" i="29"/>
  <c r="U1786" i="29"/>
  <c r="U1787" i="29"/>
  <c r="U1788" i="29"/>
  <c r="U1789" i="29"/>
  <c r="U1790" i="29"/>
  <c r="U1791" i="29"/>
  <c r="U1792" i="29"/>
  <c r="U1794" i="29"/>
  <c r="U1795" i="29"/>
  <c r="U1796" i="29"/>
  <c r="U1797" i="29"/>
  <c r="U1798" i="29"/>
  <c r="U1799" i="29"/>
  <c r="U1800" i="29"/>
  <c r="U1801" i="29"/>
  <c r="U1802" i="29"/>
  <c r="U1803" i="29"/>
  <c r="U1804" i="29"/>
  <c r="U1805" i="29"/>
  <c r="U1806" i="29"/>
  <c r="U1807" i="29"/>
  <c r="U1808" i="29"/>
  <c r="U1809" i="29"/>
  <c r="U1810" i="29"/>
  <c r="U1811" i="29"/>
  <c r="U1812" i="29"/>
  <c r="U1813" i="29"/>
  <c r="U1814" i="29"/>
  <c r="U1815" i="29"/>
  <c r="U1816" i="29"/>
  <c r="U1817" i="29"/>
  <c r="U1818" i="29"/>
  <c r="U1819" i="29"/>
  <c r="U1820" i="29"/>
  <c r="U1821" i="29"/>
  <c r="U1822" i="29"/>
  <c r="U1823" i="29"/>
  <c r="U1824" i="29"/>
  <c r="U1825" i="29"/>
  <c r="U1826" i="29"/>
  <c r="U1827" i="29"/>
  <c r="U1828" i="29"/>
  <c r="U1829" i="29"/>
  <c r="U1830" i="29"/>
  <c r="U1831" i="29"/>
  <c r="U1832" i="29"/>
  <c r="U1833" i="29"/>
  <c r="U1834" i="29"/>
  <c r="U1835" i="29"/>
  <c r="U1836" i="29"/>
  <c r="U1837" i="29"/>
  <c r="U1838" i="29"/>
  <c r="U1839" i="29"/>
  <c r="U1840" i="29"/>
  <c r="U1841" i="29"/>
  <c r="U1842" i="29"/>
  <c r="U1843" i="29"/>
  <c r="U1844" i="29"/>
  <c r="U1845" i="29"/>
  <c r="U1846" i="29"/>
  <c r="U1847" i="29"/>
  <c r="U1848" i="29"/>
  <c r="U1849" i="29"/>
  <c r="U1850" i="29"/>
  <c r="U1851" i="29"/>
  <c r="U1852" i="29"/>
  <c r="U1853" i="29"/>
  <c r="U1854" i="29"/>
  <c r="U1855" i="29"/>
  <c r="U1856" i="29"/>
  <c r="U1857" i="29"/>
  <c r="U1858" i="29"/>
  <c r="U1859" i="29"/>
  <c r="U1860" i="29"/>
  <c r="U1861" i="29"/>
  <c r="U1862" i="29"/>
  <c r="U1863" i="29"/>
  <c r="U1864" i="29"/>
  <c r="U1865" i="29"/>
  <c r="U1866" i="29"/>
  <c r="U1867" i="29"/>
  <c r="U1868" i="29"/>
  <c r="U1869" i="29"/>
  <c r="U1870" i="29"/>
  <c r="U1871" i="29"/>
  <c r="U1872" i="29"/>
  <c r="U1873" i="29"/>
  <c r="U1874" i="29"/>
  <c r="U1875" i="29"/>
  <c r="U1876" i="29"/>
  <c r="U1877" i="29"/>
  <c r="U1879" i="29"/>
  <c r="U1880" i="29"/>
  <c r="U1881" i="29"/>
  <c r="U1882" i="29"/>
  <c r="U1883" i="29"/>
  <c r="U1884" i="29"/>
  <c r="U1885" i="29"/>
  <c r="U1886" i="29"/>
  <c r="U1887" i="29"/>
  <c r="U1888" i="29"/>
  <c r="U1889" i="29"/>
  <c r="U1890" i="29"/>
  <c r="U1891" i="29"/>
  <c r="U1892" i="29"/>
  <c r="U1893" i="29"/>
  <c r="U1894" i="29"/>
  <c r="U1895" i="29"/>
  <c r="U1896" i="29"/>
  <c r="U1897" i="29"/>
  <c r="U1898" i="29"/>
  <c r="U1899" i="29"/>
  <c r="U1900" i="29"/>
  <c r="U1901" i="29"/>
  <c r="U1902" i="29"/>
  <c r="U1903" i="29"/>
  <c r="U1904" i="29"/>
  <c r="U1905" i="29"/>
  <c r="U1906" i="29"/>
  <c r="U1907" i="29"/>
  <c r="U1908" i="29"/>
  <c r="U1909" i="29"/>
  <c r="U1910" i="29"/>
  <c r="U1911" i="29"/>
  <c r="U1912" i="29"/>
  <c r="U1913" i="29"/>
  <c r="U1914" i="29"/>
  <c r="U1915" i="29"/>
  <c r="U1916" i="29"/>
  <c r="U1917" i="29"/>
  <c r="U1918" i="29"/>
  <c r="U1919" i="29"/>
  <c r="U1920" i="29"/>
  <c r="U1921" i="29"/>
  <c r="U1922" i="29"/>
  <c r="U1923" i="29"/>
  <c r="U1924" i="29"/>
  <c r="U1925" i="29"/>
  <c r="U1926" i="29"/>
  <c r="U1927" i="29"/>
  <c r="U1928" i="29"/>
  <c r="U1929" i="29"/>
  <c r="U1930" i="29"/>
  <c r="U1931" i="29"/>
  <c r="U1932" i="29"/>
  <c r="U1933" i="29"/>
  <c r="U1934" i="29"/>
  <c r="U1935" i="29"/>
  <c r="U1936" i="29"/>
  <c r="U1937" i="29"/>
  <c r="U1938" i="29"/>
  <c r="U1939" i="29"/>
  <c r="U1940" i="29"/>
  <c r="U1941" i="29"/>
  <c r="U1942" i="29"/>
  <c r="U1943" i="29"/>
  <c r="U1944" i="29"/>
  <c r="U1945" i="29"/>
  <c r="U1946" i="29"/>
  <c r="U1947" i="29"/>
  <c r="U1948" i="29"/>
  <c r="U1949" i="29"/>
  <c r="U1950" i="29"/>
  <c r="U1951" i="29"/>
  <c r="U1952" i="29"/>
  <c r="U1953" i="29"/>
  <c r="U1954" i="29"/>
  <c r="U1955" i="29"/>
  <c r="U1956" i="29"/>
  <c r="U1957" i="29"/>
  <c r="U1958" i="29"/>
  <c r="U1959" i="29"/>
  <c r="U1960" i="29"/>
  <c r="U1961" i="29"/>
  <c r="U1962" i="29"/>
  <c r="U1963" i="29"/>
  <c r="U1964" i="29"/>
  <c r="U1965" i="29"/>
  <c r="U1966" i="29"/>
  <c r="U1967" i="29"/>
  <c r="U1968" i="29"/>
  <c r="U1969" i="29"/>
  <c r="U1971" i="29"/>
  <c r="U2367" i="29" l="1"/>
  <c r="V2367" i="29"/>
  <c r="I2170" i="29"/>
  <c r="V2170" i="29" s="1"/>
  <c r="V2352" i="29"/>
  <c r="U2352" i="29"/>
  <c r="V2328" i="29"/>
  <c r="G161" i="1" s="1"/>
  <c r="U2328" i="29"/>
  <c r="V2280" i="29"/>
  <c r="G113" i="1" s="1"/>
  <c r="U2280" i="29"/>
  <c r="V2224" i="29"/>
  <c r="U2224" i="29"/>
  <c r="V2200" i="29"/>
  <c r="U2200" i="29"/>
  <c r="V2359" i="29"/>
  <c r="G192" i="1" s="1"/>
  <c r="U2359" i="29"/>
  <c r="V2351" i="29"/>
  <c r="G184" i="1" s="1"/>
  <c r="U2351" i="29"/>
  <c r="V2343" i="29"/>
  <c r="U2343" i="29"/>
  <c r="V2335" i="29"/>
  <c r="U2335" i="29"/>
  <c r="V2327" i="29"/>
  <c r="G160" i="1" s="1"/>
  <c r="U2327" i="29"/>
  <c r="V2319" i="29"/>
  <c r="G152" i="1" s="1"/>
  <c r="U2319" i="29"/>
  <c r="V2311" i="29"/>
  <c r="U2311" i="29"/>
  <c r="V2303" i="29"/>
  <c r="U2303" i="29"/>
  <c r="V2295" i="29"/>
  <c r="U2295" i="29"/>
  <c r="V2287" i="29"/>
  <c r="G120" i="1" s="1"/>
  <c r="U2287" i="29"/>
  <c r="V2279" i="29"/>
  <c r="U2279" i="29"/>
  <c r="V2271" i="29"/>
  <c r="U2271" i="29"/>
  <c r="V2263" i="29"/>
  <c r="G96" i="1" s="1"/>
  <c r="U2263" i="29"/>
  <c r="V2255" i="29"/>
  <c r="G88" i="1" s="1"/>
  <c r="U2255" i="29"/>
  <c r="V2247" i="29"/>
  <c r="U2247" i="29"/>
  <c r="V2239" i="29"/>
  <c r="U2239" i="29"/>
  <c r="V2231" i="29"/>
  <c r="G64" i="1" s="1"/>
  <c r="U2231" i="29"/>
  <c r="V2223" i="29"/>
  <c r="G56" i="1" s="1"/>
  <c r="U2223" i="29"/>
  <c r="V2215" i="29"/>
  <c r="U2215" i="29"/>
  <c r="V2207" i="29"/>
  <c r="U2207" i="29"/>
  <c r="V2191" i="29"/>
  <c r="U2191" i="29"/>
  <c r="V2183" i="29"/>
  <c r="G16" i="1" s="1"/>
  <c r="U2183" i="29"/>
  <c r="V2175" i="29"/>
  <c r="U2175" i="29"/>
  <c r="V2312" i="29"/>
  <c r="U2312" i="29"/>
  <c r="V2248" i="29"/>
  <c r="G81" i="1" s="1"/>
  <c r="U2248" i="29"/>
  <c r="V2342" i="29"/>
  <c r="G175" i="1" s="1"/>
  <c r="U2342" i="29"/>
  <c r="V2326" i="29"/>
  <c r="U2326" i="29"/>
  <c r="V2310" i="29"/>
  <c r="U2310" i="29"/>
  <c r="V2262" i="29"/>
  <c r="G95" i="1" s="1"/>
  <c r="U2262" i="29"/>
  <c r="V2230" i="29"/>
  <c r="G63" i="1" s="1"/>
  <c r="U2230" i="29"/>
  <c r="V2214" i="29"/>
  <c r="U2214" i="29"/>
  <c r="V2190" i="29"/>
  <c r="U2190" i="29"/>
  <c r="V2182" i="29"/>
  <c r="G15" i="1" s="1"/>
  <c r="U2182" i="29"/>
  <c r="V2365" i="29"/>
  <c r="G198" i="1" s="1"/>
  <c r="U2365" i="29"/>
  <c r="V2349" i="29"/>
  <c r="U2349" i="29"/>
  <c r="V2341" i="29"/>
  <c r="U2341" i="29"/>
  <c r="V2333" i="29"/>
  <c r="G166" i="1" s="1"/>
  <c r="U2333" i="29"/>
  <c r="V2325" i="29"/>
  <c r="U2325" i="29"/>
  <c r="V2317" i="29"/>
  <c r="U2317" i="29"/>
  <c r="V2309" i="29"/>
  <c r="U2309" i="29"/>
  <c r="V2301" i="29"/>
  <c r="G134" i="1" s="1"/>
  <c r="U2301" i="29"/>
  <c r="V2285" i="29"/>
  <c r="G118" i="1" s="1"/>
  <c r="U2285" i="29"/>
  <c r="V2277" i="29"/>
  <c r="U2277" i="29"/>
  <c r="V2269" i="29"/>
  <c r="U2269" i="29"/>
  <c r="V2261" i="29"/>
  <c r="G94" i="1" s="1"/>
  <c r="U2261" i="29"/>
  <c r="V2253" i="29"/>
  <c r="G86" i="1" s="1"/>
  <c r="U2253" i="29"/>
  <c r="V2245" i="29"/>
  <c r="U2245" i="29"/>
  <c r="V2237" i="29"/>
  <c r="U2237" i="29"/>
  <c r="V2221" i="29"/>
  <c r="G54" i="1" s="1"/>
  <c r="U2221" i="29"/>
  <c r="V2213" i="29"/>
  <c r="G46" i="1" s="1"/>
  <c r="U2213" i="29"/>
  <c r="V2205" i="29"/>
  <c r="U2205" i="29"/>
  <c r="V2197" i="29"/>
  <c r="G30" i="1" s="1"/>
  <c r="U2197" i="29"/>
  <c r="V2189" i="29"/>
  <c r="G22" i="1" s="1"/>
  <c r="U2189" i="29"/>
  <c r="V2181" i="29"/>
  <c r="G14" i="1" s="1"/>
  <c r="U2181" i="29"/>
  <c r="V2173" i="29"/>
  <c r="U2173" i="29"/>
  <c r="V2344" i="29"/>
  <c r="U2344" i="29"/>
  <c r="V2288" i="29"/>
  <c r="G121" i="1" s="1"/>
  <c r="U2288" i="29"/>
  <c r="V2264" i="29"/>
  <c r="G97" i="1" s="1"/>
  <c r="U2264" i="29"/>
  <c r="V2216" i="29"/>
  <c r="U2216" i="29"/>
  <c r="V2184" i="29"/>
  <c r="U2184" i="29"/>
  <c r="V2334" i="29"/>
  <c r="U2334" i="29"/>
  <c r="V2318" i="29"/>
  <c r="G151" i="1" s="1"/>
  <c r="U2318" i="29"/>
  <c r="V2246" i="29"/>
  <c r="U2246" i="29"/>
  <c r="V2364" i="29"/>
  <c r="U2364" i="29"/>
  <c r="V2356" i="29"/>
  <c r="G189" i="1" s="1"/>
  <c r="U2356" i="29"/>
  <c r="V2340" i="29"/>
  <c r="G173" i="1" s="1"/>
  <c r="U2340" i="29"/>
  <c r="V2324" i="29"/>
  <c r="U2324" i="29"/>
  <c r="V2300" i="29"/>
  <c r="U2300" i="29"/>
  <c r="V2292" i="29"/>
  <c r="G125" i="1" s="1"/>
  <c r="U2292" i="29"/>
  <c r="V2276" i="29"/>
  <c r="G109" i="1" s="1"/>
  <c r="U2276" i="29"/>
  <c r="V2260" i="29"/>
  <c r="U2260" i="29"/>
  <c r="V2236" i="29"/>
  <c r="U2236" i="29"/>
  <c r="V2228" i="29"/>
  <c r="G61" i="1" s="1"/>
  <c r="U2228" i="29"/>
  <c r="V2212" i="29"/>
  <c r="G45" i="1" s="1"/>
  <c r="U2212" i="29"/>
  <c r="V2196" i="29"/>
  <c r="U2196" i="29"/>
  <c r="V2172" i="29"/>
  <c r="U2172" i="29"/>
  <c r="V2355" i="29"/>
  <c r="G188" i="1" s="1"/>
  <c r="U2355" i="29"/>
  <c r="V2323" i="29"/>
  <c r="G156" i="1" s="1"/>
  <c r="U2323" i="29"/>
  <c r="V2267" i="29"/>
  <c r="U2267" i="29"/>
  <c r="V2243" i="29"/>
  <c r="U2243" i="29"/>
  <c r="V2227" i="29"/>
  <c r="G60" i="1" s="1"/>
  <c r="U2227" i="29"/>
  <c r="V2195" i="29"/>
  <c r="G28" i="1" s="1"/>
  <c r="U2195" i="29"/>
  <c r="V2179" i="29"/>
  <c r="U2179" i="29"/>
  <c r="V2362" i="29"/>
  <c r="U2362" i="29"/>
  <c r="V2354" i="29"/>
  <c r="G187" i="1" s="1"/>
  <c r="U2354" i="29"/>
  <c r="V2346" i="29"/>
  <c r="G179" i="1" s="1"/>
  <c r="U2346" i="29"/>
  <c r="V2330" i="29"/>
  <c r="U2330" i="29"/>
  <c r="V2322" i="29"/>
  <c r="U2322" i="29"/>
  <c r="V2314" i="29"/>
  <c r="G147" i="1" s="1"/>
  <c r="U2314" i="29"/>
  <c r="V2306" i="29"/>
  <c r="G139" i="1" s="1"/>
  <c r="U2306" i="29"/>
  <c r="V2298" i="29"/>
  <c r="U2298" i="29"/>
  <c r="V2290" i="29"/>
  <c r="U2290" i="29"/>
  <c r="V2282" i="29"/>
  <c r="G115" i="1" s="1"/>
  <c r="U2282" i="29"/>
  <c r="V2266" i="29"/>
  <c r="G99" i="1" s="1"/>
  <c r="U2266" i="29"/>
  <c r="V2258" i="29"/>
  <c r="U2258" i="29"/>
  <c r="V2250" i="29"/>
  <c r="U2250" i="29"/>
  <c r="V2242" i="29"/>
  <c r="G75" i="1" s="1"/>
  <c r="U2242" i="29"/>
  <c r="V2234" i="29"/>
  <c r="G67" i="1" s="1"/>
  <c r="U2234" i="29"/>
  <c r="V2226" i="29"/>
  <c r="U2226" i="29"/>
  <c r="V2218" i="29"/>
  <c r="U2218" i="29"/>
  <c r="V2202" i="29"/>
  <c r="U2202" i="29"/>
  <c r="V2194" i="29"/>
  <c r="G27" i="1" s="1"/>
  <c r="U2194" i="29"/>
  <c r="V2186" i="29"/>
  <c r="U2186" i="29"/>
  <c r="V2178" i="29"/>
  <c r="U2178" i="29"/>
  <c r="V2331" i="29"/>
  <c r="G164" i="1" s="1"/>
  <c r="U2331" i="29"/>
  <c r="V2307" i="29"/>
  <c r="G140" i="1" s="1"/>
  <c r="U2307" i="29"/>
  <c r="V2291" i="29"/>
  <c r="U2291" i="29"/>
  <c r="V2259" i="29"/>
  <c r="U2259" i="29"/>
  <c r="V2203" i="29"/>
  <c r="G36" i="1" s="1"/>
  <c r="U2203" i="29"/>
  <c r="V2361" i="29"/>
  <c r="G194" i="1" s="1"/>
  <c r="U2361" i="29"/>
  <c r="V2353" i="29"/>
  <c r="U2353" i="29"/>
  <c r="V2345" i="29"/>
  <c r="U2345" i="29"/>
  <c r="V2337" i="29"/>
  <c r="G170" i="1" s="1"/>
  <c r="U2337" i="29"/>
  <c r="V2329" i="29"/>
  <c r="G162" i="1" s="1"/>
  <c r="U2329" i="29"/>
  <c r="V2313" i="29"/>
  <c r="U2313" i="29"/>
  <c r="V2305" i="29"/>
  <c r="U2305" i="29"/>
  <c r="V2297" i="29"/>
  <c r="U2297" i="29"/>
  <c r="V2289" i="29"/>
  <c r="G122" i="1" s="1"/>
  <c r="U2289" i="29"/>
  <c r="V2281" i="29"/>
  <c r="U2281" i="29"/>
  <c r="V2273" i="29"/>
  <c r="U2273" i="29"/>
  <c r="V2265" i="29"/>
  <c r="G98" i="1" s="1"/>
  <c r="U2265" i="29"/>
  <c r="V2249" i="29"/>
  <c r="G82" i="1" s="1"/>
  <c r="U2249" i="29"/>
  <c r="V2241" i="29"/>
  <c r="U2241" i="29"/>
  <c r="V2225" i="29"/>
  <c r="U2225" i="29"/>
  <c r="V2217" i="29"/>
  <c r="G50" i="1" s="1"/>
  <c r="U2217" i="29"/>
  <c r="V2209" i="29"/>
  <c r="G42" i="1" s="1"/>
  <c r="U2209" i="29"/>
  <c r="V2193" i="29"/>
  <c r="U2193" i="29"/>
  <c r="V2185" i="29"/>
  <c r="U2185" i="29"/>
  <c r="V2169" i="29"/>
  <c r="G2" i="1" s="1"/>
  <c r="U2169" i="29"/>
  <c r="V2254" i="29"/>
  <c r="G87" i="1" s="1"/>
  <c r="U2254" i="29"/>
  <c r="V2278" i="29"/>
  <c r="U2278" i="29"/>
  <c r="V2219" i="29"/>
  <c r="U2219" i="29"/>
  <c r="V2283" i="29"/>
  <c r="G116" i="1" s="1"/>
  <c r="U2283" i="29"/>
  <c r="V2347" i="29"/>
  <c r="G180" i="1" s="1"/>
  <c r="U2347" i="29"/>
  <c r="V2188" i="29"/>
  <c r="U2188" i="29"/>
  <c r="V2252" i="29"/>
  <c r="U2252" i="29"/>
  <c r="V2316" i="29"/>
  <c r="G149" i="1" s="1"/>
  <c r="U2316" i="29"/>
  <c r="V2286" i="29"/>
  <c r="G119" i="1" s="1"/>
  <c r="U2286" i="29"/>
  <c r="V2206" i="29"/>
  <c r="U2206" i="29"/>
  <c r="V2176" i="29"/>
  <c r="U2176" i="29"/>
  <c r="V2240" i="29"/>
  <c r="G73" i="1" s="1"/>
  <c r="U2240" i="29"/>
  <c r="V2304" i="29"/>
  <c r="G137" i="1" s="1"/>
  <c r="U2304" i="29"/>
  <c r="V2199" i="29"/>
  <c r="U2199" i="29"/>
  <c r="V2257" i="29"/>
  <c r="U2257" i="29"/>
  <c r="V2321" i="29"/>
  <c r="G154" i="1" s="1"/>
  <c r="U2321" i="29"/>
  <c r="V2270" i="29"/>
  <c r="G103" i="1" s="1"/>
  <c r="U2270" i="29"/>
  <c r="V2210" i="29"/>
  <c r="U2210" i="29"/>
  <c r="V2274" i="29"/>
  <c r="U2274" i="29"/>
  <c r="V2338" i="29"/>
  <c r="G171" i="1" s="1"/>
  <c r="U2338" i="29"/>
  <c r="V2171" i="29"/>
  <c r="G4" i="1" s="1"/>
  <c r="U2171" i="29"/>
  <c r="V2235" i="29"/>
  <c r="U2235" i="29"/>
  <c r="V2299" i="29"/>
  <c r="G132" i="1" s="1"/>
  <c r="U2299" i="29"/>
  <c r="V2363" i="29"/>
  <c r="G196" i="1" s="1"/>
  <c r="U2363" i="29"/>
  <c r="V2268" i="29"/>
  <c r="G101" i="1" s="1"/>
  <c r="U2268" i="29"/>
  <c r="V2332" i="29"/>
  <c r="U2332" i="29"/>
  <c r="V2358" i="29"/>
  <c r="U2358" i="29"/>
  <c r="V2357" i="29"/>
  <c r="G190" i="1" s="1"/>
  <c r="U2357" i="29"/>
  <c r="V2192" i="29"/>
  <c r="G25" i="1" s="1"/>
  <c r="U2192" i="29"/>
  <c r="V2256" i="29"/>
  <c r="U2256" i="29"/>
  <c r="V2320" i="29"/>
  <c r="U2320" i="29"/>
  <c r="V2204" i="29"/>
  <c r="G37" i="1" s="1"/>
  <c r="U2204" i="29"/>
  <c r="V2201" i="29"/>
  <c r="G34" i="1" s="1"/>
  <c r="U2201" i="29"/>
  <c r="V2350" i="29"/>
  <c r="U2350" i="29"/>
  <c r="V2187" i="29"/>
  <c r="U2187" i="29"/>
  <c r="V2251" i="29"/>
  <c r="G84" i="1" s="1"/>
  <c r="U2251" i="29"/>
  <c r="V2315" i="29"/>
  <c r="G148" i="1" s="1"/>
  <c r="U2315" i="29"/>
  <c r="V2294" i="29"/>
  <c r="U2294" i="29"/>
  <c r="V2220" i="29"/>
  <c r="U2220" i="29"/>
  <c r="V2284" i="29"/>
  <c r="G117" i="1" s="1"/>
  <c r="U2284" i="29"/>
  <c r="V2348" i="29"/>
  <c r="G181" i="1" s="1"/>
  <c r="U2348" i="29"/>
  <c r="V2174" i="29"/>
  <c r="U2174" i="29"/>
  <c r="V2302" i="29"/>
  <c r="U2302" i="29"/>
  <c r="V2208" i="29"/>
  <c r="G41" i="1" s="1"/>
  <c r="U2208" i="29"/>
  <c r="V2272" i="29"/>
  <c r="G105" i="1" s="1"/>
  <c r="U2272" i="29"/>
  <c r="V2336" i="29"/>
  <c r="U2336" i="29"/>
  <c r="V2229" i="29"/>
  <c r="U2229" i="29"/>
  <c r="V2293" i="29"/>
  <c r="G126" i="1" s="1"/>
  <c r="U2293" i="29"/>
  <c r="V2233" i="29"/>
  <c r="G66" i="1" s="1"/>
  <c r="U2233" i="29"/>
  <c r="V2222" i="29"/>
  <c r="U2222" i="29"/>
  <c r="V2211" i="29"/>
  <c r="U2211" i="29"/>
  <c r="V2275" i="29"/>
  <c r="G108" i="1" s="1"/>
  <c r="U2275" i="29"/>
  <c r="V2339" i="29"/>
  <c r="G172" i="1" s="1"/>
  <c r="U2339" i="29"/>
  <c r="V2180" i="29"/>
  <c r="U2180" i="29"/>
  <c r="V2244" i="29"/>
  <c r="G77" i="1" s="1"/>
  <c r="U2244" i="29"/>
  <c r="V2308" i="29"/>
  <c r="G141" i="1" s="1"/>
  <c r="U2308" i="29"/>
  <c r="V2238" i="29"/>
  <c r="G71" i="1" s="1"/>
  <c r="U2238" i="29"/>
  <c r="V2198" i="29"/>
  <c r="U2198" i="29"/>
  <c r="V2177" i="29"/>
  <c r="U2177" i="29"/>
  <c r="V2232" i="29"/>
  <c r="G65" i="1" s="1"/>
  <c r="U2232" i="29"/>
  <c r="V2296" i="29"/>
  <c r="G129" i="1" s="1"/>
  <c r="U2296" i="29"/>
  <c r="V2360" i="29"/>
  <c r="U2360" i="29"/>
  <c r="B28" i="11"/>
  <c r="B49" i="28"/>
  <c r="G9" i="1"/>
  <c r="G79" i="1"/>
  <c r="G158" i="1"/>
  <c r="G183" i="1"/>
  <c r="G7" i="1"/>
  <c r="G13" i="1"/>
  <c r="G68" i="1"/>
  <c r="G195" i="1"/>
  <c r="G131" i="1"/>
  <c r="G3" i="1"/>
  <c r="G186" i="1"/>
  <c r="G58" i="1"/>
  <c r="G168" i="1"/>
  <c r="G177" i="1"/>
  <c r="G49" i="1"/>
  <c r="G153" i="1"/>
  <c r="G146" i="1"/>
  <c r="G31" i="1"/>
  <c r="G150" i="1"/>
  <c r="G143" i="1"/>
  <c r="G197" i="1"/>
  <c r="G133" i="1"/>
  <c r="G69" i="1"/>
  <c r="G5" i="1"/>
  <c r="G55" i="1"/>
  <c r="G124" i="1"/>
  <c r="G176" i="1"/>
  <c r="G123" i="1"/>
  <c r="G59" i="1"/>
  <c r="G178" i="1"/>
  <c r="G114" i="1"/>
  <c r="G136" i="1"/>
  <c r="G169" i="1"/>
  <c r="G144" i="1"/>
  <c r="G142" i="1"/>
  <c r="G78" i="1"/>
  <c r="G52" i="1"/>
  <c r="G51" i="1"/>
  <c r="G48" i="1"/>
  <c r="G106" i="1"/>
  <c r="G104" i="1"/>
  <c r="G89" i="1"/>
  <c r="G39" i="1"/>
  <c r="G70" i="1"/>
  <c r="G6" i="1"/>
  <c r="G111" i="1"/>
  <c r="G53" i="1"/>
  <c r="G128" i="1"/>
  <c r="G44" i="1"/>
  <c r="G107" i="1"/>
  <c r="G43" i="1"/>
  <c r="G40" i="1"/>
  <c r="G167" i="1"/>
  <c r="G62" i="1"/>
  <c r="G100" i="1"/>
  <c r="G32" i="1"/>
  <c r="G163" i="1"/>
  <c r="G35" i="1"/>
  <c r="G135" i="1"/>
  <c r="G90" i="1"/>
  <c r="G26" i="1"/>
  <c r="G145" i="1"/>
  <c r="G17" i="1"/>
  <c r="G91" i="1"/>
  <c r="G127" i="1"/>
  <c r="G182" i="1"/>
  <c r="G112" i="1"/>
  <c r="G165" i="1"/>
  <c r="G92" i="1"/>
  <c r="G159" i="1"/>
  <c r="G155" i="1"/>
  <c r="G174" i="1"/>
  <c r="G110" i="1"/>
  <c r="G80" i="1"/>
  <c r="G157" i="1"/>
  <c r="G93" i="1"/>
  <c r="G29" i="1"/>
  <c r="G8" i="1"/>
  <c r="G20" i="1"/>
  <c r="G47" i="1"/>
  <c r="G83" i="1"/>
  <c r="G19" i="1"/>
  <c r="G138" i="1"/>
  <c r="G74" i="1"/>
  <c r="G10" i="1"/>
  <c r="G193" i="1"/>
  <c r="G33" i="1"/>
  <c r="G102" i="1"/>
  <c r="G38" i="1"/>
  <c r="G24" i="1"/>
  <c r="G23" i="1"/>
  <c r="G85" i="1"/>
  <c r="G21" i="1"/>
  <c r="G191" i="1"/>
  <c r="G76" i="1"/>
  <c r="G12" i="1"/>
  <c r="G11" i="1"/>
  <c r="G130" i="1"/>
  <c r="G185" i="1"/>
  <c r="G57" i="1"/>
  <c r="G72" i="1"/>
  <c r="G18" i="1"/>
  <c r="Q1" i="28"/>
  <c r="J38" i="28"/>
  <c r="N39" i="28"/>
  <c r="B50" i="28"/>
  <c r="B53" i="28"/>
  <c r="G21" i="3"/>
  <c r="U2170" i="29" l="1"/>
  <c r="B14" i="2"/>
  <c r="B10" i="28" s="1"/>
  <c r="B11" i="28" s="1"/>
  <c r="B12" i="28" s="1"/>
  <c r="B13" i="28" s="1"/>
  <c r="B14" i="28" s="1"/>
  <c r="B15" i="28" s="1"/>
  <c r="B16" i="28" l="1"/>
  <c r="L15" i="28" a="1"/>
  <c r="L15" i="28" s="1"/>
  <c r="B10" i="23"/>
  <c r="B17" i="28" l="1"/>
  <c r="L16" i="28" a="1"/>
  <c r="L16" i="28" s="1"/>
  <c r="E9" i="25"/>
  <c r="C9" i="25"/>
  <c r="B18" i="28" l="1"/>
  <c r="H3" i="39" s="1"/>
  <c r="H6" i="39" s="1"/>
  <c r="L17" i="28" a="1"/>
  <c r="L17" i="28" s="1"/>
  <c r="E2" i="19"/>
  <c r="E3" i="19"/>
  <c r="E4" i="19"/>
  <c r="E5" i="19"/>
  <c r="E6" i="19"/>
  <c r="E7" i="19"/>
  <c r="E8" i="19"/>
  <c r="E9" i="19"/>
  <c r="E10" i="19"/>
  <c r="E11" i="19"/>
  <c r="E12"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M18" i="28" l="1" a="1"/>
  <c r="M18" i="28" s="1"/>
  <c r="H18" i="28" a="1"/>
  <c r="H18" i="28" s="1"/>
  <c r="B19" i="28"/>
  <c r="L18" i="28" a="1"/>
  <c r="L18" i="28" s="1"/>
  <c r="G18" i="28" a="1"/>
  <c r="G18" i="28" s="1"/>
  <c r="O19" i="28" a="1"/>
  <c r="O19" i="28" s="1"/>
  <c r="N19" i="28" a="1"/>
  <c r="N19" i="28" s="1"/>
  <c r="D19" i="28" a="1"/>
  <c r="D19" i="28" s="1"/>
  <c r="C19" i="28" a="1"/>
  <c r="C19" i="28" s="1"/>
  <c r="G10" i="11" s="1"/>
  <c r="E19" i="28" l="1" a="1"/>
  <c r="E19" i="28" s="1"/>
  <c r="C6" i="39"/>
  <c r="C3" i="39"/>
  <c r="D49" i="28"/>
  <c r="G1775" i="29"/>
  <c r="L1775" i="29" s="1"/>
  <c r="G1776" i="29"/>
  <c r="L1776" i="29" s="1"/>
  <c r="G1777" i="29"/>
  <c r="L1777" i="29" s="1"/>
  <c r="G1778" i="29"/>
  <c r="L1778" i="29" s="1"/>
  <c r="G1779" i="29"/>
  <c r="L1779" i="29" s="1"/>
  <c r="G1780" i="29"/>
  <c r="L1780" i="29" s="1"/>
  <c r="G1781" i="29"/>
  <c r="L1781" i="29" s="1"/>
  <c r="G1782" i="29"/>
  <c r="L1782" i="29" s="1"/>
  <c r="G1783" i="29"/>
  <c r="L1783" i="29" s="1"/>
  <c r="G1784" i="29"/>
  <c r="L1784" i="29" s="1"/>
  <c r="G1785" i="29"/>
  <c r="L1785" i="29" s="1"/>
  <c r="G1786" i="29"/>
  <c r="L1786" i="29" s="1"/>
  <c r="G1787" i="29"/>
  <c r="L1787" i="29" s="1"/>
  <c r="G1788" i="29"/>
  <c r="L1788" i="29" s="1"/>
  <c r="G1789" i="29"/>
  <c r="L1789" i="29" s="1"/>
  <c r="G1790" i="29"/>
  <c r="L1790" i="29" s="1"/>
  <c r="G1791" i="29"/>
  <c r="L1791" i="29" s="1"/>
  <c r="G1792" i="29"/>
  <c r="L1792" i="29" s="1"/>
  <c r="G1793" i="29"/>
  <c r="L1793" i="29" s="1"/>
  <c r="G1794" i="29"/>
  <c r="L1794" i="29" s="1"/>
  <c r="G1795" i="29"/>
  <c r="L1795" i="29" s="1"/>
  <c r="G1796" i="29"/>
  <c r="L1796" i="29" s="1"/>
  <c r="G1797" i="29"/>
  <c r="L1797" i="29" s="1"/>
  <c r="G1798" i="29"/>
  <c r="L1798" i="29" s="1"/>
  <c r="G1799" i="29"/>
  <c r="L1799" i="29" s="1"/>
  <c r="G1800" i="29"/>
  <c r="L1800" i="29" s="1"/>
  <c r="G1801" i="29"/>
  <c r="F19" i="28" s="1" a="1"/>
  <c r="F19" i="28" s="1"/>
  <c r="G1802" i="29"/>
  <c r="L1802" i="29" s="1"/>
  <c r="G1803" i="29"/>
  <c r="L1803" i="29" s="1"/>
  <c r="G1804" i="29"/>
  <c r="L1804" i="29" s="1"/>
  <c r="G1805" i="29"/>
  <c r="L1805" i="29" s="1"/>
  <c r="G1806" i="29"/>
  <c r="L1806" i="29" s="1"/>
  <c r="G1807" i="29"/>
  <c r="L1807" i="29" s="1"/>
  <c r="G1808" i="29"/>
  <c r="L1808" i="29" s="1"/>
  <c r="G1809" i="29"/>
  <c r="L1809" i="29" s="1"/>
  <c r="G1810" i="29"/>
  <c r="L1810" i="29" s="1"/>
  <c r="G1811" i="29"/>
  <c r="L1811" i="29" s="1"/>
  <c r="G1812" i="29"/>
  <c r="L1812" i="29" s="1"/>
  <c r="G1813" i="29"/>
  <c r="L1813" i="29" s="1"/>
  <c r="G1814" i="29"/>
  <c r="L1814" i="29" s="1"/>
  <c r="G1815" i="29"/>
  <c r="L1815" i="29" s="1"/>
  <c r="G1816" i="29"/>
  <c r="L1816" i="29" s="1"/>
  <c r="G1817" i="29"/>
  <c r="L1817" i="29" s="1"/>
  <c r="G1818" i="29"/>
  <c r="L1818" i="29" s="1"/>
  <c r="G1819" i="29"/>
  <c r="L1819" i="29" s="1"/>
  <c r="G1820" i="29"/>
  <c r="L1820" i="29" s="1"/>
  <c r="G1821" i="29"/>
  <c r="L1821" i="29" s="1"/>
  <c r="G1822" i="29"/>
  <c r="L1822" i="29" s="1"/>
  <c r="G1823" i="29"/>
  <c r="L1823" i="29" s="1"/>
  <c r="G1824" i="29"/>
  <c r="L1824" i="29" s="1"/>
  <c r="G1825" i="29"/>
  <c r="L1825" i="29" s="1"/>
  <c r="G1826" i="29"/>
  <c r="L1826" i="29" s="1"/>
  <c r="G1827" i="29"/>
  <c r="L1827" i="29" s="1"/>
  <c r="G1828" i="29"/>
  <c r="L1828" i="29" s="1"/>
  <c r="G1829" i="29"/>
  <c r="L1829" i="29" s="1"/>
  <c r="G1830" i="29"/>
  <c r="L1830" i="29" s="1"/>
  <c r="G1831" i="29"/>
  <c r="L1831" i="29" s="1"/>
  <c r="G1832" i="29"/>
  <c r="L1832" i="29" s="1"/>
  <c r="G1833" i="29"/>
  <c r="L1833" i="29" s="1"/>
  <c r="G1834" i="29"/>
  <c r="L1834" i="29" s="1"/>
  <c r="G1835" i="29"/>
  <c r="L1835" i="29" s="1"/>
  <c r="G1836" i="29"/>
  <c r="L1836" i="29" s="1"/>
  <c r="G1837" i="29"/>
  <c r="L1837" i="29" s="1"/>
  <c r="G1838" i="29"/>
  <c r="L1838" i="29" s="1"/>
  <c r="G1839" i="29"/>
  <c r="L1839" i="29" s="1"/>
  <c r="G1840" i="29"/>
  <c r="L1840" i="29" s="1"/>
  <c r="G1841" i="29"/>
  <c r="L1841" i="29" s="1"/>
  <c r="G1842" i="29"/>
  <c r="L1842" i="29" s="1"/>
  <c r="G1843" i="29"/>
  <c r="L1843" i="29" s="1"/>
  <c r="G1844" i="29"/>
  <c r="L1844" i="29" s="1"/>
  <c r="G1845" i="29"/>
  <c r="L1845" i="29" s="1"/>
  <c r="G1846" i="29"/>
  <c r="L1846" i="29" s="1"/>
  <c r="G1847" i="29"/>
  <c r="L1847" i="29" s="1"/>
  <c r="G1848" i="29"/>
  <c r="L1848" i="29" s="1"/>
  <c r="G1849" i="29"/>
  <c r="L1849" i="29" s="1"/>
  <c r="G1850" i="29"/>
  <c r="L1850" i="29" s="1"/>
  <c r="G1851" i="29"/>
  <c r="L1851" i="29" s="1"/>
  <c r="G1852" i="29"/>
  <c r="L1852" i="29" s="1"/>
  <c r="G1853" i="29"/>
  <c r="L1853" i="29" s="1"/>
  <c r="G1854" i="29"/>
  <c r="L1854" i="29" s="1"/>
  <c r="G1855" i="29"/>
  <c r="L1855" i="29" s="1"/>
  <c r="G1856" i="29"/>
  <c r="L1856" i="29" s="1"/>
  <c r="G1857" i="29"/>
  <c r="L1857" i="29" s="1"/>
  <c r="G1858" i="29"/>
  <c r="L1858" i="29" s="1"/>
  <c r="G1859" i="29"/>
  <c r="L1859" i="29" s="1"/>
  <c r="G1860" i="29"/>
  <c r="L1860" i="29" s="1"/>
  <c r="G1861" i="29"/>
  <c r="L1861" i="29" s="1"/>
  <c r="G1862" i="29"/>
  <c r="L1862" i="29" s="1"/>
  <c r="G1863" i="29"/>
  <c r="L1863" i="29" s="1"/>
  <c r="G1864" i="29"/>
  <c r="L1864" i="29" s="1"/>
  <c r="G1865" i="29"/>
  <c r="L1865" i="29" s="1"/>
  <c r="G1866" i="29"/>
  <c r="L1866" i="29" s="1"/>
  <c r="G1867" i="29"/>
  <c r="L1867" i="29" s="1"/>
  <c r="G1868" i="29"/>
  <c r="L1868" i="29" s="1"/>
  <c r="G1869" i="29"/>
  <c r="L1869" i="29" s="1"/>
  <c r="G1870" i="29"/>
  <c r="L1870" i="29" s="1"/>
  <c r="G1871" i="29"/>
  <c r="L1871" i="29" s="1"/>
  <c r="G1872" i="29"/>
  <c r="L1872" i="29" s="1"/>
  <c r="G1873" i="29"/>
  <c r="L1873" i="29" s="1"/>
  <c r="G1874" i="29"/>
  <c r="L1874" i="29" s="1"/>
  <c r="G1875" i="29"/>
  <c r="L1875" i="29" s="1"/>
  <c r="G1876" i="29"/>
  <c r="L1876" i="29" s="1"/>
  <c r="G1877" i="29"/>
  <c r="L1877" i="29" s="1"/>
  <c r="G1878" i="29"/>
  <c r="L1878" i="29" s="1"/>
  <c r="G1879" i="29"/>
  <c r="L1879" i="29" s="1"/>
  <c r="G1880" i="29"/>
  <c r="L1880" i="29" s="1"/>
  <c r="G1881" i="29"/>
  <c r="L1881" i="29" s="1"/>
  <c r="G1882" i="29"/>
  <c r="L1882" i="29" s="1"/>
  <c r="G1883" i="29"/>
  <c r="L1883" i="29" s="1"/>
  <c r="G1884" i="29"/>
  <c r="L1884" i="29" s="1"/>
  <c r="G1885" i="29"/>
  <c r="L1885" i="29" s="1"/>
  <c r="G1886" i="29"/>
  <c r="L1886" i="29" s="1"/>
  <c r="G1887" i="29"/>
  <c r="L1887" i="29" s="1"/>
  <c r="G1888" i="29"/>
  <c r="L1888" i="29" s="1"/>
  <c r="G1889" i="29"/>
  <c r="L1889" i="29" s="1"/>
  <c r="G1890" i="29"/>
  <c r="L1890" i="29" s="1"/>
  <c r="G1891" i="29"/>
  <c r="L1891" i="29" s="1"/>
  <c r="G1892" i="29"/>
  <c r="L1892" i="29" s="1"/>
  <c r="G1893" i="29"/>
  <c r="L1893" i="29" s="1"/>
  <c r="G1894" i="29"/>
  <c r="L1894" i="29" s="1"/>
  <c r="G1895" i="29"/>
  <c r="L1895" i="29" s="1"/>
  <c r="G1896" i="29"/>
  <c r="L1896" i="29" s="1"/>
  <c r="G1897" i="29"/>
  <c r="L1897" i="29" s="1"/>
  <c r="G1898" i="29"/>
  <c r="L1898" i="29" s="1"/>
  <c r="G1899" i="29"/>
  <c r="L1899" i="29" s="1"/>
  <c r="G1900" i="29"/>
  <c r="L1900" i="29" s="1"/>
  <c r="G1901" i="29"/>
  <c r="L1901" i="29" s="1"/>
  <c r="G1902" i="29"/>
  <c r="L1902" i="29" s="1"/>
  <c r="G1903" i="29"/>
  <c r="L1903" i="29" s="1"/>
  <c r="G1904" i="29"/>
  <c r="L1904" i="29" s="1"/>
  <c r="G1905" i="29"/>
  <c r="L1905" i="29" s="1"/>
  <c r="G1906" i="29"/>
  <c r="L1906" i="29" s="1"/>
  <c r="G1907" i="29"/>
  <c r="L1907" i="29" s="1"/>
  <c r="G1908" i="29"/>
  <c r="L1908" i="29" s="1"/>
  <c r="G1909" i="29"/>
  <c r="L1909" i="29" s="1"/>
  <c r="G1910" i="29"/>
  <c r="L1910" i="29" s="1"/>
  <c r="G1911" i="29"/>
  <c r="L1911" i="29" s="1"/>
  <c r="G1912" i="29"/>
  <c r="L1912" i="29" s="1"/>
  <c r="G1913" i="29"/>
  <c r="L1913" i="29" s="1"/>
  <c r="G1914" i="29"/>
  <c r="L1914" i="29" s="1"/>
  <c r="G1915" i="29"/>
  <c r="L1915" i="29" s="1"/>
  <c r="G1916" i="29"/>
  <c r="L1916" i="29" s="1"/>
  <c r="G1917" i="29"/>
  <c r="L1917" i="29" s="1"/>
  <c r="G1918" i="29"/>
  <c r="L1918" i="29" s="1"/>
  <c r="G1919" i="29"/>
  <c r="L1919" i="29" s="1"/>
  <c r="G1920" i="29"/>
  <c r="L1920" i="29" s="1"/>
  <c r="G1921" i="29"/>
  <c r="L1921" i="29" s="1"/>
  <c r="G1922" i="29"/>
  <c r="L1922" i="29" s="1"/>
  <c r="G1923" i="29"/>
  <c r="L1923" i="29" s="1"/>
  <c r="G1924" i="29"/>
  <c r="L1924" i="29" s="1"/>
  <c r="G1925" i="29"/>
  <c r="L1925" i="29" s="1"/>
  <c r="G1926" i="29"/>
  <c r="L1926" i="29" s="1"/>
  <c r="G1927" i="29"/>
  <c r="L1927" i="29" s="1"/>
  <c r="G1928" i="29"/>
  <c r="L1928" i="29" s="1"/>
  <c r="G1929" i="29"/>
  <c r="L1929" i="29" s="1"/>
  <c r="G1930" i="29"/>
  <c r="L1930" i="29" s="1"/>
  <c r="G1931" i="29"/>
  <c r="L1931" i="29" s="1"/>
  <c r="G1932" i="29"/>
  <c r="L1932" i="29" s="1"/>
  <c r="G1933" i="29"/>
  <c r="L1933" i="29" s="1"/>
  <c r="G1934" i="29"/>
  <c r="L1934" i="29" s="1"/>
  <c r="G1935" i="29"/>
  <c r="L1935" i="29" s="1"/>
  <c r="G1936" i="29"/>
  <c r="L1936" i="29" s="1"/>
  <c r="G1937" i="29"/>
  <c r="L1937" i="29" s="1"/>
  <c r="G1938" i="29"/>
  <c r="L1938" i="29" s="1"/>
  <c r="G1939" i="29"/>
  <c r="L1939" i="29" s="1"/>
  <c r="G1940" i="29"/>
  <c r="L1940" i="29" s="1"/>
  <c r="G1941" i="29"/>
  <c r="L1941" i="29" s="1"/>
  <c r="G1942" i="29"/>
  <c r="L1942" i="29" s="1"/>
  <c r="G1943" i="29"/>
  <c r="L1943" i="29" s="1"/>
  <c r="G1944" i="29"/>
  <c r="L1944" i="29" s="1"/>
  <c r="G1945" i="29"/>
  <c r="L1945" i="29" s="1"/>
  <c r="G1946" i="29"/>
  <c r="L1946" i="29" s="1"/>
  <c r="G1947" i="29"/>
  <c r="L1947" i="29" s="1"/>
  <c r="G1948" i="29"/>
  <c r="L1948" i="29" s="1"/>
  <c r="G1949" i="29"/>
  <c r="L1949" i="29" s="1"/>
  <c r="G1950" i="29"/>
  <c r="L1950" i="29" s="1"/>
  <c r="G1951" i="29"/>
  <c r="L1951" i="29" s="1"/>
  <c r="G1952" i="29"/>
  <c r="L1952" i="29" s="1"/>
  <c r="G1953" i="29"/>
  <c r="L1953" i="29" s="1"/>
  <c r="G1954" i="29"/>
  <c r="L1954" i="29" s="1"/>
  <c r="G1955" i="29"/>
  <c r="L1955" i="29" s="1"/>
  <c r="G1956" i="29"/>
  <c r="L1956" i="29" s="1"/>
  <c r="G1957" i="29"/>
  <c r="L1957" i="29" s="1"/>
  <c r="G1958" i="29"/>
  <c r="L1958" i="29" s="1"/>
  <c r="G1959" i="29"/>
  <c r="L1959" i="29" s="1"/>
  <c r="G1960" i="29"/>
  <c r="L1960" i="29" s="1"/>
  <c r="G1961" i="29"/>
  <c r="L1961" i="29" s="1"/>
  <c r="G1962" i="29"/>
  <c r="L1962" i="29" s="1"/>
  <c r="G1963" i="29"/>
  <c r="L1963" i="29" s="1"/>
  <c r="G1964" i="29"/>
  <c r="L1964" i="29" s="1"/>
  <c r="G1965" i="29"/>
  <c r="L1965" i="29" s="1"/>
  <c r="G1966" i="29"/>
  <c r="L1966" i="29" s="1"/>
  <c r="G1967" i="29"/>
  <c r="L1967" i="29" s="1"/>
  <c r="G1968" i="29"/>
  <c r="L1968" i="29" s="1"/>
  <c r="G1969" i="29"/>
  <c r="L1969" i="29" s="1"/>
  <c r="G1970" i="29"/>
  <c r="L1970" i="29" s="1"/>
  <c r="G1971" i="29"/>
  <c r="L1971" i="29" s="1"/>
  <c r="J1775" i="29"/>
  <c r="J1776" i="29"/>
  <c r="J1777" i="29"/>
  <c r="J1778" i="29"/>
  <c r="J1779" i="29"/>
  <c r="J1780" i="29"/>
  <c r="J1781" i="29"/>
  <c r="J1782" i="29"/>
  <c r="J1783" i="29"/>
  <c r="J1784" i="29"/>
  <c r="J1785" i="29"/>
  <c r="J1786" i="29"/>
  <c r="J1787" i="29"/>
  <c r="J1788" i="29"/>
  <c r="J1789" i="29"/>
  <c r="J1790" i="29"/>
  <c r="J1791" i="29"/>
  <c r="J1792" i="29"/>
  <c r="J1793" i="29"/>
  <c r="J1794" i="29"/>
  <c r="J1795" i="29"/>
  <c r="J1796" i="29"/>
  <c r="J1797" i="29"/>
  <c r="J1798" i="29"/>
  <c r="J1799" i="29"/>
  <c r="J1800" i="29"/>
  <c r="J1801" i="29"/>
  <c r="I19" i="28" s="1" a="1"/>
  <c r="I19" i="28" s="1"/>
  <c r="J1802" i="29"/>
  <c r="J1803" i="29"/>
  <c r="J1804" i="29"/>
  <c r="J1805" i="29"/>
  <c r="J1806" i="29"/>
  <c r="J1807" i="29"/>
  <c r="J1808" i="29"/>
  <c r="J1809" i="29"/>
  <c r="J1810" i="29"/>
  <c r="J1811" i="29"/>
  <c r="J1812" i="29"/>
  <c r="J1813" i="29"/>
  <c r="J1814" i="29"/>
  <c r="J1815" i="29"/>
  <c r="J1816" i="29"/>
  <c r="J1817" i="29"/>
  <c r="J1818" i="29"/>
  <c r="J1819" i="29"/>
  <c r="J1820" i="29"/>
  <c r="J1821" i="29"/>
  <c r="J1822" i="29"/>
  <c r="J1823" i="29"/>
  <c r="J1824" i="29"/>
  <c r="J1825" i="29"/>
  <c r="J1826" i="29"/>
  <c r="J1827" i="29"/>
  <c r="J1828" i="29"/>
  <c r="J1829" i="29"/>
  <c r="J1830" i="29"/>
  <c r="J1831" i="29"/>
  <c r="J1832" i="29"/>
  <c r="J1833" i="29"/>
  <c r="J1834" i="29"/>
  <c r="J1835" i="29"/>
  <c r="J1836" i="29"/>
  <c r="J1837" i="29"/>
  <c r="J1838" i="29"/>
  <c r="J1839" i="29"/>
  <c r="J1840" i="29"/>
  <c r="J1841" i="29"/>
  <c r="J1842" i="29"/>
  <c r="J1843" i="29"/>
  <c r="J1844" i="29"/>
  <c r="J1845" i="29"/>
  <c r="J1846" i="29"/>
  <c r="J1847" i="29"/>
  <c r="J1848" i="29"/>
  <c r="J1849" i="29"/>
  <c r="J1850" i="29"/>
  <c r="J1851" i="29"/>
  <c r="J1852" i="29"/>
  <c r="J1853" i="29"/>
  <c r="J1854" i="29"/>
  <c r="J1855" i="29"/>
  <c r="J1856" i="29"/>
  <c r="J1857" i="29"/>
  <c r="J1858" i="29"/>
  <c r="J1859" i="29"/>
  <c r="J1860" i="29"/>
  <c r="J1861" i="29"/>
  <c r="J1862" i="29"/>
  <c r="J1863" i="29"/>
  <c r="J1864" i="29"/>
  <c r="J1865" i="29"/>
  <c r="J1866" i="29"/>
  <c r="J1867" i="29"/>
  <c r="J1868" i="29"/>
  <c r="J1869" i="29"/>
  <c r="J1870" i="29"/>
  <c r="J1871" i="29"/>
  <c r="J1872" i="29"/>
  <c r="J1873" i="29"/>
  <c r="J1874" i="29"/>
  <c r="J1875" i="29"/>
  <c r="J1876" i="29"/>
  <c r="J1877" i="29"/>
  <c r="J1878" i="29"/>
  <c r="J1879" i="29"/>
  <c r="J1880" i="29"/>
  <c r="J1881" i="29"/>
  <c r="J1882" i="29"/>
  <c r="J1883" i="29"/>
  <c r="J1884" i="29"/>
  <c r="J1885" i="29"/>
  <c r="J1886" i="29"/>
  <c r="J1887" i="29"/>
  <c r="J1888" i="29"/>
  <c r="J1889" i="29"/>
  <c r="J1890" i="29"/>
  <c r="J1891" i="29"/>
  <c r="J1892" i="29"/>
  <c r="J1893" i="29"/>
  <c r="J1894" i="29"/>
  <c r="J1895" i="29"/>
  <c r="J1896" i="29"/>
  <c r="J1897" i="29"/>
  <c r="J1898" i="29"/>
  <c r="J1899" i="29"/>
  <c r="J1900" i="29"/>
  <c r="J1901" i="29"/>
  <c r="J1902" i="29"/>
  <c r="J1903" i="29"/>
  <c r="J1904" i="29"/>
  <c r="J1905" i="29"/>
  <c r="J1906" i="29"/>
  <c r="J1907" i="29"/>
  <c r="J1908" i="29"/>
  <c r="J1909" i="29"/>
  <c r="J1910" i="29"/>
  <c r="J1911" i="29"/>
  <c r="J1912" i="29"/>
  <c r="J1913" i="29"/>
  <c r="J1914" i="29"/>
  <c r="J1915" i="29"/>
  <c r="J1916" i="29"/>
  <c r="J1917" i="29"/>
  <c r="J1918" i="29"/>
  <c r="J1919" i="29"/>
  <c r="J1920" i="29"/>
  <c r="J1921" i="29"/>
  <c r="J1922" i="29"/>
  <c r="J1923" i="29"/>
  <c r="J1924" i="29"/>
  <c r="J1925" i="29"/>
  <c r="J1926" i="29"/>
  <c r="J1927" i="29"/>
  <c r="J1928" i="29"/>
  <c r="J1929" i="29"/>
  <c r="J1930" i="29"/>
  <c r="J1931" i="29"/>
  <c r="J1932" i="29"/>
  <c r="J1933" i="29"/>
  <c r="J1934" i="29"/>
  <c r="J1935" i="29"/>
  <c r="J1936" i="29"/>
  <c r="J1937" i="29"/>
  <c r="J1938" i="29"/>
  <c r="J1939" i="29"/>
  <c r="J1940" i="29"/>
  <c r="J1941" i="29"/>
  <c r="J1942" i="29"/>
  <c r="J1943" i="29"/>
  <c r="J1944" i="29"/>
  <c r="J1945" i="29"/>
  <c r="J1946" i="29"/>
  <c r="J1947" i="29"/>
  <c r="J1948" i="29"/>
  <c r="J1949" i="29"/>
  <c r="J1950" i="29"/>
  <c r="J1951" i="29"/>
  <c r="J1952" i="29"/>
  <c r="J1953" i="29"/>
  <c r="J1954" i="29"/>
  <c r="J1955" i="29"/>
  <c r="J1956" i="29"/>
  <c r="J1957" i="29"/>
  <c r="J1958" i="29"/>
  <c r="J1959" i="29"/>
  <c r="J1960" i="29"/>
  <c r="J1961" i="29"/>
  <c r="J1962" i="29"/>
  <c r="J1963" i="29"/>
  <c r="J1964" i="29"/>
  <c r="J1965" i="29"/>
  <c r="J1966" i="29"/>
  <c r="J1967" i="29"/>
  <c r="J1968" i="29"/>
  <c r="J1969" i="29"/>
  <c r="J1970" i="29"/>
  <c r="J1971" i="29"/>
  <c r="K1775" i="29"/>
  <c r="K1776" i="29"/>
  <c r="K1777" i="29"/>
  <c r="K1778" i="29"/>
  <c r="K1779" i="29"/>
  <c r="K1780" i="29"/>
  <c r="K1781" i="29"/>
  <c r="K1782" i="29"/>
  <c r="K1783" i="29"/>
  <c r="K1784" i="29"/>
  <c r="K1785" i="29"/>
  <c r="K1786" i="29"/>
  <c r="K1787" i="29"/>
  <c r="K1788" i="29"/>
  <c r="K1789" i="29"/>
  <c r="K1790" i="29"/>
  <c r="K1791" i="29"/>
  <c r="K1792" i="29"/>
  <c r="K1793" i="29"/>
  <c r="K1794" i="29"/>
  <c r="K1795" i="29"/>
  <c r="K1796" i="29"/>
  <c r="K1797" i="29"/>
  <c r="K1798" i="29"/>
  <c r="K1799" i="29"/>
  <c r="K1800" i="29"/>
  <c r="K1801" i="29"/>
  <c r="J19" i="28" s="1" a="1"/>
  <c r="J19" i="28" s="1"/>
  <c r="K1802" i="29"/>
  <c r="K1803" i="29"/>
  <c r="K1804" i="29"/>
  <c r="K1805" i="29"/>
  <c r="K1806" i="29"/>
  <c r="K1807" i="29"/>
  <c r="K1808" i="29"/>
  <c r="K1809" i="29"/>
  <c r="K1810" i="29"/>
  <c r="K1811" i="29"/>
  <c r="K1812" i="29"/>
  <c r="K1813" i="29"/>
  <c r="K1814" i="29"/>
  <c r="K1815" i="29"/>
  <c r="K1816" i="29"/>
  <c r="K1817" i="29"/>
  <c r="K1818" i="29"/>
  <c r="K1819" i="29"/>
  <c r="K1820" i="29"/>
  <c r="K1821" i="29"/>
  <c r="K1822" i="29"/>
  <c r="K1823" i="29"/>
  <c r="K1824" i="29"/>
  <c r="K1825" i="29"/>
  <c r="K1826" i="29"/>
  <c r="K1827" i="29"/>
  <c r="K1828" i="29"/>
  <c r="K1829" i="29"/>
  <c r="K1830" i="29"/>
  <c r="K1831" i="29"/>
  <c r="K1832" i="29"/>
  <c r="K1833" i="29"/>
  <c r="K1834" i="29"/>
  <c r="K1835" i="29"/>
  <c r="K1836" i="29"/>
  <c r="K1837" i="29"/>
  <c r="K1838" i="29"/>
  <c r="K1839" i="29"/>
  <c r="K1840" i="29"/>
  <c r="K1841" i="29"/>
  <c r="K1842" i="29"/>
  <c r="K1843" i="29"/>
  <c r="K1844" i="29"/>
  <c r="K1845" i="29"/>
  <c r="K1846" i="29"/>
  <c r="K1847" i="29"/>
  <c r="K1848" i="29"/>
  <c r="K1849" i="29"/>
  <c r="K1850" i="29"/>
  <c r="K1851" i="29"/>
  <c r="K1852" i="29"/>
  <c r="K1853" i="29"/>
  <c r="K1854" i="29"/>
  <c r="K1855" i="29"/>
  <c r="K1856" i="29"/>
  <c r="K1857" i="29"/>
  <c r="K1858" i="29"/>
  <c r="K1859" i="29"/>
  <c r="K1860" i="29"/>
  <c r="K1861" i="29"/>
  <c r="K1862" i="29"/>
  <c r="K1863" i="29"/>
  <c r="K1864" i="29"/>
  <c r="K1865" i="29"/>
  <c r="K1866" i="29"/>
  <c r="K1867" i="29"/>
  <c r="K1868" i="29"/>
  <c r="K1869" i="29"/>
  <c r="K1870" i="29"/>
  <c r="K1871" i="29"/>
  <c r="K1872" i="29"/>
  <c r="K1873" i="29"/>
  <c r="K1874" i="29"/>
  <c r="K1875" i="29"/>
  <c r="K1876" i="29"/>
  <c r="K1877" i="29"/>
  <c r="K1878" i="29"/>
  <c r="K1879" i="29"/>
  <c r="K1880" i="29"/>
  <c r="K1881" i="29"/>
  <c r="K1882" i="29"/>
  <c r="K1883" i="29"/>
  <c r="K1884" i="29"/>
  <c r="K1885" i="29"/>
  <c r="K1886" i="29"/>
  <c r="K1887" i="29"/>
  <c r="K1888" i="29"/>
  <c r="K1889" i="29"/>
  <c r="K1890" i="29"/>
  <c r="K1891" i="29"/>
  <c r="K1892" i="29"/>
  <c r="K1893" i="29"/>
  <c r="K1894" i="29"/>
  <c r="K1895" i="29"/>
  <c r="K1896" i="29"/>
  <c r="K1897" i="29"/>
  <c r="K1898" i="29"/>
  <c r="K1899" i="29"/>
  <c r="K1900" i="29"/>
  <c r="K1901" i="29"/>
  <c r="K1902" i="29"/>
  <c r="K1903" i="29"/>
  <c r="K1904" i="29"/>
  <c r="K1905" i="29"/>
  <c r="K1906" i="29"/>
  <c r="K1907" i="29"/>
  <c r="K1908" i="29"/>
  <c r="K1909" i="29"/>
  <c r="K1910" i="29"/>
  <c r="K1911" i="29"/>
  <c r="K1912" i="29"/>
  <c r="K1913" i="29"/>
  <c r="K1914" i="29"/>
  <c r="K1915" i="29"/>
  <c r="K1916" i="29"/>
  <c r="K1917" i="29"/>
  <c r="K1918" i="29"/>
  <c r="K1919" i="29"/>
  <c r="K1920" i="29"/>
  <c r="K1921" i="29"/>
  <c r="K1922" i="29"/>
  <c r="K1923" i="29"/>
  <c r="K1924" i="29"/>
  <c r="K1925" i="29"/>
  <c r="K1926" i="29"/>
  <c r="K1927" i="29"/>
  <c r="K1928" i="29"/>
  <c r="K1929" i="29"/>
  <c r="K1930" i="29"/>
  <c r="K1931" i="29"/>
  <c r="K1932" i="29"/>
  <c r="K1933" i="29"/>
  <c r="K1934" i="29"/>
  <c r="K1935" i="29"/>
  <c r="K1936" i="29"/>
  <c r="K1937" i="29"/>
  <c r="K1938" i="29"/>
  <c r="K1939" i="29"/>
  <c r="K1940" i="29"/>
  <c r="K1941" i="29"/>
  <c r="K1942" i="29"/>
  <c r="K1943" i="29"/>
  <c r="K1944" i="29"/>
  <c r="K1945" i="29"/>
  <c r="K1946" i="29"/>
  <c r="K1947" i="29"/>
  <c r="K1948" i="29"/>
  <c r="K1949" i="29"/>
  <c r="K1950" i="29"/>
  <c r="K1951" i="29"/>
  <c r="K1952" i="29"/>
  <c r="K1953" i="29"/>
  <c r="K1954" i="29"/>
  <c r="K1955" i="29"/>
  <c r="K1956" i="29"/>
  <c r="K1957" i="29"/>
  <c r="K1958" i="29"/>
  <c r="K1959" i="29"/>
  <c r="K1960" i="29"/>
  <c r="K1961" i="29"/>
  <c r="K1962" i="29"/>
  <c r="K1963" i="29"/>
  <c r="K1964" i="29"/>
  <c r="K1965" i="29"/>
  <c r="K1966" i="29"/>
  <c r="K1967" i="29"/>
  <c r="K1968" i="29"/>
  <c r="K1969" i="29"/>
  <c r="K1970" i="29"/>
  <c r="K1971" i="29"/>
  <c r="Q1775" i="29"/>
  <c r="Q1776" i="29"/>
  <c r="Q1777" i="29"/>
  <c r="Q1778" i="29"/>
  <c r="Q1779" i="29"/>
  <c r="Q1780" i="29"/>
  <c r="Q1781" i="29"/>
  <c r="Q1782" i="29"/>
  <c r="Q1783" i="29"/>
  <c r="Q1784" i="29"/>
  <c r="Q1785" i="29"/>
  <c r="Q1786" i="29"/>
  <c r="Q1787" i="29"/>
  <c r="Q1788" i="29"/>
  <c r="Q1789" i="29"/>
  <c r="Q1790" i="29"/>
  <c r="Q1791" i="29"/>
  <c r="Q1792" i="29"/>
  <c r="Q1793" i="29"/>
  <c r="U1793" i="29" s="1"/>
  <c r="Q1794" i="29"/>
  <c r="Q1795" i="29"/>
  <c r="Q1796" i="29"/>
  <c r="Q1797" i="29"/>
  <c r="Q1798" i="29"/>
  <c r="Q1799" i="29"/>
  <c r="Q1800" i="29"/>
  <c r="Q1801" i="29"/>
  <c r="P19" i="28" s="1" a="1"/>
  <c r="P19" i="28" s="1"/>
  <c r="Q1802" i="29"/>
  <c r="Q1803" i="29"/>
  <c r="Q1804" i="29"/>
  <c r="Q1805" i="29"/>
  <c r="Q1806" i="29"/>
  <c r="Q1807" i="29"/>
  <c r="Q1808" i="29"/>
  <c r="Q1809" i="29"/>
  <c r="Q1810" i="29"/>
  <c r="Q1811" i="29"/>
  <c r="Q1812" i="29"/>
  <c r="Q1813" i="29"/>
  <c r="Q1814" i="29"/>
  <c r="Q1815" i="29"/>
  <c r="Q1816" i="29"/>
  <c r="Q1817" i="29"/>
  <c r="Q1818" i="29"/>
  <c r="Q1819" i="29"/>
  <c r="Q1820" i="29"/>
  <c r="Q1821" i="29"/>
  <c r="Q1822" i="29"/>
  <c r="Q1823" i="29"/>
  <c r="Q1824" i="29"/>
  <c r="Q1825" i="29"/>
  <c r="Q1826" i="29"/>
  <c r="Q1827" i="29"/>
  <c r="Q1828" i="29"/>
  <c r="Q1829" i="29"/>
  <c r="Q1830" i="29"/>
  <c r="Q1831" i="29"/>
  <c r="Q1832" i="29"/>
  <c r="Q1833" i="29"/>
  <c r="Q1834" i="29"/>
  <c r="Q1835" i="29"/>
  <c r="Q1836" i="29"/>
  <c r="Q1837" i="29"/>
  <c r="Q1838" i="29"/>
  <c r="Q1839" i="29"/>
  <c r="Q1840" i="29"/>
  <c r="Q1841" i="29"/>
  <c r="Q1842" i="29"/>
  <c r="Q1843" i="29"/>
  <c r="Q1844" i="29"/>
  <c r="Q1845" i="29"/>
  <c r="Q1846" i="29"/>
  <c r="Q1847" i="29"/>
  <c r="Q1848" i="29"/>
  <c r="Q1849" i="29"/>
  <c r="Q1850" i="29"/>
  <c r="Q1851" i="29"/>
  <c r="Q1852" i="29"/>
  <c r="Q1853" i="29"/>
  <c r="Q1854" i="29"/>
  <c r="Q1855" i="29"/>
  <c r="Q1856" i="29"/>
  <c r="Q1857" i="29"/>
  <c r="Q1858" i="29"/>
  <c r="Q1859" i="29"/>
  <c r="Q1860" i="29"/>
  <c r="Q1861" i="29"/>
  <c r="Q1862" i="29"/>
  <c r="Q1863" i="29"/>
  <c r="Q1864" i="29"/>
  <c r="Q1865" i="29"/>
  <c r="Q1866" i="29"/>
  <c r="Q1867" i="29"/>
  <c r="Q1868" i="29"/>
  <c r="Q1869" i="29"/>
  <c r="Q1870" i="29"/>
  <c r="Q1871" i="29"/>
  <c r="Q1872" i="29"/>
  <c r="Q1873" i="29"/>
  <c r="Q1874" i="29"/>
  <c r="Q1875" i="29"/>
  <c r="Q1876" i="29"/>
  <c r="Q1877" i="29"/>
  <c r="Q1878" i="29"/>
  <c r="U1878" i="29" s="1"/>
  <c r="Q1879" i="29"/>
  <c r="Q1880" i="29"/>
  <c r="Q1881" i="29"/>
  <c r="Q1882" i="29"/>
  <c r="Q1883" i="29"/>
  <c r="Q1884" i="29"/>
  <c r="Q1885" i="29"/>
  <c r="Q1886" i="29"/>
  <c r="Q1887" i="29"/>
  <c r="Q1888" i="29"/>
  <c r="Q1889" i="29"/>
  <c r="Q1890" i="29"/>
  <c r="Q1891" i="29"/>
  <c r="Q1892" i="29"/>
  <c r="Q1893" i="29"/>
  <c r="Q1894" i="29"/>
  <c r="Q1895" i="29"/>
  <c r="Q1896" i="29"/>
  <c r="Q1897" i="29"/>
  <c r="Q1898" i="29"/>
  <c r="Q1899" i="29"/>
  <c r="Q1900" i="29"/>
  <c r="Q1901" i="29"/>
  <c r="Q1902" i="29"/>
  <c r="Q1903" i="29"/>
  <c r="Q1904" i="29"/>
  <c r="Q1905" i="29"/>
  <c r="Q1906" i="29"/>
  <c r="Q1907" i="29"/>
  <c r="Q1908" i="29"/>
  <c r="Q1909" i="29"/>
  <c r="Q1910" i="29"/>
  <c r="Q1911" i="29"/>
  <c r="Q1912" i="29"/>
  <c r="Q1913" i="29"/>
  <c r="Q1914" i="29"/>
  <c r="Q1915" i="29"/>
  <c r="Q1916" i="29"/>
  <c r="Q1917" i="29"/>
  <c r="Q1918" i="29"/>
  <c r="Q1919" i="29"/>
  <c r="Q1920" i="29"/>
  <c r="Q1921" i="29"/>
  <c r="Q1922" i="29"/>
  <c r="Q1923" i="29"/>
  <c r="Q1924" i="29"/>
  <c r="Q1925" i="29"/>
  <c r="Q1926" i="29"/>
  <c r="Q1927" i="29"/>
  <c r="Q1928" i="29"/>
  <c r="Q1929" i="29"/>
  <c r="Q1930" i="29"/>
  <c r="Q1931" i="29"/>
  <c r="Q1932" i="29"/>
  <c r="Q1933" i="29"/>
  <c r="Q1934" i="29"/>
  <c r="Q1935" i="29"/>
  <c r="Q1936" i="29"/>
  <c r="Q1937" i="29"/>
  <c r="Q1938" i="29"/>
  <c r="Q1939" i="29"/>
  <c r="Q1940" i="29"/>
  <c r="Q1941" i="29"/>
  <c r="Q1942" i="29"/>
  <c r="Q1943" i="29"/>
  <c r="Q1944" i="29"/>
  <c r="Q1945" i="29"/>
  <c r="Q1946" i="29"/>
  <c r="Q1947" i="29"/>
  <c r="Q1948" i="29"/>
  <c r="Q1949" i="29"/>
  <c r="Q1950" i="29"/>
  <c r="Q1951" i="29"/>
  <c r="Q1952" i="29"/>
  <c r="Q1953" i="29"/>
  <c r="Q1954" i="29"/>
  <c r="Q1955" i="29"/>
  <c r="Q1956" i="29"/>
  <c r="Q1957" i="29"/>
  <c r="Q1958" i="29"/>
  <c r="Q1959" i="29"/>
  <c r="Q1960" i="29"/>
  <c r="Q1961" i="29"/>
  <c r="Q1962" i="29"/>
  <c r="Q1963" i="29"/>
  <c r="Q1964" i="29"/>
  <c r="Q1965" i="29"/>
  <c r="Q1966" i="29"/>
  <c r="Q1967" i="29"/>
  <c r="Q1968" i="29"/>
  <c r="Q1969" i="29"/>
  <c r="Q1970" i="29"/>
  <c r="U1970" i="29" s="1"/>
  <c r="Q1971" i="29"/>
  <c r="D3" i="39" l="1"/>
  <c r="L1801" i="29"/>
  <c r="K19" i="28" s="1" a="1"/>
  <c r="K19" i="28" s="1"/>
  <c r="D6" i="39" s="1"/>
  <c r="F6" i="26"/>
  <c r="C14" i="26"/>
  <c r="B14" i="26"/>
  <c r="BV2" i="26"/>
  <c r="BU2" i="26"/>
  <c r="N12" i="26"/>
  <c r="M12" i="26"/>
  <c r="L12" i="26"/>
  <c r="K12" i="26"/>
  <c r="J12" i="26"/>
  <c r="I12" i="26"/>
  <c r="B12" i="26"/>
  <c r="F10" i="26"/>
  <c r="E10" i="26"/>
  <c r="D10" i="26"/>
  <c r="B10" i="26"/>
  <c r="G8" i="26"/>
  <c r="F8" i="26"/>
  <c r="E8" i="26"/>
  <c r="D8" i="26"/>
  <c r="C8" i="26"/>
  <c r="B8" i="26"/>
  <c r="G6" i="26"/>
  <c r="E6" i="26"/>
  <c r="D6" i="26"/>
  <c r="C6" i="26"/>
  <c r="B6" i="26"/>
  <c r="BT2" i="26"/>
  <c r="BS2" i="26"/>
  <c r="BR2" i="26"/>
  <c r="BQ2" i="26"/>
  <c r="BP2" i="26"/>
  <c r="BO2" i="26"/>
  <c r="BN2" i="26"/>
  <c r="BM2" i="26"/>
  <c r="BL2" i="26"/>
  <c r="BK2" i="26"/>
  <c r="BJ2" i="26"/>
  <c r="BI2" i="26"/>
  <c r="BH2" i="26"/>
  <c r="BG2" i="26"/>
  <c r="BE2" i="26"/>
  <c r="BC2" i="26"/>
  <c r="BA2" i="26"/>
  <c r="AY2" i="26"/>
  <c r="AW2" i="26"/>
  <c r="AU2" i="26"/>
  <c r="AT2" i="26"/>
  <c r="AS2" i="26"/>
  <c r="AR2" i="26"/>
  <c r="AQ2" i="26"/>
  <c r="AP2" i="26"/>
  <c r="AO2" i="26"/>
  <c r="AN2" i="26"/>
  <c r="AM2" i="26"/>
  <c r="AL2" i="26"/>
  <c r="AK2" i="26"/>
  <c r="AJ2" i="26"/>
  <c r="AI2" i="26"/>
  <c r="AH2" i="26"/>
  <c r="AG2" i="26"/>
  <c r="AF2" i="26"/>
  <c r="AE2" i="26"/>
  <c r="AD2" i="26"/>
  <c r="AC2" i="26"/>
  <c r="AB2" i="26"/>
  <c r="AA2" i="26"/>
  <c r="Z2" i="26"/>
  <c r="Y2" i="26"/>
  <c r="X2" i="26"/>
  <c r="W2" i="26"/>
  <c r="V2" i="26"/>
  <c r="U2" i="26"/>
  <c r="T2" i="26"/>
  <c r="S2" i="26"/>
  <c r="R2" i="26"/>
  <c r="Q2" i="26"/>
  <c r="P2" i="26"/>
  <c r="O2" i="26"/>
  <c r="N2" i="26"/>
  <c r="M2" i="26"/>
  <c r="L2" i="26"/>
  <c r="K2" i="26"/>
  <c r="J2" i="26"/>
  <c r="I2" i="26"/>
  <c r="H2" i="26"/>
  <c r="G2" i="26"/>
  <c r="F2" i="26"/>
  <c r="E2" i="26"/>
  <c r="D2" i="26"/>
  <c r="C2" i="26"/>
  <c r="B2" i="26"/>
  <c r="A2" i="26"/>
  <c r="C23" i="26" l="1"/>
  <c r="C20" i="26"/>
  <c r="D20" i="26" s="1"/>
  <c r="C21" i="26"/>
  <c r="C19" i="26"/>
  <c r="B23" i="26"/>
  <c r="B60" i="17" s="1"/>
  <c r="B21" i="26"/>
  <c r="B58" i="17" s="1"/>
  <c r="B20" i="26"/>
  <c r="B57" i="17" s="1"/>
  <c r="B19" i="26"/>
  <c r="B56" i="17" s="1"/>
  <c r="AV2" i="26" l="1"/>
  <c r="C12" i="26"/>
  <c r="AX2" i="26"/>
  <c r="D12" i="26"/>
  <c r="AZ2" i="26"/>
  <c r="E12" i="26"/>
  <c r="BB2" i="26"/>
  <c r="F12" i="26"/>
  <c r="BD2" i="26"/>
  <c r="G12" i="26"/>
  <c r="BF2" i="26"/>
  <c r="H12" i="26"/>
  <c r="B33" i="17"/>
  <c r="C22" i="26" l="1"/>
  <c r="B22" i="26"/>
  <c r="B59" i="17" s="1"/>
  <c r="O18" i="28" a="1"/>
  <c r="O18" i="28" s="1"/>
  <c r="N18" i="28" a="1"/>
  <c r="N18" i="28" s="1"/>
  <c r="C18" i="28" a="1"/>
  <c r="C18" i="28" s="1"/>
  <c r="D50" i="28" s="1"/>
  <c r="D18" i="28" a="1"/>
  <c r="D18" i="28" s="1"/>
  <c r="E18" i="28" a="1"/>
  <c r="E18" i="28" s="1"/>
  <c r="C11" i="28" a="1"/>
  <c r="C11" i="28" s="1"/>
  <c r="D11" i="28" a="1"/>
  <c r="D11" i="28" s="1"/>
  <c r="E11" i="28" a="1"/>
  <c r="E11" i="28" s="1"/>
  <c r="G11" i="28" a="1"/>
  <c r="G11" i="28" s="1"/>
  <c r="H11" i="28" a="1"/>
  <c r="H11" i="28" s="1"/>
  <c r="L11" i="28" a="1"/>
  <c r="L11" i="28" s="1"/>
  <c r="M11" i="28" a="1"/>
  <c r="M11" i="28" s="1"/>
  <c r="N11" i="28" a="1"/>
  <c r="N11" i="28" s="1"/>
  <c r="O11" i="28" a="1"/>
  <c r="O11" i="28" s="1"/>
  <c r="C12" i="28" a="1"/>
  <c r="C12" i="28" s="1"/>
  <c r="D12" i="28" a="1"/>
  <c r="D12" i="28" s="1"/>
  <c r="E12" i="28" a="1"/>
  <c r="E12" i="28" s="1"/>
  <c r="G12" i="28" a="1"/>
  <c r="G12" i="28" s="1"/>
  <c r="H12" i="28" a="1"/>
  <c r="H12" i="28" s="1"/>
  <c r="L12" i="28" a="1"/>
  <c r="L12" i="28" s="1"/>
  <c r="M12" i="28" a="1"/>
  <c r="M12" i="28" s="1"/>
  <c r="N12" i="28" a="1"/>
  <c r="N12" i="28" s="1"/>
  <c r="O12" i="28" a="1"/>
  <c r="O12" i="28" s="1"/>
  <c r="C13" i="28" a="1"/>
  <c r="C13" i="28" s="1"/>
  <c r="D13" i="28" a="1"/>
  <c r="D13" i="28" s="1"/>
  <c r="E13" i="28" a="1"/>
  <c r="E13" i="28" s="1"/>
  <c r="G13" i="28" a="1"/>
  <c r="G13" i="28" s="1"/>
  <c r="H13" i="28" a="1"/>
  <c r="H13" i="28" s="1"/>
  <c r="L13" i="28" a="1"/>
  <c r="L13" i="28" s="1"/>
  <c r="M13" i="28" a="1"/>
  <c r="M13" i="28" s="1"/>
  <c r="N13" i="28" a="1"/>
  <c r="N13" i="28" s="1"/>
  <c r="O13" i="28" a="1"/>
  <c r="O13" i="28" s="1"/>
  <c r="C14" i="28" a="1"/>
  <c r="C14" i="28" s="1"/>
  <c r="D14" i="28" a="1"/>
  <c r="D14" i="28" s="1"/>
  <c r="E14" i="28" a="1"/>
  <c r="E14" i="28" s="1"/>
  <c r="G14" i="28" a="1"/>
  <c r="G14" i="28" s="1"/>
  <c r="H14" i="28" a="1"/>
  <c r="H14" i="28" s="1"/>
  <c r="L14" i="28" a="1"/>
  <c r="L14" i="28" s="1"/>
  <c r="M14" i="28" a="1"/>
  <c r="M14" i="28" s="1"/>
  <c r="N14" i="28" a="1"/>
  <c r="N14" i="28" s="1"/>
  <c r="O14" i="28" a="1"/>
  <c r="O14" i="28" s="1"/>
  <c r="C15" i="28" a="1"/>
  <c r="C15" i="28" s="1"/>
  <c r="D15" i="28" a="1"/>
  <c r="D15" i="28" s="1"/>
  <c r="E15" i="28" a="1"/>
  <c r="E15" i="28" s="1"/>
  <c r="G15" i="28" a="1"/>
  <c r="G15" i="28" s="1"/>
  <c r="H15" i="28" a="1"/>
  <c r="H15" i="28" s="1"/>
  <c r="M15" i="28" a="1"/>
  <c r="M15" i="28" s="1"/>
  <c r="N15" i="28" a="1"/>
  <c r="N15" i="28" s="1"/>
  <c r="O15" i="28" a="1"/>
  <c r="O15" i="28" s="1"/>
  <c r="C16" i="28" a="1"/>
  <c r="C16" i="28" s="1"/>
  <c r="D16" i="28" a="1"/>
  <c r="D16" i="28" s="1"/>
  <c r="E16" i="28" a="1"/>
  <c r="E16" i="28" s="1"/>
  <c r="G16" i="28" a="1"/>
  <c r="G16" i="28" s="1"/>
  <c r="H16" i="28" a="1"/>
  <c r="H16" i="28" s="1"/>
  <c r="M16" i="28" a="1"/>
  <c r="M16" i="28" s="1"/>
  <c r="N16" i="28" a="1"/>
  <c r="N16" i="28" s="1"/>
  <c r="O16" i="28" a="1"/>
  <c r="O16" i="28" s="1"/>
  <c r="C17" i="28" a="1"/>
  <c r="C17" i="28" s="1"/>
  <c r="D17" i="28" a="1"/>
  <c r="D17" i="28" s="1"/>
  <c r="E17" i="28" a="1"/>
  <c r="E17" i="28" s="1"/>
  <c r="G17" i="28" a="1"/>
  <c r="G17" i="28" s="1"/>
  <c r="H17" i="28" a="1"/>
  <c r="H17" i="28" s="1"/>
  <c r="M17" i="28" a="1"/>
  <c r="M17" i="28" s="1"/>
  <c r="N17" i="28" a="1"/>
  <c r="N17" i="28" s="1"/>
  <c r="O17" i="28" a="1"/>
  <c r="O17" i="28" s="1"/>
  <c r="O10" i="28" a="1"/>
  <c r="O10" i="28" s="1"/>
  <c r="N10" i="28" a="1"/>
  <c r="N10" i="28" s="1"/>
  <c r="M10" i="28" a="1"/>
  <c r="M10" i="28" s="1"/>
  <c r="L10" i="28" a="1"/>
  <c r="L10" i="28" s="1"/>
  <c r="H10" i="28" a="1"/>
  <c r="H10" i="28" s="1"/>
  <c r="G10" i="28" a="1"/>
  <c r="G10" i="28" s="1"/>
  <c r="E10" i="28" a="1"/>
  <c r="E10" i="28" s="1"/>
  <c r="D10" i="28" a="1"/>
  <c r="D10" i="28" s="1"/>
  <c r="C10" i="28" a="1"/>
  <c r="C10" i="28" s="1"/>
  <c r="C47" i="17"/>
  <c r="B45" i="17" s="1"/>
  <c r="D14" i="3" l="1"/>
  <c r="O36" i="28"/>
  <c r="Q13" i="28" a="1"/>
  <c r="Q13" i="28" s="1"/>
  <c r="Q14" i="28" a="1"/>
  <c r="Q14" i="28" s="1"/>
  <c r="O37" i="28" l="1"/>
  <c r="O42" i="28" s="1" a="1"/>
  <c r="O42" i="28" s="1"/>
  <c r="O39" i="28"/>
  <c r="Q12" i="28" a="1"/>
  <c r="Q12" i="28" s="1"/>
  <c r="Q15" i="28" a="1"/>
  <c r="Q15" i="28" s="1"/>
  <c r="Q17" i="28" a="1"/>
  <c r="Q17" i="28" s="1"/>
  <c r="Q16" i="28" a="1"/>
  <c r="Q16" i="28" s="1"/>
  <c r="CG13" i="1"/>
  <c r="CH13" i="1" s="1"/>
  <c r="CG83" i="1"/>
  <c r="CH83" i="1" s="1"/>
  <c r="CG22" i="1"/>
  <c r="CH22" i="1" s="1"/>
  <c r="CG143" i="1"/>
  <c r="CH143" i="1" s="1"/>
  <c r="CG113" i="1"/>
  <c r="CH113" i="1" s="1"/>
  <c r="CG4" i="1"/>
  <c r="CH4" i="1" s="1"/>
  <c r="CG139" i="1"/>
  <c r="CH139" i="1" s="1"/>
  <c r="CG38" i="1"/>
  <c r="CH38" i="1" s="1"/>
  <c r="CG193" i="1"/>
  <c r="CH193" i="1" s="1"/>
  <c r="CG99" i="1"/>
  <c r="CH99" i="1" s="1"/>
  <c r="CG122" i="1"/>
  <c r="CH122" i="1" s="1"/>
  <c r="CG112" i="1"/>
  <c r="CH112" i="1" s="1"/>
  <c r="CG134" i="1"/>
  <c r="CH134" i="1" s="1"/>
  <c r="CG33" i="1"/>
  <c r="CH33" i="1" s="1"/>
  <c r="CG133" i="1"/>
  <c r="CH133" i="1" s="1"/>
  <c r="CG25" i="1"/>
  <c r="CH25" i="1" s="1"/>
  <c r="CG59" i="1"/>
  <c r="CH59" i="1" s="1"/>
  <c r="CG68" i="1"/>
  <c r="CH68" i="1" s="1"/>
  <c r="CG11" i="1"/>
  <c r="CH11" i="1" s="1"/>
  <c r="CG88" i="1"/>
  <c r="CH88" i="1" s="1"/>
  <c r="CG163" i="1"/>
  <c r="CH163" i="1" s="1"/>
  <c r="CG192" i="1"/>
  <c r="CH192" i="1" s="1"/>
  <c r="CG161" i="1"/>
  <c r="CH161" i="1" s="1"/>
  <c r="CG32" i="1"/>
  <c r="CH32" i="1" s="1"/>
  <c r="CG152" i="1"/>
  <c r="CH152" i="1" s="1"/>
  <c r="CG190" i="1"/>
  <c r="CH190" i="1" s="1"/>
  <c r="CG176" i="1"/>
  <c r="CH176" i="1" s="1"/>
  <c r="CG36" i="1"/>
  <c r="CH36" i="1" s="1"/>
  <c r="CG35" i="1"/>
  <c r="CH35" i="1" s="1"/>
  <c r="CG121" i="1"/>
  <c r="CH121" i="1" s="1"/>
  <c r="CG149" i="1"/>
  <c r="CH149" i="1" s="1"/>
  <c r="CG117" i="1"/>
  <c r="CH117" i="1" s="1"/>
  <c r="CG14" i="1"/>
  <c r="CH14" i="1" s="1"/>
  <c r="CG41" i="1"/>
  <c r="CH41" i="1" s="1"/>
  <c r="CG28" i="1"/>
  <c r="CH28" i="1" s="1"/>
  <c r="CG147" i="1"/>
  <c r="CH147" i="1" s="1"/>
  <c r="CG21" i="1"/>
  <c r="CH21" i="1" s="1"/>
  <c r="CG17" i="1"/>
  <c r="CH17" i="1" s="1"/>
  <c r="CG153" i="1"/>
  <c r="CH153" i="1" s="1"/>
  <c r="CG168" i="1"/>
  <c r="CH168" i="1" s="1"/>
  <c r="CG130" i="1"/>
  <c r="CH130" i="1" s="1"/>
  <c r="CG51" i="1"/>
  <c r="CH51" i="1" s="1"/>
  <c r="CG70" i="1"/>
  <c r="CH70" i="1" s="1"/>
  <c r="CG50" i="1"/>
  <c r="CH50" i="1" s="1"/>
  <c r="CG172" i="1"/>
  <c r="CH172" i="1" s="1"/>
  <c r="CG24" i="1"/>
  <c r="CH24" i="1" s="1"/>
  <c r="CG123" i="1"/>
  <c r="CH123" i="1" s="1"/>
  <c r="CG198" i="1"/>
  <c r="CH198" i="1" s="1"/>
  <c r="CG57" i="1"/>
  <c r="CH57" i="1" s="1"/>
  <c r="CG156" i="1"/>
  <c r="CH156" i="1" s="1"/>
  <c r="CG69" i="1"/>
  <c r="CH69" i="1" s="1"/>
  <c r="CG154" i="1"/>
  <c r="CH154" i="1" s="1"/>
  <c r="CG195" i="1"/>
  <c r="CH195" i="1" s="1"/>
  <c r="CG180" i="1"/>
  <c r="CH180" i="1" s="1"/>
  <c r="CG7" i="1"/>
  <c r="CH7" i="1" s="1"/>
  <c r="CG34" i="1"/>
  <c r="CH34" i="1" s="1"/>
  <c r="CG89" i="1"/>
  <c r="CH89" i="1" s="1"/>
  <c r="CG150" i="1"/>
  <c r="CH150" i="1" s="1"/>
  <c r="CG114" i="1"/>
  <c r="CH114" i="1" s="1"/>
  <c r="CG47" i="1"/>
  <c r="CH47" i="1" s="1"/>
  <c r="CG102" i="1"/>
  <c r="CH102" i="1" s="1"/>
  <c r="CG74" i="1"/>
  <c r="CH74" i="1" s="1"/>
  <c r="CG75" i="1"/>
  <c r="CH75" i="1" s="1"/>
  <c r="CG142" i="1"/>
  <c r="CH142" i="1" s="1"/>
  <c r="CG48" i="1"/>
  <c r="CH48" i="1" s="1"/>
  <c r="CG179" i="1"/>
  <c r="CH179" i="1" s="1"/>
  <c r="CG52" i="1"/>
  <c r="CH52" i="1" s="1"/>
  <c r="CG65" i="1"/>
  <c r="CH65" i="1" s="1"/>
  <c r="CG49" i="1"/>
  <c r="CH49" i="1" s="1"/>
  <c r="CG170" i="1"/>
  <c r="CH170" i="1" s="1"/>
  <c r="CG76" i="1"/>
  <c r="CH76" i="1" s="1"/>
  <c r="CG82" i="1"/>
  <c r="CH82" i="1" s="1"/>
  <c r="CG140" i="1"/>
  <c r="CH140" i="1" s="1"/>
  <c r="CG9" i="1"/>
  <c r="CH9" i="1" s="1"/>
  <c r="CG30" i="1"/>
  <c r="CH30" i="1" s="1"/>
  <c r="CG54" i="1"/>
  <c r="CH54" i="1" s="1"/>
  <c r="CG158" i="1"/>
  <c r="CH158" i="1" s="1"/>
  <c r="CG151" i="1"/>
  <c r="CH151" i="1" s="1"/>
  <c r="CG23" i="1"/>
  <c r="CH23" i="1" s="1"/>
  <c r="CG144" i="1"/>
  <c r="CH144" i="1" s="1"/>
  <c r="CG109" i="1"/>
  <c r="CH109" i="1" s="1"/>
  <c r="CG43" i="1"/>
  <c r="CH43" i="1" s="1"/>
  <c r="CG10" i="1"/>
  <c r="CH10" i="1" s="1"/>
  <c r="CG20" i="1"/>
  <c r="CH20" i="1" s="1"/>
  <c r="CG86" i="1"/>
  <c r="CH86" i="1" s="1"/>
  <c r="CG71" i="1"/>
  <c r="CH71" i="1" s="1"/>
  <c r="CG182" i="1"/>
  <c r="CH182" i="1" s="1"/>
  <c r="CG95" i="1"/>
  <c r="CH95" i="1" s="1"/>
  <c r="CG94" i="1"/>
  <c r="CH94" i="1" s="1"/>
  <c r="CG98" i="1"/>
  <c r="CH98" i="1" s="1"/>
  <c r="CG135" i="1"/>
  <c r="CH135" i="1" s="1"/>
  <c r="CG124" i="1"/>
  <c r="CH124" i="1" s="1"/>
  <c r="CG146" i="1"/>
  <c r="CH146" i="1" s="1"/>
  <c r="CG2" i="1"/>
  <c r="CH2" i="1" s="1"/>
  <c r="CG145" i="1"/>
  <c r="CH145" i="1" s="1"/>
  <c r="CG60" i="1"/>
  <c r="CH60" i="1" s="1"/>
  <c r="CG175" i="1"/>
  <c r="CH175" i="1" s="1"/>
  <c r="CG62" i="1"/>
  <c r="CH62" i="1" s="1"/>
  <c r="CG105" i="1"/>
  <c r="CH105" i="1" s="1"/>
  <c r="CG40" i="1"/>
  <c r="CH40" i="1" s="1"/>
  <c r="CG171" i="1"/>
  <c r="CH171" i="1" s="1"/>
  <c r="CG18" i="1"/>
  <c r="CH18" i="1" s="1"/>
  <c r="CG42" i="1"/>
  <c r="CH42" i="1" s="1"/>
  <c r="CG107" i="1"/>
  <c r="CH107" i="1" s="1"/>
  <c r="CG92" i="1"/>
  <c r="CH92" i="1" s="1"/>
  <c r="CG103" i="1"/>
  <c r="CH103" i="1" s="1"/>
  <c r="CG131" i="1"/>
  <c r="CH131" i="1" s="1"/>
  <c r="CG106" i="1"/>
  <c r="CH106" i="1" s="1"/>
  <c r="CG19" i="1"/>
  <c r="CH19" i="1" s="1"/>
  <c r="CG169" i="1"/>
  <c r="CH169" i="1" s="1"/>
  <c r="CG101" i="1"/>
  <c r="CH101" i="1" s="1"/>
  <c r="CG78" i="1"/>
  <c r="CH78" i="1" s="1"/>
  <c r="CG72" i="1"/>
  <c r="CH72" i="1" s="1"/>
  <c r="CG100" i="1"/>
  <c r="CH100" i="1" s="1"/>
  <c r="CG181" i="1"/>
  <c r="CH181" i="1" s="1"/>
  <c r="CG162" i="1"/>
  <c r="CH162" i="1" s="1"/>
  <c r="CG160" i="1"/>
  <c r="CH160" i="1" s="1"/>
  <c r="CG29" i="1"/>
  <c r="CH29" i="1" s="1"/>
  <c r="CG90" i="1"/>
  <c r="CH90" i="1" s="1"/>
  <c r="CG132" i="1"/>
  <c r="CH132" i="1" s="1"/>
  <c r="CG93" i="1"/>
  <c r="CH93" i="1" s="1"/>
  <c r="CG129" i="1"/>
  <c r="CH129" i="1" s="1"/>
  <c r="CG6" i="1"/>
  <c r="CH6" i="1" s="1"/>
  <c r="CG104" i="1"/>
  <c r="CH104" i="1" s="1"/>
  <c r="CG3" i="1"/>
  <c r="CH3" i="1" s="1"/>
  <c r="CG77" i="1"/>
  <c r="CH77" i="1" s="1"/>
  <c r="CG8" i="1"/>
  <c r="CH8" i="1" s="1"/>
  <c r="CG189" i="1"/>
  <c r="CH189" i="1" s="1"/>
  <c r="CG67" i="1"/>
  <c r="CH67" i="1" s="1"/>
  <c r="CG167" i="1"/>
  <c r="CH167" i="1" s="1"/>
  <c r="CG26" i="1"/>
  <c r="CH26" i="1" s="1"/>
  <c r="CG87" i="1"/>
  <c r="CH87" i="1" s="1"/>
  <c r="CG125" i="1"/>
  <c r="CH125" i="1" s="1"/>
  <c r="CG159" i="1"/>
  <c r="CH159" i="1" s="1"/>
  <c r="CG127" i="1"/>
  <c r="CH127" i="1" s="1"/>
  <c r="CG177" i="1"/>
  <c r="CH177" i="1" s="1"/>
  <c r="CG116" i="1"/>
  <c r="CH116" i="1" s="1"/>
  <c r="CG196" i="1"/>
  <c r="CH196" i="1" s="1"/>
  <c r="CG115" i="1"/>
  <c r="CH115" i="1" s="1"/>
  <c r="CG148" i="1"/>
  <c r="CG136" i="1"/>
  <c r="CH136" i="1" s="1"/>
  <c r="CG155" i="1"/>
  <c r="CH155" i="1" s="1"/>
  <c r="CG73" i="1"/>
  <c r="CH73" i="1" s="1"/>
  <c r="CG27" i="1"/>
  <c r="CH27" i="1" s="1"/>
  <c r="CG37" i="1"/>
  <c r="CH37" i="1" s="1"/>
  <c r="CG45" i="1"/>
  <c r="CH45" i="1" s="1"/>
  <c r="CG157" i="1"/>
  <c r="CH157" i="1" s="1"/>
  <c r="CG44" i="1"/>
  <c r="CH44" i="1" s="1"/>
  <c r="CG31" i="1"/>
  <c r="CH31" i="1" s="1"/>
  <c r="CG138" i="1"/>
  <c r="CH138" i="1" s="1"/>
  <c r="CG61" i="1"/>
  <c r="CH61" i="1" s="1"/>
  <c r="CG165" i="1"/>
  <c r="CH165" i="1" s="1"/>
  <c r="CG184" i="1"/>
  <c r="CH184" i="1" s="1"/>
  <c r="CG118" i="1"/>
  <c r="CH118" i="1" s="1"/>
  <c r="CG119" i="1"/>
  <c r="CH119" i="1" s="1"/>
  <c r="CG79" i="1"/>
  <c r="CH79" i="1" s="1"/>
  <c r="CG141" i="1"/>
  <c r="CH141" i="1" s="1"/>
  <c r="CG55" i="1"/>
  <c r="CH55" i="1" s="1"/>
  <c r="CG187" i="1"/>
  <c r="CH187" i="1" s="1"/>
  <c r="CG110" i="1"/>
  <c r="CH110" i="1" s="1"/>
  <c r="CG80" i="1"/>
  <c r="CH80" i="1" s="1"/>
  <c r="CG137" i="1"/>
  <c r="CH137" i="1" s="1"/>
  <c r="CG12" i="1"/>
  <c r="CH12" i="1" s="1"/>
  <c r="CG178" i="1"/>
  <c r="CH178" i="1" s="1"/>
  <c r="CG186" i="1"/>
  <c r="CH186" i="1" s="1"/>
  <c r="CG97" i="1"/>
  <c r="CH97" i="1" s="1"/>
  <c r="CG188" i="1"/>
  <c r="CH188" i="1" s="1"/>
  <c r="CG126" i="1"/>
  <c r="CH126" i="1" s="1"/>
  <c r="CG84" i="1"/>
  <c r="CH84" i="1" s="1"/>
  <c r="CG39" i="1"/>
  <c r="CH39" i="1" s="1"/>
  <c r="CG56" i="1"/>
  <c r="CH56" i="1" s="1"/>
  <c r="CG91" i="1"/>
  <c r="CH91" i="1" s="1"/>
  <c r="CG191" i="1"/>
  <c r="CH191" i="1" s="1"/>
  <c r="CG58" i="1"/>
  <c r="CH58" i="1" s="1"/>
  <c r="CG185" i="1"/>
  <c r="CH185" i="1" s="1"/>
  <c r="CG173" i="1"/>
  <c r="CH173" i="1" s="1"/>
  <c r="CG53" i="1"/>
  <c r="CH53" i="1" s="1"/>
  <c r="CG81" i="1"/>
  <c r="CH81" i="1" s="1"/>
  <c r="CG15" i="1"/>
  <c r="CH15" i="1" s="1"/>
  <c r="CG63" i="1"/>
  <c r="CH63" i="1" s="1"/>
  <c r="CG183" i="1"/>
  <c r="CH183" i="1" s="1"/>
  <c r="CG16" i="1"/>
  <c r="CG166" i="1"/>
  <c r="CH166" i="1" s="1"/>
  <c r="CG66" i="1"/>
  <c r="CH66" i="1" s="1"/>
  <c r="CG174" i="1"/>
  <c r="CH174" i="1" s="1"/>
  <c r="CG64" i="1"/>
  <c r="CH64" i="1" s="1"/>
  <c r="CG111" i="1"/>
  <c r="CH111" i="1" s="1"/>
  <c r="CG197" i="1"/>
  <c r="CH197" i="1" s="1"/>
  <c r="CG5" i="1"/>
  <c r="CH5" i="1" s="1"/>
  <c r="CG46" i="1"/>
  <c r="CH46" i="1" s="1"/>
  <c r="CG120" i="1"/>
  <c r="CH120" i="1" s="1"/>
  <c r="CG194" i="1"/>
  <c r="CH194" i="1" s="1"/>
  <c r="CG108" i="1"/>
  <c r="CH108" i="1" s="1"/>
  <c r="CG164" i="1"/>
  <c r="CH164" i="1" s="1"/>
  <c r="CG96" i="1"/>
  <c r="CH96" i="1" s="1"/>
  <c r="CG85" i="1"/>
  <c r="CH85" i="1" s="1"/>
  <c r="CG128" i="1"/>
  <c r="CH128" i="1" s="1"/>
  <c r="BU13" i="1"/>
  <c r="BV13" i="1" s="1"/>
  <c r="BU83" i="1"/>
  <c r="BV83" i="1" s="1"/>
  <c r="BU22" i="1"/>
  <c r="BV22" i="1" s="1"/>
  <c r="BU143" i="1"/>
  <c r="BV143" i="1" s="1"/>
  <c r="BU113" i="1"/>
  <c r="BV113" i="1" s="1"/>
  <c r="BU4" i="1"/>
  <c r="BV4" i="1" s="1"/>
  <c r="BU139" i="1"/>
  <c r="BV139" i="1" s="1"/>
  <c r="BU38" i="1"/>
  <c r="BV38" i="1" s="1"/>
  <c r="BU193" i="1"/>
  <c r="BV193" i="1" s="1"/>
  <c r="BU99" i="1"/>
  <c r="BV99" i="1" s="1"/>
  <c r="BU122" i="1"/>
  <c r="BV122" i="1" s="1"/>
  <c r="BU112" i="1"/>
  <c r="BV112" i="1" s="1"/>
  <c r="BU134" i="1"/>
  <c r="BV134" i="1" s="1"/>
  <c r="BU33" i="1"/>
  <c r="BV33" i="1" s="1"/>
  <c r="BU133" i="1"/>
  <c r="BV133" i="1" s="1"/>
  <c r="BU25" i="1"/>
  <c r="BV25" i="1" s="1"/>
  <c r="BU59" i="1"/>
  <c r="BV59" i="1" s="1"/>
  <c r="BU68" i="1"/>
  <c r="BV68" i="1" s="1"/>
  <c r="BU11" i="1"/>
  <c r="BV11" i="1" s="1"/>
  <c r="BU88" i="1"/>
  <c r="BV88" i="1" s="1"/>
  <c r="BU163" i="1"/>
  <c r="BV163" i="1" s="1"/>
  <c r="BU192" i="1"/>
  <c r="BV192" i="1" s="1"/>
  <c r="BU161" i="1"/>
  <c r="BV161" i="1" s="1"/>
  <c r="BU32" i="1"/>
  <c r="BV32" i="1" s="1"/>
  <c r="BU152" i="1"/>
  <c r="BV152" i="1" s="1"/>
  <c r="BU190" i="1"/>
  <c r="BV190" i="1" s="1"/>
  <c r="BU176" i="1"/>
  <c r="BV176" i="1" s="1"/>
  <c r="BU36" i="1"/>
  <c r="BV36" i="1" s="1"/>
  <c r="BU35" i="1"/>
  <c r="BV35" i="1" s="1"/>
  <c r="BU121" i="1"/>
  <c r="BV121" i="1" s="1"/>
  <c r="BU149" i="1"/>
  <c r="BV149" i="1" s="1"/>
  <c r="BU117" i="1"/>
  <c r="BV117" i="1" s="1"/>
  <c r="BU14" i="1"/>
  <c r="BV14" i="1" s="1"/>
  <c r="BU41" i="1"/>
  <c r="BV41" i="1" s="1"/>
  <c r="BU28" i="1"/>
  <c r="BV28" i="1" s="1"/>
  <c r="BU147" i="1"/>
  <c r="BV147" i="1" s="1"/>
  <c r="BU21" i="1"/>
  <c r="BV21" i="1" s="1"/>
  <c r="BU17" i="1"/>
  <c r="BV17" i="1" s="1"/>
  <c r="BU153" i="1"/>
  <c r="BV153" i="1" s="1"/>
  <c r="BU168" i="1"/>
  <c r="BV168" i="1" s="1"/>
  <c r="BU130" i="1"/>
  <c r="BV130" i="1" s="1"/>
  <c r="BU51" i="1"/>
  <c r="BV51" i="1" s="1"/>
  <c r="BU70" i="1"/>
  <c r="BV70" i="1" s="1"/>
  <c r="BU50" i="1"/>
  <c r="BV50" i="1" s="1"/>
  <c r="BU172" i="1"/>
  <c r="BV172" i="1" s="1"/>
  <c r="BU24" i="1"/>
  <c r="BV24" i="1" s="1"/>
  <c r="BU123" i="1"/>
  <c r="BV123" i="1" s="1"/>
  <c r="BU198" i="1"/>
  <c r="BV198" i="1" s="1"/>
  <c r="BU57" i="1"/>
  <c r="BV57" i="1" s="1"/>
  <c r="BU156" i="1"/>
  <c r="BV156" i="1" s="1"/>
  <c r="BU69" i="1"/>
  <c r="BV69" i="1" s="1"/>
  <c r="BU154" i="1"/>
  <c r="BV154" i="1" s="1"/>
  <c r="BU195" i="1"/>
  <c r="BV195" i="1" s="1"/>
  <c r="BU180" i="1"/>
  <c r="BV180" i="1" s="1"/>
  <c r="BU7" i="1"/>
  <c r="BV7" i="1" s="1"/>
  <c r="BU34" i="1"/>
  <c r="BV34" i="1" s="1"/>
  <c r="BU89" i="1"/>
  <c r="BV89" i="1" s="1"/>
  <c r="BU150" i="1"/>
  <c r="BV150" i="1" s="1"/>
  <c r="BU114" i="1"/>
  <c r="BV114" i="1" s="1"/>
  <c r="BU47" i="1"/>
  <c r="BV47" i="1" s="1"/>
  <c r="BU102" i="1"/>
  <c r="BV102" i="1" s="1"/>
  <c r="BU74" i="1"/>
  <c r="BV74" i="1" s="1"/>
  <c r="BU75" i="1"/>
  <c r="BV75" i="1" s="1"/>
  <c r="BU142" i="1"/>
  <c r="BV142" i="1" s="1"/>
  <c r="BU48" i="1"/>
  <c r="BV48" i="1" s="1"/>
  <c r="BU179" i="1"/>
  <c r="BV179" i="1" s="1"/>
  <c r="BU52" i="1"/>
  <c r="BV52" i="1" s="1"/>
  <c r="BU65" i="1"/>
  <c r="BV65" i="1" s="1"/>
  <c r="BU49" i="1"/>
  <c r="BV49" i="1" s="1"/>
  <c r="BU170" i="1"/>
  <c r="BV170" i="1" s="1"/>
  <c r="BU76" i="1"/>
  <c r="BV76" i="1" s="1"/>
  <c r="BU82" i="1"/>
  <c r="BV82" i="1" s="1"/>
  <c r="BU140" i="1"/>
  <c r="BV140" i="1" s="1"/>
  <c r="BU9" i="1"/>
  <c r="BV9" i="1" s="1"/>
  <c r="BU30" i="1"/>
  <c r="BV30" i="1" s="1"/>
  <c r="BU54" i="1"/>
  <c r="BV54" i="1" s="1"/>
  <c r="BU158" i="1"/>
  <c r="BV158" i="1" s="1"/>
  <c r="BU151" i="1"/>
  <c r="BV151" i="1" s="1"/>
  <c r="BU23" i="1"/>
  <c r="BV23" i="1" s="1"/>
  <c r="BU144" i="1"/>
  <c r="BV144" i="1" s="1"/>
  <c r="BU109" i="1"/>
  <c r="BV109" i="1" s="1"/>
  <c r="BU43" i="1"/>
  <c r="BV43" i="1" s="1"/>
  <c r="BU10" i="1"/>
  <c r="BV10" i="1" s="1"/>
  <c r="BU20" i="1"/>
  <c r="BV20" i="1" s="1"/>
  <c r="BU86" i="1"/>
  <c r="BV86" i="1" s="1"/>
  <c r="BU71" i="1"/>
  <c r="BV71" i="1" s="1"/>
  <c r="BU182" i="1"/>
  <c r="BV182" i="1" s="1"/>
  <c r="BU95" i="1"/>
  <c r="BV95" i="1" s="1"/>
  <c r="BU94" i="1"/>
  <c r="BV94" i="1" s="1"/>
  <c r="BU98" i="1"/>
  <c r="BV98" i="1" s="1"/>
  <c r="BU135" i="1"/>
  <c r="BV135" i="1" s="1"/>
  <c r="BU124" i="1"/>
  <c r="BV124" i="1" s="1"/>
  <c r="BU146" i="1"/>
  <c r="BV146" i="1" s="1"/>
  <c r="BU2" i="1"/>
  <c r="BV2" i="1" s="1"/>
  <c r="BU145" i="1"/>
  <c r="BV145" i="1" s="1"/>
  <c r="BU60" i="1"/>
  <c r="BV60" i="1" s="1"/>
  <c r="BU175" i="1"/>
  <c r="BV175" i="1" s="1"/>
  <c r="BU62" i="1"/>
  <c r="BV62" i="1" s="1"/>
  <c r="BU105" i="1"/>
  <c r="BV105" i="1" s="1"/>
  <c r="BU40" i="1"/>
  <c r="BV40" i="1" s="1"/>
  <c r="BU171" i="1"/>
  <c r="BV171" i="1" s="1"/>
  <c r="BU18" i="1"/>
  <c r="BV18" i="1" s="1"/>
  <c r="BU42" i="1"/>
  <c r="BV42" i="1" s="1"/>
  <c r="BU107" i="1"/>
  <c r="BV107" i="1" s="1"/>
  <c r="BU92" i="1"/>
  <c r="BV92" i="1" s="1"/>
  <c r="BU103" i="1"/>
  <c r="BV103" i="1" s="1"/>
  <c r="BU131" i="1"/>
  <c r="BV131" i="1" s="1"/>
  <c r="BU106" i="1"/>
  <c r="BV106" i="1" s="1"/>
  <c r="BU19" i="1"/>
  <c r="BV19" i="1" s="1"/>
  <c r="BU169" i="1"/>
  <c r="BV169" i="1" s="1"/>
  <c r="BU101" i="1"/>
  <c r="BV101" i="1" s="1"/>
  <c r="BU78" i="1"/>
  <c r="BV78" i="1" s="1"/>
  <c r="BU72" i="1"/>
  <c r="BV72" i="1" s="1"/>
  <c r="BU100" i="1"/>
  <c r="BV100" i="1" s="1"/>
  <c r="BU181" i="1"/>
  <c r="BV181" i="1" s="1"/>
  <c r="BU162" i="1"/>
  <c r="BV162" i="1" s="1"/>
  <c r="BU160" i="1"/>
  <c r="BV160" i="1" s="1"/>
  <c r="BU29" i="1"/>
  <c r="BV29" i="1" s="1"/>
  <c r="BU90" i="1"/>
  <c r="BV90" i="1" s="1"/>
  <c r="BU132" i="1"/>
  <c r="BV132" i="1" s="1"/>
  <c r="BU93" i="1"/>
  <c r="BV93" i="1" s="1"/>
  <c r="BU129" i="1"/>
  <c r="BV129" i="1" s="1"/>
  <c r="BU6" i="1"/>
  <c r="BV6" i="1" s="1"/>
  <c r="BU104" i="1"/>
  <c r="BV104" i="1" s="1"/>
  <c r="BU3" i="1"/>
  <c r="BV3" i="1" s="1"/>
  <c r="BU77" i="1"/>
  <c r="BV77" i="1" s="1"/>
  <c r="BU8" i="1"/>
  <c r="BV8" i="1" s="1"/>
  <c r="BU189" i="1"/>
  <c r="BV189" i="1" s="1"/>
  <c r="BU67" i="1"/>
  <c r="BV67" i="1" s="1"/>
  <c r="BU167" i="1"/>
  <c r="BV167" i="1" s="1"/>
  <c r="BU26" i="1"/>
  <c r="BV26" i="1" s="1"/>
  <c r="BU87" i="1"/>
  <c r="BV87" i="1" s="1"/>
  <c r="BU125" i="1"/>
  <c r="BV125" i="1" s="1"/>
  <c r="BU159" i="1"/>
  <c r="BV159" i="1" s="1"/>
  <c r="BU127" i="1"/>
  <c r="BV127" i="1" s="1"/>
  <c r="BU177" i="1"/>
  <c r="BV177" i="1" s="1"/>
  <c r="BU116" i="1"/>
  <c r="BV116" i="1" s="1"/>
  <c r="BU196" i="1"/>
  <c r="BV196" i="1" s="1"/>
  <c r="BU115" i="1"/>
  <c r="BV115" i="1" s="1"/>
  <c r="BU148" i="1"/>
  <c r="BV148" i="1" s="1"/>
  <c r="BU136" i="1"/>
  <c r="BV136" i="1" s="1"/>
  <c r="BU155" i="1"/>
  <c r="BV155" i="1" s="1"/>
  <c r="BU73" i="1"/>
  <c r="BV73" i="1" s="1"/>
  <c r="BU27" i="1"/>
  <c r="BV27" i="1" s="1"/>
  <c r="BU37" i="1"/>
  <c r="BV37" i="1" s="1"/>
  <c r="BU45" i="1"/>
  <c r="BV45" i="1" s="1"/>
  <c r="BU157" i="1"/>
  <c r="BU44" i="1"/>
  <c r="BV44" i="1" s="1"/>
  <c r="BU31" i="1"/>
  <c r="BV31" i="1" s="1"/>
  <c r="BU138" i="1"/>
  <c r="BV138" i="1" s="1"/>
  <c r="BU61" i="1"/>
  <c r="BV61" i="1" s="1"/>
  <c r="BU165" i="1"/>
  <c r="BV165" i="1" s="1"/>
  <c r="BU184" i="1"/>
  <c r="BV184" i="1" s="1"/>
  <c r="BU118" i="1"/>
  <c r="BV118" i="1" s="1"/>
  <c r="BU119" i="1"/>
  <c r="BV119" i="1" s="1"/>
  <c r="BU79" i="1"/>
  <c r="BV79" i="1" s="1"/>
  <c r="BU141" i="1"/>
  <c r="BV141" i="1" s="1"/>
  <c r="BU55" i="1"/>
  <c r="BV55" i="1" s="1"/>
  <c r="BU187" i="1"/>
  <c r="BV187" i="1" s="1"/>
  <c r="BU110" i="1"/>
  <c r="BV110" i="1" s="1"/>
  <c r="BU80" i="1"/>
  <c r="BV80" i="1" s="1"/>
  <c r="BU137" i="1"/>
  <c r="BV137" i="1" s="1"/>
  <c r="BU12" i="1"/>
  <c r="BV12" i="1" s="1"/>
  <c r="BU178" i="1"/>
  <c r="BV178" i="1" s="1"/>
  <c r="BU186" i="1"/>
  <c r="BV186" i="1" s="1"/>
  <c r="BU97" i="1"/>
  <c r="BV97" i="1" s="1"/>
  <c r="BU188" i="1"/>
  <c r="BV188" i="1" s="1"/>
  <c r="BU126" i="1"/>
  <c r="BV126" i="1" s="1"/>
  <c r="BU84" i="1"/>
  <c r="BV84" i="1" s="1"/>
  <c r="BU39" i="1"/>
  <c r="BV39" i="1" s="1"/>
  <c r="BU56" i="1"/>
  <c r="BV56" i="1" s="1"/>
  <c r="BU91" i="1"/>
  <c r="BV91" i="1" s="1"/>
  <c r="BU191" i="1"/>
  <c r="BV191" i="1" s="1"/>
  <c r="BU58" i="1"/>
  <c r="BV58" i="1" s="1"/>
  <c r="BU185" i="1"/>
  <c r="BV185" i="1" s="1"/>
  <c r="BU173" i="1"/>
  <c r="BV173" i="1" s="1"/>
  <c r="BU53" i="1"/>
  <c r="BV53" i="1" s="1"/>
  <c r="BU81" i="1"/>
  <c r="BV81" i="1" s="1"/>
  <c r="BU15" i="1"/>
  <c r="BV15" i="1" s="1"/>
  <c r="BU63" i="1"/>
  <c r="BV63" i="1" s="1"/>
  <c r="BU183" i="1"/>
  <c r="BV183" i="1" s="1"/>
  <c r="BU16" i="1"/>
  <c r="BV16" i="1" s="1"/>
  <c r="BU166" i="1"/>
  <c r="BV166" i="1" s="1"/>
  <c r="BU66" i="1"/>
  <c r="BV66" i="1" s="1"/>
  <c r="BU174" i="1"/>
  <c r="BV174" i="1" s="1"/>
  <c r="BU64" i="1"/>
  <c r="BV64" i="1" s="1"/>
  <c r="BU111" i="1"/>
  <c r="BV111" i="1" s="1"/>
  <c r="BU197" i="1"/>
  <c r="BV197" i="1" s="1"/>
  <c r="BU5" i="1"/>
  <c r="BV5" i="1" s="1"/>
  <c r="BU46" i="1"/>
  <c r="BV46" i="1" s="1"/>
  <c r="BU120" i="1"/>
  <c r="BV120" i="1" s="1"/>
  <c r="BU194" i="1"/>
  <c r="BV194" i="1" s="1"/>
  <c r="BU108" i="1"/>
  <c r="BV108" i="1" s="1"/>
  <c r="BU164" i="1"/>
  <c r="BV164" i="1" s="1"/>
  <c r="BU96" i="1"/>
  <c r="BV96" i="1" s="1"/>
  <c r="BU85" i="1"/>
  <c r="BV85" i="1" s="1"/>
  <c r="BU128" i="1"/>
  <c r="BV128" i="1" s="1"/>
  <c r="E10" i="25"/>
  <c r="E8" i="25"/>
  <c r="E7" i="25"/>
  <c r="E6" i="25"/>
  <c r="E5" i="25"/>
  <c r="D9" i="25"/>
  <c r="D8" i="25"/>
  <c r="D6" i="25"/>
  <c r="D5" i="25"/>
  <c r="D10" i="25"/>
  <c r="C7" i="25"/>
  <c r="C39" i="17" s="1"/>
  <c r="C8" i="25"/>
  <c r="C6" i="25"/>
  <c r="C10" i="25"/>
  <c r="CH16" i="1" l="1"/>
  <c r="CH148" i="1"/>
  <c r="BV157" i="1"/>
  <c r="B47" i="17"/>
  <c r="B39" i="17"/>
  <c r="F14" i="3"/>
  <c r="G14" i="3"/>
  <c r="E14" i="3"/>
  <c r="H14" i="3"/>
  <c r="I14" i="3"/>
  <c r="G74" i="28" l="1"/>
  <c r="K29" i="28" s="1"/>
  <c r="G64" i="28"/>
  <c r="K28" i="28" s="1"/>
  <c r="E42" i="28"/>
  <c r="F42" i="28"/>
  <c r="E33" i="28"/>
  <c r="F33" i="28"/>
  <c r="G37" i="28"/>
  <c r="G38" i="28"/>
  <c r="G39" i="28"/>
  <c r="G40" i="28"/>
  <c r="G41" i="28"/>
  <c r="G28" i="28"/>
  <c r="G29" i="28"/>
  <c r="G30" i="28"/>
  <c r="G31" i="28"/>
  <c r="G32" i="28"/>
  <c r="G33" i="28" l="1"/>
  <c r="G42" i="28"/>
  <c r="G43" i="28" l="1"/>
  <c r="K26" i="28" s="1"/>
  <c r="Q2" i="29"/>
  <c r="Q199" i="29"/>
  <c r="U199" i="29" s="1"/>
  <c r="Q396" i="29"/>
  <c r="U396" i="29" s="1"/>
  <c r="Q10" i="28" s="1" a="1"/>
  <c r="Q10" i="28" s="1"/>
  <c r="Q593" i="29"/>
  <c r="U593" i="29" s="1"/>
  <c r="Q11" i="28" s="1" a="1"/>
  <c r="Q11" i="28" s="1"/>
  <c r="Q790" i="29"/>
  <c r="Q987" i="29"/>
  <c r="Q1184" i="29"/>
  <c r="Q1381" i="29"/>
  <c r="Q1578" i="29"/>
  <c r="Q3" i="29"/>
  <c r="Q200" i="29"/>
  <c r="Q397" i="29"/>
  <c r="Q594" i="29"/>
  <c r="Q791" i="29"/>
  <c r="Q988" i="29"/>
  <c r="Q1185" i="29"/>
  <c r="Q1382" i="29"/>
  <c r="Q1579" i="29"/>
  <c r="Q4" i="29"/>
  <c r="Q201" i="29"/>
  <c r="Q398" i="29"/>
  <c r="Q595" i="29"/>
  <c r="Q792" i="29"/>
  <c r="Q989" i="29"/>
  <c r="U989" i="29" s="1"/>
  <c r="Q1186" i="29"/>
  <c r="Q1383" i="29"/>
  <c r="Q1580" i="29"/>
  <c r="Q5" i="29"/>
  <c r="Q202" i="29"/>
  <c r="Q399" i="29"/>
  <c r="Q596" i="29"/>
  <c r="Q793" i="29"/>
  <c r="Q990" i="29"/>
  <c r="Q1187" i="29"/>
  <c r="Q1384" i="29"/>
  <c r="Q1581" i="29"/>
  <c r="Q6" i="29"/>
  <c r="Q203" i="29"/>
  <c r="Q400" i="29"/>
  <c r="Q597" i="29"/>
  <c r="U597" i="29" s="1"/>
  <c r="Q794" i="29"/>
  <c r="Q991" i="29"/>
  <c r="Q1188" i="29"/>
  <c r="Q1385" i="29"/>
  <c r="Q1582" i="29"/>
  <c r="Q7" i="29"/>
  <c r="Q204" i="29"/>
  <c r="Q401" i="29"/>
  <c r="Q598" i="29"/>
  <c r="U598" i="29" s="1"/>
  <c r="Q795" i="29"/>
  <c r="Q992" i="29"/>
  <c r="Q1189" i="29"/>
  <c r="Q1386" i="29"/>
  <c r="Q1583" i="29"/>
  <c r="Q8" i="29"/>
  <c r="Q205" i="29"/>
  <c r="Q402" i="29"/>
  <c r="Q599" i="29"/>
  <c r="Q796" i="29"/>
  <c r="Q993" i="29"/>
  <c r="U993" i="29" s="1"/>
  <c r="Q1190" i="29"/>
  <c r="Q1387" i="29"/>
  <c r="U1387" i="29" s="1"/>
  <c r="Q1584" i="29"/>
  <c r="Q9" i="29"/>
  <c r="Q206" i="29"/>
  <c r="Q403" i="29"/>
  <c r="Q600" i="29"/>
  <c r="Q797" i="29"/>
  <c r="Q994" i="29"/>
  <c r="Q1191" i="29"/>
  <c r="Q1388" i="29"/>
  <c r="Q1585" i="29"/>
  <c r="Q10" i="29"/>
  <c r="Q207" i="29"/>
  <c r="Q404" i="29"/>
  <c r="Q601" i="29"/>
  <c r="Q798" i="29"/>
  <c r="Q995" i="29"/>
  <c r="Q1192" i="29"/>
  <c r="Q1389" i="29"/>
  <c r="Q1586" i="29"/>
  <c r="Q11" i="29"/>
  <c r="Q208" i="29"/>
  <c r="Q405" i="29"/>
  <c r="Q602" i="29"/>
  <c r="Q799" i="29"/>
  <c r="Q996" i="29"/>
  <c r="Q1193" i="29"/>
  <c r="Q1390" i="29"/>
  <c r="Q1587" i="29"/>
  <c r="Q12" i="29"/>
  <c r="Q209" i="29"/>
  <c r="U209" i="29" s="1"/>
  <c r="Q406" i="29"/>
  <c r="Q603" i="29"/>
  <c r="Q800" i="29"/>
  <c r="Q997" i="29"/>
  <c r="Q1194" i="29"/>
  <c r="Q1391" i="29"/>
  <c r="Q1588" i="29"/>
  <c r="Q13" i="29"/>
  <c r="Q210" i="29"/>
  <c r="Q407" i="29"/>
  <c r="Q604" i="29"/>
  <c r="Q801" i="29"/>
  <c r="Q998" i="29"/>
  <c r="Q1195" i="29"/>
  <c r="Q1392" i="29"/>
  <c r="Q1589" i="29"/>
  <c r="Q14" i="29"/>
  <c r="Q211" i="29"/>
  <c r="Q408" i="29"/>
  <c r="Q605" i="29"/>
  <c r="Q802" i="29"/>
  <c r="U802" i="29" s="1"/>
  <c r="Q999" i="29"/>
  <c r="Q1196" i="29"/>
  <c r="Q1393" i="29"/>
  <c r="Q1590" i="29"/>
  <c r="Q15" i="29"/>
  <c r="Q212" i="29"/>
  <c r="Q409" i="29"/>
  <c r="Q606" i="29"/>
  <c r="Q803" i="29"/>
  <c r="Q1000" i="29"/>
  <c r="Q1197" i="29"/>
  <c r="Q1394" i="29"/>
  <c r="Q1591" i="29"/>
  <c r="Q16" i="29"/>
  <c r="Q213" i="29"/>
  <c r="Q410" i="29"/>
  <c r="Q607" i="29"/>
  <c r="Q804" i="29"/>
  <c r="Q1001" i="29"/>
  <c r="Q1198" i="29"/>
  <c r="Q1395" i="29"/>
  <c r="Q1592" i="29"/>
  <c r="Q17" i="29"/>
  <c r="Q214" i="29"/>
  <c r="Q411" i="29"/>
  <c r="Q608" i="29"/>
  <c r="Q805" i="29"/>
  <c r="Q1002" i="29"/>
  <c r="Q1199" i="29"/>
  <c r="Q1396" i="29"/>
  <c r="Q1593" i="29"/>
  <c r="Q18" i="29"/>
  <c r="Q215" i="29"/>
  <c r="Q412" i="29"/>
  <c r="Q609" i="29"/>
  <c r="Q806" i="29"/>
  <c r="Q1003" i="29"/>
  <c r="Q1200" i="29"/>
  <c r="Q1397" i="29"/>
  <c r="Q1594" i="29"/>
  <c r="Q19" i="29"/>
  <c r="Q216" i="29"/>
  <c r="Q413" i="29"/>
  <c r="Q610" i="29"/>
  <c r="Q807" i="29"/>
  <c r="Q1004" i="29"/>
  <c r="Q1201" i="29"/>
  <c r="Q1398" i="29"/>
  <c r="Q1595" i="29"/>
  <c r="Q20" i="29"/>
  <c r="Q217" i="29"/>
  <c r="Q414" i="29"/>
  <c r="Q611" i="29"/>
  <c r="U611" i="29" s="1"/>
  <c r="Q808" i="29"/>
  <c r="Q1005" i="29"/>
  <c r="Q1202" i="29"/>
  <c r="Q1399" i="29"/>
  <c r="Q1596" i="29"/>
  <c r="U1596" i="29" s="1"/>
  <c r="Q21" i="29"/>
  <c r="Q218" i="29"/>
  <c r="Q415" i="29"/>
  <c r="Q612" i="29"/>
  <c r="Q809" i="29"/>
  <c r="Q1006" i="29"/>
  <c r="Q1203" i="29"/>
  <c r="Q1400" i="29"/>
  <c r="Q1597" i="29"/>
  <c r="Q22" i="29"/>
  <c r="Q219" i="29"/>
  <c r="Q416" i="29"/>
  <c r="U416" i="29" s="1"/>
  <c r="Q613" i="29"/>
  <c r="Q810" i="29"/>
  <c r="Q1007" i="29"/>
  <c r="Q1204" i="29"/>
  <c r="Q1401" i="29"/>
  <c r="U1401" i="29" s="1"/>
  <c r="Q1598" i="29"/>
  <c r="U1598" i="29" s="1"/>
  <c r="Q23" i="29"/>
  <c r="Q220" i="29"/>
  <c r="Q417" i="29"/>
  <c r="U417" i="29" s="1"/>
  <c r="Q614" i="29"/>
  <c r="Q811" i="29"/>
  <c r="Q1008" i="29"/>
  <c r="Q1205" i="29"/>
  <c r="Q1402" i="29"/>
  <c r="Q1599" i="29"/>
  <c r="Q24" i="29"/>
  <c r="Q221" i="29"/>
  <c r="Q418" i="29"/>
  <c r="Q615" i="29"/>
  <c r="Q812" i="29"/>
  <c r="Q1009" i="29"/>
  <c r="Q1206" i="29"/>
  <c r="Q1403" i="29"/>
  <c r="U1403" i="29" s="1"/>
  <c r="Q1600" i="29"/>
  <c r="U1600" i="29" s="1"/>
  <c r="Q25" i="29"/>
  <c r="Q222" i="29"/>
  <c r="Q419" i="29"/>
  <c r="Q616" i="29"/>
  <c r="Q813" i="29"/>
  <c r="Q1010" i="29"/>
  <c r="Q1207" i="29"/>
  <c r="Q1404" i="29"/>
  <c r="Q1601" i="29"/>
  <c r="Q26" i="29"/>
  <c r="Q223" i="29"/>
  <c r="Q420" i="29"/>
  <c r="Q617" i="29"/>
  <c r="Q814" i="29"/>
  <c r="Q1011" i="29"/>
  <c r="Q1208" i="29"/>
  <c r="Q1405" i="29"/>
  <c r="Q1602" i="29"/>
  <c r="Q27" i="29"/>
  <c r="Q224" i="29"/>
  <c r="Q421" i="29"/>
  <c r="Q618" i="29"/>
  <c r="Q815" i="29"/>
  <c r="Q1012" i="29"/>
  <c r="Q1209" i="29"/>
  <c r="Q1406" i="29"/>
  <c r="Q1603" i="29"/>
  <c r="Q28" i="29"/>
  <c r="Q225" i="29"/>
  <c r="Q422" i="29"/>
  <c r="Q619" i="29"/>
  <c r="Q816" i="29"/>
  <c r="Q1013" i="29"/>
  <c r="Q1210" i="29"/>
  <c r="Q1407" i="29"/>
  <c r="Q1604" i="29"/>
  <c r="Q29" i="29"/>
  <c r="Q226" i="29"/>
  <c r="Q423" i="29"/>
  <c r="U423" i="29" s="1"/>
  <c r="Q620" i="29"/>
  <c r="U620" i="29" s="1"/>
  <c r="Q817" i="29"/>
  <c r="Q1014" i="29"/>
  <c r="Q1211" i="29"/>
  <c r="U1211" i="29" s="1"/>
  <c r="Q1408" i="29"/>
  <c r="Q1605" i="29"/>
  <c r="Q30" i="29"/>
  <c r="Q227" i="29"/>
  <c r="Q424" i="29"/>
  <c r="Q621" i="29"/>
  <c r="Q818" i="29"/>
  <c r="Q1015" i="29"/>
  <c r="Q1212" i="29"/>
  <c r="Q1409" i="29"/>
  <c r="Q1606" i="29"/>
  <c r="Q31" i="29"/>
  <c r="Q228" i="29"/>
  <c r="Q425" i="29"/>
  <c r="Q622" i="29"/>
  <c r="Q819" i="29"/>
  <c r="Q1016" i="29"/>
  <c r="Q1213" i="29"/>
  <c r="Q1410" i="29"/>
  <c r="Q1607" i="29"/>
  <c r="Q32" i="29"/>
  <c r="Q229" i="29"/>
  <c r="Q426" i="29"/>
  <c r="Q623" i="29"/>
  <c r="U623" i="29" s="1"/>
  <c r="Q820" i="29"/>
  <c r="Q1017" i="29"/>
  <c r="Q1214" i="29"/>
  <c r="Q1411" i="29"/>
  <c r="Q1608" i="29"/>
  <c r="Q33" i="29"/>
  <c r="Q230" i="29"/>
  <c r="Q427" i="29"/>
  <c r="Q624" i="29"/>
  <c r="Q821" i="29"/>
  <c r="Q1018" i="29"/>
  <c r="Q1215" i="29"/>
  <c r="Q1412" i="29"/>
  <c r="Q1609" i="29"/>
  <c r="Q34" i="29"/>
  <c r="Q231" i="29"/>
  <c r="Q428" i="29"/>
  <c r="Q625" i="29"/>
  <c r="U625" i="29" s="1"/>
  <c r="Q822" i="29"/>
  <c r="Q1019" i="29"/>
  <c r="Q1216" i="29"/>
  <c r="Q1413" i="29"/>
  <c r="Q1610" i="29"/>
  <c r="Q35" i="29"/>
  <c r="Q232" i="29"/>
  <c r="Q429" i="29"/>
  <c r="Q626" i="29"/>
  <c r="Q823" i="29"/>
  <c r="Q1020" i="29"/>
  <c r="Q1217" i="29"/>
  <c r="Q1414" i="29"/>
  <c r="Q1611" i="29"/>
  <c r="Q36" i="29"/>
  <c r="Q233" i="29"/>
  <c r="Q430" i="29"/>
  <c r="Q627" i="29"/>
  <c r="Q824" i="29"/>
  <c r="U824" i="29" s="1"/>
  <c r="Q1021" i="29"/>
  <c r="Q1218" i="29"/>
  <c r="Q1415" i="29"/>
  <c r="Q1612" i="29"/>
  <c r="Q37" i="29"/>
  <c r="Q234" i="29"/>
  <c r="Q431" i="29"/>
  <c r="Q628" i="29"/>
  <c r="Q825" i="29"/>
  <c r="Q1022" i="29"/>
  <c r="Q1219" i="29"/>
  <c r="Q1416" i="29"/>
  <c r="Q1613" i="29"/>
  <c r="Q38" i="29"/>
  <c r="Q235" i="29"/>
  <c r="Q432" i="29"/>
  <c r="Q629" i="29"/>
  <c r="Q826" i="29"/>
  <c r="Q1023" i="29"/>
  <c r="Q1220" i="29"/>
  <c r="Q1417" i="29"/>
  <c r="Q1614" i="29"/>
  <c r="Q39" i="29"/>
  <c r="Q236" i="29"/>
  <c r="Q433" i="29"/>
  <c r="Q630" i="29"/>
  <c r="Q827" i="29"/>
  <c r="Q1024" i="29"/>
  <c r="Q1221" i="29"/>
  <c r="Q1418" i="29"/>
  <c r="Q1615" i="29"/>
  <c r="Q40" i="29"/>
  <c r="Q237" i="29"/>
  <c r="Q434" i="29"/>
  <c r="Q631" i="29"/>
  <c r="Q828" i="29"/>
  <c r="Q1025" i="29"/>
  <c r="Q1222" i="29"/>
  <c r="Q1419" i="29"/>
  <c r="Q1616" i="29"/>
  <c r="Q41" i="29"/>
  <c r="Q238" i="29"/>
  <c r="Q435" i="29"/>
  <c r="Q632" i="29"/>
  <c r="P13" i="28" s="1" a="1"/>
  <c r="P13" i="28" s="1"/>
  <c r="Q829" i="29"/>
  <c r="Q1026" i="29"/>
  <c r="Q1223" i="29"/>
  <c r="Q1420" i="29"/>
  <c r="P17" i="28" s="1" a="1"/>
  <c r="P17" i="28" s="1"/>
  <c r="Q1617" i="29"/>
  <c r="P18" i="28" s="1" a="1"/>
  <c r="P18" i="28" s="1"/>
  <c r="Q42" i="29"/>
  <c r="Q239" i="29"/>
  <c r="Q436" i="29"/>
  <c r="Q633" i="29"/>
  <c r="Q830" i="29"/>
  <c r="Q1027" i="29"/>
  <c r="Q1224" i="29"/>
  <c r="Q1421" i="29"/>
  <c r="Q1618" i="29"/>
  <c r="Q43" i="29"/>
  <c r="Q240" i="29"/>
  <c r="Q437" i="29"/>
  <c r="Q634" i="29"/>
  <c r="Q831" i="29"/>
  <c r="Q1028" i="29"/>
  <c r="Q1225" i="29"/>
  <c r="U1225" i="29" s="1"/>
  <c r="Q1422" i="29"/>
  <c r="Q1619" i="29"/>
  <c r="Q44" i="29"/>
  <c r="Q241" i="29"/>
  <c r="Q438" i="29"/>
  <c r="Q635" i="29"/>
  <c r="Q832" i="29"/>
  <c r="Q1029" i="29"/>
  <c r="Q1226" i="29"/>
  <c r="Q1423" i="29"/>
  <c r="Q1620" i="29"/>
  <c r="Q45" i="29"/>
  <c r="Q242" i="29"/>
  <c r="Q439" i="29"/>
  <c r="Q636" i="29"/>
  <c r="Q833" i="29"/>
  <c r="Q1030" i="29"/>
  <c r="Q1227" i="29"/>
  <c r="Q1424" i="29"/>
  <c r="Q1621" i="29"/>
  <c r="Q46" i="29"/>
  <c r="Q243" i="29"/>
  <c r="Q440" i="29"/>
  <c r="Q637" i="29"/>
  <c r="Q834" i="29"/>
  <c r="Q1031" i="29"/>
  <c r="Q1228" i="29"/>
  <c r="Q1425" i="29"/>
  <c r="Q1622" i="29"/>
  <c r="Q47" i="29"/>
  <c r="Q244" i="29"/>
  <c r="Q441" i="29"/>
  <c r="U441" i="29" s="1"/>
  <c r="Q638" i="29"/>
  <c r="U638" i="29" s="1"/>
  <c r="Q835" i="29"/>
  <c r="Q1032" i="29"/>
  <c r="Q1229" i="29"/>
  <c r="Q1426" i="29"/>
  <c r="Q1623" i="29"/>
  <c r="Q48" i="29"/>
  <c r="Q245" i="29"/>
  <c r="Q442" i="29"/>
  <c r="Q639" i="29"/>
  <c r="U639" i="29" s="1"/>
  <c r="Q836" i="29"/>
  <c r="U836" i="29" s="1"/>
  <c r="Q1033" i="29"/>
  <c r="Q1230" i="29"/>
  <c r="Q1427" i="29"/>
  <c r="Q1624" i="29"/>
  <c r="Q49" i="29"/>
  <c r="Q246" i="29"/>
  <c r="Q443" i="29"/>
  <c r="Q640" i="29"/>
  <c r="Q837" i="29"/>
  <c r="Q1034" i="29"/>
  <c r="Q1231" i="29"/>
  <c r="Q1428" i="29"/>
  <c r="Q1625" i="29"/>
  <c r="Q50" i="29"/>
  <c r="Q247" i="29"/>
  <c r="Q444" i="29"/>
  <c r="U444" i="29" s="1"/>
  <c r="Q641" i="29"/>
  <c r="Q838" i="29"/>
  <c r="Q1035" i="29"/>
  <c r="Q1232" i="29"/>
  <c r="Q1429" i="29"/>
  <c r="Q1626" i="29"/>
  <c r="U1626" i="29" s="1"/>
  <c r="Q51" i="29"/>
  <c r="Q248" i="29"/>
  <c r="Q445" i="29"/>
  <c r="Q642" i="29"/>
  <c r="Q839" i="29"/>
  <c r="Q1036" i="29"/>
  <c r="Q1233" i="29"/>
  <c r="Q1430" i="29"/>
  <c r="Q1627" i="29"/>
  <c r="Q52" i="29"/>
  <c r="Q249" i="29"/>
  <c r="Q446" i="29"/>
  <c r="U446" i="29" s="1"/>
  <c r="Q643" i="29"/>
  <c r="U643" i="29" s="1"/>
  <c r="Q840" i="29"/>
  <c r="Q1037" i="29"/>
  <c r="Q1234" i="29"/>
  <c r="U1234" i="29" s="1"/>
  <c r="Q1431" i="29"/>
  <c r="Q1628" i="29"/>
  <c r="Q53" i="29"/>
  <c r="Q250" i="29"/>
  <c r="Q447" i="29"/>
  <c r="Q644" i="29"/>
  <c r="Q841" i="29"/>
  <c r="Q1038" i="29"/>
  <c r="Q1235" i="29"/>
  <c r="Q1432" i="29"/>
  <c r="Q1629" i="29"/>
  <c r="Q54" i="29"/>
  <c r="Q251" i="29"/>
  <c r="Q448" i="29"/>
  <c r="Q645" i="29"/>
  <c r="Q842" i="29"/>
  <c r="Q1039" i="29"/>
  <c r="Q1236" i="29"/>
  <c r="Q1433" i="29"/>
  <c r="Q1630" i="29"/>
  <c r="Q55" i="29"/>
  <c r="Q252" i="29"/>
  <c r="U252" i="29" s="1"/>
  <c r="Q449" i="29"/>
  <c r="U449" i="29" s="1"/>
  <c r="Q646" i="29"/>
  <c r="Q843" i="29"/>
  <c r="Q1040" i="29"/>
  <c r="Q1237" i="29"/>
  <c r="Q1434" i="29"/>
  <c r="Q1631" i="29"/>
  <c r="Q56" i="29"/>
  <c r="Q253" i="29"/>
  <c r="Q450" i="29"/>
  <c r="Q647" i="29"/>
  <c r="Q844" i="29"/>
  <c r="Q1041" i="29"/>
  <c r="Q1238" i="29"/>
  <c r="U1238" i="29" s="1"/>
  <c r="Q1435" i="29"/>
  <c r="Q1632" i="29"/>
  <c r="Q57" i="29"/>
  <c r="Q254" i="29"/>
  <c r="U254" i="29" s="1"/>
  <c r="Q451" i="29"/>
  <c r="Q648" i="29"/>
  <c r="Q845" i="29"/>
  <c r="Q1042" i="29"/>
  <c r="Q1239" i="29"/>
  <c r="Q1436" i="29"/>
  <c r="Q1633" i="29"/>
  <c r="Q58" i="29"/>
  <c r="Q255" i="29"/>
  <c r="Q452" i="29"/>
  <c r="Q649" i="29"/>
  <c r="U649" i="29" s="1"/>
  <c r="Q846" i="29"/>
  <c r="Q1043" i="29"/>
  <c r="Q1240" i="29"/>
  <c r="Q1437" i="29"/>
  <c r="Q1634" i="29"/>
  <c r="Q59" i="29"/>
  <c r="Q256" i="29"/>
  <c r="Q453" i="29"/>
  <c r="Q650" i="29"/>
  <c r="Q847" i="29"/>
  <c r="Q1044" i="29"/>
  <c r="Q1241" i="29"/>
  <c r="Q1438" i="29"/>
  <c r="Q1635" i="29"/>
  <c r="Q60" i="29"/>
  <c r="Q257" i="29"/>
  <c r="Q454" i="29"/>
  <c r="Q651" i="29"/>
  <c r="Q848" i="29"/>
  <c r="Q1045" i="29"/>
  <c r="Q1242" i="29"/>
  <c r="Q1439" i="29"/>
  <c r="Q1636" i="29"/>
  <c r="Q61" i="29"/>
  <c r="Q258" i="29"/>
  <c r="Q455" i="29"/>
  <c r="Q652" i="29"/>
  <c r="Q849" i="29"/>
  <c r="Q1046" i="29"/>
  <c r="Q1243" i="29"/>
  <c r="Q1440" i="29"/>
  <c r="Q1637" i="29"/>
  <c r="U1637" i="29" s="1"/>
  <c r="Q62" i="29"/>
  <c r="Q259" i="29"/>
  <c r="Q456" i="29"/>
  <c r="Q653" i="29"/>
  <c r="Q850" i="29"/>
  <c r="Q1047" i="29"/>
  <c r="Q1244" i="29"/>
  <c r="Q1441" i="29"/>
  <c r="Q1638" i="29"/>
  <c r="Q63" i="29"/>
  <c r="Q260" i="29"/>
  <c r="Q457" i="29"/>
  <c r="Q654" i="29"/>
  <c r="Q851" i="29"/>
  <c r="Q1048" i="29"/>
  <c r="Q1245" i="29"/>
  <c r="Q1442" i="29"/>
  <c r="Q1639" i="29"/>
  <c r="Q64" i="29"/>
  <c r="Q261" i="29"/>
  <c r="Q458" i="29"/>
  <c r="Q655" i="29"/>
  <c r="Q852" i="29"/>
  <c r="Q1049" i="29"/>
  <c r="Q1246" i="29"/>
  <c r="Q1443" i="29"/>
  <c r="U1443" i="29" s="1"/>
  <c r="Q1640" i="29"/>
  <c r="Q65" i="29"/>
  <c r="Q262" i="29"/>
  <c r="Q459" i="29"/>
  <c r="Q656" i="29"/>
  <c r="Q853" i="29"/>
  <c r="Q1050" i="29"/>
  <c r="Q1247" i="29"/>
  <c r="Q1444" i="29"/>
  <c r="Q1641" i="29"/>
  <c r="Q66" i="29"/>
  <c r="Q263" i="29"/>
  <c r="Q460" i="29"/>
  <c r="Q657" i="29"/>
  <c r="Q854" i="29"/>
  <c r="Q1051" i="29"/>
  <c r="Q1248" i="29"/>
  <c r="Q1445" i="29"/>
  <c r="Q1642" i="29"/>
  <c r="Q67" i="29"/>
  <c r="Q264" i="29"/>
  <c r="Q461" i="29"/>
  <c r="Q658" i="29"/>
  <c r="Q855" i="29"/>
  <c r="Q1052" i="29"/>
  <c r="Q1249" i="29"/>
  <c r="Q1446" i="29"/>
  <c r="Q1643" i="29"/>
  <c r="Q68" i="29"/>
  <c r="Q265" i="29"/>
  <c r="Q462" i="29"/>
  <c r="Q659" i="29"/>
  <c r="Q856" i="29"/>
  <c r="Q1053" i="29"/>
  <c r="Q1250" i="29"/>
  <c r="Q1447" i="29"/>
  <c r="Q1644" i="29"/>
  <c r="Q69" i="29"/>
  <c r="Q266" i="29"/>
  <c r="Q463" i="29"/>
  <c r="Q660" i="29"/>
  <c r="Q857" i="29"/>
  <c r="Q1054" i="29"/>
  <c r="Q1251" i="29"/>
  <c r="Q1448" i="29"/>
  <c r="Q1645" i="29"/>
  <c r="Q70" i="29"/>
  <c r="Q267" i="29"/>
  <c r="Q464" i="29"/>
  <c r="Q661" i="29"/>
  <c r="Q858" i="29"/>
  <c r="Q1055" i="29"/>
  <c r="Q1252" i="29"/>
  <c r="Q1449" i="29"/>
  <c r="Q1646" i="29"/>
  <c r="Q71" i="29"/>
  <c r="Q268" i="29"/>
  <c r="Q465" i="29"/>
  <c r="Q662" i="29"/>
  <c r="Q859" i="29"/>
  <c r="Q1056" i="29"/>
  <c r="Q1253" i="29"/>
  <c r="Q1450" i="29"/>
  <c r="Q1647" i="29"/>
  <c r="Q72" i="29"/>
  <c r="Q269" i="29"/>
  <c r="Q466" i="29"/>
  <c r="Q663" i="29"/>
  <c r="Q860" i="29"/>
  <c r="Q1057" i="29"/>
  <c r="Q1254" i="29"/>
  <c r="Q1451" i="29"/>
  <c r="Q1648" i="29"/>
  <c r="Q73" i="29"/>
  <c r="Q270" i="29"/>
  <c r="Q467" i="29"/>
  <c r="Q664" i="29"/>
  <c r="Q861" i="29"/>
  <c r="Q1058" i="29"/>
  <c r="Q1255" i="29"/>
  <c r="Q1452" i="29"/>
  <c r="Q1649" i="29"/>
  <c r="Q74" i="29"/>
  <c r="Q271" i="29"/>
  <c r="Q468" i="29"/>
  <c r="Q665" i="29"/>
  <c r="Q862" i="29"/>
  <c r="Q1059" i="29"/>
  <c r="Q1256" i="29"/>
  <c r="Q1453" i="29"/>
  <c r="Q1650" i="29"/>
  <c r="Q75" i="29"/>
  <c r="Q272" i="29"/>
  <c r="Q469" i="29"/>
  <c r="Q666" i="29"/>
  <c r="Q863" i="29"/>
  <c r="Q1060" i="29"/>
  <c r="U1060" i="29" s="1"/>
  <c r="Q1257" i="29"/>
  <c r="U1257" i="29" s="1"/>
  <c r="Q1454" i="29"/>
  <c r="U1454" i="29" s="1"/>
  <c r="Q1651" i="29"/>
  <c r="Q76" i="29"/>
  <c r="Q273" i="29"/>
  <c r="Q470" i="29"/>
  <c r="Q667" i="29"/>
  <c r="U667" i="29" s="1"/>
  <c r="Q864" i="29"/>
  <c r="U864" i="29" s="1"/>
  <c r="Q1061" i="29"/>
  <c r="Q1258" i="29"/>
  <c r="Q1455" i="29"/>
  <c r="Q1652" i="29"/>
  <c r="Q77" i="29"/>
  <c r="Q274" i="29"/>
  <c r="Q471" i="29"/>
  <c r="Q668" i="29"/>
  <c r="Q865" i="29"/>
  <c r="Q1062" i="29"/>
  <c r="Q1259" i="29"/>
  <c r="Q1456" i="29"/>
  <c r="U1456" i="29" s="1"/>
  <c r="Q1653" i="29"/>
  <c r="Q78" i="29"/>
  <c r="Q275" i="29"/>
  <c r="Q472" i="29"/>
  <c r="Q669" i="29"/>
  <c r="Q866" i="29"/>
  <c r="Q1063" i="29"/>
  <c r="Q1260" i="29"/>
  <c r="Q1457" i="29"/>
  <c r="Q1654" i="29"/>
  <c r="Q79" i="29"/>
  <c r="Q276" i="29"/>
  <c r="Q473" i="29"/>
  <c r="Q670" i="29"/>
  <c r="U670" i="29" s="1"/>
  <c r="Q867" i="29"/>
  <c r="Q1064" i="29"/>
  <c r="Q1261" i="29"/>
  <c r="Q1458" i="29"/>
  <c r="Q1655" i="29"/>
  <c r="Q80" i="29"/>
  <c r="Q277" i="29"/>
  <c r="Q474" i="29"/>
  <c r="Q671" i="29"/>
  <c r="Q868" i="29"/>
  <c r="Q1065" i="29"/>
  <c r="Q1262" i="29"/>
  <c r="Q1459" i="29"/>
  <c r="Q1656" i="29"/>
  <c r="Q81" i="29"/>
  <c r="Q278" i="29"/>
  <c r="Q475" i="29"/>
  <c r="Q672" i="29"/>
  <c r="Q869" i="29"/>
  <c r="Q1066" i="29"/>
  <c r="Q1263" i="29"/>
  <c r="Q1460" i="29"/>
  <c r="Q1657" i="29"/>
  <c r="Q82" i="29"/>
  <c r="Q279" i="29"/>
  <c r="Q476" i="29"/>
  <c r="Q673" i="29"/>
  <c r="Q870" i="29"/>
  <c r="Q1067" i="29"/>
  <c r="Q1264" i="29"/>
  <c r="Q1461" i="29"/>
  <c r="Q1658" i="29"/>
  <c r="Q83" i="29"/>
  <c r="Q280" i="29"/>
  <c r="Q477" i="29"/>
  <c r="Q674" i="29"/>
  <c r="Q871" i="29"/>
  <c r="Q1068" i="29"/>
  <c r="U1068" i="29" s="1"/>
  <c r="Q1265" i="29"/>
  <c r="Q1462" i="29"/>
  <c r="Q1659" i="29"/>
  <c r="Q84" i="29"/>
  <c r="Q281" i="29"/>
  <c r="Q478" i="29"/>
  <c r="Q675" i="29"/>
  <c r="Q872" i="29"/>
  <c r="Q1069" i="29"/>
  <c r="Q1266" i="29"/>
  <c r="Q1463" i="29"/>
  <c r="Q1660" i="29"/>
  <c r="Q85" i="29"/>
  <c r="Q282" i="29"/>
  <c r="U282" i="29" s="1"/>
  <c r="Q479" i="29"/>
  <c r="Q676" i="29"/>
  <c r="Q873" i="29"/>
  <c r="Q1070" i="29"/>
  <c r="Q1267" i="29"/>
  <c r="Q1464" i="29"/>
  <c r="Q1661" i="29"/>
  <c r="Q86" i="29"/>
  <c r="Q283" i="29"/>
  <c r="Q480" i="29"/>
  <c r="Q677" i="29"/>
  <c r="Q874" i="29"/>
  <c r="Q1071" i="29"/>
  <c r="Q1268" i="29"/>
  <c r="Q1465" i="29"/>
  <c r="Q1662" i="29"/>
  <c r="Q87" i="29"/>
  <c r="Q284" i="29"/>
  <c r="Q481" i="29"/>
  <c r="Q678" i="29"/>
  <c r="Q875" i="29"/>
  <c r="Q1072" i="29"/>
  <c r="Q1269" i="29"/>
  <c r="Q1466" i="29"/>
  <c r="Q1663" i="29"/>
  <c r="Q88" i="29"/>
  <c r="Q285" i="29"/>
  <c r="U285" i="29" s="1"/>
  <c r="Q482" i="29"/>
  <c r="Q679" i="29"/>
  <c r="Q876" i="29"/>
  <c r="Q1073" i="29"/>
  <c r="Q1270" i="29"/>
  <c r="Q1467" i="29"/>
  <c r="Q1664" i="29"/>
  <c r="Q89" i="29"/>
  <c r="Q286" i="29"/>
  <c r="Q483" i="29"/>
  <c r="Q680" i="29"/>
  <c r="U680" i="29" s="1"/>
  <c r="Q877" i="29"/>
  <c r="Q1074" i="29"/>
  <c r="Q1271" i="29"/>
  <c r="Q1468" i="29"/>
  <c r="Q1665" i="29"/>
  <c r="Q90" i="29"/>
  <c r="Q287" i="29"/>
  <c r="Q484" i="29"/>
  <c r="Q681" i="29"/>
  <c r="U681" i="29" s="1"/>
  <c r="Q878" i="29"/>
  <c r="Q1075" i="29"/>
  <c r="U1075" i="29" s="1"/>
  <c r="Q1272" i="29"/>
  <c r="Q1469" i="29"/>
  <c r="Q1666" i="29"/>
  <c r="Q91" i="29"/>
  <c r="Q288" i="29"/>
  <c r="Q485" i="29"/>
  <c r="U485" i="29" s="1"/>
  <c r="Q682" i="29"/>
  <c r="Q879" i="29"/>
  <c r="Q1076" i="29"/>
  <c r="Q1273" i="29"/>
  <c r="Q1470" i="29"/>
  <c r="Q1667" i="29"/>
  <c r="Q92" i="29"/>
  <c r="Q289" i="29"/>
  <c r="Q486" i="29"/>
  <c r="Q683" i="29"/>
  <c r="Q880" i="29"/>
  <c r="Q1077" i="29"/>
  <c r="Q1274" i="29"/>
  <c r="Q1471" i="29"/>
  <c r="Q1668" i="29"/>
  <c r="Q93" i="29"/>
  <c r="Q290" i="29"/>
  <c r="Q487" i="29"/>
  <c r="U487" i="29" s="1"/>
  <c r="Q684" i="29"/>
  <c r="Q881" i="29"/>
  <c r="Q1078" i="29"/>
  <c r="Q1275" i="29"/>
  <c r="Q1472" i="29"/>
  <c r="Q1669" i="29"/>
  <c r="Q94" i="29"/>
  <c r="Q291" i="29"/>
  <c r="Q488" i="29"/>
  <c r="Q685" i="29"/>
  <c r="Q882" i="29"/>
  <c r="Q1079" i="29"/>
  <c r="Q1276" i="29"/>
  <c r="Q1473" i="29"/>
  <c r="Q1670" i="29"/>
  <c r="Q95" i="29"/>
  <c r="Q292" i="29"/>
  <c r="Q489" i="29"/>
  <c r="Q686" i="29"/>
  <c r="Q883" i="29"/>
  <c r="Q1080" i="29"/>
  <c r="Q1277" i="29"/>
  <c r="Q1474" i="29"/>
  <c r="Q1671" i="29"/>
  <c r="Q96" i="29"/>
  <c r="Q293" i="29"/>
  <c r="Q490" i="29"/>
  <c r="U490" i="29" s="1"/>
  <c r="Q687" i="29"/>
  <c r="U687" i="29" s="1"/>
  <c r="Q884" i="29"/>
  <c r="Q1081" i="29"/>
  <c r="Q1278" i="29"/>
  <c r="Q1475" i="29"/>
  <c r="Q1672" i="29"/>
  <c r="Q97" i="29"/>
  <c r="Q294" i="29"/>
  <c r="Q491" i="29"/>
  <c r="Q688" i="29"/>
  <c r="Q885" i="29"/>
  <c r="Q1082" i="29"/>
  <c r="Q1279" i="29"/>
  <c r="Q1476" i="29"/>
  <c r="Q1673" i="29"/>
  <c r="Q98" i="29"/>
  <c r="Q295" i="29"/>
  <c r="Q492" i="29"/>
  <c r="Q689" i="29"/>
  <c r="Q886" i="29"/>
  <c r="Q1083" i="29"/>
  <c r="Q1280" i="29"/>
  <c r="Q1477" i="29"/>
  <c r="Q1674" i="29"/>
  <c r="Q99" i="29"/>
  <c r="Q296" i="29"/>
  <c r="Q493" i="29"/>
  <c r="Q690" i="29"/>
  <c r="Q887" i="29"/>
  <c r="Q1084" i="29"/>
  <c r="Q1281" i="29"/>
  <c r="Q1478" i="29"/>
  <c r="Q1675" i="29"/>
  <c r="Q100" i="29"/>
  <c r="Q297" i="29"/>
  <c r="Q494" i="29"/>
  <c r="Q691" i="29"/>
  <c r="Q888" i="29"/>
  <c r="Q1085" i="29"/>
  <c r="Q1282" i="29"/>
  <c r="Q1479" i="29"/>
  <c r="Q1676" i="29"/>
  <c r="Q101" i="29"/>
  <c r="Q298" i="29"/>
  <c r="Q495" i="29"/>
  <c r="Q692" i="29"/>
  <c r="Q889" i="29"/>
  <c r="Q1086" i="29"/>
  <c r="Q1283" i="29"/>
  <c r="Q1480" i="29"/>
  <c r="Q1677" i="29"/>
  <c r="Q102" i="29"/>
  <c r="Q299" i="29"/>
  <c r="Q496" i="29"/>
  <c r="U496" i="29" s="1"/>
  <c r="Q693" i="29"/>
  <c r="Q890" i="29"/>
  <c r="Q1087" i="29"/>
  <c r="Q1284" i="29"/>
  <c r="Q1481" i="29"/>
  <c r="Q1678" i="29"/>
  <c r="Q103" i="29"/>
  <c r="Q300" i="29"/>
  <c r="Q497" i="29"/>
  <c r="Q694" i="29"/>
  <c r="Q891" i="29"/>
  <c r="Q1088" i="29"/>
  <c r="Q1285" i="29"/>
  <c r="Q1482" i="29"/>
  <c r="Q1679" i="29"/>
  <c r="Q104" i="29"/>
  <c r="Q301" i="29"/>
  <c r="Q498" i="29"/>
  <c r="Q695" i="29"/>
  <c r="Q892" i="29"/>
  <c r="Q1089" i="29"/>
  <c r="Q1286" i="29"/>
  <c r="Q1483" i="29"/>
  <c r="Q1680" i="29"/>
  <c r="Q105" i="29"/>
  <c r="Q302" i="29"/>
  <c r="Q499" i="29"/>
  <c r="Q696" i="29"/>
  <c r="U696" i="29" s="1"/>
  <c r="Q893" i="29"/>
  <c r="Q1090" i="29"/>
  <c r="Q1287" i="29"/>
  <c r="Q1484" i="29"/>
  <c r="Q1681" i="29"/>
  <c r="Q106" i="29"/>
  <c r="Q303" i="29"/>
  <c r="Q500" i="29"/>
  <c r="U500" i="29" s="1"/>
  <c r="Q697" i="29"/>
  <c r="U697" i="29" s="1"/>
  <c r="Q894" i="29"/>
  <c r="U894" i="29" s="1"/>
  <c r="Q1091" i="29"/>
  <c r="Q1288" i="29"/>
  <c r="Q1485" i="29"/>
  <c r="Q1682" i="29"/>
  <c r="Q107" i="29"/>
  <c r="Q304" i="29"/>
  <c r="Q501" i="29"/>
  <c r="Q698" i="29"/>
  <c r="Q895" i="29"/>
  <c r="Q1092" i="29"/>
  <c r="Q1289" i="29"/>
  <c r="Q1486" i="29"/>
  <c r="Q1683" i="29"/>
  <c r="Q108" i="29"/>
  <c r="Q305" i="29"/>
  <c r="Q502" i="29"/>
  <c r="Q699" i="29"/>
  <c r="Q896" i="29"/>
  <c r="Q1093" i="29"/>
  <c r="Q1290" i="29"/>
  <c r="Q1487" i="29"/>
  <c r="Q1684" i="29"/>
  <c r="Q109" i="29"/>
  <c r="Q306" i="29"/>
  <c r="Q503" i="29"/>
  <c r="Q700" i="29"/>
  <c r="Q897" i="29"/>
  <c r="Q1094" i="29"/>
  <c r="Q1291" i="29"/>
  <c r="Q1488" i="29"/>
  <c r="Q1685" i="29"/>
  <c r="Q110" i="29"/>
  <c r="Q307" i="29"/>
  <c r="U307" i="29" s="1"/>
  <c r="Q504" i="29"/>
  <c r="U504" i="29" s="1"/>
  <c r="Q701" i="29"/>
  <c r="U701" i="29" s="1"/>
  <c r="Q898" i="29"/>
  <c r="Q1095" i="29"/>
  <c r="Q1292" i="29"/>
  <c r="Q1489" i="29"/>
  <c r="Q1686" i="29"/>
  <c r="Q111" i="29"/>
  <c r="Q308" i="29"/>
  <c r="U308" i="29" s="1"/>
  <c r="Q505" i="29"/>
  <c r="U505" i="29" s="1"/>
  <c r="Q702" i="29"/>
  <c r="Q899" i="29"/>
  <c r="Q1096" i="29"/>
  <c r="Q1293" i="29"/>
  <c r="Q1490" i="29"/>
  <c r="Q1687" i="29"/>
  <c r="Q112" i="29"/>
  <c r="Q309" i="29"/>
  <c r="Q506" i="29"/>
  <c r="Q703" i="29"/>
  <c r="U703" i="29" s="1"/>
  <c r="Q900" i="29"/>
  <c r="Q1097" i="29"/>
  <c r="Q1294" i="29"/>
  <c r="Q1491" i="29"/>
  <c r="Q1688" i="29"/>
  <c r="Q113" i="29"/>
  <c r="Q310" i="29"/>
  <c r="U310" i="29" s="1"/>
  <c r="Q507" i="29"/>
  <c r="U507" i="29" s="1"/>
  <c r="Q704" i="29"/>
  <c r="U704" i="29" s="1"/>
  <c r="Q901" i="29"/>
  <c r="Q1098" i="29"/>
  <c r="Q1295" i="29"/>
  <c r="Q1492" i="29"/>
  <c r="Q1689" i="29"/>
  <c r="U1689" i="29" s="1"/>
  <c r="Q114" i="29"/>
  <c r="Q311" i="29"/>
  <c r="Q508" i="29"/>
  <c r="Q705" i="29"/>
  <c r="Q902" i="29"/>
  <c r="Q1099" i="29"/>
  <c r="Q1296" i="29"/>
  <c r="Q1493" i="29"/>
  <c r="Q1690" i="29"/>
  <c r="Q115" i="29"/>
  <c r="Q312" i="29"/>
  <c r="U312" i="29" s="1"/>
  <c r="Q509" i="29"/>
  <c r="U509" i="29" s="1"/>
  <c r="Q706" i="29"/>
  <c r="Q903" i="29"/>
  <c r="Q1100" i="29"/>
  <c r="Q1297" i="29"/>
  <c r="Q1494" i="29"/>
  <c r="Q1691" i="29"/>
  <c r="Q116" i="29"/>
  <c r="Q313" i="29"/>
  <c r="Q510" i="29"/>
  <c r="U510" i="29" s="1"/>
  <c r="Q707" i="29"/>
  <c r="Q904" i="29"/>
  <c r="Q1101" i="29"/>
  <c r="Q1298" i="29"/>
  <c r="Q1495" i="29"/>
  <c r="Q1692" i="29"/>
  <c r="Q117" i="29"/>
  <c r="Q314" i="29"/>
  <c r="Q511" i="29"/>
  <c r="Q708" i="29"/>
  <c r="Q905" i="29"/>
  <c r="U905" i="29" s="1"/>
  <c r="Q1102" i="29"/>
  <c r="Q1299" i="29"/>
  <c r="Q1496" i="29"/>
  <c r="Q1693" i="29"/>
  <c r="Q118" i="29"/>
  <c r="Q315" i="29"/>
  <c r="Q512" i="29"/>
  <c r="Q709" i="29"/>
  <c r="Q906" i="29"/>
  <c r="Q1103" i="29"/>
  <c r="Q1300" i="29"/>
  <c r="Q1497" i="29"/>
  <c r="Q1694" i="29"/>
  <c r="Q119" i="29"/>
  <c r="Q316" i="29"/>
  <c r="Q513" i="29"/>
  <c r="Q710" i="29"/>
  <c r="Q907" i="29"/>
  <c r="Q1104" i="29"/>
  <c r="Q1301" i="29"/>
  <c r="Q1498" i="29"/>
  <c r="Q1695" i="29"/>
  <c r="Q120" i="29"/>
  <c r="Q317" i="29"/>
  <c r="Q514" i="29"/>
  <c r="Q711" i="29"/>
  <c r="Q908" i="29"/>
  <c r="Q1105" i="29"/>
  <c r="Q1302" i="29"/>
  <c r="Q1499" i="29"/>
  <c r="Q1696" i="29"/>
  <c r="Q121" i="29"/>
  <c r="Q318" i="29"/>
  <c r="Q515" i="29"/>
  <c r="Q712" i="29"/>
  <c r="Q909" i="29"/>
  <c r="Q1106" i="29"/>
  <c r="Q1303" i="29"/>
  <c r="Q1500" i="29"/>
  <c r="Q1697" i="29"/>
  <c r="Q122" i="29"/>
  <c r="Q319" i="29"/>
  <c r="Q516" i="29"/>
  <c r="Q713" i="29"/>
  <c r="Q910" i="29"/>
  <c r="Q1107" i="29"/>
  <c r="Q1304" i="29"/>
  <c r="Q1501" i="29"/>
  <c r="Q1698" i="29"/>
  <c r="Q123" i="29"/>
  <c r="Q320" i="29"/>
  <c r="Q517" i="29"/>
  <c r="Q714" i="29"/>
  <c r="Q911" i="29"/>
  <c r="Q1108" i="29"/>
  <c r="Q1305" i="29"/>
  <c r="Q1502" i="29"/>
  <c r="Q1699" i="29"/>
  <c r="Q124" i="29"/>
  <c r="Q321" i="29"/>
  <c r="Q518" i="29"/>
  <c r="Q715" i="29"/>
  <c r="Q912" i="29"/>
  <c r="Q1109" i="29"/>
  <c r="Q1306" i="29"/>
  <c r="Q1503" i="29"/>
  <c r="Q1700" i="29"/>
  <c r="Q125" i="29"/>
  <c r="Q322" i="29"/>
  <c r="Q519" i="29"/>
  <c r="Q716" i="29"/>
  <c r="Q913" i="29"/>
  <c r="Q1110" i="29"/>
  <c r="Q1307" i="29"/>
  <c r="Q1504" i="29"/>
  <c r="Q1701" i="29"/>
  <c r="Q126" i="29"/>
  <c r="Q323" i="29"/>
  <c r="Q520" i="29"/>
  <c r="Q717" i="29"/>
  <c r="Q914" i="29"/>
  <c r="Q1111" i="29"/>
  <c r="Q1308" i="29"/>
  <c r="Q1505" i="29"/>
  <c r="Q1702" i="29"/>
  <c r="Q127" i="29"/>
  <c r="Q324" i="29"/>
  <c r="Q521" i="29"/>
  <c r="Q718" i="29"/>
  <c r="Q915" i="29"/>
  <c r="Q1112" i="29"/>
  <c r="Q1309" i="29"/>
  <c r="Q1506" i="29"/>
  <c r="Q1703" i="29"/>
  <c r="Q128" i="29"/>
  <c r="Q325" i="29"/>
  <c r="Q522" i="29"/>
  <c r="Q719" i="29"/>
  <c r="Q916" i="29"/>
  <c r="Q1113" i="29"/>
  <c r="Q1310" i="29"/>
  <c r="Q1507" i="29"/>
  <c r="Q1704" i="29"/>
  <c r="Q129" i="29"/>
  <c r="Q326" i="29"/>
  <c r="Q523" i="29"/>
  <c r="Q720" i="29"/>
  <c r="Q917" i="29"/>
  <c r="Q1114" i="29"/>
  <c r="Q1311" i="29"/>
  <c r="Q1508" i="29"/>
  <c r="Q1705" i="29"/>
  <c r="Q130" i="29"/>
  <c r="Q327" i="29"/>
  <c r="U327" i="29" s="1"/>
  <c r="Q524" i="29"/>
  <c r="Q721" i="29"/>
  <c r="Q918" i="29"/>
  <c r="Q1115" i="29"/>
  <c r="Q1312" i="29"/>
  <c r="Q1509" i="29"/>
  <c r="U1509" i="29" s="1"/>
  <c r="Q1706" i="29"/>
  <c r="Q131" i="29"/>
  <c r="Q328" i="29"/>
  <c r="Q525" i="29"/>
  <c r="Q722" i="29"/>
  <c r="Q919" i="29"/>
  <c r="Q1116" i="29"/>
  <c r="Q1313" i="29"/>
  <c r="Q1510" i="29"/>
  <c r="Q1707" i="29"/>
  <c r="Q132" i="29"/>
  <c r="Q329" i="29"/>
  <c r="Q526" i="29"/>
  <c r="Q723" i="29"/>
  <c r="Q920" i="29"/>
  <c r="Q1117" i="29"/>
  <c r="Q1314" i="29"/>
  <c r="Q1511" i="29"/>
  <c r="Q1708" i="29"/>
  <c r="Q133" i="29"/>
  <c r="Q330" i="29"/>
  <c r="Q527" i="29"/>
  <c r="Q724" i="29"/>
  <c r="Q921" i="29"/>
  <c r="Q1118" i="29"/>
  <c r="Q1315" i="29"/>
  <c r="Q1512" i="29"/>
  <c r="Q1709" i="29"/>
  <c r="Q134" i="29"/>
  <c r="Q331" i="29"/>
  <c r="Q528" i="29"/>
  <c r="Q725" i="29"/>
  <c r="Q922" i="29"/>
  <c r="Q1119" i="29"/>
  <c r="Q1316" i="29"/>
  <c r="Q1513" i="29"/>
  <c r="Q1710" i="29"/>
  <c r="Q135" i="29"/>
  <c r="Q332" i="29"/>
  <c r="U332" i="29" s="1"/>
  <c r="Q529" i="29"/>
  <c r="Q726" i="29"/>
  <c r="Q923" i="29"/>
  <c r="Q1120" i="29"/>
  <c r="Q1317" i="29"/>
  <c r="Q1514" i="29"/>
  <c r="Q1711" i="29"/>
  <c r="Q136" i="29"/>
  <c r="Q333" i="29"/>
  <c r="Q530" i="29"/>
  <c r="Q727" i="29"/>
  <c r="Q924" i="29"/>
  <c r="Q1121" i="29"/>
  <c r="Q1318" i="29"/>
  <c r="Q1515" i="29"/>
  <c r="Q1712" i="29"/>
  <c r="Q137" i="29"/>
  <c r="Q334" i="29"/>
  <c r="Q531" i="29"/>
  <c r="Q728" i="29"/>
  <c r="Q925" i="29"/>
  <c r="Q1122" i="29"/>
  <c r="Q1319" i="29"/>
  <c r="Q1516" i="29"/>
  <c r="Q1713" i="29"/>
  <c r="Q138" i="29"/>
  <c r="Q335" i="29"/>
  <c r="Q532" i="29"/>
  <c r="Q729" i="29"/>
  <c r="U729" i="29" s="1"/>
  <c r="Q926" i="29"/>
  <c r="Q1123" i="29"/>
  <c r="Q1320" i="29"/>
  <c r="Q1517" i="29"/>
  <c r="Q1714" i="29"/>
  <c r="Q139" i="29"/>
  <c r="Q336" i="29"/>
  <c r="Q533" i="29"/>
  <c r="Q730" i="29"/>
  <c r="Q927" i="29"/>
  <c r="Q1124" i="29"/>
  <c r="Q1321" i="29"/>
  <c r="Q1518" i="29"/>
  <c r="Q1715" i="29"/>
  <c r="Q140" i="29"/>
  <c r="Q337" i="29"/>
  <c r="Q534" i="29"/>
  <c r="Q731" i="29"/>
  <c r="Q928" i="29"/>
  <c r="Q1125" i="29"/>
  <c r="Q1322" i="29"/>
  <c r="Q1519" i="29"/>
  <c r="Q1716" i="29"/>
  <c r="Q141" i="29"/>
  <c r="Q338" i="29"/>
  <c r="Q535" i="29"/>
  <c r="U535" i="29" s="1"/>
  <c r="Q732" i="29"/>
  <c r="Q929" i="29"/>
  <c r="Q1126" i="29"/>
  <c r="Q1323" i="29"/>
  <c r="Q1520" i="29"/>
  <c r="Q1717" i="29"/>
  <c r="Q142" i="29"/>
  <c r="Q339" i="29"/>
  <c r="Q536" i="29"/>
  <c r="Q733" i="29"/>
  <c r="Q930" i="29"/>
  <c r="Q1127" i="29"/>
  <c r="Q1324" i="29"/>
  <c r="Q1521" i="29"/>
  <c r="Q1718" i="29"/>
  <c r="Q143" i="29"/>
  <c r="Q340" i="29"/>
  <c r="Q537" i="29"/>
  <c r="Q734" i="29"/>
  <c r="Q931" i="29"/>
  <c r="Q1128" i="29"/>
  <c r="Q1325" i="29"/>
  <c r="Q1522" i="29"/>
  <c r="Q1719" i="29"/>
  <c r="Q144" i="29"/>
  <c r="Q341" i="29"/>
  <c r="Q538" i="29"/>
  <c r="Q735" i="29"/>
  <c r="Q932" i="29"/>
  <c r="Q1129" i="29"/>
  <c r="U1129" i="29" s="1"/>
  <c r="Q1326" i="29"/>
  <c r="Q1523" i="29"/>
  <c r="Q1720" i="29"/>
  <c r="Q145" i="29"/>
  <c r="Q342" i="29"/>
  <c r="Q539" i="29"/>
  <c r="Q736" i="29"/>
  <c r="Q933" i="29"/>
  <c r="Q1130" i="29"/>
  <c r="Q1327" i="29"/>
  <c r="Q1524" i="29"/>
  <c r="Q1721" i="29"/>
  <c r="Q146" i="29"/>
  <c r="Q343" i="29"/>
  <c r="Q540" i="29"/>
  <c r="U540" i="29" s="1"/>
  <c r="Q737" i="29"/>
  <c r="U737" i="29" s="1"/>
  <c r="Q934" i="29"/>
  <c r="Q1131" i="29"/>
  <c r="Q1328" i="29"/>
  <c r="Q1525" i="29"/>
  <c r="Q1722" i="29"/>
  <c r="Q147" i="29"/>
  <c r="Q344" i="29"/>
  <c r="Q541" i="29"/>
  <c r="Q738" i="29"/>
  <c r="Q935" i="29"/>
  <c r="Q1132" i="29"/>
  <c r="Q1329" i="29"/>
  <c r="Q1526" i="29"/>
  <c r="Q1723" i="29"/>
  <c r="Q148" i="29"/>
  <c r="Q345" i="29"/>
  <c r="Q542" i="29"/>
  <c r="Q739" i="29"/>
  <c r="Q936" i="29"/>
  <c r="Q1133" i="29"/>
  <c r="Q1330" i="29"/>
  <c r="Q1527" i="29"/>
  <c r="Q1724" i="29"/>
  <c r="Q149" i="29"/>
  <c r="Q346" i="29"/>
  <c r="Q543" i="29"/>
  <c r="Q740" i="29"/>
  <c r="Q937" i="29"/>
  <c r="Q1134" i="29"/>
  <c r="Q1331" i="29"/>
  <c r="Q1528" i="29"/>
  <c r="Q1725" i="29"/>
  <c r="Q150" i="29"/>
  <c r="Q347" i="29"/>
  <c r="Q544" i="29"/>
  <c r="U544" i="29" s="1"/>
  <c r="Q741" i="29"/>
  <c r="U741" i="29" s="1"/>
  <c r="Q938" i="29"/>
  <c r="Q1135" i="29"/>
  <c r="Q1332" i="29"/>
  <c r="Q1529" i="29"/>
  <c r="Q1726" i="29"/>
  <c r="Q151" i="29"/>
  <c r="Q348" i="29"/>
  <c r="U348" i="29" s="1"/>
  <c r="Q545" i="29"/>
  <c r="Q742" i="29"/>
  <c r="Q939" i="29"/>
  <c r="Q1136" i="29"/>
  <c r="U1136" i="29" s="1"/>
  <c r="Q1333" i="29"/>
  <c r="Q1530" i="29"/>
  <c r="U1530" i="29" s="1"/>
  <c r="Q1727" i="29"/>
  <c r="Q152" i="29"/>
  <c r="Q349" i="29"/>
  <c r="Q546" i="29"/>
  <c r="Q743" i="29"/>
  <c r="Q940" i="29"/>
  <c r="Q1137" i="29"/>
  <c r="Q1334" i="29"/>
  <c r="Q1531" i="29"/>
  <c r="Q1728" i="29"/>
  <c r="U1728" i="29" s="1"/>
  <c r="Q153" i="29"/>
  <c r="Q350" i="29"/>
  <c r="Q547" i="29"/>
  <c r="Q744" i="29"/>
  <c r="Q941" i="29"/>
  <c r="Q1138" i="29"/>
  <c r="Q1335" i="29"/>
  <c r="Q1532" i="29"/>
  <c r="Q1729" i="29"/>
  <c r="Q154" i="29"/>
  <c r="Q351" i="29"/>
  <c r="Q548" i="29"/>
  <c r="Q745" i="29"/>
  <c r="U745" i="29" s="1"/>
  <c r="Q942" i="29"/>
  <c r="Q1139" i="29"/>
  <c r="Q1336" i="29"/>
  <c r="Q1533" i="29"/>
  <c r="Q1730" i="29"/>
  <c r="Q155" i="29"/>
  <c r="Q352" i="29"/>
  <c r="Q549" i="29"/>
  <c r="Q746" i="29"/>
  <c r="U746" i="29" s="1"/>
  <c r="Q943" i="29"/>
  <c r="Q1140" i="29"/>
  <c r="Q1337" i="29"/>
  <c r="Q1534" i="29"/>
  <c r="Q1731" i="29"/>
  <c r="Q156" i="29"/>
  <c r="Q353" i="29"/>
  <c r="U353" i="29" s="1"/>
  <c r="Q550" i="29"/>
  <c r="Q747" i="29"/>
  <c r="Q944" i="29"/>
  <c r="Q1141" i="29"/>
  <c r="Q1338" i="29"/>
  <c r="Q1535" i="29"/>
  <c r="U1535" i="29" s="1"/>
  <c r="Q1732" i="29"/>
  <c r="U1732" i="29" s="1"/>
  <c r="Q157" i="29"/>
  <c r="Q354" i="29"/>
  <c r="Q551" i="29"/>
  <c r="Q748" i="29"/>
  <c r="Q945" i="29"/>
  <c r="Q1142" i="29"/>
  <c r="Q1339" i="29"/>
  <c r="Q1536" i="29"/>
  <c r="Q1733" i="29"/>
  <c r="Q158" i="29"/>
  <c r="Q355" i="29"/>
  <c r="Q552" i="29"/>
  <c r="Q749" i="29"/>
  <c r="Q946" i="29"/>
  <c r="Q1143" i="29"/>
  <c r="Q1340" i="29"/>
  <c r="Q1537" i="29"/>
  <c r="U1537" i="29" s="1"/>
  <c r="Q1734" i="29"/>
  <c r="Q159" i="29"/>
  <c r="Q356" i="29"/>
  <c r="Q553" i="29"/>
  <c r="Q750" i="29"/>
  <c r="Q947" i="29"/>
  <c r="Q1144" i="29"/>
  <c r="Q1341" i="29"/>
  <c r="Q1538" i="29"/>
  <c r="Q1735" i="29"/>
  <c r="Q160" i="29"/>
  <c r="Q357" i="29"/>
  <c r="Q554" i="29"/>
  <c r="U554" i="29" s="1"/>
  <c r="Q751" i="29"/>
  <c r="Q948" i="29"/>
  <c r="Q1145" i="29"/>
  <c r="Q1342" i="29"/>
  <c r="Q1539" i="29"/>
  <c r="Q1736" i="29"/>
  <c r="Q161" i="29"/>
  <c r="Q358" i="29"/>
  <c r="Q555" i="29"/>
  <c r="Q752" i="29"/>
  <c r="Q949" i="29"/>
  <c r="Q1146" i="29"/>
  <c r="Q1343" i="29"/>
  <c r="Q1540" i="29"/>
  <c r="Q1737" i="29"/>
  <c r="Q162" i="29"/>
  <c r="Q359" i="29"/>
  <c r="Q556" i="29"/>
  <c r="Q753" i="29"/>
  <c r="Q950" i="29"/>
  <c r="Q1147" i="29"/>
  <c r="Q1344" i="29"/>
  <c r="Q1541" i="29"/>
  <c r="Q1738" i="29"/>
  <c r="Q163" i="29"/>
  <c r="Q360" i="29"/>
  <c r="Q557" i="29"/>
  <c r="Q754" i="29"/>
  <c r="U754" i="29" s="1"/>
  <c r="Q951" i="29"/>
  <c r="U951" i="29" s="1"/>
  <c r="Q1148" i="29"/>
  <c r="Q1345" i="29"/>
  <c r="Q1542" i="29"/>
  <c r="Q1739" i="29"/>
  <c r="Q164" i="29"/>
  <c r="Q361" i="29"/>
  <c r="Q558" i="29"/>
  <c r="U558" i="29" s="1"/>
  <c r="Q755" i="29"/>
  <c r="Q952" i="29"/>
  <c r="Q1149" i="29"/>
  <c r="Q1346" i="29"/>
  <c r="Q1543" i="29"/>
  <c r="Q1740" i="29"/>
  <c r="Q165" i="29"/>
  <c r="Q362" i="29"/>
  <c r="Q559" i="29"/>
  <c r="U559" i="29" s="1"/>
  <c r="Q756" i="29"/>
  <c r="Q953" i="29"/>
  <c r="Q1150" i="29"/>
  <c r="U1150" i="29" s="1"/>
  <c r="Q1347" i="29"/>
  <c r="Q1544" i="29"/>
  <c r="Q1741" i="29"/>
  <c r="Q166" i="29"/>
  <c r="Q363" i="29"/>
  <c r="Q560" i="29"/>
  <c r="Q757" i="29"/>
  <c r="Q954" i="29"/>
  <c r="Q1151" i="29"/>
  <c r="Q1348" i="29"/>
  <c r="Q1545" i="29"/>
  <c r="Q1742" i="29"/>
  <c r="Q167" i="29"/>
  <c r="Q364" i="29"/>
  <c r="Q561" i="29"/>
  <c r="Q758" i="29"/>
  <c r="Q955" i="29"/>
  <c r="Q1152" i="29"/>
  <c r="Q1349" i="29"/>
  <c r="Q1546" i="29"/>
  <c r="Q1743" i="29"/>
  <c r="Q168" i="29"/>
  <c r="Q365" i="29"/>
  <c r="Q562" i="29"/>
  <c r="Q759" i="29"/>
  <c r="Q956" i="29"/>
  <c r="Q1153" i="29"/>
  <c r="Q1350" i="29"/>
  <c r="Q1547" i="29"/>
  <c r="Q1744" i="29"/>
  <c r="Q169" i="29"/>
  <c r="Q366" i="29"/>
  <c r="Q563" i="29"/>
  <c r="Q760" i="29"/>
  <c r="Q957" i="29"/>
  <c r="Q1154" i="29"/>
  <c r="Q1351" i="29"/>
  <c r="Q1548" i="29"/>
  <c r="Q1745" i="29"/>
  <c r="Q170" i="29"/>
  <c r="Q367" i="29"/>
  <c r="U367" i="29" s="1"/>
  <c r="Q564" i="29"/>
  <c r="Q761" i="29"/>
  <c r="Q958" i="29"/>
  <c r="Q1155" i="29"/>
  <c r="Q1352" i="29"/>
  <c r="Q1549" i="29"/>
  <c r="Q1746" i="29"/>
  <c r="Q171" i="29"/>
  <c r="Q368" i="29"/>
  <c r="Q565" i="29"/>
  <c r="Q762" i="29"/>
  <c r="Q959" i="29"/>
  <c r="Q1156" i="29"/>
  <c r="Q1353" i="29"/>
  <c r="Q1550" i="29"/>
  <c r="Q1747" i="29"/>
  <c r="Q172" i="29"/>
  <c r="Q369" i="29"/>
  <c r="Q566" i="29"/>
  <c r="Q763" i="29"/>
  <c r="U763" i="29" s="1"/>
  <c r="Q960" i="29"/>
  <c r="Q1157" i="29"/>
  <c r="Q1354" i="29"/>
  <c r="Q1551" i="29"/>
  <c r="Q1748" i="29"/>
  <c r="Q173" i="29"/>
  <c r="Q370" i="29"/>
  <c r="Q567" i="29"/>
  <c r="Q764" i="29"/>
  <c r="Q961" i="29"/>
  <c r="Q1158" i="29"/>
  <c r="Q1355" i="29"/>
  <c r="Q1552" i="29"/>
  <c r="Q1749" i="29"/>
  <c r="Q174" i="29"/>
  <c r="Q371" i="29"/>
  <c r="Q568" i="29"/>
  <c r="U568" i="29" s="1"/>
  <c r="Q765" i="29"/>
  <c r="Q962" i="29"/>
  <c r="Q1159" i="29"/>
  <c r="Q1356" i="29"/>
  <c r="Q1553" i="29"/>
  <c r="Q1750" i="29"/>
  <c r="Q175" i="29"/>
  <c r="Q372" i="29"/>
  <c r="Q569" i="29"/>
  <c r="Q766" i="29"/>
  <c r="Q963" i="29"/>
  <c r="Q1160" i="29"/>
  <c r="Q1357" i="29"/>
  <c r="Q1554" i="29"/>
  <c r="Q1751" i="29"/>
  <c r="Q176" i="29"/>
  <c r="Q373" i="29"/>
  <c r="Q570" i="29"/>
  <c r="Q767" i="29"/>
  <c r="Q964" i="29"/>
  <c r="Q1161" i="29"/>
  <c r="Q1358" i="29"/>
  <c r="Q1555" i="29"/>
  <c r="Q1752" i="29"/>
  <c r="Q177" i="29"/>
  <c r="Q374" i="29"/>
  <c r="Q571" i="29"/>
  <c r="Q768" i="29"/>
  <c r="U768" i="29" s="1"/>
  <c r="Q965" i="29"/>
  <c r="U965" i="29" s="1"/>
  <c r="Q1162" i="29"/>
  <c r="Q1359" i="29"/>
  <c r="Q1556" i="29"/>
  <c r="Q1753" i="29"/>
  <c r="Q178" i="29"/>
  <c r="Q375" i="29"/>
  <c r="U375" i="29" s="1"/>
  <c r="Q572" i="29"/>
  <c r="U572" i="29" s="1"/>
  <c r="Q769" i="29"/>
  <c r="U769" i="29" s="1"/>
  <c r="Q966" i="29"/>
  <c r="Q1163" i="29"/>
  <c r="Q1360" i="29"/>
  <c r="Q1557" i="29"/>
  <c r="Q1754" i="29"/>
  <c r="Q179" i="29"/>
  <c r="Q376" i="29"/>
  <c r="U376" i="29" s="1"/>
  <c r="Q573" i="29"/>
  <c r="Q770" i="29"/>
  <c r="U770" i="29" s="1"/>
  <c r="Q967" i="29"/>
  <c r="Q1164" i="29"/>
  <c r="Q1361" i="29"/>
  <c r="U1361" i="29" s="1"/>
  <c r="Q1558" i="29"/>
  <c r="Q1755" i="29"/>
  <c r="Q180" i="29"/>
  <c r="Q377" i="29"/>
  <c r="Q574" i="29"/>
  <c r="Q771" i="29"/>
  <c r="U771" i="29" s="1"/>
  <c r="Q968" i="29"/>
  <c r="Q1165" i="29"/>
  <c r="Q1362" i="29"/>
  <c r="Q1559" i="29"/>
  <c r="Q1756" i="29"/>
  <c r="Q181" i="29"/>
  <c r="Q378" i="29"/>
  <c r="Q575" i="29"/>
  <c r="Q772" i="29"/>
  <c r="Q969" i="29"/>
  <c r="Q1166" i="29"/>
  <c r="Q1363" i="29"/>
  <c r="Q1560" i="29"/>
  <c r="Q1757" i="29"/>
  <c r="Q182" i="29"/>
  <c r="Q379" i="29"/>
  <c r="Q576" i="29"/>
  <c r="Q773" i="29"/>
  <c r="Q970" i="29"/>
  <c r="Q1167" i="29"/>
  <c r="Q1364" i="29"/>
  <c r="Q1561" i="29"/>
  <c r="Q1758" i="29"/>
  <c r="Q183" i="29"/>
  <c r="Q380" i="29"/>
  <c r="Q577" i="29"/>
  <c r="Q774" i="29"/>
  <c r="Q971" i="29"/>
  <c r="Q1168" i="29"/>
  <c r="Q1365" i="29"/>
  <c r="Q1562" i="29"/>
  <c r="Q1759" i="29"/>
  <c r="Q184" i="29"/>
  <c r="Q381" i="29"/>
  <c r="Q578" i="29"/>
  <c r="Q775" i="29"/>
  <c r="Q972" i="29"/>
  <c r="Q1169" i="29"/>
  <c r="Q1366" i="29"/>
  <c r="Q1563" i="29"/>
  <c r="Q1760" i="29"/>
  <c r="Q185" i="29"/>
  <c r="Q382" i="29"/>
  <c r="Q579" i="29"/>
  <c r="Q776" i="29"/>
  <c r="Q973" i="29"/>
  <c r="Q1170" i="29"/>
  <c r="Q1367" i="29"/>
  <c r="Q1564" i="29"/>
  <c r="Q1761" i="29"/>
  <c r="Q186" i="29"/>
  <c r="Q383" i="29"/>
  <c r="Q580" i="29"/>
  <c r="U580" i="29" s="1"/>
  <c r="Q777" i="29"/>
  <c r="Q974" i="29"/>
  <c r="Q1171" i="29"/>
  <c r="Q1368" i="29"/>
  <c r="Q1565" i="29"/>
  <c r="Q1762" i="29"/>
  <c r="Q187" i="29"/>
  <c r="Q384" i="29"/>
  <c r="Q581" i="29"/>
  <c r="Q778" i="29"/>
  <c r="U778" i="29" s="1"/>
  <c r="Q975" i="29"/>
  <c r="Q1172" i="29"/>
  <c r="Q1369" i="29"/>
  <c r="Q1566" i="29"/>
  <c r="Q1763" i="29"/>
  <c r="Q188" i="29"/>
  <c r="Q385" i="29"/>
  <c r="U385" i="29" s="1"/>
  <c r="Q582" i="29"/>
  <c r="Q779" i="29"/>
  <c r="Q976" i="29"/>
  <c r="Q1173" i="29"/>
  <c r="Q1370" i="29"/>
  <c r="Q1567" i="29"/>
  <c r="U1567" i="29" s="1"/>
  <c r="Q1764" i="29"/>
  <c r="Q189" i="29"/>
  <c r="Q386" i="29"/>
  <c r="Q583" i="29"/>
  <c r="Q780" i="29"/>
  <c r="Q977" i="29"/>
  <c r="Q1174" i="29"/>
  <c r="Q1371" i="29"/>
  <c r="Q1568" i="29"/>
  <c r="Q1765" i="29"/>
  <c r="Q190" i="29"/>
  <c r="Q387" i="29"/>
  <c r="Q584" i="29"/>
  <c r="Q781" i="29"/>
  <c r="Q978" i="29"/>
  <c r="Q1175" i="29"/>
  <c r="Q1372" i="29"/>
  <c r="Q1569" i="29"/>
  <c r="Q1766" i="29"/>
  <c r="Q191" i="29"/>
  <c r="Q388" i="29"/>
  <c r="U388" i="29" s="1"/>
  <c r="Q585" i="29"/>
  <c r="U585" i="29" s="1"/>
  <c r="Q782" i="29"/>
  <c r="U782" i="29" s="1"/>
  <c r="Q979" i="29"/>
  <c r="Q1176" i="29"/>
  <c r="Q1373" i="29"/>
  <c r="Q1570" i="29"/>
  <c r="Q1767" i="29"/>
  <c r="Q192" i="29"/>
  <c r="Q389" i="29"/>
  <c r="Q586" i="29"/>
  <c r="Q783" i="29"/>
  <c r="Q980" i="29"/>
  <c r="Q1177" i="29"/>
  <c r="Q1374" i="29"/>
  <c r="Q1571" i="29"/>
  <c r="Q1768" i="29"/>
  <c r="Q193" i="29"/>
  <c r="Q390" i="29"/>
  <c r="Q587" i="29"/>
  <c r="Q784" i="29"/>
  <c r="Q981" i="29"/>
  <c r="Q1178" i="29"/>
  <c r="Q1375" i="29"/>
  <c r="Q1572" i="29"/>
  <c r="Q1769" i="29"/>
  <c r="Q194" i="29"/>
  <c r="Q391" i="29"/>
  <c r="Q588" i="29"/>
  <c r="Q785" i="29"/>
  <c r="U785" i="29" s="1"/>
  <c r="Q982" i="29"/>
  <c r="Q1179" i="29"/>
  <c r="Q1376" i="29"/>
  <c r="Q1573" i="29"/>
  <c r="Q1770" i="29"/>
  <c r="Q195" i="29"/>
  <c r="Q392" i="29"/>
  <c r="Q589" i="29"/>
  <c r="Q786" i="29"/>
  <c r="Q983" i="29"/>
  <c r="Q1180" i="29"/>
  <c r="Q1377" i="29"/>
  <c r="Q1574" i="29"/>
  <c r="Q1771" i="29"/>
  <c r="Q196" i="29"/>
  <c r="Q393" i="29"/>
  <c r="Q590" i="29"/>
  <c r="U590" i="29" s="1"/>
  <c r="Q787" i="29"/>
  <c r="Q984" i="29"/>
  <c r="Q1181" i="29"/>
  <c r="Q1378" i="29"/>
  <c r="Q1575" i="29"/>
  <c r="Q1772" i="29"/>
  <c r="Q197" i="29"/>
  <c r="Q394" i="29"/>
  <c r="Q591" i="29"/>
  <c r="Q788" i="29"/>
  <c r="Q985" i="29"/>
  <c r="Q1182" i="29"/>
  <c r="Q1379" i="29"/>
  <c r="Q1576" i="29"/>
  <c r="Q1773" i="29"/>
  <c r="Q198" i="29"/>
  <c r="Q395" i="29"/>
  <c r="Q592" i="29"/>
  <c r="Q789" i="29"/>
  <c r="Q986" i="29"/>
  <c r="Q1183" i="29"/>
  <c r="Q1380" i="29"/>
  <c r="Q1577" i="29"/>
  <c r="Q1774" i="29"/>
  <c r="P11" i="28" l="1" a="1"/>
  <c r="P11" i="28" s="1"/>
  <c r="P16" i="28" a="1"/>
  <c r="P16" i="28" s="1"/>
  <c r="P15" i="28" a="1"/>
  <c r="P15" i="28" s="1"/>
  <c r="P14" i="28" a="1"/>
  <c r="P14" i="28" s="1"/>
  <c r="P12" i="28" a="1"/>
  <c r="P12" i="28" s="1"/>
  <c r="P10" i="28" a="1"/>
  <c r="P10" i="28" s="1"/>
  <c r="K2" i="29"/>
  <c r="K199" i="29"/>
  <c r="K396" i="29"/>
  <c r="K593" i="29"/>
  <c r="K790" i="29"/>
  <c r="K987" i="29"/>
  <c r="K1184" i="29"/>
  <c r="K1381" i="29"/>
  <c r="K1578" i="29"/>
  <c r="K3" i="29"/>
  <c r="K200" i="29"/>
  <c r="K397" i="29"/>
  <c r="K594" i="29"/>
  <c r="K791" i="29"/>
  <c r="K988" i="29"/>
  <c r="K1185" i="29"/>
  <c r="K1382" i="29"/>
  <c r="K1579" i="29"/>
  <c r="K4" i="29"/>
  <c r="K201" i="29"/>
  <c r="K398" i="29"/>
  <c r="K595" i="29"/>
  <c r="K792" i="29"/>
  <c r="K989" i="29"/>
  <c r="K1186" i="29"/>
  <c r="K1383" i="29"/>
  <c r="K1580" i="29"/>
  <c r="K5" i="29"/>
  <c r="K202" i="29"/>
  <c r="K399" i="29"/>
  <c r="K596" i="29"/>
  <c r="K793" i="29"/>
  <c r="K990" i="29"/>
  <c r="K1187" i="29"/>
  <c r="K1384" i="29"/>
  <c r="K1581" i="29"/>
  <c r="K6" i="29"/>
  <c r="K203" i="29"/>
  <c r="K400" i="29"/>
  <c r="K597" i="29"/>
  <c r="K794" i="29"/>
  <c r="K991" i="29"/>
  <c r="K1188" i="29"/>
  <c r="K1385" i="29"/>
  <c r="K1582" i="29"/>
  <c r="K7" i="29"/>
  <c r="K204" i="29"/>
  <c r="K401" i="29"/>
  <c r="K598" i="29"/>
  <c r="K795" i="29"/>
  <c r="K992" i="29"/>
  <c r="K1189" i="29"/>
  <c r="K1386" i="29"/>
  <c r="K1583" i="29"/>
  <c r="K8" i="29"/>
  <c r="K205" i="29"/>
  <c r="K402" i="29"/>
  <c r="K599" i="29"/>
  <c r="K796" i="29"/>
  <c r="K993" i="29"/>
  <c r="K1190" i="29"/>
  <c r="K1387" i="29"/>
  <c r="K1584" i="29"/>
  <c r="K9" i="29"/>
  <c r="K206" i="29"/>
  <c r="K403" i="29"/>
  <c r="K600" i="29"/>
  <c r="K797" i="29"/>
  <c r="K994" i="29"/>
  <c r="K1191" i="29"/>
  <c r="K1388" i="29"/>
  <c r="K1585" i="29"/>
  <c r="K10" i="29"/>
  <c r="K207" i="29"/>
  <c r="K404" i="29"/>
  <c r="K601" i="29"/>
  <c r="K798" i="29"/>
  <c r="K995" i="29"/>
  <c r="K1192" i="29"/>
  <c r="K1389" i="29"/>
  <c r="K1586" i="29"/>
  <c r="K11" i="29"/>
  <c r="K208" i="29"/>
  <c r="K405" i="29"/>
  <c r="K602" i="29"/>
  <c r="K799" i="29"/>
  <c r="K996" i="29"/>
  <c r="K1193" i="29"/>
  <c r="K1390" i="29"/>
  <c r="K1587" i="29"/>
  <c r="K12" i="29"/>
  <c r="K209" i="29"/>
  <c r="K406" i="29"/>
  <c r="K603" i="29"/>
  <c r="K800" i="29"/>
  <c r="K997" i="29"/>
  <c r="K1194" i="29"/>
  <c r="K1391" i="29"/>
  <c r="K1588" i="29"/>
  <c r="K13" i="29"/>
  <c r="K210" i="29"/>
  <c r="K407" i="29"/>
  <c r="K604" i="29"/>
  <c r="K801" i="29"/>
  <c r="K998" i="29"/>
  <c r="K1195" i="29"/>
  <c r="K1392" i="29"/>
  <c r="K1589" i="29"/>
  <c r="K14" i="29"/>
  <c r="K211" i="29"/>
  <c r="K408" i="29"/>
  <c r="K605" i="29"/>
  <c r="K802" i="29"/>
  <c r="K999" i="29"/>
  <c r="K1196" i="29"/>
  <c r="K1393" i="29"/>
  <c r="K1590" i="29"/>
  <c r="K15" i="29"/>
  <c r="K212" i="29"/>
  <c r="K409" i="29"/>
  <c r="K606" i="29"/>
  <c r="K803" i="29"/>
  <c r="K1000" i="29"/>
  <c r="K1197" i="29"/>
  <c r="K1394" i="29"/>
  <c r="K1591" i="29"/>
  <c r="K16" i="29"/>
  <c r="K213" i="29"/>
  <c r="K410" i="29"/>
  <c r="K607" i="29"/>
  <c r="K804" i="29"/>
  <c r="K1001" i="29"/>
  <c r="K1198" i="29"/>
  <c r="K1395" i="29"/>
  <c r="K1592" i="29"/>
  <c r="K17" i="29"/>
  <c r="K214" i="29"/>
  <c r="K411" i="29"/>
  <c r="K608" i="29"/>
  <c r="K805" i="29"/>
  <c r="K1002" i="29"/>
  <c r="K1199" i="29"/>
  <c r="K1396" i="29"/>
  <c r="K1593" i="29"/>
  <c r="K18" i="29"/>
  <c r="K215" i="29"/>
  <c r="K412" i="29"/>
  <c r="K609" i="29"/>
  <c r="K806" i="29"/>
  <c r="K1003" i="29"/>
  <c r="K1200" i="29"/>
  <c r="K1397" i="29"/>
  <c r="K1594" i="29"/>
  <c r="K19" i="29"/>
  <c r="K216" i="29"/>
  <c r="K413" i="29"/>
  <c r="K610" i="29"/>
  <c r="K807" i="29"/>
  <c r="K1004" i="29"/>
  <c r="K1201" i="29"/>
  <c r="K1398" i="29"/>
  <c r="K1595" i="29"/>
  <c r="K20" i="29"/>
  <c r="K217" i="29"/>
  <c r="K414" i="29"/>
  <c r="K611" i="29"/>
  <c r="K808" i="29"/>
  <c r="K1005" i="29"/>
  <c r="K1202" i="29"/>
  <c r="K1399" i="29"/>
  <c r="K1596" i="29"/>
  <c r="K21" i="29"/>
  <c r="K218" i="29"/>
  <c r="K415" i="29"/>
  <c r="K612" i="29"/>
  <c r="K809" i="29"/>
  <c r="K1006" i="29"/>
  <c r="K1203" i="29"/>
  <c r="K1400" i="29"/>
  <c r="K1597" i="29"/>
  <c r="K22" i="29"/>
  <c r="K219" i="29"/>
  <c r="K416" i="29"/>
  <c r="K613" i="29"/>
  <c r="K810" i="29"/>
  <c r="K1007" i="29"/>
  <c r="K1204" i="29"/>
  <c r="K1401" i="29"/>
  <c r="K1598" i="29"/>
  <c r="K23" i="29"/>
  <c r="K220" i="29"/>
  <c r="K417" i="29"/>
  <c r="K614" i="29"/>
  <c r="K811" i="29"/>
  <c r="K1008" i="29"/>
  <c r="K1205" i="29"/>
  <c r="K1402" i="29"/>
  <c r="K1599" i="29"/>
  <c r="K24" i="29"/>
  <c r="K221" i="29"/>
  <c r="K418" i="29"/>
  <c r="K615" i="29"/>
  <c r="K812" i="29"/>
  <c r="K1009" i="29"/>
  <c r="K1206" i="29"/>
  <c r="K1403" i="29"/>
  <c r="K1600" i="29"/>
  <c r="K25" i="29"/>
  <c r="K222" i="29"/>
  <c r="K419" i="29"/>
  <c r="K616" i="29"/>
  <c r="K813" i="29"/>
  <c r="K1010" i="29"/>
  <c r="K1207" i="29"/>
  <c r="K1404" i="29"/>
  <c r="K1601" i="29"/>
  <c r="K26" i="29"/>
  <c r="K223" i="29"/>
  <c r="K420" i="29"/>
  <c r="K617" i="29"/>
  <c r="K814" i="29"/>
  <c r="K1011" i="29"/>
  <c r="K1208" i="29"/>
  <c r="K1405" i="29"/>
  <c r="K1602" i="29"/>
  <c r="K27" i="29"/>
  <c r="K224" i="29"/>
  <c r="K421" i="29"/>
  <c r="K618" i="29"/>
  <c r="K815" i="29"/>
  <c r="K1012" i="29"/>
  <c r="K1209" i="29"/>
  <c r="K1406" i="29"/>
  <c r="K1603" i="29"/>
  <c r="K28" i="29"/>
  <c r="K225" i="29"/>
  <c r="K422" i="29"/>
  <c r="K619" i="29"/>
  <c r="K816" i="29"/>
  <c r="K1013" i="29"/>
  <c r="K1210" i="29"/>
  <c r="K1407" i="29"/>
  <c r="K1604" i="29"/>
  <c r="K29" i="29"/>
  <c r="K226" i="29"/>
  <c r="K423" i="29"/>
  <c r="K620" i="29"/>
  <c r="K817" i="29"/>
  <c r="K1014" i="29"/>
  <c r="K1211" i="29"/>
  <c r="K1408" i="29"/>
  <c r="K1605" i="29"/>
  <c r="K30" i="29"/>
  <c r="K227" i="29"/>
  <c r="K424" i="29"/>
  <c r="K621" i="29"/>
  <c r="K818" i="29"/>
  <c r="K1015" i="29"/>
  <c r="K1212" i="29"/>
  <c r="K1409" i="29"/>
  <c r="K1606" i="29"/>
  <c r="K31" i="29"/>
  <c r="K228" i="29"/>
  <c r="K425" i="29"/>
  <c r="K622" i="29"/>
  <c r="K819" i="29"/>
  <c r="K1016" i="29"/>
  <c r="K1213" i="29"/>
  <c r="K1410" i="29"/>
  <c r="K1607" i="29"/>
  <c r="K32" i="29"/>
  <c r="K229" i="29"/>
  <c r="K426" i="29"/>
  <c r="K623" i="29"/>
  <c r="K820" i="29"/>
  <c r="K1017" i="29"/>
  <c r="K1214" i="29"/>
  <c r="K1411" i="29"/>
  <c r="K1608" i="29"/>
  <c r="K33" i="29"/>
  <c r="K230" i="29"/>
  <c r="K427" i="29"/>
  <c r="K624" i="29"/>
  <c r="K821" i="29"/>
  <c r="K1018" i="29"/>
  <c r="K1215" i="29"/>
  <c r="K1412" i="29"/>
  <c r="K1609" i="29"/>
  <c r="K34" i="29"/>
  <c r="K231" i="29"/>
  <c r="K428" i="29"/>
  <c r="K625" i="29"/>
  <c r="K822" i="29"/>
  <c r="K1019" i="29"/>
  <c r="K1216" i="29"/>
  <c r="K1413" i="29"/>
  <c r="K1610" i="29"/>
  <c r="K35" i="29"/>
  <c r="K232" i="29"/>
  <c r="K429" i="29"/>
  <c r="K626" i="29"/>
  <c r="K823" i="29"/>
  <c r="K1020" i="29"/>
  <c r="K1217" i="29"/>
  <c r="K1414" i="29"/>
  <c r="K1611" i="29"/>
  <c r="K36" i="29"/>
  <c r="K233" i="29"/>
  <c r="K430" i="29"/>
  <c r="K627" i="29"/>
  <c r="K824" i="29"/>
  <c r="K1021" i="29"/>
  <c r="K1218" i="29"/>
  <c r="K1415" i="29"/>
  <c r="K1612" i="29"/>
  <c r="K37" i="29"/>
  <c r="K234" i="29"/>
  <c r="K431" i="29"/>
  <c r="K628" i="29"/>
  <c r="K825" i="29"/>
  <c r="K1022" i="29"/>
  <c r="K1219" i="29"/>
  <c r="K1416" i="29"/>
  <c r="K1613" i="29"/>
  <c r="K38" i="29"/>
  <c r="K235" i="29"/>
  <c r="K432" i="29"/>
  <c r="K629" i="29"/>
  <c r="K826" i="29"/>
  <c r="K1023" i="29"/>
  <c r="K1220" i="29"/>
  <c r="K1417" i="29"/>
  <c r="K1614" i="29"/>
  <c r="K39" i="29"/>
  <c r="K236" i="29"/>
  <c r="K433" i="29"/>
  <c r="K630" i="29"/>
  <c r="K827" i="29"/>
  <c r="K1024" i="29"/>
  <c r="K1221" i="29"/>
  <c r="K1418" i="29"/>
  <c r="K1615" i="29"/>
  <c r="K40" i="29"/>
  <c r="K237" i="29"/>
  <c r="K434" i="29"/>
  <c r="K631" i="29"/>
  <c r="K828" i="29"/>
  <c r="K1025" i="29"/>
  <c r="K1222" i="29"/>
  <c r="K1419" i="29"/>
  <c r="K1616" i="29"/>
  <c r="K41" i="29"/>
  <c r="K238" i="29"/>
  <c r="K435" i="29"/>
  <c r="K632" i="29"/>
  <c r="K829" i="29"/>
  <c r="K1026" i="29"/>
  <c r="K1223" i="29"/>
  <c r="K1420" i="29"/>
  <c r="K1617" i="29"/>
  <c r="K42" i="29"/>
  <c r="K239" i="29"/>
  <c r="K436" i="29"/>
  <c r="K633" i="29"/>
  <c r="K830" i="29"/>
  <c r="K1027" i="29"/>
  <c r="K1224" i="29"/>
  <c r="K1421" i="29"/>
  <c r="K1618" i="29"/>
  <c r="K43" i="29"/>
  <c r="K240" i="29"/>
  <c r="K437" i="29"/>
  <c r="K634" i="29"/>
  <c r="K831" i="29"/>
  <c r="K1028" i="29"/>
  <c r="K1225" i="29"/>
  <c r="K1422" i="29"/>
  <c r="K1619" i="29"/>
  <c r="K44" i="29"/>
  <c r="K241" i="29"/>
  <c r="K438" i="29"/>
  <c r="K635" i="29"/>
  <c r="K832" i="29"/>
  <c r="K1029" i="29"/>
  <c r="K1226" i="29"/>
  <c r="K1423" i="29"/>
  <c r="K1620" i="29"/>
  <c r="K45" i="29"/>
  <c r="K242" i="29"/>
  <c r="K439" i="29"/>
  <c r="K636" i="29"/>
  <c r="K833" i="29"/>
  <c r="K1030" i="29"/>
  <c r="K1227" i="29"/>
  <c r="K1424" i="29"/>
  <c r="K1621" i="29"/>
  <c r="K46" i="29"/>
  <c r="K243" i="29"/>
  <c r="K440" i="29"/>
  <c r="K637" i="29"/>
  <c r="K834" i="29"/>
  <c r="K1031" i="29"/>
  <c r="K1228" i="29"/>
  <c r="K1425" i="29"/>
  <c r="K1622" i="29"/>
  <c r="K47" i="29"/>
  <c r="K244" i="29"/>
  <c r="K441" i="29"/>
  <c r="K638" i="29"/>
  <c r="K835" i="29"/>
  <c r="K1032" i="29"/>
  <c r="K1229" i="29"/>
  <c r="K1426" i="29"/>
  <c r="K1623" i="29"/>
  <c r="K48" i="29"/>
  <c r="K245" i="29"/>
  <c r="K442" i="29"/>
  <c r="K639" i="29"/>
  <c r="K836" i="29"/>
  <c r="K1033" i="29"/>
  <c r="K1230" i="29"/>
  <c r="K1427" i="29"/>
  <c r="K1624" i="29"/>
  <c r="K49" i="29"/>
  <c r="K246" i="29"/>
  <c r="K443" i="29"/>
  <c r="K640" i="29"/>
  <c r="K837" i="29"/>
  <c r="K1034" i="29"/>
  <c r="K1231" i="29"/>
  <c r="K1428" i="29"/>
  <c r="K1625" i="29"/>
  <c r="K50" i="29"/>
  <c r="K247" i="29"/>
  <c r="K444" i="29"/>
  <c r="K641" i="29"/>
  <c r="K838" i="29"/>
  <c r="K1035" i="29"/>
  <c r="K1232" i="29"/>
  <c r="K1429" i="29"/>
  <c r="K1626" i="29"/>
  <c r="K51" i="29"/>
  <c r="K248" i="29"/>
  <c r="K445" i="29"/>
  <c r="K642" i="29"/>
  <c r="K839" i="29"/>
  <c r="K1036" i="29"/>
  <c r="K1233" i="29"/>
  <c r="K1430" i="29"/>
  <c r="K1627" i="29"/>
  <c r="K52" i="29"/>
  <c r="K249" i="29"/>
  <c r="K446" i="29"/>
  <c r="K643" i="29"/>
  <c r="K840" i="29"/>
  <c r="K1037" i="29"/>
  <c r="K1234" i="29"/>
  <c r="K1431" i="29"/>
  <c r="K1628" i="29"/>
  <c r="K53" i="29"/>
  <c r="K250" i="29"/>
  <c r="K447" i="29"/>
  <c r="K644" i="29"/>
  <c r="K841" i="29"/>
  <c r="K1038" i="29"/>
  <c r="K1235" i="29"/>
  <c r="K1432" i="29"/>
  <c r="K1629" i="29"/>
  <c r="K54" i="29"/>
  <c r="K251" i="29"/>
  <c r="K448" i="29"/>
  <c r="K645" i="29"/>
  <c r="K842" i="29"/>
  <c r="K1039" i="29"/>
  <c r="K1236" i="29"/>
  <c r="K1433" i="29"/>
  <c r="K1630" i="29"/>
  <c r="K55" i="29"/>
  <c r="K252" i="29"/>
  <c r="K449" i="29"/>
  <c r="K646" i="29"/>
  <c r="K843" i="29"/>
  <c r="K1040" i="29"/>
  <c r="K1237" i="29"/>
  <c r="K1434" i="29"/>
  <c r="K1631" i="29"/>
  <c r="K56" i="29"/>
  <c r="K253" i="29"/>
  <c r="K450" i="29"/>
  <c r="K647" i="29"/>
  <c r="K844" i="29"/>
  <c r="K1041" i="29"/>
  <c r="K1238" i="29"/>
  <c r="K1435" i="29"/>
  <c r="K1632" i="29"/>
  <c r="K57" i="29"/>
  <c r="K254" i="29"/>
  <c r="K451" i="29"/>
  <c r="K648" i="29"/>
  <c r="K845" i="29"/>
  <c r="K1042" i="29"/>
  <c r="K1239" i="29"/>
  <c r="K1436" i="29"/>
  <c r="K1633" i="29"/>
  <c r="K58" i="29"/>
  <c r="K255" i="29"/>
  <c r="K452" i="29"/>
  <c r="K649" i="29"/>
  <c r="K846" i="29"/>
  <c r="K1043" i="29"/>
  <c r="K1240" i="29"/>
  <c r="K1437" i="29"/>
  <c r="K1634" i="29"/>
  <c r="K59" i="29"/>
  <c r="K256" i="29"/>
  <c r="K453" i="29"/>
  <c r="K650" i="29"/>
  <c r="K847" i="29"/>
  <c r="K1044" i="29"/>
  <c r="K1241" i="29"/>
  <c r="K1438" i="29"/>
  <c r="K1635" i="29"/>
  <c r="K60" i="29"/>
  <c r="K257" i="29"/>
  <c r="K454" i="29"/>
  <c r="K651" i="29"/>
  <c r="K848" i="29"/>
  <c r="K1045" i="29"/>
  <c r="K1242" i="29"/>
  <c r="K1439" i="29"/>
  <c r="K1636" i="29"/>
  <c r="K61" i="29"/>
  <c r="K258" i="29"/>
  <c r="K455" i="29"/>
  <c r="K652" i="29"/>
  <c r="K849" i="29"/>
  <c r="K1046" i="29"/>
  <c r="K1243" i="29"/>
  <c r="K1440" i="29"/>
  <c r="K1637" i="29"/>
  <c r="K62" i="29"/>
  <c r="K259" i="29"/>
  <c r="K456" i="29"/>
  <c r="K653" i="29"/>
  <c r="K850" i="29"/>
  <c r="K1047" i="29"/>
  <c r="K1244" i="29"/>
  <c r="K1441" i="29"/>
  <c r="K1638" i="29"/>
  <c r="K63" i="29"/>
  <c r="K260" i="29"/>
  <c r="K457" i="29"/>
  <c r="K654" i="29"/>
  <c r="K851" i="29"/>
  <c r="K1048" i="29"/>
  <c r="K1245" i="29"/>
  <c r="K1442" i="29"/>
  <c r="K1639" i="29"/>
  <c r="K64" i="29"/>
  <c r="K261" i="29"/>
  <c r="K458" i="29"/>
  <c r="K655" i="29"/>
  <c r="K852" i="29"/>
  <c r="K1049" i="29"/>
  <c r="K1246" i="29"/>
  <c r="K1443" i="29"/>
  <c r="K1640" i="29"/>
  <c r="K65" i="29"/>
  <c r="K262" i="29"/>
  <c r="K459" i="29"/>
  <c r="K656" i="29"/>
  <c r="K853" i="29"/>
  <c r="K1050" i="29"/>
  <c r="K1247" i="29"/>
  <c r="K1444" i="29"/>
  <c r="K1641" i="29"/>
  <c r="K66" i="29"/>
  <c r="K263" i="29"/>
  <c r="K460" i="29"/>
  <c r="K657" i="29"/>
  <c r="K854" i="29"/>
  <c r="K1051" i="29"/>
  <c r="K1248" i="29"/>
  <c r="K1445" i="29"/>
  <c r="K1642" i="29"/>
  <c r="K67" i="29"/>
  <c r="K264" i="29"/>
  <c r="K461" i="29"/>
  <c r="K658" i="29"/>
  <c r="K855" i="29"/>
  <c r="K1052" i="29"/>
  <c r="K1249" i="29"/>
  <c r="K1446" i="29"/>
  <c r="K1643" i="29"/>
  <c r="K68" i="29"/>
  <c r="K265" i="29"/>
  <c r="K462" i="29"/>
  <c r="K659" i="29"/>
  <c r="K856" i="29"/>
  <c r="K1053" i="29"/>
  <c r="K1250" i="29"/>
  <c r="K1447" i="29"/>
  <c r="K1644" i="29"/>
  <c r="K69" i="29"/>
  <c r="K266" i="29"/>
  <c r="K463" i="29"/>
  <c r="K660" i="29"/>
  <c r="K857" i="29"/>
  <c r="K1054" i="29"/>
  <c r="K1251" i="29"/>
  <c r="K1448" i="29"/>
  <c r="K1645" i="29"/>
  <c r="K70" i="29"/>
  <c r="K267" i="29"/>
  <c r="K464" i="29"/>
  <c r="K661" i="29"/>
  <c r="K858" i="29"/>
  <c r="K1055" i="29"/>
  <c r="K1252" i="29"/>
  <c r="K1449" i="29"/>
  <c r="K1646" i="29"/>
  <c r="K71" i="29"/>
  <c r="K268" i="29"/>
  <c r="K465" i="29"/>
  <c r="K662" i="29"/>
  <c r="K859" i="29"/>
  <c r="K1056" i="29"/>
  <c r="K1253" i="29"/>
  <c r="K1450" i="29"/>
  <c r="K1647" i="29"/>
  <c r="K72" i="29"/>
  <c r="K269" i="29"/>
  <c r="K466" i="29"/>
  <c r="K663" i="29"/>
  <c r="K860" i="29"/>
  <c r="K1057" i="29"/>
  <c r="K1254" i="29"/>
  <c r="K1451" i="29"/>
  <c r="K1648" i="29"/>
  <c r="K73" i="29"/>
  <c r="K270" i="29"/>
  <c r="K467" i="29"/>
  <c r="K664" i="29"/>
  <c r="K861" i="29"/>
  <c r="K1058" i="29"/>
  <c r="K1255" i="29"/>
  <c r="K1452" i="29"/>
  <c r="K1649" i="29"/>
  <c r="K74" i="29"/>
  <c r="K271" i="29"/>
  <c r="K468" i="29"/>
  <c r="K665" i="29"/>
  <c r="K862" i="29"/>
  <c r="K1059" i="29"/>
  <c r="K1256" i="29"/>
  <c r="K1453" i="29"/>
  <c r="K1650" i="29"/>
  <c r="K75" i="29"/>
  <c r="K272" i="29"/>
  <c r="K469" i="29"/>
  <c r="K666" i="29"/>
  <c r="K863" i="29"/>
  <c r="K1060" i="29"/>
  <c r="K1257" i="29"/>
  <c r="K1454" i="29"/>
  <c r="K1651" i="29"/>
  <c r="K76" i="29"/>
  <c r="K273" i="29"/>
  <c r="K470" i="29"/>
  <c r="K667" i="29"/>
  <c r="K864" i="29"/>
  <c r="K1061" i="29"/>
  <c r="K1258" i="29"/>
  <c r="K1455" i="29"/>
  <c r="K1652" i="29"/>
  <c r="K77" i="29"/>
  <c r="K274" i="29"/>
  <c r="K471" i="29"/>
  <c r="K668" i="29"/>
  <c r="K865" i="29"/>
  <c r="K1062" i="29"/>
  <c r="K1259" i="29"/>
  <c r="K1456" i="29"/>
  <c r="K1653" i="29"/>
  <c r="K78" i="29"/>
  <c r="K275" i="29"/>
  <c r="K472" i="29"/>
  <c r="K669" i="29"/>
  <c r="K866" i="29"/>
  <c r="K1063" i="29"/>
  <c r="K1260" i="29"/>
  <c r="K1457" i="29"/>
  <c r="K1654" i="29"/>
  <c r="K79" i="29"/>
  <c r="K276" i="29"/>
  <c r="K473" i="29"/>
  <c r="K670" i="29"/>
  <c r="K867" i="29"/>
  <c r="K1064" i="29"/>
  <c r="K1261" i="29"/>
  <c r="K1458" i="29"/>
  <c r="K1655" i="29"/>
  <c r="K80" i="29"/>
  <c r="K277" i="29"/>
  <c r="K474" i="29"/>
  <c r="K671" i="29"/>
  <c r="K868" i="29"/>
  <c r="K1065" i="29"/>
  <c r="K1262" i="29"/>
  <c r="K1459" i="29"/>
  <c r="K1656" i="29"/>
  <c r="K81" i="29"/>
  <c r="K278" i="29"/>
  <c r="K475" i="29"/>
  <c r="K672" i="29"/>
  <c r="K869" i="29"/>
  <c r="K1066" i="29"/>
  <c r="K1263" i="29"/>
  <c r="K1460" i="29"/>
  <c r="K1657" i="29"/>
  <c r="K82" i="29"/>
  <c r="K279" i="29"/>
  <c r="K476" i="29"/>
  <c r="K673" i="29"/>
  <c r="K870" i="29"/>
  <c r="K1067" i="29"/>
  <c r="K1264" i="29"/>
  <c r="K1461" i="29"/>
  <c r="K1658" i="29"/>
  <c r="K83" i="29"/>
  <c r="K280" i="29"/>
  <c r="K477" i="29"/>
  <c r="K674" i="29"/>
  <c r="K871" i="29"/>
  <c r="K1068" i="29"/>
  <c r="K1265" i="29"/>
  <c r="K1462" i="29"/>
  <c r="K1659" i="29"/>
  <c r="K84" i="29"/>
  <c r="K281" i="29"/>
  <c r="K478" i="29"/>
  <c r="K675" i="29"/>
  <c r="K872" i="29"/>
  <c r="K1069" i="29"/>
  <c r="K1266" i="29"/>
  <c r="K1463" i="29"/>
  <c r="K1660" i="29"/>
  <c r="K85" i="29"/>
  <c r="K282" i="29"/>
  <c r="K479" i="29"/>
  <c r="K676" i="29"/>
  <c r="K873" i="29"/>
  <c r="K1070" i="29"/>
  <c r="K1267" i="29"/>
  <c r="K1464" i="29"/>
  <c r="K1661" i="29"/>
  <c r="K86" i="29"/>
  <c r="K283" i="29"/>
  <c r="K480" i="29"/>
  <c r="K677" i="29"/>
  <c r="K874" i="29"/>
  <c r="K1071" i="29"/>
  <c r="K1268" i="29"/>
  <c r="K1465" i="29"/>
  <c r="K1662" i="29"/>
  <c r="K87" i="29"/>
  <c r="K284" i="29"/>
  <c r="K481" i="29"/>
  <c r="K678" i="29"/>
  <c r="K875" i="29"/>
  <c r="K1072" i="29"/>
  <c r="K1269" i="29"/>
  <c r="K1466" i="29"/>
  <c r="K1663" i="29"/>
  <c r="K88" i="29"/>
  <c r="K285" i="29"/>
  <c r="K482" i="29"/>
  <c r="K679" i="29"/>
  <c r="K876" i="29"/>
  <c r="K1073" i="29"/>
  <c r="K1270" i="29"/>
  <c r="K1467" i="29"/>
  <c r="K1664" i="29"/>
  <c r="K89" i="29"/>
  <c r="K286" i="29"/>
  <c r="K483" i="29"/>
  <c r="K680" i="29"/>
  <c r="K877" i="29"/>
  <c r="K1074" i="29"/>
  <c r="K1271" i="29"/>
  <c r="K1468" i="29"/>
  <c r="K1665" i="29"/>
  <c r="K90" i="29"/>
  <c r="K287" i="29"/>
  <c r="K484" i="29"/>
  <c r="K681" i="29"/>
  <c r="K878" i="29"/>
  <c r="K1075" i="29"/>
  <c r="K1272" i="29"/>
  <c r="K1469" i="29"/>
  <c r="K1666" i="29"/>
  <c r="K91" i="29"/>
  <c r="K288" i="29"/>
  <c r="K485" i="29"/>
  <c r="K682" i="29"/>
  <c r="K879" i="29"/>
  <c r="K1076" i="29"/>
  <c r="K1273" i="29"/>
  <c r="K1470" i="29"/>
  <c r="K1667" i="29"/>
  <c r="K92" i="29"/>
  <c r="K289" i="29"/>
  <c r="K486" i="29"/>
  <c r="K683" i="29"/>
  <c r="K880" i="29"/>
  <c r="K1077" i="29"/>
  <c r="K1274" i="29"/>
  <c r="K1471" i="29"/>
  <c r="K1668" i="29"/>
  <c r="K93" i="29"/>
  <c r="K290" i="29"/>
  <c r="K487" i="29"/>
  <c r="K684" i="29"/>
  <c r="K881" i="29"/>
  <c r="K1078" i="29"/>
  <c r="K1275" i="29"/>
  <c r="K1472" i="29"/>
  <c r="K1669" i="29"/>
  <c r="K94" i="29"/>
  <c r="K291" i="29"/>
  <c r="K488" i="29"/>
  <c r="K685" i="29"/>
  <c r="K882" i="29"/>
  <c r="K1079" i="29"/>
  <c r="K1276" i="29"/>
  <c r="K1473" i="29"/>
  <c r="K1670" i="29"/>
  <c r="K95" i="29"/>
  <c r="K292" i="29"/>
  <c r="K489" i="29"/>
  <c r="K686" i="29"/>
  <c r="K883" i="29"/>
  <c r="K1080" i="29"/>
  <c r="K1277" i="29"/>
  <c r="K1474" i="29"/>
  <c r="K1671" i="29"/>
  <c r="K96" i="29"/>
  <c r="K293" i="29"/>
  <c r="K490" i="29"/>
  <c r="K687" i="29"/>
  <c r="K884" i="29"/>
  <c r="K1081" i="29"/>
  <c r="K1278" i="29"/>
  <c r="K1475" i="29"/>
  <c r="K1672" i="29"/>
  <c r="K97" i="29"/>
  <c r="K294" i="29"/>
  <c r="K491" i="29"/>
  <c r="K688" i="29"/>
  <c r="K885" i="29"/>
  <c r="K1082" i="29"/>
  <c r="K1279" i="29"/>
  <c r="K1476" i="29"/>
  <c r="K1673" i="29"/>
  <c r="K98" i="29"/>
  <c r="K295" i="29"/>
  <c r="K492" i="29"/>
  <c r="K689" i="29"/>
  <c r="K886" i="29"/>
  <c r="K1083" i="29"/>
  <c r="K1280" i="29"/>
  <c r="K1477" i="29"/>
  <c r="K1674" i="29"/>
  <c r="K99" i="29"/>
  <c r="K296" i="29"/>
  <c r="K493" i="29"/>
  <c r="K690" i="29"/>
  <c r="K887" i="29"/>
  <c r="K1084" i="29"/>
  <c r="K1281" i="29"/>
  <c r="K1478" i="29"/>
  <c r="K1675" i="29"/>
  <c r="K100" i="29"/>
  <c r="K297" i="29"/>
  <c r="K494" i="29"/>
  <c r="K691" i="29"/>
  <c r="K888" i="29"/>
  <c r="K1085" i="29"/>
  <c r="K1282" i="29"/>
  <c r="K1479" i="29"/>
  <c r="K1676" i="29"/>
  <c r="K101" i="29"/>
  <c r="K298" i="29"/>
  <c r="K495" i="29"/>
  <c r="K692" i="29"/>
  <c r="K889" i="29"/>
  <c r="K1086" i="29"/>
  <c r="K1283" i="29"/>
  <c r="K1480" i="29"/>
  <c r="K1677" i="29"/>
  <c r="K102" i="29"/>
  <c r="K299" i="29"/>
  <c r="K496" i="29"/>
  <c r="K693" i="29"/>
  <c r="K890" i="29"/>
  <c r="K1087" i="29"/>
  <c r="K1284" i="29"/>
  <c r="K1481" i="29"/>
  <c r="K1678" i="29"/>
  <c r="K103" i="29"/>
  <c r="K300" i="29"/>
  <c r="K497" i="29"/>
  <c r="K694" i="29"/>
  <c r="K891" i="29"/>
  <c r="K1088" i="29"/>
  <c r="K1285" i="29"/>
  <c r="K1482" i="29"/>
  <c r="K1679" i="29"/>
  <c r="K104" i="29"/>
  <c r="K301" i="29"/>
  <c r="K498" i="29"/>
  <c r="K695" i="29"/>
  <c r="K892" i="29"/>
  <c r="K1089" i="29"/>
  <c r="K1286" i="29"/>
  <c r="K1483" i="29"/>
  <c r="K1680" i="29"/>
  <c r="K105" i="29"/>
  <c r="K302" i="29"/>
  <c r="K499" i="29"/>
  <c r="K696" i="29"/>
  <c r="K893" i="29"/>
  <c r="K1090" i="29"/>
  <c r="K1287" i="29"/>
  <c r="K1484" i="29"/>
  <c r="K1681" i="29"/>
  <c r="K106" i="29"/>
  <c r="K303" i="29"/>
  <c r="K500" i="29"/>
  <c r="K697" i="29"/>
  <c r="K894" i="29"/>
  <c r="K1091" i="29"/>
  <c r="K1288" i="29"/>
  <c r="K1485" i="29"/>
  <c r="K1682" i="29"/>
  <c r="K107" i="29"/>
  <c r="K304" i="29"/>
  <c r="K501" i="29"/>
  <c r="K698" i="29"/>
  <c r="K895" i="29"/>
  <c r="K1092" i="29"/>
  <c r="K1289" i="29"/>
  <c r="K1486" i="29"/>
  <c r="K1683" i="29"/>
  <c r="K108" i="29"/>
  <c r="K305" i="29"/>
  <c r="K502" i="29"/>
  <c r="K699" i="29"/>
  <c r="K896" i="29"/>
  <c r="K1093" i="29"/>
  <c r="K1290" i="29"/>
  <c r="K1487" i="29"/>
  <c r="K1684" i="29"/>
  <c r="K109" i="29"/>
  <c r="K306" i="29"/>
  <c r="K503" i="29"/>
  <c r="K700" i="29"/>
  <c r="K897" i="29"/>
  <c r="K1094" i="29"/>
  <c r="K1291" i="29"/>
  <c r="K1488" i="29"/>
  <c r="K1685" i="29"/>
  <c r="K110" i="29"/>
  <c r="K307" i="29"/>
  <c r="K504" i="29"/>
  <c r="K701" i="29"/>
  <c r="K898" i="29"/>
  <c r="K1095" i="29"/>
  <c r="K1292" i="29"/>
  <c r="K1489" i="29"/>
  <c r="K1686" i="29"/>
  <c r="K111" i="29"/>
  <c r="K308" i="29"/>
  <c r="K505" i="29"/>
  <c r="K702" i="29"/>
  <c r="K899" i="29"/>
  <c r="K1096" i="29"/>
  <c r="K1293" i="29"/>
  <c r="K1490" i="29"/>
  <c r="K1687" i="29"/>
  <c r="K112" i="29"/>
  <c r="K309" i="29"/>
  <c r="K506" i="29"/>
  <c r="K703" i="29"/>
  <c r="K900" i="29"/>
  <c r="K1097" i="29"/>
  <c r="K1294" i="29"/>
  <c r="K1491" i="29"/>
  <c r="K1688" i="29"/>
  <c r="K113" i="29"/>
  <c r="K310" i="29"/>
  <c r="K507" i="29"/>
  <c r="K704" i="29"/>
  <c r="K901" i="29"/>
  <c r="K1098" i="29"/>
  <c r="K1295" i="29"/>
  <c r="K1492" i="29"/>
  <c r="K1689" i="29"/>
  <c r="K114" i="29"/>
  <c r="K311" i="29"/>
  <c r="K508" i="29"/>
  <c r="K705" i="29"/>
  <c r="K902" i="29"/>
  <c r="K1099" i="29"/>
  <c r="K1296" i="29"/>
  <c r="K1493" i="29"/>
  <c r="K1690" i="29"/>
  <c r="K115" i="29"/>
  <c r="K312" i="29"/>
  <c r="K509" i="29"/>
  <c r="K706" i="29"/>
  <c r="K903" i="29"/>
  <c r="K1100" i="29"/>
  <c r="K1297" i="29"/>
  <c r="K1494" i="29"/>
  <c r="K1691" i="29"/>
  <c r="K116" i="29"/>
  <c r="K313" i="29"/>
  <c r="K510" i="29"/>
  <c r="K707" i="29"/>
  <c r="K904" i="29"/>
  <c r="K1101" i="29"/>
  <c r="K1298" i="29"/>
  <c r="K1495" i="29"/>
  <c r="K1692" i="29"/>
  <c r="K117" i="29"/>
  <c r="K314" i="29"/>
  <c r="K511" i="29"/>
  <c r="K708" i="29"/>
  <c r="K905" i="29"/>
  <c r="K1102" i="29"/>
  <c r="K1299" i="29"/>
  <c r="K1496" i="29"/>
  <c r="K1693" i="29"/>
  <c r="K118" i="29"/>
  <c r="K315" i="29"/>
  <c r="K512" i="29"/>
  <c r="K709" i="29"/>
  <c r="K906" i="29"/>
  <c r="K1103" i="29"/>
  <c r="K1300" i="29"/>
  <c r="K1497" i="29"/>
  <c r="K1694" i="29"/>
  <c r="K119" i="29"/>
  <c r="K316" i="29"/>
  <c r="K513" i="29"/>
  <c r="K710" i="29"/>
  <c r="K907" i="29"/>
  <c r="K1104" i="29"/>
  <c r="K1301" i="29"/>
  <c r="K1498" i="29"/>
  <c r="K1695" i="29"/>
  <c r="K120" i="29"/>
  <c r="K317" i="29"/>
  <c r="K514" i="29"/>
  <c r="K711" i="29"/>
  <c r="K908" i="29"/>
  <c r="K1105" i="29"/>
  <c r="K1302" i="29"/>
  <c r="K1499" i="29"/>
  <c r="K1696" i="29"/>
  <c r="K121" i="29"/>
  <c r="K318" i="29"/>
  <c r="K515" i="29"/>
  <c r="K712" i="29"/>
  <c r="K909" i="29"/>
  <c r="K1106" i="29"/>
  <c r="K1303" i="29"/>
  <c r="K1500" i="29"/>
  <c r="K1697" i="29"/>
  <c r="K122" i="29"/>
  <c r="K319" i="29"/>
  <c r="K516" i="29"/>
  <c r="K713" i="29"/>
  <c r="K910" i="29"/>
  <c r="K1107" i="29"/>
  <c r="K1304" i="29"/>
  <c r="K1501" i="29"/>
  <c r="K1698" i="29"/>
  <c r="K123" i="29"/>
  <c r="K320" i="29"/>
  <c r="K517" i="29"/>
  <c r="K714" i="29"/>
  <c r="K911" i="29"/>
  <c r="K1108" i="29"/>
  <c r="K1305" i="29"/>
  <c r="K1502" i="29"/>
  <c r="K1699" i="29"/>
  <c r="K124" i="29"/>
  <c r="K321" i="29"/>
  <c r="K518" i="29"/>
  <c r="K715" i="29"/>
  <c r="K912" i="29"/>
  <c r="K1109" i="29"/>
  <c r="K1306" i="29"/>
  <c r="K1503" i="29"/>
  <c r="K1700" i="29"/>
  <c r="K125" i="29"/>
  <c r="K322" i="29"/>
  <c r="K519" i="29"/>
  <c r="K716" i="29"/>
  <c r="K913" i="29"/>
  <c r="K1110" i="29"/>
  <c r="K1307" i="29"/>
  <c r="K1504" i="29"/>
  <c r="K1701" i="29"/>
  <c r="K126" i="29"/>
  <c r="K323" i="29"/>
  <c r="K520" i="29"/>
  <c r="K717" i="29"/>
  <c r="K914" i="29"/>
  <c r="K1111" i="29"/>
  <c r="K1308" i="29"/>
  <c r="K1505" i="29"/>
  <c r="K1702" i="29"/>
  <c r="K127" i="29"/>
  <c r="K324" i="29"/>
  <c r="K521" i="29"/>
  <c r="K718" i="29"/>
  <c r="K915" i="29"/>
  <c r="K1112" i="29"/>
  <c r="K1309" i="29"/>
  <c r="K1506" i="29"/>
  <c r="K1703" i="29"/>
  <c r="K128" i="29"/>
  <c r="K325" i="29"/>
  <c r="K522" i="29"/>
  <c r="K719" i="29"/>
  <c r="K916" i="29"/>
  <c r="K1113" i="29"/>
  <c r="K1310" i="29"/>
  <c r="K1507" i="29"/>
  <c r="K1704" i="29"/>
  <c r="K129" i="29"/>
  <c r="K326" i="29"/>
  <c r="K523" i="29"/>
  <c r="K720" i="29"/>
  <c r="K917" i="29"/>
  <c r="K1114" i="29"/>
  <c r="K1311" i="29"/>
  <c r="K1508" i="29"/>
  <c r="K1705" i="29"/>
  <c r="K130" i="29"/>
  <c r="K327" i="29"/>
  <c r="K524" i="29"/>
  <c r="K721" i="29"/>
  <c r="K918" i="29"/>
  <c r="K1115" i="29"/>
  <c r="K1312" i="29"/>
  <c r="K1509" i="29"/>
  <c r="K1706" i="29"/>
  <c r="K131" i="29"/>
  <c r="K328" i="29"/>
  <c r="K525" i="29"/>
  <c r="K722" i="29"/>
  <c r="K919" i="29"/>
  <c r="K1116" i="29"/>
  <c r="K1313" i="29"/>
  <c r="K1510" i="29"/>
  <c r="K1707" i="29"/>
  <c r="K132" i="29"/>
  <c r="K329" i="29"/>
  <c r="K526" i="29"/>
  <c r="K723" i="29"/>
  <c r="K920" i="29"/>
  <c r="K1117" i="29"/>
  <c r="K1314" i="29"/>
  <c r="K1511" i="29"/>
  <c r="K1708" i="29"/>
  <c r="K133" i="29"/>
  <c r="K330" i="29"/>
  <c r="K527" i="29"/>
  <c r="K724" i="29"/>
  <c r="K921" i="29"/>
  <c r="K1118" i="29"/>
  <c r="K1315" i="29"/>
  <c r="K1512" i="29"/>
  <c r="K1709" i="29"/>
  <c r="K134" i="29"/>
  <c r="K331" i="29"/>
  <c r="K528" i="29"/>
  <c r="K725" i="29"/>
  <c r="K922" i="29"/>
  <c r="K1119" i="29"/>
  <c r="K1316" i="29"/>
  <c r="K1513" i="29"/>
  <c r="K1710" i="29"/>
  <c r="K135" i="29"/>
  <c r="K332" i="29"/>
  <c r="K529" i="29"/>
  <c r="K726" i="29"/>
  <c r="K923" i="29"/>
  <c r="K1120" i="29"/>
  <c r="K1317" i="29"/>
  <c r="K1514" i="29"/>
  <c r="K1711" i="29"/>
  <c r="K136" i="29"/>
  <c r="K333" i="29"/>
  <c r="K530" i="29"/>
  <c r="K727" i="29"/>
  <c r="K924" i="29"/>
  <c r="K1121" i="29"/>
  <c r="K1318" i="29"/>
  <c r="K1515" i="29"/>
  <c r="K1712" i="29"/>
  <c r="K137" i="29"/>
  <c r="K334" i="29"/>
  <c r="K531" i="29"/>
  <c r="K728" i="29"/>
  <c r="K925" i="29"/>
  <c r="K1122" i="29"/>
  <c r="K1319" i="29"/>
  <c r="K1516" i="29"/>
  <c r="K1713" i="29"/>
  <c r="K138" i="29"/>
  <c r="K335" i="29"/>
  <c r="K532" i="29"/>
  <c r="K729" i="29"/>
  <c r="K926" i="29"/>
  <c r="K1123" i="29"/>
  <c r="K1320" i="29"/>
  <c r="K1517" i="29"/>
  <c r="K1714" i="29"/>
  <c r="K139" i="29"/>
  <c r="K336" i="29"/>
  <c r="K533" i="29"/>
  <c r="K730" i="29"/>
  <c r="K927" i="29"/>
  <c r="K1124" i="29"/>
  <c r="K1321" i="29"/>
  <c r="K1518" i="29"/>
  <c r="K1715" i="29"/>
  <c r="K140" i="29"/>
  <c r="K337" i="29"/>
  <c r="K534" i="29"/>
  <c r="K731" i="29"/>
  <c r="K928" i="29"/>
  <c r="K1125" i="29"/>
  <c r="K1322" i="29"/>
  <c r="K1519" i="29"/>
  <c r="K1716" i="29"/>
  <c r="K141" i="29"/>
  <c r="K338" i="29"/>
  <c r="K535" i="29"/>
  <c r="K732" i="29"/>
  <c r="K929" i="29"/>
  <c r="K1126" i="29"/>
  <c r="K1323" i="29"/>
  <c r="K1520" i="29"/>
  <c r="K1717" i="29"/>
  <c r="K142" i="29"/>
  <c r="K339" i="29"/>
  <c r="K536" i="29"/>
  <c r="K733" i="29"/>
  <c r="K930" i="29"/>
  <c r="K1127" i="29"/>
  <c r="K1324" i="29"/>
  <c r="K1521" i="29"/>
  <c r="K1718" i="29"/>
  <c r="K143" i="29"/>
  <c r="K340" i="29"/>
  <c r="K537" i="29"/>
  <c r="K734" i="29"/>
  <c r="K931" i="29"/>
  <c r="K1128" i="29"/>
  <c r="K1325" i="29"/>
  <c r="K1522" i="29"/>
  <c r="K1719" i="29"/>
  <c r="K144" i="29"/>
  <c r="K341" i="29"/>
  <c r="K538" i="29"/>
  <c r="K735" i="29"/>
  <c r="K932" i="29"/>
  <c r="K1129" i="29"/>
  <c r="K1326" i="29"/>
  <c r="K1523" i="29"/>
  <c r="K1720" i="29"/>
  <c r="K145" i="29"/>
  <c r="K342" i="29"/>
  <c r="K539" i="29"/>
  <c r="K736" i="29"/>
  <c r="K933" i="29"/>
  <c r="K1130" i="29"/>
  <c r="K1327" i="29"/>
  <c r="K1524" i="29"/>
  <c r="K1721" i="29"/>
  <c r="K146" i="29"/>
  <c r="K343" i="29"/>
  <c r="K540" i="29"/>
  <c r="K737" i="29"/>
  <c r="K934" i="29"/>
  <c r="K1131" i="29"/>
  <c r="K1328" i="29"/>
  <c r="K1525" i="29"/>
  <c r="K1722" i="29"/>
  <c r="K147" i="29"/>
  <c r="K344" i="29"/>
  <c r="K541" i="29"/>
  <c r="K738" i="29"/>
  <c r="K935" i="29"/>
  <c r="K1132" i="29"/>
  <c r="K1329" i="29"/>
  <c r="K1526" i="29"/>
  <c r="K1723" i="29"/>
  <c r="K148" i="29"/>
  <c r="K345" i="29"/>
  <c r="K542" i="29"/>
  <c r="K739" i="29"/>
  <c r="K936" i="29"/>
  <c r="K1133" i="29"/>
  <c r="K1330" i="29"/>
  <c r="K1527" i="29"/>
  <c r="K1724" i="29"/>
  <c r="K149" i="29"/>
  <c r="K346" i="29"/>
  <c r="K543" i="29"/>
  <c r="K740" i="29"/>
  <c r="K937" i="29"/>
  <c r="K1134" i="29"/>
  <c r="K1331" i="29"/>
  <c r="K1528" i="29"/>
  <c r="K1725" i="29"/>
  <c r="K150" i="29"/>
  <c r="K347" i="29"/>
  <c r="K544" i="29"/>
  <c r="K741" i="29"/>
  <c r="K938" i="29"/>
  <c r="K1135" i="29"/>
  <c r="K1332" i="29"/>
  <c r="K1529" i="29"/>
  <c r="K1726" i="29"/>
  <c r="K151" i="29"/>
  <c r="K348" i="29"/>
  <c r="K545" i="29"/>
  <c r="K742" i="29"/>
  <c r="K939" i="29"/>
  <c r="K1136" i="29"/>
  <c r="K1333" i="29"/>
  <c r="K1530" i="29"/>
  <c r="K1727" i="29"/>
  <c r="K152" i="29"/>
  <c r="K349" i="29"/>
  <c r="K546" i="29"/>
  <c r="K743" i="29"/>
  <c r="K940" i="29"/>
  <c r="K1137" i="29"/>
  <c r="K1334" i="29"/>
  <c r="K1531" i="29"/>
  <c r="K1728" i="29"/>
  <c r="K153" i="29"/>
  <c r="K350" i="29"/>
  <c r="K547" i="29"/>
  <c r="K744" i="29"/>
  <c r="K941" i="29"/>
  <c r="K1138" i="29"/>
  <c r="K1335" i="29"/>
  <c r="K1532" i="29"/>
  <c r="K1729" i="29"/>
  <c r="K154" i="29"/>
  <c r="K351" i="29"/>
  <c r="K548" i="29"/>
  <c r="K745" i="29"/>
  <c r="K942" i="29"/>
  <c r="K1139" i="29"/>
  <c r="K1336" i="29"/>
  <c r="K1533" i="29"/>
  <c r="K1730" i="29"/>
  <c r="K155" i="29"/>
  <c r="K352" i="29"/>
  <c r="K549" i="29"/>
  <c r="K746" i="29"/>
  <c r="K943" i="29"/>
  <c r="K1140" i="29"/>
  <c r="K1337" i="29"/>
  <c r="K1534" i="29"/>
  <c r="K1731" i="29"/>
  <c r="K156" i="29"/>
  <c r="K353" i="29"/>
  <c r="K550" i="29"/>
  <c r="K747" i="29"/>
  <c r="K944" i="29"/>
  <c r="K1141" i="29"/>
  <c r="K1338" i="29"/>
  <c r="K1535" i="29"/>
  <c r="K1732" i="29"/>
  <c r="K157" i="29"/>
  <c r="K354" i="29"/>
  <c r="K551" i="29"/>
  <c r="K748" i="29"/>
  <c r="K945" i="29"/>
  <c r="K1142" i="29"/>
  <c r="K1339" i="29"/>
  <c r="K1536" i="29"/>
  <c r="K1733" i="29"/>
  <c r="K158" i="29"/>
  <c r="K355" i="29"/>
  <c r="K552" i="29"/>
  <c r="K749" i="29"/>
  <c r="K946" i="29"/>
  <c r="K1143" i="29"/>
  <c r="K1340" i="29"/>
  <c r="K1537" i="29"/>
  <c r="K1734" i="29"/>
  <c r="K159" i="29"/>
  <c r="K356" i="29"/>
  <c r="K553" i="29"/>
  <c r="K750" i="29"/>
  <c r="K947" i="29"/>
  <c r="K1144" i="29"/>
  <c r="K1341" i="29"/>
  <c r="K1538" i="29"/>
  <c r="K1735" i="29"/>
  <c r="K160" i="29"/>
  <c r="K357" i="29"/>
  <c r="K554" i="29"/>
  <c r="K751" i="29"/>
  <c r="K948" i="29"/>
  <c r="K1145" i="29"/>
  <c r="K1342" i="29"/>
  <c r="K1539" i="29"/>
  <c r="K1736" i="29"/>
  <c r="K161" i="29"/>
  <c r="K358" i="29"/>
  <c r="K555" i="29"/>
  <c r="K752" i="29"/>
  <c r="K949" i="29"/>
  <c r="K1146" i="29"/>
  <c r="K1343" i="29"/>
  <c r="K1540" i="29"/>
  <c r="K1737" i="29"/>
  <c r="K162" i="29"/>
  <c r="K359" i="29"/>
  <c r="K556" i="29"/>
  <c r="K753" i="29"/>
  <c r="K950" i="29"/>
  <c r="K1147" i="29"/>
  <c r="K1344" i="29"/>
  <c r="K1541" i="29"/>
  <c r="K1738" i="29"/>
  <c r="K163" i="29"/>
  <c r="K360" i="29"/>
  <c r="K557" i="29"/>
  <c r="K754" i="29"/>
  <c r="K951" i="29"/>
  <c r="K1148" i="29"/>
  <c r="K1345" i="29"/>
  <c r="K1542" i="29"/>
  <c r="K1739" i="29"/>
  <c r="K164" i="29"/>
  <c r="K361" i="29"/>
  <c r="K558" i="29"/>
  <c r="K755" i="29"/>
  <c r="K952" i="29"/>
  <c r="K1149" i="29"/>
  <c r="K1346" i="29"/>
  <c r="K1543" i="29"/>
  <c r="K1740" i="29"/>
  <c r="K165" i="29"/>
  <c r="K362" i="29"/>
  <c r="K559" i="29"/>
  <c r="K756" i="29"/>
  <c r="K953" i="29"/>
  <c r="K1150" i="29"/>
  <c r="K1347" i="29"/>
  <c r="K1544" i="29"/>
  <c r="K1741" i="29"/>
  <c r="K166" i="29"/>
  <c r="K363" i="29"/>
  <c r="K560" i="29"/>
  <c r="K757" i="29"/>
  <c r="K954" i="29"/>
  <c r="K1151" i="29"/>
  <c r="K1348" i="29"/>
  <c r="K1545" i="29"/>
  <c r="K1742" i="29"/>
  <c r="K167" i="29"/>
  <c r="K364" i="29"/>
  <c r="K561" i="29"/>
  <c r="K758" i="29"/>
  <c r="K955" i="29"/>
  <c r="K1152" i="29"/>
  <c r="K1349" i="29"/>
  <c r="K1546" i="29"/>
  <c r="K1743" i="29"/>
  <c r="K168" i="29"/>
  <c r="K365" i="29"/>
  <c r="K562" i="29"/>
  <c r="K759" i="29"/>
  <c r="K956" i="29"/>
  <c r="K1153" i="29"/>
  <c r="K1350" i="29"/>
  <c r="K1547" i="29"/>
  <c r="K1744" i="29"/>
  <c r="K169" i="29"/>
  <c r="K366" i="29"/>
  <c r="K563" i="29"/>
  <c r="K760" i="29"/>
  <c r="K957" i="29"/>
  <c r="K1154" i="29"/>
  <c r="K1351" i="29"/>
  <c r="K1548" i="29"/>
  <c r="K1745" i="29"/>
  <c r="K170" i="29"/>
  <c r="K367" i="29"/>
  <c r="K564" i="29"/>
  <c r="K761" i="29"/>
  <c r="K958" i="29"/>
  <c r="K1155" i="29"/>
  <c r="K1352" i="29"/>
  <c r="K1549" i="29"/>
  <c r="K1746" i="29"/>
  <c r="K171" i="29"/>
  <c r="K368" i="29"/>
  <c r="K565" i="29"/>
  <c r="K762" i="29"/>
  <c r="K959" i="29"/>
  <c r="K1156" i="29"/>
  <c r="K1353" i="29"/>
  <c r="K1550" i="29"/>
  <c r="K1747" i="29"/>
  <c r="K172" i="29"/>
  <c r="K369" i="29"/>
  <c r="K566" i="29"/>
  <c r="K763" i="29"/>
  <c r="K960" i="29"/>
  <c r="K1157" i="29"/>
  <c r="K1354" i="29"/>
  <c r="K1551" i="29"/>
  <c r="K1748" i="29"/>
  <c r="K173" i="29"/>
  <c r="K370" i="29"/>
  <c r="K567" i="29"/>
  <c r="K764" i="29"/>
  <c r="K961" i="29"/>
  <c r="K1158" i="29"/>
  <c r="K1355" i="29"/>
  <c r="K1552" i="29"/>
  <c r="K1749" i="29"/>
  <c r="K174" i="29"/>
  <c r="K371" i="29"/>
  <c r="K568" i="29"/>
  <c r="K765" i="29"/>
  <c r="K962" i="29"/>
  <c r="K1159" i="29"/>
  <c r="K1356" i="29"/>
  <c r="K1553" i="29"/>
  <c r="K1750" i="29"/>
  <c r="K175" i="29"/>
  <c r="K372" i="29"/>
  <c r="K569" i="29"/>
  <c r="K766" i="29"/>
  <c r="K963" i="29"/>
  <c r="K1160" i="29"/>
  <c r="K1357" i="29"/>
  <c r="K1554" i="29"/>
  <c r="K1751" i="29"/>
  <c r="K176" i="29"/>
  <c r="K373" i="29"/>
  <c r="K570" i="29"/>
  <c r="K767" i="29"/>
  <c r="K964" i="29"/>
  <c r="K1161" i="29"/>
  <c r="K1358" i="29"/>
  <c r="K1555" i="29"/>
  <c r="K1752" i="29"/>
  <c r="K177" i="29"/>
  <c r="K374" i="29"/>
  <c r="K571" i="29"/>
  <c r="K768" i="29"/>
  <c r="K965" i="29"/>
  <c r="K1162" i="29"/>
  <c r="K1359" i="29"/>
  <c r="K1556" i="29"/>
  <c r="K1753" i="29"/>
  <c r="K178" i="29"/>
  <c r="K375" i="29"/>
  <c r="K572" i="29"/>
  <c r="K769" i="29"/>
  <c r="K966" i="29"/>
  <c r="K1163" i="29"/>
  <c r="K1360" i="29"/>
  <c r="K1557" i="29"/>
  <c r="K1754" i="29"/>
  <c r="K179" i="29"/>
  <c r="K376" i="29"/>
  <c r="K573" i="29"/>
  <c r="K770" i="29"/>
  <c r="K967" i="29"/>
  <c r="K1164" i="29"/>
  <c r="K1361" i="29"/>
  <c r="K1558" i="29"/>
  <c r="K1755" i="29"/>
  <c r="K180" i="29"/>
  <c r="K377" i="29"/>
  <c r="K574" i="29"/>
  <c r="K771" i="29"/>
  <c r="K968" i="29"/>
  <c r="K1165" i="29"/>
  <c r="K1362" i="29"/>
  <c r="K1559" i="29"/>
  <c r="K1756" i="29"/>
  <c r="K181" i="29"/>
  <c r="K378" i="29"/>
  <c r="K575" i="29"/>
  <c r="K772" i="29"/>
  <c r="K969" i="29"/>
  <c r="K1166" i="29"/>
  <c r="K1363" i="29"/>
  <c r="K1560" i="29"/>
  <c r="K1757" i="29"/>
  <c r="K182" i="29"/>
  <c r="K379" i="29"/>
  <c r="K576" i="29"/>
  <c r="K773" i="29"/>
  <c r="K970" i="29"/>
  <c r="K1167" i="29"/>
  <c r="K1364" i="29"/>
  <c r="K1561" i="29"/>
  <c r="K1758" i="29"/>
  <c r="K183" i="29"/>
  <c r="K380" i="29"/>
  <c r="K577" i="29"/>
  <c r="K774" i="29"/>
  <c r="K971" i="29"/>
  <c r="K1168" i="29"/>
  <c r="K1365" i="29"/>
  <c r="K1562" i="29"/>
  <c r="K1759" i="29"/>
  <c r="K184" i="29"/>
  <c r="K381" i="29"/>
  <c r="K578" i="29"/>
  <c r="K775" i="29"/>
  <c r="K972" i="29"/>
  <c r="K1169" i="29"/>
  <c r="K1366" i="29"/>
  <c r="K1563" i="29"/>
  <c r="K1760" i="29"/>
  <c r="K185" i="29"/>
  <c r="K382" i="29"/>
  <c r="K579" i="29"/>
  <c r="K776" i="29"/>
  <c r="K973" i="29"/>
  <c r="K1170" i="29"/>
  <c r="K1367" i="29"/>
  <c r="K1564" i="29"/>
  <c r="K1761" i="29"/>
  <c r="K186" i="29"/>
  <c r="K383" i="29"/>
  <c r="K580" i="29"/>
  <c r="K777" i="29"/>
  <c r="K974" i="29"/>
  <c r="K1171" i="29"/>
  <c r="K1368" i="29"/>
  <c r="K1565" i="29"/>
  <c r="K1762" i="29"/>
  <c r="K187" i="29"/>
  <c r="K384" i="29"/>
  <c r="K581" i="29"/>
  <c r="K778" i="29"/>
  <c r="K975" i="29"/>
  <c r="K1172" i="29"/>
  <c r="K1369" i="29"/>
  <c r="K1566" i="29"/>
  <c r="K1763" i="29"/>
  <c r="K188" i="29"/>
  <c r="K385" i="29"/>
  <c r="K582" i="29"/>
  <c r="K779" i="29"/>
  <c r="K976" i="29"/>
  <c r="K1173" i="29"/>
  <c r="K1370" i="29"/>
  <c r="K1567" i="29"/>
  <c r="K1764" i="29"/>
  <c r="K189" i="29"/>
  <c r="K386" i="29"/>
  <c r="K583" i="29"/>
  <c r="K780" i="29"/>
  <c r="K977" i="29"/>
  <c r="K1174" i="29"/>
  <c r="K1371" i="29"/>
  <c r="K1568" i="29"/>
  <c r="K1765" i="29"/>
  <c r="K190" i="29"/>
  <c r="K387" i="29"/>
  <c r="K584" i="29"/>
  <c r="K781" i="29"/>
  <c r="K978" i="29"/>
  <c r="K1175" i="29"/>
  <c r="K1372" i="29"/>
  <c r="K1569" i="29"/>
  <c r="K1766" i="29"/>
  <c r="K191" i="29"/>
  <c r="K388" i="29"/>
  <c r="K585" i="29"/>
  <c r="K782" i="29"/>
  <c r="K979" i="29"/>
  <c r="K1176" i="29"/>
  <c r="K1373" i="29"/>
  <c r="K1570" i="29"/>
  <c r="K1767" i="29"/>
  <c r="K192" i="29"/>
  <c r="K389" i="29"/>
  <c r="K586" i="29"/>
  <c r="K783" i="29"/>
  <c r="K980" i="29"/>
  <c r="K1177" i="29"/>
  <c r="K1374" i="29"/>
  <c r="K1571" i="29"/>
  <c r="K1768" i="29"/>
  <c r="K193" i="29"/>
  <c r="K390" i="29"/>
  <c r="K587" i="29"/>
  <c r="K784" i="29"/>
  <c r="K981" i="29"/>
  <c r="K1178" i="29"/>
  <c r="K1375" i="29"/>
  <c r="K1572" i="29"/>
  <c r="K1769" i="29"/>
  <c r="K194" i="29"/>
  <c r="K391" i="29"/>
  <c r="K588" i="29"/>
  <c r="K785" i="29"/>
  <c r="K982" i="29"/>
  <c r="K1179" i="29"/>
  <c r="K1376" i="29"/>
  <c r="K1573" i="29"/>
  <c r="K1770" i="29"/>
  <c r="K195" i="29"/>
  <c r="K392" i="29"/>
  <c r="K589" i="29"/>
  <c r="K786" i="29"/>
  <c r="K983" i="29"/>
  <c r="K1180" i="29"/>
  <c r="K1377" i="29"/>
  <c r="K1574" i="29"/>
  <c r="K1771" i="29"/>
  <c r="K196" i="29"/>
  <c r="K393" i="29"/>
  <c r="K590" i="29"/>
  <c r="K787" i="29"/>
  <c r="K984" i="29"/>
  <c r="K1181" i="29"/>
  <c r="K1378" i="29"/>
  <c r="K1575" i="29"/>
  <c r="K1772" i="29"/>
  <c r="K197" i="29"/>
  <c r="K394" i="29"/>
  <c r="K591" i="29"/>
  <c r="K788" i="29"/>
  <c r="K985" i="29"/>
  <c r="K1182" i="29"/>
  <c r="K1379" i="29"/>
  <c r="K1576" i="29"/>
  <c r="K1773" i="29"/>
  <c r="K198" i="29"/>
  <c r="K395" i="29"/>
  <c r="K592" i="29"/>
  <c r="K789" i="29"/>
  <c r="K986" i="29"/>
  <c r="K1183" i="29"/>
  <c r="K1380" i="29"/>
  <c r="K1577" i="29"/>
  <c r="K1774" i="29"/>
  <c r="J2" i="29"/>
  <c r="J199" i="29"/>
  <c r="J396" i="29"/>
  <c r="J593" i="29"/>
  <c r="J790" i="29"/>
  <c r="J987" i="29"/>
  <c r="J1184" i="29"/>
  <c r="J1381" i="29"/>
  <c r="J1578" i="29"/>
  <c r="J3" i="29"/>
  <c r="J200" i="29"/>
  <c r="J397" i="29"/>
  <c r="J594" i="29"/>
  <c r="J791" i="29"/>
  <c r="J988" i="29"/>
  <c r="J1185" i="29"/>
  <c r="J1382" i="29"/>
  <c r="J1579" i="29"/>
  <c r="J4" i="29"/>
  <c r="J201" i="29"/>
  <c r="J398" i="29"/>
  <c r="J595" i="29"/>
  <c r="J792" i="29"/>
  <c r="J989" i="29"/>
  <c r="J1186" i="29"/>
  <c r="J1383" i="29"/>
  <c r="J1580" i="29"/>
  <c r="J5" i="29"/>
  <c r="J202" i="29"/>
  <c r="J399" i="29"/>
  <c r="J596" i="29"/>
  <c r="J793" i="29"/>
  <c r="J990" i="29"/>
  <c r="J1187" i="29"/>
  <c r="J1384" i="29"/>
  <c r="J1581" i="29"/>
  <c r="J6" i="29"/>
  <c r="J203" i="29"/>
  <c r="J400" i="29"/>
  <c r="J597" i="29"/>
  <c r="J794" i="29"/>
  <c r="J991" i="29"/>
  <c r="J1188" i="29"/>
  <c r="J1385" i="29"/>
  <c r="J1582" i="29"/>
  <c r="J7" i="29"/>
  <c r="J204" i="29"/>
  <c r="J401" i="29"/>
  <c r="J598" i="29"/>
  <c r="J795" i="29"/>
  <c r="J992" i="29"/>
  <c r="J1189" i="29"/>
  <c r="J1386" i="29"/>
  <c r="J1583" i="29"/>
  <c r="J8" i="29"/>
  <c r="J205" i="29"/>
  <c r="J402" i="29"/>
  <c r="J599" i="29"/>
  <c r="J796" i="29"/>
  <c r="J993" i="29"/>
  <c r="J1190" i="29"/>
  <c r="J1387" i="29"/>
  <c r="J1584" i="29"/>
  <c r="J9" i="29"/>
  <c r="J206" i="29"/>
  <c r="J403" i="29"/>
  <c r="J600" i="29"/>
  <c r="J797" i="29"/>
  <c r="J994" i="29"/>
  <c r="J1191" i="29"/>
  <c r="J1388" i="29"/>
  <c r="J1585" i="29"/>
  <c r="J10" i="29"/>
  <c r="J207" i="29"/>
  <c r="J404" i="29"/>
  <c r="J601" i="29"/>
  <c r="J798" i="29"/>
  <c r="J995" i="29"/>
  <c r="J1192" i="29"/>
  <c r="J1389" i="29"/>
  <c r="J1586" i="29"/>
  <c r="J11" i="29"/>
  <c r="J208" i="29"/>
  <c r="J405" i="29"/>
  <c r="J602" i="29"/>
  <c r="J799" i="29"/>
  <c r="J996" i="29"/>
  <c r="J1193" i="29"/>
  <c r="J1390" i="29"/>
  <c r="J1587" i="29"/>
  <c r="J12" i="29"/>
  <c r="J209" i="29"/>
  <c r="J406" i="29"/>
  <c r="J603" i="29"/>
  <c r="J800" i="29"/>
  <c r="J997" i="29"/>
  <c r="J1194" i="29"/>
  <c r="J1391" i="29"/>
  <c r="J1588" i="29"/>
  <c r="J13" i="29"/>
  <c r="J210" i="29"/>
  <c r="J407" i="29"/>
  <c r="J604" i="29"/>
  <c r="J801" i="29"/>
  <c r="J998" i="29"/>
  <c r="J1195" i="29"/>
  <c r="J1392" i="29"/>
  <c r="J1589" i="29"/>
  <c r="J14" i="29"/>
  <c r="J211" i="29"/>
  <c r="J408" i="29"/>
  <c r="J605" i="29"/>
  <c r="J802" i="29"/>
  <c r="J999" i="29"/>
  <c r="J1196" i="29"/>
  <c r="J1393" i="29"/>
  <c r="J1590" i="29"/>
  <c r="J15" i="29"/>
  <c r="J212" i="29"/>
  <c r="J409" i="29"/>
  <c r="J606" i="29"/>
  <c r="J803" i="29"/>
  <c r="J1000" i="29"/>
  <c r="J1197" i="29"/>
  <c r="J1394" i="29"/>
  <c r="J1591" i="29"/>
  <c r="J16" i="29"/>
  <c r="J213" i="29"/>
  <c r="J410" i="29"/>
  <c r="J607" i="29"/>
  <c r="J804" i="29"/>
  <c r="J1001" i="29"/>
  <c r="J1198" i="29"/>
  <c r="J1395" i="29"/>
  <c r="J1592" i="29"/>
  <c r="J17" i="29"/>
  <c r="J214" i="29"/>
  <c r="J411" i="29"/>
  <c r="J608" i="29"/>
  <c r="J805" i="29"/>
  <c r="J1002" i="29"/>
  <c r="J1199" i="29"/>
  <c r="J1396" i="29"/>
  <c r="J1593" i="29"/>
  <c r="J18" i="29"/>
  <c r="J215" i="29"/>
  <c r="J412" i="29"/>
  <c r="J609" i="29"/>
  <c r="J806" i="29"/>
  <c r="J1003" i="29"/>
  <c r="J1200" i="29"/>
  <c r="J1397" i="29"/>
  <c r="J1594" i="29"/>
  <c r="J19" i="29"/>
  <c r="J216" i="29"/>
  <c r="J413" i="29"/>
  <c r="J610" i="29"/>
  <c r="J807" i="29"/>
  <c r="J1004" i="29"/>
  <c r="J1201" i="29"/>
  <c r="J1398" i="29"/>
  <c r="J1595" i="29"/>
  <c r="J20" i="29"/>
  <c r="J217" i="29"/>
  <c r="J414" i="29"/>
  <c r="J611" i="29"/>
  <c r="J808" i="29"/>
  <c r="J1005" i="29"/>
  <c r="J1202" i="29"/>
  <c r="J1399" i="29"/>
  <c r="J1596" i="29"/>
  <c r="J21" i="29"/>
  <c r="J218" i="29"/>
  <c r="J415" i="29"/>
  <c r="J612" i="29"/>
  <c r="J809" i="29"/>
  <c r="J1006" i="29"/>
  <c r="J1203" i="29"/>
  <c r="J1400" i="29"/>
  <c r="J1597" i="29"/>
  <c r="J22" i="29"/>
  <c r="J219" i="29"/>
  <c r="J416" i="29"/>
  <c r="J613" i="29"/>
  <c r="J810" i="29"/>
  <c r="J1007" i="29"/>
  <c r="J1204" i="29"/>
  <c r="J1401" i="29"/>
  <c r="J1598" i="29"/>
  <c r="J23" i="29"/>
  <c r="J220" i="29"/>
  <c r="J417" i="29"/>
  <c r="J614" i="29"/>
  <c r="J811" i="29"/>
  <c r="J1008" i="29"/>
  <c r="J1205" i="29"/>
  <c r="J1402" i="29"/>
  <c r="J1599" i="29"/>
  <c r="J24" i="29"/>
  <c r="J221" i="29"/>
  <c r="J418" i="29"/>
  <c r="J615" i="29"/>
  <c r="J812" i="29"/>
  <c r="J1009" i="29"/>
  <c r="J1206" i="29"/>
  <c r="J1403" i="29"/>
  <c r="J1600" i="29"/>
  <c r="J25" i="29"/>
  <c r="J222" i="29"/>
  <c r="J419" i="29"/>
  <c r="J616" i="29"/>
  <c r="J813" i="29"/>
  <c r="J1010" i="29"/>
  <c r="J1207" i="29"/>
  <c r="J1404" i="29"/>
  <c r="J1601" i="29"/>
  <c r="J26" i="29"/>
  <c r="J223" i="29"/>
  <c r="J420" i="29"/>
  <c r="J617" i="29"/>
  <c r="J814" i="29"/>
  <c r="J1011" i="29"/>
  <c r="J1208" i="29"/>
  <c r="J1405" i="29"/>
  <c r="J1602" i="29"/>
  <c r="J27" i="29"/>
  <c r="J224" i="29"/>
  <c r="J421" i="29"/>
  <c r="J618" i="29"/>
  <c r="J815" i="29"/>
  <c r="J1012" i="29"/>
  <c r="J1209" i="29"/>
  <c r="J1406" i="29"/>
  <c r="J1603" i="29"/>
  <c r="J28" i="29"/>
  <c r="J225" i="29"/>
  <c r="J422" i="29"/>
  <c r="J619" i="29"/>
  <c r="J816" i="29"/>
  <c r="J1013" i="29"/>
  <c r="J1210" i="29"/>
  <c r="J1407" i="29"/>
  <c r="J1604" i="29"/>
  <c r="J29" i="29"/>
  <c r="J226" i="29"/>
  <c r="J423" i="29"/>
  <c r="J620" i="29"/>
  <c r="J817" i="29"/>
  <c r="J1014" i="29"/>
  <c r="J1211" i="29"/>
  <c r="J1408" i="29"/>
  <c r="J1605" i="29"/>
  <c r="J30" i="29"/>
  <c r="J227" i="29"/>
  <c r="J424" i="29"/>
  <c r="J621" i="29"/>
  <c r="J818" i="29"/>
  <c r="J1015" i="29"/>
  <c r="J1212" i="29"/>
  <c r="J1409" i="29"/>
  <c r="J1606" i="29"/>
  <c r="J31" i="29"/>
  <c r="J228" i="29"/>
  <c r="J425" i="29"/>
  <c r="J622" i="29"/>
  <c r="J819" i="29"/>
  <c r="J1016" i="29"/>
  <c r="J1213" i="29"/>
  <c r="J1410" i="29"/>
  <c r="J1607" i="29"/>
  <c r="J32" i="29"/>
  <c r="J229" i="29"/>
  <c r="J426" i="29"/>
  <c r="J623" i="29"/>
  <c r="J820" i="29"/>
  <c r="J1017" i="29"/>
  <c r="J1214" i="29"/>
  <c r="J1411" i="29"/>
  <c r="J1608" i="29"/>
  <c r="J33" i="29"/>
  <c r="J230" i="29"/>
  <c r="J427" i="29"/>
  <c r="J624" i="29"/>
  <c r="J821" i="29"/>
  <c r="J1018" i="29"/>
  <c r="J1215" i="29"/>
  <c r="J1412" i="29"/>
  <c r="J1609" i="29"/>
  <c r="J34" i="29"/>
  <c r="J231" i="29"/>
  <c r="J428" i="29"/>
  <c r="J625" i="29"/>
  <c r="J822" i="29"/>
  <c r="J1019" i="29"/>
  <c r="J1216" i="29"/>
  <c r="J1413" i="29"/>
  <c r="J1610" i="29"/>
  <c r="J35" i="29"/>
  <c r="J232" i="29"/>
  <c r="J429" i="29"/>
  <c r="J626" i="29"/>
  <c r="J823" i="29"/>
  <c r="J1020" i="29"/>
  <c r="J1217" i="29"/>
  <c r="J1414" i="29"/>
  <c r="J1611" i="29"/>
  <c r="J36" i="29"/>
  <c r="J233" i="29"/>
  <c r="J430" i="29"/>
  <c r="J627" i="29"/>
  <c r="J824" i="29"/>
  <c r="J1021" i="29"/>
  <c r="J1218" i="29"/>
  <c r="J1415" i="29"/>
  <c r="J1612" i="29"/>
  <c r="J37" i="29"/>
  <c r="J234" i="29"/>
  <c r="J431" i="29"/>
  <c r="J628" i="29"/>
  <c r="J825" i="29"/>
  <c r="J1022" i="29"/>
  <c r="J1219" i="29"/>
  <c r="J1416" i="29"/>
  <c r="J1613" i="29"/>
  <c r="J38" i="29"/>
  <c r="J235" i="29"/>
  <c r="J432" i="29"/>
  <c r="J629" i="29"/>
  <c r="J826" i="29"/>
  <c r="J1023" i="29"/>
  <c r="J1220" i="29"/>
  <c r="J1417" i="29"/>
  <c r="J1614" i="29"/>
  <c r="J39" i="29"/>
  <c r="J236" i="29"/>
  <c r="J433" i="29"/>
  <c r="J630" i="29"/>
  <c r="J827" i="29"/>
  <c r="J1024" i="29"/>
  <c r="J1221" i="29"/>
  <c r="J1418" i="29"/>
  <c r="J1615" i="29"/>
  <c r="J40" i="29"/>
  <c r="J237" i="29"/>
  <c r="J434" i="29"/>
  <c r="J631" i="29"/>
  <c r="J828" i="29"/>
  <c r="J1025" i="29"/>
  <c r="J1222" i="29"/>
  <c r="J1419" i="29"/>
  <c r="J1616" i="29"/>
  <c r="J41" i="29"/>
  <c r="J238" i="29"/>
  <c r="J435" i="29"/>
  <c r="J632" i="29"/>
  <c r="J829" i="29"/>
  <c r="J1026" i="29"/>
  <c r="J1223" i="29"/>
  <c r="J1420" i="29"/>
  <c r="J1617" i="29"/>
  <c r="J42" i="29"/>
  <c r="J239" i="29"/>
  <c r="J436" i="29"/>
  <c r="J633" i="29"/>
  <c r="J830" i="29"/>
  <c r="J1027" i="29"/>
  <c r="J1224" i="29"/>
  <c r="J1421" i="29"/>
  <c r="J1618" i="29"/>
  <c r="J43" i="29"/>
  <c r="J240" i="29"/>
  <c r="J437" i="29"/>
  <c r="J634" i="29"/>
  <c r="J831" i="29"/>
  <c r="J1028" i="29"/>
  <c r="J1225" i="29"/>
  <c r="J1422" i="29"/>
  <c r="J1619" i="29"/>
  <c r="J44" i="29"/>
  <c r="J241" i="29"/>
  <c r="J438" i="29"/>
  <c r="J635" i="29"/>
  <c r="J832" i="29"/>
  <c r="J1029" i="29"/>
  <c r="J1226" i="29"/>
  <c r="J1423" i="29"/>
  <c r="J1620" i="29"/>
  <c r="J45" i="29"/>
  <c r="J242" i="29"/>
  <c r="J439" i="29"/>
  <c r="J636" i="29"/>
  <c r="J833" i="29"/>
  <c r="J1030" i="29"/>
  <c r="J1227" i="29"/>
  <c r="J1424" i="29"/>
  <c r="J1621" i="29"/>
  <c r="J46" i="29"/>
  <c r="J243" i="29"/>
  <c r="J440" i="29"/>
  <c r="J637" i="29"/>
  <c r="J834" i="29"/>
  <c r="J1031" i="29"/>
  <c r="J1228" i="29"/>
  <c r="J1425" i="29"/>
  <c r="J1622" i="29"/>
  <c r="J47" i="29"/>
  <c r="J244" i="29"/>
  <c r="J441" i="29"/>
  <c r="J638" i="29"/>
  <c r="J835" i="29"/>
  <c r="J1032" i="29"/>
  <c r="J1229" i="29"/>
  <c r="J1426" i="29"/>
  <c r="J1623" i="29"/>
  <c r="J48" i="29"/>
  <c r="J245" i="29"/>
  <c r="J442" i="29"/>
  <c r="J639" i="29"/>
  <c r="J836" i="29"/>
  <c r="J1033" i="29"/>
  <c r="J1230" i="29"/>
  <c r="J1427" i="29"/>
  <c r="J1624" i="29"/>
  <c r="J49" i="29"/>
  <c r="J246" i="29"/>
  <c r="J443" i="29"/>
  <c r="J640" i="29"/>
  <c r="J837" i="29"/>
  <c r="J1034" i="29"/>
  <c r="J1231" i="29"/>
  <c r="J1428" i="29"/>
  <c r="J1625" i="29"/>
  <c r="J50" i="29"/>
  <c r="J247" i="29"/>
  <c r="J444" i="29"/>
  <c r="J641" i="29"/>
  <c r="J838" i="29"/>
  <c r="J1035" i="29"/>
  <c r="J1232" i="29"/>
  <c r="J1429" i="29"/>
  <c r="J1626" i="29"/>
  <c r="J51" i="29"/>
  <c r="J248" i="29"/>
  <c r="J445" i="29"/>
  <c r="J642" i="29"/>
  <c r="J839" i="29"/>
  <c r="J1036" i="29"/>
  <c r="J1233" i="29"/>
  <c r="J1430" i="29"/>
  <c r="J1627" i="29"/>
  <c r="J52" i="29"/>
  <c r="J249" i="29"/>
  <c r="J446" i="29"/>
  <c r="J643" i="29"/>
  <c r="J840" i="29"/>
  <c r="J1037" i="29"/>
  <c r="J1234" i="29"/>
  <c r="J1431" i="29"/>
  <c r="J1628" i="29"/>
  <c r="J53" i="29"/>
  <c r="J250" i="29"/>
  <c r="J447" i="29"/>
  <c r="J644" i="29"/>
  <c r="J841" i="29"/>
  <c r="J1038" i="29"/>
  <c r="J1235" i="29"/>
  <c r="J1432" i="29"/>
  <c r="J1629" i="29"/>
  <c r="J54" i="29"/>
  <c r="J251" i="29"/>
  <c r="J448" i="29"/>
  <c r="J645" i="29"/>
  <c r="J842" i="29"/>
  <c r="J1039" i="29"/>
  <c r="J1236" i="29"/>
  <c r="J1433" i="29"/>
  <c r="J1630" i="29"/>
  <c r="J55" i="29"/>
  <c r="J252" i="29"/>
  <c r="J449" i="29"/>
  <c r="J646" i="29"/>
  <c r="J843" i="29"/>
  <c r="J1040" i="29"/>
  <c r="J1237" i="29"/>
  <c r="J1434" i="29"/>
  <c r="J1631" i="29"/>
  <c r="J56" i="29"/>
  <c r="J253" i="29"/>
  <c r="J450" i="29"/>
  <c r="J647" i="29"/>
  <c r="J844" i="29"/>
  <c r="J1041" i="29"/>
  <c r="J1238" i="29"/>
  <c r="J1435" i="29"/>
  <c r="J1632" i="29"/>
  <c r="J57" i="29"/>
  <c r="J254" i="29"/>
  <c r="J451" i="29"/>
  <c r="J648" i="29"/>
  <c r="J845" i="29"/>
  <c r="J1042" i="29"/>
  <c r="J1239" i="29"/>
  <c r="J1436" i="29"/>
  <c r="J1633" i="29"/>
  <c r="J58" i="29"/>
  <c r="J255" i="29"/>
  <c r="J452" i="29"/>
  <c r="J649" i="29"/>
  <c r="J846" i="29"/>
  <c r="J1043" i="29"/>
  <c r="J1240" i="29"/>
  <c r="J1437" i="29"/>
  <c r="J1634" i="29"/>
  <c r="J59" i="29"/>
  <c r="J256" i="29"/>
  <c r="J453" i="29"/>
  <c r="J650" i="29"/>
  <c r="J847" i="29"/>
  <c r="J1044" i="29"/>
  <c r="J1241" i="29"/>
  <c r="J1438" i="29"/>
  <c r="J1635" i="29"/>
  <c r="J60" i="29"/>
  <c r="J257" i="29"/>
  <c r="J454" i="29"/>
  <c r="J651" i="29"/>
  <c r="J848" i="29"/>
  <c r="J1045" i="29"/>
  <c r="J1242" i="29"/>
  <c r="J1439" i="29"/>
  <c r="J1636" i="29"/>
  <c r="J61" i="29"/>
  <c r="J258" i="29"/>
  <c r="J455" i="29"/>
  <c r="J652" i="29"/>
  <c r="J849" i="29"/>
  <c r="J1046" i="29"/>
  <c r="J1243" i="29"/>
  <c r="J1440" i="29"/>
  <c r="J1637" i="29"/>
  <c r="J62" i="29"/>
  <c r="J259" i="29"/>
  <c r="J456" i="29"/>
  <c r="J653" i="29"/>
  <c r="J850" i="29"/>
  <c r="J1047" i="29"/>
  <c r="J1244" i="29"/>
  <c r="J1441" i="29"/>
  <c r="J1638" i="29"/>
  <c r="J63" i="29"/>
  <c r="J260" i="29"/>
  <c r="J457" i="29"/>
  <c r="J654" i="29"/>
  <c r="J851" i="29"/>
  <c r="J1048" i="29"/>
  <c r="J1245" i="29"/>
  <c r="J1442" i="29"/>
  <c r="J1639" i="29"/>
  <c r="J64" i="29"/>
  <c r="J261" i="29"/>
  <c r="J458" i="29"/>
  <c r="J655" i="29"/>
  <c r="J852" i="29"/>
  <c r="J1049" i="29"/>
  <c r="J1246" i="29"/>
  <c r="J1443" i="29"/>
  <c r="J1640" i="29"/>
  <c r="J65" i="29"/>
  <c r="J262" i="29"/>
  <c r="J459" i="29"/>
  <c r="J656" i="29"/>
  <c r="J853" i="29"/>
  <c r="J1050" i="29"/>
  <c r="J1247" i="29"/>
  <c r="J1444" i="29"/>
  <c r="J1641" i="29"/>
  <c r="J66" i="29"/>
  <c r="J263" i="29"/>
  <c r="J460" i="29"/>
  <c r="J657" i="29"/>
  <c r="J854" i="29"/>
  <c r="J1051" i="29"/>
  <c r="J1248" i="29"/>
  <c r="J1445" i="29"/>
  <c r="J1642" i="29"/>
  <c r="J67" i="29"/>
  <c r="J264" i="29"/>
  <c r="J461" i="29"/>
  <c r="J658" i="29"/>
  <c r="J855" i="29"/>
  <c r="J1052" i="29"/>
  <c r="J1249" i="29"/>
  <c r="J1446" i="29"/>
  <c r="J1643" i="29"/>
  <c r="J68" i="29"/>
  <c r="J265" i="29"/>
  <c r="J462" i="29"/>
  <c r="J659" i="29"/>
  <c r="J856" i="29"/>
  <c r="J1053" i="29"/>
  <c r="J1250" i="29"/>
  <c r="J1447" i="29"/>
  <c r="J1644" i="29"/>
  <c r="J69" i="29"/>
  <c r="J266" i="29"/>
  <c r="J463" i="29"/>
  <c r="J660" i="29"/>
  <c r="J857" i="29"/>
  <c r="J1054" i="29"/>
  <c r="J1251" i="29"/>
  <c r="J1448" i="29"/>
  <c r="J1645" i="29"/>
  <c r="J70" i="29"/>
  <c r="J267" i="29"/>
  <c r="J464" i="29"/>
  <c r="J661" i="29"/>
  <c r="J858" i="29"/>
  <c r="J1055" i="29"/>
  <c r="J1252" i="29"/>
  <c r="J1449" i="29"/>
  <c r="J1646" i="29"/>
  <c r="J71" i="29"/>
  <c r="J268" i="29"/>
  <c r="J465" i="29"/>
  <c r="J662" i="29"/>
  <c r="J859" i="29"/>
  <c r="J1056" i="29"/>
  <c r="J1253" i="29"/>
  <c r="J1450" i="29"/>
  <c r="J1647" i="29"/>
  <c r="J72" i="29"/>
  <c r="J269" i="29"/>
  <c r="J466" i="29"/>
  <c r="J663" i="29"/>
  <c r="J860" i="29"/>
  <c r="J1057" i="29"/>
  <c r="J1254" i="29"/>
  <c r="J1451" i="29"/>
  <c r="J1648" i="29"/>
  <c r="J73" i="29"/>
  <c r="J270" i="29"/>
  <c r="J467" i="29"/>
  <c r="J664" i="29"/>
  <c r="J861" i="29"/>
  <c r="J1058" i="29"/>
  <c r="J1255" i="29"/>
  <c r="J1452" i="29"/>
  <c r="J1649" i="29"/>
  <c r="J74" i="29"/>
  <c r="J271" i="29"/>
  <c r="J468" i="29"/>
  <c r="J665" i="29"/>
  <c r="J862" i="29"/>
  <c r="J1059" i="29"/>
  <c r="J1256" i="29"/>
  <c r="J1453" i="29"/>
  <c r="J1650" i="29"/>
  <c r="J75" i="29"/>
  <c r="J272" i="29"/>
  <c r="J469" i="29"/>
  <c r="J666" i="29"/>
  <c r="J863" i="29"/>
  <c r="J1060" i="29"/>
  <c r="J1257" i="29"/>
  <c r="J1454" i="29"/>
  <c r="J1651" i="29"/>
  <c r="J76" i="29"/>
  <c r="J273" i="29"/>
  <c r="J470" i="29"/>
  <c r="J667" i="29"/>
  <c r="J864" i="29"/>
  <c r="J1061" i="29"/>
  <c r="J1258" i="29"/>
  <c r="J1455" i="29"/>
  <c r="J1652" i="29"/>
  <c r="J77" i="29"/>
  <c r="J274" i="29"/>
  <c r="J471" i="29"/>
  <c r="J668" i="29"/>
  <c r="J865" i="29"/>
  <c r="J1062" i="29"/>
  <c r="J1259" i="29"/>
  <c r="J1456" i="29"/>
  <c r="J1653" i="29"/>
  <c r="J78" i="29"/>
  <c r="J275" i="29"/>
  <c r="J472" i="29"/>
  <c r="J669" i="29"/>
  <c r="J866" i="29"/>
  <c r="J1063" i="29"/>
  <c r="J1260" i="29"/>
  <c r="J1457" i="29"/>
  <c r="J1654" i="29"/>
  <c r="J79" i="29"/>
  <c r="J276" i="29"/>
  <c r="J473" i="29"/>
  <c r="J670" i="29"/>
  <c r="J867" i="29"/>
  <c r="J1064" i="29"/>
  <c r="J1261" i="29"/>
  <c r="J1458" i="29"/>
  <c r="J1655" i="29"/>
  <c r="J80" i="29"/>
  <c r="J277" i="29"/>
  <c r="J474" i="29"/>
  <c r="J671" i="29"/>
  <c r="J868" i="29"/>
  <c r="J1065" i="29"/>
  <c r="J1262" i="29"/>
  <c r="J1459" i="29"/>
  <c r="J1656" i="29"/>
  <c r="J81" i="29"/>
  <c r="J278" i="29"/>
  <c r="J475" i="29"/>
  <c r="J672" i="29"/>
  <c r="J869" i="29"/>
  <c r="J1066" i="29"/>
  <c r="J1263" i="29"/>
  <c r="J1460" i="29"/>
  <c r="J1657" i="29"/>
  <c r="J82" i="29"/>
  <c r="J279" i="29"/>
  <c r="J476" i="29"/>
  <c r="J673" i="29"/>
  <c r="J870" i="29"/>
  <c r="J1067" i="29"/>
  <c r="J1264" i="29"/>
  <c r="J1461" i="29"/>
  <c r="J1658" i="29"/>
  <c r="J83" i="29"/>
  <c r="J280" i="29"/>
  <c r="J477" i="29"/>
  <c r="J674" i="29"/>
  <c r="J871" i="29"/>
  <c r="J1068" i="29"/>
  <c r="J1265" i="29"/>
  <c r="J1462" i="29"/>
  <c r="J1659" i="29"/>
  <c r="J84" i="29"/>
  <c r="J281" i="29"/>
  <c r="J478" i="29"/>
  <c r="J675" i="29"/>
  <c r="J872" i="29"/>
  <c r="J1069" i="29"/>
  <c r="J1266" i="29"/>
  <c r="J1463" i="29"/>
  <c r="J1660" i="29"/>
  <c r="J85" i="29"/>
  <c r="J282" i="29"/>
  <c r="J479" i="29"/>
  <c r="J676" i="29"/>
  <c r="J873" i="29"/>
  <c r="J1070" i="29"/>
  <c r="J1267" i="29"/>
  <c r="J1464" i="29"/>
  <c r="J1661" i="29"/>
  <c r="J86" i="29"/>
  <c r="J283" i="29"/>
  <c r="J480" i="29"/>
  <c r="J677" i="29"/>
  <c r="J874" i="29"/>
  <c r="J1071" i="29"/>
  <c r="J1268" i="29"/>
  <c r="J1465" i="29"/>
  <c r="J1662" i="29"/>
  <c r="J87" i="29"/>
  <c r="J284" i="29"/>
  <c r="J481" i="29"/>
  <c r="J678" i="29"/>
  <c r="J875" i="29"/>
  <c r="J1072" i="29"/>
  <c r="J1269" i="29"/>
  <c r="J1466" i="29"/>
  <c r="J1663" i="29"/>
  <c r="J88" i="29"/>
  <c r="J285" i="29"/>
  <c r="J482" i="29"/>
  <c r="J679" i="29"/>
  <c r="J876" i="29"/>
  <c r="J1073" i="29"/>
  <c r="J1270" i="29"/>
  <c r="J1467" i="29"/>
  <c r="J1664" i="29"/>
  <c r="J89" i="29"/>
  <c r="J286" i="29"/>
  <c r="J483" i="29"/>
  <c r="J680" i="29"/>
  <c r="J877" i="29"/>
  <c r="J1074" i="29"/>
  <c r="J1271" i="29"/>
  <c r="J1468" i="29"/>
  <c r="J1665" i="29"/>
  <c r="J90" i="29"/>
  <c r="J287" i="29"/>
  <c r="J484" i="29"/>
  <c r="J681" i="29"/>
  <c r="J878" i="29"/>
  <c r="J1075" i="29"/>
  <c r="J1272" i="29"/>
  <c r="J1469" i="29"/>
  <c r="J1666" i="29"/>
  <c r="J91" i="29"/>
  <c r="J288" i="29"/>
  <c r="J485" i="29"/>
  <c r="J682" i="29"/>
  <c r="J879" i="29"/>
  <c r="J1076" i="29"/>
  <c r="J1273" i="29"/>
  <c r="J1470" i="29"/>
  <c r="J1667" i="29"/>
  <c r="J92" i="29"/>
  <c r="J289" i="29"/>
  <c r="J486" i="29"/>
  <c r="J683" i="29"/>
  <c r="J880" i="29"/>
  <c r="J1077" i="29"/>
  <c r="J1274" i="29"/>
  <c r="J1471" i="29"/>
  <c r="J1668" i="29"/>
  <c r="J93" i="29"/>
  <c r="J290" i="29"/>
  <c r="J487" i="29"/>
  <c r="J684" i="29"/>
  <c r="J881" i="29"/>
  <c r="J1078" i="29"/>
  <c r="J1275" i="29"/>
  <c r="J1472" i="29"/>
  <c r="J1669" i="29"/>
  <c r="J94" i="29"/>
  <c r="J291" i="29"/>
  <c r="J488" i="29"/>
  <c r="J685" i="29"/>
  <c r="J882" i="29"/>
  <c r="J1079" i="29"/>
  <c r="J1276" i="29"/>
  <c r="J1473" i="29"/>
  <c r="J1670" i="29"/>
  <c r="J95" i="29"/>
  <c r="J292" i="29"/>
  <c r="J489" i="29"/>
  <c r="J686" i="29"/>
  <c r="J883" i="29"/>
  <c r="J1080" i="29"/>
  <c r="J1277" i="29"/>
  <c r="J1474" i="29"/>
  <c r="J1671" i="29"/>
  <c r="J96" i="29"/>
  <c r="J293" i="29"/>
  <c r="J490" i="29"/>
  <c r="J687" i="29"/>
  <c r="J884" i="29"/>
  <c r="J1081" i="29"/>
  <c r="J1278" i="29"/>
  <c r="J1475" i="29"/>
  <c r="J1672" i="29"/>
  <c r="J97" i="29"/>
  <c r="J294" i="29"/>
  <c r="J491" i="29"/>
  <c r="J688" i="29"/>
  <c r="J885" i="29"/>
  <c r="J1082" i="29"/>
  <c r="J1279" i="29"/>
  <c r="J1476" i="29"/>
  <c r="J1673" i="29"/>
  <c r="J98" i="29"/>
  <c r="J295" i="29"/>
  <c r="J492" i="29"/>
  <c r="J689" i="29"/>
  <c r="J886" i="29"/>
  <c r="J1083" i="29"/>
  <c r="J1280" i="29"/>
  <c r="J1477" i="29"/>
  <c r="J1674" i="29"/>
  <c r="J99" i="29"/>
  <c r="J296" i="29"/>
  <c r="J493" i="29"/>
  <c r="J690" i="29"/>
  <c r="J887" i="29"/>
  <c r="J1084" i="29"/>
  <c r="J1281" i="29"/>
  <c r="J1478" i="29"/>
  <c r="J1675" i="29"/>
  <c r="J100" i="29"/>
  <c r="J297" i="29"/>
  <c r="J494" i="29"/>
  <c r="J691" i="29"/>
  <c r="J888" i="29"/>
  <c r="J1085" i="29"/>
  <c r="J1282" i="29"/>
  <c r="J1479" i="29"/>
  <c r="J1676" i="29"/>
  <c r="J101" i="29"/>
  <c r="J298" i="29"/>
  <c r="J495" i="29"/>
  <c r="J692" i="29"/>
  <c r="J889" i="29"/>
  <c r="J1086" i="29"/>
  <c r="J1283" i="29"/>
  <c r="J1480" i="29"/>
  <c r="J1677" i="29"/>
  <c r="J102" i="29"/>
  <c r="J299" i="29"/>
  <c r="J496" i="29"/>
  <c r="J693" i="29"/>
  <c r="J890" i="29"/>
  <c r="J1087" i="29"/>
  <c r="J1284" i="29"/>
  <c r="J1481" i="29"/>
  <c r="J1678" i="29"/>
  <c r="J103" i="29"/>
  <c r="J300" i="29"/>
  <c r="J497" i="29"/>
  <c r="J694" i="29"/>
  <c r="J891" i="29"/>
  <c r="J1088" i="29"/>
  <c r="J1285" i="29"/>
  <c r="J1482" i="29"/>
  <c r="J1679" i="29"/>
  <c r="J104" i="29"/>
  <c r="J301" i="29"/>
  <c r="J498" i="29"/>
  <c r="J695" i="29"/>
  <c r="J892" i="29"/>
  <c r="J1089" i="29"/>
  <c r="J1286" i="29"/>
  <c r="J1483" i="29"/>
  <c r="J1680" i="29"/>
  <c r="J105" i="29"/>
  <c r="J302" i="29"/>
  <c r="J499" i="29"/>
  <c r="J696" i="29"/>
  <c r="J893" i="29"/>
  <c r="J1090" i="29"/>
  <c r="J1287" i="29"/>
  <c r="J1484" i="29"/>
  <c r="J1681" i="29"/>
  <c r="J106" i="29"/>
  <c r="J303" i="29"/>
  <c r="J500" i="29"/>
  <c r="J697" i="29"/>
  <c r="J894" i="29"/>
  <c r="J1091" i="29"/>
  <c r="J1288" i="29"/>
  <c r="J1485" i="29"/>
  <c r="J1682" i="29"/>
  <c r="J107" i="29"/>
  <c r="J304" i="29"/>
  <c r="J501" i="29"/>
  <c r="J698" i="29"/>
  <c r="J895" i="29"/>
  <c r="J1092" i="29"/>
  <c r="J1289" i="29"/>
  <c r="J1486" i="29"/>
  <c r="J1683" i="29"/>
  <c r="J108" i="29"/>
  <c r="J305" i="29"/>
  <c r="J502" i="29"/>
  <c r="J699" i="29"/>
  <c r="J896" i="29"/>
  <c r="J1093" i="29"/>
  <c r="J1290" i="29"/>
  <c r="J1487" i="29"/>
  <c r="J1684" i="29"/>
  <c r="J109" i="29"/>
  <c r="J306" i="29"/>
  <c r="J503" i="29"/>
  <c r="J700" i="29"/>
  <c r="J897" i="29"/>
  <c r="J1094" i="29"/>
  <c r="J1291" i="29"/>
  <c r="J1488" i="29"/>
  <c r="J1685" i="29"/>
  <c r="J110" i="29"/>
  <c r="J307" i="29"/>
  <c r="J504" i="29"/>
  <c r="J701" i="29"/>
  <c r="J898" i="29"/>
  <c r="J1095" i="29"/>
  <c r="J1292" i="29"/>
  <c r="J1489" i="29"/>
  <c r="J1686" i="29"/>
  <c r="J111" i="29"/>
  <c r="J308" i="29"/>
  <c r="J505" i="29"/>
  <c r="J702" i="29"/>
  <c r="J899" i="29"/>
  <c r="J1096" i="29"/>
  <c r="J1293" i="29"/>
  <c r="J1490" i="29"/>
  <c r="J1687" i="29"/>
  <c r="J112" i="29"/>
  <c r="J309" i="29"/>
  <c r="J506" i="29"/>
  <c r="J703" i="29"/>
  <c r="J900" i="29"/>
  <c r="J1097" i="29"/>
  <c r="J1294" i="29"/>
  <c r="J1491" i="29"/>
  <c r="J1688" i="29"/>
  <c r="J113" i="29"/>
  <c r="J310" i="29"/>
  <c r="J507" i="29"/>
  <c r="J704" i="29"/>
  <c r="J901" i="29"/>
  <c r="J1098" i="29"/>
  <c r="J1295" i="29"/>
  <c r="J1492" i="29"/>
  <c r="J1689" i="29"/>
  <c r="J114" i="29"/>
  <c r="J311" i="29"/>
  <c r="J508" i="29"/>
  <c r="J705" i="29"/>
  <c r="J902" i="29"/>
  <c r="J1099" i="29"/>
  <c r="J1296" i="29"/>
  <c r="J1493" i="29"/>
  <c r="J1690" i="29"/>
  <c r="J115" i="29"/>
  <c r="J312" i="29"/>
  <c r="J509" i="29"/>
  <c r="J706" i="29"/>
  <c r="J903" i="29"/>
  <c r="J1100" i="29"/>
  <c r="J1297" i="29"/>
  <c r="J1494" i="29"/>
  <c r="J1691" i="29"/>
  <c r="J116" i="29"/>
  <c r="J313" i="29"/>
  <c r="J510" i="29"/>
  <c r="J707" i="29"/>
  <c r="J904" i="29"/>
  <c r="J1101" i="29"/>
  <c r="J1298" i="29"/>
  <c r="J1495" i="29"/>
  <c r="J1692" i="29"/>
  <c r="J117" i="29"/>
  <c r="J314" i="29"/>
  <c r="J511" i="29"/>
  <c r="J708" i="29"/>
  <c r="J905" i="29"/>
  <c r="J1102" i="29"/>
  <c r="J1299" i="29"/>
  <c r="J1496" i="29"/>
  <c r="J1693" i="29"/>
  <c r="J118" i="29"/>
  <c r="J315" i="29"/>
  <c r="J512" i="29"/>
  <c r="J709" i="29"/>
  <c r="J906" i="29"/>
  <c r="J1103" i="29"/>
  <c r="J1300" i="29"/>
  <c r="J1497" i="29"/>
  <c r="J1694" i="29"/>
  <c r="J119" i="29"/>
  <c r="J316" i="29"/>
  <c r="J513" i="29"/>
  <c r="J710" i="29"/>
  <c r="J907" i="29"/>
  <c r="J1104" i="29"/>
  <c r="J1301" i="29"/>
  <c r="J1498" i="29"/>
  <c r="J1695" i="29"/>
  <c r="J120" i="29"/>
  <c r="J317" i="29"/>
  <c r="J514" i="29"/>
  <c r="J711" i="29"/>
  <c r="J908" i="29"/>
  <c r="J1105" i="29"/>
  <c r="J1302" i="29"/>
  <c r="J1499" i="29"/>
  <c r="J1696" i="29"/>
  <c r="J121" i="29"/>
  <c r="J318" i="29"/>
  <c r="J515" i="29"/>
  <c r="J712" i="29"/>
  <c r="J909" i="29"/>
  <c r="J1106" i="29"/>
  <c r="J1303" i="29"/>
  <c r="J1500" i="29"/>
  <c r="J1697" i="29"/>
  <c r="J122" i="29"/>
  <c r="J319" i="29"/>
  <c r="J516" i="29"/>
  <c r="J713" i="29"/>
  <c r="J910" i="29"/>
  <c r="J1107" i="29"/>
  <c r="J1304" i="29"/>
  <c r="J1501" i="29"/>
  <c r="J1698" i="29"/>
  <c r="J123" i="29"/>
  <c r="J320" i="29"/>
  <c r="J517" i="29"/>
  <c r="J714" i="29"/>
  <c r="J911" i="29"/>
  <c r="J1108" i="29"/>
  <c r="J1305" i="29"/>
  <c r="J1502" i="29"/>
  <c r="J1699" i="29"/>
  <c r="J124" i="29"/>
  <c r="J321" i="29"/>
  <c r="J518" i="29"/>
  <c r="J715" i="29"/>
  <c r="J912" i="29"/>
  <c r="J1109" i="29"/>
  <c r="J1306" i="29"/>
  <c r="J1503" i="29"/>
  <c r="J1700" i="29"/>
  <c r="J125" i="29"/>
  <c r="J322" i="29"/>
  <c r="J519" i="29"/>
  <c r="J716" i="29"/>
  <c r="J913" i="29"/>
  <c r="J1110" i="29"/>
  <c r="J1307" i="29"/>
  <c r="J1504" i="29"/>
  <c r="J1701" i="29"/>
  <c r="J126" i="29"/>
  <c r="J323" i="29"/>
  <c r="J520" i="29"/>
  <c r="J717" i="29"/>
  <c r="J914" i="29"/>
  <c r="J1111" i="29"/>
  <c r="J1308" i="29"/>
  <c r="J1505" i="29"/>
  <c r="J1702" i="29"/>
  <c r="J127" i="29"/>
  <c r="J324" i="29"/>
  <c r="J521" i="29"/>
  <c r="J718" i="29"/>
  <c r="J915" i="29"/>
  <c r="J1112" i="29"/>
  <c r="J1309" i="29"/>
  <c r="J1506" i="29"/>
  <c r="J1703" i="29"/>
  <c r="J128" i="29"/>
  <c r="J325" i="29"/>
  <c r="J522" i="29"/>
  <c r="J719" i="29"/>
  <c r="J916" i="29"/>
  <c r="J1113" i="29"/>
  <c r="J1310" i="29"/>
  <c r="J1507" i="29"/>
  <c r="J1704" i="29"/>
  <c r="J129" i="29"/>
  <c r="J326" i="29"/>
  <c r="J523" i="29"/>
  <c r="J720" i="29"/>
  <c r="J917" i="29"/>
  <c r="J1114" i="29"/>
  <c r="J1311" i="29"/>
  <c r="J1508" i="29"/>
  <c r="J1705" i="29"/>
  <c r="J130" i="29"/>
  <c r="J327" i="29"/>
  <c r="J524" i="29"/>
  <c r="J721" i="29"/>
  <c r="J918" i="29"/>
  <c r="J1115" i="29"/>
  <c r="J1312" i="29"/>
  <c r="J1509" i="29"/>
  <c r="J1706" i="29"/>
  <c r="J131" i="29"/>
  <c r="J328" i="29"/>
  <c r="J525" i="29"/>
  <c r="J722" i="29"/>
  <c r="J919" i="29"/>
  <c r="J1116" i="29"/>
  <c r="J1313" i="29"/>
  <c r="J1510" i="29"/>
  <c r="J1707" i="29"/>
  <c r="J132" i="29"/>
  <c r="J329" i="29"/>
  <c r="J526" i="29"/>
  <c r="J723" i="29"/>
  <c r="J920" i="29"/>
  <c r="J1117" i="29"/>
  <c r="J1314" i="29"/>
  <c r="J1511" i="29"/>
  <c r="J1708" i="29"/>
  <c r="J133" i="29"/>
  <c r="J330" i="29"/>
  <c r="J527" i="29"/>
  <c r="J724" i="29"/>
  <c r="J921" i="29"/>
  <c r="J1118" i="29"/>
  <c r="J1315" i="29"/>
  <c r="J1512" i="29"/>
  <c r="J1709" i="29"/>
  <c r="J134" i="29"/>
  <c r="J331" i="29"/>
  <c r="J528" i="29"/>
  <c r="J725" i="29"/>
  <c r="J922" i="29"/>
  <c r="J1119" i="29"/>
  <c r="J1316" i="29"/>
  <c r="J1513" i="29"/>
  <c r="J1710" i="29"/>
  <c r="J135" i="29"/>
  <c r="J332" i="29"/>
  <c r="J529" i="29"/>
  <c r="J726" i="29"/>
  <c r="J923" i="29"/>
  <c r="J1120" i="29"/>
  <c r="J1317" i="29"/>
  <c r="J1514" i="29"/>
  <c r="J1711" i="29"/>
  <c r="J136" i="29"/>
  <c r="J333" i="29"/>
  <c r="J530" i="29"/>
  <c r="J727" i="29"/>
  <c r="J924" i="29"/>
  <c r="J1121" i="29"/>
  <c r="J1318" i="29"/>
  <c r="J1515" i="29"/>
  <c r="J1712" i="29"/>
  <c r="J137" i="29"/>
  <c r="J334" i="29"/>
  <c r="J531" i="29"/>
  <c r="J728" i="29"/>
  <c r="J925" i="29"/>
  <c r="J1122" i="29"/>
  <c r="J1319" i="29"/>
  <c r="J1516" i="29"/>
  <c r="J1713" i="29"/>
  <c r="J138" i="29"/>
  <c r="J335" i="29"/>
  <c r="J532" i="29"/>
  <c r="J729" i="29"/>
  <c r="J926" i="29"/>
  <c r="J1123" i="29"/>
  <c r="J1320" i="29"/>
  <c r="J1517" i="29"/>
  <c r="J1714" i="29"/>
  <c r="J139" i="29"/>
  <c r="J336" i="29"/>
  <c r="J533" i="29"/>
  <c r="J730" i="29"/>
  <c r="J927" i="29"/>
  <c r="J1124" i="29"/>
  <c r="J1321" i="29"/>
  <c r="J1518" i="29"/>
  <c r="J1715" i="29"/>
  <c r="J140" i="29"/>
  <c r="J337" i="29"/>
  <c r="J534" i="29"/>
  <c r="J731" i="29"/>
  <c r="J928" i="29"/>
  <c r="J1125" i="29"/>
  <c r="J1322" i="29"/>
  <c r="J1519" i="29"/>
  <c r="J1716" i="29"/>
  <c r="J141" i="29"/>
  <c r="J338" i="29"/>
  <c r="J535" i="29"/>
  <c r="J732" i="29"/>
  <c r="J929" i="29"/>
  <c r="J1126" i="29"/>
  <c r="J1323" i="29"/>
  <c r="J1520" i="29"/>
  <c r="J1717" i="29"/>
  <c r="J142" i="29"/>
  <c r="J339" i="29"/>
  <c r="J536" i="29"/>
  <c r="J733" i="29"/>
  <c r="J930" i="29"/>
  <c r="J1127" i="29"/>
  <c r="J1324" i="29"/>
  <c r="J1521" i="29"/>
  <c r="J1718" i="29"/>
  <c r="J143" i="29"/>
  <c r="J340" i="29"/>
  <c r="J537" i="29"/>
  <c r="J734" i="29"/>
  <c r="J931" i="29"/>
  <c r="J1128" i="29"/>
  <c r="J1325" i="29"/>
  <c r="J1522" i="29"/>
  <c r="J1719" i="29"/>
  <c r="J144" i="29"/>
  <c r="J341" i="29"/>
  <c r="J538" i="29"/>
  <c r="J735" i="29"/>
  <c r="J932" i="29"/>
  <c r="J1129" i="29"/>
  <c r="J1326" i="29"/>
  <c r="J1523" i="29"/>
  <c r="J1720" i="29"/>
  <c r="J145" i="29"/>
  <c r="J342" i="29"/>
  <c r="J539" i="29"/>
  <c r="J736" i="29"/>
  <c r="J933" i="29"/>
  <c r="J1130" i="29"/>
  <c r="J1327" i="29"/>
  <c r="J1524" i="29"/>
  <c r="J1721" i="29"/>
  <c r="J146" i="29"/>
  <c r="J343" i="29"/>
  <c r="J540" i="29"/>
  <c r="J737" i="29"/>
  <c r="J934" i="29"/>
  <c r="J1131" i="29"/>
  <c r="J1328" i="29"/>
  <c r="J1525" i="29"/>
  <c r="J1722" i="29"/>
  <c r="J147" i="29"/>
  <c r="J344" i="29"/>
  <c r="J541" i="29"/>
  <c r="J738" i="29"/>
  <c r="J935" i="29"/>
  <c r="J1132" i="29"/>
  <c r="J1329" i="29"/>
  <c r="J1526" i="29"/>
  <c r="J1723" i="29"/>
  <c r="J148" i="29"/>
  <c r="J345" i="29"/>
  <c r="J542" i="29"/>
  <c r="J739" i="29"/>
  <c r="J936" i="29"/>
  <c r="J1133" i="29"/>
  <c r="J1330" i="29"/>
  <c r="J1527" i="29"/>
  <c r="J1724" i="29"/>
  <c r="J149" i="29"/>
  <c r="J346" i="29"/>
  <c r="J543" i="29"/>
  <c r="J740" i="29"/>
  <c r="J937" i="29"/>
  <c r="J1134" i="29"/>
  <c r="J1331" i="29"/>
  <c r="J1528" i="29"/>
  <c r="J1725" i="29"/>
  <c r="J150" i="29"/>
  <c r="J347" i="29"/>
  <c r="J544" i="29"/>
  <c r="J741" i="29"/>
  <c r="J938" i="29"/>
  <c r="J1135" i="29"/>
  <c r="J1332" i="29"/>
  <c r="J1529" i="29"/>
  <c r="J1726" i="29"/>
  <c r="J151" i="29"/>
  <c r="J348" i="29"/>
  <c r="J545" i="29"/>
  <c r="J742" i="29"/>
  <c r="J939" i="29"/>
  <c r="J1136" i="29"/>
  <c r="J1333" i="29"/>
  <c r="J1530" i="29"/>
  <c r="J1727" i="29"/>
  <c r="J152" i="29"/>
  <c r="J349" i="29"/>
  <c r="J546" i="29"/>
  <c r="J743" i="29"/>
  <c r="J940" i="29"/>
  <c r="J1137" i="29"/>
  <c r="J1334" i="29"/>
  <c r="J1531" i="29"/>
  <c r="J1728" i="29"/>
  <c r="J153" i="29"/>
  <c r="J350" i="29"/>
  <c r="J547" i="29"/>
  <c r="J744" i="29"/>
  <c r="J941" i="29"/>
  <c r="J1138" i="29"/>
  <c r="J1335" i="29"/>
  <c r="J1532" i="29"/>
  <c r="J1729" i="29"/>
  <c r="J154" i="29"/>
  <c r="J351" i="29"/>
  <c r="J548" i="29"/>
  <c r="J745" i="29"/>
  <c r="J942" i="29"/>
  <c r="J1139" i="29"/>
  <c r="J1336" i="29"/>
  <c r="J1533" i="29"/>
  <c r="J1730" i="29"/>
  <c r="J155" i="29"/>
  <c r="J352" i="29"/>
  <c r="J549" i="29"/>
  <c r="J746" i="29"/>
  <c r="J943" i="29"/>
  <c r="J1140" i="29"/>
  <c r="J1337" i="29"/>
  <c r="J1534" i="29"/>
  <c r="J1731" i="29"/>
  <c r="J156" i="29"/>
  <c r="J353" i="29"/>
  <c r="J550" i="29"/>
  <c r="J747" i="29"/>
  <c r="J944" i="29"/>
  <c r="J1141" i="29"/>
  <c r="J1338" i="29"/>
  <c r="J1535" i="29"/>
  <c r="J1732" i="29"/>
  <c r="J157" i="29"/>
  <c r="J354" i="29"/>
  <c r="J551" i="29"/>
  <c r="J748" i="29"/>
  <c r="J945" i="29"/>
  <c r="J1142" i="29"/>
  <c r="J1339" i="29"/>
  <c r="J1536" i="29"/>
  <c r="J1733" i="29"/>
  <c r="J158" i="29"/>
  <c r="J355" i="29"/>
  <c r="J552" i="29"/>
  <c r="J749" i="29"/>
  <c r="J946" i="29"/>
  <c r="J1143" i="29"/>
  <c r="J1340" i="29"/>
  <c r="J1537" i="29"/>
  <c r="J1734" i="29"/>
  <c r="J159" i="29"/>
  <c r="J356" i="29"/>
  <c r="J553" i="29"/>
  <c r="J750" i="29"/>
  <c r="J947" i="29"/>
  <c r="J1144" i="29"/>
  <c r="J1341" i="29"/>
  <c r="J1538" i="29"/>
  <c r="J1735" i="29"/>
  <c r="J160" i="29"/>
  <c r="J357" i="29"/>
  <c r="J554" i="29"/>
  <c r="J751" i="29"/>
  <c r="J948" i="29"/>
  <c r="J1145" i="29"/>
  <c r="J1342" i="29"/>
  <c r="J1539" i="29"/>
  <c r="J1736" i="29"/>
  <c r="J161" i="29"/>
  <c r="J358" i="29"/>
  <c r="J555" i="29"/>
  <c r="J752" i="29"/>
  <c r="J949" i="29"/>
  <c r="J1146" i="29"/>
  <c r="J1343" i="29"/>
  <c r="J1540" i="29"/>
  <c r="J1737" i="29"/>
  <c r="J162" i="29"/>
  <c r="J359" i="29"/>
  <c r="J556" i="29"/>
  <c r="J753" i="29"/>
  <c r="J950" i="29"/>
  <c r="J1147" i="29"/>
  <c r="J1344" i="29"/>
  <c r="J1541" i="29"/>
  <c r="J1738" i="29"/>
  <c r="J163" i="29"/>
  <c r="J360" i="29"/>
  <c r="J557" i="29"/>
  <c r="J754" i="29"/>
  <c r="J951" i="29"/>
  <c r="J1148" i="29"/>
  <c r="J1345" i="29"/>
  <c r="J1542" i="29"/>
  <c r="J1739" i="29"/>
  <c r="J164" i="29"/>
  <c r="J361" i="29"/>
  <c r="J558" i="29"/>
  <c r="J755" i="29"/>
  <c r="J952" i="29"/>
  <c r="J1149" i="29"/>
  <c r="J1346" i="29"/>
  <c r="J1543" i="29"/>
  <c r="J1740" i="29"/>
  <c r="J165" i="29"/>
  <c r="J362" i="29"/>
  <c r="J559" i="29"/>
  <c r="J756" i="29"/>
  <c r="J953" i="29"/>
  <c r="J1150" i="29"/>
  <c r="J1347" i="29"/>
  <c r="J1544" i="29"/>
  <c r="J1741" i="29"/>
  <c r="J166" i="29"/>
  <c r="J363" i="29"/>
  <c r="J560" i="29"/>
  <c r="J757" i="29"/>
  <c r="J954" i="29"/>
  <c r="J1151" i="29"/>
  <c r="J1348" i="29"/>
  <c r="J1545" i="29"/>
  <c r="J1742" i="29"/>
  <c r="J167" i="29"/>
  <c r="J364" i="29"/>
  <c r="J561" i="29"/>
  <c r="J758" i="29"/>
  <c r="J955" i="29"/>
  <c r="J1152" i="29"/>
  <c r="J1349" i="29"/>
  <c r="J1546" i="29"/>
  <c r="J1743" i="29"/>
  <c r="J168" i="29"/>
  <c r="J365" i="29"/>
  <c r="J562" i="29"/>
  <c r="J759" i="29"/>
  <c r="J956" i="29"/>
  <c r="J1153" i="29"/>
  <c r="J1350" i="29"/>
  <c r="J1547" i="29"/>
  <c r="J1744" i="29"/>
  <c r="J169" i="29"/>
  <c r="J366" i="29"/>
  <c r="J563" i="29"/>
  <c r="J760" i="29"/>
  <c r="J957" i="29"/>
  <c r="J1154" i="29"/>
  <c r="J1351" i="29"/>
  <c r="J1548" i="29"/>
  <c r="J1745" i="29"/>
  <c r="J170" i="29"/>
  <c r="J367" i="29"/>
  <c r="J564" i="29"/>
  <c r="J761" i="29"/>
  <c r="J958" i="29"/>
  <c r="J1155" i="29"/>
  <c r="J1352" i="29"/>
  <c r="J1549" i="29"/>
  <c r="J1746" i="29"/>
  <c r="J171" i="29"/>
  <c r="J368" i="29"/>
  <c r="J565" i="29"/>
  <c r="J762" i="29"/>
  <c r="J959" i="29"/>
  <c r="J1156" i="29"/>
  <c r="J1353" i="29"/>
  <c r="J1550" i="29"/>
  <c r="J1747" i="29"/>
  <c r="J172" i="29"/>
  <c r="J369" i="29"/>
  <c r="J566" i="29"/>
  <c r="J763" i="29"/>
  <c r="J960" i="29"/>
  <c r="J1157" i="29"/>
  <c r="J1354" i="29"/>
  <c r="J1551" i="29"/>
  <c r="J1748" i="29"/>
  <c r="J173" i="29"/>
  <c r="J370" i="29"/>
  <c r="J567" i="29"/>
  <c r="J764" i="29"/>
  <c r="J961" i="29"/>
  <c r="J1158" i="29"/>
  <c r="J1355" i="29"/>
  <c r="J1552" i="29"/>
  <c r="J1749" i="29"/>
  <c r="J174" i="29"/>
  <c r="J371" i="29"/>
  <c r="J568" i="29"/>
  <c r="J765" i="29"/>
  <c r="J962" i="29"/>
  <c r="J1159" i="29"/>
  <c r="J1356" i="29"/>
  <c r="J1553" i="29"/>
  <c r="J1750" i="29"/>
  <c r="J175" i="29"/>
  <c r="J372" i="29"/>
  <c r="J569" i="29"/>
  <c r="J766" i="29"/>
  <c r="J963" i="29"/>
  <c r="J1160" i="29"/>
  <c r="J1357" i="29"/>
  <c r="J1554" i="29"/>
  <c r="J1751" i="29"/>
  <c r="J176" i="29"/>
  <c r="J373" i="29"/>
  <c r="J570" i="29"/>
  <c r="J767" i="29"/>
  <c r="J964" i="29"/>
  <c r="J1161" i="29"/>
  <c r="J1358" i="29"/>
  <c r="J1555" i="29"/>
  <c r="J1752" i="29"/>
  <c r="J177" i="29"/>
  <c r="J374" i="29"/>
  <c r="J571" i="29"/>
  <c r="J768" i="29"/>
  <c r="J965" i="29"/>
  <c r="J1162" i="29"/>
  <c r="J1359" i="29"/>
  <c r="J1556" i="29"/>
  <c r="J1753" i="29"/>
  <c r="J178" i="29"/>
  <c r="J375" i="29"/>
  <c r="J572" i="29"/>
  <c r="J769" i="29"/>
  <c r="J966" i="29"/>
  <c r="J1163" i="29"/>
  <c r="J1360" i="29"/>
  <c r="J1557" i="29"/>
  <c r="J1754" i="29"/>
  <c r="J179" i="29"/>
  <c r="J376" i="29"/>
  <c r="J573" i="29"/>
  <c r="J770" i="29"/>
  <c r="J967" i="29"/>
  <c r="J1164" i="29"/>
  <c r="J1361" i="29"/>
  <c r="J1558" i="29"/>
  <c r="J1755" i="29"/>
  <c r="J180" i="29"/>
  <c r="J377" i="29"/>
  <c r="J574" i="29"/>
  <c r="J771" i="29"/>
  <c r="J968" i="29"/>
  <c r="J1165" i="29"/>
  <c r="J1362" i="29"/>
  <c r="J1559" i="29"/>
  <c r="J1756" i="29"/>
  <c r="J181" i="29"/>
  <c r="J378" i="29"/>
  <c r="J575" i="29"/>
  <c r="J772" i="29"/>
  <c r="J969" i="29"/>
  <c r="J1166" i="29"/>
  <c r="J1363" i="29"/>
  <c r="J1560" i="29"/>
  <c r="J1757" i="29"/>
  <c r="J182" i="29"/>
  <c r="J379" i="29"/>
  <c r="J576" i="29"/>
  <c r="J773" i="29"/>
  <c r="J970" i="29"/>
  <c r="J1167" i="29"/>
  <c r="J1364" i="29"/>
  <c r="J1561" i="29"/>
  <c r="J1758" i="29"/>
  <c r="J183" i="29"/>
  <c r="J380" i="29"/>
  <c r="J577" i="29"/>
  <c r="J774" i="29"/>
  <c r="J971" i="29"/>
  <c r="J1168" i="29"/>
  <c r="J1365" i="29"/>
  <c r="J1562" i="29"/>
  <c r="J1759" i="29"/>
  <c r="J184" i="29"/>
  <c r="J381" i="29"/>
  <c r="J578" i="29"/>
  <c r="J775" i="29"/>
  <c r="J972" i="29"/>
  <c r="J1169" i="29"/>
  <c r="J1366" i="29"/>
  <c r="J1563" i="29"/>
  <c r="J1760" i="29"/>
  <c r="J185" i="29"/>
  <c r="J382" i="29"/>
  <c r="J579" i="29"/>
  <c r="J776" i="29"/>
  <c r="J973" i="29"/>
  <c r="J1170" i="29"/>
  <c r="J1367" i="29"/>
  <c r="J1564" i="29"/>
  <c r="J1761" i="29"/>
  <c r="J186" i="29"/>
  <c r="J383" i="29"/>
  <c r="J580" i="29"/>
  <c r="J777" i="29"/>
  <c r="J974" i="29"/>
  <c r="J1171" i="29"/>
  <c r="J1368" i="29"/>
  <c r="J1565" i="29"/>
  <c r="J1762" i="29"/>
  <c r="J187" i="29"/>
  <c r="J384" i="29"/>
  <c r="J581" i="29"/>
  <c r="J778" i="29"/>
  <c r="J975" i="29"/>
  <c r="J1172" i="29"/>
  <c r="J1369" i="29"/>
  <c r="J1566" i="29"/>
  <c r="J1763" i="29"/>
  <c r="J188" i="29"/>
  <c r="J385" i="29"/>
  <c r="J582" i="29"/>
  <c r="J779" i="29"/>
  <c r="J976" i="29"/>
  <c r="J1173" i="29"/>
  <c r="J1370" i="29"/>
  <c r="J1567" i="29"/>
  <c r="J1764" i="29"/>
  <c r="J189" i="29"/>
  <c r="J386" i="29"/>
  <c r="J583" i="29"/>
  <c r="J780" i="29"/>
  <c r="J977" i="29"/>
  <c r="J1174" i="29"/>
  <c r="J1371" i="29"/>
  <c r="J1568" i="29"/>
  <c r="J1765" i="29"/>
  <c r="J190" i="29"/>
  <c r="J387" i="29"/>
  <c r="J584" i="29"/>
  <c r="J781" i="29"/>
  <c r="J978" i="29"/>
  <c r="J1175" i="29"/>
  <c r="J1372" i="29"/>
  <c r="J1569" i="29"/>
  <c r="J1766" i="29"/>
  <c r="J191" i="29"/>
  <c r="J388" i="29"/>
  <c r="J585" i="29"/>
  <c r="J782" i="29"/>
  <c r="J979" i="29"/>
  <c r="J1176" i="29"/>
  <c r="J1373" i="29"/>
  <c r="J1570" i="29"/>
  <c r="J1767" i="29"/>
  <c r="J192" i="29"/>
  <c r="J389" i="29"/>
  <c r="J586" i="29"/>
  <c r="J783" i="29"/>
  <c r="J980" i="29"/>
  <c r="J1177" i="29"/>
  <c r="J1374" i="29"/>
  <c r="J1571" i="29"/>
  <c r="J1768" i="29"/>
  <c r="J193" i="29"/>
  <c r="J390" i="29"/>
  <c r="J587" i="29"/>
  <c r="J784" i="29"/>
  <c r="J981" i="29"/>
  <c r="J1178" i="29"/>
  <c r="J1375" i="29"/>
  <c r="J1572" i="29"/>
  <c r="J1769" i="29"/>
  <c r="J194" i="29"/>
  <c r="J391" i="29"/>
  <c r="J588" i="29"/>
  <c r="J785" i="29"/>
  <c r="J982" i="29"/>
  <c r="J1179" i="29"/>
  <c r="J1376" i="29"/>
  <c r="J1573" i="29"/>
  <c r="J1770" i="29"/>
  <c r="J195" i="29"/>
  <c r="J392" i="29"/>
  <c r="J589" i="29"/>
  <c r="J786" i="29"/>
  <c r="J983" i="29"/>
  <c r="J1180" i="29"/>
  <c r="J1377" i="29"/>
  <c r="J1574" i="29"/>
  <c r="J1771" i="29"/>
  <c r="J196" i="29"/>
  <c r="J393" i="29"/>
  <c r="J590" i="29"/>
  <c r="J787" i="29"/>
  <c r="J984" i="29"/>
  <c r="J1181" i="29"/>
  <c r="J1378" i="29"/>
  <c r="J1575" i="29"/>
  <c r="J1772" i="29"/>
  <c r="J197" i="29"/>
  <c r="J394" i="29"/>
  <c r="J591" i="29"/>
  <c r="J788" i="29"/>
  <c r="J985" i="29"/>
  <c r="J1182" i="29"/>
  <c r="J1379" i="29"/>
  <c r="J1576" i="29"/>
  <c r="J1773" i="29"/>
  <c r="J198" i="29"/>
  <c r="J395" i="29"/>
  <c r="J592" i="29"/>
  <c r="J789" i="29"/>
  <c r="J986" i="29"/>
  <c r="J1183" i="29"/>
  <c r="J1380" i="29"/>
  <c r="J1577" i="29"/>
  <c r="J1774" i="29"/>
  <c r="G2" i="29"/>
  <c r="L2" i="29" s="1"/>
  <c r="G199" i="29"/>
  <c r="L199" i="29" s="1"/>
  <c r="G396" i="29"/>
  <c r="L396" i="29" s="1"/>
  <c r="G593" i="29"/>
  <c r="L593" i="29" s="1"/>
  <c r="G790" i="29"/>
  <c r="L790" i="29" s="1"/>
  <c r="G987" i="29"/>
  <c r="L987" i="29" s="1"/>
  <c r="G1184" i="29"/>
  <c r="L1184" i="29" s="1"/>
  <c r="G1381" i="29"/>
  <c r="L1381" i="29" s="1"/>
  <c r="G1578" i="29"/>
  <c r="L1578" i="29" s="1"/>
  <c r="G3" i="29"/>
  <c r="L3" i="29" s="1"/>
  <c r="G200" i="29"/>
  <c r="L200" i="29" s="1"/>
  <c r="G397" i="29"/>
  <c r="L397" i="29" s="1"/>
  <c r="G594" i="29"/>
  <c r="L594" i="29" s="1"/>
  <c r="G791" i="29"/>
  <c r="L791" i="29" s="1"/>
  <c r="G988" i="29"/>
  <c r="L988" i="29" s="1"/>
  <c r="G1185" i="29"/>
  <c r="L1185" i="29" s="1"/>
  <c r="G1382" i="29"/>
  <c r="L1382" i="29" s="1"/>
  <c r="G1579" i="29"/>
  <c r="L1579" i="29" s="1"/>
  <c r="G4" i="29"/>
  <c r="L4" i="29" s="1"/>
  <c r="G201" i="29"/>
  <c r="L201" i="29" s="1"/>
  <c r="G398" i="29"/>
  <c r="L398" i="29" s="1"/>
  <c r="G595" i="29"/>
  <c r="L595" i="29" s="1"/>
  <c r="G792" i="29"/>
  <c r="L792" i="29" s="1"/>
  <c r="G989" i="29"/>
  <c r="L989" i="29" s="1"/>
  <c r="G1186" i="29"/>
  <c r="L1186" i="29" s="1"/>
  <c r="G1383" i="29"/>
  <c r="L1383" i="29" s="1"/>
  <c r="G1580" i="29"/>
  <c r="L1580" i="29" s="1"/>
  <c r="G5" i="29"/>
  <c r="L5" i="29" s="1"/>
  <c r="G202" i="29"/>
  <c r="L202" i="29" s="1"/>
  <c r="G399" i="29"/>
  <c r="L399" i="29" s="1"/>
  <c r="G596" i="29"/>
  <c r="L596" i="29" s="1"/>
  <c r="G793" i="29"/>
  <c r="L793" i="29" s="1"/>
  <c r="G990" i="29"/>
  <c r="L990" i="29" s="1"/>
  <c r="G1187" i="29"/>
  <c r="L1187" i="29" s="1"/>
  <c r="G1384" i="29"/>
  <c r="L1384" i="29" s="1"/>
  <c r="G1581" i="29"/>
  <c r="L1581" i="29" s="1"/>
  <c r="G6" i="29"/>
  <c r="L6" i="29" s="1"/>
  <c r="G203" i="29"/>
  <c r="L203" i="29" s="1"/>
  <c r="G400" i="29"/>
  <c r="L400" i="29" s="1"/>
  <c r="G597" i="29"/>
  <c r="L597" i="29" s="1"/>
  <c r="G794" i="29"/>
  <c r="L794" i="29" s="1"/>
  <c r="G991" i="29"/>
  <c r="L991" i="29" s="1"/>
  <c r="G1188" i="29"/>
  <c r="L1188" i="29" s="1"/>
  <c r="G1385" i="29"/>
  <c r="L1385" i="29" s="1"/>
  <c r="G1582" i="29"/>
  <c r="L1582" i="29" s="1"/>
  <c r="G7" i="29"/>
  <c r="L7" i="29" s="1"/>
  <c r="G204" i="29"/>
  <c r="L204" i="29" s="1"/>
  <c r="G401" i="29"/>
  <c r="L401" i="29" s="1"/>
  <c r="G598" i="29"/>
  <c r="L598" i="29" s="1"/>
  <c r="G795" i="29"/>
  <c r="L795" i="29" s="1"/>
  <c r="G992" i="29"/>
  <c r="L992" i="29" s="1"/>
  <c r="G1189" i="29"/>
  <c r="L1189" i="29" s="1"/>
  <c r="G1386" i="29"/>
  <c r="L1386" i="29" s="1"/>
  <c r="G1583" i="29"/>
  <c r="L1583" i="29" s="1"/>
  <c r="G8" i="29"/>
  <c r="L8" i="29" s="1"/>
  <c r="G205" i="29"/>
  <c r="L205" i="29" s="1"/>
  <c r="G402" i="29"/>
  <c r="L402" i="29" s="1"/>
  <c r="G599" i="29"/>
  <c r="L599" i="29" s="1"/>
  <c r="G796" i="29"/>
  <c r="L796" i="29" s="1"/>
  <c r="G993" i="29"/>
  <c r="L993" i="29" s="1"/>
  <c r="G1190" i="29"/>
  <c r="L1190" i="29" s="1"/>
  <c r="G1387" i="29"/>
  <c r="L1387" i="29" s="1"/>
  <c r="G1584" i="29"/>
  <c r="L1584" i="29" s="1"/>
  <c r="G9" i="29"/>
  <c r="L9" i="29" s="1"/>
  <c r="G206" i="29"/>
  <c r="L206" i="29" s="1"/>
  <c r="G403" i="29"/>
  <c r="L403" i="29" s="1"/>
  <c r="G600" i="29"/>
  <c r="L600" i="29" s="1"/>
  <c r="G797" i="29"/>
  <c r="L797" i="29" s="1"/>
  <c r="G994" i="29"/>
  <c r="L994" i="29" s="1"/>
  <c r="G1191" i="29"/>
  <c r="L1191" i="29" s="1"/>
  <c r="G1388" i="29"/>
  <c r="L1388" i="29" s="1"/>
  <c r="G1585" i="29"/>
  <c r="L1585" i="29" s="1"/>
  <c r="G10" i="29"/>
  <c r="L10" i="29" s="1"/>
  <c r="G207" i="29"/>
  <c r="L207" i="29" s="1"/>
  <c r="G404" i="29"/>
  <c r="L404" i="29" s="1"/>
  <c r="G601" i="29"/>
  <c r="L601" i="29" s="1"/>
  <c r="G798" i="29"/>
  <c r="L798" i="29" s="1"/>
  <c r="G995" i="29"/>
  <c r="L995" i="29" s="1"/>
  <c r="G1192" i="29"/>
  <c r="L1192" i="29" s="1"/>
  <c r="G1389" i="29"/>
  <c r="L1389" i="29" s="1"/>
  <c r="G1586" i="29"/>
  <c r="L1586" i="29" s="1"/>
  <c r="G11" i="29"/>
  <c r="L11" i="29" s="1"/>
  <c r="G208" i="29"/>
  <c r="L208" i="29" s="1"/>
  <c r="G405" i="29"/>
  <c r="L405" i="29" s="1"/>
  <c r="G602" i="29"/>
  <c r="L602" i="29" s="1"/>
  <c r="G799" i="29"/>
  <c r="L799" i="29" s="1"/>
  <c r="G996" i="29"/>
  <c r="L996" i="29" s="1"/>
  <c r="G1193" i="29"/>
  <c r="L1193" i="29" s="1"/>
  <c r="G1390" i="29"/>
  <c r="L1390" i="29" s="1"/>
  <c r="G1587" i="29"/>
  <c r="L1587" i="29" s="1"/>
  <c r="G12" i="29"/>
  <c r="L12" i="29" s="1"/>
  <c r="G209" i="29"/>
  <c r="L209" i="29" s="1"/>
  <c r="G406" i="29"/>
  <c r="L406" i="29" s="1"/>
  <c r="G603" i="29"/>
  <c r="L603" i="29" s="1"/>
  <c r="G800" i="29"/>
  <c r="L800" i="29" s="1"/>
  <c r="G997" i="29"/>
  <c r="L997" i="29" s="1"/>
  <c r="G1194" i="29"/>
  <c r="L1194" i="29" s="1"/>
  <c r="G1391" i="29"/>
  <c r="L1391" i="29" s="1"/>
  <c r="G1588" i="29"/>
  <c r="L1588" i="29" s="1"/>
  <c r="G13" i="29"/>
  <c r="L13" i="29" s="1"/>
  <c r="G210" i="29"/>
  <c r="L210" i="29" s="1"/>
  <c r="G407" i="29"/>
  <c r="L407" i="29" s="1"/>
  <c r="G604" i="29"/>
  <c r="L604" i="29" s="1"/>
  <c r="G801" i="29"/>
  <c r="L801" i="29" s="1"/>
  <c r="G998" i="29"/>
  <c r="L998" i="29" s="1"/>
  <c r="G1195" i="29"/>
  <c r="L1195" i="29" s="1"/>
  <c r="G1392" i="29"/>
  <c r="L1392" i="29" s="1"/>
  <c r="G1589" i="29"/>
  <c r="L1589" i="29" s="1"/>
  <c r="G14" i="29"/>
  <c r="L14" i="29" s="1"/>
  <c r="G211" i="29"/>
  <c r="L211" i="29" s="1"/>
  <c r="G408" i="29"/>
  <c r="L408" i="29" s="1"/>
  <c r="G605" i="29"/>
  <c r="L605" i="29" s="1"/>
  <c r="G802" i="29"/>
  <c r="L802" i="29" s="1"/>
  <c r="G999" i="29"/>
  <c r="L999" i="29" s="1"/>
  <c r="G1196" i="29"/>
  <c r="L1196" i="29" s="1"/>
  <c r="G1393" i="29"/>
  <c r="L1393" i="29" s="1"/>
  <c r="G1590" i="29"/>
  <c r="L1590" i="29" s="1"/>
  <c r="G15" i="29"/>
  <c r="L15" i="29" s="1"/>
  <c r="G212" i="29"/>
  <c r="L212" i="29" s="1"/>
  <c r="G409" i="29"/>
  <c r="L409" i="29" s="1"/>
  <c r="G606" i="29"/>
  <c r="L606" i="29" s="1"/>
  <c r="G803" i="29"/>
  <c r="L803" i="29" s="1"/>
  <c r="G1000" i="29"/>
  <c r="L1000" i="29" s="1"/>
  <c r="G1197" i="29"/>
  <c r="L1197" i="29" s="1"/>
  <c r="G1394" i="29"/>
  <c r="L1394" i="29" s="1"/>
  <c r="G1591" i="29"/>
  <c r="L1591" i="29" s="1"/>
  <c r="G16" i="29"/>
  <c r="L16" i="29" s="1"/>
  <c r="G213" i="29"/>
  <c r="L213" i="29" s="1"/>
  <c r="G410" i="29"/>
  <c r="L410" i="29" s="1"/>
  <c r="G607" i="29"/>
  <c r="L607" i="29" s="1"/>
  <c r="G804" i="29"/>
  <c r="L804" i="29" s="1"/>
  <c r="G1001" i="29"/>
  <c r="L1001" i="29" s="1"/>
  <c r="G1198" i="29"/>
  <c r="L1198" i="29" s="1"/>
  <c r="G1395" i="29"/>
  <c r="L1395" i="29" s="1"/>
  <c r="G1592" i="29"/>
  <c r="L1592" i="29" s="1"/>
  <c r="G17" i="29"/>
  <c r="L17" i="29" s="1"/>
  <c r="G214" i="29"/>
  <c r="L214" i="29" s="1"/>
  <c r="G411" i="29"/>
  <c r="L411" i="29" s="1"/>
  <c r="G608" i="29"/>
  <c r="L608" i="29" s="1"/>
  <c r="G805" i="29"/>
  <c r="L805" i="29" s="1"/>
  <c r="G1002" i="29"/>
  <c r="L1002" i="29" s="1"/>
  <c r="G1199" i="29"/>
  <c r="L1199" i="29" s="1"/>
  <c r="G1396" i="29"/>
  <c r="L1396" i="29" s="1"/>
  <c r="G1593" i="29"/>
  <c r="L1593" i="29" s="1"/>
  <c r="G18" i="29"/>
  <c r="L18" i="29" s="1"/>
  <c r="G215" i="29"/>
  <c r="L215" i="29" s="1"/>
  <c r="G412" i="29"/>
  <c r="L412" i="29" s="1"/>
  <c r="G609" i="29"/>
  <c r="L609" i="29" s="1"/>
  <c r="G806" i="29"/>
  <c r="L806" i="29" s="1"/>
  <c r="G1003" i="29"/>
  <c r="L1003" i="29" s="1"/>
  <c r="G1200" i="29"/>
  <c r="L1200" i="29" s="1"/>
  <c r="G1397" i="29"/>
  <c r="L1397" i="29" s="1"/>
  <c r="G1594" i="29"/>
  <c r="L1594" i="29" s="1"/>
  <c r="G19" i="29"/>
  <c r="L19" i="29" s="1"/>
  <c r="G216" i="29"/>
  <c r="L216" i="29" s="1"/>
  <c r="G413" i="29"/>
  <c r="L413" i="29" s="1"/>
  <c r="G610" i="29"/>
  <c r="L610" i="29" s="1"/>
  <c r="G807" i="29"/>
  <c r="L807" i="29" s="1"/>
  <c r="G1004" i="29"/>
  <c r="L1004" i="29" s="1"/>
  <c r="G1201" i="29"/>
  <c r="L1201" i="29" s="1"/>
  <c r="G1398" i="29"/>
  <c r="L1398" i="29" s="1"/>
  <c r="G1595" i="29"/>
  <c r="L1595" i="29" s="1"/>
  <c r="G20" i="29"/>
  <c r="L20" i="29" s="1"/>
  <c r="G217" i="29"/>
  <c r="L217" i="29" s="1"/>
  <c r="G414" i="29"/>
  <c r="L414" i="29" s="1"/>
  <c r="G611" i="29"/>
  <c r="L611" i="29" s="1"/>
  <c r="G808" i="29"/>
  <c r="L808" i="29" s="1"/>
  <c r="G1005" i="29"/>
  <c r="L1005" i="29" s="1"/>
  <c r="G1202" i="29"/>
  <c r="L1202" i="29" s="1"/>
  <c r="G1399" i="29"/>
  <c r="L1399" i="29" s="1"/>
  <c r="G1596" i="29"/>
  <c r="L1596" i="29" s="1"/>
  <c r="G21" i="29"/>
  <c r="L21" i="29" s="1"/>
  <c r="G218" i="29"/>
  <c r="L218" i="29" s="1"/>
  <c r="G415" i="29"/>
  <c r="L415" i="29" s="1"/>
  <c r="G612" i="29"/>
  <c r="L612" i="29" s="1"/>
  <c r="G809" i="29"/>
  <c r="L809" i="29" s="1"/>
  <c r="G1006" i="29"/>
  <c r="L1006" i="29" s="1"/>
  <c r="G1203" i="29"/>
  <c r="L1203" i="29" s="1"/>
  <c r="G1400" i="29"/>
  <c r="L1400" i="29" s="1"/>
  <c r="G1597" i="29"/>
  <c r="L1597" i="29" s="1"/>
  <c r="G22" i="29"/>
  <c r="L22" i="29" s="1"/>
  <c r="G219" i="29"/>
  <c r="L219" i="29" s="1"/>
  <c r="G416" i="29"/>
  <c r="L416" i="29" s="1"/>
  <c r="G613" i="29"/>
  <c r="L613" i="29" s="1"/>
  <c r="G810" i="29"/>
  <c r="L810" i="29" s="1"/>
  <c r="G1007" i="29"/>
  <c r="L1007" i="29" s="1"/>
  <c r="G1204" i="29"/>
  <c r="L1204" i="29" s="1"/>
  <c r="G1401" i="29"/>
  <c r="L1401" i="29" s="1"/>
  <c r="G1598" i="29"/>
  <c r="L1598" i="29" s="1"/>
  <c r="G23" i="29"/>
  <c r="L23" i="29" s="1"/>
  <c r="G220" i="29"/>
  <c r="L220" i="29" s="1"/>
  <c r="G417" i="29"/>
  <c r="L417" i="29" s="1"/>
  <c r="G614" i="29"/>
  <c r="L614" i="29" s="1"/>
  <c r="G811" i="29"/>
  <c r="L811" i="29" s="1"/>
  <c r="G1008" i="29"/>
  <c r="L1008" i="29" s="1"/>
  <c r="G1205" i="29"/>
  <c r="L1205" i="29" s="1"/>
  <c r="G1402" i="29"/>
  <c r="L1402" i="29" s="1"/>
  <c r="G1599" i="29"/>
  <c r="L1599" i="29" s="1"/>
  <c r="G24" i="29"/>
  <c r="L24" i="29" s="1"/>
  <c r="G221" i="29"/>
  <c r="L221" i="29" s="1"/>
  <c r="G418" i="29"/>
  <c r="L418" i="29" s="1"/>
  <c r="G615" i="29"/>
  <c r="L615" i="29" s="1"/>
  <c r="G812" i="29"/>
  <c r="L812" i="29" s="1"/>
  <c r="G1009" i="29"/>
  <c r="L1009" i="29" s="1"/>
  <c r="G1206" i="29"/>
  <c r="L1206" i="29" s="1"/>
  <c r="G1403" i="29"/>
  <c r="L1403" i="29" s="1"/>
  <c r="G1600" i="29"/>
  <c r="L1600" i="29" s="1"/>
  <c r="G25" i="29"/>
  <c r="L25" i="29" s="1"/>
  <c r="G222" i="29"/>
  <c r="L222" i="29" s="1"/>
  <c r="G419" i="29"/>
  <c r="L419" i="29" s="1"/>
  <c r="G616" i="29"/>
  <c r="L616" i="29" s="1"/>
  <c r="G813" i="29"/>
  <c r="L813" i="29" s="1"/>
  <c r="G1010" i="29"/>
  <c r="L1010" i="29" s="1"/>
  <c r="G1207" i="29"/>
  <c r="L1207" i="29" s="1"/>
  <c r="G1404" i="29"/>
  <c r="L1404" i="29" s="1"/>
  <c r="G1601" i="29"/>
  <c r="L1601" i="29" s="1"/>
  <c r="G26" i="29"/>
  <c r="L26" i="29" s="1"/>
  <c r="G223" i="29"/>
  <c r="L223" i="29" s="1"/>
  <c r="G420" i="29"/>
  <c r="L420" i="29" s="1"/>
  <c r="G617" i="29"/>
  <c r="L617" i="29" s="1"/>
  <c r="G814" i="29"/>
  <c r="L814" i="29" s="1"/>
  <c r="G1011" i="29"/>
  <c r="L1011" i="29" s="1"/>
  <c r="G1208" i="29"/>
  <c r="L1208" i="29" s="1"/>
  <c r="G1405" i="29"/>
  <c r="L1405" i="29" s="1"/>
  <c r="G1602" i="29"/>
  <c r="L1602" i="29" s="1"/>
  <c r="G27" i="29"/>
  <c r="L27" i="29" s="1"/>
  <c r="G224" i="29"/>
  <c r="L224" i="29" s="1"/>
  <c r="G421" i="29"/>
  <c r="L421" i="29" s="1"/>
  <c r="G618" i="29"/>
  <c r="L618" i="29" s="1"/>
  <c r="G815" i="29"/>
  <c r="L815" i="29" s="1"/>
  <c r="G1012" i="29"/>
  <c r="L1012" i="29" s="1"/>
  <c r="G1209" i="29"/>
  <c r="L1209" i="29" s="1"/>
  <c r="G1406" i="29"/>
  <c r="L1406" i="29" s="1"/>
  <c r="G1603" i="29"/>
  <c r="G28" i="29"/>
  <c r="L28" i="29" s="1"/>
  <c r="G225" i="29"/>
  <c r="L225" i="29" s="1"/>
  <c r="G422" i="29"/>
  <c r="L422" i="29" s="1"/>
  <c r="G619" i="29"/>
  <c r="L619" i="29" s="1"/>
  <c r="G816" i="29"/>
  <c r="L816" i="29" s="1"/>
  <c r="G1013" i="29"/>
  <c r="L1013" i="29" s="1"/>
  <c r="G1210" i="29"/>
  <c r="L1210" i="29" s="1"/>
  <c r="G1407" i="29"/>
  <c r="L1407" i="29" s="1"/>
  <c r="G1604" i="29"/>
  <c r="L1604" i="29" s="1"/>
  <c r="G29" i="29"/>
  <c r="L29" i="29" s="1"/>
  <c r="G226" i="29"/>
  <c r="L226" i="29" s="1"/>
  <c r="G423" i="29"/>
  <c r="L423" i="29" s="1"/>
  <c r="G620" i="29"/>
  <c r="L620" i="29" s="1"/>
  <c r="G817" i="29"/>
  <c r="L817" i="29" s="1"/>
  <c r="G1014" i="29"/>
  <c r="L1014" i="29" s="1"/>
  <c r="G1211" i="29"/>
  <c r="L1211" i="29" s="1"/>
  <c r="G1408" i="29"/>
  <c r="L1408" i="29" s="1"/>
  <c r="G1605" i="29"/>
  <c r="L1605" i="29" s="1"/>
  <c r="G30" i="29"/>
  <c r="L30" i="29" s="1"/>
  <c r="G227" i="29"/>
  <c r="L227" i="29" s="1"/>
  <c r="G424" i="29"/>
  <c r="L424" i="29" s="1"/>
  <c r="G621" i="29"/>
  <c r="L621" i="29" s="1"/>
  <c r="G818" i="29"/>
  <c r="L818" i="29" s="1"/>
  <c r="G1015" i="29"/>
  <c r="L1015" i="29" s="1"/>
  <c r="G1212" i="29"/>
  <c r="L1212" i="29" s="1"/>
  <c r="G1409" i="29"/>
  <c r="L1409" i="29" s="1"/>
  <c r="G1606" i="29"/>
  <c r="L1606" i="29" s="1"/>
  <c r="G31" i="29"/>
  <c r="L31" i="29" s="1"/>
  <c r="G228" i="29"/>
  <c r="L228" i="29" s="1"/>
  <c r="G425" i="29"/>
  <c r="L425" i="29" s="1"/>
  <c r="G622" i="29"/>
  <c r="L622" i="29" s="1"/>
  <c r="G819" i="29"/>
  <c r="L819" i="29" s="1"/>
  <c r="G1016" i="29"/>
  <c r="L1016" i="29" s="1"/>
  <c r="G1213" i="29"/>
  <c r="L1213" i="29" s="1"/>
  <c r="G1410" i="29"/>
  <c r="L1410" i="29" s="1"/>
  <c r="G1607" i="29"/>
  <c r="L1607" i="29" s="1"/>
  <c r="G32" i="29"/>
  <c r="L32" i="29" s="1"/>
  <c r="G229" i="29"/>
  <c r="L229" i="29" s="1"/>
  <c r="G426" i="29"/>
  <c r="L426" i="29" s="1"/>
  <c r="G623" i="29"/>
  <c r="L623" i="29" s="1"/>
  <c r="G820" i="29"/>
  <c r="L820" i="29" s="1"/>
  <c r="G1017" i="29"/>
  <c r="L1017" i="29" s="1"/>
  <c r="G1214" i="29"/>
  <c r="L1214" i="29" s="1"/>
  <c r="G1411" i="29"/>
  <c r="L1411" i="29" s="1"/>
  <c r="G1608" i="29"/>
  <c r="L1608" i="29" s="1"/>
  <c r="G33" i="29"/>
  <c r="L33" i="29" s="1"/>
  <c r="G230" i="29"/>
  <c r="L230" i="29" s="1"/>
  <c r="G427" i="29"/>
  <c r="L427" i="29" s="1"/>
  <c r="G624" i="29"/>
  <c r="L624" i="29" s="1"/>
  <c r="G821" i="29"/>
  <c r="L821" i="29" s="1"/>
  <c r="G1018" i="29"/>
  <c r="L1018" i="29" s="1"/>
  <c r="G1215" i="29"/>
  <c r="L1215" i="29" s="1"/>
  <c r="G1412" i="29"/>
  <c r="L1412" i="29" s="1"/>
  <c r="G1609" i="29"/>
  <c r="L1609" i="29" s="1"/>
  <c r="G34" i="29"/>
  <c r="L34" i="29" s="1"/>
  <c r="G231" i="29"/>
  <c r="L231" i="29" s="1"/>
  <c r="G428" i="29"/>
  <c r="L428" i="29" s="1"/>
  <c r="G625" i="29"/>
  <c r="L625" i="29" s="1"/>
  <c r="G822" i="29"/>
  <c r="L822" i="29" s="1"/>
  <c r="G1019" i="29"/>
  <c r="L1019" i="29" s="1"/>
  <c r="G1216" i="29"/>
  <c r="L1216" i="29" s="1"/>
  <c r="G1413" i="29"/>
  <c r="L1413" i="29" s="1"/>
  <c r="G1610" i="29"/>
  <c r="L1610" i="29" s="1"/>
  <c r="G35" i="29"/>
  <c r="L35" i="29" s="1"/>
  <c r="G232" i="29"/>
  <c r="L232" i="29" s="1"/>
  <c r="G429" i="29"/>
  <c r="L429" i="29" s="1"/>
  <c r="G626" i="29"/>
  <c r="L626" i="29" s="1"/>
  <c r="G823" i="29"/>
  <c r="L823" i="29" s="1"/>
  <c r="G1020" i="29"/>
  <c r="L1020" i="29" s="1"/>
  <c r="G1217" i="29"/>
  <c r="L1217" i="29" s="1"/>
  <c r="G1414" i="29"/>
  <c r="L1414" i="29" s="1"/>
  <c r="G1611" i="29"/>
  <c r="L1611" i="29" s="1"/>
  <c r="G36" i="29"/>
  <c r="L36" i="29" s="1"/>
  <c r="G233" i="29"/>
  <c r="L233" i="29" s="1"/>
  <c r="G430" i="29"/>
  <c r="L430" i="29" s="1"/>
  <c r="G627" i="29"/>
  <c r="L627" i="29" s="1"/>
  <c r="G824" i="29"/>
  <c r="L824" i="29" s="1"/>
  <c r="G1021" i="29"/>
  <c r="L1021" i="29" s="1"/>
  <c r="G1218" i="29"/>
  <c r="L1218" i="29" s="1"/>
  <c r="G1415" i="29"/>
  <c r="L1415" i="29" s="1"/>
  <c r="G1612" i="29"/>
  <c r="L1612" i="29" s="1"/>
  <c r="G37" i="29"/>
  <c r="L37" i="29" s="1"/>
  <c r="G234" i="29"/>
  <c r="L234" i="29" s="1"/>
  <c r="G431" i="29"/>
  <c r="L431" i="29" s="1"/>
  <c r="G628" i="29"/>
  <c r="L628" i="29" s="1"/>
  <c r="G825" i="29"/>
  <c r="L825" i="29" s="1"/>
  <c r="G1022" i="29"/>
  <c r="L1022" i="29" s="1"/>
  <c r="G1219" i="29"/>
  <c r="L1219" i="29" s="1"/>
  <c r="G1416" i="29"/>
  <c r="L1416" i="29" s="1"/>
  <c r="G1613" i="29"/>
  <c r="L1613" i="29" s="1"/>
  <c r="G38" i="29"/>
  <c r="L38" i="29" s="1"/>
  <c r="G235" i="29"/>
  <c r="L235" i="29" s="1"/>
  <c r="G432" i="29"/>
  <c r="L432" i="29" s="1"/>
  <c r="G629" i="29"/>
  <c r="L629" i="29" s="1"/>
  <c r="G826" i="29"/>
  <c r="L826" i="29" s="1"/>
  <c r="G1023" i="29"/>
  <c r="L1023" i="29" s="1"/>
  <c r="G1220" i="29"/>
  <c r="L1220" i="29" s="1"/>
  <c r="G1417" i="29"/>
  <c r="L1417" i="29" s="1"/>
  <c r="G1614" i="29"/>
  <c r="L1614" i="29" s="1"/>
  <c r="G39" i="29"/>
  <c r="L39" i="29" s="1"/>
  <c r="G236" i="29"/>
  <c r="L236" i="29" s="1"/>
  <c r="G433" i="29"/>
  <c r="L433" i="29" s="1"/>
  <c r="G630" i="29"/>
  <c r="L630" i="29" s="1"/>
  <c r="G827" i="29"/>
  <c r="L827" i="29" s="1"/>
  <c r="G1024" i="29"/>
  <c r="L1024" i="29" s="1"/>
  <c r="G1221" i="29"/>
  <c r="L1221" i="29" s="1"/>
  <c r="G1418" i="29"/>
  <c r="L1418" i="29" s="1"/>
  <c r="G1615" i="29"/>
  <c r="L1615" i="29" s="1"/>
  <c r="G40" i="29"/>
  <c r="L40" i="29" s="1"/>
  <c r="G237" i="29"/>
  <c r="L237" i="29" s="1"/>
  <c r="G434" i="29"/>
  <c r="L434" i="29" s="1"/>
  <c r="G631" i="29"/>
  <c r="L631" i="29" s="1"/>
  <c r="G828" i="29"/>
  <c r="L828" i="29" s="1"/>
  <c r="G1025" i="29"/>
  <c r="L1025" i="29" s="1"/>
  <c r="G1222" i="29"/>
  <c r="L1222" i="29" s="1"/>
  <c r="G1419" i="29"/>
  <c r="L1419" i="29" s="1"/>
  <c r="G1616" i="29"/>
  <c r="L1616" i="29" s="1"/>
  <c r="G41" i="29"/>
  <c r="G238" i="29"/>
  <c r="G435" i="29"/>
  <c r="G632" i="29"/>
  <c r="G829" i="29"/>
  <c r="G1026" i="29"/>
  <c r="G1223" i="29"/>
  <c r="G1420" i="29"/>
  <c r="G1617" i="29"/>
  <c r="L1617" i="29" s="1"/>
  <c r="G42" i="29"/>
  <c r="L42" i="29" s="1"/>
  <c r="G239" i="29"/>
  <c r="L239" i="29" s="1"/>
  <c r="G436" i="29"/>
  <c r="L436" i="29" s="1"/>
  <c r="G633" i="29"/>
  <c r="L633" i="29" s="1"/>
  <c r="G830" i="29"/>
  <c r="L830" i="29" s="1"/>
  <c r="G1027" i="29"/>
  <c r="L1027" i="29" s="1"/>
  <c r="G1224" i="29"/>
  <c r="L1224" i="29" s="1"/>
  <c r="G1421" i="29"/>
  <c r="L1421" i="29" s="1"/>
  <c r="G1618" i="29"/>
  <c r="L1618" i="29" s="1"/>
  <c r="G43" i="29"/>
  <c r="L43" i="29" s="1"/>
  <c r="G240" i="29"/>
  <c r="L240" i="29" s="1"/>
  <c r="G437" i="29"/>
  <c r="L437" i="29" s="1"/>
  <c r="G634" i="29"/>
  <c r="L634" i="29" s="1"/>
  <c r="G831" i="29"/>
  <c r="L831" i="29" s="1"/>
  <c r="G1028" i="29"/>
  <c r="L1028" i="29" s="1"/>
  <c r="G1225" i="29"/>
  <c r="L1225" i="29" s="1"/>
  <c r="G1422" i="29"/>
  <c r="L1422" i="29" s="1"/>
  <c r="G1619" i="29"/>
  <c r="L1619" i="29" s="1"/>
  <c r="G44" i="29"/>
  <c r="L44" i="29" s="1"/>
  <c r="G241" i="29"/>
  <c r="L241" i="29" s="1"/>
  <c r="G438" i="29"/>
  <c r="L438" i="29" s="1"/>
  <c r="G635" i="29"/>
  <c r="L635" i="29" s="1"/>
  <c r="G832" i="29"/>
  <c r="L832" i="29" s="1"/>
  <c r="G1029" i="29"/>
  <c r="L1029" i="29" s="1"/>
  <c r="G1226" i="29"/>
  <c r="L1226" i="29" s="1"/>
  <c r="G1423" i="29"/>
  <c r="L1423" i="29" s="1"/>
  <c r="G1620" i="29"/>
  <c r="L1620" i="29" s="1"/>
  <c r="G45" i="29"/>
  <c r="L45" i="29" s="1"/>
  <c r="G242" i="29"/>
  <c r="L242" i="29" s="1"/>
  <c r="G439" i="29"/>
  <c r="L439" i="29" s="1"/>
  <c r="G636" i="29"/>
  <c r="L636" i="29" s="1"/>
  <c r="G833" i="29"/>
  <c r="L833" i="29" s="1"/>
  <c r="G1030" i="29"/>
  <c r="L1030" i="29" s="1"/>
  <c r="G1227" i="29"/>
  <c r="L1227" i="29" s="1"/>
  <c r="G1424" i="29"/>
  <c r="L1424" i="29" s="1"/>
  <c r="G1621" i="29"/>
  <c r="L1621" i="29" s="1"/>
  <c r="G46" i="29"/>
  <c r="L46" i="29" s="1"/>
  <c r="G243" i="29"/>
  <c r="L243" i="29" s="1"/>
  <c r="G440" i="29"/>
  <c r="L440" i="29" s="1"/>
  <c r="G637" i="29"/>
  <c r="L637" i="29" s="1"/>
  <c r="G834" i="29"/>
  <c r="L834" i="29" s="1"/>
  <c r="G1031" i="29"/>
  <c r="L1031" i="29" s="1"/>
  <c r="G1228" i="29"/>
  <c r="L1228" i="29" s="1"/>
  <c r="G1425" i="29"/>
  <c r="L1425" i="29" s="1"/>
  <c r="G1622" i="29"/>
  <c r="L1622" i="29" s="1"/>
  <c r="G47" i="29"/>
  <c r="L47" i="29" s="1"/>
  <c r="G244" i="29"/>
  <c r="L244" i="29" s="1"/>
  <c r="G441" i="29"/>
  <c r="L441" i="29" s="1"/>
  <c r="G638" i="29"/>
  <c r="L638" i="29" s="1"/>
  <c r="G835" i="29"/>
  <c r="L835" i="29" s="1"/>
  <c r="G1032" i="29"/>
  <c r="L1032" i="29" s="1"/>
  <c r="G1229" i="29"/>
  <c r="L1229" i="29" s="1"/>
  <c r="G1426" i="29"/>
  <c r="L1426" i="29" s="1"/>
  <c r="G1623" i="29"/>
  <c r="L1623" i="29" s="1"/>
  <c r="G48" i="29"/>
  <c r="L48" i="29" s="1"/>
  <c r="G245" i="29"/>
  <c r="L245" i="29" s="1"/>
  <c r="G442" i="29"/>
  <c r="L442" i="29" s="1"/>
  <c r="G639" i="29"/>
  <c r="L639" i="29" s="1"/>
  <c r="G836" i="29"/>
  <c r="L836" i="29" s="1"/>
  <c r="G1033" i="29"/>
  <c r="L1033" i="29" s="1"/>
  <c r="G1230" i="29"/>
  <c r="L1230" i="29" s="1"/>
  <c r="G1427" i="29"/>
  <c r="L1427" i="29" s="1"/>
  <c r="G1624" i="29"/>
  <c r="L1624" i="29" s="1"/>
  <c r="G49" i="29"/>
  <c r="L49" i="29" s="1"/>
  <c r="G246" i="29"/>
  <c r="L246" i="29" s="1"/>
  <c r="G443" i="29"/>
  <c r="L443" i="29" s="1"/>
  <c r="G640" i="29"/>
  <c r="L640" i="29" s="1"/>
  <c r="G837" i="29"/>
  <c r="L837" i="29" s="1"/>
  <c r="G1034" i="29"/>
  <c r="L1034" i="29" s="1"/>
  <c r="G1231" i="29"/>
  <c r="L1231" i="29" s="1"/>
  <c r="G1428" i="29"/>
  <c r="L1428" i="29" s="1"/>
  <c r="G1625" i="29"/>
  <c r="L1625" i="29" s="1"/>
  <c r="G50" i="29"/>
  <c r="L50" i="29" s="1"/>
  <c r="G247" i="29"/>
  <c r="L247" i="29" s="1"/>
  <c r="G444" i="29"/>
  <c r="L444" i="29" s="1"/>
  <c r="G641" i="29"/>
  <c r="L641" i="29" s="1"/>
  <c r="G838" i="29"/>
  <c r="L838" i="29" s="1"/>
  <c r="G1035" i="29"/>
  <c r="L1035" i="29" s="1"/>
  <c r="G1232" i="29"/>
  <c r="L1232" i="29" s="1"/>
  <c r="G1429" i="29"/>
  <c r="L1429" i="29" s="1"/>
  <c r="G1626" i="29"/>
  <c r="L1626" i="29" s="1"/>
  <c r="G51" i="29"/>
  <c r="L51" i="29" s="1"/>
  <c r="G248" i="29"/>
  <c r="L248" i="29" s="1"/>
  <c r="G445" i="29"/>
  <c r="L445" i="29" s="1"/>
  <c r="G642" i="29"/>
  <c r="L642" i="29" s="1"/>
  <c r="G839" i="29"/>
  <c r="L839" i="29" s="1"/>
  <c r="G1036" i="29"/>
  <c r="L1036" i="29" s="1"/>
  <c r="G1233" i="29"/>
  <c r="L1233" i="29" s="1"/>
  <c r="G1430" i="29"/>
  <c r="L1430" i="29" s="1"/>
  <c r="G1627" i="29"/>
  <c r="L1627" i="29" s="1"/>
  <c r="G52" i="29"/>
  <c r="L52" i="29" s="1"/>
  <c r="G249" i="29"/>
  <c r="L249" i="29" s="1"/>
  <c r="G446" i="29"/>
  <c r="L446" i="29" s="1"/>
  <c r="G643" i="29"/>
  <c r="L643" i="29" s="1"/>
  <c r="G840" i="29"/>
  <c r="L840" i="29" s="1"/>
  <c r="G1037" i="29"/>
  <c r="L1037" i="29" s="1"/>
  <c r="G1234" i="29"/>
  <c r="L1234" i="29" s="1"/>
  <c r="G1431" i="29"/>
  <c r="L1431" i="29" s="1"/>
  <c r="G1628" i="29"/>
  <c r="L1628" i="29" s="1"/>
  <c r="G53" i="29"/>
  <c r="L53" i="29" s="1"/>
  <c r="G250" i="29"/>
  <c r="L250" i="29" s="1"/>
  <c r="G447" i="29"/>
  <c r="L447" i="29" s="1"/>
  <c r="G644" i="29"/>
  <c r="L644" i="29" s="1"/>
  <c r="G841" i="29"/>
  <c r="L841" i="29" s="1"/>
  <c r="G1038" i="29"/>
  <c r="L1038" i="29" s="1"/>
  <c r="G1235" i="29"/>
  <c r="L1235" i="29" s="1"/>
  <c r="G1432" i="29"/>
  <c r="L1432" i="29" s="1"/>
  <c r="G1629" i="29"/>
  <c r="L1629" i="29" s="1"/>
  <c r="G54" i="29"/>
  <c r="L54" i="29" s="1"/>
  <c r="G251" i="29"/>
  <c r="L251" i="29" s="1"/>
  <c r="G448" i="29"/>
  <c r="L448" i="29" s="1"/>
  <c r="G645" i="29"/>
  <c r="L645" i="29" s="1"/>
  <c r="G842" i="29"/>
  <c r="L842" i="29" s="1"/>
  <c r="G1039" i="29"/>
  <c r="L1039" i="29" s="1"/>
  <c r="G1236" i="29"/>
  <c r="L1236" i="29" s="1"/>
  <c r="G1433" i="29"/>
  <c r="L1433" i="29" s="1"/>
  <c r="G1630" i="29"/>
  <c r="L1630" i="29" s="1"/>
  <c r="G55" i="29"/>
  <c r="L55" i="29" s="1"/>
  <c r="G252" i="29"/>
  <c r="L252" i="29" s="1"/>
  <c r="G449" i="29"/>
  <c r="L449" i="29" s="1"/>
  <c r="G646" i="29"/>
  <c r="L646" i="29" s="1"/>
  <c r="G843" i="29"/>
  <c r="L843" i="29" s="1"/>
  <c r="G1040" i="29"/>
  <c r="L1040" i="29" s="1"/>
  <c r="G1237" i="29"/>
  <c r="L1237" i="29" s="1"/>
  <c r="G1434" i="29"/>
  <c r="L1434" i="29" s="1"/>
  <c r="G1631" i="29"/>
  <c r="L1631" i="29" s="1"/>
  <c r="G56" i="29"/>
  <c r="L56" i="29" s="1"/>
  <c r="G253" i="29"/>
  <c r="L253" i="29" s="1"/>
  <c r="G450" i="29"/>
  <c r="L450" i="29" s="1"/>
  <c r="G647" i="29"/>
  <c r="L647" i="29" s="1"/>
  <c r="G844" i="29"/>
  <c r="L844" i="29" s="1"/>
  <c r="G1041" i="29"/>
  <c r="L1041" i="29" s="1"/>
  <c r="G1238" i="29"/>
  <c r="L1238" i="29" s="1"/>
  <c r="G1435" i="29"/>
  <c r="L1435" i="29" s="1"/>
  <c r="G1632" i="29"/>
  <c r="L1632" i="29" s="1"/>
  <c r="G57" i="29"/>
  <c r="L57" i="29" s="1"/>
  <c r="G254" i="29"/>
  <c r="L254" i="29" s="1"/>
  <c r="G451" i="29"/>
  <c r="L451" i="29" s="1"/>
  <c r="G648" i="29"/>
  <c r="L648" i="29" s="1"/>
  <c r="G845" i="29"/>
  <c r="L845" i="29" s="1"/>
  <c r="G1042" i="29"/>
  <c r="L1042" i="29" s="1"/>
  <c r="G1239" i="29"/>
  <c r="L1239" i="29" s="1"/>
  <c r="G1436" i="29"/>
  <c r="L1436" i="29" s="1"/>
  <c r="G1633" i="29"/>
  <c r="L1633" i="29" s="1"/>
  <c r="G58" i="29"/>
  <c r="L58" i="29" s="1"/>
  <c r="G255" i="29"/>
  <c r="L255" i="29" s="1"/>
  <c r="G452" i="29"/>
  <c r="L452" i="29" s="1"/>
  <c r="G649" i="29"/>
  <c r="L649" i="29" s="1"/>
  <c r="G846" i="29"/>
  <c r="L846" i="29" s="1"/>
  <c r="G1043" i="29"/>
  <c r="L1043" i="29" s="1"/>
  <c r="G1240" i="29"/>
  <c r="L1240" i="29" s="1"/>
  <c r="G1437" i="29"/>
  <c r="L1437" i="29" s="1"/>
  <c r="G1634" i="29"/>
  <c r="L1634" i="29" s="1"/>
  <c r="G59" i="29"/>
  <c r="L59" i="29" s="1"/>
  <c r="G256" i="29"/>
  <c r="L256" i="29" s="1"/>
  <c r="G453" i="29"/>
  <c r="L453" i="29" s="1"/>
  <c r="G650" i="29"/>
  <c r="L650" i="29" s="1"/>
  <c r="G847" i="29"/>
  <c r="L847" i="29" s="1"/>
  <c r="G1044" i="29"/>
  <c r="L1044" i="29" s="1"/>
  <c r="G1241" i="29"/>
  <c r="L1241" i="29" s="1"/>
  <c r="G1438" i="29"/>
  <c r="L1438" i="29" s="1"/>
  <c r="G1635" i="29"/>
  <c r="L1635" i="29" s="1"/>
  <c r="G60" i="29"/>
  <c r="L60" i="29" s="1"/>
  <c r="G257" i="29"/>
  <c r="L257" i="29" s="1"/>
  <c r="G454" i="29"/>
  <c r="L454" i="29" s="1"/>
  <c r="G651" i="29"/>
  <c r="L651" i="29" s="1"/>
  <c r="G848" i="29"/>
  <c r="L848" i="29" s="1"/>
  <c r="G1045" i="29"/>
  <c r="L1045" i="29" s="1"/>
  <c r="G1242" i="29"/>
  <c r="L1242" i="29" s="1"/>
  <c r="G1439" i="29"/>
  <c r="L1439" i="29" s="1"/>
  <c r="G1636" i="29"/>
  <c r="L1636" i="29" s="1"/>
  <c r="G61" i="29"/>
  <c r="L61" i="29" s="1"/>
  <c r="G258" i="29"/>
  <c r="L258" i="29" s="1"/>
  <c r="G455" i="29"/>
  <c r="L455" i="29" s="1"/>
  <c r="G652" i="29"/>
  <c r="L652" i="29" s="1"/>
  <c r="G849" i="29"/>
  <c r="L849" i="29" s="1"/>
  <c r="G1046" i="29"/>
  <c r="L1046" i="29" s="1"/>
  <c r="G1243" i="29"/>
  <c r="L1243" i="29" s="1"/>
  <c r="G1440" i="29"/>
  <c r="L1440" i="29" s="1"/>
  <c r="G1637" i="29"/>
  <c r="L1637" i="29" s="1"/>
  <c r="G62" i="29"/>
  <c r="L62" i="29" s="1"/>
  <c r="G259" i="29"/>
  <c r="L259" i="29" s="1"/>
  <c r="G456" i="29"/>
  <c r="L456" i="29" s="1"/>
  <c r="G653" i="29"/>
  <c r="L653" i="29" s="1"/>
  <c r="G850" i="29"/>
  <c r="L850" i="29" s="1"/>
  <c r="G1047" i="29"/>
  <c r="L1047" i="29" s="1"/>
  <c r="G1244" i="29"/>
  <c r="L1244" i="29" s="1"/>
  <c r="G1441" i="29"/>
  <c r="L1441" i="29" s="1"/>
  <c r="G1638" i="29"/>
  <c r="L1638" i="29" s="1"/>
  <c r="G63" i="29"/>
  <c r="L63" i="29" s="1"/>
  <c r="G260" i="29"/>
  <c r="L260" i="29" s="1"/>
  <c r="G457" i="29"/>
  <c r="L457" i="29" s="1"/>
  <c r="G654" i="29"/>
  <c r="L654" i="29" s="1"/>
  <c r="G851" i="29"/>
  <c r="L851" i="29" s="1"/>
  <c r="G1048" i="29"/>
  <c r="L1048" i="29" s="1"/>
  <c r="G1245" i="29"/>
  <c r="L1245" i="29" s="1"/>
  <c r="G1442" i="29"/>
  <c r="L1442" i="29" s="1"/>
  <c r="G1639" i="29"/>
  <c r="L1639" i="29" s="1"/>
  <c r="G64" i="29"/>
  <c r="L64" i="29" s="1"/>
  <c r="G261" i="29"/>
  <c r="L261" i="29" s="1"/>
  <c r="G458" i="29"/>
  <c r="L458" i="29" s="1"/>
  <c r="G655" i="29"/>
  <c r="L655" i="29" s="1"/>
  <c r="G852" i="29"/>
  <c r="L852" i="29" s="1"/>
  <c r="G1049" i="29"/>
  <c r="L1049" i="29" s="1"/>
  <c r="G1246" i="29"/>
  <c r="L1246" i="29" s="1"/>
  <c r="G1443" i="29"/>
  <c r="L1443" i="29" s="1"/>
  <c r="G1640" i="29"/>
  <c r="L1640" i="29" s="1"/>
  <c r="G65" i="29"/>
  <c r="L65" i="29" s="1"/>
  <c r="G262" i="29"/>
  <c r="L262" i="29" s="1"/>
  <c r="G459" i="29"/>
  <c r="L459" i="29" s="1"/>
  <c r="G656" i="29"/>
  <c r="L656" i="29" s="1"/>
  <c r="G853" i="29"/>
  <c r="L853" i="29" s="1"/>
  <c r="G1050" i="29"/>
  <c r="L1050" i="29" s="1"/>
  <c r="G1247" i="29"/>
  <c r="L1247" i="29" s="1"/>
  <c r="G1444" i="29"/>
  <c r="L1444" i="29" s="1"/>
  <c r="G1641" i="29"/>
  <c r="L1641" i="29" s="1"/>
  <c r="G66" i="29"/>
  <c r="L66" i="29" s="1"/>
  <c r="G263" i="29"/>
  <c r="L263" i="29" s="1"/>
  <c r="G460" i="29"/>
  <c r="L460" i="29" s="1"/>
  <c r="G657" i="29"/>
  <c r="L657" i="29" s="1"/>
  <c r="G854" i="29"/>
  <c r="L854" i="29" s="1"/>
  <c r="G1051" i="29"/>
  <c r="L1051" i="29" s="1"/>
  <c r="G1248" i="29"/>
  <c r="L1248" i="29" s="1"/>
  <c r="G1445" i="29"/>
  <c r="L1445" i="29" s="1"/>
  <c r="G1642" i="29"/>
  <c r="L1642" i="29" s="1"/>
  <c r="G67" i="29"/>
  <c r="L67" i="29" s="1"/>
  <c r="G264" i="29"/>
  <c r="L264" i="29" s="1"/>
  <c r="G461" i="29"/>
  <c r="L461" i="29" s="1"/>
  <c r="G658" i="29"/>
  <c r="L658" i="29" s="1"/>
  <c r="G855" i="29"/>
  <c r="L855" i="29" s="1"/>
  <c r="G1052" i="29"/>
  <c r="L1052" i="29" s="1"/>
  <c r="G1249" i="29"/>
  <c r="L1249" i="29" s="1"/>
  <c r="G1446" i="29"/>
  <c r="L1446" i="29" s="1"/>
  <c r="G1643" i="29"/>
  <c r="L1643" i="29" s="1"/>
  <c r="G68" i="29"/>
  <c r="L68" i="29" s="1"/>
  <c r="G265" i="29"/>
  <c r="L265" i="29" s="1"/>
  <c r="G462" i="29"/>
  <c r="L462" i="29" s="1"/>
  <c r="G659" i="29"/>
  <c r="L659" i="29" s="1"/>
  <c r="G856" i="29"/>
  <c r="L856" i="29" s="1"/>
  <c r="G1053" i="29"/>
  <c r="L1053" i="29" s="1"/>
  <c r="G1250" i="29"/>
  <c r="L1250" i="29" s="1"/>
  <c r="G1447" i="29"/>
  <c r="L1447" i="29" s="1"/>
  <c r="G1644" i="29"/>
  <c r="L1644" i="29" s="1"/>
  <c r="G69" i="29"/>
  <c r="L69" i="29" s="1"/>
  <c r="G266" i="29"/>
  <c r="L266" i="29" s="1"/>
  <c r="G463" i="29"/>
  <c r="L463" i="29" s="1"/>
  <c r="G660" i="29"/>
  <c r="L660" i="29" s="1"/>
  <c r="G857" i="29"/>
  <c r="L857" i="29" s="1"/>
  <c r="G1054" i="29"/>
  <c r="L1054" i="29" s="1"/>
  <c r="G1251" i="29"/>
  <c r="L1251" i="29" s="1"/>
  <c r="G1448" i="29"/>
  <c r="L1448" i="29" s="1"/>
  <c r="G1645" i="29"/>
  <c r="L1645" i="29" s="1"/>
  <c r="G70" i="29"/>
  <c r="L70" i="29" s="1"/>
  <c r="G267" i="29"/>
  <c r="L267" i="29" s="1"/>
  <c r="G464" i="29"/>
  <c r="L464" i="29" s="1"/>
  <c r="G661" i="29"/>
  <c r="L661" i="29" s="1"/>
  <c r="G858" i="29"/>
  <c r="L858" i="29" s="1"/>
  <c r="G1055" i="29"/>
  <c r="L1055" i="29" s="1"/>
  <c r="G1252" i="29"/>
  <c r="L1252" i="29" s="1"/>
  <c r="G1449" i="29"/>
  <c r="L1449" i="29" s="1"/>
  <c r="G1646" i="29"/>
  <c r="L1646" i="29" s="1"/>
  <c r="G71" i="29"/>
  <c r="L71" i="29" s="1"/>
  <c r="G268" i="29"/>
  <c r="L268" i="29" s="1"/>
  <c r="G465" i="29"/>
  <c r="L465" i="29" s="1"/>
  <c r="G662" i="29"/>
  <c r="L662" i="29" s="1"/>
  <c r="G859" i="29"/>
  <c r="L859" i="29" s="1"/>
  <c r="G1056" i="29"/>
  <c r="L1056" i="29" s="1"/>
  <c r="G1253" i="29"/>
  <c r="L1253" i="29" s="1"/>
  <c r="G1450" i="29"/>
  <c r="L1450" i="29" s="1"/>
  <c r="G1647" i="29"/>
  <c r="L1647" i="29" s="1"/>
  <c r="G72" i="29"/>
  <c r="L72" i="29" s="1"/>
  <c r="G269" i="29"/>
  <c r="L269" i="29" s="1"/>
  <c r="G466" i="29"/>
  <c r="L466" i="29" s="1"/>
  <c r="G663" i="29"/>
  <c r="L663" i="29" s="1"/>
  <c r="G860" i="29"/>
  <c r="L860" i="29" s="1"/>
  <c r="G1057" i="29"/>
  <c r="L1057" i="29" s="1"/>
  <c r="G1254" i="29"/>
  <c r="L1254" i="29" s="1"/>
  <c r="G1451" i="29"/>
  <c r="L1451" i="29" s="1"/>
  <c r="G1648" i="29"/>
  <c r="L1648" i="29" s="1"/>
  <c r="G73" i="29"/>
  <c r="L73" i="29" s="1"/>
  <c r="G270" i="29"/>
  <c r="L270" i="29" s="1"/>
  <c r="G467" i="29"/>
  <c r="L467" i="29" s="1"/>
  <c r="G664" i="29"/>
  <c r="L664" i="29" s="1"/>
  <c r="G861" i="29"/>
  <c r="L861" i="29" s="1"/>
  <c r="G1058" i="29"/>
  <c r="L1058" i="29" s="1"/>
  <c r="G1255" i="29"/>
  <c r="L1255" i="29" s="1"/>
  <c r="G1452" i="29"/>
  <c r="L1452" i="29" s="1"/>
  <c r="G1649" i="29"/>
  <c r="L1649" i="29" s="1"/>
  <c r="G74" i="29"/>
  <c r="L74" i="29" s="1"/>
  <c r="G271" i="29"/>
  <c r="L271" i="29" s="1"/>
  <c r="G468" i="29"/>
  <c r="L468" i="29" s="1"/>
  <c r="G665" i="29"/>
  <c r="L665" i="29" s="1"/>
  <c r="G862" i="29"/>
  <c r="L862" i="29" s="1"/>
  <c r="G1059" i="29"/>
  <c r="L1059" i="29" s="1"/>
  <c r="G1256" i="29"/>
  <c r="L1256" i="29" s="1"/>
  <c r="G1453" i="29"/>
  <c r="L1453" i="29" s="1"/>
  <c r="G1650" i="29"/>
  <c r="L1650" i="29" s="1"/>
  <c r="G75" i="29"/>
  <c r="L75" i="29" s="1"/>
  <c r="G272" i="29"/>
  <c r="L272" i="29" s="1"/>
  <c r="G469" i="29"/>
  <c r="L469" i="29" s="1"/>
  <c r="G666" i="29"/>
  <c r="L666" i="29" s="1"/>
  <c r="G863" i="29"/>
  <c r="L863" i="29" s="1"/>
  <c r="G1060" i="29"/>
  <c r="L1060" i="29" s="1"/>
  <c r="G1257" i="29"/>
  <c r="L1257" i="29" s="1"/>
  <c r="G1454" i="29"/>
  <c r="L1454" i="29" s="1"/>
  <c r="G1651" i="29"/>
  <c r="L1651" i="29" s="1"/>
  <c r="G76" i="29"/>
  <c r="L76" i="29" s="1"/>
  <c r="G273" i="29"/>
  <c r="L273" i="29" s="1"/>
  <c r="G470" i="29"/>
  <c r="L470" i="29" s="1"/>
  <c r="G667" i="29"/>
  <c r="L667" i="29" s="1"/>
  <c r="G864" i="29"/>
  <c r="L864" i="29" s="1"/>
  <c r="G1061" i="29"/>
  <c r="L1061" i="29" s="1"/>
  <c r="G1258" i="29"/>
  <c r="L1258" i="29" s="1"/>
  <c r="G1455" i="29"/>
  <c r="L1455" i="29" s="1"/>
  <c r="G1652" i="29"/>
  <c r="L1652" i="29" s="1"/>
  <c r="G77" i="29"/>
  <c r="L77" i="29" s="1"/>
  <c r="G274" i="29"/>
  <c r="L274" i="29" s="1"/>
  <c r="G471" i="29"/>
  <c r="L471" i="29" s="1"/>
  <c r="G668" i="29"/>
  <c r="L668" i="29" s="1"/>
  <c r="G865" i="29"/>
  <c r="L865" i="29" s="1"/>
  <c r="G1062" i="29"/>
  <c r="L1062" i="29" s="1"/>
  <c r="G1259" i="29"/>
  <c r="L1259" i="29" s="1"/>
  <c r="G1456" i="29"/>
  <c r="L1456" i="29" s="1"/>
  <c r="G1653" i="29"/>
  <c r="L1653" i="29" s="1"/>
  <c r="G78" i="29"/>
  <c r="L78" i="29" s="1"/>
  <c r="G275" i="29"/>
  <c r="L275" i="29" s="1"/>
  <c r="G472" i="29"/>
  <c r="L472" i="29" s="1"/>
  <c r="G669" i="29"/>
  <c r="L669" i="29" s="1"/>
  <c r="G866" i="29"/>
  <c r="L866" i="29" s="1"/>
  <c r="G1063" i="29"/>
  <c r="L1063" i="29" s="1"/>
  <c r="G1260" i="29"/>
  <c r="L1260" i="29" s="1"/>
  <c r="G1457" i="29"/>
  <c r="L1457" i="29" s="1"/>
  <c r="G1654" i="29"/>
  <c r="L1654" i="29" s="1"/>
  <c r="G79" i="29"/>
  <c r="L79" i="29" s="1"/>
  <c r="G276" i="29"/>
  <c r="L276" i="29" s="1"/>
  <c r="G473" i="29"/>
  <c r="L473" i="29" s="1"/>
  <c r="G670" i="29"/>
  <c r="L670" i="29" s="1"/>
  <c r="G867" i="29"/>
  <c r="L867" i="29" s="1"/>
  <c r="G1064" i="29"/>
  <c r="L1064" i="29" s="1"/>
  <c r="G1261" i="29"/>
  <c r="L1261" i="29" s="1"/>
  <c r="G1458" i="29"/>
  <c r="L1458" i="29" s="1"/>
  <c r="G1655" i="29"/>
  <c r="L1655" i="29" s="1"/>
  <c r="G80" i="29"/>
  <c r="L80" i="29" s="1"/>
  <c r="G277" i="29"/>
  <c r="L277" i="29" s="1"/>
  <c r="G474" i="29"/>
  <c r="L474" i="29" s="1"/>
  <c r="G671" i="29"/>
  <c r="L671" i="29" s="1"/>
  <c r="G868" i="29"/>
  <c r="L868" i="29" s="1"/>
  <c r="G1065" i="29"/>
  <c r="L1065" i="29" s="1"/>
  <c r="G1262" i="29"/>
  <c r="L1262" i="29" s="1"/>
  <c r="G1459" i="29"/>
  <c r="L1459" i="29" s="1"/>
  <c r="G1656" i="29"/>
  <c r="L1656" i="29" s="1"/>
  <c r="G81" i="29"/>
  <c r="L81" i="29" s="1"/>
  <c r="G278" i="29"/>
  <c r="L278" i="29" s="1"/>
  <c r="G475" i="29"/>
  <c r="L475" i="29" s="1"/>
  <c r="G672" i="29"/>
  <c r="L672" i="29" s="1"/>
  <c r="G869" i="29"/>
  <c r="L869" i="29" s="1"/>
  <c r="G1066" i="29"/>
  <c r="L1066" i="29" s="1"/>
  <c r="G1263" i="29"/>
  <c r="L1263" i="29" s="1"/>
  <c r="G1460" i="29"/>
  <c r="L1460" i="29" s="1"/>
  <c r="G1657" i="29"/>
  <c r="L1657" i="29" s="1"/>
  <c r="G82" i="29"/>
  <c r="L82" i="29" s="1"/>
  <c r="G279" i="29"/>
  <c r="L279" i="29" s="1"/>
  <c r="G476" i="29"/>
  <c r="L476" i="29" s="1"/>
  <c r="G673" i="29"/>
  <c r="L673" i="29" s="1"/>
  <c r="G870" i="29"/>
  <c r="L870" i="29" s="1"/>
  <c r="G1067" i="29"/>
  <c r="L1067" i="29" s="1"/>
  <c r="G1264" i="29"/>
  <c r="L1264" i="29" s="1"/>
  <c r="G1461" i="29"/>
  <c r="L1461" i="29" s="1"/>
  <c r="G1658" i="29"/>
  <c r="L1658" i="29" s="1"/>
  <c r="G83" i="29"/>
  <c r="L83" i="29" s="1"/>
  <c r="G280" i="29"/>
  <c r="L280" i="29" s="1"/>
  <c r="G477" i="29"/>
  <c r="L477" i="29" s="1"/>
  <c r="G674" i="29"/>
  <c r="L674" i="29" s="1"/>
  <c r="G871" i="29"/>
  <c r="L871" i="29" s="1"/>
  <c r="G1068" i="29"/>
  <c r="L1068" i="29" s="1"/>
  <c r="G1265" i="29"/>
  <c r="L1265" i="29" s="1"/>
  <c r="G1462" i="29"/>
  <c r="L1462" i="29" s="1"/>
  <c r="G1659" i="29"/>
  <c r="L1659" i="29" s="1"/>
  <c r="G84" i="29"/>
  <c r="L84" i="29" s="1"/>
  <c r="G281" i="29"/>
  <c r="L281" i="29" s="1"/>
  <c r="G478" i="29"/>
  <c r="L478" i="29" s="1"/>
  <c r="G675" i="29"/>
  <c r="L675" i="29" s="1"/>
  <c r="G872" i="29"/>
  <c r="L872" i="29" s="1"/>
  <c r="G1069" i="29"/>
  <c r="L1069" i="29" s="1"/>
  <c r="G1266" i="29"/>
  <c r="L1266" i="29" s="1"/>
  <c r="G1463" i="29"/>
  <c r="L1463" i="29" s="1"/>
  <c r="G1660" i="29"/>
  <c r="L1660" i="29" s="1"/>
  <c r="G85" i="29"/>
  <c r="L85" i="29" s="1"/>
  <c r="G282" i="29"/>
  <c r="L282" i="29" s="1"/>
  <c r="G479" i="29"/>
  <c r="L479" i="29" s="1"/>
  <c r="G676" i="29"/>
  <c r="L676" i="29" s="1"/>
  <c r="G873" i="29"/>
  <c r="L873" i="29" s="1"/>
  <c r="G1070" i="29"/>
  <c r="L1070" i="29" s="1"/>
  <c r="G1267" i="29"/>
  <c r="L1267" i="29" s="1"/>
  <c r="G1464" i="29"/>
  <c r="L1464" i="29" s="1"/>
  <c r="G1661" i="29"/>
  <c r="L1661" i="29" s="1"/>
  <c r="G86" i="29"/>
  <c r="L86" i="29" s="1"/>
  <c r="G283" i="29"/>
  <c r="L283" i="29" s="1"/>
  <c r="G480" i="29"/>
  <c r="L480" i="29" s="1"/>
  <c r="G677" i="29"/>
  <c r="L677" i="29" s="1"/>
  <c r="G874" i="29"/>
  <c r="L874" i="29" s="1"/>
  <c r="G1071" i="29"/>
  <c r="L1071" i="29" s="1"/>
  <c r="G1268" i="29"/>
  <c r="L1268" i="29" s="1"/>
  <c r="G1465" i="29"/>
  <c r="L1465" i="29" s="1"/>
  <c r="G1662" i="29"/>
  <c r="L1662" i="29" s="1"/>
  <c r="G87" i="29"/>
  <c r="L87" i="29" s="1"/>
  <c r="G284" i="29"/>
  <c r="L284" i="29" s="1"/>
  <c r="G481" i="29"/>
  <c r="L481" i="29" s="1"/>
  <c r="G678" i="29"/>
  <c r="L678" i="29" s="1"/>
  <c r="G875" i="29"/>
  <c r="L875" i="29" s="1"/>
  <c r="G1072" i="29"/>
  <c r="L1072" i="29" s="1"/>
  <c r="G1269" i="29"/>
  <c r="L1269" i="29" s="1"/>
  <c r="G1466" i="29"/>
  <c r="L1466" i="29" s="1"/>
  <c r="G1663" i="29"/>
  <c r="L1663" i="29" s="1"/>
  <c r="G88" i="29"/>
  <c r="L88" i="29" s="1"/>
  <c r="G285" i="29"/>
  <c r="L285" i="29" s="1"/>
  <c r="G482" i="29"/>
  <c r="L482" i="29" s="1"/>
  <c r="G679" i="29"/>
  <c r="L679" i="29" s="1"/>
  <c r="G876" i="29"/>
  <c r="L876" i="29" s="1"/>
  <c r="G1073" i="29"/>
  <c r="L1073" i="29" s="1"/>
  <c r="G1270" i="29"/>
  <c r="L1270" i="29" s="1"/>
  <c r="G1467" i="29"/>
  <c r="L1467" i="29" s="1"/>
  <c r="G1664" i="29"/>
  <c r="L1664" i="29" s="1"/>
  <c r="G89" i="29"/>
  <c r="L89" i="29" s="1"/>
  <c r="G286" i="29"/>
  <c r="L286" i="29" s="1"/>
  <c r="G483" i="29"/>
  <c r="L483" i="29" s="1"/>
  <c r="G680" i="29"/>
  <c r="L680" i="29" s="1"/>
  <c r="G877" i="29"/>
  <c r="L877" i="29" s="1"/>
  <c r="G1074" i="29"/>
  <c r="L1074" i="29" s="1"/>
  <c r="G1271" i="29"/>
  <c r="L1271" i="29" s="1"/>
  <c r="G1468" i="29"/>
  <c r="L1468" i="29" s="1"/>
  <c r="G1665" i="29"/>
  <c r="L1665" i="29" s="1"/>
  <c r="G90" i="29"/>
  <c r="L90" i="29" s="1"/>
  <c r="G287" i="29"/>
  <c r="L287" i="29" s="1"/>
  <c r="G484" i="29"/>
  <c r="L484" i="29" s="1"/>
  <c r="G681" i="29"/>
  <c r="L681" i="29" s="1"/>
  <c r="G878" i="29"/>
  <c r="L878" i="29" s="1"/>
  <c r="G1075" i="29"/>
  <c r="L1075" i="29" s="1"/>
  <c r="G1272" i="29"/>
  <c r="L1272" i="29" s="1"/>
  <c r="G1469" i="29"/>
  <c r="L1469" i="29" s="1"/>
  <c r="G1666" i="29"/>
  <c r="L1666" i="29" s="1"/>
  <c r="G91" i="29"/>
  <c r="L91" i="29" s="1"/>
  <c r="G288" i="29"/>
  <c r="L288" i="29" s="1"/>
  <c r="G485" i="29"/>
  <c r="L485" i="29" s="1"/>
  <c r="G682" i="29"/>
  <c r="L682" i="29" s="1"/>
  <c r="G879" i="29"/>
  <c r="L879" i="29" s="1"/>
  <c r="G1076" i="29"/>
  <c r="L1076" i="29" s="1"/>
  <c r="G1273" i="29"/>
  <c r="L1273" i="29" s="1"/>
  <c r="G1470" i="29"/>
  <c r="L1470" i="29" s="1"/>
  <c r="G1667" i="29"/>
  <c r="L1667" i="29" s="1"/>
  <c r="G92" i="29"/>
  <c r="L92" i="29" s="1"/>
  <c r="G289" i="29"/>
  <c r="L289" i="29" s="1"/>
  <c r="G486" i="29"/>
  <c r="L486" i="29" s="1"/>
  <c r="G683" i="29"/>
  <c r="L683" i="29" s="1"/>
  <c r="G880" i="29"/>
  <c r="L880" i="29" s="1"/>
  <c r="G1077" i="29"/>
  <c r="L1077" i="29" s="1"/>
  <c r="G1274" i="29"/>
  <c r="L1274" i="29" s="1"/>
  <c r="G1471" i="29"/>
  <c r="L1471" i="29" s="1"/>
  <c r="G1668" i="29"/>
  <c r="L1668" i="29" s="1"/>
  <c r="G93" i="29"/>
  <c r="L93" i="29" s="1"/>
  <c r="G290" i="29"/>
  <c r="L290" i="29" s="1"/>
  <c r="G487" i="29"/>
  <c r="L487" i="29" s="1"/>
  <c r="G684" i="29"/>
  <c r="L684" i="29" s="1"/>
  <c r="G881" i="29"/>
  <c r="L881" i="29" s="1"/>
  <c r="G1078" i="29"/>
  <c r="L1078" i="29" s="1"/>
  <c r="G1275" i="29"/>
  <c r="L1275" i="29" s="1"/>
  <c r="G1472" i="29"/>
  <c r="L1472" i="29" s="1"/>
  <c r="G1669" i="29"/>
  <c r="L1669" i="29" s="1"/>
  <c r="G94" i="29"/>
  <c r="L94" i="29" s="1"/>
  <c r="G291" i="29"/>
  <c r="L291" i="29" s="1"/>
  <c r="G488" i="29"/>
  <c r="L488" i="29" s="1"/>
  <c r="G685" i="29"/>
  <c r="L685" i="29" s="1"/>
  <c r="G882" i="29"/>
  <c r="L882" i="29" s="1"/>
  <c r="G1079" i="29"/>
  <c r="L1079" i="29" s="1"/>
  <c r="G1276" i="29"/>
  <c r="L1276" i="29" s="1"/>
  <c r="G1473" i="29"/>
  <c r="L1473" i="29" s="1"/>
  <c r="G1670" i="29"/>
  <c r="L1670" i="29" s="1"/>
  <c r="G95" i="29"/>
  <c r="L95" i="29" s="1"/>
  <c r="G292" i="29"/>
  <c r="L292" i="29" s="1"/>
  <c r="G489" i="29"/>
  <c r="L489" i="29" s="1"/>
  <c r="G686" i="29"/>
  <c r="L686" i="29" s="1"/>
  <c r="G883" i="29"/>
  <c r="L883" i="29" s="1"/>
  <c r="G1080" i="29"/>
  <c r="L1080" i="29" s="1"/>
  <c r="G1277" i="29"/>
  <c r="L1277" i="29" s="1"/>
  <c r="G1474" i="29"/>
  <c r="L1474" i="29" s="1"/>
  <c r="G1671" i="29"/>
  <c r="L1671" i="29" s="1"/>
  <c r="G96" i="29"/>
  <c r="L96" i="29" s="1"/>
  <c r="G293" i="29"/>
  <c r="L293" i="29" s="1"/>
  <c r="G490" i="29"/>
  <c r="L490" i="29" s="1"/>
  <c r="G687" i="29"/>
  <c r="L687" i="29" s="1"/>
  <c r="G884" i="29"/>
  <c r="L884" i="29" s="1"/>
  <c r="G1081" i="29"/>
  <c r="L1081" i="29" s="1"/>
  <c r="G1278" i="29"/>
  <c r="L1278" i="29" s="1"/>
  <c r="G1475" i="29"/>
  <c r="L1475" i="29" s="1"/>
  <c r="G1672" i="29"/>
  <c r="L1672" i="29" s="1"/>
  <c r="G97" i="29"/>
  <c r="L97" i="29" s="1"/>
  <c r="G294" i="29"/>
  <c r="L294" i="29" s="1"/>
  <c r="G491" i="29"/>
  <c r="L491" i="29" s="1"/>
  <c r="G688" i="29"/>
  <c r="L688" i="29" s="1"/>
  <c r="G885" i="29"/>
  <c r="L885" i="29" s="1"/>
  <c r="G1082" i="29"/>
  <c r="L1082" i="29" s="1"/>
  <c r="G1279" i="29"/>
  <c r="L1279" i="29" s="1"/>
  <c r="G1476" i="29"/>
  <c r="L1476" i="29" s="1"/>
  <c r="G1673" i="29"/>
  <c r="L1673" i="29" s="1"/>
  <c r="G98" i="29"/>
  <c r="L98" i="29" s="1"/>
  <c r="G295" i="29"/>
  <c r="L295" i="29" s="1"/>
  <c r="G492" i="29"/>
  <c r="L492" i="29" s="1"/>
  <c r="G689" i="29"/>
  <c r="L689" i="29" s="1"/>
  <c r="G886" i="29"/>
  <c r="L886" i="29" s="1"/>
  <c r="G1083" i="29"/>
  <c r="L1083" i="29" s="1"/>
  <c r="G1280" i="29"/>
  <c r="L1280" i="29" s="1"/>
  <c r="G1477" i="29"/>
  <c r="L1477" i="29" s="1"/>
  <c r="G1674" i="29"/>
  <c r="L1674" i="29" s="1"/>
  <c r="G99" i="29"/>
  <c r="L99" i="29" s="1"/>
  <c r="G296" i="29"/>
  <c r="L296" i="29" s="1"/>
  <c r="G493" i="29"/>
  <c r="L493" i="29" s="1"/>
  <c r="G690" i="29"/>
  <c r="L690" i="29" s="1"/>
  <c r="G887" i="29"/>
  <c r="L887" i="29" s="1"/>
  <c r="G1084" i="29"/>
  <c r="L1084" i="29" s="1"/>
  <c r="G1281" i="29"/>
  <c r="L1281" i="29" s="1"/>
  <c r="G1478" i="29"/>
  <c r="L1478" i="29" s="1"/>
  <c r="G1675" i="29"/>
  <c r="L1675" i="29" s="1"/>
  <c r="G100" i="29"/>
  <c r="L100" i="29" s="1"/>
  <c r="G297" i="29"/>
  <c r="L297" i="29" s="1"/>
  <c r="G494" i="29"/>
  <c r="L494" i="29" s="1"/>
  <c r="G691" i="29"/>
  <c r="L691" i="29" s="1"/>
  <c r="G888" i="29"/>
  <c r="L888" i="29" s="1"/>
  <c r="G1085" i="29"/>
  <c r="L1085" i="29" s="1"/>
  <c r="G1282" i="29"/>
  <c r="L1282" i="29" s="1"/>
  <c r="G1479" i="29"/>
  <c r="L1479" i="29" s="1"/>
  <c r="G1676" i="29"/>
  <c r="L1676" i="29" s="1"/>
  <c r="G101" i="29"/>
  <c r="L101" i="29" s="1"/>
  <c r="G298" i="29"/>
  <c r="L298" i="29" s="1"/>
  <c r="G495" i="29"/>
  <c r="L495" i="29" s="1"/>
  <c r="G692" i="29"/>
  <c r="L692" i="29" s="1"/>
  <c r="G889" i="29"/>
  <c r="L889" i="29" s="1"/>
  <c r="G1086" i="29"/>
  <c r="L1086" i="29" s="1"/>
  <c r="G1283" i="29"/>
  <c r="L1283" i="29" s="1"/>
  <c r="G1480" i="29"/>
  <c r="L1480" i="29" s="1"/>
  <c r="G1677" i="29"/>
  <c r="L1677" i="29" s="1"/>
  <c r="G102" i="29"/>
  <c r="G299" i="29"/>
  <c r="G496" i="29"/>
  <c r="G693" i="29"/>
  <c r="G890" i="29"/>
  <c r="G1087" i="29"/>
  <c r="G1284" i="29"/>
  <c r="G1481" i="29"/>
  <c r="G1678" i="29"/>
  <c r="G103" i="29"/>
  <c r="L103" i="29" s="1"/>
  <c r="G300" i="29"/>
  <c r="L300" i="29" s="1"/>
  <c r="G497" i="29"/>
  <c r="L497" i="29" s="1"/>
  <c r="G694" i="29"/>
  <c r="L694" i="29" s="1"/>
  <c r="G891" i="29"/>
  <c r="L891" i="29" s="1"/>
  <c r="G1088" i="29"/>
  <c r="L1088" i="29" s="1"/>
  <c r="G1285" i="29"/>
  <c r="L1285" i="29" s="1"/>
  <c r="G1482" i="29"/>
  <c r="L1482" i="29" s="1"/>
  <c r="G1679" i="29"/>
  <c r="L1679" i="29" s="1"/>
  <c r="G104" i="29"/>
  <c r="L104" i="29" s="1"/>
  <c r="G301" i="29"/>
  <c r="L301" i="29" s="1"/>
  <c r="G498" i="29"/>
  <c r="L498" i="29" s="1"/>
  <c r="G695" i="29"/>
  <c r="L695" i="29" s="1"/>
  <c r="G892" i="29"/>
  <c r="L892" i="29" s="1"/>
  <c r="G1089" i="29"/>
  <c r="L1089" i="29" s="1"/>
  <c r="G1286" i="29"/>
  <c r="L1286" i="29" s="1"/>
  <c r="G1483" i="29"/>
  <c r="L1483" i="29" s="1"/>
  <c r="G1680" i="29"/>
  <c r="L1680" i="29" s="1"/>
  <c r="G105" i="29"/>
  <c r="L105" i="29" s="1"/>
  <c r="G302" i="29"/>
  <c r="L302" i="29" s="1"/>
  <c r="G499" i="29"/>
  <c r="L499" i="29" s="1"/>
  <c r="G696" i="29"/>
  <c r="L696" i="29" s="1"/>
  <c r="G893" i="29"/>
  <c r="L893" i="29" s="1"/>
  <c r="G1090" i="29"/>
  <c r="L1090" i="29" s="1"/>
  <c r="G1287" i="29"/>
  <c r="L1287" i="29" s="1"/>
  <c r="G1484" i="29"/>
  <c r="L1484" i="29" s="1"/>
  <c r="G1681" i="29"/>
  <c r="L1681" i="29" s="1"/>
  <c r="G106" i="29"/>
  <c r="L106" i="29" s="1"/>
  <c r="G303" i="29"/>
  <c r="L303" i="29" s="1"/>
  <c r="G500" i="29"/>
  <c r="L500" i="29" s="1"/>
  <c r="G697" i="29"/>
  <c r="L697" i="29" s="1"/>
  <c r="G894" i="29"/>
  <c r="L894" i="29" s="1"/>
  <c r="G1091" i="29"/>
  <c r="L1091" i="29" s="1"/>
  <c r="G1288" i="29"/>
  <c r="L1288" i="29" s="1"/>
  <c r="G1485" i="29"/>
  <c r="L1485" i="29" s="1"/>
  <c r="G1682" i="29"/>
  <c r="L1682" i="29" s="1"/>
  <c r="G107" i="29"/>
  <c r="L107" i="29" s="1"/>
  <c r="G304" i="29"/>
  <c r="L304" i="29" s="1"/>
  <c r="G501" i="29"/>
  <c r="L501" i="29" s="1"/>
  <c r="G698" i="29"/>
  <c r="L698" i="29" s="1"/>
  <c r="G895" i="29"/>
  <c r="L895" i="29" s="1"/>
  <c r="G1092" i="29"/>
  <c r="L1092" i="29" s="1"/>
  <c r="G1289" i="29"/>
  <c r="L1289" i="29" s="1"/>
  <c r="G1486" i="29"/>
  <c r="L1486" i="29" s="1"/>
  <c r="G1683" i="29"/>
  <c r="L1683" i="29" s="1"/>
  <c r="G108" i="29"/>
  <c r="L108" i="29" s="1"/>
  <c r="G305" i="29"/>
  <c r="L305" i="29" s="1"/>
  <c r="G502" i="29"/>
  <c r="L502" i="29" s="1"/>
  <c r="G699" i="29"/>
  <c r="L699" i="29" s="1"/>
  <c r="G896" i="29"/>
  <c r="L896" i="29" s="1"/>
  <c r="G1093" i="29"/>
  <c r="L1093" i="29" s="1"/>
  <c r="G1290" i="29"/>
  <c r="L1290" i="29" s="1"/>
  <c r="G1487" i="29"/>
  <c r="L1487" i="29" s="1"/>
  <c r="G1684" i="29"/>
  <c r="L1684" i="29" s="1"/>
  <c r="G109" i="29"/>
  <c r="L109" i="29" s="1"/>
  <c r="G306" i="29"/>
  <c r="L306" i="29" s="1"/>
  <c r="G503" i="29"/>
  <c r="L503" i="29" s="1"/>
  <c r="G700" i="29"/>
  <c r="L700" i="29" s="1"/>
  <c r="G897" i="29"/>
  <c r="L897" i="29" s="1"/>
  <c r="G1094" i="29"/>
  <c r="L1094" i="29" s="1"/>
  <c r="G1291" i="29"/>
  <c r="L1291" i="29" s="1"/>
  <c r="G1488" i="29"/>
  <c r="L1488" i="29" s="1"/>
  <c r="G1685" i="29"/>
  <c r="L1685" i="29" s="1"/>
  <c r="G110" i="29"/>
  <c r="L110" i="29" s="1"/>
  <c r="G307" i="29"/>
  <c r="L307" i="29" s="1"/>
  <c r="G504" i="29"/>
  <c r="L504" i="29" s="1"/>
  <c r="G701" i="29"/>
  <c r="L701" i="29" s="1"/>
  <c r="G898" i="29"/>
  <c r="L898" i="29" s="1"/>
  <c r="G1095" i="29"/>
  <c r="L1095" i="29" s="1"/>
  <c r="G1292" i="29"/>
  <c r="L1292" i="29" s="1"/>
  <c r="G1489" i="29"/>
  <c r="L1489" i="29" s="1"/>
  <c r="G1686" i="29"/>
  <c r="L1686" i="29" s="1"/>
  <c r="G111" i="29"/>
  <c r="L111" i="29" s="1"/>
  <c r="G308" i="29"/>
  <c r="L308" i="29" s="1"/>
  <c r="G505" i="29"/>
  <c r="L505" i="29" s="1"/>
  <c r="G702" i="29"/>
  <c r="L702" i="29" s="1"/>
  <c r="G899" i="29"/>
  <c r="L899" i="29" s="1"/>
  <c r="G1096" i="29"/>
  <c r="L1096" i="29" s="1"/>
  <c r="G1293" i="29"/>
  <c r="L1293" i="29" s="1"/>
  <c r="G1490" i="29"/>
  <c r="L1490" i="29" s="1"/>
  <c r="G1687" i="29"/>
  <c r="L1687" i="29" s="1"/>
  <c r="G112" i="29"/>
  <c r="L112" i="29" s="1"/>
  <c r="G309" i="29"/>
  <c r="L309" i="29" s="1"/>
  <c r="G506" i="29"/>
  <c r="L506" i="29" s="1"/>
  <c r="G703" i="29"/>
  <c r="L703" i="29" s="1"/>
  <c r="G900" i="29"/>
  <c r="L900" i="29" s="1"/>
  <c r="G1097" i="29"/>
  <c r="L1097" i="29" s="1"/>
  <c r="G1294" i="29"/>
  <c r="L1294" i="29" s="1"/>
  <c r="G1491" i="29"/>
  <c r="L1491" i="29" s="1"/>
  <c r="G1688" i="29"/>
  <c r="L1688" i="29" s="1"/>
  <c r="G113" i="29"/>
  <c r="L113" i="29" s="1"/>
  <c r="G310" i="29"/>
  <c r="L310" i="29" s="1"/>
  <c r="G507" i="29"/>
  <c r="L507" i="29" s="1"/>
  <c r="G704" i="29"/>
  <c r="L704" i="29" s="1"/>
  <c r="G901" i="29"/>
  <c r="L901" i="29" s="1"/>
  <c r="G1098" i="29"/>
  <c r="L1098" i="29" s="1"/>
  <c r="G1295" i="29"/>
  <c r="L1295" i="29" s="1"/>
  <c r="G1492" i="29"/>
  <c r="L1492" i="29" s="1"/>
  <c r="G1689" i="29"/>
  <c r="L1689" i="29" s="1"/>
  <c r="G114" i="29"/>
  <c r="L114" i="29" s="1"/>
  <c r="G311" i="29"/>
  <c r="L311" i="29" s="1"/>
  <c r="G508" i="29"/>
  <c r="L508" i="29" s="1"/>
  <c r="G705" i="29"/>
  <c r="L705" i="29" s="1"/>
  <c r="G902" i="29"/>
  <c r="L902" i="29" s="1"/>
  <c r="G1099" i="29"/>
  <c r="L1099" i="29" s="1"/>
  <c r="G1296" i="29"/>
  <c r="L1296" i="29" s="1"/>
  <c r="G1493" i="29"/>
  <c r="L1493" i="29" s="1"/>
  <c r="G1690" i="29"/>
  <c r="L1690" i="29" s="1"/>
  <c r="G115" i="29"/>
  <c r="L115" i="29" s="1"/>
  <c r="G312" i="29"/>
  <c r="L312" i="29" s="1"/>
  <c r="G509" i="29"/>
  <c r="L509" i="29" s="1"/>
  <c r="G706" i="29"/>
  <c r="L706" i="29" s="1"/>
  <c r="G903" i="29"/>
  <c r="L903" i="29" s="1"/>
  <c r="G1100" i="29"/>
  <c r="L1100" i="29" s="1"/>
  <c r="G1297" i="29"/>
  <c r="L1297" i="29" s="1"/>
  <c r="G1494" i="29"/>
  <c r="L1494" i="29" s="1"/>
  <c r="G1691" i="29"/>
  <c r="L1691" i="29" s="1"/>
  <c r="G116" i="29"/>
  <c r="L116" i="29" s="1"/>
  <c r="G313" i="29"/>
  <c r="L313" i="29" s="1"/>
  <c r="G510" i="29"/>
  <c r="L510" i="29" s="1"/>
  <c r="G707" i="29"/>
  <c r="L707" i="29" s="1"/>
  <c r="G904" i="29"/>
  <c r="L904" i="29" s="1"/>
  <c r="G1101" i="29"/>
  <c r="L1101" i="29" s="1"/>
  <c r="G1298" i="29"/>
  <c r="L1298" i="29" s="1"/>
  <c r="G1495" i="29"/>
  <c r="L1495" i="29" s="1"/>
  <c r="G1692" i="29"/>
  <c r="L1692" i="29" s="1"/>
  <c r="G117" i="29"/>
  <c r="L117" i="29" s="1"/>
  <c r="G314" i="29"/>
  <c r="L314" i="29" s="1"/>
  <c r="G511" i="29"/>
  <c r="L511" i="29" s="1"/>
  <c r="G708" i="29"/>
  <c r="L708" i="29" s="1"/>
  <c r="G905" i="29"/>
  <c r="L905" i="29" s="1"/>
  <c r="G1102" i="29"/>
  <c r="L1102" i="29" s="1"/>
  <c r="G1299" i="29"/>
  <c r="L1299" i="29" s="1"/>
  <c r="G1496" i="29"/>
  <c r="L1496" i="29" s="1"/>
  <c r="G1693" i="29"/>
  <c r="L1693" i="29" s="1"/>
  <c r="G118" i="29"/>
  <c r="L118" i="29" s="1"/>
  <c r="G315" i="29"/>
  <c r="L315" i="29" s="1"/>
  <c r="G512" i="29"/>
  <c r="L512" i="29" s="1"/>
  <c r="G709" i="29"/>
  <c r="L709" i="29" s="1"/>
  <c r="G906" i="29"/>
  <c r="L906" i="29" s="1"/>
  <c r="G1103" i="29"/>
  <c r="L1103" i="29" s="1"/>
  <c r="G1300" i="29"/>
  <c r="L1300" i="29" s="1"/>
  <c r="G1497" i="29"/>
  <c r="L1497" i="29" s="1"/>
  <c r="G1694" i="29"/>
  <c r="L1694" i="29" s="1"/>
  <c r="G119" i="29"/>
  <c r="L119" i="29" s="1"/>
  <c r="G316" i="29"/>
  <c r="L316" i="29" s="1"/>
  <c r="G513" i="29"/>
  <c r="L513" i="29" s="1"/>
  <c r="G710" i="29"/>
  <c r="L710" i="29" s="1"/>
  <c r="G907" i="29"/>
  <c r="L907" i="29" s="1"/>
  <c r="G1104" i="29"/>
  <c r="L1104" i="29" s="1"/>
  <c r="G1301" i="29"/>
  <c r="L1301" i="29" s="1"/>
  <c r="G1498" i="29"/>
  <c r="L1498" i="29" s="1"/>
  <c r="G1695" i="29"/>
  <c r="L1695" i="29" s="1"/>
  <c r="G120" i="29"/>
  <c r="L120" i="29" s="1"/>
  <c r="G317" i="29"/>
  <c r="L317" i="29" s="1"/>
  <c r="G514" i="29"/>
  <c r="L514" i="29" s="1"/>
  <c r="G711" i="29"/>
  <c r="L711" i="29" s="1"/>
  <c r="G908" i="29"/>
  <c r="L908" i="29" s="1"/>
  <c r="G1105" i="29"/>
  <c r="L1105" i="29" s="1"/>
  <c r="G1302" i="29"/>
  <c r="L1302" i="29" s="1"/>
  <c r="G1499" i="29"/>
  <c r="L1499" i="29" s="1"/>
  <c r="G1696" i="29"/>
  <c r="L1696" i="29" s="1"/>
  <c r="G121" i="29"/>
  <c r="L121" i="29" s="1"/>
  <c r="G318" i="29"/>
  <c r="L318" i="29" s="1"/>
  <c r="G515" i="29"/>
  <c r="L515" i="29" s="1"/>
  <c r="G712" i="29"/>
  <c r="L712" i="29" s="1"/>
  <c r="G909" i="29"/>
  <c r="L909" i="29" s="1"/>
  <c r="G1106" i="29"/>
  <c r="L1106" i="29" s="1"/>
  <c r="G1303" i="29"/>
  <c r="L1303" i="29" s="1"/>
  <c r="G1500" i="29"/>
  <c r="L1500" i="29" s="1"/>
  <c r="G1697" i="29"/>
  <c r="L1697" i="29" s="1"/>
  <c r="G122" i="29"/>
  <c r="L122" i="29" s="1"/>
  <c r="G319" i="29"/>
  <c r="L319" i="29" s="1"/>
  <c r="G516" i="29"/>
  <c r="L516" i="29" s="1"/>
  <c r="G713" i="29"/>
  <c r="L713" i="29" s="1"/>
  <c r="G910" i="29"/>
  <c r="L910" i="29" s="1"/>
  <c r="G1107" i="29"/>
  <c r="L1107" i="29" s="1"/>
  <c r="G1304" i="29"/>
  <c r="L1304" i="29" s="1"/>
  <c r="G1501" i="29"/>
  <c r="L1501" i="29" s="1"/>
  <c r="G1698" i="29"/>
  <c r="L1698" i="29" s="1"/>
  <c r="G123" i="29"/>
  <c r="L123" i="29" s="1"/>
  <c r="G320" i="29"/>
  <c r="L320" i="29" s="1"/>
  <c r="G517" i="29"/>
  <c r="L517" i="29" s="1"/>
  <c r="G714" i="29"/>
  <c r="L714" i="29" s="1"/>
  <c r="G911" i="29"/>
  <c r="L911" i="29" s="1"/>
  <c r="G1108" i="29"/>
  <c r="L1108" i="29" s="1"/>
  <c r="G1305" i="29"/>
  <c r="L1305" i="29" s="1"/>
  <c r="G1502" i="29"/>
  <c r="L1502" i="29" s="1"/>
  <c r="G1699" i="29"/>
  <c r="L1699" i="29" s="1"/>
  <c r="G124" i="29"/>
  <c r="L124" i="29" s="1"/>
  <c r="G321" i="29"/>
  <c r="L321" i="29" s="1"/>
  <c r="G518" i="29"/>
  <c r="L518" i="29" s="1"/>
  <c r="G715" i="29"/>
  <c r="L715" i="29" s="1"/>
  <c r="G912" i="29"/>
  <c r="L912" i="29" s="1"/>
  <c r="G1109" i="29"/>
  <c r="L1109" i="29" s="1"/>
  <c r="G1306" i="29"/>
  <c r="L1306" i="29" s="1"/>
  <c r="G1503" i="29"/>
  <c r="L1503" i="29" s="1"/>
  <c r="G1700" i="29"/>
  <c r="L1700" i="29" s="1"/>
  <c r="G125" i="29"/>
  <c r="L125" i="29" s="1"/>
  <c r="G322" i="29"/>
  <c r="L322" i="29" s="1"/>
  <c r="G519" i="29"/>
  <c r="L519" i="29" s="1"/>
  <c r="G716" i="29"/>
  <c r="L716" i="29" s="1"/>
  <c r="G913" i="29"/>
  <c r="L913" i="29" s="1"/>
  <c r="G1110" i="29"/>
  <c r="L1110" i="29" s="1"/>
  <c r="G1307" i="29"/>
  <c r="L1307" i="29" s="1"/>
  <c r="G1504" i="29"/>
  <c r="L1504" i="29" s="1"/>
  <c r="G1701" i="29"/>
  <c r="L1701" i="29" s="1"/>
  <c r="G126" i="29"/>
  <c r="L126" i="29" s="1"/>
  <c r="G323" i="29"/>
  <c r="L323" i="29" s="1"/>
  <c r="G520" i="29"/>
  <c r="L520" i="29" s="1"/>
  <c r="G717" i="29"/>
  <c r="L717" i="29" s="1"/>
  <c r="G914" i="29"/>
  <c r="L914" i="29" s="1"/>
  <c r="G1111" i="29"/>
  <c r="L1111" i="29" s="1"/>
  <c r="G1308" i="29"/>
  <c r="L1308" i="29" s="1"/>
  <c r="G1505" i="29"/>
  <c r="L1505" i="29" s="1"/>
  <c r="G1702" i="29"/>
  <c r="L1702" i="29" s="1"/>
  <c r="G127" i="29"/>
  <c r="L127" i="29" s="1"/>
  <c r="G324" i="29"/>
  <c r="L324" i="29" s="1"/>
  <c r="G521" i="29"/>
  <c r="L521" i="29" s="1"/>
  <c r="G718" i="29"/>
  <c r="L718" i="29" s="1"/>
  <c r="G915" i="29"/>
  <c r="L915" i="29" s="1"/>
  <c r="G1112" i="29"/>
  <c r="L1112" i="29" s="1"/>
  <c r="G1309" i="29"/>
  <c r="L1309" i="29" s="1"/>
  <c r="G1506" i="29"/>
  <c r="L1506" i="29" s="1"/>
  <c r="G1703" i="29"/>
  <c r="L1703" i="29" s="1"/>
  <c r="G128" i="29"/>
  <c r="L128" i="29" s="1"/>
  <c r="G325" i="29"/>
  <c r="L325" i="29" s="1"/>
  <c r="G522" i="29"/>
  <c r="L522" i="29" s="1"/>
  <c r="G719" i="29"/>
  <c r="L719" i="29" s="1"/>
  <c r="G916" i="29"/>
  <c r="L916" i="29" s="1"/>
  <c r="G1113" i="29"/>
  <c r="L1113" i="29" s="1"/>
  <c r="G1310" i="29"/>
  <c r="L1310" i="29" s="1"/>
  <c r="G1507" i="29"/>
  <c r="L1507" i="29" s="1"/>
  <c r="G1704" i="29"/>
  <c r="L1704" i="29" s="1"/>
  <c r="G129" i="29"/>
  <c r="L129" i="29" s="1"/>
  <c r="G326" i="29"/>
  <c r="L326" i="29" s="1"/>
  <c r="G523" i="29"/>
  <c r="L523" i="29" s="1"/>
  <c r="G720" i="29"/>
  <c r="L720" i="29" s="1"/>
  <c r="G917" i="29"/>
  <c r="L917" i="29" s="1"/>
  <c r="G1114" i="29"/>
  <c r="L1114" i="29" s="1"/>
  <c r="G1311" i="29"/>
  <c r="L1311" i="29" s="1"/>
  <c r="G1508" i="29"/>
  <c r="L1508" i="29" s="1"/>
  <c r="G1705" i="29"/>
  <c r="L1705" i="29" s="1"/>
  <c r="G130" i="29"/>
  <c r="L130" i="29" s="1"/>
  <c r="G327" i="29"/>
  <c r="L327" i="29" s="1"/>
  <c r="G524" i="29"/>
  <c r="L524" i="29" s="1"/>
  <c r="G721" i="29"/>
  <c r="L721" i="29" s="1"/>
  <c r="G918" i="29"/>
  <c r="L918" i="29" s="1"/>
  <c r="G1115" i="29"/>
  <c r="L1115" i="29" s="1"/>
  <c r="G1312" i="29"/>
  <c r="L1312" i="29" s="1"/>
  <c r="G1509" i="29"/>
  <c r="L1509" i="29" s="1"/>
  <c r="G1706" i="29"/>
  <c r="L1706" i="29" s="1"/>
  <c r="G131" i="29"/>
  <c r="L131" i="29" s="1"/>
  <c r="G328" i="29"/>
  <c r="L328" i="29" s="1"/>
  <c r="G525" i="29"/>
  <c r="L525" i="29" s="1"/>
  <c r="G722" i="29"/>
  <c r="L722" i="29" s="1"/>
  <c r="G919" i="29"/>
  <c r="L919" i="29" s="1"/>
  <c r="G1116" i="29"/>
  <c r="L1116" i="29" s="1"/>
  <c r="G1313" i="29"/>
  <c r="L1313" i="29" s="1"/>
  <c r="G1510" i="29"/>
  <c r="L1510" i="29" s="1"/>
  <c r="G1707" i="29"/>
  <c r="L1707" i="29" s="1"/>
  <c r="G132" i="29"/>
  <c r="L132" i="29" s="1"/>
  <c r="G329" i="29"/>
  <c r="L329" i="29" s="1"/>
  <c r="G526" i="29"/>
  <c r="L526" i="29" s="1"/>
  <c r="G723" i="29"/>
  <c r="L723" i="29" s="1"/>
  <c r="G920" i="29"/>
  <c r="L920" i="29" s="1"/>
  <c r="G1117" i="29"/>
  <c r="L1117" i="29" s="1"/>
  <c r="G1314" i="29"/>
  <c r="L1314" i="29" s="1"/>
  <c r="G1511" i="29"/>
  <c r="L1511" i="29" s="1"/>
  <c r="G1708" i="29"/>
  <c r="L1708" i="29" s="1"/>
  <c r="G133" i="29"/>
  <c r="L133" i="29" s="1"/>
  <c r="G330" i="29"/>
  <c r="L330" i="29" s="1"/>
  <c r="G527" i="29"/>
  <c r="L527" i="29" s="1"/>
  <c r="G724" i="29"/>
  <c r="L724" i="29" s="1"/>
  <c r="G921" i="29"/>
  <c r="L921" i="29" s="1"/>
  <c r="G1118" i="29"/>
  <c r="L1118" i="29" s="1"/>
  <c r="G1315" i="29"/>
  <c r="L1315" i="29" s="1"/>
  <c r="G1512" i="29"/>
  <c r="L1512" i="29" s="1"/>
  <c r="G1709" i="29"/>
  <c r="L1709" i="29" s="1"/>
  <c r="G134" i="29"/>
  <c r="L134" i="29" s="1"/>
  <c r="G331" i="29"/>
  <c r="L331" i="29" s="1"/>
  <c r="G528" i="29"/>
  <c r="L528" i="29" s="1"/>
  <c r="G725" i="29"/>
  <c r="L725" i="29" s="1"/>
  <c r="G922" i="29"/>
  <c r="L922" i="29" s="1"/>
  <c r="G1119" i="29"/>
  <c r="L1119" i="29" s="1"/>
  <c r="G1316" i="29"/>
  <c r="L1316" i="29" s="1"/>
  <c r="G1513" i="29"/>
  <c r="L1513" i="29" s="1"/>
  <c r="G1710" i="29"/>
  <c r="L1710" i="29" s="1"/>
  <c r="G135" i="29"/>
  <c r="L135" i="29" s="1"/>
  <c r="G332" i="29"/>
  <c r="L332" i="29" s="1"/>
  <c r="G529" i="29"/>
  <c r="L529" i="29" s="1"/>
  <c r="G726" i="29"/>
  <c r="L726" i="29" s="1"/>
  <c r="G923" i="29"/>
  <c r="L923" i="29" s="1"/>
  <c r="G1120" i="29"/>
  <c r="L1120" i="29" s="1"/>
  <c r="G1317" i="29"/>
  <c r="L1317" i="29" s="1"/>
  <c r="G1514" i="29"/>
  <c r="L1514" i="29" s="1"/>
  <c r="G1711" i="29"/>
  <c r="L1711" i="29" s="1"/>
  <c r="G136" i="29"/>
  <c r="L136" i="29" s="1"/>
  <c r="G333" i="29"/>
  <c r="L333" i="29" s="1"/>
  <c r="G530" i="29"/>
  <c r="L530" i="29" s="1"/>
  <c r="G727" i="29"/>
  <c r="L727" i="29" s="1"/>
  <c r="G924" i="29"/>
  <c r="L924" i="29" s="1"/>
  <c r="G1121" i="29"/>
  <c r="L1121" i="29" s="1"/>
  <c r="G1318" i="29"/>
  <c r="L1318" i="29" s="1"/>
  <c r="G1515" i="29"/>
  <c r="L1515" i="29" s="1"/>
  <c r="G1712" i="29"/>
  <c r="L1712" i="29" s="1"/>
  <c r="G137" i="29"/>
  <c r="L137" i="29" s="1"/>
  <c r="G334" i="29"/>
  <c r="L334" i="29" s="1"/>
  <c r="G531" i="29"/>
  <c r="L531" i="29" s="1"/>
  <c r="G728" i="29"/>
  <c r="L728" i="29" s="1"/>
  <c r="G925" i="29"/>
  <c r="L925" i="29" s="1"/>
  <c r="G1122" i="29"/>
  <c r="L1122" i="29" s="1"/>
  <c r="G1319" i="29"/>
  <c r="L1319" i="29" s="1"/>
  <c r="G1516" i="29"/>
  <c r="L1516" i="29" s="1"/>
  <c r="G1713" i="29"/>
  <c r="L1713" i="29" s="1"/>
  <c r="G138" i="29"/>
  <c r="L138" i="29" s="1"/>
  <c r="G335" i="29"/>
  <c r="L335" i="29" s="1"/>
  <c r="G532" i="29"/>
  <c r="L532" i="29" s="1"/>
  <c r="G729" i="29"/>
  <c r="L729" i="29" s="1"/>
  <c r="G926" i="29"/>
  <c r="L926" i="29" s="1"/>
  <c r="G1123" i="29"/>
  <c r="L1123" i="29" s="1"/>
  <c r="G1320" i="29"/>
  <c r="L1320" i="29" s="1"/>
  <c r="G1517" i="29"/>
  <c r="L1517" i="29" s="1"/>
  <c r="G1714" i="29"/>
  <c r="L1714" i="29" s="1"/>
  <c r="G139" i="29"/>
  <c r="L139" i="29" s="1"/>
  <c r="G336" i="29"/>
  <c r="L336" i="29" s="1"/>
  <c r="G533" i="29"/>
  <c r="L533" i="29" s="1"/>
  <c r="G730" i="29"/>
  <c r="L730" i="29" s="1"/>
  <c r="G927" i="29"/>
  <c r="L927" i="29" s="1"/>
  <c r="G1124" i="29"/>
  <c r="L1124" i="29" s="1"/>
  <c r="G1321" i="29"/>
  <c r="L1321" i="29" s="1"/>
  <c r="G1518" i="29"/>
  <c r="L1518" i="29" s="1"/>
  <c r="G1715" i="29"/>
  <c r="L1715" i="29" s="1"/>
  <c r="G140" i="29"/>
  <c r="L140" i="29" s="1"/>
  <c r="G337" i="29"/>
  <c r="L337" i="29" s="1"/>
  <c r="G534" i="29"/>
  <c r="L534" i="29" s="1"/>
  <c r="G731" i="29"/>
  <c r="L731" i="29" s="1"/>
  <c r="G928" i="29"/>
  <c r="L928" i="29" s="1"/>
  <c r="G1125" i="29"/>
  <c r="L1125" i="29" s="1"/>
  <c r="G1322" i="29"/>
  <c r="L1322" i="29" s="1"/>
  <c r="G1519" i="29"/>
  <c r="L1519" i="29" s="1"/>
  <c r="G1716" i="29"/>
  <c r="L1716" i="29" s="1"/>
  <c r="G141" i="29"/>
  <c r="L141" i="29" s="1"/>
  <c r="G338" i="29"/>
  <c r="L338" i="29" s="1"/>
  <c r="G535" i="29"/>
  <c r="L535" i="29" s="1"/>
  <c r="G732" i="29"/>
  <c r="L732" i="29" s="1"/>
  <c r="G929" i="29"/>
  <c r="L929" i="29" s="1"/>
  <c r="G1126" i="29"/>
  <c r="L1126" i="29" s="1"/>
  <c r="G1323" i="29"/>
  <c r="L1323" i="29" s="1"/>
  <c r="G1520" i="29"/>
  <c r="L1520" i="29" s="1"/>
  <c r="G1717" i="29"/>
  <c r="L1717" i="29" s="1"/>
  <c r="G142" i="29"/>
  <c r="L142" i="29" s="1"/>
  <c r="G339" i="29"/>
  <c r="L339" i="29" s="1"/>
  <c r="G536" i="29"/>
  <c r="L536" i="29" s="1"/>
  <c r="G733" i="29"/>
  <c r="L733" i="29" s="1"/>
  <c r="G930" i="29"/>
  <c r="L930" i="29" s="1"/>
  <c r="G1127" i="29"/>
  <c r="L1127" i="29" s="1"/>
  <c r="G1324" i="29"/>
  <c r="L1324" i="29" s="1"/>
  <c r="G1521" i="29"/>
  <c r="L1521" i="29" s="1"/>
  <c r="G1718" i="29"/>
  <c r="L1718" i="29" s="1"/>
  <c r="G143" i="29"/>
  <c r="L143" i="29" s="1"/>
  <c r="G340" i="29"/>
  <c r="L340" i="29" s="1"/>
  <c r="G537" i="29"/>
  <c r="L537" i="29" s="1"/>
  <c r="G734" i="29"/>
  <c r="L734" i="29" s="1"/>
  <c r="G931" i="29"/>
  <c r="L931" i="29" s="1"/>
  <c r="G1128" i="29"/>
  <c r="L1128" i="29" s="1"/>
  <c r="G1325" i="29"/>
  <c r="L1325" i="29" s="1"/>
  <c r="G1522" i="29"/>
  <c r="L1522" i="29" s="1"/>
  <c r="G1719" i="29"/>
  <c r="L1719" i="29" s="1"/>
  <c r="G144" i="29"/>
  <c r="L144" i="29" s="1"/>
  <c r="G341" i="29"/>
  <c r="L341" i="29" s="1"/>
  <c r="G538" i="29"/>
  <c r="L538" i="29" s="1"/>
  <c r="G735" i="29"/>
  <c r="L735" i="29" s="1"/>
  <c r="G932" i="29"/>
  <c r="L932" i="29" s="1"/>
  <c r="G1129" i="29"/>
  <c r="L1129" i="29" s="1"/>
  <c r="G1326" i="29"/>
  <c r="L1326" i="29" s="1"/>
  <c r="G1523" i="29"/>
  <c r="L1523" i="29" s="1"/>
  <c r="G1720" i="29"/>
  <c r="L1720" i="29" s="1"/>
  <c r="G145" i="29"/>
  <c r="L145" i="29" s="1"/>
  <c r="G342" i="29"/>
  <c r="L342" i="29" s="1"/>
  <c r="G539" i="29"/>
  <c r="L539" i="29" s="1"/>
  <c r="G736" i="29"/>
  <c r="L736" i="29" s="1"/>
  <c r="G933" i="29"/>
  <c r="L933" i="29" s="1"/>
  <c r="G1130" i="29"/>
  <c r="L1130" i="29" s="1"/>
  <c r="G1327" i="29"/>
  <c r="L1327" i="29" s="1"/>
  <c r="G1524" i="29"/>
  <c r="L1524" i="29" s="1"/>
  <c r="G1721" i="29"/>
  <c r="L1721" i="29" s="1"/>
  <c r="G146" i="29"/>
  <c r="L146" i="29" s="1"/>
  <c r="G343" i="29"/>
  <c r="L343" i="29" s="1"/>
  <c r="G540" i="29"/>
  <c r="L540" i="29" s="1"/>
  <c r="G737" i="29"/>
  <c r="L737" i="29" s="1"/>
  <c r="G934" i="29"/>
  <c r="L934" i="29" s="1"/>
  <c r="G1131" i="29"/>
  <c r="L1131" i="29" s="1"/>
  <c r="G1328" i="29"/>
  <c r="L1328" i="29" s="1"/>
  <c r="G1525" i="29"/>
  <c r="L1525" i="29" s="1"/>
  <c r="G1722" i="29"/>
  <c r="L1722" i="29" s="1"/>
  <c r="G147" i="29"/>
  <c r="L147" i="29" s="1"/>
  <c r="G344" i="29"/>
  <c r="L344" i="29" s="1"/>
  <c r="G541" i="29"/>
  <c r="L541" i="29" s="1"/>
  <c r="G738" i="29"/>
  <c r="L738" i="29" s="1"/>
  <c r="G935" i="29"/>
  <c r="L935" i="29" s="1"/>
  <c r="G1132" i="29"/>
  <c r="L1132" i="29" s="1"/>
  <c r="G1329" i="29"/>
  <c r="L1329" i="29" s="1"/>
  <c r="G1526" i="29"/>
  <c r="L1526" i="29" s="1"/>
  <c r="G1723" i="29"/>
  <c r="L1723" i="29" s="1"/>
  <c r="G148" i="29"/>
  <c r="L148" i="29" s="1"/>
  <c r="G345" i="29"/>
  <c r="L345" i="29" s="1"/>
  <c r="G542" i="29"/>
  <c r="L542" i="29" s="1"/>
  <c r="G739" i="29"/>
  <c r="L739" i="29" s="1"/>
  <c r="G936" i="29"/>
  <c r="L936" i="29" s="1"/>
  <c r="G1133" i="29"/>
  <c r="L1133" i="29" s="1"/>
  <c r="G1330" i="29"/>
  <c r="L1330" i="29" s="1"/>
  <c r="G1527" i="29"/>
  <c r="L1527" i="29" s="1"/>
  <c r="G1724" i="29"/>
  <c r="L1724" i="29" s="1"/>
  <c r="G149" i="29"/>
  <c r="L149" i="29" s="1"/>
  <c r="G346" i="29"/>
  <c r="L346" i="29" s="1"/>
  <c r="G543" i="29"/>
  <c r="L543" i="29" s="1"/>
  <c r="G740" i="29"/>
  <c r="L740" i="29" s="1"/>
  <c r="G937" i="29"/>
  <c r="L937" i="29" s="1"/>
  <c r="G1134" i="29"/>
  <c r="L1134" i="29" s="1"/>
  <c r="G1331" i="29"/>
  <c r="L1331" i="29" s="1"/>
  <c r="G1528" i="29"/>
  <c r="L1528" i="29" s="1"/>
  <c r="G1725" i="29"/>
  <c r="L1725" i="29" s="1"/>
  <c r="G150" i="29"/>
  <c r="L150" i="29" s="1"/>
  <c r="G347" i="29"/>
  <c r="L347" i="29" s="1"/>
  <c r="G544" i="29"/>
  <c r="L544" i="29" s="1"/>
  <c r="G741" i="29"/>
  <c r="L741" i="29" s="1"/>
  <c r="G938" i="29"/>
  <c r="L938" i="29" s="1"/>
  <c r="G1135" i="29"/>
  <c r="L1135" i="29" s="1"/>
  <c r="G1332" i="29"/>
  <c r="L1332" i="29" s="1"/>
  <c r="G1529" i="29"/>
  <c r="L1529" i="29" s="1"/>
  <c r="G1726" i="29"/>
  <c r="L1726" i="29" s="1"/>
  <c r="G151" i="29"/>
  <c r="L151" i="29" s="1"/>
  <c r="G348" i="29"/>
  <c r="L348" i="29" s="1"/>
  <c r="G545" i="29"/>
  <c r="L545" i="29" s="1"/>
  <c r="G742" i="29"/>
  <c r="L742" i="29" s="1"/>
  <c r="G939" i="29"/>
  <c r="L939" i="29" s="1"/>
  <c r="G1136" i="29"/>
  <c r="L1136" i="29" s="1"/>
  <c r="G1333" i="29"/>
  <c r="L1333" i="29" s="1"/>
  <c r="G1530" i="29"/>
  <c r="L1530" i="29" s="1"/>
  <c r="G1727" i="29"/>
  <c r="L1727" i="29" s="1"/>
  <c r="G152" i="29"/>
  <c r="L152" i="29" s="1"/>
  <c r="G349" i="29"/>
  <c r="L349" i="29" s="1"/>
  <c r="G546" i="29"/>
  <c r="L546" i="29" s="1"/>
  <c r="G743" i="29"/>
  <c r="L743" i="29" s="1"/>
  <c r="G940" i="29"/>
  <c r="L940" i="29" s="1"/>
  <c r="G1137" i="29"/>
  <c r="L1137" i="29" s="1"/>
  <c r="G1334" i="29"/>
  <c r="L1334" i="29" s="1"/>
  <c r="G1531" i="29"/>
  <c r="L1531" i="29" s="1"/>
  <c r="G1728" i="29"/>
  <c r="L1728" i="29" s="1"/>
  <c r="G153" i="29"/>
  <c r="L153" i="29" s="1"/>
  <c r="G350" i="29"/>
  <c r="L350" i="29" s="1"/>
  <c r="G547" i="29"/>
  <c r="L547" i="29" s="1"/>
  <c r="G744" i="29"/>
  <c r="L744" i="29" s="1"/>
  <c r="G941" i="29"/>
  <c r="L941" i="29" s="1"/>
  <c r="G1138" i="29"/>
  <c r="L1138" i="29" s="1"/>
  <c r="G1335" i="29"/>
  <c r="L1335" i="29" s="1"/>
  <c r="G1532" i="29"/>
  <c r="L1532" i="29" s="1"/>
  <c r="G1729" i="29"/>
  <c r="L1729" i="29" s="1"/>
  <c r="G154" i="29"/>
  <c r="L154" i="29" s="1"/>
  <c r="G351" i="29"/>
  <c r="L351" i="29" s="1"/>
  <c r="G548" i="29"/>
  <c r="L548" i="29" s="1"/>
  <c r="G745" i="29"/>
  <c r="L745" i="29" s="1"/>
  <c r="G942" i="29"/>
  <c r="L942" i="29" s="1"/>
  <c r="G1139" i="29"/>
  <c r="L1139" i="29" s="1"/>
  <c r="G1336" i="29"/>
  <c r="L1336" i="29" s="1"/>
  <c r="G1533" i="29"/>
  <c r="L1533" i="29" s="1"/>
  <c r="G1730" i="29"/>
  <c r="L1730" i="29" s="1"/>
  <c r="G155" i="29"/>
  <c r="L155" i="29" s="1"/>
  <c r="G352" i="29"/>
  <c r="L352" i="29" s="1"/>
  <c r="G549" i="29"/>
  <c r="L549" i="29" s="1"/>
  <c r="G746" i="29"/>
  <c r="L746" i="29" s="1"/>
  <c r="G943" i="29"/>
  <c r="L943" i="29" s="1"/>
  <c r="G1140" i="29"/>
  <c r="L1140" i="29" s="1"/>
  <c r="G1337" i="29"/>
  <c r="L1337" i="29" s="1"/>
  <c r="G1534" i="29"/>
  <c r="L1534" i="29" s="1"/>
  <c r="G1731" i="29"/>
  <c r="L1731" i="29" s="1"/>
  <c r="G156" i="29"/>
  <c r="L156" i="29" s="1"/>
  <c r="G353" i="29"/>
  <c r="L353" i="29" s="1"/>
  <c r="G550" i="29"/>
  <c r="L550" i="29" s="1"/>
  <c r="G747" i="29"/>
  <c r="L747" i="29" s="1"/>
  <c r="G944" i="29"/>
  <c r="L944" i="29" s="1"/>
  <c r="G1141" i="29"/>
  <c r="L1141" i="29" s="1"/>
  <c r="G1338" i="29"/>
  <c r="L1338" i="29" s="1"/>
  <c r="G1535" i="29"/>
  <c r="L1535" i="29" s="1"/>
  <c r="G1732" i="29"/>
  <c r="L1732" i="29" s="1"/>
  <c r="G157" i="29"/>
  <c r="L157" i="29" s="1"/>
  <c r="G354" i="29"/>
  <c r="L354" i="29" s="1"/>
  <c r="G551" i="29"/>
  <c r="L551" i="29" s="1"/>
  <c r="G748" i="29"/>
  <c r="L748" i="29" s="1"/>
  <c r="G945" i="29"/>
  <c r="L945" i="29" s="1"/>
  <c r="G1142" i="29"/>
  <c r="L1142" i="29" s="1"/>
  <c r="G1339" i="29"/>
  <c r="L1339" i="29" s="1"/>
  <c r="G1536" i="29"/>
  <c r="L1536" i="29" s="1"/>
  <c r="G1733" i="29"/>
  <c r="L1733" i="29" s="1"/>
  <c r="G158" i="29"/>
  <c r="L158" i="29" s="1"/>
  <c r="G355" i="29"/>
  <c r="L355" i="29" s="1"/>
  <c r="G552" i="29"/>
  <c r="L552" i="29" s="1"/>
  <c r="G749" i="29"/>
  <c r="L749" i="29" s="1"/>
  <c r="G946" i="29"/>
  <c r="L946" i="29" s="1"/>
  <c r="G1143" i="29"/>
  <c r="L1143" i="29" s="1"/>
  <c r="G1340" i="29"/>
  <c r="L1340" i="29" s="1"/>
  <c r="G1537" i="29"/>
  <c r="L1537" i="29" s="1"/>
  <c r="G1734" i="29"/>
  <c r="L1734" i="29" s="1"/>
  <c r="G159" i="29"/>
  <c r="L159" i="29" s="1"/>
  <c r="G356" i="29"/>
  <c r="L356" i="29" s="1"/>
  <c r="G553" i="29"/>
  <c r="L553" i="29" s="1"/>
  <c r="G750" i="29"/>
  <c r="L750" i="29" s="1"/>
  <c r="G947" i="29"/>
  <c r="L947" i="29" s="1"/>
  <c r="G1144" i="29"/>
  <c r="L1144" i="29" s="1"/>
  <c r="G1341" i="29"/>
  <c r="L1341" i="29" s="1"/>
  <c r="G1538" i="29"/>
  <c r="L1538" i="29" s="1"/>
  <c r="G1735" i="29"/>
  <c r="L1735" i="29" s="1"/>
  <c r="G160" i="29"/>
  <c r="L160" i="29" s="1"/>
  <c r="G357" i="29"/>
  <c r="L357" i="29" s="1"/>
  <c r="G554" i="29"/>
  <c r="L554" i="29" s="1"/>
  <c r="G751" i="29"/>
  <c r="L751" i="29" s="1"/>
  <c r="G948" i="29"/>
  <c r="L948" i="29" s="1"/>
  <c r="G1145" i="29"/>
  <c r="L1145" i="29" s="1"/>
  <c r="G1342" i="29"/>
  <c r="L1342" i="29" s="1"/>
  <c r="G1539" i="29"/>
  <c r="L1539" i="29" s="1"/>
  <c r="G1736" i="29"/>
  <c r="L1736" i="29" s="1"/>
  <c r="G161" i="29"/>
  <c r="L161" i="29" s="1"/>
  <c r="G358" i="29"/>
  <c r="L358" i="29" s="1"/>
  <c r="G555" i="29"/>
  <c r="L555" i="29" s="1"/>
  <c r="G752" i="29"/>
  <c r="L752" i="29" s="1"/>
  <c r="G949" i="29"/>
  <c r="L949" i="29" s="1"/>
  <c r="G1146" i="29"/>
  <c r="L1146" i="29" s="1"/>
  <c r="G1343" i="29"/>
  <c r="L1343" i="29" s="1"/>
  <c r="G1540" i="29"/>
  <c r="L1540" i="29" s="1"/>
  <c r="G1737" i="29"/>
  <c r="L1737" i="29" s="1"/>
  <c r="G162" i="29"/>
  <c r="L162" i="29" s="1"/>
  <c r="G359" i="29"/>
  <c r="L359" i="29" s="1"/>
  <c r="G556" i="29"/>
  <c r="L556" i="29" s="1"/>
  <c r="G753" i="29"/>
  <c r="L753" i="29" s="1"/>
  <c r="G950" i="29"/>
  <c r="L950" i="29" s="1"/>
  <c r="G1147" i="29"/>
  <c r="L1147" i="29" s="1"/>
  <c r="G1344" i="29"/>
  <c r="L1344" i="29" s="1"/>
  <c r="G1541" i="29"/>
  <c r="L1541" i="29" s="1"/>
  <c r="G1738" i="29"/>
  <c r="L1738" i="29" s="1"/>
  <c r="G163" i="29"/>
  <c r="L163" i="29" s="1"/>
  <c r="G360" i="29"/>
  <c r="L360" i="29" s="1"/>
  <c r="G557" i="29"/>
  <c r="L557" i="29" s="1"/>
  <c r="G754" i="29"/>
  <c r="L754" i="29" s="1"/>
  <c r="G951" i="29"/>
  <c r="L951" i="29" s="1"/>
  <c r="G1148" i="29"/>
  <c r="L1148" i="29" s="1"/>
  <c r="G1345" i="29"/>
  <c r="L1345" i="29" s="1"/>
  <c r="G1542" i="29"/>
  <c r="L1542" i="29" s="1"/>
  <c r="G1739" i="29"/>
  <c r="L1739" i="29" s="1"/>
  <c r="G164" i="29"/>
  <c r="L164" i="29" s="1"/>
  <c r="G361" i="29"/>
  <c r="L361" i="29" s="1"/>
  <c r="G558" i="29"/>
  <c r="L558" i="29" s="1"/>
  <c r="G755" i="29"/>
  <c r="L755" i="29" s="1"/>
  <c r="G952" i="29"/>
  <c r="L952" i="29" s="1"/>
  <c r="G1149" i="29"/>
  <c r="L1149" i="29" s="1"/>
  <c r="G1346" i="29"/>
  <c r="L1346" i="29" s="1"/>
  <c r="G1543" i="29"/>
  <c r="L1543" i="29" s="1"/>
  <c r="G1740" i="29"/>
  <c r="L1740" i="29" s="1"/>
  <c r="G165" i="29"/>
  <c r="L165" i="29" s="1"/>
  <c r="G362" i="29"/>
  <c r="L362" i="29" s="1"/>
  <c r="G559" i="29"/>
  <c r="L559" i="29" s="1"/>
  <c r="G756" i="29"/>
  <c r="L756" i="29" s="1"/>
  <c r="G953" i="29"/>
  <c r="L953" i="29" s="1"/>
  <c r="G1150" i="29"/>
  <c r="L1150" i="29" s="1"/>
  <c r="G1347" i="29"/>
  <c r="L1347" i="29" s="1"/>
  <c r="G1544" i="29"/>
  <c r="L1544" i="29" s="1"/>
  <c r="G1741" i="29"/>
  <c r="L1741" i="29" s="1"/>
  <c r="G166" i="29"/>
  <c r="L166" i="29" s="1"/>
  <c r="G363" i="29"/>
  <c r="L363" i="29" s="1"/>
  <c r="G560" i="29"/>
  <c r="L560" i="29" s="1"/>
  <c r="G757" i="29"/>
  <c r="L757" i="29" s="1"/>
  <c r="G954" i="29"/>
  <c r="L954" i="29" s="1"/>
  <c r="G1151" i="29"/>
  <c r="L1151" i="29" s="1"/>
  <c r="G1348" i="29"/>
  <c r="L1348" i="29" s="1"/>
  <c r="G1545" i="29"/>
  <c r="L1545" i="29" s="1"/>
  <c r="G1742" i="29"/>
  <c r="L1742" i="29" s="1"/>
  <c r="G167" i="29"/>
  <c r="L167" i="29" s="1"/>
  <c r="G364" i="29"/>
  <c r="L364" i="29" s="1"/>
  <c r="G561" i="29"/>
  <c r="L561" i="29" s="1"/>
  <c r="G758" i="29"/>
  <c r="L758" i="29" s="1"/>
  <c r="G955" i="29"/>
  <c r="L955" i="29" s="1"/>
  <c r="G1152" i="29"/>
  <c r="L1152" i="29" s="1"/>
  <c r="G1349" i="29"/>
  <c r="L1349" i="29" s="1"/>
  <c r="G1546" i="29"/>
  <c r="L1546" i="29" s="1"/>
  <c r="G1743" i="29"/>
  <c r="L1743" i="29" s="1"/>
  <c r="G168" i="29"/>
  <c r="L168" i="29" s="1"/>
  <c r="G365" i="29"/>
  <c r="L365" i="29" s="1"/>
  <c r="G562" i="29"/>
  <c r="L562" i="29" s="1"/>
  <c r="G759" i="29"/>
  <c r="L759" i="29" s="1"/>
  <c r="G956" i="29"/>
  <c r="L956" i="29" s="1"/>
  <c r="G1153" i="29"/>
  <c r="L1153" i="29" s="1"/>
  <c r="G1350" i="29"/>
  <c r="L1350" i="29" s="1"/>
  <c r="G1547" i="29"/>
  <c r="L1547" i="29" s="1"/>
  <c r="G1744" i="29"/>
  <c r="L1744" i="29" s="1"/>
  <c r="G169" i="29"/>
  <c r="L169" i="29" s="1"/>
  <c r="G366" i="29"/>
  <c r="L366" i="29" s="1"/>
  <c r="G563" i="29"/>
  <c r="L563" i="29" s="1"/>
  <c r="G760" i="29"/>
  <c r="L760" i="29" s="1"/>
  <c r="G957" i="29"/>
  <c r="L957" i="29" s="1"/>
  <c r="G1154" i="29"/>
  <c r="L1154" i="29" s="1"/>
  <c r="G1351" i="29"/>
  <c r="L1351" i="29" s="1"/>
  <c r="G1548" i="29"/>
  <c r="L1548" i="29" s="1"/>
  <c r="G1745" i="29"/>
  <c r="L1745" i="29" s="1"/>
  <c r="G170" i="29"/>
  <c r="L170" i="29" s="1"/>
  <c r="G367" i="29"/>
  <c r="L367" i="29" s="1"/>
  <c r="G564" i="29"/>
  <c r="L564" i="29" s="1"/>
  <c r="G761" i="29"/>
  <c r="L761" i="29" s="1"/>
  <c r="G958" i="29"/>
  <c r="L958" i="29" s="1"/>
  <c r="G1155" i="29"/>
  <c r="L1155" i="29" s="1"/>
  <c r="G1352" i="29"/>
  <c r="L1352" i="29" s="1"/>
  <c r="G1549" i="29"/>
  <c r="L1549" i="29" s="1"/>
  <c r="G1746" i="29"/>
  <c r="L1746" i="29" s="1"/>
  <c r="G171" i="29"/>
  <c r="L171" i="29" s="1"/>
  <c r="G368" i="29"/>
  <c r="L368" i="29" s="1"/>
  <c r="G565" i="29"/>
  <c r="L565" i="29" s="1"/>
  <c r="G762" i="29"/>
  <c r="L762" i="29" s="1"/>
  <c r="G959" i="29"/>
  <c r="L959" i="29" s="1"/>
  <c r="G1156" i="29"/>
  <c r="L1156" i="29" s="1"/>
  <c r="G1353" i="29"/>
  <c r="L1353" i="29" s="1"/>
  <c r="G1550" i="29"/>
  <c r="L1550" i="29" s="1"/>
  <c r="G1747" i="29"/>
  <c r="L1747" i="29" s="1"/>
  <c r="G172" i="29"/>
  <c r="L172" i="29" s="1"/>
  <c r="G369" i="29"/>
  <c r="L369" i="29" s="1"/>
  <c r="G566" i="29"/>
  <c r="L566" i="29" s="1"/>
  <c r="G763" i="29"/>
  <c r="L763" i="29" s="1"/>
  <c r="G960" i="29"/>
  <c r="L960" i="29" s="1"/>
  <c r="G1157" i="29"/>
  <c r="L1157" i="29" s="1"/>
  <c r="G1354" i="29"/>
  <c r="L1354" i="29" s="1"/>
  <c r="G1551" i="29"/>
  <c r="L1551" i="29" s="1"/>
  <c r="G1748" i="29"/>
  <c r="L1748" i="29" s="1"/>
  <c r="G173" i="29"/>
  <c r="L173" i="29" s="1"/>
  <c r="G370" i="29"/>
  <c r="L370" i="29" s="1"/>
  <c r="G567" i="29"/>
  <c r="L567" i="29" s="1"/>
  <c r="G764" i="29"/>
  <c r="L764" i="29" s="1"/>
  <c r="G961" i="29"/>
  <c r="L961" i="29" s="1"/>
  <c r="G1158" i="29"/>
  <c r="L1158" i="29" s="1"/>
  <c r="G1355" i="29"/>
  <c r="L1355" i="29" s="1"/>
  <c r="G1552" i="29"/>
  <c r="L1552" i="29" s="1"/>
  <c r="G1749" i="29"/>
  <c r="L1749" i="29" s="1"/>
  <c r="G174" i="29"/>
  <c r="L174" i="29" s="1"/>
  <c r="G371" i="29"/>
  <c r="L371" i="29" s="1"/>
  <c r="G568" i="29"/>
  <c r="L568" i="29" s="1"/>
  <c r="G765" i="29"/>
  <c r="L765" i="29" s="1"/>
  <c r="G962" i="29"/>
  <c r="L962" i="29" s="1"/>
  <c r="G1159" i="29"/>
  <c r="L1159" i="29" s="1"/>
  <c r="G1356" i="29"/>
  <c r="L1356" i="29" s="1"/>
  <c r="G1553" i="29"/>
  <c r="L1553" i="29" s="1"/>
  <c r="G1750" i="29"/>
  <c r="L1750" i="29" s="1"/>
  <c r="G175" i="29"/>
  <c r="L175" i="29" s="1"/>
  <c r="G372" i="29"/>
  <c r="L372" i="29" s="1"/>
  <c r="G569" i="29"/>
  <c r="L569" i="29" s="1"/>
  <c r="G766" i="29"/>
  <c r="L766" i="29" s="1"/>
  <c r="G963" i="29"/>
  <c r="L963" i="29" s="1"/>
  <c r="G1160" i="29"/>
  <c r="L1160" i="29" s="1"/>
  <c r="G1357" i="29"/>
  <c r="L1357" i="29" s="1"/>
  <c r="G1554" i="29"/>
  <c r="L1554" i="29" s="1"/>
  <c r="G1751" i="29"/>
  <c r="L1751" i="29" s="1"/>
  <c r="G176" i="29"/>
  <c r="L176" i="29" s="1"/>
  <c r="G373" i="29"/>
  <c r="L373" i="29" s="1"/>
  <c r="G570" i="29"/>
  <c r="L570" i="29" s="1"/>
  <c r="G767" i="29"/>
  <c r="L767" i="29" s="1"/>
  <c r="G964" i="29"/>
  <c r="L964" i="29" s="1"/>
  <c r="G1161" i="29"/>
  <c r="L1161" i="29" s="1"/>
  <c r="G1358" i="29"/>
  <c r="L1358" i="29" s="1"/>
  <c r="G1555" i="29"/>
  <c r="L1555" i="29" s="1"/>
  <c r="G1752" i="29"/>
  <c r="L1752" i="29" s="1"/>
  <c r="G177" i="29"/>
  <c r="L177" i="29" s="1"/>
  <c r="G374" i="29"/>
  <c r="L374" i="29" s="1"/>
  <c r="G571" i="29"/>
  <c r="L571" i="29" s="1"/>
  <c r="G768" i="29"/>
  <c r="L768" i="29" s="1"/>
  <c r="G965" i="29"/>
  <c r="L965" i="29" s="1"/>
  <c r="G1162" i="29"/>
  <c r="L1162" i="29" s="1"/>
  <c r="G1359" i="29"/>
  <c r="L1359" i="29" s="1"/>
  <c r="G1556" i="29"/>
  <c r="L1556" i="29" s="1"/>
  <c r="G1753" i="29"/>
  <c r="L1753" i="29" s="1"/>
  <c r="G178" i="29"/>
  <c r="L178" i="29" s="1"/>
  <c r="G375" i="29"/>
  <c r="L375" i="29" s="1"/>
  <c r="G572" i="29"/>
  <c r="L572" i="29" s="1"/>
  <c r="G769" i="29"/>
  <c r="L769" i="29" s="1"/>
  <c r="G966" i="29"/>
  <c r="L966" i="29" s="1"/>
  <c r="G1163" i="29"/>
  <c r="L1163" i="29" s="1"/>
  <c r="G1360" i="29"/>
  <c r="L1360" i="29" s="1"/>
  <c r="G1557" i="29"/>
  <c r="L1557" i="29" s="1"/>
  <c r="G1754" i="29"/>
  <c r="L1754" i="29" s="1"/>
  <c r="G179" i="29"/>
  <c r="L179" i="29" s="1"/>
  <c r="G376" i="29"/>
  <c r="L376" i="29" s="1"/>
  <c r="G573" i="29"/>
  <c r="L573" i="29" s="1"/>
  <c r="G770" i="29"/>
  <c r="L770" i="29" s="1"/>
  <c r="G967" i="29"/>
  <c r="L967" i="29" s="1"/>
  <c r="G1164" i="29"/>
  <c r="L1164" i="29" s="1"/>
  <c r="G1361" i="29"/>
  <c r="L1361" i="29" s="1"/>
  <c r="G1558" i="29"/>
  <c r="L1558" i="29" s="1"/>
  <c r="G1755" i="29"/>
  <c r="L1755" i="29" s="1"/>
  <c r="G180" i="29"/>
  <c r="L180" i="29" s="1"/>
  <c r="G377" i="29"/>
  <c r="L377" i="29" s="1"/>
  <c r="G574" i="29"/>
  <c r="L574" i="29" s="1"/>
  <c r="G771" i="29"/>
  <c r="L771" i="29" s="1"/>
  <c r="G968" i="29"/>
  <c r="L968" i="29" s="1"/>
  <c r="G1165" i="29"/>
  <c r="L1165" i="29" s="1"/>
  <c r="G1362" i="29"/>
  <c r="L1362" i="29" s="1"/>
  <c r="G1559" i="29"/>
  <c r="L1559" i="29" s="1"/>
  <c r="G1756" i="29"/>
  <c r="L1756" i="29" s="1"/>
  <c r="G181" i="29"/>
  <c r="L181" i="29" s="1"/>
  <c r="G378" i="29"/>
  <c r="L378" i="29" s="1"/>
  <c r="G575" i="29"/>
  <c r="L575" i="29" s="1"/>
  <c r="G772" i="29"/>
  <c r="L772" i="29" s="1"/>
  <c r="G969" i="29"/>
  <c r="L969" i="29" s="1"/>
  <c r="G1166" i="29"/>
  <c r="L1166" i="29" s="1"/>
  <c r="G1363" i="29"/>
  <c r="L1363" i="29" s="1"/>
  <c r="G1560" i="29"/>
  <c r="L1560" i="29" s="1"/>
  <c r="G1757" i="29"/>
  <c r="L1757" i="29" s="1"/>
  <c r="G182" i="29"/>
  <c r="L182" i="29" s="1"/>
  <c r="G379" i="29"/>
  <c r="L379" i="29" s="1"/>
  <c r="G576" i="29"/>
  <c r="L576" i="29" s="1"/>
  <c r="G773" i="29"/>
  <c r="L773" i="29" s="1"/>
  <c r="G970" i="29"/>
  <c r="L970" i="29" s="1"/>
  <c r="G1167" i="29"/>
  <c r="L1167" i="29" s="1"/>
  <c r="G1364" i="29"/>
  <c r="L1364" i="29" s="1"/>
  <c r="G1561" i="29"/>
  <c r="L1561" i="29" s="1"/>
  <c r="G1758" i="29"/>
  <c r="L1758" i="29" s="1"/>
  <c r="G183" i="29"/>
  <c r="L183" i="29" s="1"/>
  <c r="G380" i="29"/>
  <c r="L380" i="29" s="1"/>
  <c r="G577" i="29"/>
  <c r="L577" i="29" s="1"/>
  <c r="G774" i="29"/>
  <c r="L774" i="29" s="1"/>
  <c r="G971" i="29"/>
  <c r="L971" i="29" s="1"/>
  <c r="G1168" i="29"/>
  <c r="L1168" i="29" s="1"/>
  <c r="G1365" i="29"/>
  <c r="L1365" i="29" s="1"/>
  <c r="G1562" i="29"/>
  <c r="L1562" i="29" s="1"/>
  <c r="G1759" i="29"/>
  <c r="L1759" i="29" s="1"/>
  <c r="G184" i="29"/>
  <c r="L184" i="29" s="1"/>
  <c r="G381" i="29"/>
  <c r="L381" i="29" s="1"/>
  <c r="G578" i="29"/>
  <c r="L578" i="29" s="1"/>
  <c r="G775" i="29"/>
  <c r="L775" i="29" s="1"/>
  <c r="G972" i="29"/>
  <c r="L972" i="29" s="1"/>
  <c r="G1169" i="29"/>
  <c r="L1169" i="29" s="1"/>
  <c r="G1366" i="29"/>
  <c r="L1366" i="29" s="1"/>
  <c r="G1563" i="29"/>
  <c r="L1563" i="29" s="1"/>
  <c r="G1760" i="29"/>
  <c r="L1760" i="29" s="1"/>
  <c r="G185" i="29"/>
  <c r="L185" i="29" s="1"/>
  <c r="G382" i="29"/>
  <c r="L382" i="29" s="1"/>
  <c r="G579" i="29"/>
  <c r="L579" i="29" s="1"/>
  <c r="G776" i="29"/>
  <c r="L776" i="29" s="1"/>
  <c r="G973" i="29"/>
  <c r="L973" i="29" s="1"/>
  <c r="G1170" i="29"/>
  <c r="L1170" i="29" s="1"/>
  <c r="G1367" i="29"/>
  <c r="L1367" i="29" s="1"/>
  <c r="G1564" i="29"/>
  <c r="L1564" i="29" s="1"/>
  <c r="G1761" i="29"/>
  <c r="L1761" i="29" s="1"/>
  <c r="G186" i="29"/>
  <c r="L186" i="29" s="1"/>
  <c r="G383" i="29"/>
  <c r="L383" i="29" s="1"/>
  <c r="G580" i="29"/>
  <c r="L580" i="29" s="1"/>
  <c r="G777" i="29"/>
  <c r="L777" i="29" s="1"/>
  <c r="G974" i="29"/>
  <c r="L974" i="29" s="1"/>
  <c r="G1171" i="29"/>
  <c r="L1171" i="29" s="1"/>
  <c r="G1368" i="29"/>
  <c r="L1368" i="29" s="1"/>
  <c r="G1565" i="29"/>
  <c r="L1565" i="29" s="1"/>
  <c r="G1762" i="29"/>
  <c r="L1762" i="29" s="1"/>
  <c r="G187" i="29"/>
  <c r="L187" i="29" s="1"/>
  <c r="G384" i="29"/>
  <c r="L384" i="29" s="1"/>
  <c r="G581" i="29"/>
  <c r="L581" i="29" s="1"/>
  <c r="G778" i="29"/>
  <c r="L778" i="29" s="1"/>
  <c r="G975" i="29"/>
  <c r="L975" i="29" s="1"/>
  <c r="G1172" i="29"/>
  <c r="L1172" i="29" s="1"/>
  <c r="G1369" i="29"/>
  <c r="L1369" i="29" s="1"/>
  <c r="G1566" i="29"/>
  <c r="L1566" i="29" s="1"/>
  <c r="G1763" i="29"/>
  <c r="L1763" i="29" s="1"/>
  <c r="G188" i="29"/>
  <c r="L188" i="29" s="1"/>
  <c r="G385" i="29"/>
  <c r="L385" i="29" s="1"/>
  <c r="G582" i="29"/>
  <c r="L582" i="29" s="1"/>
  <c r="G779" i="29"/>
  <c r="L779" i="29" s="1"/>
  <c r="G976" i="29"/>
  <c r="L976" i="29" s="1"/>
  <c r="G1173" i="29"/>
  <c r="L1173" i="29" s="1"/>
  <c r="G1370" i="29"/>
  <c r="L1370" i="29" s="1"/>
  <c r="G1567" i="29"/>
  <c r="L1567" i="29" s="1"/>
  <c r="G1764" i="29"/>
  <c r="L1764" i="29" s="1"/>
  <c r="G189" i="29"/>
  <c r="L189" i="29" s="1"/>
  <c r="G386" i="29"/>
  <c r="L386" i="29" s="1"/>
  <c r="G583" i="29"/>
  <c r="L583" i="29" s="1"/>
  <c r="G780" i="29"/>
  <c r="L780" i="29" s="1"/>
  <c r="G977" i="29"/>
  <c r="L977" i="29" s="1"/>
  <c r="G1174" i="29"/>
  <c r="L1174" i="29" s="1"/>
  <c r="G1371" i="29"/>
  <c r="L1371" i="29" s="1"/>
  <c r="G1568" i="29"/>
  <c r="L1568" i="29" s="1"/>
  <c r="G1765" i="29"/>
  <c r="L1765" i="29" s="1"/>
  <c r="G190" i="29"/>
  <c r="L190" i="29" s="1"/>
  <c r="G387" i="29"/>
  <c r="L387" i="29" s="1"/>
  <c r="G584" i="29"/>
  <c r="L584" i="29" s="1"/>
  <c r="G781" i="29"/>
  <c r="L781" i="29" s="1"/>
  <c r="G978" i="29"/>
  <c r="L978" i="29" s="1"/>
  <c r="G1175" i="29"/>
  <c r="L1175" i="29" s="1"/>
  <c r="G1372" i="29"/>
  <c r="L1372" i="29" s="1"/>
  <c r="G1569" i="29"/>
  <c r="L1569" i="29" s="1"/>
  <c r="G1766" i="29"/>
  <c r="L1766" i="29" s="1"/>
  <c r="G191" i="29"/>
  <c r="L191" i="29" s="1"/>
  <c r="G388" i="29"/>
  <c r="L388" i="29" s="1"/>
  <c r="G585" i="29"/>
  <c r="L585" i="29" s="1"/>
  <c r="G782" i="29"/>
  <c r="L782" i="29" s="1"/>
  <c r="G979" i="29"/>
  <c r="L979" i="29" s="1"/>
  <c r="G1176" i="29"/>
  <c r="L1176" i="29" s="1"/>
  <c r="G1373" i="29"/>
  <c r="L1373" i="29" s="1"/>
  <c r="G1570" i="29"/>
  <c r="L1570" i="29" s="1"/>
  <c r="G1767" i="29"/>
  <c r="L1767" i="29" s="1"/>
  <c r="G192" i="29"/>
  <c r="L192" i="29" s="1"/>
  <c r="G389" i="29"/>
  <c r="L389" i="29" s="1"/>
  <c r="G586" i="29"/>
  <c r="L586" i="29" s="1"/>
  <c r="G783" i="29"/>
  <c r="L783" i="29" s="1"/>
  <c r="G980" i="29"/>
  <c r="L980" i="29" s="1"/>
  <c r="G1177" i="29"/>
  <c r="L1177" i="29" s="1"/>
  <c r="G1374" i="29"/>
  <c r="L1374" i="29" s="1"/>
  <c r="G1571" i="29"/>
  <c r="L1571" i="29" s="1"/>
  <c r="G1768" i="29"/>
  <c r="L1768" i="29" s="1"/>
  <c r="G193" i="29"/>
  <c r="L193" i="29" s="1"/>
  <c r="G390" i="29"/>
  <c r="L390" i="29" s="1"/>
  <c r="G587" i="29"/>
  <c r="L587" i="29" s="1"/>
  <c r="G784" i="29"/>
  <c r="L784" i="29" s="1"/>
  <c r="G981" i="29"/>
  <c r="L981" i="29" s="1"/>
  <c r="G1178" i="29"/>
  <c r="L1178" i="29" s="1"/>
  <c r="G1375" i="29"/>
  <c r="L1375" i="29" s="1"/>
  <c r="G1572" i="29"/>
  <c r="L1572" i="29" s="1"/>
  <c r="G1769" i="29"/>
  <c r="L1769" i="29" s="1"/>
  <c r="G194" i="29"/>
  <c r="L194" i="29" s="1"/>
  <c r="G391" i="29"/>
  <c r="L391" i="29" s="1"/>
  <c r="G588" i="29"/>
  <c r="L588" i="29" s="1"/>
  <c r="G785" i="29"/>
  <c r="L785" i="29" s="1"/>
  <c r="G982" i="29"/>
  <c r="L982" i="29" s="1"/>
  <c r="G1179" i="29"/>
  <c r="L1179" i="29" s="1"/>
  <c r="G1376" i="29"/>
  <c r="L1376" i="29" s="1"/>
  <c r="G1573" i="29"/>
  <c r="L1573" i="29" s="1"/>
  <c r="G1770" i="29"/>
  <c r="L1770" i="29" s="1"/>
  <c r="G195" i="29"/>
  <c r="L195" i="29" s="1"/>
  <c r="G392" i="29"/>
  <c r="L392" i="29" s="1"/>
  <c r="G589" i="29"/>
  <c r="L589" i="29" s="1"/>
  <c r="G786" i="29"/>
  <c r="L786" i="29" s="1"/>
  <c r="G983" i="29"/>
  <c r="L983" i="29" s="1"/>
  <c r="G1180" i="29"/>
  <c r="L1180" i="29" s="1"/>
  <c r="G1377" i="29"/>
  <c r="L1377" i="29" s="1"/>
  <c r="G1574" i="29"/>
  <c r="L1574" i="29" s="1"/>
  <c r="G1771" i="29"/>
  <c r="L1771" i="29" s="1"/>
  <c r="G196" i="29"/>
  <c r="L196" i="29" s="1"/>
  <c r="G393" i="29"/>
  <c r="L393" i="29" s="1"/>
  <c r="G590" i="29"/>
  <c r="L590" i="29" s="1"/>
  <c r="G787" i="29"/>
  <c r="L787" i="29" s="1"/>
  <c r="G984" i="29"/>
  <c r="L984" i="29" s="1"/>
  <c r="G1181" i="29"/>
  <c r="L1181" i="29" s="1"/>
  <c r="G1378" i="29"/>
  <c r="L1378" i="29" s="1"/>
  <c r="G1575" i="29"/>
  <c r="L1575" i="29" s="1"/>
  <c r="G1772" i="29"/>
  <c r="L1772" i="29" s="1"/>
  <c r="G197" i="29"/>
  <c r="L197" i="29" s="1"/>
  <c r="G394" i="29"/>
  <c r="L394" i="29" s="1"/>
  <c r="G591" i="29"/>
  <c r="L591" i="29" s="1"/>
  <c r="G788" i="29"/>
  <c r="L788" i="29" s="1"/>
  <c r="G985" i="29"/>
  <c r="L985" i="29" s="1"/>
  <c r="G1182" i="29"/>
  <c r="L1182" i="29" s="1"/>
  <c r="G1379" i="29"/>
  <c r="L1379" i="29" s="1"/>
  <c r="G1576" i="29"/>
  <c r="L1576" i="29" s="1"/>
  <c r="G1773" i="29"/>
  <c r="L1773" i="29" s="1"/>
  <c r="G198" i="29"/>
  <c r="L198" i="29" s="1"/>
  <c r="G395" i="29"/>
  <c r="L395" i="29" s="1"/>
  <c r="G592" i="29"/>
  <c r="L592" i="29" s="1"/>
  <c r="G789" i="29"/>
  <c r="L789" i="29" s="1"/>
  <c r="G986" i="29"/>
  <c r="L986" i="29" s="1"/>
  <c r="G1183" i="29"/>
  <c r="L1183" i="29" s="1"/>
  <c r="G1380" i="29"/>
  <c r="L1380" i="29" s="1"/>
  <c r="G1577" i="29"/>
  <c r="L1577" i="29" s="1"/>
  <c r="G1774" i="29"/>
  <c r="L1774" i="29" s="1"/>
  <c r="I16" i="28" l="1" a="1"/>
  <c r="I16" i="28" s="1"/>
  <c r="J13" i="28" a="1"/>
  <c r="J13" i="28" s="1"/>
  <c r="I17" i="28" a="1"/>
  <c r="I17" i="28" s="1"/>
  <c r="J14" i="28" a="1"/>
  <c r="J14" i="28" s="1"/>
  <c r="I13" i="28" a="1"/>
  <c r="I13" i="28" s="1"/>
  <c r="J18" i="28" a="1"/>
  <c r="J18" i="28" s="1"/>
  <c r="J10" i="28" a="1"/>
  <c r="J10" i="28" s="1"/>
  <c r="J16" i="28" a="1"/>
  <c r="J16" i="28" s="1"/>
  <c r="I14" i="28" a="1"/>
  <c r="I14" i="28" s="1"/>
  <c r="J11" i="28" a="1"/>
  <c r="J11" i="28" s="1"/>
  <c r="I12" i="28" a="1"/>
  <c r="I12" i="28" s="1"/>
  <c r="J17" i="28" a="1"/>
  <c r="J17" i="28" s="1"/>
  <c r="I11" i="28" a="1"/>
  <c r="I11" i="28" s="1"/>
  <c r="I10" i="28" a="1"/>
  <c r="I10" i="28" s="1"/>
  <c r="J15" i="28" a="1"/>
  <c r="J15" i="28" s="1"/>
  <c r="I15" i="28" a="1"/>
  <c r="I15" i="28" s="1"/>
  <c r="J12" i="28" a="1"/>
  <c r="J12" i="28" s="1"/>
  <c r="L829" i="29"/>
  <c r="K14" i="28" s="1" a="1"/>
  <c r="K14" i="28" s="1"/>
  <c r="F14" i="28" a="1"/>
  <c r="F14" i="28" s="1"/>
  <c r="L238" i="29"/>
  <c r="K11" i="28" s="1" a="1"/>
  <c r="K11" i="28" s="1"/>
  <c r="F11" i="28" a="1"/>
  <c r="F11" i="28" s="1"/>
  <c r="L632" i="29"/>
  <c r="K13" i="28" s="1" a="1"/>
  <c r="K13" i="28" s="1"/>
  <c r="F13" i="28" a="1"/>
  <c r="F13" i="28" s="1"/>
  <c r="L435" i="29"/>
  <c r="K12" i="28" s="1" a="1"/>
  <c r="K12" i="28" s="1"/>
  <c r="F12" i="28" a="1"/>
  <c r="F12" i="28" s="1"/>
  <c r="L41" i="29"/>
  <c r="K10" i="28" s="1" a="1"/>
  <c r="K10" i="28" s="1"/>
  <c r="F10" i="28" a="1"/>
  <c r="F10" i="28" s="1"/>
  <c r="L1420" i="29"/>
  <c r="K17" i="28" s="1" a="1"/>
  <c r="K17" i="28" s="1"/>
  <c r="F17" i="28" a="1"/>
  <c r="F17" i="28" s="1"/>
  <c r="L1223" i="29"/>
  <c r="K16" i="28" s="1" a="1"/>
  <c r="K16" i="28" s="1"/>
  <c r="F16" i="28" a="1"/>
  <c r="F16" i="28" s="1"/>
  <c r="L1026" i="29"/>
  <c r="K15" i="28" s="1" a="1"/>
  <c r="K15" i="28" s="1"/>
  <c r="F15" i="28" a="1"/>
  <c r="F15" i="28" s="1"/>
  <c r="I18" i="28" a="1"/>
  <c r="I18" i="28" s="1"/>
  <c r="L1603" i="29"/>
  <c r="K18" i="28" s="1" a="1"/>
  <c r="K18" i="28" s="1"/>
  <c r="I6" i="39" s="1"/>
  <c r="F18" i="28" a="1"/>
  <c r="F18" i="28" s="1"/>
  <c r="I3" i="39" s="1"/>
  <c r="D51" i="28"/>
  <c r="L1678" i="29"/>
  <c r="L102" i="29"/>
  <c r="L1481" i="29"/>
  <c r="L890" i="29"/>
  <c r="L1087" i="29"/>
  <c r="L496" i="29"/>
  <c r="L1284" i="29"/>
  <c r="L693" i="29"/>
  <c r="L299" i="29"/>
  <c r="D53" i="28" l="1"/>
  <c r="O38" i="28"/>
  <c r="O40" i="28" s="1"/>
  <c r="D52" i="28"/>
  <c r="P39" i="28" l="1"/>
  <c r="D54" i="28"/>
  <c r="K27" i="28" s="1"/>
  <c r="K30" i="28" s="1"/>
  <c r="O41" i="28" s="1"/>
  <c r="B21" i="17"/>
  <c r="B49" i="17"/>
  <c r="B41" i="17"/>
  <c r="B61" i="17" l="1"/>
  <c r="O43" i="28"/>
  <c r="L19" i="28" s="1"/>
  <c r="D2" i="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P43" i="28" l="1"/>
  <c r="M19" i="28" s="1"/>
  <c r="H6" i="11" l="1"/>
  <c r="G7" i="11" l="1"/>
  <c r="G6" i="11"/>
  <c r="G8" i="11" l="1"/>
  <c r="B41" i="11"/>
  <c r="DA2" i="26" l="1"/>
  <c r="B8" i="2"/>
  <c r="B7" i="2"/>
  <c r="B4" i="2" l="1"/>
  <c r="B17" i="30" l="1"/>
  <c r="B22" i="30"/>
  <c r="C1" i="17"/>
  <c r="B1" i="30"/>
  <c r="G1" i="22"/>
  <c r="J1" i="23"/>
  <c r="E1" i="25"/>
  <c r="I1" i="11"/>
  <c r="M1" i="18"/>
  <c r="K1" i="3"/>
  <c r="Q18" i="28" l="1"/>
  <c r="K41" i="28" l="1" a="1"/>
  <c r="K41" i="28" s="1"/>
  <c r="K36" i="28"/>
  <c r="K37" i="28" s="1"/>
  <c r="K38" i="28" l="1"/>
  <c r="L38" i="28" s="1"/>
  <c r="K39" i="28" l="1"/>
  <c r="K40" i="28" s="1"/>
  <c r="K42" i="28" l="1"/>
  <c r="G19" i="28" l="1"/>
  <c r="Q19" i="28" s="1"/>
  <c r="L42" i="28"/>
  <c r="H19" i="28" s="1"/>
  <c r="E6" i="11" l="1"/>
  <c r="D6" i="11" l="1"/>
  <c r="B24" i="11"/>
  <c r="D7" i="11"/>
  <c r="D8"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tc={371D7F06-C6D3-4AA4-8D34-13F298347DA6}</author>
  </authors>
  <commentList>
    <comment ref="C1" authorId="0" shapeId="0" xr:uid="{371D7F06-C6D3-4AA4-8D34-13F298347DA6}">
      <text>
        <t xml:space="preserve">[Threaded comment]
Your version of Excel allows you to read this threaded comment; however, any edits to it will get removed if the file is opened in a newer version of Excel. Learn more: https://go.microsoft.com/fwlink/?linkid=870924
Comment:
    Updated 4.8.2023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tc={99C47941-7A30-405F-B543-EDFA880FF352}</author>
  </authors>
  <commentList>
    <comment ref="K23" authorId="0" shapeId="0" xr:uid="{99C47941-7A30-405F-B543-EDFA880FF352}">
      <text>
        <t>[Threaded comment]
Your version of Excel allows you to read this threaded comment; however, any edits to it will get removed if the file is opened in a newer version of Excel. Learn more: https://go.microsoft.com/fwlink/?linkid=870924
Comment:
    Need to consolidate the late and inaccurate report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tc={27B9A528-3E9C-4413-B865-54A2BA2234ED}</author>
  </authors>
  <commentList>
    <comment ref="A1" authorId="0" shapeId="0" xr:uid="{27B9A528-3E9C-4413-B865-54A2BA2234ED}">
      <text>
        <t>[Threaded comment]
Your version of Excel allows you to read this threaded comment; however, any edits to it will get removed if the file is opened in a newer version of Excel. Learn more: https://go.microsoft.com/fwlink/?linkid=870924
Comment:
    Updated 5.1.2024</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tc={463BCBAE-B52F-4FCD-A30D-2EDD915C0F03}</author>
    <author>tc={41AB0FC6-FA85-495F-ABC1-C9854F04D792}</author>
    <author>tc={A8A30918-C25A-4EDB-9D58-FECDEBC95A68}</author>
  </authors>
  <commentList>
    <comment ref="D2366" authorId="0" shapeId="0" xr:uid="{463BCBAE-B52F-4FCD-A30D-2EDD915C0F03}">
      <text>
        <t>[Threaded comment]
Your version of Excel allows you to read this threaded comment; however, any edits to it will get removed if the file is opened in a newer version of Excel. Learn more: https://go.microsoft.com/fwlink/?linkid=870924
Comment:
    Total for 611 CC
Reply:
    611 District, Regional, and LTCT
Reply:
    J:\~ IDEA Compliance\MOE\School Finance Report for MOE
Reply:
    Updated</t>
      </text>
    </comment>
    <comment ref="E2366" authorId="1" shapeId="0" xr:uid="{41AB0FC6-FA85-495F-ABC1-C9854F04D792}">
      <text>
        <t>[Threaded comment]
Your version of Excel allows you to read this threaded comment; however, any edits to it will get removed if the file is opened in a newer version of Excel. Learn more: https://go.microsoft.com/fwlink/?linkid=870924
Comment:
    Updated on 5.28</t>
      </text>
    </comment>
    <comment ref="F2366" authorId="2" shapeId="0" xr:uid="{A8A30918-C25A-4EDB-9D58-FECDEBC95A68}">
      <text>
        <t>[Threaded comment]
Your version of Excel allows you to read this threaded comment; however, any edits to it will get removed if the file is opened in a newer version of Excel. Learn more: https://go.microsoft.com/fwlink/?linkid=870924
Comment:
    Updated on 5.28</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"FoutchJ"</author>
    <author>"vermilla"</author>
  </authors>
  <commentList>
    <comment ref="G7" authorId="0" shapeId="0" xr:uid="{00000000-0006-0000-1300-000001000000}">
      <text>
        <r>
          <rPr>
            <sz val="9"/>
            <color indexed="81"/>
            <rFont val="Tahoma"/>
            <family val="2"/>
          </rPr>
          <t>If the Administration, Program, and/or Fiscal personnel are the same person or position, answer A where the position is held by one person.</t>
        </r>
      </text>
    </comment>
    <comment ref="G9" authorId="0" shapeId="0" xr:uid="{F0659EE3-6365-4D96-801B-C6664DA82D47}">
      <text>
        <r>
          <rPr>
            <sz val="9"/>
            <color indexed="81"/>
            <rFont val="Tahoma"/>
            <family val="2"/>
          </rPr>
          <t>Written policies means an electronic and/or physical document describing how your district implements and complies with Uniform Grant Guidance, EDGAR, and IDEA.</t>
        </r>
      </text>
    </comment>
    <comment ref="G10" authorId="1" shapeId="0" xr:uid="{DD563CD4-2B37-4D4D-8406-9027FD681EDD}">
      <text>
        <r>
          <rPr>
            <sz val="9"/>
            <color indexed="81"/>
            <rFont val="Tahoma"/>
            <family val="2"/>
          </rPr>
          <t>This data is a snapshot as of 4.01.2024</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"donovant"</author>
  </authors>
  <commentList>
    <comment ref="B26" authorId="0" shapeId="0" xr:uid="{00000000-0006-0000-1500-000001000000}">
      <text>
        <r>
          <rPr>
            <sz val="9"/>
            <color indexed="81"/>
            <rFont val="Tahoma"/>
            <family val="2"/>
          </rPr>
          <t>Select</t>
        </r>
        <r>
          <rPr>
            <b/>
            <sz val="9"/>
            <color indexed="81"/>
            <rFont val="Tahoma"/>
            <family val="2"/>
          </rPr>
          <t xml:space="preserve"> one </t>
        </r>
        <r>
          <rPr>
            <sz val="9"/>
            <color indexed="81"/>
            <rFont val="Tahoma"/>
            <family val="2"/>
          </rPr>
          <t xml:space="preserve">of the criteria to receive additional reallocated funds. This will not affect your fiscal risk.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IDEA Part B and Preschool App DRAFT V2b.xlsm!TblAgencies" type="102" refreshedVersion="8" minRefreshableVersion="5">
    <extLst>
      <ext xmlns:x15="http://schemas.microsoft.com/office/spreadsheetml/2010/11/main" uri="{DE250136-89BD-433C-8126-D09CA5730AF9}">
        <x15:connection id="TblAgencies">
          <x15:rangePr sourceName="_xlcn.WorksheetConnection_IDEAPartBandPreschoolAppDRAFTV2b.xlsmTblAgencies1"/>
        </x15:connection>
      </ext>
    </extLst>
  </connection>
  <connection id="3" xr16:uid="{00000000-0015-0000-FFFF-FFFF02000000}" name="WorksheetConnection_IDEA Part B and Preschool App DRAFT V2b.xlsm!tblCharterSchls" type="102" refreshedVersion="8" minRefreshableVersion="5">
    <extLst>
      <ext xmlns:x15="http://schemas.microsoft.com/office/spreadsheetml/2010/11/main" uri="{DE250136-89BD-433C-8126-D09CA5730AF9}">
        <x15:connection id="tblCharterSchls">
          <x15:rangePr sourceName="_xlcn.WorksheetConnection_IDEAPartBandPreschoolAppDRAFTV2b.xlsmtblCharterSchls1"/>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<sst xmlns="http://schemas.openxmlformats.org/spreadsheetml/2006/main" count="37270" uniqueCount="3232">
  <si>
    <t>InstNm</t>
  </si>
  <si>
    <t>InstID</t>
  </si>
  <si>
    <t>SigDis</t>
  </si>
  <si>
    <t>Max CEIS 611</t>
  </si>
  <si>
    <t>Max CEIS 619</t>
  </si>
  <si>
    <t>MOE Failures in prior 3 years</t>
  </si>
  <si>
    <t>LEA Nm Length</t>
  </si>
  <si>
    <t>LEA/District</t>
  </si>
  <si>
    <t>Regional</t>
  </si>
  <si>
    <t>OSD</t>
  </si>
  <si>
    <t>LTCT</t>
  </si>
  <si>
    <t>Hospital</t>
  </si>
  <si>
    <t>ECSE</t>
  </si>
  <si>
    <t>Gross Total</t>
  </si>
  <si>
    <t>Adel SD 21</t>
  </si>
  <si>
    <t>N</t>
  </si>
  <si>
    <t>2017-2018</t>
  </si>
  <si>
    <t>Adrian SD 61</t>
  </si>
  <si>
    <t>2016-2017</t>
  </si>
  <si>
    <t>2014-2015</t>
  </si>
  <si>
    <t>Alsea SD 7J</t>
  </si>
  <si>
    <t>Amity SD 4J</t>
  </si>
  <si>
    <t>2012-2013</t>
  </si>
  <si>
    <t>Annex SD 29</t>
  </si>
  <si>
    <t>Arlington SD 3</t>
  </si>
  <si>
    <t>Arock SD 81</t>
  </si>
  <si>
    <t>Ashland SD 5</t>
  </si>
  <si>
    <t>Ashwood SD 8</t>
  </si>
  <si>
    <t>Astoria SD 1</t>
  </si>
  <si>
    <t>Athena-Weston SD 29RJ</t>
  </si>
  <si>
    <t>Baker SD 5J</t>
  </si>
  <si>
    <t>2013-2014</t>
  </si>
  <si>
    <t>Bandon SD 54</t>
  </si>
  <si>
    <t>Banks SD 13</t>
  </si>
  <si>
    <t>Beaverton SD 48J</t>
  </si>
  <si>
    <t>Bend-LaPine Administrative SD 1</t>
  </si>
  <si>
    <t>Bethel SD 52</t>
  </si>
  <si>
    <t>Blachly SD 90</t>
  </si>
  <si>
    <t>Black Butte SD 41</t>
  </si>
  <si>
    <t>Brookings-Harbor SD 17C</t>
  </si>
  <si>
    <t>Burnt River SD 30J</t>
  </si>
  <si>
    <t>2015-2016</t>
  </si>
  <si>
    <t>Butte Falls SD 91</t>
  </si>
  <si>
    <t>Camas Valley SD 21J</t>
  </si>
  <si>
    <t>Canby SD 86</t>
  </si>
  <si>
    <t>Cascade SD 5</t>
  </si>
  <si>
    <t>Centennial SD 28J</t>
  </si>
  <si>
    <t>Central Curry SD 1</t>
  </si>
  <si>
    <t>Central Linn SD 552</t>
  </si>
  <si>
    <t>Central Point SD 6</t>
  </si>
  <si>
    <t>Central SD 13J</t>
  </si>
  <si>
    <t>Clatskanie SD 6J</t>
  </si>
  <si>
    <t>Colton SD 53</t>
  </si>
  <si>
    <t>Condon SD 25J</t>
  </si>
  <si>
    <t>Coos Bay SD 9</t>
  </si>
  <si>
    <t>Coquille SD 8</t>
  </si>
  <si>
    <t>Corbett SD 39</t>
  </si>
  <si>
    <t>2010-2011</t>
  </si>
  <si>
    <t>Corvallis SD 509J</t>
  </si>
  <si>
    <t>Cove SD 15</t>
  </si>
  <si>
    <t>Creswell SD 40</t>
  </si>
  <si>
    <t>Crook County SD</t>
  </si>
  <si>
    <t>Crow-Applegate-Lorane SD 66</t>
  </si>
  <si>
    <t>Culver SD 4</t>
  </si>
  <si>
    <t>Dallas SD 2</t>
  </si>
  <si>
    <t>David Douglas SD 40</t>
  </si>
  <si>
    <t>Dayton SD 8</t>
  </si>
  <si>
    <t>Dayville SD 16J</t>
  </si>
  <si>
    <t>Diamond SD 7</t>
  </si>
  <si>
    <t>Double O SD 28</t>
  </si>
  <si>
    <t>Douglas County SD 15</t>
  </si>
  <si>
    <t>Douglas County SD 4</t>
  </si>
  <si>
    <t>Drewsey SD 13</t>
  </si>
  <si>
    <t>Dufur SD 29</t>
  </si>
  <si>
    <t>Eagle Point SD 9</t>
  </si>
  <si>
    <t>Echo SD 5</t>
  </si>
  <si>
    <t>Elgin SD 23</t>
  </si>
  <si>
    <t>Elkton SD 34</t>
  </si>
  <si>
    <t>Enterprise SD 21</t>
  </si>
  <si>
    <t>Estacada SD 108</t>
  </si>
  <si>
    <t>Eugene SD 4J</t>
  </si>
  <si>
    <t>Falls City SD 57</t>
  </si>
  <si>
    <t>Fern Ridge SD 28J</t>
  </si>
  <si>
    <t>Forest Grove SD 15</t>
  </si>
  <si>
    <t>Fossil SD 21J</t>
  </si>
  <si>
    <t>Frenchglen SD 16</t>
  </si>
  <si>
    <t>Gaston SD 511J</t>
  </si>
  <si>
    <t>Gervais SD 1</t>
  </si>
  <si>
    <t>Gladstone SD 115</t>
  </si>
  <si>
    <t>Glendale SD 77</t>
  </si>
  <si>
    <t>Glide SD 12</t>
  </si>
  <si>
    <t>Grants Pass SD 7</t>
  </si>
  <si>
    <t>Greater Albany Public SD 8J</t>
  </si>
  <si>
    <t>Gresham-Barlow SD 10J</t>
  </si>
  <si>
    <t>Harney County SD 3</t>
  </si>
  <si>
    <t>Harney County SD 4</t>
  </si>
  <si>
    <t>Harney County Union High SD 1J</t>
  </si>
  <si>
    <t>Harper SD 66</t>
  </si>
  <si>
    <t>Harrisburg SD 7J</t>
  </si>
  <si>
    <t>Helix SD 1</t>
  </si>
  <si>
    <t>Hermiston SD 8</t>
  </si>
  <si>
    <t>Hillsboro SD 1J</t>
  </si>
  <si>
    <t>Hood River County SD</t>
  </si>
  <si>
    <t>Huntington SD 16J</t>
  </si>
  <si>
    <t>Imbler SD 11</t>
  </si>
  <si>
    <t>Ione SD R2</t>
  </si>
  <si>
    <t>Jefferson County SD 509J</t>
  </si>
  <si>
    <t>Jefferson SD 14J</t>
  </si>
  <si>
    <t>Jewell SD 8</t>
  </si>
  <si>
    <t>John Day SD 3</t>
  </si>
  <si>
    <t>Jordan Valley SD 3</t>
  </si>
  <si>
    <t>Joseph SD 6</t>
  </si>
  <si>
    <t>Junction City SD 69</t>
  </si>
  <si>
    <t>Juntura SD 12</t>
  </si>
  <si>
    <t>Klamath County SD</t>
  </si>
  <si>
    <t>Klamath Falls City Schools</t>
  </si>
  <si>
    <t>Knappa SD 4</t>
  </si>
  <si>
    <t>La Grande SD 1</t>
  </si>
  <si>
    <t>Lake County SD 7</t>
  </si>
  <si>
    <t>Lake Oswego SD 7J</t>
  </si>
  <si>
    <t>Lebanon Community SD 9</t>
  </si>
  <si>
    <t>Lincoln County SD</t>
  </si>
  <si>
    <t>Long Creek SD 17</t>
  </si>
  <si>
    <t>Lowell SD 71</t>
  </si>
  <si>
    <t>Malheur County SD 51</t>
  </si>
  <si>
    <t>Mapleton SD 32</t>
  </si>
  <si>
    <t>Marcola SD 79J</t>
  </si>
  <si>
    <t>McKenzie SD 68</t>
  </si>
  <si>
    <t>McMinnville SD 40</t>
  </si>
  <si>
    <t>Medford SD 549C</t>
  </si>
  <si>
    <t>Milton-Freewater Unified SD 7</t>
  </si>
  <si>
    <t>Mitchell SD 55</t>
  </si>
  <si>
    <t>Molalla River SD 35</t>
  </si>
  <si>
    <t>Monroe SD 1J</t>
  </si>
  <si>
    <t>Monument SD 8</t>
  </si>
  <si>
    <t>Morrow SD 1</t>
  </si>
  <si>
    <t>Mt Angel SD 91</t>
  </si>
  <si>
    <t>Myrtle Point SD 41</t>
  </si>
  <si>
    <t>Neah-Kah-Nie SD 56</t>
  </si>
  <si>
    <t>Nestucca Valley SD 101J</t>
  </si>
  <si>
    <t>Newberg SD 29J</t>
  </si>
  <si>
    <t>North Bend SD 13</t>
  </si>
  <si>
    <t>North Clackamas SD 12</t>
  </si>
  <si>
    <t>North Douglas SD 22</t>
  </si>
  <si>
    <t>North Lake SD 14</t>
  </si>
  <si>
    <t>North Marion SD 15</t>
  </si>
  <si>
    <t>North Powder SD 8J</t>
  </si>
  <si>
    <t>North Santiam SD 29J</t>
  </si>
  <si>
    <t>North Wasco County SD 21</t>
  </si>
  <si>
    <t>Nyssa SD 26</t>
  </si>
  <si>
    <t>Oakland SD 1</t>
  </si>
  <si>
    <t>Oakridge SD 76</t>
  </si>
  <si>
    <t>Ontario SD 8C</t>
  </si>
  <si>
    <t>Oregon City SD 62</t>
  </si>
  <si>
    <t>Oregon Trail SD 46</t>
  </si>
  <si>
    <t>Paisley SD 11</t>
  </si>
  <si>
    <t>Parkrose SD 3</t>
  </si>
  <si>
    <t>Pendleton SD 16</t>
  </si>
  <si>
    <t>Perrydale SD 21</t>
  </si>
  <si>
    <t>2011-2012</t>
  </si>
  <si>
    <t>Philomath SD 17J</t>
  </si>
  <si>
    <t>Phoenix-Talent SD 4</t>
  </si>
  <si>
    <t>Pilot Rock SD 2</t>
  </si>
  <si>
    <t>Pine Creek SD 5</t>
  </si>
  <si>
    <t>Pine Eagle SD 61</t>
  </si>
  <si>
    <t>Pinehurst SD 94</t>
  </si>
  <si>
    <t>Pleasant Hill SD 1</t>
  </si>
  <si>
    <t>Plush SD 18</t>
  </si>
  <si>
    <t>Port Orford-Langlois SD 2CJ</t>
  </si>
  <si>
    <t>Portland SD 1J</t>
  </si>
  <si>
    <t>Powers SD 31</t>
  </si>
  <si>
    <t>Prairie City SD 4</t>
  </si>
  <si>
    <t>Prospect SD 59</t>
  </si>
  <si>
    <t>Rainier SD 13</t>
  </si>
  <si>
    <t>Redmond SD 2J</t>
  </si>
  <si>
    <t>Reedsport SD 105</t>
  </si>
  <si>
    <t>Reynolds SD 7</t>
  </si>
  <si>
    <t>Riddle SD 70</t>
  </si>
  <si>
    <t>Riverdale SD 51J</t>
  </si>
  <si>
    <t>Rogue River SD 35</t>
  </si>
  <si>
    <t>Salem-Keizer SD 24J</t>
  </si>
  <si>
    <t>Santiam Canyon SD 129J</t>
  </si>
  <si>
    <t>Scappoose SD 1J</t>
  </si>
  <si>
    <t>Scio SD 95</t>
  </si>
  <si>
    <t>Seaside SD 10</t>
  </si>
  <si>
    <t>Sheridan SD 48J</t>
  </si>
  <si>
    <t>Sherman County SD</t>
  </si>
  <si>
    <t>Sherwood SD 88J</t>
  </si>
  <si>
    <t>Silver Falls SD 4J</t>
  </si>
  <si>
    <t>Sisters SD 6</t>
  </si>
  <si>
    <t>Siuslaw SD 97J</t>
  </si>
  <si>
    <t>South Harney SD 33</t>
  </si>
  <si>
    <t>South Lane SD 45J3</t>
  </si>
  <si>
    <t>South Umpqua SD 19</t>
  </si>
  <si>
    <t>South Wasco County SD 1</t>
  </si>
  <si>
    <t>Spray SD 1</t>
  </si>
  <si>
    <t>Springfield SD 19</t>
  </si>
  <si>
    <t>St Helens SD 502</t>
  </si>
  <si>
    <t>St Paul SD 45</t>
  </si>
  <si>
    <t>Stanfield SD 61</t>
  </si>
  <si>
    <t>Suntex SD 10</t>
  </si>
  <si>
    <t>Sutherlin SD 130</t>
  </si>
  <si>
    <t>Sweet Home SD 55</t>
  </si>
  <si>
    <t>Three Rivers/Josephine County SD</t>
  </si>
  <si>
    <t>Tigard-Tualatin SD 23J</t>
  </si>
  <si>
    <t>Tillamook SD 9</t>
  </si>
  <si>
    <t>Troy SD 54</t>
  </si>
  <si>
    <t>Ukiah SD 80R</t>
  </si>
  <si>
    <t>Umatilla SD 6R</t>
  </si>
  <si>
    <t>Union SD 5</t>
  </si>
  <si>
    <t>Vale SD 84</t>
  </si>
  <si>
    <t>Vernonia SD 47J</t>
  </si>
  <si>
    <t>Wallowa SD 12</t>
  </si>
  <si>
    <t>Warrenton-Hammond SD 30</t>
  </si>
  <si>
    <t>West Linn-Wilsonville SD 3J</t>
  </si>
  <si>
    <t>Willamina SD 30J</t>
  </si>
  <si>
    <t>Winston-Dillard SD 116</t>
  </si>
  <si>
    <t>Woodburn SD 103</t>
  </si>
  <si>
    <t>Yamhill Carlton SD 1</t>
  </si>
  <si>
    <t>Yoncalla SD 32</t>
  </si>
  <si>
    <t>Fiscal Year</t>
  </si>
  <si>
    <t>Child Count</t>
  </si>
  <si>
    <t>LEA State and Local Amount</t>
  </si>
  <si>
    <t>ESD State and Local Amount</t>
  </si>
  <si>
    <t>State and Local Total Amount</t>
  </si>
  <si>
    <t>State and Local Total Shortfall</t>
  </si>
  <si>
    <t>State and Local Total Result</t>
  </si>
  <si>
    <t>LEA State and Local Per Capita Amount</t>
  </si>
  <si>
    <t>ESD State and Local Per Capita Amount</t>
  </si>
  <si>
    <t>State and Local Total Per Capita Amount</t>
  </si>
  <si>
    <t>State and Local Per Capita Shortfall</t>
  </si>
  <si>
    <t>State and Local Per Capita Result</t>
  </si>
  <si>
    <t>Amount of IDEA Part B, Section 611 award</t>
  </si>
  <si>
    <t>Amount of IDEA Part B, Section 619 award</t>
  </si>
  <si>
    <t>Total IDEA Part B award</t>
  </si>
  <si>
    <t>Total Exceptions</t>
  </si>
  <si>
    <t>SLT Exceptions</t>
  </si>
  <si>
    <t>SLPC Exceptions</t>
  </si>
  <si>
    <t>Repayment Amount</t>
  </si>
  <si>
    <t>Met as Baseline</t>
  </si>
  <si>
    <t>Did Not Meet</t>
  </si>
  <si>
    <t>Met</t>
  </si>
  <si>
    <t>Met with Exceptions or Adjustments</t>
  </si>
  <si>
    <t>2018-2019</t>
  </si>
  <si>
    <t>DistNm</t>
  </si>
  <si>
    <t>DistID</t>
  </si>
  <si>
    <t>County</t>
  </si>
  <si>
    <t>ESD_ID</t>
  </si>
  <si>
    <t>ESD</t>
  </si>
  <si>
    <t>Type</t>
  </si>
  <si>
    <t>SupFirstName</t>
  </si>
  <si>
    <t>SupLastName</t>
  </si>
  <si>
    <t>SupFullName</t>
  </si>
  <si>
    <t>SupPhoneNumber</t>
  </si>
  <si>
    <t>SupEmail</t>
  </si>
  <si>
    <t>Type2</t>
  </si>
  <si>
    <t>SedFirstName</t>
  </si>
  <si>
    <t>SedLastName</t>
  </si>
  <si>
    <t>SedFullName</t>
  </si>
  <si>
    <t>SedPhoneNumber</t>
  </si>
  <si>
    <t>SedEmail</t>
  </si>
  <si>
    <t>BsnFirstName</t>
  </si>
  <si>
    <t>BsnLastName</t>
  </si>
  <si>
    <t>BsnFullName</t>
  </si>
  <si>
    <t>BsnPhoneNumber</t>
  </si>
  <si>
    <t>BsnPhoneExt</t>
  </si>
  <si>
    <t>BsnPhone2</t>
  </si>
  <si>
    <t>BsnEmail</t>
  </si>
  <si>
    <t>Column1</t>
  </si>
  <si>
    <t>Column12</t>
  </si>
  <si>
    <t>Column2</t>
  </si>
  <si>
    <t>Lake</t>
  </si>
  <si>
    <t>Lake ESD</t>
  </si>
  <si>
    <t>Superintendent</t>
  </si>
  <si>
    <t>Jack</t>
  </si>
  <si>
    <t>Thompson</t>
  </si>
  <si>
    <t>Special Education Director</t>
  </si>
  <si>
    <t>Jack Thompson</t>
  </si>
  <si>
    <t>Malheur</t>
  </si>
  <si>
    <t>Malheur ESD Region 14</t>
  </si>
  <si>
    <t>Kevin</t>
  </si>
  <si>
    <t>Teresa</t>
  </si>
  <si>
    <t>Jones</t>
  </si>
  <si>
    <t>Teresa Jones</t>
  </si>
  <si>
    <t>Teresa.jones@malesd.org</t>
  </si>
  <si>
    <t>Jennifer</t>
  </si>
  <si>
    <t>Nielson</t>
  </si>
  <si>
    <t>x3702</t>
  </si>
  <si>
    <t>jennifer.nielson@adriansd.org</t>
  </si>
  <si>
    <t>Benton</t>
  </si>
  <si>
    <t>Linn Benton Lincoln ESD</t>
  </si>
  <si>
    <t>Marc Thielman</t>
  </si>
  <si>
    <t>Katie</t>
  </si>
  <si>
    <t>Sapp</t>
  </si>
  <si>
    <t>katie.sapp@alsea.k12.or.us</t>
  </si>
  <si>
    <t>Yamhill</t>
  </si>
  <si>
    <t>Willamette ESD</t>
  </si>
  <si>
    <t>Jeff</t>
  </si>
  <si>
    <t>Clark</t>
  </si>
  <si>
    <t>jeff.clark@amity.k12.or.us</t>
  </si>
  <si>
    <t>Tod Butterfield</t>
  </si>
  <si>
    <t>Ann</t>
  </si>
  <si>
    <t>Adams</t>
  </si>
  <si>
    <t>ann.adams@amity.k12.or.us</t>
  </si>
  <si>
    <t>Steve</t>
  </si>
  <si>
    <t>Bishop</t>
  </si>
  <si>
    <t>Allison</t>
  </si>
  <si>
    <t>Nunez</t>
  </si>
  <si>
    <t>Allison.Nunez@malesd.org</t>
  </si>
  <si>
    <t>Gilliam</t>
  </si>
  <si>
    <t>North Central ESD</t>
  </si>
  <si>
    <t>Rinda Montgomery Conwell</t>
  </si>
  <si>
    <t>Danelle</t>
  </si>
  <si>
    <t>Wetherell</t>
  </si>
  <si>
    <t>Dawetherell@arlington.k12.or.us</t>
  </si>
  <si>
    <t>Matt</t>
  </si>
  <si>
    <t>Mejia</t>
  </si>
  <si>
    <t>matt.mejia@malesd.org</t>
  </si>
  <si>
    <t>Jackson</t>
  </si>
  <si>
    <t>Southern Oregon ESD</t>
  </si>
  <si>
    <t>Kelly</t>
  </si>
  <si>
    <t>Samuel</t>
  </si>
  <si>
    <t>Bogdanove</t>
  </si>
  <si>
    <t>Samuel Bogdanove</t>
  </si>
  <si>
    <t>samuel.bogdanove@ashland.k12.or.us</t>
  </si>
  <si>
    <t>Alana</t>
  </si>
  <si>
    <t>Valencia</t>
  </si>
  <si>
    <t>x1120</t>
  </si>
  <si>
    <t>Alana.Valencia@ashland.k12.or.us</t>
  </si>
  <si>
    <t>Jefferson</t>
  </si>
  <si>
    <t>Jefferson ESD</t>
  </si>
  <si>
    <t>Melanie</t>
  </si>
  <si>
    <t>Barbara</t>
  </si>
  <si>
    <t>Garland</t>
  </si>
  <si>
    <t>Barbara Garland</t>
  </si>
  <si>
    <t>Jeanne</t>
  </si>
  <si>
    <t>Hillman</t>
  </si>
  <si>
    <t>jhillman@ashwood.k12.or.us</t>
  </si>
  <si>
    <t>Clatsop</t>
  </si>
  <si>
    <t>Northwest Regional ESD</t>
  </si>
  <si>
    <t>Craig</t>
  </si>
  <si>
    <t>Hoppes</t>
  </si>
  <si>
    <t>choppes@astoria.k12.or.us</t>
  </si>
  <si>
    <t>Travis</t>
  </si>
  <si>
    <t>Roe</t>
  </si>
  <si>
    <t>Travis Roe</t>
  </si>
  <si>
    <t>troe@astoria.k12.or.us</t>
  </si>
  <si>
    <t>Mindy</t>
  </si>
  <si>
    <t>Landwehr</t>
  </si>
  <si>
    <t>mlandwehr@astoria.k12.or.us</t>
  </si>
  <si>
    <t>Umatilla</t>
  </si>
  <si>
    <t>InterMountain ESD</t>
  </si>
  <si>
    <t>Vescio</t>
  </si>
  <si>
    <t>Ann Vescio</t>
  </si>
  <si>
    <t>ann.vescio@athwestsd.org</t>
  </si>
  <si>
    <t>Baker</t>
  </si>
  <si>
    <t>Mark</t>
  </si>
  <si>
    <t>Barry</t>
  </si>
  <si>
    <t>Nemec</t>
  </si>
  <si>
    <t>Barry Nemec</t>
  </si>
  <si>
    <t>Barry.Nemec@bakersd.org</t>
  </si>
  <si>
    <t>Michelle</t>
  </si>
  <si>
    <t>Glover</t>
  </si>
  <si>
    <t>x1049</t>
  </si>
  <si>
    <t>michelle.glover@bakersd.org</t>
  </si>
  <si>
    <t>Coos</t>
  </si>
  <si>
    <t>South Coast ESD</t>
  </si>
  <si>
    <t>Becky</t>
  </si>
  <si>
    <t>Armistead</t>
  </si>
  <si>
    <t>Becky Armistead</t>
  </si>
  <si>
    <t>beckya@bandon.k12.or.us</t>
  </si>
  <si>
    <t>Karina</t>
  </si>
  <si>
    <t>Taylor</t>
  </si>
  <si>
    <t>ktaylor@bandon.k12.or.us</t>
  </si>
  <si>
    <t>Washington</t>
  </si>
  <si>
    <t>Shelley</t>
  </si>
  <si>
    <t>Shelley Mitchell</t>
  </si>
  <si>
    <t>Joni</t>
  </si>
  <si>
    <t>Spencer</t>
  </si>
  <si>
    <t>jonis@banks.k12.or.us</t>
  </si>
  <si>
    <t>Don</t>
  </si>
  <si>
    <t>Danielle</t>
  </si>
  <si>
    <t>Danielle Hudson</t>
  </si>
  <si>
    <t>Jim</t>
  </si>
  <si>
    <t>Deschutes</t>
  </si>
  <si>
    <t>High Desert ESD</t>
  </si>
  <si>
    <t>Sean</t>
  </si>
  <si>
    <t>Reinhart</t>
  </si>
  <si>
    <t>Sean Reinhart</t>
  </si>
  <si>
    <t>sean.reinhart@bend.k12.or.us</t>
  </si>
  <si>
    <t>Lane</t>
  </si>
  <si>
    <t>Lane ESD</t>
  </si>
  <si>
    <t>Chris</t>
  </si>
  <si>
    <t>Amy</t>
  </si>
  <si>
    <t>Amy Tidwell</t>
  </si>
  <si>
    <t>Simon</t>
  </si>
  <si>
    <t>Levear</t>
  </si>
  <si>
    <t>x2016</t>
  </si>
  <si>
    <t>simon.levear@bethel.k12.or.us</t>
  </si>
  <si>
    <t>James</t>
  </si>
  <si>
    <t>Rilke Klingsporn</t>
  </si>
  <si>
    <t>Pat</t>
  </si>
  <si>
    <t>Rufo</t>
  </si>
  <si>
    <t>prufo@blachly.k12.or.us</t>
  </si>
  <si>
    <t>Delaney</t>
  </si>
  <si>
    <t>Sharp</t>
  </si>
  <si>
    <t>dsharp@blackbutte.k12.or.us</t>
  </si>
  <si>
    <t>Curry</t>
  </si>
  <si>
    <t>Angela</t>
  </si>
  <si>
    <t>Angela Crum</t>
  </si>
  <si>
    <t>Jerod</t>
  </si>
  <si>
    <t>Nunn</t>
  </si>
  <si>
    <t>jerodn@brookings.k12.or.us</t>
  </si>
  <si>
    <t>Lyon</t>
  </si>
  <si>
    <t>Corrina</t>
  </si>
  <si>
    <t>Robinson</t>
  </si>
  <si>
    <t>Corrina Robinson</t>
  </si>
  <si>
    <t>corrina.robinson@imesd.k12.or.us</t>
  </si>
  <si>
    <t>Debbie</t>
  </si>
  <si>
    <t>Gregg</t>
  </si>
  <si>
    <t>deb.gregg@burntriver.k12.or.us</t>
  </si>
  <si>
    <t>Phil</t>
  </si>
  <si>
    <t>Long</t>
  </si>
  <si>
    <t>plong@buttefalls.k12.or.us</t>
  </si>
  <si>
    <t>Terri</t>
  </si>
  <si>
    <t>Olsen</t>
  </si>
  <si>
    <t>Terri Olsen</t>
  </si>
  <si>
    <t>tolsen@buttefalls.k12.or.us</t>
  </si>
  <si>
    <t>Racheal</t>
  </si>
  <si>
    <t>Aiken</t>
  </si>
  <si>
    <t>racheal.aiken@douglasesd.k12.or.us</t>
  </si>
  <si>
    <t>Douglas</t>
  </si>
  <si>
    <t>Douglas ESD</t>
  </si>
  <si>
    <t>Wonsley</t>
  </si>
  <si>
    <t>Bill (William)</t>
  </si>
  <si>
    <t>Storey</t>
  </si>
  <si>
    <t>Bill (William) Storey</t>
  </si>
  <si>
    <t>bill.storey@camasvalley.k12.or.us</t>
  </si>
  <si>
    <t>Rachel</t>
  </si>
  <si>
    <t>Amos</t>
  </si>
  <si>
    <t>Clackamas</t>
  </si>
  <si>
    <t>Clackamas ESD</t>
  </si>
  <si>
    <t>Kathy</t>
  </si>
  <si>
    <t>Sullivan</t>
  </si>
  <si>
    <t>Kathy Sullivan</t>
  </si>
  <si>
    <t>Denise</t>
  </si>
  <si>
    <t>Lapp</t>
  </si>
  <si>
    <t>Marion</t>
  </si>
  <si>
    <t>Darin</t>
  </si>
  <si>
    <t>Drill</t>
  </si>
  <si>
    <t>Carroll</t>
  </si>
  <si>
    <t>Kevin Carroll</t>
  </si>
  <si>
    <t>Scott</t>
  </si>
  <si>
    <t>Pillar</t>
  </si>
  <si>
    <t>x1904</t>
  </si>
  <si>
    <t>spillar@cascade.k12.or.us</t>
  </si>
  <si>
    <t>Multnomah</t>
  </si>
  <si>
    <t>Multnomah ESD</t>
  </si>
  <si>
    <t>Paul</t>
  </si>
  <si>
    <t>Wright</t>
  </si>
  <si>
    <t>Denise Wright</t>
  </si>
  <si>
    <t>Cheryl</t>
  </si>
  <si>
    <t>Wangeman</t>
  </si>
  <si>
    <t>cheryl_wangeman@csd28j.org</t>
  </si>
  <si>
    <t>Tim</t>
  </si>
  <si>
    <t>Kathleen</t>
  </si>
  <si>
    <t>Stauff</t>
  </si>
  <si>
    <t>Kathleen Stauff</t>
  </si>
  <si>
    <t>Kristal</t>
  </si>
  <si>
    <t>Carpenter</t>
  </si>
  <si>
    <t xml:space="preserve">kcarpenter@ccsd.k12.or.us
</t>
  </si>
  <si>
    <t>Linn</t>
  </si>
  <si>
    <t>Brian</t>
  </si>
  <si>
    <t>Gardner</t>
  </si>
  <si>
    <t>Brian K. Gardner</t>
  </si>
  <si>
    <t>Celeste</t>
  </si>
  <si>
    <t>Van Cleave</t>
  </si>
  <si>
    <t>x3223</t>
  </si>
  <si>
    <t xml:space="preserve">celeste.vancleave@centrallinn.k12.or.us </t>
  </si>
  <si>
    <t>Samantha</t>
  </si>
  <si>
    <t>Ryan</t>
  </si>
  <si>
    <t>Munn</t>
  </si>
  <si>
    <t>Ryan Munn</t>
  </si>
  <si>
    <t>Ryan.munn@district6.org</t>
  </si>
  <si>
    <t>Polk</t>
  </si>
  <si>
    <t>Kubista</t>
  </si>
  <si>
    <t>jkubista@central.k12.or.us</t>
  </si>
  <si>
    <t>Julia Heilman</t>
  </si>
  <si>
    <t>Koontz</t>
  </si>
  <si>
    <t>ckoontz@central.k12.or.us</t>
  </si>
  <si>
    <t>Columbia</t>
  </si>
  <si>
    <t>Cathy</t>
  </si>
  <si>
    <t>Cathy Hurowitz</t>
  </si>
  <si>
    <t>Daniliz</t>
  </si>
  <si>
    <t>Ortega-Reyes</t>
  </si>
  <si>
    <t>dortega@nwresd.k12.or.us</t>
  </si>
  <si>
    <t>Koreen Barreras-Brown</t>
  </si>
  <si>
    <t>Gibb</t>
  </si>
  <si>
    <t>503-824-3535</t>
  </si>
  <si>
    <t>businessmanager@colton.k12.or.us</t>
  </si>
  <si>
    <t>Marcia LaDuke</t>
  </si>
  <si>
    <t>Lori</t>
  </si>
  <si>
    <t>Myers</t>
  </si>
  <si>
    <t>lmyers@condon.k12.or.us</t>
  </si>
  <si>
    <t>Bryan</t>
  </si>
  <si>
    <t>Lisa</t>
  </si>
  <si>
    <t>DeSalvio</t>
  </si>
  <si>
    <t>Lisa DeSalvio</t>
  </si>
  <si>
    <t>lisad@coos-bay.k12.or.us</t>
  </si>
  <si>
    <t>Candace</t>
  </si>
  <si>
    <t>McGowne</t>
  </si>
  <si>
    <t>candacem@coos-bay.k12.or.us</t>
  </si>
  <si>
    <t>Sweeney</t>
  </si>
  <si>
    <t>Wayne</t>
  </si>
  <si>
    <t>Gallagher</t>
  </si>
  <si>
    <t>Wayne Gallagher</t>
  </si>
  <si>
    <t>wgallagher@coquille.k12.or.us</t>
  </si>
  <si>
    <t>Teri</t>
  </si>
  <si>
    <t>Pointer</t>
  </si>
  <si>
    <t>tpointer@coquille.k12.or.us</t>
  </si>
  <si>
    <t>Randy</t>
  </si>
  <si>
    <t>Swift</t>
  </si>
  <si>
    <t>Jeanie Swift</t>
  </si>
  <si>
    <t>jswift@corbett.k12.or.us</t>
  </si>
  <si>
    <t>Doana</t>
  </si>
  <si>
    <t>Anderson</t>
  </si>
  <si>
    <t>danderson@corbett.k12.or.us</t>
  </si>
  <si>
    <t>Noss</t>
  </si>
  <si>
    <t>Sabrina Alexander</t>
  </si>
  <si>
    <t>Bell</t>
  </si>
  <si>
    <t>debbie.bell@corvallis.k12.or.us</t>
  </si>
  <si>
    <t>Union</t>
  </si>
  <si>
    <t>Earl</t>
  </si>
  <si>
    <t>Pettit</t>
  </si>
  <si>
    <t>earl.pettit@covesd.org</t>
  </si>
  <si>
    <t>Mat Miles</t>
  </si>
  <si>
    <t>Amie</t>
  </si>
  <si>
    <t>Breshears</t>
  </si>
  <si>
    <t>amie.breshears@covesd.org</t>
  </si>
  <si>
    <t>Michael</t>
  </si>
  <si>
    <t>Johnson</t>
  </si>
  <si>
    <t>mjohnson@creswell.k12.or.us</t>
  </si>
  <si>
    <t>Aguero</t>
  </si>
  <si>
    <t>Amy Aguero</t>
  </si>
  <si>
    <t>aaguero@creswell.k12.or.us</t>
  </si>
  <si>
    <t>Anna</t>
  </si>
  <si>
    <t>Houpt</t>
  </si>
  <si>
    <t>ahoupt@creswell.k12.or.us</t>
  </si>
  <si>
    <t>Crook</t>
  </si>
  <si>
    <t>Sara</t>
  </si>
  <si>
    <t>Mona Boyd</t>
  </si>
  <si>
    <t>Logan</t>
  </si>
  <si>
    <t>anna.logan@crookcounty.k12.or.us</t>
  </si>
  <si>
    <t>Tami</t>
  </si>
  <si>
    <t>Bloom</t>
  </si>
  <si>
    <t>Tami Bloom</t>
  </si>
  <si>
    <t>tbloom@cal.k12.or.us</t>
  </si>
  <si>
    <t>David</t>
  </si>
  <si>
    <t>Standridge</t>
  </si>
  <si>
    <t>dstandridge@lesd.k12.or.us</t>
  </si>
  <si>
    <t>Garber</t>
  </si>
  <si>
    <t>Cavinaw</t>
  </si>
  <si>
    <t>acavinaw@culver.k12.or.us</t>
  </si>
  <si>
    <t>Andy</t>
  </si>
  <si>
    <t>Autymn</t>
  </si>
  <si>
    <t>Galbraith</t>
  </si>
  <si>
    <t>Autymn Galbraith</t>
  </si>
  <si>
    <t>autymn.galbraith@dsd2.org</t>
  </si>
  <si>
    <t>MacLean</t>
  </si>
  <si>
    <t>debbie.maclean@dsd2.org</t>
  </si>
  <si>
    <t>Ken</t>
  </si>
  <si>
    <t>Richardson</t>
  </si>
  <si>
    <t>Mary Pearson</t>
  </si>
  <si>
    <t>Patt</t>
  </si>
  <si>
    <t>Komar</t>
  </si>
  <si>
    <t>Patt_Komar@ddsd40.org</t>
  </si>
  <si>
    <t>Stephanie</t>
  </si>
  <si>
    <t>Stephanie Ewing</t>
  </si>
  <si>
    <t>Grant</t>
  </si>
  <si>
    <t>Grant ESD</t>
  </si>
  <si>
    <t>Wendy</t>
  </si>
  <si>
    <t>Burril</t>
  </si>
  <si>
    <t>Wendy Burril</t>
  </si>
  <si>
    <t>burrilw@grantesd.k12.or.us</t>
  </si>
  <si>
    <t>Harney</t>
  </si>
  <si>
    <t>Harney ESD Region XVII</t>
  </si>
  <si>
    <t>Gayle</t>
  </si>
  <si>
    <t>Gayle Mackey</t>
  </si>
  <si>
    <t>Annette</t>
  </si>
  <si>
    <t>Carson</t>
  </si>
  <si>
    <t>carsona@harneyesd.k12.or.us</t>
  </si>
  <si>
    <t>Julie</t>
  </si>
  <si>
    <t>Opie</t>
  </si>
  <si>
    <t>jopie@centurytel.net</t>
  </si>
  <si>
    <t>Woods</t>
  </si>
  <si>
    <t>steve.woods@dayscreek.k12.or.us</t>
  </si>
  <si>
    <t>Knapp</t>
  </si>
  <si>
    <t>Cathy Knapp</t>
  </si>
  <si>
    <t>cathy.knapp@dayscreek.k12.or.us</t>
  </si>
  <si>
    <t>Jared</t>
  </si>
  <si>
    <t>Cordon</t>
  </si>
  <si>
    <t>jcordon@roseburg.k12.or.us</t>
  </si>
  <si>
    <t>Rick</t>
  </si>
  <si>
    <t>Burton</t>
  </si>
  <si>
    <t>Rick Burton</t>
  </si>
  <si>
    <t>Northam</t>
  </si>
  <si>
    <t>cnortham@roseburg.k12.or.us</t>
  </si>
  <si>
    <t>Jodi</t>
  </si>
  <si>
    <t>Miller</t>
  </si>
  <si>
    <t>Jessica</t>
  </si>
  <si>
    <t>Engeberg</t>
  </si>
  <si>
    <t>drewseyclerk@harneyesd.k12.or.us</t>
  </si>
  <si>
    <t>Wasco</t>
  </si>
  <si>
    <t>Columbia Gorge ESD</t>
  </si>
  <si>
    <t>Henderson</t>
  </si>
  <si>
    <t>jhender@dufur.k12.or.us</t>
  </si>
  <si>
    <t>Virginia</t>
  </si>
  <si>
    <t>Albrecht</t>
  </si>
  <si>
    <t>x203</t>
  </si>
  <si>
    <t>valbrech@dufur.k12.or.us</t>
  </si>
  <si>
    <t>Kovach</t>
  </si>
  <si>
    <t>kovacha@eaglepnt.k12.or.us</t>
  </si>
  <si>
    <t>Vanessa</t>
  </si>
  <si>
    <t>Vanessa Jones</t>
  </si>
  <si>
    <t>Whitman</t>
  </si>
  <si>
    <t>whitmans@eaglepnt.k12.or.us</t>
  </si>
  <si>
    <t>Raymon</t>
  </si>
  <si>
    <t>Smith</t>
  </si>
  <si>
    <t>Christina</t>
  </si>
  <si>
    <t>Christina VanNice</t>
  </si>
  <si>
    <t>Denyce</t>
  </si>
  <si>
    <t>Denyce.Kelly@imesd.k12.or.us</t>
  </si>
  <si>
    <t>Dianne</t>
  </si>
  <si>
    <t>Greif</t>
  </si>
  <si>
    <t>dianne.greif@elginsd.org</t>
  </si>
  <si>
    <t>Corrina.Robinson@imesd.k12.or.us</t>
  </si>
  <si>
    <t>Ludwig</t>
  </si>
  <si>
    <t>dludwig@elginsd.org</t>
  </si>
  <si>
    <t>Boe</t>
  </si>
  <si>
    <t>andy.boe@elkton.k12.or.us</t>
  </si>
  <si>
    <t>Pat Sublette</t>
  </si>
  <si>
    <t>Edwina</t>
  </si>
  <si>
    <t>edwina.miller@elkton.k12.or.us</t>
  </si>
  <si>
    <t>Wallowa</t>
  </si>
  <si>
    <t>Region 18 ESD</t>
  </si>
  <si>
    <t>Erika</t>
  </si>
  <si>
    <t>Pinkerton</t>
  </si>
  <si>
    <t>Lynda Wingo</t>
  </si>
  <si>
    <t>Karen</t>
  </si>
  <si>
    <t>Josi</t>
  </si>
  <si>
    <t>x6120</t>
  </si>
  <si>
    <t>kcjosi@wallowaesd.k12.or.us</t>
  </si>
  <si>
    <t>Jason</t>
  </si>
  <si>
    <t>Hobson</t>
  </si>
  <si>
    <t>Jason Hobson</t>
  </si>
  <si>
    <t>hobsonj@estacada.k12.or.us</t>
  </si>
  <si>
    <t>Nick</t>
  </si>
  <si>
    <t>Hogan</t>
  </si>
  <si>
    <t>x2902</t>
  </si>
  <si>
    <t>hogann@estacada.k12.or.us</t>
  </si>
  <si>
    <t>Lange</t>
  </si>
  <si>
    <t>Kat Lange</t>
  </si>
  <si>
    <t>lange_k@4j.lane.edu</t>
  </si>
  <si>
    <t>Janice McVeety</t>
  </si>
  <si>
    <t>Handy</t>
  </si>
  <si>
    <t>x1103</t>
  </si>
  <si>
    <t>541-812-2608</t>
  </si>
  <si>
    <t>jennifer.handy@lblesd.k12.or.us</t>
  </si>
  <si>
    <t>Gary</t>
  </si>
  <si>
    <t>Brands</t>
  </si>
  <si>
    <t>Brian Brands</t>
  </si>
  <si>
    <t>bbrands@fernridge.k12.or.us</t>
  </si>
  <si>
    <t>Quanah</t>
  </si>
  <si>
    <t>Bennett</t>
  </si>
  <si>
    <t>x1202</t>
  </si>
  <si>
    <t>qbennett@fernridge.k12.or.us</t>
  </si>
  <si>
    <t>Parker</t>
  </si>
  <si>
    <t>dparker@fgsd.k12.or.us</t>
  </si>
  <si>
    <t>Kim</t>
  </si>
  <si>
    <t>Shearer</t>
  </si>
  <si>
    <t>Kim Shearer</t>
  </si>
  <si>
    <t>kshearer@fgsd.k12.or.us</t>
  </si>
  <si>
    <t>Ilean</t>
  </si>
  <si>
    <t>Clute</t>
  </si>
  <si>
    <t>x4547</t>
  </si>
  <si>
    <t>iclute@fgsd.k12.or.us</t>
  </si>
  <si>
    <t>Wheeler</t>
  </si>
  <si>
    <t>cjaeger@fossil.k12.or.us</t>
  </si>
  <si>
    <t>Carolyn</t>
  </si>
  <si>
    <t>Earlyna</t>
  </si>
  <si>
    <t>Hammond</t>
  </si>
  <si>
    <t>frglen16@harneyesd.k12.or.us</t>
  </si>
  <si>
    <t>Susan</t>
  </si>
  <si>
    <t>Susan McKenzie</t>
  </si>
  <si>
    <t>Chrissy</t>
  </si>
  <si>
    <t>Jarvis</t>
  </si>
  <si>
    <t>jarvisc@gastonk12.org</t>
  </si>
  <si>
    <t>Dandy</t>
  </si>
  <si>
    <t>Stevens</t>
  </si>
  <si>
    <t>dandy_stevens@gervais.k12.or.us</t>
  </si>
  <si>
    <t>Bob</t>
  </si>
  <si>
    <t>Martin</t>
  </si>
  <si>
    <t>Bob Martin</t>
  </si>
  <si>
    <t>Melissa</t>
  </si>
  <si>
    <t>Wolfer</t>
  </si>
  <si>
    <t>x5020</t>
  </si>
  <si>
    <t>melissa_wolfer@gervais.k12.or.us</t>
  </si>
  <si>
    <t>Stewart</t>
  </si>
  <si>
    <t>bob@gladstone.k12.or.us</t>
  </si>
  <si>
    <t>Kelly Welch</t>
  </si>
  <si>
    <t>Nelson</t>
  </si>
  <si>
    <t>x594</t>
  </si>
  <si>
    <t>nelsons@gladstone.k12.or.us</t>
  </si>
  <si>
    <t>Brandy Olson</t>
  </si>
  <si>
    <t>Claire</t>
  </si>
  <si>
    <t>Cotton</t>
  </si>
  <si>
    <t>claire.cotton@douglasesd.k12.or.us</t>
  </si>
  <si>
    <t>Mike</t>
  </si>
  <si>
    <t>Bryan Hinson</t>
  </si>
  <si>
    <t>CJ</t>
  </si>
  <si>
    <t>Roberts</t>
  </si>
  <si>
    <t>cj.roberts@glide.k12.or.us</t>
  </si>
  <si>
    <t>Josephine</t>
  </si>
  <si>
    <t>Linda</t>
  </si>
  <si>
    <t>Linda White</t>
  </si>
  <si>
    <t>Sherry</t>
  </si>
  <si>
    <t>Ely</t>
  </si>
  <si>
    <t>sely@grantspass.k12.or.us</t>
  </si>
  <si>
    <t>Ryan Mattingly</t>
  </si>
  <si>
    <t>Russ</t>
  </si>
  <si>
    <t>Allen</t>
  </si>
  <si>
    <t>russ.allen@albany.k12.or.us</t>
  </si>
  <si>
    <t>Michele</t>
  </si>
  <si>
    <t>Cook</t>
  </si>
  <si>
    <t>Michele Cook</t>
  </si>
  <si>
    <t>Schofield</t>
  </si>
  <si>
    <t>Steven</t>
  </si>
  <si>
    <t>Steven Jones</t>
  </si>
  <si>
    <t>Gilsdorf</t>
  </si>
  <si>
    <t>Matthew</t>
  </si>
  <si>
    <t>Hawley</t>
  </si>
  <si>
    <t>Anne</t>
  </si>
  <si>
    <t>Sheeter</t>
  </si>
  <si>
    <t>Anne Sheeter</t>
  </si>
  <si>
    <t>Cori</t>
  </si>
  <si>
    <t>wrightc@harneyesd.k12.or.us</t>
  </si>
  <si>
    <t>Ron</t>
  </si>
  <si>
    <t>Talbot</t>
  </si>
  <si>
    <t>Starr</t>
  </si>
  <si>
    <t>bryan.starr@harrisburg.k12.or.us</t>
  </si>
  <si>
    <t>Bryan Starr</t>
  </si>
  <si>
    <t>Neece</t>
  </si>
  <si>
    <t>x364</t>
  </si>
  <si>
    <t>melanie.neece@harrisburg.k12.or.us</t>
  </si>
  <si>
    <t>Beth</t>
  </si>
  <si>
    <t>O'Hanlon</t>
  </si>
  <si>
    <t>beth.ohanlon@imesd.k12.or.us</t>
  </si>
  <si>
    <t>Tricia</t>
  </si>
  <si>
    <t>Mooney</t>
  </si>
  <si>
    <t>BJ Wilson</t>
  </si>
  <si>
    <t>Saul</t>
  </si>
  <si>
    <t>scottm@hsd.k12.or.us</t>
  </si>
  <si>
    <t>Elaine</t>
  </si>
  <si>
    <t>Fox</t>
  </si>
  <si>
    <t>Elaine Fox</t>
  </si>
  <si>
    <t>foxe@hsd.k12.or.us</t>
  </si>
  <si>
    <t>Hood River</t>
  </si>
  <si>
    <t>Anne Carloss</t>
  </si>
  <si>
    <t>Saundra</t>
  </si>
  <si>
    <t>Buchanan</t>
  </si>
  <si>
    <t>saundra.buchanan@hoodriver.k12.or.us</t>
  </si>
  <si>
    <t>Bullock</t>
  </si>
  <si>
    <t>scott.bullock@huntington.k12.or.us</t>
  </si>
  <si>
    <t>Teressa</t>
  </si>
  <si>
    <t>Dewey</t>
  </si>
  <si>
    <t>tdewey@imblersd.org</t>
  </si>
  <si>
    <t>Morrow</t>
  </si>
  <si>
    <t>Jon</t>
  </si>
  <si>
    <t>Parshall</t>
  </si>
  <si>
    <t>Martha</t>
  </si>
  <si>
    <t>Bewley</t>
  </si>
  <si>
    <t>mbewley@509j.net</t>
  </si>
  <si>
    <t>Brad</t>
  </si>
  <si>
    <t>Capener</t>
  </si>
  <si>
    <t>brad.capener@jefferson.k12.or.us</t>
  </si>
  <si>
    <t>Tracy</t>
  </si>
  <si>
    <t>Tracy Keuler</t>
  </si>
  <si>
    <t>Hattie</t>
  </si>
  <si>
    <t>Truett</t>
  </si>
  <si>
    <t>hattie.truett@jefferson.k12.or.us</t>
  </si>
  <si>
    <t>Phillips</t>
  </si>
  <si>
    <t>Sherri</t>
  </si>
  <si>
    <t>Jansen</t>
  </si>
  <si>
    <t>Sherri Jansen</t>
  </si>
  <si>
    <t>sherrij@jewellk12.org</t>
  </si>
  <si>
    <t>Tera</t>
  </si>
  <si>
    <t>Vandyke</t>
  </si>
  <si>
    <t>x2428</t>
  </si>
  <si>
    <t>terav@jewell.k12.or.us</t>
  </si>
  <si>
    <t>Bret</t>
  </si>
  <si>
    <t>Rhonda McCumber</t>
  </si>
  <si>
    <t>Heidi</t>
  </si>
  <si>
    <t>Hallgarth</t>
  </si>
  <si>
    <t>x23</t>
  </si>
  <si>
    <t>hallgarthh@grantesd.k12.or.us</t>
  </si>
  <si>
    <t>Rusty</t>
  </si>
  <si>
    <t>Bengoa</t>
  </si>
  <si>
    <t>Lee</t>
  </si>
  <si>
    <t>Lance</t>
  </si>
  <si>
    <t>Homan</t>
  </si>
  <si>
    <t>lance.homan@staff.josephcharter.org</t>
  </si>
  <si>
    <t>Bradford</t>
  </si>
  <si>
    <t>Katie Bradford</t>
  </si>
  <si>
    <t>kbradford@junctioncity.k12.or.us</t>
  </si>
  <si>
    <t>Alison</t>
  </si>
  <si>
    <t>Covey</t>
  </si>
  <si>
    <t>acovey@junctioncity.k12.or.us</t>
  </si>
  <si>
    <t>Klamath</t>
  </si>
  <si>
    <t>Glen</t>
  </si>
  <si>
    <t>szymoniakg@kcsd.k12.or.us</t>
  </si>
  <si>
    <t>Laura</t>
  </si>
  <si>
    <t>Laura Blair</t>
  </si>
  <si>
    <t>Dennis</t>
  </si>
  <si>
    <t>Clague</t>
  </si>
  <si>
    <t>clagued@kcsd.k12.or.us</t>
  </si>
  <si>
    <t>Heidi Schultz</t>
  </si>
  <si>
    <t>Morgan</t>
  </si>
  <si>
    <t>morganj@kfalls.k12.or.us</t>
  </si>
  <si>
    <t>Leila Collier</t>
  </si>
  <si>
    <t>April</t>
  </si>
  <si>
    <t>Fresh</t>
  </si>
  <si>
    <t>x302</t>
  </si>
  <si>
    <t>fresha@knappak12.org</t>
  </si>
  <si>
    <t>George</t>
  </si>
  <si>
    <t>Mendoza</t>
  </si>
  <si>
    <t>Carol</t>
  </si>
  <si>
    <t>Carol Byron</t>
  </si>
  <si>
    <t>Panike</t>
  </si>
  <si>
    <t>chris.panike@lagrandesd.org</t>
  </si>
  <si>
    <t>Cahill</t>
  </si>
  <si>
    <t>Lonnie Chavez</t>
  </si>
  <si>
    <t>Janet</t>
  </si>
  <si>
    <t>Melsness</t>
  </si>
  <si>
    <t>melsnessj@lakeview.k12.or.us</t>
  </si>
  <si>
    <t>Patrick</t>
  </si>
  <si>
    <t>Patrick Tomblin</t>
  </si>
  <si>
    <t>Stuart</t>
  </si>
  <si>
    <t>Ketzler</t>
  </si>
  <si>
    <t>stuart.ketzler@loswego.k12.or.us</t>
  </si>
  <si>
    <t>Bo</t>
  </si>
  <si>
    <t>Yates</t>
  </si>
  <si>
    <t>Jan Sansom</t>
  </si>
  <si>
    <t>William</t>
  </si>
  <si>
    <t>Lewis</t>
  </si>
  <si>
    <t>x1145</t>
  </si>
  <si>
    <t>william.lewis@lebanon.k12.or.us</t>
  </si>
  <si>
    <t>Lincoln</t>
  </si>
  <si>
    <t>Gray</t>
  </si>
  <si>
    <t>Stefanie Gould</t>
  </si>
  <si>
    <t>Cusick</t>
  </si>
  <si>
    <t>kim.cusick@lincoln.k12.or.us</t>
  </si>
  <si>
    <t>Garinger</t>
  </si>
  <si>
    <t>x301</t>
  </si>
  <si>
    <t>garingerj@grantesd.k12.or.us</t>
  </si>
  <si>
    <t>Johnie</t>
  </si>
  <si>
    <t>Matthews</t>
  </si>
  <si>
    <t>Amber</t>
  </si>
  <si>
    <t>Amber Hansen</t>
  </si>
  <si>
    <t>karen.nunn@malesd.org</t>
  </si>
  <si>
    <t>O'Mara</t>
  </si>
  <si>
    <t>jomara@mapleton.k12.or.us</t>
  </si>
  <si>
    <t>Brenda</t>
  </si>
  <si>
    <t>Moyer</t>
  </si>
  <si>
    <t>Brenda Moyer</t>
  </si>
  <si>
    <t>bmoyer@mapleton.k12.or.us</t>
  </si>
  <si>
    <t>Jeron</t>
  </si>
  <si>
    <t>Ricks</t>
  </si>
  <si>
    <t>x200</t>
  </si>
  <si>
    <t>jricks@mapleton.k12.or.us</t>
  </si>
  <si>
    <t>Watkins</t>
  </si>
  <si>
    <t>Tami White</t>
  </si>
  <si>
    <t>Adrienne</t>
  </si>
  <si>
    <t>D'addabbo</t>
  </si>
  <si>
    <t>adaddabbo@marcola.k12.or.us</t>
  </si>
  <si>
    <t>Tompkins</t>
  </si>
  <si>
    <t>Brent</t>
  </si>
  <si>
    <t>Meister</t>
  </si>
  <si>
    <t>Brent Meister</t>
  </si>
  <si>
    <t>Whitson</t>
  </si>
  <si>
    <t>Lu Ann Anderson</t>
  </si>
  <si>
    <t>Escure</t>
  </si>
  <si>
    <t>SEscure@msd.k12.or.us</t>
  </si>
  <si>
    <t>Champion</t>
  </si>
  <si>
    <t>bret.champion@medford.k12.or.us</t>
  </si>
  <si>
    <t>Debbie Simons</t>
  </si>
  <si>
    <t>541-842-1036</t>
  </si>
  <si>
    <t>Brad.Earl@medford.k12.or.us</t>
  </si>
  <si>
    <t>Aaron</t>
  </si>
  <si>
    <t>Duff</t>
  </si>
  <si>
    <t>Margo</t>
  </si>
  <si>
    <t>Piver</t>
  </si>
  <si>
    <t>Margo Piver</t>
  </si>
  <si>
    <t>margo.piver@miltfree.k12.or.us</t>
  </si>
  <si>
    <t>Vince</t>
  </si>
  <si>
    <t>Swagerty</t>
  </si>
  <si>
    <t>vswagerty@mitchell.k12.or.us</t>
  </si>
  <si>
    <t>Domenighini</t>
  </si>
  <si>
    <t>kdomenighini@ncesd.k12.or.us</t>
  </si>
  <si>
    <t>Tony</t>
  </si>
  <si>
    <t>Mann</t>
  </si>
  <si>
    <t>tony.mann@molallariv.k12.or.us</t>
  </si>
  <si>
    <t>Michael Salitore</t>
  </si>
  <si>
    <t>Gill</t>
  </si>
  <si>
    <t>x229</t>
  </si>
  <si>
    <t>Bill</t>
  </si>
  <si>
    <t>Crowson</t>
  </si>
  <si>
    <t>bill.crowson@monroe.k12.or.us</t>
  </si>
  <si>
    <t>Kathleen Walker</t>
  </si>
  <si>
    <t>Lauren</t>
  </si>
  <si>
    <t>Wolfe</t>
  </si>
  <si>
    <t>lauren.wolfe@monroe.k12.or.us</t>
  </si>
  <si>
    <t>Thomas</t>
  </si>
  <si>
    <t>thomasl@grantesd.k12.or.us</t>
  </si>
  <si>
    <t>Stacie</t>
  </si>
  <si>
    <t>Holmstrom</t>
  </si>
  <si>
    <t>holmstroms@grantesd.k12.or.us</t>
  </si>
  <si>
    <t>Dirk</t>
  </si>
  <si>
    <t>Dirksen</t>
  </si>
  <si>
    <t>dirk.dirksen@morrow.k12.or.us</t>
  </si>
  <si>
    <t>Ian Hampton</t>
  </si>
  <si>
    <t>Troy</t>
  </si>
  <si>
    <t>Stoops</t>
  </si>
  <si>
    <t>Erica</t>
  </si>
  <si>
    <t>Gordon</t>
  </si>
  <si>
    <t>Erica Gordon</t>
  </si>
  <si>
    <t>Schmidt</t>
  </si>
  <si>
    <t xml:space="preserve">schmidt_gayle@mtangel.k12.or.us </t>
  </si>
  <si>
    <t>Nanette</t>
  </si>
  <si>
    <t>Hagen</t>
  </si>
  <si>
    <t>Stacy Matthews</t>
  </si>
  <si>
    <t>Lacey</t>
  </si>
  <si>
    <t>Wells</t>
  </si>
  <si>
    <t>lhouston@mpsd.k12.or.us</t>
  </si>
  <si>
    <t>Tillamook</t>
  </si>
  <si>
    <t>Erlebach</t>
  </si>
  <si>
    <t>paule@nknsd.org</t>
  </si>
  <si>
    <t>Stacey</t>
  </si>
  <si>
    <t>Stacey Dills</t>
  </si>
  <si>
    <t>Sybouts</t>
  </si>
  <si>
    <t>marks@nknsd.org</t>
  </si>
  <si>
    <t>Misty</t>
  </si>
  <si>
    <t>Wharton</t>
  </si>
  <si>
    <t>mistyw@nestucca.k12.or.us</t>
  </si>
  <si>
    <t>Megan</t>
  </si>
  <si>
    <t>Kellow</t>
  </si>
  <si>
    <t>Megan Kellow</t>
  </si>
  <si>
    <t>megank@nestucca.k12.or.us</t>
  </si>
  <si>
    <t>Tami Montague</t>
  </si>
  <si>
    <t>Andre Schellhaas</t>
  </si>
  <si>
    <t>tmontague@nwresd.k12.or.us / aschellhaas@nwresd.k12.or.us</t>
  </si>
  <si>
    <t>Joseph</t>
  </si>
  <si>
    <t>Morelock</t>
  </si>
  <si>
    <t>Ann Ziehl</t>
  </si>
  <si>
    <t>Nikki</t>
  </si>
  <si>
    <t>Fowler</t>
  </si>
  <si>
    <t>fowlern@newberg.k12.or.us</t>
  </si>
  <si>
    <t>kbogatin@nbend.k12.or.us</t>
  </si>
  <si>
    <t>Korrinne</t>
  </si>
  <si>
    <t>Ross</t>
  </si>
  <si>
    <t>Korrinne Ross</t>
  </si>
  <si>
    <t>kross@nbend.k12.or.us</t>
  </si>
  <si>
    <t>O'Connor</t>
  </si>
  <si>
    <t>soconnor@nbend.k12.or.us</t>
  </si>
  <si>
    <t>Rob Holloway</t>
  </si>
  <si>
    <t>Gayellyn</t>
  </si>
  <si>
    <t>Jacobson</t>
  </si>
  <si>
    <t>jacobsong@nclack.k12.or.us</t>
  </si>
  <si>
    <t>Terry</t>
  </si>
  <si>
    <t>Terry Bennett</t>
  </si>
  <si>
    <t>Audrey</t>
  </si>
  <si>
    <t>Palki</t>
  </si>
  <si>
    <t>x282</t>
  </si>
  <si>
    <t>apalki@northdouglas.k12.or.us</t>
  </si>
  <si>
    <t>Dave</t>
  </si>
  <si>
    <t>Gail Buermann</t>
  </si>
  <si>
    <t>gbuermann@nlake.k12.or.us</t>
  </si>
  <si>
    <t>Sarensen</t>
  </si>
  <si>
    <t>Ginger</t>
  </si>
  <si>
    <t>Redlinger</t>
  </si>
  <si>
    <t>ginger.redlinger@nmarion.k12.or.us</t>
  </si>
  <si>
    <t>Patrick McArthur</t>
  </si>
  <si>
    <t>Murray</t>
  </si>
  <si>
    <t>linda.murray@nmarion.k12.or.us</t>
  </si>
  <si>
    <t>Dixon</t>
  </si>
  <si>
    <t>lance.dixon@npowdersd.org</t>
  </si>
  <si>
    <t>Jeri</t>
  </si>
  <si>
    <t>Harbison</t>
  </si>
  <si>
    <t>Jeri Harbison</t>
  </si>
  <si>
    <t>jeri.harbison@nsantiam.k12.or.us</t>
  </si>
  <si>
    <t>Jane</t>
  </si>
  <si>
    <t>Nofziger</t>
  </si>
  <si>
    <t xml:space="preserve">jane.nofziger@nsantiam.k12.or.us </t>
  </si>
  <si>
    <t>Snodgrass</t>
  </si>
  <si>
    <t>Jary Snodgrass</t>
  </si>
  <si>
    <t>andersonr@nwasco.k12.or.us</t>
  </si>
  <si>
    <t>Darren</t>
  </si>
  <si>
    <t>djohnson@nyssasd.org</t>
  </si>
  <si>
    <t>Araceli Gomez</t>
  </si>
  <si>
    <t>Crystal</t>
  </si>
  <si>
    <t>Rideau</t>
  </si>
  <si>
    <t>crideau@nyssasd.org</t>
  </si>
  <si>
    <t>Anne Lamoreaux</t>
  </si>
  <si>
    <t>Goodin</t>
  </si>
  <si>
    <t>amber.goodin@oakland.k12.or.us</t>
  </si>
  <si>
    <t>Reta</t>
  </si>
  <si>
    <t>Doland</t>
  </si>
  <si>
    <t>rdoland@ohswarriors.net</t>
  </si>
  <si>
    <t>Chad</t>
  </si>
  <si>
    <t>Harrison</t>
  </si>
  <si>
    <t>Chad Harrison</t>
  </si>
  <si>
    <t>charrison@lesd.k12.or.us</t>
  </si>
  <si>
    <t>Peggy</t>
  </si>
  <si>
    <t>Mahla</t>
  </si>
  <si>
    <t>pmahla@oakridge.k12.or.us</t>
  </si>
  <si>
    <t>Nicole</t>
  </si>
  <si>
    <t>Albisu</t>
  </si>
  <si>
    <t>Williams</t>
  </si>
  <si>
    <t>Melissa Williams</t>
  </si>
  <si>
    <t>mwilliams@ontario.k12.or.us</t>
  </si>
  <si>
    <t>Mary Jo</t>
  </si>
  <si>
    <t>Evers</t>
  </si>
  <si>
    <t>mjevers@ontario.k12.or.us</t>
  </si>
  <si>
    <t>Larry</t>
  </si>
  <si>
    <t>Todd  Nicholson</t>
  </si>
  <si>
    <t>Dodd</t>
  </si>
  <si>
    <t>susan.dodd@orecity.k12.or.us</t>
  </si>
  <si>
    <t>Bayer</t>
  </si>
  <si>
    <t>aaron.bayer@ortrail.k12.or.us</t>
  </si>
  <si>
    <t>Schweitzer</t>
  </si>
  <si>
    <t>Katie Schweitzer</t>
  </si>
  <si>
    <t>Belanger</t>
  </si>
  <si>
    <t>timothy.belanger@ortrail.k12.or.us</t>
  </si>
  <si>
    <t>Hauder</t>
  </si>
  <si>
    <t>p.hauder@paisleyschooldistrict.com</t>
  </si>
  <si>
    <t>Mollie</t>
  </si>
  <si>
    <t>O'Leary</t>
  </si>
  <si>
    <t>x103</t>
  </si>
  <si>
    <t xml:space="preserve">mollie@paisleyschooldistrict.com
</t>
  </si>
  <si>
    <t>Lopes-Serrao</t>
  </si>
  <si>
    <t>Sams</t>
  </si>
  <si>
    <t>Julie Sams</t>
  </si>
  <si>
    <t>Sharie</t>
  </si>
  <si>
    <t>Sharie_Lewis@parkrose.k12.or.us</t>
  </si>
  <si>
    <t>Julie Smith</t>
  </si>
  <si>
    <t>jsmith@pendletonsd.org</t>
  </si>
  <si>
    <t>Eric</t>
  </si>
  <si>
    <t>Milburn</t>
  </si>
  <si>
    <t>emilburn@perrydale.k12.or.us</t>
  </si>
  <si>
    <t>Erin</t>
  </si>
  <si>
    <t>Henery</t>
  </si>
  <si>
    <t>Erin Henery</t>
  </si>
  <si>
    <t>ehenery@perrydale.k12.or.us</t>
  </si>
  <si>
    <t>LaRae</t>
  </si>
  <si>
    <t>x1224</t>
  </si>
  <si>
    <t>lsullivan@perrydale.k12.or.us</t>
  </si>
  <si>
    <t>Krista</t>
  </si>
  <si>
    <t>McGuyer</t>
  </si>
  <si>
    <t>Krista McGuyer</t>
  </si>
  <si>
    <t>Mancuso</t>
  </si>
  <si>
    <t>x5103</t>
  </si>
  <si>
    <t>Bill.Mancuso@philomath.k12.or.us</t>
  </si>
  <si>
    <t>Tiffanie</t>
  </si>
  <si>
    <t>Lambert</t>
  </si>
  <si>
    <t>Tiffanie Lambert</t>
  </si>
  <si>
    <t>tiffanie.lambert@phoenix.k12.or.us</t>
  </si>
  <si>
    <t>Cammie</t>
  </si>
  <si>
    <t>cadecastro@pineeaglesd.org</t>
  </si>
  <si>
    <t>DeCastro</t>
  </si>
  <si>
    <t>Cammie DeCastro</t>
  </si>
  <si>
    <t>Butler</t>
  </si>
  <si>
    <t>lbutler@pineeaglesd.org</t>
  </si>
  <si>
    <t>Peck</t>
  </si>
  <si>
    <t>Susan Peck</t>
  </si>
  <si>
    <t>Susan_Peck@soesd.k12.or.us</t>
  </si>
  <si>
    <t>Gault</t>
  </si>
  <si>
    <t>tracy@pinehurst.k12.or.us</t>
  </si>
  <si>
    <t>Whitney</t>
  </si>
  <si>
    <t>Connolly</t>
  </si>
  <si>
    <t>Whitney Connolly</t>
  </si>
  <si>
    <t>wconnolly@pleasanthill.k12.or.us</t>
  </si>
  <si>
    <t>Sheri</t>
  </si>
  <si>
    <t>Longobardo</t>
  </si>
  <si>
    <t>slongobardo@pleasanthill.k12.or.us</t>
  </si>
  <si>
    <t>Chandra</t>
  </si>
  <si>
    <t xml:space="preserve">plushschoolclerk@gmail.com </t>
  </si>
  <si>
    <t>Perkins</t>
  </si>
  <si>
    <t>Nieraeth</t>
  </si>
  <si>
    <t>Krista Nieraeth</t>
  </si>
  <si>
    <t>Krista.Nieraeth@2cj.k12.or.us</t>
  </si>
  <si>
    <t>Staehely</t>
  </si>
  <si>
    <t>don.staehely@2cj.k12.or.us</t>
  </si>
  <si>
    <t>Guadalupe</t>
  </si>
  <si>
    <t>Guerrero</t>
  </si>
  <si>
    <t>Mary Mertz</t>
  </si>
  <si>
    <t>Pinder</t>
  </si>
  <si>
    <t>tpinder@pps.net</t>
  </si>
  <si>
    <t>Shorb</t>
  </si>
  <si>
    <t>mshorb@powersschools.com</t>
  </si>
  <si>
    <t>Tanya</t>
  </si>
  <si>
    <t>Pedrick</t>
  </si>
  <si>
    <t>Tanya Pedrick</t>
  </si>
  <si>
    <t>tpedrick@powersschools.com</t>
  </si>
  <si>
    <t>Marissa VanWestern</t>
  </si>
  <si>
    <t>Zoubek</t>
  </si>
  <si>
    <t>x214</t>
  </si>
  <si>
    <t>mzoubek@powersschools.com</t>
  </si>
  <si>
    <t>Casey</t>
  </si>
  <si>
    <t>hallgarthc@grantesd.k12.or.us</t>
  </si>
  <si>
    <t>Watterson</t>
  </si>
  <si>
    <t>Julie Watterson</t>
  </si>
  <si>
    <t>wattersonj@grantesd.k12.or.us</t>
  </si>
  <si>
    <t>Jennifer Durham</t>
  </si>
  <si>
    <t>Eary</t>
  </si>
  <si>
    <t>sherie@prospect.k12.or.us</t>
  </si>
  <si>
    <t>Carter</t>
  </si>
  <si>
    <t>Schafer</t>
  </si>
  <si>
    <t>Heidi Schafer</t>
  </si>
  <si>
    <t>Heidi_Schafer@rsd.k12.or.us</t>
  </si>
  <si>
    <t>Scotti</t>
  </si>
  <si>
    <t>Erickson</t>
  </si>
  <si>
    <t>x265</t>
  </si>
  <si>
    <t>503-614-1692</t>
  </si>
  <si>
    <t>serickson@nwresd.k12.or.us</t>
  </si>
  <si>
    <t>Martha Hinman</t>
  </si>
  <si>
    <t>Steinert</t>
  </si>
  <si>
    <t>kathy.steinert@redmondschools.org</t>
  </si>
  <si>
    <t>Zwemke</t>
  </si>
  <si>
    <t>jzwemke@reedsport.k12.or.us</t>
  </si>
  <si>
    <t>Parma Roe</t>
  </si>
  <si>
    <t>ramos@reedsport.k12.or.us</t>
  </si>
  <si>
    <t>Diaz</t>
  </si>
  <si>
    <t>Matthew Bennett</t>
  </si>
  <si>
    <t>x3406</t>
  </si>
  <si>
    <t>Gianotti</t>
  </si>
  <si>
    <t>dave.gianotti@riddle.k12.or.us</t>
  </si>
  <si>
    <t>Keeran</t>
  </si>
  <si>
    <t>Angela Keeran</t>
  </si>
  <si>
    <t>akeeran@desd.k12.or.us</t>
  </si>
  <si>
    <t>rachel.amos@douglasesd.k12.or.us</t>
  </si>
  <si>
    <t>Sue</t>
  </si>
  <si>
    <t>Jonson</t>
  </si>
  <si>
    <t>Sue Jonson</t>
  </si>
  <si>
    <t>sjonson@riverdale.k12.or.us</t>
  </si>
  <si>
    <t>April Harrison</t>
  </si>
  <si>
    <t>april.harrison@rogueriver.k12.or.us</t>
  </si>
  <si>
    <t>don.sweeney@rogueriver.k12.or.us</t>
  </si>
  <si>
    <t>Perry</t>
  </si>
  <si>
    <t>perry_christy@salkeiz.k12.or.us</t>
  </si>
  <si>
    <t>Eric Richards</t>
  </si>
  <si>
    <t>Sarah</t>
  </si>
  <si>
    <t>head_sarah@salkeiz.k12.or.us</t>
  </si>
  <si>
    <t>Todd</t>
  </si>
  <si>
    <t>todd.miller@santiam.k12.or.us</t>
  </si>
  <si>
    <t>Alex Nalivaiko</t>
  </si>
  <si>
    <t>Yvonne</t>
  </si>
  <si>
    <t>Hanna</t>
  </si>
  <si>
    <t>yvonne.hanna@santiam.k12.or.us</t>
  </si>
  <si>
    <t>Porter</t>
  </si>
  <si>
    <t>tporter@scappoose.k12.or.us</t>
  </si>
  <si>
    <t>Hessong</t>
  </si>
  <si>
    <t>Whitney Hessong</t>
  </si>
  <si>
    <t>whessong@scappoose.k12.or.us</t>
  </si>
  <si>
    <t>Mitch</t>
  </si>
  <si>
    <t>Neilson</t>
  </si>
  <si>
    <t>mneilson@scappoose.k12.or.us</t>
  </si>
  <si>
    <t>Greg Nolan</t>
  </si>
  <si>
    <t>portert@sciok12.org</t>
  </si>
  <si>
    <t>Lynne Griffin</t>
  </si>
  <si>
    <t>Justine</t>
  </si>
  <si>
    <t>Hill</t>
  </si>
  <si>
    <t>jhill@seaside.k12.or.us</t>
  </si>
  <si>
    <t>Sugg</t>
  </si>
  <si>
    <t>Marta (Marti) Hofenbredl</t>
  </si>
  <si>
    <t>DeAnn</t>
  </si>
  <si>
    <t>O'Neil</t>
  </si>
  <si>
    <t>deann.oneil@sheridan.k12.or.us</t>
  </si>
  <si>
    <t>Sherman</t>
  </si>
  <si>
    <t>Wes</t>
  </si>
  <si>
    <t>Owens</t>
  </si>
  <si>
    <t>wowens@sherman.k12.or.us</t>
  </si>
  <si>
    <t>Wes Owens</t>
  </si>
  <si>
    <t>McKinney</t>
  </si>
  <si>
    <t>kmckinney@sherman.k12.or.us</t>
  </si>
  <si>
    <t>Heather</t>
  </si>
  <si>
    <t>Karen Dalbey</t>
  </si>
  <si>
    <t>Johanson</t>
  </si>
  <si>
    <t>pjohanson@sherwood.k12.or.us</t>
  </si>
  <si>
    <t>Dana</t>
  </si>
  <si>
    <t>Dana Pedersen</t>
  </si>
  <si>
    <t>Nielsen</t>
  </si>
  <si>
    <t>x1127</t>
  </si>
  <si>
    <t>nielsen_steve@silverfalls.k12.or.us</t>
  </si>
  <si>
    <t>Curtiss</t>
  </si>
  <si>
    <t>Scholl</t>
  </si>
  <si>
    <t xml:space="preserve">Hinman Martha </t>
  </si>
  <si>
    <t>x5012</t>
  </si>
  <si>
    <t>sherry.joseph@ssd6.org</t>
  </si>
  <si>
    <t>Grzeskowiak</t>
  </si>
  <si>
    <t>agrzeskowiak@siuslaw.k12.or.us</t>
  </si>
  <si>
    <t>Utz</t>
  </si>
  <si>
    <t>Lisa Utz</t>
  </si>
  <si>
    <t>lutz@siuslaw.k12.or.us</t>
  </si>
  <si>
    <t>Kari</t>
  </si>
  <si>
    <t>Blake</t>
  </si>
  <si>
    <t>kblake@siuslaw.k12.or.us</t>
  </si>
  <si>
    <t>southharney@gmail.com</t>
  </si>
  <si>
    <t>Curtis</t>
  </si>
  <si>
    <t>Hamilton</t>
  </si>
  <si>
    <t>Chad Hamilton</t>
  </si>
  <si>
    <t>chad.hamilton@slane.k12.or.us</t>
  </si>
  <si>
    <t>x111</t>
  </si>
  <si>
    <t>Kate</t>
  </si>
  <si>
    <t>McLaughlin</t>
  </si>
  <si>
    <t>Diane Dunas</t>
  </si>
  <si>
    <t>x1008</t>
  </si>
  <si>
    <t>claire.johnson@susd.k12.or.us</t>
  </si>
  <si>
    <t>Wraught</t>
  </si>
  <si>
    <t>ryanw@swasco.net</t>
  </si>
  <si>
    <t>Tara</t>
  </si>
  <si>
    <t>Aschoff</t>
  </si>
  <si>
    <t>Tara Aschoff</t>
  </si>
  <si>
    <t>taraa@swasco.net</t>
  </si>
  <si>
    <t>Aimee</t>
  </si>
  <si>
    <t>Hovis</t>
  </si>
  <si>
    <t>aimeeh@swasco.net</t>
  </si>
  <si>
    <t>Larry Johnson</t>
  </si>
  <si>
    <t>todd.hamilton@springfield.k12.or.us</t>
  </si>
  <si>
    <t>Megert</t>
  </si>
  <si>
    <t>Brian Megert</t>
  </si>
  <si>
    <t>brian.megert@springfield.k12.or.us</t>
  </si>
  <si>
    <t>Brett</t>
  </si>
  <si>
    <t>Yancey</t>
  </si>
  <si>
    <t>brett.yancey@springfield.k12.or.us</t>
  </si>
  <si>
    <t>Scot</t>
  </si>
  <si>
    <t>Stockwell</t>
  </si>
  <si>
    <t>scots@sthelens.k12.or.us</t>
  </si>
  <si>
    <t>Lori Thompson</t>
  </si>
  <si>
    <t>lorit@sthelens.k12.or.us</t>
  </si>
  <si>
    <t>Seay</t>
  </si>
  <si>
    <t>jessicapi@sthelens.k12.or.us</t>
  </si>
  <si>
    <t>Wehrli</t>
  </si>
  <si>
    <t>Joe</t>
  </si>
  <si>
    <t>Joe Wehrli</t>
  </si>
  <si>
    <t>joe.wehrli@stpaul.k12.or.us</t>
  </si>
  <si>
    <t>Chisman</t>
  </si>
  <si>
    <t>beth.burton@stanfieldsd.org</t>
  </si>
  <si>
    <t>Shannon</t>
  </si>
  <si>
    <t>Criss</t>
  </si>
  <si>
    <t>criss.s@harneyesd.k12.or.us</t>
  </si>
  <si>
    <t>Prestianni</t>
  </si>
  <si>
    <t>terry.prestianni@sutherlin.k12.or.us</t>
  </si>
  <si>
    <t>Foley</t>
  </si>
  <si>
    <t>Debbie Foley</t>
  </si>
  <si>
    <t>debbie.foley@sutherlin.k12.or.us</t>
  </si>
  <si>
    <t>Della</t>
  </si>
  <si>
    <t>Mock</t>
  </si>
  <si>
    <t>della.mock@sutherlin.k12.or.us</t>
  </si>
  <si>
    <t>Tom</t>
  </si>
  <si>
    <t>Thad</t>
  </si>
  <si>
    <t>Holub</t>
  </si>
  <si>
    <t>Thad Holub</t>
  </si>
  <si>
    <t>thad.holub@sweethome.k12.or.us</t>
  </si>
  <si>
    <t>Strong</t>
  </si>
  <si>
    <t>kevin.strong@sweethome.k12.or.us</t>
  </si>
  <si>
    <t>Valenzuela</t>
  </si>
  <si>
    <t>david.valenzuela@threerivers.k12.or.us</t>
  </si>
  <si>
    <t>Allen-Hart</t>
  </si>
  <si>
    <t>Stephanie Allen-Hart</t>
  </si>
  <si>
    <t>stephanie.allen-hart@threerivers.k12.or.us</t>
  </si>
  <si>
    <t>Cross</t>
  </si>
  <si>
    <t>x5260</t>
  </si>
  <si>
    <t>lisa.cross@threerivers.k12.or.us</t>
  </si>
  <si>
    <t>Rieke-Smith</t>
  </si>
  <si>
    <t>sriekesmith@ttsd.k12.or.us</t>
  </si>
  <si>
    <t>Kinch</t>
  </si>
  <si>
    <t>Carol Kinch</t>
  </si>
  <si>
    <t>ckinch@ttsd.k12.or.us</t>
  </si>
  <si>
    <t>Moore</t>
  </si>
  <si>
    <t>dmoore@ttsd.k12.or.us</t>
  </si>
  <si>
    <t>Curt</t>
  </si>
  <si>
    <t>shelleyc@tillamook.k12.or.us</t>
  </si>
  <si>
    <t>Ingram</t>
  </si>
  <si>
    <t>Jill Ingram</t>
  </si>
  <si>
    <t>Farrier</t>
  </si>
  <si>
    <t>x1025</t>
  </si>
  <si>
    <t>farriers@tillamook.k12.or.us</t>
  </si>
  <si>
    <t>Anne Coote</t>
  </si>
  <si>
    <t>Sipe</t>
  </si>
  <si>
    <t>sipeh@umatillasd.org</t>
  </si>
  <si>
    <t>Julie A.</t>
  </si>
  <si>
    <t>Hunt</t>
  </si>
  <si>
    <t>Julie A. Hunt</t>
  </si>
  <si>
    <t>huntj@umatillasd.org</t>
  </si>
  <si>
    <t>kim.gilsdorf@imesd.k12.or.us </t>
  </si>
  <si>
    <t>Mendy</t>
  </si>
  <si>
    <t>x8911</t>
  </si>
  <si>
    <t>mendy.clark@unionsd5.org</t>
  </si>
  <si>
    <t>Alisha</t>
  </si>
  <si>
    <t>McBride</t>
  </si>
  <si>
    <t>Jeri Schaffeld</t>
  </si>
  <si>
    <t>Bixby</t>
  </si>
  <si>
    <t>heather.bixby@valesd.org</t>
  </si>
  <si>
    <t>Gienah Cheney</t>
  </si>
  <si>
    <t>Marie</t>
  </si>
  <si>
    <t>Knight</t>
  </si>
  <si>
    <t>mknight@nwresd.k12.or.us</t>
  </si>
  <si>
    <t>Jay</t>
  </si>
  <si>
    <t>Rogozinski</t>
  </si>
  <si>
    <t>rogozinskit@warrentonk12.org</t>
  </si>
  <si>
    <t>Suzanne</t>
  </si>
  <si>
    <t>Harris</t>
  </si>
  <si>
    <t>Suzanne Harris</t>
  </si>
  <si>
    <t>harriss@warrentonk12.org</t>
  </si>
  <si>
    <t>Moha</t>
  </si>
  <si>
    <t>moham@warrentonk12.org</t>
  </si>
  <si>
    <t>ludwigk@wlwv.k12.or.us</t>
  </si>
  <si>
    <t>Jennifer Spencer-Iiams</t>
  </si>
  <si>
    <t>Son</t>
  </si>
  <si>
    <t>Le Hughes</t>
  </si>
  <si>
    <t>hughess@wlwv.k12.or.us</t>
  </si>
  <si>
    <t>Carrie</t>
  </si>
  <si>
    <t>Zimbrick</t>
  </si>
  <si>
    <t>carrie.zimbrick@willamina.k12.or.us</t>
  </si>
  <si>
    <t>Carrie Zimbrick</t>
  </si>
  <si>
    <t>lisa.anderson@willamina.k12.or.us</t>
  </si>
  <si>
    <t>Chandler</t>
  </si>
  <si>
    <t>Ryan Chandler</t>
  </si>
  <si>
    <t>Shigley</t>
  </si>
  <si>
    <t>ShigleyK@wdsd.org</t>
  </si>
  <si>
    <t>Christie</t>
  </si>
  <si>
    <t>Dana Christie</t>
  </si>
  <si>
    <t>dchristie@woodburnsd.org</t>
  </si>
  <si>
    <t>sbishop@woodburnsd.org</t>
  </si>
  <si>
    <t>John</t>
  </si>
  <si>
    <t>Horne</t>
  </si>
  <si>
    <t>John Horne</t>
  </si>
  <si>
    <t>hornej@ycschools.org</t>
  </si>
  <si>
    <t>Zigler</t>
  </si>
  <si>
    <t>ziglert@ycschools.org</t>
  </si>
  <si>
    <t>Berry</t>
  </si>
  <si>
    <t>brian.berry@yoncalla.k12.or.us</t>
  </si>
  <si>
    <t>AdminNm</t>
  </si>
  <si>
    <t>AdminID</t>
  </si>
  <si>
    <t>CharterNm</t>
  </si>
  <si>
    <t>CharterID</t>
  </si>
  <si>
    <t>Count of Schools</t>
  </si>
  <si>
    <t>NIMAS</t>
  </si>
  <si>
    <t>Alsea Charter School</t>
  </si>
  <si>
    <t>Annex Charter School</t>
  </si>
  <si>
    <t>Arlington Community Charter School</t>
  </si>
  <si>
    <t>Baker Early College</t>
  </si>
  <si>
    <t>Baker Web Academy</t>
  </si>
  <si>
    <t>Arco Iris Spanish Immersion School</t>
  </si>
  <si>
    <t>Hope Chinese Charter School</t>
  </si>
  <si>
    <t>Bend International School</t>
  </si>
  <si>
    <t>Desert Sky Montessori</t>
  </si>
  <si>
    <t>Triangle Lake Charter School</t>
  </si>
  <si>
    <t>Burnt River School</t>
  </si>
  <si>
    <t>Butte Falls Charter School</t>
  </si>
  <si>
    <t>Camas Valley School</t>
  </si>
  <si>
    <t>Lighthouse Charter School</t>
  </si>
  <si>
    <t>Resource Link Charter School</t>
  </si>
  <si>
    <t>Corbett School</t>
  </si>
  <si>
    <t>Cove Charter School</t>
  </si>
  <si>
    <t>Powell Butte Community Charter School</t>
  </si>
  <si>
    <t>Dallas Community Charter</t>
  </si>
  <si>
    <t>Luckiamute Valley Charter School</t>
  </si>
  <si>
    <t>Arthur Academy</t>
  </si>
  <si>
    <t>Days Creek Charter School</t>
  </si>
  <si>
    <t>Phoenix School</t>
  </si>
  <si>
    <t>Elkton Charter School</t>
  </si>
  <si>
    <t>Summit Learning Charter</t>
  </si>
  <si>
    <t>Coburg Community Charter School</t>
  </si>
  <si>
    <t>Network Charter School</t>
  </si>
  <si>
    <t>Ridgeline Montessori</t>
  </si>
  <si>
    <t>Twin Rivers Charter School</t>
  </si>
  <si>
    <t>Village School</t>
  </si>
  <si>
    <t>Forest Grove Community School</t>
  </si>
  <si>
    <t>Fossil Charter School</t>
  </si>
  <si>
    <t>Frontier Charter Academy</t>
  </si>
  <si>
    <t>Glendale Community Charter School</t>
  </si>
  <si>
    <t>Center for Advanced Learning</t>
  </si>
  <si>
    <t>Gresham Arthur Academy</t>
  </si>
  <si>
    <t>Lewis and Clark Montessori Charter School</t>
  </si>
  <si>
    <t>Metro East Web Academy</t>
  </si>
  <si>
    <t>Oregon Family School</t>
  </si>
  <si>
    <t>Silvies River Charter School</t>
  </si>
  <si>
    <t>Harper Charter School</t>
  </si>
  <si>
    <t>City View Charter School</t>
  </si>
  <si>
    <t>Huntington School</t>
  </si>
  <si>
    <t>Imbler Charter School</t>
  </si>
  <si>
    <t>Ione Community Charter School</t>
  </si>
  <si>
    <t>Joseph Charter School</t>
  </si>
  <si>
    <t>EagleRidge High School</t>
  </si>
  <si>
    <t>Harmony Academy</t>
  </si>
  <si>
    <t>Sand Ridge Charter School</t>
  </si>
  <si>
    <t>Eddyville Charter School</t>
  </si>
  <si>
    <t>Lincoln City Career Technical High School</t>
  </si>
  <si>
    <t>Siletz Valley Schools</t>
  </si>
  <si>
    <t>Bridge Charter Academy</t>
  </si>
  <si>
    <t>Mountain View Academy</t>
  </si>
  <si>
    <t>TEACH-NW</t>
  </si>
  <si>
    <t>McKenzie River Community School</t>
  </si>
  <si>
    <t>Kids Unlimited Academy</t>
  </si>
  <si>
    <t>Madrone Trail Public Charter School</t>
  </si>
  <si>
    <t>Cascade Virtual Academy</t>
  </si>
  <si>
    <t>Destinations Career Academy of Oregon</t>
  </si>
  <si>
    <t>Insight School of Oregon Painted Hills</t>
  </si>
  <si>
    <t>Molalla River Academy</t>
  </si>
  <si>
    <t>Cascade Heights Public Charter School</t>
  </si>
  <si>
    <t>Clackamas Middle College</t>
  </si>
  <si>
    <t>Clackamas Web Academy</t>
  </si>
  <si>
    <t>Milwaukie Academy of the Arts</t>
  </si>
  <si>
    <t>North Powder Charter School</t>
  </si>
  <si>
    <t>Mosier Community School</t>
  </si>
  <si>
    <t>Alliance Charter Academy</t>
  </si>
  <si>
    <t>Clackamas Academy of Industrial Sciences</t>
  </si>
  <si>
    <t>Oregon City Service Learning Academy</t>
  </si>
  <si>
    <t>Springwater Environmental Sciences School</t>
  </si>
  <si>
    <t>Oregon Trail  Academy</t>
  </si>
  <si>
    <t>Paisley School</t>
  </si>
  <si>
    <t>Nixyaawii Community School</t>
  </si>
  <si>
    <t>Kings Valley Charter School</t>
  </si>
  <si>
    <t>Pine Eagle Charter School</t>
  </si>
  <si>
    <t>Emerson School</t>
  </si>
  <si>
    <t>Kairos PDX</t>
  </si>
  <si>
    <t>Le Monde French Immersion Public Charter School</t>
  </si>
  <si>
    <t>Portland Arthur Academy Charter School</t>
  </si>
  <si>
    <t>Portland Village School</t>
  </si>
  <si>
    <t>Prospect Charter School</t>
  </si>
  <si>
    <t>Redmond Proficiency Academy</t>
  </si>
  <si>
    <t>Reedsport Community Charter School</t>
  </si>
  <si>
    <t>Reynolds Arthur Academy</t>
  </si>
  <si>
    <t>Rockwood Preparatory Academy</t>
  </si>
  <si>
    <t>Rivers Edge Academy Charter School</t>
  </si>
  <si>
    <t>Howard Street Charter</t>
  </si>
  <si>
    <t>Jane Goodall Environmental Middle Charter School</t>
  </si>
  <si>
    <t>Optimum Learning Environment Charter School</t>
  </si>
  <si>
    <t>Valley Inquiry Charter School</t>
  </si>
  <si>
    <t>Oregon Connections Academy</t>
  </si>
  <si>
    <t>Sauvie Island School</t>
  </si>
  <si>
    <t>South Columbia Family School</t>
  </si>
  <si>
    <t>Lourdes School</t>
  </si>
  <si>
    <t>Willamette Connections Academy</t>
  </si>
  <si>
    <t>Sheridan AllPrep Academy</t>
  </si>
  <si>
    <t>Sherwood Charter School</t>
  </si>
  <si>
    <t>Bethany Charter School</t>
  </si>
  <si>
    <t>Academy for Character Education</t>
  </si>
  <si>
    <t>Childs Way Charter School</t>
  </si>
  <si>
    <t>Willamette Leadership Academy</t>
  </si>
  <si>
    <t>St Helens Arthur Academy</t>
  </si>
  <si>
    <t>Sweet Home Charter School</t>
  </si>
  <si>
    <t>Sunny Wolf Charter School</t>
  </si>
  <si>
    <t>Woodland Charter School</t>
  </si>
  <si>
    <t>Three Rivers Charter School</t>
  </si>
  <si>
    <t>Woodburn Arthur Academy</t>
  </si>
  <si>
    <t>Variable</t>
  </si>
  <si>
    <t>Value</t>
  </si>
  <si>
    <t>Options</t>
  </si>
  <si>
    <t>Contacts</t>
  </si>
  <si>
    <t>Budget Meets MOE:</t>
  </si>
  <si>
    <t>Fiscal Controls:</t>
  </si>
  <si>
    <t>CEIS Assurance:</t>
  </si>
  <si>
    <t>CCEIS Assurance:</t>
  </si>
  <si>
    <t>Time And Effort:</t>
  </si>
  <si>
    <t>Regional Funding:</t>
  </si>
  <si>
    <t>OSD Funding:</t>
  </si>
  <si>
    <t>LTCT Funding:</t>
  </si>
  <si>
    <t>Data:</t>
  </si>
  <si>
    <t>General IDEA:</t>
  </si>
  <si>
    <t>Private Schools:</t>
  </si>
  <si>
    <t>Charter Schools:</t>
  </si>
  <si>
    <t>Public Benefits:</t>
  </si>
  <si>
    <t>Other Policies:</t>
  </si>
  <si>
    <t>NIMAS:</t>
  </si>
  <si>
    <t>NIMAS Charter:</t>
  </si>
  <si>
    <t>LEA/ESD Placed Private Schools:</t>
  </si>
  <si>
    <t>Parent-Placed Private Schools:</t>
  </si>
  <si>
    <t>FR_Turnover_Sped</t>
  </si>
  <si>
    <t>FR_Turnover_Fiscal</t>
  </si>
  <si>
    <t>Consent to Electronic Signature:</t>
  </si>
  <si>
    <t>ReportYr</t>
  </si>
  <si>
    <t>No, not accurate</t>
  </si>
  <si>
    <t>No, the LEA’s budget will not or does not currently meet the eligibility standard.</t>
  </si>
  <si>
    <t>No, the LEA’s fiscal controls cannot account for funds in a manner consistent with the above requirements.</t>
  </si>
  <si>
    <t>The LEA is required to reserve 15% of IDEA funds for Comprehensive CEIS</t>
  </si>
  <si>
    <t>N/A - The District does not have an approved LTCT site within its boundaries.</t>
  </si>
  <si>
    <t>No, the LEA is unable to assure its compliance with the data collection, analysis, and reporting section.</t>
  </si>
  <si>
    <t>No, the LEA is unable to assure its compliance with the children placed in private schools section.</t>
  </si>
  <si>
    <t>No, the LEA is unable to assure its compliance with the Use of Public Benefits section.</t>
  </si>
  <si>
    <t>No, the LEA is unable to assure its compliance with the Other Policies section.</t>
  </si>
  <si>
    <t>Option A</t>
  </si>
  <si>
    <t>No, the LEA is unable to assure its compliance with the LEA/ESD Placed Private Schools section.</t>
  </si>
  <si>
    <t>No, the LEA is unable to assure its compliance with the Parent-Placed Private Schools section.</t>
  </si>
  <si>
    <t>Turnover in Special Education Director position within last year (1 Point)</t>
  </si>
  <si>
    <t>Turnover in Special Education Fiscal position within last year (1 point)</t>
  </si>
  <si>
    <t>No, I do not consent.</t>
  </si>
  <si>
    <t>CurrSchlYr</t>
  </si>
  <si>
    <t>Yes, accurate</t>
  </si>
  <si>
    <t>Yes, the LEA’s budget will or does currently meet the eligibility standard.</t>
  </si>
  <si>
    <t>Yes, the LEA’s fiscal controls currently account for funds in a manner consistent with the above requirements.</t>
  </si>
  <si>
    <t>Yes, the LEA assures it will comply with the data collection, analysis, and reporting section.</t>
  </si>
  <si>
    <t>Yes, the LEA assures it will comply with the children placed in private schools section.</t>
  </si>
  <si>
    <t>Yes, the LEA assures it will comply with the Use of Public Benefits section.</t>
  </si>
  <si>
    <t>Yes, the LEA assures it will comply with the Other Policies section.</t>
  </si>
  <si>
    <t>The LEA will coordinate with the National Instructional Materials Access Center (NIMAC) when purchasing print instructional materials.</t>
  </si>
  <si>
    <t>Option B</t>
  </si>
  <si>
    <t>Yes, the LEA assures it will comply with the LEA/ESD Placed Private Schools section.</t>
  </si>
  <si>
    <t>Yes, the LEA assures it will comply with the Parent-Placed Private Schools section.</t>
  </si>
  <si>
    <t>Turnover in Special Education Director position between 1 and 2 years (2 points)</t>
  </si>
  <si>
    <t>Turnover in Special Education Fiscal position between 1 and 2 years (2 points)</t>
  </si>
  <si>
    <t>Yes, I consent.</t>
  </si>
  <si>
    <t>PrevSchlYr</t>
  </si>
  <si>
    <t>Yes, the LEA’s budget will or does currently meet the eligibility standard, but my LEA is using Local Funds only.</t>
  </si>
  <si>
    <t>No turnover in Special Education Director position within the last 2 years (3 points)</t>
  </si>
  <si>
    <t>No turnover in Special Education Fiscal position within the last 2 years (3 points)</t>
  </si>
  <si>
    <t>ChoiceYN</t>
  </si>
  <si>
    <t>Yes</t>
  </si>
  <si>
    <t>No</t>
  </si>
  <si>
    <t>MoeSource</t>
  </si>
  <si>
    <t>UnlockSheetPassword</t>
  </si>
  <si>
    <t>OregonPartBApp202021</t>
  </si>
  <si>
    <t>OpenDate</t>
  </si>
  <si>
    <t>CloseDate</t>
  </si>
  <si>
    <t>2020-2021</t>
  </si>
  <si>
    <t>State and Local Funds</t>
  </si>
  <si>
    <t>Local Funds Only</t>
  </si>
  <si>
    <t>2019-2020</t>
  </si>
  <si>
    <t>Financial Management System</t>
  </si>
  <si>
    <t>LEA</t>
  </si>
  <si>
    <t>LeaID</t>
  </si>
  <si>
    <t>LeaName</t>
  </si>
  <si>
    <t>PreparerName</t>
  </si>
  <si>
    <t>PreparerPhone</t>
  </si>
  <si>
    <t>PreparerEmail</t>
  </si>
  <si>
    <t>Sup First Name</t>
  </si>
  <si>
    <t>Sup Last Name</t>
  </si>
  <si>
    <t>Sup Title</t>
  </si>
  <si>
    <t>Sup Phone 1</t>
  </si>
  <si>
    <t>Sup Phone 1 Extension</t>
  </si>
  <si>
    <t>Sup Phone 2</t>
  </si>
  <si>
    <t>Sup Phone 2 Extension</t>
  </si>
  <si>
    <t>Sup Email 1</t>
  </si>
  <si>
    <t>Sup Email 2</t>
  </si>
  <si>
    <t>BsnOfcl First Name</t>
  </si>
  <si>
    <t>BsnOfcl Last Name</t>
  </si>
  <si>
    <t>BsnOfcl Title</t>
  </si>
  <si>
    <t>BsnOfcl Phone 1</t>
  </si>
  <si>
    <t>BsnOfcl Phone 1 Extension</t>
  </si>
  <si>
    <t>BsnOfcl Phone 2</t>
  </si>
  <si>
    <t>BsnOfcl Phone 2 Extension</t>
  </si>
  <si>
    <t>BsnOfcl Email 1</t>
  </si>
  <si>
    <t>BsnOfcl Email 2</t>
  </si>
  <si>
    <t>SED First Name</t>
  </si>
  <si>
    <t>SED Last Name</t>
  </si>
  <si>
    <t>SED Title</t>
  </si>
  <si>
    <t>SED Phone 1</t>
  </si>
  <si>
    <t>SED Phone 1 Extension</t>
  </si>
  <si>
    <t>SED Phone 2</t>
  </si>
  <si>
    <t>SED Phone 2 Extension</t>
  </si>
  <si>
    <t>SED Email 1</t>
  </si>
  <si>
    <t>SED Email 2</t>
  </si>
  <si>
    <t>FiscalBudget</t>
  </si>
  <si>
    <t>FiscalControls</t>
  </si>
  <si>
    <t>FiscalCeis</t>
  </si>
  <si>
    <t>FiscalTime&amp;Effort</t>
  </si>
  <si>
    <t>FiscalRegional</t>
  </si>
  <si>
    <t>FiscalOSD</t>
  </si>
  <si>
    <t>FiscalLTCT</t>
  </si>
  <si>
    <t>DataCollections</t>
  </si>
  <si>
    <t>GeneralIDEA</t>
  </si>
  <si>
    <t>PublicBenefits</t>
  </si>
  <si>
    <t>OtherPolicies</t>
  </si>
  <si>
    <t>CharterAllocations</t>
  </si>
  <si>
    <t>PrivateSchlLeaPlcd</t>
  </si>
  <si>
    <t>PrivateSchlPrntPlcd</t>
  </si>
  <si>
    <t>Agency Information</t>
  </si>
  <si>
    <t>Fiscal Year:</t>
  </si>
  <si>
    <r>
      <t>Person Completing the Application</t>
    </r>
    <r>
      <rPr>
        <sz val="11"/>
        <color rgb="FFFF0000"/>
        <rFont val="Calibri"/>
        <family val="2"/>
        <scheme val="minor"/>
      </rPr>
      <t>*</t>
    </r>
  </si>
  <si>
    <r>
      <t>Phone</t>
    </r>
    <r>
      <rPr>
        <sz val="11"/>
        <color rgb="FFFF0000"/>
        <rFont val="Calibri"/>
        <family val="2"/>
        <scheme val="minor"/>
      </rPr>
      <t>*</t>
    </r>
  </si>
  <si>
    <r>
      <t>Email</t>
    </r>
    <r>
      <rPr>
        <sz val="11"/>
        <color rgb="FFFF0000"/>
        <rFont val="Calibri"/>
        <family val="2"/>
        <scheme val="minor"/>
      </rPr>
      <t>*</t>
    </r>
  </si>
  <si>
    <t>Section 611</t>
  </si>
  <si>
    <t>Section 619</t>
  </si>
  <si>
    <t>Total Allocation</t>
  </si>
  <si>
    <t>It is imperative that the ODE has up-to-date and accurate contact information for the below staff. Please take a few moments and verify the information.</t>
  </si>
  <si>
    <t>Business Official</t>
  </si>
  <si>
    <t>First Name</t>
  </si>
  <si>
    <t>Last Name</t>
  </si>
  <si>
    <t>Title</t>
  </si>
  <si>
    <t>Phone 1</t>
  </si>
  <si>
    <t>Phone 1 Extension</t>
  </si>
  <si>
    <t>Email 1</t>
  </si>
  <si>
    <t>If any of the above contact information is inaccurate or incomplete, please fill out the correct information below. There is also space to provide additional contact details like additional emails or phone numbers</t>
  </si>
  <si>
    <t>Phone 2</t>
  </si>
  <si>
    <t>Phone 2 Extension</t>
  </si>
  <si>
    <t>Email 2</t>
  </si>
  <si>
    <r>
      <t xml:space="preserve">LEAs are required to maintain their level of financial effort as explained in 34 CFR 300.203. This means that LEAs may not use their Part B funds to reduce the level of Local or State and Local funds expended by the LEA (or on the LEA's behalf in the case of Education Service District Direct Support) below the level expended in the most recent year the LEA met, by method. LEAs must meet two separate tests of this requirement: an </t>
    </r>
    <r>
      <rPr>
        <b/>
        <u/>
        <sz val="11"/>
        <color theme="1"/>
        <rFont val="Calibri"/>
        <family val="2"/>
        <scheme val="minor"/>
      </rPr>
      <t>Eligiblity</t>
    </r>
    <r>
      <rPr>
        <sz val="11"/>
        <color theme="1"/>
        <rFont val="Calibri"/>
        <family val="2"/>
        <scheme val="minor"/>
      </rPr>
      <t xml:space="preserve"> test to determine if the LEA is eligible to receive IDEA funds; and a </t>
    </r>
    <r>
      <rPr>
        <b/>
        <u/>
        <sz val="11"/>
        <color theme="1"/>
        <rFont val="Calibri"/>
        <family val="2"/>
        <scheme val="minor"/>
      </rPr>
      <t>Compliance</t>
    </r>
    <r>
      <rPr>
        <sz val="11"/>
        <color theme="1"/>
        <rFont val="Calibri"/>
        <family val="2"/>
        <scheme val="minor"/>
      </rPr>
      <t xml:space="preserve"> test to determine if the LEA must repay the state for not meeting their expenditure responsibilities. The Eligibility test is met if the LEA budgets for Special Education and related services the same amount or more as the last year they met the Compliance test, by method. See the Fiscal tab for more details on the Eligibility test.</t>
    </r>
  </si>
  <si>
    <t>The Compliance test is met if the LEA spends for Special Education and related services the same amount or more as the last year they met the Compliance test, by method. The table below shows the available data for the five most recent fiscal years of MOE data and contains the Actual Expenditure data submitted to the ODE for the Fiscal Year indicated in the Fiscal Year column along with the 11% cap waiver child count for that fiscal year. The expenditure data contains only the Fund 100, Area of Responsibility 320 reported for both the LEA and their ESD Direct Support.</t>
  </si>
  <si>
    <t>Maintenance of Effort Summary</t>
  </si>
  <si>
    <t>Exceptions to Maintenance of Effort</t>
  </si>
  <si>
    <t>The sections below detail the calculations that determine your LEA's MOE. The first section, Total Exceptions Current Fiscal Year, is a rollup of all the current exceptions entered or calculated. The second, State and Local Total Result, takes the last fiscal year your LEA met MOE and compares it with the current fiscal year. If the current fiscal year expenditures are greater than the last year met, then your LEA has met it's MOE obligations. If not, it checks for any exceptions from the first section to determine if the difference can be reduced. If, after exceptions, the total difference is zero or less, your LEA has met it's MOE obligations. The third, State and Local Per Capita Result, is the same as the State and Local Total Result, except it factors in the child count from the last year met and the current fiscal year</t>
  </si>
  <si>
    <t>Exception (a)</t>
  </si>
  <si>
    <t>The voluntary departure, by retirement or otherwise, or departure for just cause, of special education or related services personnel.</t>
  </si>
  <si>
    <t>Total Exceptions Current Fiscal Year</t>
  </si>
  <si>
    <t>Departing Personnel</t>
  </si>
  <si>
    <t>Position ID</t>
  </si>
  <si>
    <t>Reason for Leaving</t>
  </si>
  <si>
    <t>Salary</t>
  </si>
  <si>
    <t>Benefits</t>
  </si>
  <si>
    <t>Total</t>
  </si>
  <si>
    <t>Exception (b)</t>
  </si>
  <si>
    <t>Exception (c)</t>
  </si>
  <si>
    <t>Exception (d)</t>
  </si>
  <si>
    <t>Total Projected Exceptions:</t>
  </si>
  <si>
    <t>Total Departing:</t>
  </si>
  <si>
    <t>Replacement Personnel</t>
  </si>
  <si>
    <t>Calculation</t>
  </si>
  <si>
    <t>Amount</t>
  </si>
  <si>
    <t>Result</t>
  </si>
  <si>
    <t>Comparison Year</t>
  </si>
  <si>
    <t>Comparison Year Amount</t>
  </si>
  <si>
    <t>Child Count last year Met</t>
  </si>
  <si>
    <t>Initial Difference</t>
  </si>
  <si>
    <t>Prior Exceptions (if any)</t>
  </si>
  <si>
    <t>Total Replacement:</t>
  </si>
  <si>
    <t>Difference with Exceptions:</t>
  </si>
  <si>
    <t>Net Reduction (Departing - Replacement):</t>
  </si>
  <si>
    <t>A decrease in the enrollment of children with disabilities (automatically calculated).</t>
  </si>
  <si>
    <t>Category</t>
  </si>
  <si>
    <t>Difference:</t>
  </si>
  <si>
    <t>(must be (-) to apply exception)</t>
  </si>
  <si>
    <t>Percent Difference:</t>
  </si>
  <si>
    <t>Projected Reduction:</t>
  </si>
  <si>
    <t>The termination of the obligation of the agency to provide special education to a particular student with a disability that is an exceptionally costly program due to any of the following reasons: left the jurisdiction, aged out, or no longer needs the program of special education.</t>
  </si>
  <si>
    <t>SSID</t>
  </si>
  <si>
    <t>Expenditure</t>
  </si>
  <si>
    <t>Net Reduction:</t>
  </si>
  <si>
    <t>Termination of costly expenditures for long-term purchases, such as the acquisition of equipment or construction of school facilities.</t>
  </si>
  <si>
    <t>Description of purchase</t>
  </si>
  <si>
    <t>Exception (e)</t>
  </si>
  <si>
    <t>The assumption of cost by the high cost fund operated by the SEA under §300.704. MUST be explicitly permitted by the SEA.</t>
  </si>
  <si>
    <t>The ODE does not operate a High Cost fund using IDEA funds, so this exception is not permitted</t>
  </si>
  <si>
    <t>Assurances: Fiscal</t>
  </si>
  <si>
    <t>Maintenance of Effort (MOE) Eligibility Standard</t>
  </si>
  <si>
    <t>Fiscal Year Met</t>
  </si>
  <si>
    <t>State and Local Per Capita</t>
  </si>
  <si>
    <t>*</t>
  </si>
  <si>
    <t>Fiscal Controls</t>
  </si>
  <si>
    <r>
      <t xml:space="preserve">2. The LEA does not reduce the level of expenditures for the education of children with disabilities below the level expended from the same source for the preceding year in which it met the federal obligations of MOE (34 CFR §300.202).
3. The LEA expends amounts provided under IDEA Part B only to (1) pay the excess costs of providing special education and related services to children with disabilities; and (2) to supplement, but not supplant, state, local and other federal funds. These expenditures may not include capital outlay or debt service. (34 CFR §300.202)
4. The LEA uses fiscal control and fund accounting procedures that ensure proper disbursement of, and accounting, for federal funds. </t>
    </r>
    <r>
      <rPr>
        <i/>
        <sz val="11"/>
        <color theme="1"/>
        <rFont val="Calibri"/>
        <family val="2"/>
        <scheme val="minor"/>
      </rPr>
      <t xml:space="preserve">Note: This includes maintaining separate documentation for IDEA Part B Section 611 funds and IDEA Part B Section 619 funds. </t>
    </r>
    <r>
      <rPr>
        <sz val="11"/>
        <color theme="1"/>
        <rFont val="Calibri"/>
        <family val="2"/>
        <scheme val="minor"/>
      </rPr>
      <t>(34 CFR §76.702)</t>
    </r>
  </si>
  <si>
    <t>Coordinated Early Intervening Services (CEIS)</t>
  </si>
  <si>
    <r>
      <t>CEIS are "services provided to students in kindergarten through grade 12 (with a particular emphasis on students in kindergarten through grade three) who are not currently identified as needing special education or related services, but who need additional academic and behavioral supports to succeed in a general education environment" (Center for IDEA Fiscal Reporting (CIFR)</t>
    </r>
    <r>
      <rPr>
        <i/>
        <sz val="11"/>
        <color theme="1"/>
        <rFont val="Calibri"/>
        <family val="2"/>
        <scheme val="minor"/>
      </rPr>
      <t>, Coordinated Early Intervening Services, Step-by-Step</t>
    </r>
    <r>
      <rPr>
        <sz val="11"/>
        <color theme="1"/>
        <rFont val="Calibri"/>
        <family val="2"/>
        <scheme val="minor"/>
      </rPr>
      <t>).</t>
    </r>
  </si>
  <si>
    <t xml:space="preserve">IDEA Funds pay for CEIS services. A LEA’s use of these funds may be optional or mandatory. Mandatory CEIS, termed Comprehensive Coordinated Early Intervening Services (CCEIS), is linked to the LEA’s significant disproportionality status. Using IDEA funds for CEIS also affects a LEA’s maintenance of effort (MOE) calculation. </t>
  </si>
  <si>
    <t>Time and Effort Reporting</t>
  </si>
  <si>
    <t>Funding Elections</t>
  </si>
  <si>
    <t>LEA choices for items 7, 8, &amp; 9 may require School Board approval. LEAs must make selections in this section. This section is governed, in part, by 34 CFR §300.705 – Subgrants to LEAs. Each item’s relevant state statute requiring this action is listed with the item.</t>
  </si>
  <si>
    <r>
      <t xml:space="preserve">Note: The LEA </t>
    </r>
    <r>
      <rPr>
        <b/>
        <i/>
        <u/>
        <sz val="10"/>
        <color theme="3" tint="-0.499984740745262"/>
        <rFont val="Calibri"/>
        <family val="2"/>
        <scheme val="minor"/>
      </rPr>
      <t>must</t>
    </r>
    <r>
      <rPr>
        <i/>
        <sz val="10"/>
        <color theme="3" tint="-0.499984740745262"/>
        <rFont val="Calibri"/>
        <family val="2"/>
        <scheme val="minor"/>
      </rPr>
      <t xml:space="preserve"> enter into an agreement with the OSD directly </t>
    </r>
    <r>
      <rPr>
        <b/>
        <i/>
        <u/>
        <sz val="10"/>
        <color theme="3" tint="-0.499984740745262"/>
        <rFont val="Calibri"/>
        <family val="2"/>
        <scheme val="minor"/>
      </rPr>
      <t>prior</t>
    </r>
    <r>
      <rPr>
        <i/>
        <sz val="10"/>
        <color theme="3" tint="-0.499984740745262"/>
        <rFont val="Calibri"/>
        <family val="2"/>
        <scheme val="minor"/>
      </rPr>
      <t xml:space="preserve"> to the LEA's first day of school. The LEA's IDEA funding may be placed on hold until such time as said agreement is in place.</t>
    </r>
  </si>
  <si>
    <r>
      <t xml:space="preserve">Note: The LEA </t>
    </r>
    <r>
      <rPr>
        <b/>
        <i/>
        <u/>
        <sz val="10"/>
        <color theme="3" tint="-0.499984740745262"/>
        <rFont val="Calibri"/>
        <family val="2"/>
        <scheme val="minor"/>
      </rPr>
      <t>must</t>
    </r>
    <r>
      <rPr>
        <i/>
        <sz val="10"/>
        <color theme="3" tint="-0.499984740745262"/>
        <rFont val="Calibri"/>
        <family val="2"/>
        <scheme val="minor"/>
      </rPr>
      <t xml:space="preserve"> enter into agreement with their LEA's LTCT contractor directly and provide documentation to the ODE of this agreement and/or have approved site plans on file with the ODE </t>
    </r>
    <r>
      <rPr>
        <b/>
        <i/>
        <u/>
        <sz val="10"/>
        <color theme="3" tint="-0.499984740745262"/>
        <rFont val="Calibri"/>
        <family val="2"/>
        <scheme val="minor"/>
      </rPr>
      <t>prior</t>
    </r>
    <r>
      <rPr>
        <i/>
        <sz val="10"/>
        <color theme="3" tint="-0.499984740745262"/>
        <rFont val="Calibri"/>
        <family val="2"/>
        <scheme val="minor"/>
      </rPr>
      <t xml:space="preserve"> to the LEA's first day of school. The LEA's IDEA funding may be placed on hold until such time as said agreement is in place.</t>
    </r>
  </si>
  <si>
    <t>Assurances: Data Collection, Analysis, and Reporting</t>
  </si>
  <si>
    <t>1. Within timelines required by the ODE, the LEA provides and validates data on processes and results as required by the ODE for state and federal reporting. The LEA reports annually to the public on the performance of the LEA on targets in the State Performance Plan (SPP) within timelines specified by the ODE (34 CFR §§300.601 – 300.602 and 34 §§CFR 300.640 – 300.646).</t>
  </si>
  <si>
    <t>2. The LEA develops and implements a practical method to determine which children with disabilities are currently receiving needed special education and related services, accurately collects these data, and reports these data to the ODE in a timely and accurate manner (34 CFR §§300.601 - 300.602).</t>
  </si>
  <si>
    <t>3. The LEA examines and reports its data through the State’s general supervision processes, including the Systems Performance Review &amp; Improvement (SPR&amp;I) processes (34 CFR §300.170, §§300.601 – 300.602, 34 CFR §§300.646 – 647).</t>
  </si>
  <si>
    <t>1. The LEA makes a free appropriate public education (FAPE) available to all school-age children for whom, the LEA is responsible pursuant to ORS 338, ORS 339, OAR 581-021-0029 or open enrollment. “School-age children” are children who have reached five years of age but have not yet reached 21 years of age on or before September 1 of the current school year, including children with disabilities who have been suspended or expelled, and those who have not graduated with a regular diploma. (34 CFR §§300.101 – 300.108; ORS 339.252; ORS Chapters 338, 339; OAR 581-015-2040 - 2050, OAR 581-015-2400, OAR 581-015-2440, and OAR 581-015-2605)</t>
  </si>
  <si>
    <t>2. All birth through school age children within the LEA’s jurisdiction and regardless of the severity of the children's disabilities (including children with disabilities who are homeless, who are wards of the State, highly mobile, parentally enrolled in private schools located within the LEA's boundaries, and children suspected of being a child with a disability even though they are advancing from grade to grade), are identified, located, and evaluated. (34 FR §300.111; ORS 343.157; OAR 581-015-2080, OAR 581-015-2085)</t>
  </si>
  <si>
    <t>3. The LEA cooperates with EI/ECSE contractors in the evaluation and eligibility of resident children birth to the age of eligibility for kindergarten. The LEA develops and implements a practical method to determine which children with disabilities are currently receiving needed special education and related services (34 CFR §300.111; ORS 343.157; OAR 581-015-2080, OAR 581-015-2085, OAR 581-015-2100).</t>
  </si>
  <si>
    <t>4. The LEA assures that children with disabilities are evaluated and identified as children with disabilities in accordance with IDEA and state requirements for evaluation, re-evaluation, and eligibility determination (34 CFR §§300.300 - 311, ORS 343.146;  ORS 343.157, ORS 343.164; OAR 581-015-2080 - 2190).</t>
  </si>
  <si>
    <t>5. The LEA uses the Oregon Standard IEP or an ODE-approved alternate IEP.  The LEA assures that an Individualized Education Program (IEP) is developed, reviewed, revised, and in effect at the beginning each school year. The LEA assures that it informs each teacher and service provider of their specific responsibilities for implementing their student’s IEPs (34 CFR §§300.300 – 300.325; ORS 343.157, ORS 343.164; OAR 581-015-2215 - 2230).</t>
  </si>
  <si>
    <t>6. For purposes of Early Childhood Special Education (ECSE) services to children ages 3-5, the LEA recognizes that the Oregon Department of Education Individual Family Service Plan (IFSP) required for use with these age ranges, meets the content, review, and implementation requirements for IEPs under IDEA Part B (OAR 581-015-2810 - 2830).</t>
  </si>
  <si>
    <t>7. The LEA assures that, to the maximum extent appropriate, children with disabilities, including children in public or private institutions or other care facilities, are educated with children who are not disabled, and special classes, separate schooling, or other removal of children with disabilities from the regular educational environment occurs only when the nature or severity of the disability of a child is such that education in regular classes with the use of supplementary aids and services cannot be achieved satisfactorily (34 CFR §§300.114 – 300.117; OAR 581-015-2240 - 2255).</t>
  </si>
  <si>
    <t>8. The LEA assures that it makes a continuum of alternative placements is available to meet the needs of children with disabilities. The continuum includes regular classes, special classes, special schools, home instruction and instruction in hospitals and institutions. The continuum does not include sheltered workshops (34 CFR §300.115; OAR 581-015-2000(33), OAR 407-025-0010(16), OAR 581-015-2245) and Executive Orders (13-04, 15-01).</t>
  </si>
  <si>
    <t>9. The LEA or ECSE program ensures the placement decision for each child with a disability, including a preschool child with a disability, is made by a group of persons, including the parents, and other persons knowledgeable about the child, the meaning of the evaluation data, the placement options, and in conformity with the requirements of Least Restrictive Environment (LRE). In selecting the LRE, the LEA or ECSE program considers any potential harmful effect on the child or on the quality of services the child needs. The LEA or the ECSE program does not remove a child with a disability from education in age-appropriate regular classrooms solely because of needed modifications in the general education classroom (34 CFR §300.116; ORS 343.161, ORS 343.164; OAR 581-015-2240 - 2255).</t>
  </si>
  <si>
    <t>10. For children receiving Early Intervention/Early Childhood Special Education (EI/ECSE) services (birth to the age of eligibility for kindergarten), the LEA provides transportation as required by the child’s Individual Family Services Plan (IFSP) to access EI/ECSE services (ORS 343.533(2)).</t>
  </si>
  <si>
    <t>11. For children receiving ECSE services, the LEA participates in the IFSP meeting during the year before the child enters kindergarten to facilitate the child’s transition to school-age services. OSD, in collaboration with the LEA, makes this statement (OAR 581-015-2825(1)(i)).</t>
  </si>
  <si>
    <t>12. For children receiving special education services or children receiving EI/ECSE services, the LEA, and for preschool children, the EI/ECSE programs, have policies and procedures in effect to ensure that the LEA complies with State and Federal laws relating to the confidentiality of any personally identifiable data, information and records and protects the confidentiality of personally identifiable information, including at collection, storage, disclosure, and destruction stages (34 CFR §§300.610 – 300.626; OAR 581-015-2300, and 34 CFR §§99.1 – 99.38).</t>
  </si>
  <si>
    <t>13. The LEA cooperates in the efforts under Section 1308 of the Elementary and Secondary Education Act of 1965 (ESEA, as reauthorized by ESSA) to ensure the linkage of records pertaining to migratory children with a disability for the purpose of electronically exchanging, among the States, health and educational information regarding such children (34 CFR §300.213).</t>
  </si>
  <si>
    <t>14. The LEA maintains records related to the location, identification, evaluation, placement of students with disabilities and the development and implementation of IEPs for periods required by the Education Department General Administrative Regulations (EDGAR), relocated to Uniform Grant Guidance, the Individuals with Disabilities Education Act, Oregon Archive rules, and the IDEA, incorporating FERPA. The LEA informs parents when personally identifiable information collected, maintained, or used under Part B is no longer needed to provide educational services to the child. If federal funds are involved, ORS 192.105 requires the federal records retention requirements to be observed. The LEA collects, stores, maintains, uses, and destroys personally identifiable information and education records of students with disabilities only in accordance with IDEA, incorporating FERPA (34 CFR §§300.610 – 300.627; 2 CFR §§200.33 –200.34 , and 34 CFR §§76.301 – 76.731).</t>
  </si>
  <si>
    <t>15. The LEA retains program and fiscal records, for a minimum of five years after completion of the activities for which the IDEA or other federal funds were received, unless a longer time period is required by OAR 166-400-0060 or 34 CFR §80.42. If any records request, litigation, claim, negotiation, audit or other action involving the records has been started before the expiration of the time period, the records must be retained until completion of the action and resolution of all issues which arise from it, or until the end of the specified time period, whichever is later (34 CFR §§300.610-627; 2 CFR, Part 200.33-34, and 34 CFR §76.301 – 76.731).</t>
  </si>
  <si>
    <t>16. The LEA makes available programmatic and fiscal information records to authorized representatives of ODE for the purpose of compliance verification (34 CFR §99).</t>
  </si>
  <si>
    <t>Use of Public Benefits or Insurance (such as Medicaid)</t>
  </si>
  <si>
    <t>a) If the LEA intends to use a child’s or family’s public benefits or insurance (such as Medicaid) to help pay for the provision of special education and related services, the LEA ensures that it first provides written notification explaining its intention and subsequently obtains informed written parental consent indicating that the parent understands and agrees to provide access the parent or child’s public insurance (Medicaid) and to release personally identifiable information to the state Medicaid agency for billing purposes. (34 CFR §300.154, OAR 581-015-2090, 581-015-2310, and 581-015-2530)</t>
  </si>
  <si>
    <t>b) The LEA provides written notification prior to asking for parent consent and then annually thereafter. (OAR 581-015-2090; 581-015-2310)</t>
  </si>
  <si>
    <t>c) The LEA acknowledges that it cannot, and confirms that it does not, require a family to enroll in Medicaid or to authorize the use of its Medicaid benefits to help pay for special education services. (34 CFR §300.154; OAR 581-015-2530)</t>
  </si>
  <si>
    <t>Other Policies</t>
  </si>
  <si>
    <t>National Instructional Materials Accessibility Standards (NIMAS)</t>
  </si>
  <si>
    <t>Assurances: Charter Schools</t>
  </si>
  <si>
    <t>Children Attending Charter Schools</t>
  </si>
  <si>
    <r>
      <t xml:space="preserve">1. </t>
    </r>
    <r>
      <rPr>
        <u/>
        <sz val="11"/>
        <color theme="1"/>
        <rFont val="Calibri"/>
        <family val="2"/>
        <scheme val="minor"/>
      </rPr>
      <t>Charter Schools</t>
    </r>
    <r>
      <rPr>
        <sz val="11"/>
        <color theme="1"/>
        <rFont val="Calibri"/>
        <family val="2"/>
        <scheme val="minor"/>
      </rPr>
      <t>. For purposes of carrying out IDEA Part B, all Oregon charter schools, regardless of location or sponsorship, are considered public schools of the LEA in which they are located. In carrying out Part B of IDEA with respect to charter schools, the LEA must in accordance with 34 CFR §300.209(b)(1), ORS Chapter 338, and OAR 581-015-2075:</t>
    </r>
  </si>
  <si>
    <t>a) Serve children with disabilities attending those charter schools in the same manner as the LEA serves children with disabilities in its other schools under IDEA and applicable state law, including providing supplementary and related services on site at the charter school to the same extent to which the LEA has a policy or practice of providing such services on the site of its other public schools.</t>
  </si>
  <si>
    <t xml:space="preserve">b) Pursuant to ORS Chapter 338, the LEA in which a charter school is located is considered the resident LEA and is responsible for providing special education and related services to students with disabilities enrolled in charter schools. </t>
  </si>
  <si>
    <t>d) If the LEA has a practice of allocating IDEA Part B funds directly to its other public schools in the school LEA, it allocates funds directly to its charter schools on the same basis and same federal funds distribution schedule as to its other public schools, including proportional distribution based on relative enrollment of children with disabilities.</t>
  </si>
  <si>
    <t>For each Charter School in the LEA, please select one of the following options:</t>
  </si>
  <si>
    <t>A. The LEA assures the Charter School will provide print instructional materials to blind persons or other persons with print disabilities in a timely manner without coordination with the National Instructional Materials Access Center (NIMAC).</t>
  </si>
  <si>
    <t>B. The LEA assures the Charter School will coordinate with the National Instructional Materials Access Center (NIMAC) when purchasing print instructional materials.</t>
  </si>
  <si>
    <t>Charter School</t>
  </si>
  <si>
    <t>Option</t>
  </si>
  <si>
    <t>New Charter Schools/Charter Schools Not Listed Above</t>
  </si>
  <si>
    <t>2. The list of Charter schools above was accurate as of the distribution of this form. If your LEA has a Charter school not on the above list, please enter their information below. You are also assuring that the information provided is the same as reported to the Institution Database Advisory Team (IDAT) and that IDAT has been informed of the new school located in your LEA boundaries.</t>
  </si>
  <si>
    <t>New Charter School Name</t>
  </si>
  <si>
    <t>Assurances: Private Schools</t>
  </si>
  <si>
    <t>Children Placed in Private Schools by a LEA or ESD</t>
  </si>
  <si>
    <t>1. LEA Placement in Private Schools. The LEA assures that a child with a disability who is placed in, or referred to, a private school or facility by the LEA is provided an education that meets the standards that apply to education in the State, including special education and related services, and has all of the rights of a child with a disability served by a public agency. Special education related services are provided in accordance with IEP or, for preschool children, an IFSP that meets the State’s requirements. (34 CFR §300.146; 34 CFR §§300.320 - 300.325, ORS 343 221; OAR 581-015-2200 - 2235, OAR 581-015-2260 - 2295)</t>
  </si>
  <si>
    <t>Children Placed in Private Schools by Parents</t>
  </si>
  <si>
    <t>2. Parentally Placed Private School Children (LEA and ECSE). The LEA in which the private school is located consults with administrators and parents of private schools prior to determining the provision of equitable special education services to children with disabilities enrolled by parents in non-profit private schools in the LEA. In collaboration with ECSE programs, and as directed by the ODE, the LEA in which the private school is located consults with administrators and parents of private schools to determine the provision of equitable services to children placed in private preschools that meet the state’s definition of an elementary school (34 CFR §§300.130 – 300.144 and OAR 581-015-2450 - 2510). The consultation includes a discussion of child find, proportionate share of funds, process of meaningful participation, provision of services, and a written explanation for any services the LEA chooses not to provide (34 CFR §§300.130 – 300.144 and OAR 581-015-2450 - 2510).</t>
  </si>
  <si>
    <t>A</t>
  </si>
  <si>
    <t>B</t>
  </si>
  <si>
    <t>C</t>
  </si>
  <si>
    <t>D</t>
  </si>
  <si>
    <t>The Oregon Department of Education/Office of Enhancing Student Opportunities will use this rubric to determine sub-recipient/program risk, and it will be one aspect considered when determining the overall financial risk of a sub-recipient/program related to IDEA Part B funds. Additional components of risk that the Office of Enhancing Student Opportunities (ESO) will use in determining the level of monitoring (on-site visit) and technical assistance include:
• Financial instability of the sub-recipient/program (6 Points)
• Inadequate or inaccurate financial reports (6 Points)</t>
  </si>
  <si>
    <t>Answer</t>
  </si>
  <si>
    <t>Assurances: Signatures</t>
  </si>
  <si>
    <t>Submission Statement</t>
  </si>
  <si>
    <t>The LEA assures that throughout the period of this grant award the LEA, including charter schools located in the LEA, will operate consistent with the requirements of IDEA (20 USC § 1400, et seq.), applicable IDEA Part B regulations (34 CFR Part 300), the related State statutes (ORS) and rules (OARs), and with the applicable provisions of the related federal and state statutes and regulations listed below. When requested by ODE, the LEA will make such changes to its policies and procedures as the State determines necessary to bring those policies and procedures into compliance (34 CFR §300.220)</t>
  </si>
  <si>
    <t>Related federal laws and requirements</t>
  </si>
  <si>
    <t>Elementary and Secondary Education Act (ESEA) of 1965, as reauthorized by Every Student Succeeds Act (ESSA) 20 USC § 6301 et seq.</t>
  </si>
  <si>
    <t>McKinney-Vento Homeless Assistance Act (42 USC § 11431 et seq.)</t>
  </si>
  <si>
    <t>Family Education Rights and Privacy Act (FERPA), 20 USC § 1232g, as incorporated in IDEA, 34 CFR §§ 600.610 – 300.627</t>
  </si>
  <si>
    <t>Section 504 of the Rehabilitation Act of 1973</t>
  </si>
  <si>
    <t>Americans with Disabilities Act (ADA)</t>
  </si>
  <si>
    <t>ADA Amendments Act of 2008 (Pub. L. No. 110-325, ADAAA)</t>
  </si>
  <si>
    <t>General Education Provisions Act (GEPA), 20 USC § 1221 et seq.</t>
  </si>
  <si>
    <t>Education Department’s General Administrative Regulations (EDGAR)</t>
  </si>
  <si>
    <t>Uniform Administrative Requirements, Cost Principles, and Audit Requirements for Federal Awards (2 CFR §200)</t>
  </si>
  <si>
    <t>OMB Circular 133</t>
  </si>
  <si>
    <t>By signing this Statement of Assurances, the LEA assures that it will operate in accordance with all the requirements of IDEA and related federal and state laws and regulations throughout the period of the grant award. Each LEA should carefully read and review the IDEA statute and regulations, and the state statutes, regulations and Executive Orders (13-04, 15-01) related to this Statement of Assurances.</t>
  </si>
  <si>
    <r>
      <t xml:space="preserve">The Parties agree that this application may be electronically signed. The parties agree the electronic signatures appearing on this document are the same as handwritten signatures for the purposes of validity, enforceability, and admissibility. </t>
    </r>
    <r>
      <rPr>
        <b/>
        <sz val="10"/>
        <color theme="1"/>
        <rFont val="Calibri"/>
        <family val="2"/>
        <scheme val="minor"/>
      </rPr>
      <t>If any representative does not consent</t>
    </r>
    <r>
      <rPr>
        <sz val="10"/>
        <color theme="1"/>
        <rFont val="Calibri"/>
        <family val="2"/>
        <scheme val="minor"/>
      </rPr>
      <t xml:space="preserve"> to an electronic signature, the LEA must print this tab, retrieve physical signatures from each person that does not consent, scan the signature page, and attach the signed and scanned signature page to the email along with this application document.</t>
    </r>
  </si>
  <si>
    <t>Preparer Signature (REQUIRED IF DIFFERENT FROM SUPERINTENDENT OR BUSINESS OFFICIAL)</t>
  </si>
  <si>
    <t>Preparer Consent to Electronic Signature:</t>
  </si>
  <si>
    <t>Full Name:</t>
  </si>
  <si>
    <t>Title:</t>
  </si>
  <si>
    <t>Date:</t>
  </si>
  <si>
    <t>Superintendent/Authorized Representative Signature (REQUIRED)</t>
  </si>
  <si>
    <t>Superintendent/Authorized Rep Consent to Electronic Signature:</t>
  </si>
  <si>
    <t>Business Official (REQUIRED)</t>
  </si>
  <si>
    <t>ODE.IDEAAssurances@state.or.us</t>
  </si>
  <si>
    <t>DesignateFiscalAgent</t>
  </si>
  <si>
    <t>FiscalAgent</t>
  </si>
  <si>
    <t>FiscalRiskTotal</t>
  </si>
  <si>
    <t>Charter1Nm</t>
  </si>
  <si>
    <t>Charter1Opt</t>
  </si>
  <si>
    <t>Charter2Nm</t>
  </si>
  <si>
    <t>Charter2Opt</t>
  </si>
  <si>
    <t>Charter3Nm</t>
  </si>
  <si>
    <t>Charter3Opt</t>
  </si>
  <si>
    <t>Charter4Nm</t>
  </si>
  <si>
    <t>Charter4Opt</t>
  </si>
  <si>
    <t>Charter5Nm</t>
  </si>
  <si>
    <t>Charter5Opt</t>
  </si>
  <si>
    <t>Charter6Nm</t>
  </si>
  <si>
    <t>Charter6Opt</t>
  </si>
  <si>
    <t>CharterNew1Nm</t>
  </si>
  <si>
    <t>CharterNew1Opt</t>
  </si>
  <si>
    <t>CharterNew2Nm</t>
  </si>
  <si>
    <t>CharterNew2Opt</t>
  </si>
  <si>
    <t>CharterNew3Nm</t>
  </si>
  <si>
    <t>CharterNew3Opt</t>
  </si>
  <si>
    <t>CharterNew4Nm</t>
  </si>
  <si>
    <t>CharterNew4Opt</t>
  </si>
  <si>
    <t>CharterNew5Nm</t>
  </si>
  <si>
    <t>CharterNew5Opt</t>
  </si>
  <si>
    <t>CharterNew6Nm</t>
  </si>
  <si>
    <t>CharterNew6Opt</t>
  </si>
  <si>
    <t>Required Fields</t>
  </si>
  <si>
    <t>Fiscal</t>
  </si>
  <si>
    <t>Data Collection &amp; Program</t>
  </si>
  <si>
    <t>Charter Schools</t>
  </si>
  <si>
    <t>Private Schools</t>
  </si>
  <si>
    <t>Fiscal Risk</t>
  </si>
  <si>
    <t>Version</t>
  </si>
  <si>
    <t>2021-2022</t>
  </si>
  <si>
    <t>1.0.5</t>
  </si>
  <si>
    <t>Oregon International School</t>
  </si>
  <si>
    <t>Crater Lake Academy</t>
  </si>
  <si>
    <t>Kids Unlimited Academy White City</t>
  </si>
  <si>
    <t>Oregon Charter Academy</t>
  </si>
  <si>
    <t>Redmond</t>
  </si>
  <si>
    <t>mark.redmond@malesd.org</t>
  </si>
  <si>
    <t>SupPhoneExt</t>
  </si>
  <si>
    <t>Marshall</t>
  </si>
  <si>
    <t>Brown</t>
  </si>
  <si>
    <t>Rich</t>
  </si>
  <si>
    <t>Polkinghorn</t>
  </si>
  <si>
    <t>Martinelli</t>
  </si>
  <si>
    <t>davidm@brookings.k12.or.us</t>
  </si>
  <si>
    <t>rich.polkinghorn@hoodriver.k12.or.us</t>
  </si>
  <si>
    <t>martinellis@sciok12.org</t>
  </si>
  <si>
    <t>SedPhoneExt</t>
  </si>
  <si>
    <t>Raf</t>
  </si>
  <si>
    <t>Helmen</t>
  </si>
  <si>
    <t>Tiffnie</t>
  </si>
  <si>
    <t>Schmadeka</t>
  </si>
  <si>
    <t>Gesicki</t>
  </si>
  <si>
    <t>Jeremy</t>
  </si>
  <si>
    <t>Jordan</t>
  </si>
  <si>
    <t>kjohnson@cascade.k12.or.us</t>
  </si>
  <si>
    <t>schmadekat@grantesd.k12.or.us</t>
  </si>
  <si>
    <t>gesickij@gastonk12.org</t>
  </si>
  <si>
    <t>brent.meister@mckenziesd.org</t>
  </si>
  <si>
    <t>samsjul@parkrose.k12.or.us</t>
  </si>
  <si>
    <t>ryan.chandler@douglasesd.k12.or.us</t>
  </si>
  <si>
    <t>Erstrom</t>
  </si>
  <si>
    <t xml:space="preserve">Beth </t>
  </si>
  <si>
    <t>Leah</t>
  </si>
  <si>
    <t>Bibeau</t>
  </si>
  <si>
    <t>Littlefield</t>
  </si>
  <si>
    <t>Price</t>
  </si>
  <si>
    <t>Cecelia</t>
  </si>
  <si>
    <t>Diener</t>
  </si>
  <si>
    <t>Hettinga</t>
  </si>
  <si>
    <t>Andrea</t>
  </si>
  <si>
    <t>Belz</t>
  </si>
  <si>
    <t>Jaeger</t>
  </si>
  <si>
    <t>Cara</t>
  </si>
  <si>
    <t>Wilber</t>
  </si>
  <si>
    <t>Morrison</t>
  </si>
  <si>
    <t>Lee Ann</t>
  </si>
  <si>
    <t>Conro</t>
  </si>
  <si>
    <t xml:space="preserve">Sarah </t>
  </si>
  <si>
    <t>Javier</t>
  </si>
  <si>
    <t>del Rio</t>
  </si>
  <si>
    <t>Weinard</t>
  </si>
  <si>
    <t xml:space="preserve">Tera </t>
  </si>
  <si>
    <t>VanDyke</t>
  </si>
  <si>
    <t>Hollie</t>
  </si>
  <si>
    <t>Henricks</t>
  </si>
  <si>
    <t>Bryson</t>
  </si>
  <si>
    <t xml:space="preserve">Danielle </t>
  </si>
  <si>
    <t>Type3</t>
  </si>
  <si>
    <t>ssarensen@lakeesd.k12.or.us</t>
  </si>
  <si>
    <t>sarah.erstrom@malesd.org</t>
  </si>
  <si>
    <t>michael_schofield@beaverton.k12.or.us</t>
  </si>
  <si>
    <t>leah.bibeau@bend.k12or.us</t>
  </si>
  <si>
    <t>cingram@blackbutte.k12.or.us</t>
  </si>
  <si>
    <t>danielle.littlefield@douglas.esd.k12.or.us</t>
  </si>
  <si>
    <t>denise.lapp@canby.k12.or.us</t>
  </si>
  <si>
    <t>matt.price@district6.org</t>
  </si>
  <si>
    <t>debbie.diener@dayton.k12.or.us</t>
  </si>
  <si>
    <t>hettingas@grantesd.k12.or.us</t>
  </si>
  <si>
    <t>belz_a@4j.lane.edu</t>
  </si>
  <si>
    <t>ely@gresham.k12.or.us</t>
  </si>
  <si>
    <t>cwilber@opgcpa.com</t>
  </si>
  <si>
    <t>katie.saul@hermistonsd.org</t>
  </si>
  <si>
    <t>morrisom@hsd.k12.or.us</t>
  </si>
  <si>
    <t>leeann.conro@jordanvalleysd.org</t>
  </si>
  <si>
    <t>wendy.whitson@mckenziesd.org</t>
  </si>
  <si>
    <t>rick.gill@molallariv.k12.or.us</t>
  </si>
  <si>
    <t>mijones@pendletonsd.org</t>
  </si>
  <si>
    <t>javier.delrio@phoenix.k12.or.us</t>
  </si>
  <si>
    <t>CWeinard@rsd7.net</t>
  </si>
  <si>
    <t>tvandyke@nwresd.k12.or.us</t>
  </si>
  <si>
    <t>X304</t>
  </si>
  <si>
    <t>allison.bryson@slane.k12.or.us</t>
  </si>
  <si>
    <t>amy.chisman@stpaul.k12.or.us</t>
  </si>
  <si>
    <t>dlittlefield@desd.k12.or.us</t>
  </si>
  <si>
    <t>Business Manager</t>
  </si>
  <si>
    <t>HR/Fiscal Services</t>
  </si>
  <si>
    <t>Director of Finance</t>
  </si>
  <si>
    <t>CFO</t>
  </si>
  <si>
    <t>Associate Superintendent of Business Services</t>
  </si>
  <si>
    <t>Finance Director</t>
  </si>
  <si>
    <t>District Clerk</t>
  </si>
  <si>
    <t>District Controller</t>
  </si>
  <si>
    <t>Director of Finance and Operations</t>
  </si>
  <si>
    <t>Clerk</t>
  </si>
  <si>
    <t xml:space="preserve">Chief Financial Officer </t>
  </si>
  <si>
    <t>Director Financial Services</t>
  </si>
  <si>
    <t>Chief Financial Officer</t>
  </si>
  <si>
    <t>Director of Business Services</t>
  </si>
  <si>
    <t>Chief  Financial Officer</t>
  </si>
  <si>
    <t>Business Director</t>
  </si>
  <si>
    <t>Asst. Superintendent, Operations</t>
  </si>
  <si>
    <t>Assistant Superintendent</t>
  </si>
  <si>
    <t>Deputy Clerk</t>
  </si>
  <si>
    <t>Chief Operations Officer</t>
  </si>
  <si>
    <t>Director of Finance &amp; Operations</t>
  </si>
  <si>
    <t>Version:</t>
  </si>
  <si>
    <t>Updated:</t>
  </si>
  <si>
    <t>Updated</t>
  </si>
  <si>
    <r>
      <t>LEA (District)</t>
    </r>
    <r>
      <rPr>
        <sz val="11"/>
        <color rgb="FFFF0000"/>
        <rFont val="Calibri"/>
        <family val="2"/>
        <scheme val="minor"/>
      </rPr>
      <t>*</t>
    </r>
  </si>
  <si>
    <r>
      <t>LEA/ESD Placed Private Schools:</t>
    </r>
    <r>
      <rPr>
        <sz val="11"/>
        <color rgb="FFFF0000"/>
        <rFont val="Calibri"/>
        <family val="2"/>
        <scheme val="minor"/>
      </rPr>
      <t>*</t>
    </r>
  </si>
  <si>
    <r>
      <t>Parent-Placed Private Schools:</t>
    </r>
    <r>
      <rPr>
        <sz val="11"/>
        <color rgb="FFFF0000"/>
        <rFont val="Calibri"/>
        <family val="2"/>
        <scheme val="minor"/>
      </rPr>
      <t>*</t>
    </r>
  </si>
  <si>
    <t>MoeStartYear</t>
  </si>
  <si>
    <t>DOE Estimate Date</t>
  </si>
  <si>
    <t>Note: Due to clarifications of IDEA law from technical assistance, the ODE has determined that all LEAs must submit assurances and will receive an allocation of IDEA funds.</t>
  </si>
  <si>
    <t>Note: Hospital and ECSE amounts are provided for informational purposes only. The LEA cannot choose to retain funds attributed to these programs. LEAs will only receive the NET funds after program elections made on the Fiscal tab.</t>
  </si>
  <si>
    <r>
      <t xml:space="preserve">IDEA Consortium </t>
    </r>
    <r>
      <rPr>
        <b/>
        <sz val="13"/>
        <color theme="3" tint="0.39997558519241921"/>
        <rFont val="Calibri"/>
        <family val="2"/>
        <scheme val="minor"/>
      </rPr>
      <t>(previously Fiscal Agent)</t>
    </r>
  </si>
  <si>
    <t>Consortium Manager is an ESD:</t>
  </si>
  <si>
    <t>Consortium Manager:</t>
  </si>
  <si>
    <t>MoeCurrYear</t>
  </si>
  <si>
    <t>MoePriorYear</t>
  </si>
  <si>
    <t>APR Determination</t>
  </si>
  <si>
    <t>Maintain FAPE</t>
  </si>
  <si>
    <t>Y</t>
  </si>
  <si>
    <t>The state agency must evaluate each sub-recipient’s risk of non-compliance with federal statutes, regulations, and the terms and conditions of the sub-award for determining the appropriate sub-recipient monitoring actions (2 CFR 200.331(b))</t>
  </si>
  <si>
    <t>SCORE</t>
  </si>
  <si>
    <t>Failed MOE for 2 of the past 3 years for which data are available</t>
  </si>
  <si>
    <t>Failed MOE for 3 of the past 3 years for which data are available</t>
  </si>
  <si>
    <t>Passed MOE for 2 of the last 3 years for which data are available</t>
  </si>
  <si>
    <t>Passed MOE for the past 3 years for which data are available</t>
  </si>
  <si>
    <t>IDEA funds reverted AND/OR carryover greater than 75%</t>
  </si>
  <si>
    <t>New financial management system within last year</t>
  </si>
  <si>
    <t>LEA has no written policies and procedures</t>
  </si>
  <si>
    <t>No IDEA funds reverted and carryover from 35% to 75%</t>
  </si>
  <si>
    <t>Substantially changed financial management system within last year</t>
  </si>
  <si>
    <t>LEA implemented written policies and procedures within last year</t>
  </si>
  <si>
    <t>No IDEA funds reverted and carryover from 10% to 35%</t>
  </si>
  <si>
    <t>New or substantially changed financial management system within last 2 years</t>
  </si>
  <si>
    <t>LEA implemented written policies and procedures within last 2 years</t>
  </si>
  <si>
    <t>No IDEA funds reverted and carryover of 10% or less</t>
  </si>
  <si>
    <t>Consistent and accurate financial management system in place for more than 2 years</t>
  </si>
  <si>
    <t>LEA implemented written policies and procedures for more than 2 years</t>
  </si>
  <si>
    <t>Monitoring Indicators</t>
  </si>
  <si>
    <t>Overall Result</t>
  </si>
  <si>
    <t>=INDEX(tblChoices,1,budgetmoe_col_num):INDEX(tblChoices,COUNTA(INDEX(tblChoices,,budgetmoe_col_num)),budgetmoe_col_num)</t>
  </si>
  <si>
    <t>Choices</t>
  </si>
  <si>
    <t>ScoreA</t>
  </si>
  <si>
    <t>ScoreB</t>
  </si>
  <si>
    <t>0 points (A)</t>
  </si>
  <si>
    <t>Total Score</t>
  </si>
  <si>
    <t>2 points (B)</t>
  </si>
  <si>
    <t xml:space="preserve"> 4 points (C)</t>
  </si>
  <si>
    <t xml:space="preserve"> 6 points (D)</t>
  </si>
  <si>
    <t>West Lane Charter School</t>
  </si>
  <si>
    <t>Not Active</t>
  </si>
  <si>
    <t>Not Active. The charter school listed has either moved, closed, or otherwise is no longer in the LEA.</t>
  </si>
  <si>
    <t>Charter schools in the LEA must be treated the exact same, for the purposes of IDEA, as any other public school in the LEA.</t>
  </si>
  <si>
    <t>c) If the public charter school is a school of an LEA that receives funding under 34 CFR §300.705 and includes other public schools, the LEA is responsible for ensuring that the requirements of Part 300 are met and the LEA must meet the requirements of 34 CFR §300.209(b)(1).</t>
  </si>
  <si>
    <t>Fiscal Risk V2</t>
  </si>
  <si>
    <t>All indicators must be answered to be considered complete.</t>
  </si>
  <si>
    <t>Maintenance of Effort data</t>
  </si>
  <si>
    <t>No EGMS request submission within the last 12 months</t>
  </si>
  <si>
    <t>1 to 2 months with EGMS requests submissions over the last 12 months</t>
  </si>
  <si>
    <t>3 months with EGMS requests submissions over the last 12 months</t>
  </si>
  <si>
    <t>4 months with EGMS requests submissions over the last 12 months</t>
  </si>
  <si>
    <t>Met Excess Costs</t>
  </si>
  <si>
    <t>Failed Excess Costs for the past three years for which data are available</t>
  </si>
  <si>
    <t>Failed Excess Costs for two of the past three years for which data are available</t>
  </si>
  <si>
    <t>Met Excess Costs for two of the last three years for which data are available</t>
  </si>
  <si>
    <t>Met Excess Costs for the past three years for which data are available</t>
  </si>
  <si>
    <t>Identified as Significantly Disproportionate and budgeted for its approved CCEIS plan in the past two years</t>
  </si>
  <si>
    <t>Identified as Significantly Disproportionate and budgeted for its approved CCEIS plan in the past year</t>
  </si>
  <si>
    <t>Voluntarily budgeted for CEIS and was not identified as Significantly Disproportionate</t>
  </si>
  <si>
    <t>Was not identified as Significantly Disproportionate and did not voluntarily budgeted for CEIS</t>
  </si>
  <si>
    <t>Reported enrollment in private school, but did not budget proportionate share costs</t>
  </si>
  <si>
    <t>Reported enrollment in private school, budgeted proportionate share costs, but did not use funds</t>
  </si>
  <si>
    <t>Reported enrollment in private school and budgeted for proportionate share costs</t>
  </si>
  <si>
    <t>Did not have students enrolled in private schools and/or no private schools in LEA</t>
  </si>
  <si>
    <t>Audits - Corrective Actions from most recent completed audit</t>
  </si>
  <si>
    <t>Timeliness of Report Submission (EGMS requests)</t>
  </si>
  <si>
    <t>Data Reporting Integrity - IDEA Part B &amp; Preschool application expenditures to Grant Reimbursement</t>
  </si>
  <si>
    <t>Written Policies and Procedures in compliance with Uniform Grant Guidance and IDEA Part B Requirements (cost principles, procurement, time and effort, inventory management, cash management, record keeping, etc.)</t>
  </si>
  <si>
    <t>Budgeted Proportionate Share Costs for Parent-Placed Private School Students</t>
  </si>
  <si>
    <r>
      <t xml:space="preserve">7. </t>
    </r>
    <r>
      <rPr>
        <b/>
        <u/>
        <sz val="11"/>
        <color theme="1"/>
        <rFont val="Calibri"/>
        <family val="2"/>
        <scheme val="minor"/>
      </rPr>
      <t>Regional Program Services Funding</t>
    </r>
    <r>
      <rPr>
        <sz val="11"/>
        <color theme="1"/>
        <rFont val="Calibri"/>
        <family val="2"/>
        <scheme val="minor"/>
      </rPr>
      <t>. The LEA has the option to retain IDEA fund allocations for the purposes of providing services to students with low incidence or high need disabilities served by Regional Inclusive Services Contracts (ORS 343.236 Special Education provided by state through local, county or regional program).</t>
    </r>
  </si>
  <si>
    <t>The LEA elects to retain IDEA fund allocations for the purposes of providing services to students who attend OSD.</t>
  </si>
  <si>
    <t>The LEA elects to have IDEA fund portion of OSD services directly allocated to the OSD contract by the Oregon Department of Education.</t>
  </si>
  <si>
    <t>The LEA elects to have their IDEA fund portion of regional services directly allocated to the Regional Services contract by the Oregon Department of Education.</t>
  </si>
  <si>
    <t>The LEA elects to retain IDEA fund allocations for the purposes of providing services to students with low incidence or high need disabilities.</t>
  </si>
  <si>
    <r>
      <t xml:space="preserve">9. </t>
    </r>
    <r>
      <rPr>
        <b/>
        <u/>
        <sz val="11"/>
        <color theme="1"/>
        <rFont val="Calibri"/>
        <family val="2"/>
        <scheme val="minor"/>
      </rPr>
      <t>Long Term Care and Treatment Service (LTCT) Funding</t>
    </r>
    <r>
      <rPr>
        <sz val="11"/>
        <color theme="1"/>
        <rFont val="Calibri"/>
        <family val="2"/>
        <scheme val="minor"/>
      </rPr>
      <t>. The LEA has the option to retain IDEA fund allocations for the purposes of providing services to students who attend LTCT sites within their boundaries (ORS 343.961 Responsibility for costs of education of children in day and residential treatment programs).</t>
    </r>
  </si>
  <si>
    <r>
      <t xml:space="preserve">8. </t>
    </r>
    <r>
      <rPr>
        <b/>
        <u/>
        <sz val="11"/>
        <color theme="1"/>
        <rFont val="Calibri"/>
        <family val="2"/>
        <scheme val="minor"/>
      </rPr>
      <t>Oregon School for the Deaf Services Funding</t>
    </r>
    <r>
      <rPr>
        <sz val="11"/>
        <color theme="1"/>
        <rFont val="Calibri"/>
        <family val="2"/>
        <scheme val="minor"/>
      </rPr>
      <t>. The LEA has the option to retain IDEA fund allocations for the purposes of providing services to students who attend the Oregon School for the Deaf (OSD) (ORS 343.236 Special Education provided by state through local, county or regional program).</t>
    </r>
  </si>
  <si>
    <t>The district management elects to have its IDEA fund portion of LTCT services directly allocated to the contract managed by the Oregon Department of Education.</t>
  </si>
  <si>
    <t>The district management elects to retain IDEA fund allocations for the purposes of providing services to students who attend LTCT sites within their boundaries.</t>
  </si>
  <si>
    <t>FiscalMOE</t>
  </si>
  <si>
    <r>
      <t xml:space="preserve">Cell suppression rules apply. If the Child Count is less than 6, then no calculated data based on that Child Count information will be viewable. Results will be viewable, but not any calculation. For an LEA that has a Child Count of less than 6: Divide the Amount by the Child Count for that fiscal year to arrive at the amount per capita. </t>
    </r>
    <r>
      <rPr>
        <b/>
        <sz val="11"/>
        <color rgb="FFFF0000"/>
        <rFont val="Calibri"/>
        <family val="2"/>
        <scheme val="minor"/>
      </rPr>
      <t>If your LEA would like an unsuppressed version, please reach out to ODE.IDEAFinance@ode.oregon.gov.</t>
    </r>
  </si>
  <si>
    <r>
      <t>Maintenance of Effort (</t>
    </r>
    <r>
      <rPr>
        <b/>
        <sz val="15"/>
        <color rgb="FFFF0000"/>
        <rFont val="Calibri"/>
        <family val="2"/>
        <scheme val="minor"/>
      </rPr>
      <t>this page is a preview of the IDEA MOE districts will receive and is not required for submission</t>
    </r>
    <r>
      <rPr>
        <b/>
        <sz val="15"/>
        <color theme="3"/>
        <rFont val="Calibri"/>
        <family val="2"/>
        <scheme val="minor"/>
      </rPr>
      <t>)</t>
    </r>
  </si>
  <si>
    <t>State and Local Total Combined</t>
  </si>
  <si>
    <t>IDEA application and EGMS expenditures don’t match for grant</t>
  </si>
  <si>
    <t>IDEA application and EGMS expenditures match only for 619/preschool grant</t>
  </si>
  <si>
    <t>IDEA application and EGMS expenditures match only for 611/school age grant</t>
  </si>
  <si>
    <t>IDEA application and EGMS expenditures match for both 611 &amp; 619 grants</t>
  </si>
  <si>
    <r>
      <t xml:space="preserve">The LEA assures it treats its charter schools the same as public schools and the LEA </t>
    </r>
    <r>
      <rPr>
        <b/>
        <sz val="11"/>
        <color theme="1"/>
        <rFont val="Calibri"/>
        <family val="2"/>
        <scheme val="minor"/>
      </rPr>
      <t>does not</t>
    </r>
    <r>
      <rPr>
        <sz val="11"/>
        <color theme="1"/>
        <rFont val="Calibri"/>
        <family val="2"/>
        <scheme val="minor"/>
      </rPr>
      <t xml:space="preserve"> allocate IDEA Part B funds directly to the public schools of the LEA, including their Charter Schools.</t>
    </r>
  </si>
  <si>
    <r>
      <t xml:space="preserve">The LEA assures it treats its charter schools the same as public schools and the LEA </t>
    </r>
    <r>
      <rPr>
        <b/>
        <sz val="11"/>
        <color theme="1"/>
        <rFont val="Calibri"/>
        <family val="2"/>
        <scheme val="minor"/>
      </rPr>
      <t>does</t>
    </r>
    <r>
      <rPr>
        <sz val="11"/>
        <color theme="1"/>
        <rFont val="Calibri"/>
        <family val="2"/>
        <scheme val="minor"/>
      </rPr>
      <t xml:space="preserve"> allocate IDEA Part B funds directly to the public schools of the LEA, including their public charter schools.</t>
    </r>
  </si>
  <si>
    <t>The LEA cannot assure it treats its charter schools the same as public schools.</t>
  </si>
  <si>
    <t>FrAns1</t>
  </si>
  <si>
    <t>FrAns2</t>
  </si>
  <si>
    <t>FrAns3</t>
  </si>
  <si>
    <t>FrAns4</t>
  </si>
  <si>
    <t>FrAns5</t>
  </si>
  <si>
    <t>FrAns6</t>
  </si>
  <si>
    <t>FrAns7</t>
  </si>
  <si>
    <t>FrAns8</t>
  </si>
  <si>
    <t>FrAns9</t>
  </si>
  <si>
    <t>FrAns10</t>
  </si>
  <si>
    <t>FrAns11</t>
  </si>
  <si>
    <t>FrAns12</t>
  </si>
  <si>
    <t>FrAns13</t>
  </si>
  <si>
    <t>FrAns14</t>
  </si>
  <si>
    <t>FrAns15</t>
  </si>
  <si>
    <t>FrScore1</t>
  </si>
  <si>
    <t>FrScore2</t>
  </si>
  <si>
    <t>FrScore3</t>
  </si>
  <si>
    <t>FrScore4</t>
  </si>
  <si>
    <t>FrScore5</t>
  </si>
  <si>
    <t>FrScore6</t>
  </si>
  <si>
    <t>FrScore7</t>
  </si>
  <si>
    <t>FrScore8</t>
  </si>
  <si>
    <t>FrScore9</t>
  </si>
  <si>
    <t>FrScore10</t>
  </si>
  <si>
    <t>FrScore11</t>
  </si>
  <si>
    <t>FrScore12</t>
  </si>
  <si>
    <t>FrScore13</t>
  </si>
  <si>
    <t>FrScore14</t>
  </si>
  <si>
    <t>FrScore15</t>
  </si>
  <si>
    <t>No, the LEA is unable to assure its compliance with this general IDEA compliance section.</t>
  </si>
  <si>
    <t>Yes, the LEA assures it will comply with this general IDEA compliance section.</t>
  </si>
  <si>
    <t>Acceptance of Funds</t>
  </si>
  <si>
    <t>Acceptance of funds</t>
  </si>
  <si>
    <r>
      <t xml:space="preserve">Yes, the LEA will accept the IDEA award and </t>
    </r>
    <r>
      <rPr>
        <b/>
        <sz val="11"/>
        <color theme="1"/>
        <rFont val="Calibri"/>
        <family val="2"/>
        <scheme val="minor"/>
      </rPr>
      <t>will not</t>
    </r>
    <r>
      <rPr>
        <sz val="11"/>
        <color theme="1"/>
        <rFont val="Calibri"/>
        <family val="2"/>
        <scheme val="minor"/>
      </rPr>
      <t xml:space="preserve"> request additional reallocated funds.</t>
    </r>
  </si>
  <si>
    <r>
      <t xml:space="preserve">Yes, the LEA will accept the IDEA award and </t>
    </r>
    <r>
      <rPr>
        <b/>
        <sz val="11"/>
        <color theme="1"/>
        <rFont val="Calibri"/>
        <family val="2"/>
        <scheme val="minor"/>
      </rPr>
      <t>will</t>
    </r>
    <r>
      <rPr>
        <sz val="11"/>
        <color theme="1"/>
        <rFont val="Calibri"/>
        <family val="2"/>
        <scheme val="minor"/>
      </rPr>
      <t xml:space="preserve"> request additional reallocated funds.</t>
    </r>
  </si>
  <si>
    <t>Reallocation Criteria</t>
  </si>
  <si>
    <t>LEA has experienced an increase in student count that has resulted in the need for additional services.</t>
  </si>
  <si>
    <t>LEA is lacking in assistive technology.</t>
  </si>
  <si>
    <t>LEA has a lack of specialized experts.</t>
  </si>
  <si>
    <t>ODE found noncompliance in the most recent fiscal audit.</t>
  </si>
  <si>
    <t>Reallocation of Funds Criteria</t>
  </si>
  <si>
    <t>LEA has an open finding in dispute resolution.</t>
  </si>
  <si>
    <t>LEA will not be requesting reallocated IDEA funds.</t>
  </si>
  <si>
    <t>Updates</t>
  </si>
  <si>
    <t>Fiscal Risk Assessment was updated.</t>
  </si>
  <si>
    <t>Assurances: FAPE</t>
  </si>
  <si>
    <t>IDEA FAPE Compliance</t>
  </si>
  <si>
    <t>IDEA FAPE Compliance:</t>
  </si>
  <si>
    <t>Timeliness of Claims</t>
  </si>
  <si>
    <t xml:space="preserve"> General Fund Expenditures and Budget</t>
  </si>
  <si>
    <t>Section 427 of the General Education Provisions Act (GEPA) (20 U.S.C. 1228a) applies to applicants for grant awards under this program.</t>
  </si>
  <si>
    <t>The signature page now includes a drop down to accept award, waive award, or accept award plus additional reallocated funds. In order to waive funds, the LEA must establish that it is meeting all FAPE requirements.</t>
  </si>
  <si>
    <t>In order to waive IDEA funds, an LEA must establish that they are meeting all FAPE criteria.</t>
  </si>
  <si>
    <t>Turnover in Special Education Director</t>
  </si>
  <si>
    <r>
      <t xml:space="preserve">Turnover in </t>
    </r>
    <r>
      <rPr>
        <b/>
        <sz val="10"/>
        <color theme="1"/>
        <rFont val="Calibri"/>
        <family val="2"/>
        <scheme val="minor"/>
      </rPr>
      <t>one</t>
    </r>
    <r>
      <rPr>
        <sz val="10"/>
        <color theme="1"/>
        <rFont val="Calibri"/>
        <family val="2"/>
        <scheme val="minor"/>
      </rPr>
      <t xml:space="preserve"> key fiscal position within the last </t>
    </r>
    <r>
      <rPr>
        <b/>
        <sz val="10"/>
        <color theme="1"/>
        <rFont val="Calibri"/>
        <family val="2"/>
        <scheme val="minor"/>
      </rPr>
      <t xml:space="preserve">two </t>
    </r>
    <r>
      <rPr>
        <sz val="10"/>
        <color theme="1"/>
        <rFont val="Calibri"/>
        <family val="2"/>
        <scheme val="minor"/>
      </rPr>
      <t>years</t>
    </r>
  </si>
  <si>
    <r>
      <t xml:space="preserve">Turnover in </t>
    </r>
    <r>
      <rPr>
        <b/>
        <sz val="10"/>
        <color theme="1"/>
        <rFont val="Calibri"/>
        <family val="2"/>
        <scheme val="minor"/>
      </rPr>
      <t>two</t>
    </r>
    <r>
      <rPr>
        <sz val="10"/>
        <color theme="1"/>
        <rFont val="Calibri"/>
        <family val="2"/>
        <scheme val="minor"/>
      </rPr>
      <t xml:space="preserve"> or more key fiscal positions within the last </t>
    </r>
    <r>
      <rPr>
        <b/>
        <sz val="10"/>
        <color theme="1"/>
        <rFont val="Calibri"/>
        <family val="2"/>
        <scheme val="minor"/>
      </rPr>
      <t>two</t>
    </r>
    <r>
      <rPr>
        <sz val="10"/>
        <color theme="1"/>
        <rFont val="Calibri"/>
        <family val="2"/>
        <scheme val="minor"/>
      </rPr>
      <t xml:space="preserve"> years</t>
    </r>
  </si>
  <si>
    <r>
      <t xml:space="preserve">Turnover in </t>
    </r>
    <r>
      <rPr>
        <b/>
        <sz val="10"/>
        <color theme="1"/>
        <rFont val="Calibri"/>
        <family val="2"/>
        <scheme val="minor"/>
      </rPr>
      <t>two</t>
    </r>
    <r>
      <rPr>
        <sz val="10"/>
        <color theme="1"/>
        <rFont val="Calibri"/>
        <family val="2"/>
        <scheme val="minor"/>
      </rPr>
      <t xml:space="preserve"> key fiscal positions within the last </t>
    </r>
    <r>
      <rPr>
        <b/>
        <sz val="10"/>
        <color theme="1"/>
        <rFont val="Calibri"/>
        <family val="2"/>
        <scheme val="minor"/>
      </rPr>
      <t>three</t>
    </r>
    <r>
      <rPr>
        <sz val="10"/>
        <color theme="1"/>
        <rFont val="Calibri"/>
        <family val="2"/>
        <scheme val="minor"/>
      </rPr>
      <t xml:space="preserve"> years</t>
    </r>
  </si>
  <si>
    <t>No turnover in key fiscal personnel within the last 2 years</t>
  </si>
  <si>
    <t xml:space="preserve">Equity Assurances                                                                                          </t>
  </si>
  <si>
    <t>The LEA must budget, in Total or Per Capita, at least the amounts as those shown above. When the LEA is considering whether its budget meets their MOE expenditures, please ensure the LEA is considering ALL State and Local funds, including ESD Resolution Dollars budgeted for use at the LEA. The amounts and Fiscal Year Met information above were accurate as of the Assurance Application open date. MOE information for the last five fiscal years of available data is in the MOE tab.</t>
  </si>
  <si>
    <t>High Risk Indicators</t>
  </si>
  <si>
    <t>No, the LEA is meeting the FAPE requirement and will waive the IDEA award</t>
  </si>
  <si>
    <r>
      <t xml:space="preserve">4. </t>
    </r>
    <r>
      <rPr>
        <u/>
        <sz val="11"/>
        <color theme="1"/>
        <rFont val="Calibri"/>
        <family val="2"/>
        <scheme val="minor"/>
      </rPr>
      <t>Use of Public Benefits</t>
    </r>
    <r>
      <rPr>
        <sz val="11"/>
        <color theme="1"/>
        <rFont val="Calibri"/>
        <family val="2"/>
        <scheme val="minor"/>
      </rPr>
      <t xml:space="preserve">: </t>
    </r>
  </si>
  <si>
    <t>5. The LEA assures that all LEA personnel, including sign language interpreters necessary to carry out Part B of the IDEA, are appropriately and adequately prepared and trained, including that those personnel have the content knowledge and skills to serve children with disabilities. The LEA takes measurable steps to hire appropriately trained personnel. (34 CFR §300.156 and Section 1212 of the ESSA).</t>
  </si>
  <si>
    <t>6. The LEA includes all public school children with disabilities in all state and LEA wide assessment programs, including assessments described under Section 1111 of the ESEA (as reauthorized by ESSA), with appropriate accommodations where necessary and as indicated in their respective individualized education programs. (34 CFR §300.320(a)(6))</t>
  </si>
  <si>
    <t>7. For LEAs that conduct LEA wide assessments, the LEA complies with the requirements for participation in assessments, for provision of accommodations, and for public reporting. (20 USC 1412(a)(16))</t>
  </si>
  <si>
    <t>8. The LEA prohibits its personnel, including other agency personnel or contractors, from requiring a child to obtain a prescription for a substance covered by the Controlled Substances Act, 21 USC 812(c), as a condition of attending school, receiving an evaluation or receiving service. (34 CFR §300.174, 34 CFR §§300.300 – 300.311, and ORS 339.873)</t>
  </si>
  <si>
    <t>9. The LEA assures education equity and prevents the inappropriate over identification or disproportionate representation by race and ethnicity of children with disabilities in special education and in disciplinary removals, including suspension and expulsion, in total and by specific disability categories) OSD collaborates with the LEA in making this assurance. (34 CFR §300.173; §§300.300 – 300.311, 34 CFR §§300.646 – 300.647, ORS 343.146, ORS 343.157, and ORS 343.164; OAR 581-015-2080 – 2190)</t>
  </si>
  <si>
    <t>10. The LEA and EI/ECSE program comply in a timely manner with any corrective actions required by ODE under its general supervision authority, including but not limited to due process orders issued by the Office of Administrative Hearings, state complaint resolution processes, and Systems Performance Review &amp; Improvement (SPR&amp;I). The LEA ensures that identified noncompliance with IDEA is corrected as soon as possible, and not later than one year after the State’s identification of the noncompliance. (34 CFR §300.600; OAR 581-015-2030; 581-015- 2340 – 581-015-2375)</t>
  </si>
  <si>
    <t>11. The LEA’s programs and activities for students with disabilities under the IDEA meet the requirements of Title II of the Americans with Disabilities Act (ADA) and Section 504 of the Rehabilitation Act of 1973. OSD, in collaboration with the school LEA, makes this statement.</t>
  </si>
  <si>
    <t>ODE JDEP</t>
  </si>
  <si>
    <t>ODE YCEP</t>
  </si>
  <si>
    <t>Oregon Dept. of Corrections (ACEP)</t>
  </si>
  <si>
    <t>Pediatric Nursing Facility (PNF)</t>
  </si>
  <si>
    <t>Regional Programs</t>
  </si>
  <si>
    <t>Oregon School for the Deaf (OSD)</t>
  </si>
  <si>
    <t>Long Term Care and Treatment (LTCT)</t>
  </si>
  <si>
    <t>Hospital Program</t>
  </si>
  <si>
    <t>ECSE Program</t>
  </si>
  <si>
    <t>SUM</t>
  </si>
  <si>
    <t>Size of the IDEA Part B 611 and 619 Award from previous fiscal year</t>
  </si>
  <si>
    <t>LEA claims reimbursement on defined schedule</t>
  </si>
  <si>
    <t>LEA submits claims reimbursements within award year</t>
  </si>
  <si>
    <t>LEA submits claims reimbursements with period of performance</t>
  </si>
  <si>
    <t>Did you have a new to your district SPED Director?</t>
  </si>
  <si>
    <t>If yes, did they have more than 3 years experience in other Oregon districts as a SPED Director?</t>
  </si>
  <si>
    <t>If yes, did they come from out of state?</t>
  </si>
  <si>
    <t>2021-2022 SY</t>
  </si>
  <si>
    <t>2020-2021 SY</t>
  </si>
  <si>
    <t>Please indicate the following:</t>
  </si>
  <si>
    <t>If yes, and you know who this individual will be, please provide their contact information below:</t>
  </si>
  <si>
    <t>Name:</t>
  </si>
  <si>
    <t>E-mail:</t>
  </si>
  <si>
    <t>Phone:</t>
  </si>
  <si>
    <t>Does your district anticipate turnover in your current SPED Director for the 2023-2024 SY?</t>
  </si>
  <si>
    <t>Page Directions:</t>
  </si>
  <si>
    <r>
      <t xml:space="preserve">In order to minimize burden for districts, we are using this page in the fiscal monitoring application as a mechanism to collect information about the individual serving in the position of Special Education Director. The information collected here will be used as one factor for the Part B IDEA </t>
    </r>
    <r>
      <rPr>
        <b/>
        <sz val="11"/>
        <color theme="1"/>
        <rFont val="Calibri"/>
        <family val="2"/>
        <scheme val="minor"/>
      </rPr>
      <t>Programmatic Risk Assessment</t>
    </r>
    <r>
      <rPr>
        <sz val="11"/>
        <color theme="1"/>
        <rFont val="Calibri"/>
        <family val="2"/>
        <scheme val="minor"/>
      </rPr>
      <t xml:space="preserve"> used to identify districts for focused monitoring. It will </t>
    </r>
    <r>
      <rPr>
        <b/>
        <u/>
        <sz val="11"/>
        <color theme="1"/>
        <rFont val="Calibri"/>
        <family val="2"/>
        <scheme val="minor"/>
      </rPr>
      <t>not</t>
    </r>
    <r>
      <rPr>
        <sz val="11"/>
        <color theme="1"/>
        <rFont val="Calibri"/>
        <family val="2"/>
        <scheme val="minor"/>
      </rPr>
      <t xml:space="preserve"> play a factor in your IDEA Fiscal Risk Assessment. If you have any questions, please contact Jennifer Eklund-Smith at </t>
    </r>
    <r>
      <rPr>
        <u/>
        <sz val="11"/>
        <color theme="1"/>
        <rFont val="Calibri"/>
        <family val="2"/>
        <scheme val="minor"/>
      </rPr>
      <t>jennifer.eklund-smith@ode.oregon.gov.</t>
    </r>
  </si>
  <si>
    <t>Optional CEIS Budget</t>
  </si>
  <si>
    <t>Identified as Significantly Disproportionate</t>
  </si>
  <si>
    <t>2021-22</t>
  </si>
  <si>
    <t>This is a one time only tab to collect needed information for the Part B IDEA Programmatic Risk Assessment without sending a separate task to complete. This information does not affect the fiscal risk score.</t>
  </si>
  <si>
    <r>
      <t xml:space="preserve">1. Describe how your entity’s existing mission, policies, or commitments ensure equitable access to, and equitable participation in, the proposed project or activity. </t>
    </r>
    <r>
      <rPr>
        <sz val="11"/>
        <color rgb="FFFF0000"/>
        <rFont val="Calibri"/>
        <family val="2"/>
        <scheme val="minor"/>
      </rPr>
      <t>*</t>
    </r>
  </si>
  <si>
    <t>Please read each assurance carefully before submitting an answer</t>
  </si>
  <si>
    <t>Combined award less than $150,000</t>
  </si>
  <si>
    <t>Combined award between $150,000 and $1,000,000</t>
  </si>
  <si>
    <t>Combined award greater than $1,000,000</t>
  </si>
  <si>
    <t>Note: An approved plan must be on file prior to the submission of claims for this section of the grant. Contact Kara Williams (kara.williams@ode.oregon.gov) to discuss your plan.</t>
  </si>
  <si>
    <t>Under Section 427 of GEPA, all applicants that apply for IDEA funds must include a description of the steps proposed to ensure equitable access to and participation in programming.</t>
  </si>
  <si>
    <t>Institution ID</t>
  </si>
  <si>
    <t>Yes, the LEA understands the CEIS cap is 15% of its gross IDEA Part B Award</t>
  </si>
  <si>
    <t>Coos Bay SD 10</t>
  </si>
  <si>
    <t>Muddy Creek Charter School</t>
  </si>
  <si>
    <t>Dallas SD 3</t>
  </si>
  <si>
    <t>Estacada SD 109</t>
  </si>
  <si>
    <t>Lowell SD 72</t>
  </si>
  <si>
    <t>Logos Charter School</t>
  </si>
  <si>
    <t>Evergreen Virtual Academy</t>
  </si>
  <si>
    <t>North Clackamas SD 13</t>
  </si>
  <si>
    <t>North Clackamas SD 14</t>
  </si>
  <si>
    <t>North Clackamas SD 15</t>
  </si>
  <si>
    <t>Virtual Preparatory Academy of Oregon</t>
  </si>
  <si>
    <t>Reynolds SD 8</t>
  </si>
  <si>
    <t>Reynolds SD 9</t>
  </si>
  <si>
    <t>Scio SD 96</t>
  </si>
  <si>
    <t>Scio SD 97</t>
  </si>
  <si>
    <t>South Lane SD 45J4</t>
  </si>
  <si>
    <t>MITCH Charter School (Multi-sensory Instruction Teaching Children Hands-On)</t>
  </si>
  <si>
    <t>2022-2023</t>
  </si>
  <si>
    <t>District</t>
  </si>
  <si>
    <t>Percent</t>
  </si>
  <si>
    <t>Points</t>
  </si>
  <si>
    <t>Sig Dig</t>
  </si>
  <si>
    <t>Yes the district was identified</t>
  </si>
  <si>
    <t>No the district was no identified</t>
  </si>
  <si>
    <t>In order to be eligible for IDEA funds, an LEA must establish that it has budgeted at least the same amount as was spent in the previous year. The tab now includes a cell to enter your budget total and a brief narrative. It also includes a cell for you to indicate your sig dis status and the amount that needs to be budgeted for CCEIS based on that. Additionally, there is a cell to enter the amount you are reserving funds for CEIS, if your LEA is choosing to do so.</t>
  </si>
  <si>
    <r>
      <t xml:space="preserve">The signature page now includes a drop down to select </t>
    </r>
    <r>
      <rPr>
        <b/>
        <sz val="11"/>
        <color theme="1"/>
        <rFont val="Calibri"/>
        <family val="2"/>
        <scheme val="minor"/>
      </rPr>
      <t>one</t>
    </r>
    <r>
      <rPr>
        <sz val="11"/>
        <color theme="1"/>
        <rFont val="Calibri"/>
        <family val="2"/>
        <scheme val="minor"/>
      </rPr>
      <t xml:space="preserve"> of the criteria to establish a need to receive additional reallocated funding. An LEA may meet more than one criteria, but only one needs to be selected. This will </t>
    </r>
    <r>
      <rPr>
        <i/>
        <sz val="11"/>
        <color theme="1"/>
        <rFont val="Calibri"/>
        <family val="2"/>
        <scheme val="minor"/>
      </rPr>
      <t xml:space="preserve">not </t>
    </r>
    <r>
      <rPr>
        <sz val="11"/>
        <color theme="1"/>
        <rFont val="Calibri"/>
        <family val="2"/>
        <scheme val="minor"/>
      </rPr>
      <t>incur any penalty; it is only to establish a need for additional funding.</t>
    </r>
  </si>
  <si>
    <t>Reallocation Process</t>
  </si>
  <si>
    <t xml:space="preserve">Historically, the ODE has allowed districts to waive their IDEA awards through informal channels by emailing the IDEA team. These funds were then redistributed to all districts across the state. This year, the ODE has updated its process to better align with the most recent federal guidance. The new process is as follows: </t>
  </si>
  <si>
    <t>To waive IDEA funds:</t>
  </si>
  <si>
    <t xml:space="preserve">The district establishes that they are meeting all elements of FAPE through their assurances </t>
  </si>
  <si>
    <t>The district selects the option to waive their funds on the signature tab</t>
  </si>
  <si>
    <t>The IDEA fiscal team confirms that the district has met MOE, has no program findings, and is providing FAPE to all special education students</t>
  </si>
  <si>
    <t>The ODE flows through IDEA funds to the district on October 1</t>
  </si>
  <si>
    <t>The district leaves the IDEA funds unobligated</t>
  </si>
  <si>
    <t>Near the end of the Award Year, in June, the ODE will reach out to the district to confirm that they still wish to waive these funds</t>
  </si>
  <si>
    <t>In July, the ODE will withdraw the district's funds to reallocate them</t>
  </si>
  <si>
    <t>To receive IDEA funds that districts have waived:</t>
  </si>
  <si>
    <t>The district establishes that they are meeting all elements of FAPE through their assurances</t>
  </si>
  <si>
    <t>The district selects the option to accept IDEA funds and received reallocated funds on the signature tab</t>
  </si>
  <si>
    <t>The district selects one of the criteria to establish that they have a need for additional funds</t>
  </si>
  <si>
    <r>
      <rPr>
        <b/>
        <sz val="11"/>
        <color theme="1"/>
        <rFont val="Calibri"/>
        <family val="2"/>
        <scheme val="minor"/>
      </rPr>
      <t>Note</t>
    </r>
    <r>
      <rPr>
        <sz val="11"/>
        <color theme="1"/>
        <rFont val="Calibri"/>
        <family val="2"/>
        <scheme val="minor"/>
      </rPr>
      <t xml:space="preserve"> that this does not have fiscal risk or monitoring consequences. Selecting one of these criteria verifies that there is a need for additional funding</t>
    </r>
  </si>
  <si>
    <t>The additional funds will be flowed through on October 1 with the following year's award</t>
  </si>
  <si>
    <t>Were there LATE submissions?</t>
  </si>
  <si>
    <t>Were there INACCURATE submissions?</t>
  </si>
  <si>
    <t>On time and accurate data reporting including Excess Cost</t>
  </si>
  <si>
    <t>All reports were submitted on time and accurately</t>
  </si>
  <si>
    <t>There was an update to the questions and the scoring thresholds. One question asks if your district has had any late or inaccurate data submissions, including Excess Cost. The tab following the fiscal risk assessment labeled "LateInaccurate" contains publicly available information collected by the Office of Enhancing Student Opportunities (OESO) Fiscal and Data teams indicating whether a district has submitted late or inaccurate data. Use this sheet to find your district and select the correct score on the assessment.</t>
  </si>
  <si>
    <t>Met per capita</t>
  </si>
  <si>
    <t xml:space="preserve">Met </t>
  </si>
  <si>
    <t>Not Met</t>
  </si>
  <si>
    <r>
      <t xml:space="preserve">The LEA must submit additional information found at the IDEA Data Center's comparison of CEIS and CCEIS (34 CFR §300.208) </t>
    </r>
    <r>
      <rPr>
        <b/>
        <i/>
        <sz val="11"/>
        <color rgb="FFFF0000"/>
        <rFont val="Calibri"/>
        <family val="2"/>
        <scheme val="minor"/>
      </rPr>
      <t>if</t>
    </r>
    <r>
      <rPr>
        <i/>
        <sz val="11"/>
        <color rgb="FFFF0000"/>
        <rFont val="Calibri"/>
        <family val="2"/>
        <scheme val="minor"/>
      </rPr>
      <t xml:space="preserve"> it retains CEIS dollars.</t>
    </r>
  </si>
  <si>
    <t>Stratton</t>
  </si>
  <si>
    <t>(541) 947-3371</t>
  </si>
  <si>
    <t/>
  </si>
  <si>
    <t>lstratton@lakeesd.k12.or.us</t>
  </si>
  <si>
    <t>Ketterling</t>
  </si>
  <si>
    <t>(541) 372-2335</t>
  </si>
  <si>
    <t>nick.ketterling@adriansd.org</t>
  </si>
  <si>
    <t>(541) 473-4825</t>
  </si>
  <si>
    <t>4825</t>
  </si>
  <si>
    <t>(541) 487-5646</t>
  </si>
  <si>
    <t>sean.gallagher@alsea.k12.or.us</t>
  </si>
  <si>
    <t>Doe</t>
  </si>
  <si>
    <t>(541) 714-3505</t>
  </si>
  <si>
    <t>cheryl.doe@alsea.k12.or.us</t>
  </si>
  <si>
    <t>(503) 835-2171</t>
  </si>
  <si>
    <t>Blanco</t>
  </si>
  <si>
    <t>(503) 835-4482</t>
  </si>
  <si>
    <t>kevin.blanco@amity.k12.or.us</t>
  </si>
  <si>
    <t>(541) 262-3280</t>
  </si>
  <si>
    <t>Steve.bishop@annexsd.org</t>
  </si>
  <si>
    <t>(541) 473-3138</t>
  </si>
  <si>
    <t>(541) 454-2632</t>
  </si>
  <si>
    <t>ljohnson@arlington.k121.or.us</t>
  </si>
  <si>
    <t>Kara</t>
  </si>
  <si>
    <t>Robbins</t>
  </si>
  <si>
    <t>(800) 450-2732</t>
  </si>
  <si>
    <t>krobbins@ncesd.k12.or.us</t>
  </si>
  <si>
    <t>4824</t>
  </si>
  <si>
    <t>(541) 482-2811</t>
  </si>
  <si>
    <t>Bare</t>
  </si>
  <si>
    <t>(541) 482-2438</t>
  </si>
  <si>
    <t>1700</t>
  </si>
  <si>
    <t>erika.bare@ashland.k12.or.us</t>
  </si>
  <si>
    <t>Jody</t>
  </si>
  <si>
    <t>Holmes</t>
  </si>
  <si>
    <t>(541) 489-3297</t>
  </si>
  <si>
    <t>2208</t>
  </si>
  <si>
    <t>nartz_j@hotmail.com</t>
  </si>
  <si>
    <t>(541) 546-7524</t>
  </si>
  <si>
    <t>bgarland@jcesd.k12.or.us</t>
  </si>
  <si>
    <t>(503) 325-6441</t>
  </si>
  <si>
    <t>(503) 325-0476</t>
  </si>
  <si>
    <t>130</t>
  </si>
  <si>
    <t>(541) 566-3548</t>
  </si>
  <si>
    <t>Cameron</t>
  </si>
  <si>
    <t>cameron.sipe@athwestsd.org</t>
  </si>
  <si>
    <t>Lair</t>
  </si>
  <si>
    <t>(541) 524-2260</t>
  </si>
  <si>
    <t>1005</t>
  </si>
  <si>
    <t>erin.lair@bakersd.org</t>
  </si>
  <si>
    <t>(541) 524-2285</t>
  </si>
  <si>
    <t>Shauna</t>
  </si>
  <si>
    <t>Schmerer</t>
  </si>
  <si>
    <t>(541) 347-4411</t>
  </si>
  <si>
    <t>sschmerer@bandon.k12.or.us</t>
  </si>
  <si>
    <t>(541) 347-4416</t>
  </si>
  <si>
    <t>Sica</t>
  </si>
  <si>
    <t>(503) 324-8591</t>
  </si>
  <si>
    <t>1901</t>
  </si>
  <si>
    <t>brians@banks.k12.or.us</t>
  </si>
  <si>
    <t>Darla</t>
  </si>
  <si>
    <t>Waite-Larkin</t>
  </si>
  <si>
    <t>(503) 324-5151</t>
  </si>
  <si>
    <t>1905</t>
  </si>
  <si>
    <t>darlawl@banks.k12.or.us</t>
  </si>
  <si>
    <t>Dr. Gustavo</t>
  </si>
  <si>
    <t>Balderas</t>
  </si>
  <si>
    <t>(503) 591-4401</t>
  </si>
  <si>
    <t>Gustavo_Balderas@beaverton.k12.or.us</t>
  </si>
  <si>
    <t>(503) 356-3904</t>
  </si>
  <si>
    <t>Kelly_Raf@beaverton.k12.or.us</t>
  </si>
  <si>
    <t>(541) 355-1001</t>
  </si>
  <si>
    <t>steve.cook@bend.k12.or.us</t>
  </si>
  <si>
    <t>(541) 355-1060</t>
  </si>
  <si>
    <t>Kraig</t>
  </si>
  <si>
    <t>Sproles</t>
  </si>
  <si>
    <t>(541) 689-3280</t>
  </si>
  <si>
    <t>2012</t>
  </si>
  <si>
    <t>kraig.sproles@bethel.k12.or.us</t>
  </si>
  <si>
    <t>Martinek</t>
  </si>
  <si>
    <t>2030</t>
  </si>
  <si>
    <t>brenda.martinek@bethel.k12.or.us</t>
  </si>
  <si>
    <t>Adam</t>
  </si>
  <si>
    <t>(541) 925-3262</t>
  </si>
  <si>
    <t>106</t>
  </si>
  <si>
    <t>awatkins@blachly.k12.or.us</t>
  </si>
  <si>
    <t>Katherine</t>
  </si>
  <si>
    <t>Tripp</t>
  </si>
  <si>
    <t>146</t>
  </si>
  <si>
    <t>ktripp@blachly.k12.or.us</t>
  </si>
  <si>
    <t>(541) 595-6203</t>
  </si>
  <si>
    <t>(541) 475-2804</t>
  </si>
  <si>
    <t>1007</t>
  </si>
  <si>
    <t>(541) 469-7443</t>
  </si>
  <si>
    <t>Lynn</t>
  </si>
  <si>
    <t>Schiermeyer</t>
  </si>
  <si>
    <t>(541) 412-1488</t>
  </si>
  <si>
    <t>lynns@brookings.k12.or.us</t>
  </si>
  <si>
    <t>Lou</t>
  </si>
  <si>
    <t>(541) 446-3466</t>
  </si>
  <si>
    <t>Lou.Lyon@burntriversd.org</t>
  </si>
  <si>
    <t>lou.lyon@burntriversd.org</t>
  </si>
  <si>
    <t>(541) 865-3563</t>
  </si>
  <si>
    <t>244</t>
  </si>
  <si>
    <t>258</t>
  </si>
  <si>
    <t>(541) 445-2131</t>
  </si>
  <si>
    <t>202</t>
  </si>
  <si>
    <t>Patrick.Lee@camasvalley.k12.or.us</t>
  </si>
  <si>
    <t>4236</t>
  </si>
  <si>
    <t>Downs</t>
  </si>
  <si>
    <t>(503) 266-0019</t>
  </si>
  <si>
    <t>3901</t>
  </si>
  <si>
    <t>aaron.downs@canby.k12.or.us</t>
  </si>
  <si>
    <t>(503) 266-0054</t>
  </si>
  <si>
    <t>3954</t>
  </si>
  <si>
    <t>sullivak@canby.k12.or.us</t>
  </si>
  <si>
    <t>(503) 749-8010</t>
  </si>
  <si>
    <t>ddrill@cascade.k12.or.us</t>
  </si>
  <si>
    <t>1903</t>
  </si>
  <si>
    <t>(503) 760-7990</t>
  </si>
  <si>
    <t>james_owens@csd28j.org</t>
  </si>
  <si>
    <t>(503) 762-3630</t>
  </si>
  <si>
    <t>denise_wright@csd28j.org</t>
  </si>
  <si>
    <t>(541) 247-2003</t>
  </si>
  <si>
    <t>emilburn@ccsd.k12.or.us</t>
  </si>
  <si>
    <t>Tudor</t>
  </si>
  <si>
    <t>(541) 266-3937</t>
  </si>
  <si>
    <t>jennifert@scesd.k12.or.us</t>
  </si>
  <si>
    <t>Pelt</t>
  </si>
  <si>
    <t>(541) 369-2813</t>
  </si>
  <si>
    <t>3222</t>
  </si>
  <si>
    <t>candace.pelt@centrallinn.k12.or.us</t>
  </si>
  <si>
    <t>McKee</t>
  </si>
  <si>
    <t>(541) 369-2851</t>
  </si>
  <si>
    <t>rachel.mckee@centrallinn.k12.or.us</t>
  </si>
  <si>
    <t>Walt</t>
  </si>
  <si>
    <t>Davenport</t>
  </si>
  <si>
    <t>(541) 494-6201</t>
  </si>
  <si>
    <t>walt.davenport@district6.org</t>
  </si>
  <si>
    <t>(541) 494-6231</t>
  </si>
  <si>
    <t>Dr. Jennifer</t>
  </si>
  <si>
    <t>(503) 606-2250</t>
  </si>
  <si>
    <t>2250</t>
  </si>
  <si>
    <t>Amanda</t>
  </si>
  <si>
    <t>(503) 606-2261</t>
  </si>
  <si>
    <t>2261</t>
  </si>
  <si>
    <t>asmith@central.k12.or.us</t>
  </si>
  <si>
    <t>(503) 728-0587</t>
  </si>
  <si>
    <t>2002</t>
  </si>
  <si>
    <t>kparshall@csd.k12.or.us</t>
  </si>
  <si>
    <t>Dawn</t>
  </si>
  <si>
    <t>Warren</t>
  </si>
  <si>
    <t>(503) 728-2146</t>
  </si>
  <si>
    <t>2242</t>
  </si>
  <si>
    <t>dwarren@csd.k12.or.us</t>
  </si>
  <si>
    <t>Norton</t>
  </si>
  <si>
    <t>Kline</t>
  </si>
  <si>
    <t>(503) 824-3535</t>
  </si>
  <si>
    <t>klined@colton.k12.or.us</t>
  </si>
  <si>
    <t>hobsonj@colton.k12.or.us</t>
  </si>
  <si>
    <t>Schimel</t>
  </si>
  <si>
    <t>(541) 384-2441</t>
  </si>
  <si>
    <t>bschimel@condon.k12.or.us</t>
  </si>
  <si>
    <t>Charis</t>
  </si>
  <si>
    <t>McGaughy</t>
  </si>
  <si>
    <t>(541) 267-1309</t>
  </si>
  <si>
    <t>Charism@coos-bay.k12.or.us</t>
  </si>
  <si>
    <t>(541) 267-1325</t>
  </si>
  <si>
    <t>(541) 396-2181</t>
  </si>
  <si>
    <t>1202</t>
  </si>
  <si>
    <t>Joan</t>
  </si>
  <si>
    <t>Oakey</t>
  </si>
  <si>
    <t>1220</t>
  </si>
  <si>
    <t>Joakey@coquille.k12.or.us</t>
  </si>
  <si>
    <t>Derek</t>
  </si>
  <si>
    <t>Fialkiewicz</t>
  </si>
  <si>
    <t>(503) 261-4201</t>
  </si>
  <si>
    <t>dfialkiewicz@corbett.k12.or.us</t>
  </si>
  <si>
    <t>(503) 261-4235</t>
  </si>
  <si>
    <t>(541) 757-5841</t>
  </si>
  <si>
    <t>5837</t>
  </si>
  <si>
    <t>Ryan.noss@corvallis.k12.or.us</t>
  </si>
  <si>
    <t>Shawn</t>
  </si>
  <si>
    <t>Bernard</t>
  </si>
  <si>
    <t>(541) 203-0775</t>
  </si>
  <si>
    <t>5701</t>
  </si>
  <si>
    <t>shawn.bernard@corvallis.k12.or.us</t>
  </si>
  <si>
    <t>(541) 568-4424</t>
  </si>
  <si>
    <t>(541) 966-3148</t>
  </si>
  <si>
    <t>(541) 895-6006</t>
  </si>
  <si>
    <t>(541) 895-6005</t>
  </si>
  <si>
    <t>(541) 447-5664</t>
  </si>
  <si>
    <t>3002</t>
  </si>
  <si>
    <t>sara.johnson@crookcountyschools.org</t>
  </si>
  <si>
    <t>Jihan</t>
  </si>
  <si>
    <t>(541) 447-3743</t>
  </si>
  <si>
    <t>3036</t>
  </si>
  <si>
    <t>jihan.nelson@crookcountyschools.org</t>
  </si>
  <si>
    <t>(541) 935-2100</t>
  </si>
  <si>
    <t>hbrown@cal.k12.or.us</t>
  </si>
  <si>
    <t>(541) 935-2227</t>
  </si>
  <si>
    <t>(541) 546-6861</t>
  </si>
  <si>
    <t>8204</t>
  </si>
  <si>
    <t xml:space="preserve"> sgarber@culver.k12.or.u</t>
  </si>
  <si>
    <t>bgarland@culver.k12.or.us</t>
  </si>
  <si>
    <t>(503) 623-5594</t>
  </si>
  <si>
    <t>steve.spencer@dsd2.org</t>
  </si>
  <si>
    <t>ken_richardson@ddsd40.org</t>
  </si>
  <si>
    <t>(503) 261-8201</t>
  </si>
  <si>
    <t>Florence</t>
  </si>
  <si>
    <t>Protopapas</t>
  </si>
  <si>
    <t>(503) 261-8238</t>
  </si>
  <si>
    <t>florence_protopapas@ddsd40.org</t>
  </si>
  <si>
    <t>(503) 864-2215</t>
  </si>
  <si>
    <t>steven.sugg@dayton.k12.or.us</t>
  </si>
  <si>
    <t>Sierra</t>
  </si>
  <si>
    <t>Nordahl</t>
  </si>
  <si>
    <t>(503) 864-2217</t>
  </si>
  <si>
    <t>424</t>
  </si>
  <si>
    <t>sierra.nordahl@dayton.k12.or.us</t>
  </si>
  <si>
    <t>Davida</t>
  </si>
  <si>
    <t xml:space="preserve">Irving </t>
  </si>
  <si>
    <t>(541) 987-2412</t>
  </si>
  <si>
    <t>103</t>
  </si>
  <si>
    <t>irvingd@grantesd.k12.or.us</t>
  </si>
  <si>
    <t>105</t>
  </si>
  <si>
    <t>(541) 573-4826</t>
  </si>
  <si>
    <t>Caldwell</t>
  </si>
  <si>
    <t>(541) 573-4829</t>
  </si>
  <si>
    <t>829</t>
  </si>
  <si>
    <t>caldwell-s@harneyesd.k12.or.us</t>
  </si>
  <si>
    <t>(541) 825-3296</t>
  </si>
  <si>
    <t>(541) 440-4014</t>
  </si>
  <si>
    <t>(541) 440-4033</t>
  </si>
  <si>
    <t>mroberts@roseburg.k12.or.us</t>
  </si>
  <si>
    <t>(541) 467-2509</t>
  </si>
  <si>
    <t>255</t>
  </si>
  <si>
    <t>242</t>
  </si>
  <si>
    <t>eharris@dufur.k12.or.us</t>
  </si>
  <si>
    <t>(541) 830-6563</t>
  </si>
  <si>
    <t>Parsons</t>
  </si>
  <si>
    <t>(541) 830-6565</t>
  </si>
  <si>
    <t>parsonsj@eaglepnt.k12.or.us</t>
  </si>
  <si>
    <t>(541) 376-8436</t>
  </si>
  <si>
    <t>6206</t>
  </si>
  <si>
    <t>raymon.smith@echo.k12.or.us</t>
  </si>
  <si>
    <t>Gretchen</t>
  </si>
  <si>
    <t>McKay</t>
  </si>
  <si>
    <t>(541) 966-3227</t>
  </si>
  <si>
    <t>gretchen.mckay@imesd.k12.or.us</t>
  </si>
  <si>
    <t>(541) 437-1211</t>
  </si>
  <si>
    <t>(541) 584-2228</t>
  </si>
  <si>
    <t>200</t>
  </si>
  <si>
    <t>Crane</t>
  </si>
  <si>
    <t>(541) 426-3812</t>
  </si>
  <si>
    <t>3128</t>
  </si>
  <si>
    <t>tcrane@enterprise.k12.or.us</t>
  </si>
  <si>
    <t>Kimberly</t>
  </si>
  <si>
    <t>Coggins</t>
  </si>
  <si>
    <t>(541) 426-7600</t>
  </si>
  <si>
    <t>6108</t>
  </si>
  <si>
    <t>kcoggins@r18esd.org</t>
  </si>
  <si>
    <t>(503) 630-6871</t>
  </si>
  <si>
    <t>2907</t>
  </si>
  <si>
    <t>carpenter@estacada.k12.or.us</t>
  </si>
  <si>
    <t>2906</t>
  </si>
  <si>
    <t>Dey</t>
  </si>
  <si>
    <t>(541) 790-7706</t>
  </si>
  <si>
    <t>dey_a@4j.lane.edu</t>
  </si>
  <si>
    <t>Kat</t>
  </si>
  <si>
    <t>(541) 790-7828</t>
  </si>
  <si>
    <t>Cory</t>
  </si>
  <si>
    <t>Ellis</t>
  </si>
  <si>
    <t>(503) 787-3521</t>
  </si>
  <si>
    <t>2102</t>
  </si>
  <si>
    <t>cory.ellis@fallscityschools.org</t>
  </si>
  <si>
    <t>McEwen</t>
  </si>
  <si>
    <t>1204</t>
  </si>
  <si>
    <t>stephanie.mcewen@fallscityschools.org</t>
  </si>
  <si>
    <t>(541) 935-2253</t>
  </si>
  <si>
    <t>1203</t>
  </si>
  <si>
    <t>gcarpenter@fernridge.k12.or.us</t>
  </si>
  <si>
    <t>(541) 935-7733</t>
  </si>
  <si>
    <t>2</t>
  </si>
  <si>
    <t>(503) 359-2406</t>
  </si>
  <si>
    <t>(503) 359-2421</t>
  </si>
  <si>
    <t>McMurray</t>
  </si>
  <si>
    <t>(541) 763-4303</t>
  </si>
  <si>
    <t>jmcmurray@fossil.k12.or.us</t>
  </si>
  <si>
    <t>Summer</t>
  </si>
  <si>
    <t>Catino</t>
  </si>
  <si>
    <t>(503) 985-0210</t>
  </si>
  <si>
    <t>1302</t>
  </si>
  <si>
    <t>scatino@gastonk12.org</t>
  </si>
  <si>
    <t>1231</t>
  </si>
  <si>
    <t>(503) 792-3803</t>
  </si>
  <si>
    <t>5010</t>
  </si>
  <si>
    <t>Creighton</t>
  </si>
  <si>
    <t>Helms</t>
  </si>
  <si>
    <t>1020</t>
  </si>
  <si>
    <t>creighton_helms@gervais.k12.or.us</t>
  </si>
  <si>
    <t>(503) 655-2777</t>
  </si>
  <si>
    <t>674</t>
  </si>
  <si>
    <t>Shelton</t>
  </si>
  <si>
    <t>222</t>
  </si>
  <si>
    <t>sheltonm@gladstone.k12.or.us</t>
  </si>
  <si>
    <t>Bridget</t>
  </si>
  <si>
    <t>McMillen</t>
  </si>
  <si>
    <t>(541) 832-1801</t>
  </si>
  <si>
    <t>3858</t>
  </si>
  <si>
    <t>Bridget.mcmillen@glendale.k12.or.us</t>
  </si>
  <si>
    <t>(541) 957-4800</t>
  </si>
  <si>
    <t>angela.keeran@douglasesd.k12.or.us</t>
  </si>
  <si>
    <t>Mayer</t>
  </si>
  <si>
    <t>(541) 496-3521</t>
  </si>
  <si>
    <t>pmayer@glide.k12.or.us</t>
  </si>
  <si>
    <t>Abe</t>
  </si>
  <si>
    <t>(541) 496-3554</t>
  </si>
  <si>
    <t>along@glide.k12.or.us</t>
  </si>
  <si>
    <t>Robert</t>
  </si>
  <si>
    <t>(541) 575-1349</t>
  </si>
  <si>
    <t>4060</t>
  </si>
  <si>
    <t>(541) 474-5700</t>
  </si>
  <si>
    <t>00101</t>
  </si>
  <si>
    <t>tsweeney@grantspass.k12.or.us</t>
  </si>
  <si>
    <t>(541) 474-5706</t>
  </si>
  <si>
    <t>00121</t>
  </si>
  <si>
    <t>vjones@grantspass.k12.or.us</t>
  </si>
  <si>
    <t>(541) 967-4511</t>
  </si>
  <si>
    <t>andy.gardner@albany.k12.or.us</t>
  </si>
  <si>
    <t>(541) 967-4518</t>
  </si>
  <si>
    <t>krista.mcguyer@albany.k12.or.us</t>
  </si>
  <si>
    <t>Hiu</t>
  </si>
  <si>
    <t>(503) 261-4555</t>
  </si>
  <si>
    <t>hiu@gresham.k12.or.us</t>
  </si>
  <si>
    <t>Donna</t>
  </si>
  <si>
    <t>Ravenberg</t>
  </si>
  <si>
    <t>(503) 261-4655</t>
  </si>
  <si>
    <t>ravenberg@gresham.k12.or.us</t>
  </si>
  <si>
    <t>Medley</t>
  </si>
  <si>
    <t>(541) 573-6811</t>
  </si>
  <si>
    <t>robertmedley@hcsd3.org</t>
  </si>
  <si>
    <t>Taci</t>
  </si>
  <si>
    <t>Weil</t>
  </si>
  <si>
    <t xml:space="preserve">taciweil@hcsd3.k12.or.us </t>
  </si>
  <si>
    <t>(541) 493-2641</t>
  </si>
  <si>
    <t>223</t>
  </si>
  <si>
    <t>mhawley@craneedu.org</t>
  </si>
  <si>
    <t>249</t>
  </si>
  <si>
    <t>asheeter@craneedu.org</t>
  </si>
  <si>
    <t>(541) 573-2122</t>
  </si>
  <si>
    <t>826</t>
  </si>
  <si>
    <t>(541) 358-2473</t>
  </si>
  <si>
    <t>Ron.talbot@harpersd.org</t>
  </si>
  <si>
    <t>(541) 995-6626</t>
  </si>
  <si>
    <t>461</t>
  </si>
  <si>
    <t>Bixler</t>
  </si>
  <si>
    <t>(541) 457-2175</t>
  </si>
  <si>
    <t>3757</t>
  </si>
  <si>
    <t>brad.bixler@helixsd.org</t>
  </si>
  <si>
    <t>Gretchen.McKay@imesd.k12.or.us</t>
  </si>
  <si>
    <t>(541) 667-6000</t>
  </si>
  <si>
    <t>10102</t>
  </si>
  <si>
    <t>tricia.mooney@hermistonsd.org</t>
  </si>
  <si>
    <t>Neely</t>
  </si>
  <si>
    <t>(541) 667-6043</t>
  </si>
  <si>
    <t>10106</t>
  </si>
  <si>
    <t>neely.mckay@hermistonsd.org</t>
  </si>
  <si>
    <t>(503) 844-1500</t>
  </si>
  <si>
    <t>(503) 844-1441</t>
  </si>
  <si>
    <t>(541) 387-5013</t>
  </si>
  <si>
    <t>Beard</t>
  </si>
  <si>
    <t>(541) 387-5030</t>
  </si>
  <si>
    <t>kelly.beard@hoodriver.k12.or.us</t>
  </si>
  <si>
    <t>(541) 869-2204</t>
  </si>
  <si>
    <t>Waite</t>
  </si>
  <si>
    <t>(541) 534-5331</t>
  </si>
  <si>
    <t>randy.waite@imblersd.org</t>
  </si>
  <si>
    <t>Dinning</t>
  </si>
  <si>
    <t>(541) 422-7131</t>
  </si>
  <si>
    <t>4711</t>
  </si>
  <si>
    <t>kevin.dinning@ionesd.org</t>
  </si>
  <si>
    <t>Mathisen</t>
  </si>
  <si>
    <t>(541) 475-6192</t>
  </si>
  <si>
    <t>superintendent@509j.net</t>
  </si>
  <si>
    <t>Kira</t>
  </si>
  <si>
    <t>Fee</t>
  </si>
  <si>
    <t>2206</t>
  </si>
  <si>
    <t>kfee@509j.net</t>
  </si>
  <si>
    <t>Shay</t>
  </si>
  <si>
    <t>(541) 327-3337</t>
  </si>
  <si>
    <t>1050</t>
  </si>
  <si>
    <t>Katrina</t>
  </si>
  <si>
    <t xml:space="preserve">Womack </t>
  </si>
  <si>
    <t>1045</t>
  </si>
  <si>
    <t>katrina.womack@jefferson.k12.or.us</t>
  </si>
  <si>
    <t>Pederson</t>
  </si>
  <si>
    <t>(503) 755-2451</t>
  </si>
  <si>
    <t>2481</t>
  </si>
  <si>
    <t>coryp@jewellk12.org</t>
  </si>
  <si>
    <t>2470</t>
  </si>
  <si>
    <t>Louis</t>
  </si>
  <si>
    <t>Dix</t>
  </si>
  <si>
    <t>(541) 575-1280</t>
  </si>
  <si>
    <t>3025</t>
  </si>
  <si>
    <t>dixl@grantesd.k12.or.us</t>
  </si>
  <si>
    <t>Shanna</t>
  </si>
  <si>
    <t>Northway</t>
  </si>
  <si>
    <t>(541) 575-1799</t>
  </si>
  <si>
    <t>3356</t>
  </si>
  <si>
    <t>northways@grantesd.k12.or.us</t>
  </si>
  <si>
    <t>Rusty.bengoa@jordanvalleysd.org</t>
  </si>
  <si>
    <t>(541) 432-7311</t>
  </si>
  <si>
    <t>(541) 998-6311</t>
  </si>
  <si>
    <t>tstoops@junctioncity.k12.or.us</t>
  </si>
  <si>
    <t>5621</t>
  </si>
  <si>
    <t>mark.redmond@malesd.k12.or.us</t>
  </si>
  <si>
    <t>Szymoniak</t>
  </si>
  <si>
    <t>(541) 851-8766</t>
  </si>
  <si>
    <t>8766</t>
  </si>
  <si>
    <t>Jenn</t>
  </si>
  <si>
    <t>Sedlock</t>
  </si>
  <si>
    <t>(541) 851-8759</t>
  </si>
  <si>
    <t>8759</t>
  </si>
  <si>
    <t>sedlockj@kcsd.k12.or.us</t>
  </si>
  <si>
    <t>Keith</t>
  </si>
  <si>
    <t>(541) 883-4700</t>
  </si>
  <si>
    <t>brownk@kfalls.k12.or.us</t>
  </si>
  <si>
    <t>(541) 883-4745</t>
  </si>
  <si>
    <t>snodgrassh@kfalls.k12.or.us</t>
  </si>
  <si>
    <t>Fritz</t>
  </si>
  <si>
    <t>(503) 458-6162</t>
  </si>
  <si>
    <t>303</t>
  </si>
  <si>
    <t xml:space="preserve">fritzw@knappak12.org </t>
  </si>
  <si>
    <t>Brittany</t>
  </si>
  <si>
    <t>215</t>
  </si>
  <si>
    <t xml:space="preserve">nortonb@knappak12.org </t>
  </si>
  <si>
    <t>(541) 663-3201</t>
  </si>
  <si>
    <t>George.Mendoza@lagrandesd.org</t>
  </si>
  <si>
    <t>(541) 663-3221</t>
  </si>
  <si>
    <t>erika.pinkerton@lagrandesd.org</t>
  </si>
  <si>
    <t>(541) 947-3347</t>
  </si>
  <si>
    <t>carter.michael@lakeview.k12.or.us</t>
  </si>
  <si>
    <t>Lloyd</t>
  </si>
  <si>
    <t>Hartley</t>
  </si>
  <si>
    <t>(541) 947-2136</t>
  </si>
  <si>
    <t>hartley.lloyd@lakeview.k12.or.us</t>
  </si>
  <si>
    <t>Schiele</t>
  </si>
  <si>
    <t>(503) 534-2300</t>
  </si>
  <si>
    <t>schielej@loswego.k12.or.us</t>
  </si>
  <si>
    <t>Schinderle</t>
  </si>
  <si>
    <t>(503) 534-2359</t>
  </si>
  <si>
    <t>schindes@loswego.k12.or.us</t>
  </si>
  <si>
    <t>(541) 451-8511</t>
  </si>
  <si>
    <t>Bo.Yates@lebanon.k12.or.us</t>
  </si>
  <si>
    <t>Woodcock</t>
  </si>
  <si>
    <t>(541) 259-8930</t>
  </si>
  <si>
    <t>Steve.Woodcock@lebanon.k12.or.us</t>
  </si>
  <si>
    <t>Dr. Karen</t>
  </si>
  <si>
    <t>(541) 265-4403</t>
  </si>
  <si>
    <t>karen.gray@lincoln.k12.or.us</t>
  </si>
  <si>
    <t>Stock</t>
  </si>
  <si>
    <t>(541) 265-4431</t>
  </si>
  <si>
    <t>carol.stock@lincoln.k12.or.us</t>
  </si>
  <si>
    <t>Glaze</t>
  </si>
  <si>
    <t>(541) 786-3538</t>
  </si>
  <si>
    <t>glazel@grantesd.k12.or.us</t>
  </si>
  <si>
    <t>(541) 937-2105</t>
  </si>
  <si>
    <t>matthews@lowell.k12.or.us</t>
  </si>
  <si>
    <t>Bretch Kwirant</t>
  </si>
  <si>
    <t>(541) 937-2124</t>
  </si>
  <si>
    <t>lbretchkwirant@lowell.k12.or.us</t>
  </si>
  <si>
    <t>teresa.jones@malesd.org</t>
  </si>
  <si>
    <t>(541) 268-4312</t>
  </si>
  <si>
    <t>(541) 268-4322</t>
  </si>
  <si>
    <t>213</t>
  </si>
  <si>
    <t>Augustadt</t>
  </si>
  <si>
    <t>(541) 933-2512</t>
  </si>
  <si>
    <t>1120</t>
  </si>
  <si>
    <t>taugustadt@marcola.k12.or.us</t>
  </si>
  <si>
    <t>Whaley</t>
  </si>
  <si>
    <t>1101</t>
  </si>
  <si>
    <t>swhaley@marcola.k12.or.us</t>
  </si>
  <si>
    <t>(541) 822-3338</t>
  </si>
  <si>
    <t>lane.tompkins@mckenzie.k12.or.us</t>
  </si>
  <si>
    <t>(541) 822-3313</t>
  </si>
  <si>
    <t>261</t>
  </si>
  <si>
    <t>Brockett</t>
  </si>
  <si>
    <t>(503) 565-4001</t>
  </si>
  <si>
    <t>DBrockett@msd.k12.or.us</t>
  </si>
  <si>
    <t>(503) 565-4052</t>
  </si>
  <si>
    <t>KCarroll@msd.k12.or.us</t>
  </si>
  <si>
    <t>(541) 842-3621</t>
  </si>
  <si>
    <t>Cleveland</t>
  </si>
  <si>
    <t>(541) 842-3628</t>
  </si>
  <si>
    <t>michele.cleveland@medford.k12.or.us</t>
  </si>
  <si>
    <t>(541) 938-3551</t>
  </si>
  <si>
    <t>7431</t>
  </si>
  <si>
    <t>aaron.duff@miltfree.k12.or.us</t>
  </si>
  <si>
    <t>7416</t>
  </si>
  <si>
    <t>(541) 462-3311</t>
  </si>
  <si>
    <t>Anthony</t>
  </si>
  <si>
    <t>(503) 829-2359</t>
  </si>
  <si>
    <t>Robin</t>
  </si>
  <si>
    <t>Shobe</t>
  </si>
  <si>
    <t>(503) 759-7475</t>
  </si>
  <si>
    <t>robin.shobe@molallariv.k12.or.us</t>
  </si>
  <si>
    <t>(541) 847-6292</t>
  </si>
  <si>
    <t>(541) 934-2646</t>
  </si>
  <si>
    <t>(541) 922-4016</t>
  </si>
  <si>
    <t>Marrisa</t>
  </si>
  <si>
    <t>Turner</t>
  </si>
  <si>
    <t>2391</t>
  </si>
  <si>
    <t>marissa.turner@morrow.k12.or.us</t>
  </si>
  <si>
    <t>Stucky</t>
  </si>
  <si>
    <t>(503) 845-2345</t>
  </si>
  <si>
    <t>rachel.stucky@masd91.org</t>
  </si>
  <si>
    <t>erica.gordon@masd91.org</t>
  </si>
  <si>
    <t>(541) 572-1220</t>
  </si>
  <si>
    <t>2201</t>
  </si>
  <si>
    <t>nhagen@mpsd.k12.or.us</t>
  </si>
  <si>
    <t>2205</t>
  </si>
  <si>
    <t>kathleenstauff@mpsd.k12.or.us</t>
  </si>
  <si>
    <t>(503) 355-2222</t>
  </si>
  <si>
    <t>3501</t>
  </si>
  <si>
    <t>Ericka</t>
  </si>
  <si>
    <t>Keefauver</t>
  </si>
  <si>
    <t>(503) 355-3544</t>
  </si>
  <si>
    <t>erickak@nknsd.org</t>
  </si>
  <si>
    <t>(503) 392-4892</t>
  </si>
  <si>
    <t>404</t>
  </si>
  <si>
    <t>(503) 392-3194</t>
  </si>
  <si>
    <t>319</t>
  </si>
  <si>
    <t>(503) 554-5041</t>
  </si>
  <si>
    <t>phillipss@newberg.k12.or.us</t>
  </si>
  <si>
    <t>Buckner</t>
  </si>
  <si>
    <t>(503) 554-5007</t>
  </si>
  <si>
    <t>bucknera@newberg.k12.or.us</t>
  </si>
  <si>
    <t xml:space="preserve">Bogatin </t>
  </si>
  <si>
    <t>(541) 756-2521</t>
  </si>
  <si>
    <t>6798</t>
  </si>
  <si>
    <t>6773</t>
  </si>
  <si>
    <t>(503) 353-6001</t>
  </si>
  <si>
    <t>jamess@nclack.k12.or.us</t>
  </si>
  <si>
    <t>Rob</t>
  </si>
  <si>
    <t>Holloway</t>
  </si>
  <si>
    <t>(503) 353-6138</t>
  </si>
  <si>
    <t>hollowayr@nclack.k12.or.us</t>
  </si>
  <si>
    <t>Cyr</t>
  </si>
  <si>
    <t>(541) 836-2223</t>
  </si>
  <si>
    <t>280</t>
  </si>
  <si>
    <t>Jody.cyr@northdouglas.k12.or.us</t>
  </si>
  <si>
    <t>Yakovich</t>
  </si>
  <si>
    <t>(541) 836-2222</t>
  </si>
  <si>
    <t>230</t>
  </si>
  <si>
    <t>scott.Yakovich@northdouglas.k12.or.us</t>
  </si>
  <si>
    <t>Gail</t>
  </si>
  <si>
    <t>Buermann</t>
  </si>
  <si>
    <t>(541) 576-2121</t>
  </si>
  <si>
    <t>(503) 678-7101</t>
  </si>
  <si>
    <t xml:space="preserve">Charyl </t>
  </si>
  <si>
    <t>Dyer</t>
  </si>
  <si>
    <t>(503) 678-8512</t>
  </si>
  <si>
    <t xml:space="preserve">charyl.dyer@nmarion.k12.or.us </t>
  </si>
  <si>
    <t>(541) 898-2244</t>
  </si>
  <si>
    <t>8822</t>
  </si>
  <si>
    <t>Loving</t>
  </si>
  <si>
    <t>(503) 769-6924</t>
  </si>
  <si>
    <t>lee.loving@nsantiam.k12.or.us</t>
  </si>
  <si>
    <t>(503) 859-2154</t>
  </si>
  <si>
    <t>Bernal</t>
  </si>
  <si>
    <t>(541) 506-3420</t>
  </si>
  <si>
    <t>bernalc@nwasco.k12.or.us</t>
  </si>
  <si>
    <t>Hampton</t>
  </si>
  <si>
    <t>(541) 506-3427</t>
  </si>
  <si>
    <t>1201</t>
  </si>
  <si>
    <t>hamptona@nwasco.k12.or.us</t>
  </si>
  <si>
    <t>(541) 372-2275</t>
  </si>
  <si>
    <t>Gina</t>
  </si>
  <si>
    <t xml:space="preserve">White </t>
  </si>
  <si>
    <t>gwhite@nyssasd.org</t>
  </si>
  <si>
    <t>(541) 459-4341</t>
  </si>
  <si>
    <t>4000</t>
  </si>
  <si>
    <t>jeff.clark@oakland.k12.or.us</t>
  </si>
  <si>
    <t>(541) 782-5600</t>
  </si>
  <si>
    <t>377</t>
  </si>
  <si>
    <t>(541) 782-3226</t>
  </si>
  <si>
    <t>325</t>
  </si>
  <si>
    <t>(541) 889-5374</t>
  </si>
  <si>
    <t>3226</t>
  </si>
  <si>
    <t>nalbisu@ontario.k12.or.us</t>
  </si>
  <si>
    <t>3229</t>
  </si>
  <si>
    <t>Dayle</t>
  </si>
  <si>
    <t>Spitzer</t>
  </si>
  <si>
    <t>(503) 785-8400</t>
  </si>
  <si>
    <t>7030</t>
  </si>
  <si>
    <t>dayle.spitzer@orecity.k12.or.us</t>
  </si>
  <si>
    <t xml:space="preserve">Berg </t>
  </si>
  <si>
    <t>melissa.berg@orecity.k12.or.us</t>
  </si>
  <si>
    <t>(503) 668-5541</t>
  </si>
  <si>
    <t>(503) 668-4949</t>
  </si>
  <si>
    <t>4005</t>
  </si>
  <si>
    <t>rachael.george@ortrail.k12.or.us</t>
  </si>
  <si>
    <t>(541) 943-3111</t>
  </si>
  <si>
    <t>(503) 408-2135</t>
  </si>
  <si>
    <t>lopesmic@parkrose.k12.or.us</t>
  </si>
  <si>
    <t>(503) 408-2143</t>
  </si>
  <si>
    <t>Headings</t>
  </si>
  <si>
    <t>(541) 276-6711</t>
  </si>
  <si>
    <t>3251</t>
  </si>
  <si>
    <t>kheadings@pendletonsd.org</t>
  </si>
  <si>
    <t>3262</t>
  </si>
  <si>
    <t>(503) 835-7575</t>
  </si>
  <si>
    <t>Halliday</t>
  </si>
  <si>
    <t>(541) 929-3169</t>
  </si>
  <si>
    <t>susan.halliday@philomath.k12.or.us</t>
  </si>
  <si>
    <t>Cynthia</t>
  </si>
  <si>
    <t>Barthuly</t>
  </si>
  <si>
    <t>(541) 929-8735</t>
  </si>
  <si>
    <t>cynthia.barthuly@philomath.k12.or.us</t>
  </si>
  <si>
    <t>(541) 535-1511</t>
  </si>
  <si>
    <t>Brent.Barry@phoenix.k12.or.us</t>
  </si>
  <si>
    <t>(541) 535-7502</t>
  </si>
  <si>
    <t>Jerome</t>
  </si>
  <si>
    <t>(541) 443-8291</t>
  </si>
  <si>
    <t>3601</t>
  </si>
  <si>
    <t>troy.jerome@pilotrocksd.org</t>
  </si>
  <si>
    <t xml:space="preserve">criss.s@harneyesd.k12.or.us </t>
  </si>
  <si>
    <t>(541) 742-2550</t>
  </si>
  <si>
    <t>Elder</t>
  </si>
  <si>
    <t>(541) 482-1910</t>
  </si>
  <si>
    <t>john@pinehurst.k12.or.us</t>
  </si>
  <si>
    <t>(541) 776-8590</t>
  </si>
  <si>
    <t>3110</t>
  </si>
  <si>
    <t>Crist</t>
  </si>
  <si>
    <t>(541) 736-0701</t>
  </si>
  <si>
    <t>jcrist@pleasanthill.k12.or.us</t>
  </si>
  <si>
    <t>(541) 736-0772</t>
  </si>
  <si>
    <t>(541) 348-2455</t>
  </si>
  <si>
    <t>Steve.Perkins@2cj.k12.or.us</t>
  </si>
  <si>
    <t>(541) 332-2712</t>
  </si>
  <si>
    <t>(503) 916-3200</t>
  </si>
  <si>
    <t>gguerrero@pps.net</t>
  </si>
  <si>
    <t>Murer</t>
  </si>
  <si>
    <t>(503) 916-3747</t>
  </si>
  <si>
    <t>mmurer1@pps.net</t>
  </si>
  <si>
    <t>(541) 439-2291</t>
  </si>
  <si>
    <t>(541) 820-3313</t>
  </si>
  <si>
    <t>318</t>
  </si>
  <si>
    <t>(541) 820-3314</t>
  </si>
  <si>
    <t>304</t>
  </si>
  <si>
    <t>Daye</t>
  </si>
  <si>
    <t>Stone</t>
  </si>
  <si>
    <t>(541) 560-3653</t>
  </si>
  <si>
    <t>daye.stone@prospect.k12.or.us</t>
  </si>
  <si>
    <t>Hattrick</t>
  </si>
  <si>
    <t>(503) 556-3777</t>
  </si>
  <si>
    <t>JHattrick@rsd.k12.or.us</t>
  </si>
  <si>
    <t>(503) 556-9121</t>
  </si>
  <si>
    <t>Charan</t>
  </si>
  <si>
    <t>Cline</t>
  </si>
  <si>
    <t>(541) 923-5437</t>
  </si>
  <si>
    <t>charan.cline@redmondschools.org</t>
  </si>
  <si>
    <t>Bari</t>
  </si>
  <si>
    <t>Nixon</t>
  </si>
  <si>
    <t>(541) 923-8260</t>
  </si>
  <si>
    <t>bari.nixon@redmondschools.org</t>
  </si>
  <si>
    <t>(541) 271-3656</t>
  </si>
  <si>
    <t xml:space="preserve">Zwemke </t>
  </si>
  <si>
    <t>Beccy</t>
  </si>
  <si>
    <t>Nordtvedt</t>
  </si>
  <si>
    <t>rnordtvedt@r18esd.org</t>
  </si>
  <si>
    <t>Dr. Danna</t>
  </si>
  <si>
    <t>(503) 661-7200</t>
  </si>
  <si>
    <t>3401</t>
  </si>
  <si>
    <t>DDiaz@rsd7.net</t>
  </si>
  <si>
    <t>Deb</t>
  </si>
  <si>
    <t>3216</t>
  </si>
  <si>
    <t>dgmiller@rsd7.net</t>
  </si>
  <si>
    <t>(541) 874-2226</t>
  </si>
  <si>
    <t>Milton</t>
  </si>
  <si>
    <t>(541) 874-3131</t>
  </si>
  <si>
    <t>tony.milton@riddle.k12.or.us</t>
  </si>
  <si>
    <t>Christopher</t>
  </si>
  <si>
    <t>Russo</t>
  </si>
  <si>
    <t>(503) 262-4840</t>
  </si>
  <si>
    <t>superintendent@riverdale.k12.or.us</t>
  </si>
  <si>
    <t>(503) 262-4842</t>
  </si>
  <si>
    <t>(541) 582-3235</t>
  </si>
  <si>
    <t>patrick.lee@rogueriver.k12.or.us</t>
  </si>
  <si>
    <t>(541) 582-6003</t>
  </si>
  <si>
    <t>(503) 399-3110</t>
  </si>
  <si>
    <t>(503) 399-3101</t>
  </si>
  <si>
    <t>glover_melissa@salkeiz.k12.or.us</t>
  </si>
  <si>
    <t>(503) 897-2321</t>
  </si>
  <si>
    <t>301</t>
  </si>
  <si>
    <t>(971) 200-8000</t>
  </si>
  <si>
    <t>6010</t>
  </si>
  <si>
    <t>(971) 200-8061</t>
  </si>
  <si>
    <t>(503) 394-3261</t>
  </si>
  <si>
    <t>Jacob</t>
  </si>
  <si>
    <t>Alburn</t>
  </si>
  <si>
    <t>(503) 394-3271</t>
  </si>
  <si>
    <t>alburnj@sciok12.org</t>
  </si>
  <si>
    <t>Penrod</t>
  </si>
  <si>
    <t>(503) 738-5591</t>
  </si>
  <si>
    <t>spenrod@seasidek12.org</t>
  </si>
  <si>
    <t>Jenny</t>
  </si>
  <si>
    <t>Risner</t>
  </si>
  <si>
    <t>jrisner@seasidek12.org</t>
  </si>
  <si>
    <t>Dorie</t>
  </si>
  <si>
    <t>Vickery</t>
  </si>
  <si>
    <t>(971) 261-6959</t>
  </si>
  <si>
    <t>dorie.vickery@sheridan.k12.or.us</t>
  </si>
  <si>
    <t>(971) 261-6969</t>
  </si>
  <si>
    <t>(541) 565-3500</t>
  </si>
  <si>
    <t>(503) 825-5003</t>
  </si>
  <si>
    <t>jlyon@sherwood.k12.or.us</t>
  </si>
  <si>
    <t>Eryn</t>
  </si>
  <si>
    <t>Gonzales Randles</t>
  </si>
  <si>
    <t>(503) 825-5032</t>
  </si>
  <si>
    <t>egonzalesrandles@sherwood.k12.or.us</t>
  </si>
  <si>
    <t>Drue</t>
  </si>
  <si>
    <t>(503) 873-5303</t>
  </si>
  <si>
    <t>1123</t>
  </si>
  <si>
    <t>drue_scott@silverfalls.k12.or.us</t>
  </si>
  <si>
    <t>Brandon</t>
  </si>
  <si>
    <t>Larson</t>
  </si>
  <si>
    <t>1132</t>
  </si>
  <si>
    <t>larson_brandon@silverfalls.k12.or.us</t>
  </si>
  <si>
    <t>(541) 549-8521</t>
  </si>
  <si>
    <t>4018</t>
  </si>
  <si>
    <t>curtiss.scholl@ssd6.org</t>
  </si>
  <si>
    <t>Lorna</t>
  </si>
  <si>
    <t>Van Geem</t>
  </si>
  <si>
    <t>5017</t>
  </si>
  <si>
    <t>Lorna.vangeem@ssd6.org</t>
  </si>
  <si>
    <t>(541) 997-2651</t>
  </si>
  <si>
    <t>(541) 997-5456</t>
  </si>
  <si>
    <t>(541) 942-3381</t>
  </si>
  <si>
    <t>131</t>
  </si>
  <si>
    <t>yvonne.curtis@slane.k12.or.us</t>
  </si>
  <si>
    <t>115</t>
  </si>
  <si>
    <t>(541) 863-3115</t>
  </si>
  <si>
    <t>56001</t>
  </si>
  <si>
    <t>kate.mclauglin@susd.k12.or.us</t>
  </si>
  <si>
    <t>56005</t>
  </si>
  <si>
    <t>rick.burton@susd.k12.or.us</t>
  </si>
  <si>
    <t>(541) 395-2225</t>
  </si>
  <si>
    <t>205</t>
  </si>
  <si>
    <t>229</t>
  </si>
  <si>
    <t>(541) 468-2226</t>
  </si>
  <si>
    <t>gbutler@spray.k12.or.us</t>
  </si>
  <si>
    <t>(541) 726-3201</t>
  </si>
  <si>
    <t>(541) 726-3250</t>
  </si>
  <si>
    <t>(503) 397-3085</t>
  </si>
  <si>
    <t>7221</t>
  </si>
  <si>
    <t>7232</t>
  </si>
  <si>
    <t>(503) 633-2541</t>
  </si>
  <si>
    <t>(541) 449-8766</t>
  </si>
  <si>
    <t>(541) 459-2228</t>
  </si>
  <si>
    <t>3605</t>
  </si>
  <si>
    <t>(541) 367-7126</t>
  </si>
  <si>
    <t>terry.martin@sweethome.k12.or.us</t>
  </si>
  <si>
    <t>(541) 367-7115</t>
  </si>
  <si>
    <t>(541) 862-3111</t>
  </si>
  <si>
    <t>5217</t>
  </si>
  <si>
    <t>5201</t>
  </si>
  <si>
    <t>(503) 431-4007</t>
  </si>
  <si>
    <t>(503) 431-4006</t>
  </si>
  <si>
    <t>(503) 842-4414</t>
  </si>
  <si>
    <t>1010</t>
  </si>
  <si>
    <t>Schneidecker</t>
  </si>
  <si>
    <t>1040</t>
  </si>
  <si>
    <t>schneideckerj@tillamook.k12.or.us</t>
  </si>
  <si>
    <t>6102</t>
  </si>
  <si>
    <t>Orr</t>
  </si>
  <si>
    <t>(541) 427-3732</t>
  </si>
  <si>
    <t>laura.orr@ukiah.k12.or.us</t>
  </si>
  <si>
    <t>(541) 922-6500</t>
  </si>
  <si>
    <t>6501</t>
  </si>
  <si>
    <t>(541) 922-6716</t>
  </si>
  <si>
    <t>(541) 562-6115</t>
  </si>
  <si>
    <t>8912</t>
  </si>
  <si>
    <t>carter.wells@unionsd5.org</t>
  </si>
  <si>
    <t>(541) 473-0201</t>
  </si>
  <si>
    <t>alisha.mcbride@valesd.org.us</t>
  </si>
  <si>
    <t>Andersen</t>
  </si>
  <si>
    <t>(541) 473-0241</t>
  </si>
  <si>
    <t xml:space="preserve">lisa.andersen@valesd.org </t>
  </si>
  <si>
    <t>(503) 429-5891</t>
  </si>
  <si>
    <t>jhelmen@vernoniak12.org</t>
  </si>
  <si>
    <t>Susanne</t>
  </si>
  <si>
    <t>(503) 429-1376</t>
  </si>
  <si>
    <t>smyers@vernoniak12.org</t>
  </si>
  <si>
    <t>Tamera</t>
  </si>
  <si>
    <t>(541) 886-2061</t>
  </si>
  <si>
    <t xml:space="preserve">4331 </t>
  </si>
  <si>
    <t>TsJONES@wallowa.k12.or.us</t>
  </si>
  <si>
    <t>(503) 861-2281</t>
  </si>
  <si>
    <t>(503) 861-3376</t>
  </si>
  <si>
    <t>209</t>
  </si>
  <si>
    <t>Dr. Kathy</t>
  </si>
  <si>
    <t>(503) 673-7028</t>
  </si>
  <si>
    <t>Brigsby</t>
  </si>
  <si>
    <t>(503) 673-7059</t>
  </si>
  <si>
    <t>brigsbyL@wlwv.k12.or.us</t>
  </si>
  <si>
    <t>(503) 876-1501</t>
  </si>
  <si>
    <t>Kellison</t>
  </si>
  <si>
    <t>(541) 679-3000</t>
  </si>
  <si>
    <t>3405</t>
  </si>
  <si>
    <t>KellisonK@wdsd.org</t>
  </si>
  <si>
    <t>(541) 957-4849</t>
  </si>
  <si>
    <t>(503) 981-2701</t>
  </si>
  <si>
    <t xml:space="preserve"> jlarios@woodburnsd.org</t>
  </si>
  <si>
    <t>(503) 981-2726</t>
  </si>
  <si>
    <t>Clint</t>
  </si>
  <si>
    <t>Raever</t>
  </si>
  <si>
    <t>(503) 852-6980</t>
  </si>
  <si>
    <t>raeverc@ycschools.org</t>
  </si>
  <si>
    <t>(503) 852-7161</t>
  </si>
  <si>
    <t>(541) 849-2782</t>
  </si>
  <si>
    <t xml:space="preserve">The following July, the ODE will withdraw funds from districts that have chosen to waive them to reallocate </t>
  </si>
  <si>
    <t>2022-2023 SY</t>
  </si>
  <si>
    <t>Old MOE Calc</t>
  </si>
  <si>
    <t>Ratio is more than 13.5%</t>
  </si>
  <si>
    <t>Ratio is between 13.5% and 8.0%</t>
  </si>
  <si>
    <t>Ratio is less than 7.9%</t>
  </si>
  <si>
    <t>Age K-21 Special Education Ratio</t>
  </si>
  <si>
    <t>N/A</t>
  </si>
  <si>
    <t xml:space="preserve">a) Certifies that only eligible employees will participate in the substitute/alternate system and that the system used to document employee work schedules includes sufficient controls to ensure that the schedules are accurate.
</t>
  </si>
  <si>
    <t>if not LY then the next</t>
  </si>
  <si>
    <t>Method</t>
  </si>
  <si>
    <t>State and Local Total</t>
  </si>
  <si>
    <t>J:\~ IDEA Compliance\MOE\~MOE 17-18 to Current\FY 2021-22\MoEHistory_V7 TD.xlsm</t>
  </si>
  <si>
    <t>Prior Fiscal Year</t>
  </si>
  <si>
    <t>Did not meet</t>
  </si>
  <si>
    <t>Met w/Exceptions</t>
  </si>
  <si>
    <t>DocFolderPath</t>
  </si>
  <si>
    <t>DocFileName</t>
  </si>
  <si>
    <t>PdfFolderPath</t>
  </si>
  <si>
    <t>PdfFileName</t>
  </si>
  <si>
    <t>Status</t>
  </si>
  <si>
    <t>ID</t>
  </si>
  <si>
    <t xml:space="preserve">LEA State and Local </t>
  </si>
  <si>
    <t xml:space="preserve">ESD State and Local </t>
  </si>
  <si>
    <t>Per Capita Total</t>
  </si>
  <si>
    <t>LEA State and Local Per Capita</t>
  </si>
  <si>
    <t>ESD State and Local Per Capita</t>
  </si>
  <si>
    <t>J:\~ IDEA Compliance\MOE\2023 MOE Letters\Charts Word</t>
  </si>
  <si>
    <t>J:\~ IDEA Compliance\MOE\2023 MOE Letters\Charts PDF</t>
  </si>
  <si>
    <t>Three Rivers-Josephine County SD</t>
  </si>
  <si>
    <t>Met with Exceptions</t>
  </si>
  <si>
    <t>MOE and Award Approval</t>
  </si>
  <si>
    <t>Met/Conditionally Approved</t>
  </si>
  <si>
    <t xml:space="preserve">Did Not Meet/Conditionally Approved </t>
  </si>
  <si>
    <t>Met/Approved</t>
  </si>
  <si>
    <t>Did not meet/ Otherwise Approved</t>
  </si>
  <si>
    <t xml:space="preserve"> 8 points (D)</t>
  </si>
  <si>
    <t>3 point (B)</t>
  </si>
  <si>
    <t>6 points (C)</t>
  </si>
  <si>
    <t xml:space="preserve">Authorized Signatories </t>
  </si>
  <si>
    <t>This is where all links to resources will go</t>
  </si>
  <si>
    <t xml:space="preserve">Each resource will be also included on the page </t>
  </si>
  <si>
    <t>The resource on the page will be a summary if possible</t>
  </si>
  <si>
    <t>This main page will be for large links and info</t>
  </si>
  <si>
    <t>Individual pages try to summerize the resource</t>
  </si>
  <si>
    <t>What needs to be posted:</t>
  </si>
  <si>
    <r>
      <t>LEA ID</t>
    </r>
    <r>
      <rPr>
        <sz val="11"/>
        <color rgb="FFFF0000"/>
        <rFont val="Calibri"/>
        <family val="2"/>
        <scheme val="minor"/>
      </rPr>
      <t>*</t>
    </r>
  </si>
  <si>
    <t>Please be sure to use the official IDEA Part B application submission form</t>
  </si>
  <si>
    <t>Link here</t>
  </si>
  <si>
    <t>Key items in the 2024-2025 application:</t>
  </si>
  <si>
    <t>Fiscal assurances.</t>
  </si>
  <si>
    <t>Equity assurances.</t>
  </si>
  <si>
    <t>IDEA fund waiver option.</t>
  </si>
  <si>
    <t>Reallocation criteria.</t>
  </si>
  <si>
    <t>IDEA-specific FAPE assurances.</t>
  </si>
  <si>
    <t>Special Education Director tab.</t>
  </si>
  <si>
    <r>
      <rPr>
        <b/>
        <sz val="11"/>
        <color rgb="FFFF0000"/>
        <rFont val="Calibri"/>
        <family val="2"/>
        <scheme val="minor"/>
      </rPr>
      <t>*</t>
    </r>
    <r>
      <rPr>
        <b/>
        <sz val="11"/>
        <color theme="1"/>
        <rFont val="Calibri"/>
        <family val="2"/>
        <scheme val="minor"/>
      </rPr>
      <t>2024-2025 Budget</t>
    </r>
  </si>
  <si>
    <r>
      <t xml:space="preserve">The above funding elections determine if the LEA wants </t>
    </r>
    <r>
      <rPr>
        <b/>
        <u/>
        <sz val="11"/>
        <color theme="1"/>
        <rFont val="Calibri"/>
        <family val="2"/>
        <scheme val="minor"/>
      </rPr>
      <t>full</t>
    </r>
    <r>
      <rPr>
        <sz val="11"/>
        <color theme="1"/>
        <rFont val="Calibri"/>
        <family val="2"/>
        <scheme val="minor"/>
      </rPr>
      <t xml:space="preserve"> responsibility for serving children identified in the respective category. Electing to </t>
    </r>
    <r>
      <rPr>
        <b/>
        <sz val="11"/>
        <color theme="1"/>
        <rFont val="Calibri"/>
        <family val="2"/>
        <scheme val="minor"/>
      </rPr>
      <t>retain</t>
    </r>
    <r>
      <rPr>
        <sz val="11"/>
        <color theme="1"/>
        <rFont val="Calibri"/>
        <family val="2"/>
        <scheme val="minor"/>
      </rPr>
      <t xml:space="preserve"> funds means the LEA will not be pooling resources in order to serve children who need services from the specified program. The LEA will have full financial responsibility for meeting the needs of their students.</t>
    </r>
  </si>
  <si>
    <r>
      <t xml:space="preserve">The below funding elections determine if the LEA wants </t>
    </r>
    <r>
      <rPr>
        <b/>
        <u/>
        <sz val="11"/>
        <color theme="1"/>
        <rFont val="Calibri"/>
        <family val="2"/>
        <scheme val="minor"/>
      </rPr>
      <t>full</t>
    </r>
    <r>
      <rPr>
        <sz val="11"/>
        <color theme="1"/>
        <rFont val="Calibri"/>
        <family val="2"/>
        <scheme val="minor"/>
      </rPr>
      <t xml:space="preserve"> responsibility for serving children identified in the respective category. Electing to </t>
    </r>
    <r>
      <rPr>
        <b/>
        <sz val="11"/>
        <color theme="1"/>
        <rFont val="Calibri"/>
        <family val="2"/>
        <scheme val="minor"/>
      </rPr>
      <t>retain</t>
    </r>
    <r>
      <rPr>
        <sz val="11"/>
        <color theme="1"/>
        <rFont val="Calibri"/>
        <family val="2"/>
        <scheme val="minor"/>
      </rPr>
      <t xml:space="preserve"> funds means the LEA will not be pooling resources in order to serve children who need services from the specified program. The LEA will have full financial responsibility for meeting the needs of their students.</t>
    </r>
  </si>
  <si>
    <t>ODE.OSS-DataTeam@ode.oregon.gov</t>
  </si>
  <si>
    <t>LEA consistently does not carryover funds after the first year of availability.</t>
  </si>
  <si>
    <t>Please be sure to check the "Send email of submission" check box on the SmartSheet form to ensure you have a receipt for your application.</t>
  </si>
  <si>
    <t>Port Orford-Langlois SD</t>
  </si>
  <si>
    <t>1. Describe how your entity’s existing mission, policies, or commitments ensure equitable access to, and equitable participation in, the proposed project or activity.</t>
  </si>
  <si>
    <t>Our district's mission statement is ""The District will provide curriculum and programs to enable all students to be proficient and to allow them to excel as ethical, responsible and successful members of society.""  In our district, we believe that ALL students have the ability to succeed at whatever they put their minds to, and work to support ALL students in that endeavor.  Our district works to implement the push in model with our students on IEPs so that they are learning along with their peers. With this model, it is imperative that the district provides for both the student, academically and behaviorally, and the teacher, in the classroom and with modifications and accommodations to the curriculum, so that all curricula can be accessed by all students in all places. </t>
  </si>
  <si>
    <t>A major barrier for this activity is personnel.  The district works to provide livable and competitive wages for staff who work in our SPED department, but still finding the personnel to fill positions is a hardship, especially in a rural and remote school district, where the cost of living is higher than the state average.</t>
  </si>
  <si>
    <t>The district will continue to recruit within our region to find staff who are willing to work with our students on IEPs and train that staff, using the SPED director and SPED teacher, on implementing behavior strategies, how to work with classroom teachers to modify curriculum to fit the individual needs of students, and how to implement accommodations in the classroom. </t>
  </si>
  <si>
    <t xml:space="preserve">Our timeline to address the barrier of finding staff is something that we are always addressing, but especially during the summer months, when there may be positions to be filled.  Currently the district has two SPED instructional assistant positions open and hope to have these positions filled by August 2023, at the start of the school year.                     </t>
  </si>
  <si>
    <t> Ione SD</t>
  </si>
  <si>
    <t>Our district's mission is: Educate. Empower. Inspire.  We feel this mission goes hand in hand with our district vision:  For all students to graduate with the skills and knowledge to be productive members of a rapidly changing world.  In order to realize our mission and vision for every child we serve, we analyze our resources and work to support the growth areas identified for our students, both collectively and individually.  We work incredibly hard to include all students in the opportunities and experiences we offer. </t>
  </si>
  <si>
    <t> Sometimes this means that we adapt courses to make them accessible for students receiving services so that they are able to participate with their peers in the general education setting.  Analyzing a student's ability to participate and then removing barriers in whatever ways possible are the ways we are honoring our district mission in pursuit of equity for our students. </t>
  </si>
  <si>
    <t>Identified barriers could include physical access, although we have worked very hard to ensure that our facilities are updated and can accommodate all students and staff.  We rely on a Decision Making Equity Tool to make sure we aren’t making decisions that affect focal populations throughout all groups of students and student families.  We have been utilizing staff feedback to help identify appropriate accommodations and modifications for students receiving services.  This has helped to ensure that we are thinking about student needs on an individual basis.  We have also worked to reduce negative attitudes and stereotypes around student support services, and we will continue working to place students in the least restrictive environment with the most appropriate supports. </t>
  </si>
  <si>
    <t>We are being proactive in our practices around accommodations and modifications and are trying hard to provide as much individualization as possible when barriers occur.  For example, if a student is showing a pattern of poor attendance, we might perform a home visit to find out if there are challenges that we can help problem-solve with the family for the benefit of the student's attendance. </t>
  </si>
  <si>
    <r>
      <t>A timeline can be difficult as barriers are not consistent.  We address barriers to participation as soon as they are known. Once identified, our team can meet and discuss possible options to help reduce challenges and obstacles that are impeding participation.</t>
    </r>
    <r>
      <rPr>
        <b/>
        <sz val="12"/>
        <color rgb="FF000000"/>
        <rFont val="Calibri"/>
        <family val="2"/>
        <scheme val="minor"/>
      </rPr>
      <t> </t>
    </r>
  </si>
  <si>
    <r>
      <t> </t>
    </r>
    <r>
      <rPr>
        <i/>
        <sz val="12"/>
        <color theme="3" tint="-0.249977111117893"/>
        <rFont val="Calibri"/>
        <family val="2"/>
        <scheme val="minor"/>
      </rPr>
      <t>2. Based on your proposed project or activity, what barriers may impede equitable access and participation of students, educators, or other beneficiaries?</t>
    </r>
  </si>
  <si>
    <r>
      <t> </t>
    </r>
    <r>
      <rPr>
        <i/>
        <sz val="12"/>
        <color theme="3" tint="-0.249977111117893"/>
        <rFont val="Calibri"/>
        <family val="2"/>
        <scheme val="minor"/>
      </rPr>
      <t>3. Based on the barriers identified, what steps will you take to address such barriers to equitable access and participation in the proposed project or activity?</t>
    </r>
  </si>
  <si>
    <r>
      <t>4.</t>
    </r>
    <r>
      <rPr>
        <sz val="7"/>
        <color theme="3" tint="-0.249977111117893"/>
        <rFont val="Times New Roman"/>
        <family val="1"/>
      </rPr>
      <t xml:space="preserve">      </t>
    </r>
    <r>
      <rPr>
        <i/>
        <sz val="12"/>
        <color theme="3" tint="-0.249977111117893"/>
        <rFont val="Calibri"/>
        <family val="2"/>
        <scheme val="minor"/>
      </rPr>
      <t xml:space="preserve">What is your timeline, including targeted milestones, for addressing these identified barriers? </t>
    </r>
    <r>
      <rPr>
        <sz val="12"/>
        <color theme="3" tint="-0.249977111117893"/>
        <rFont val="Calibri"/>
        <family val="2"/>
        <scheme val="minor"/>
      </rPr>
      <t>  </t>
    </r>
  </si>
  <si>
    <r>
      <t> 4.</t>
    </r>
    <r>
      <rPr>
        <sz val="7"/>
        <color theme="3" tint="-0.249977111117893"/>
        <rFont val="Times New Roman"/>
        <family val="1"/>
      </rPr>
      <t xml:space="preserve">      </t>
    </r>
    <r>
      <rPr>
        <i/>
        <sz val="12"/>
        <color theme="3" tint="-0.249977111117893"/>
        <rFont val="Calibri"/>
        <family val="2"/>
        <scheme val="minor"/>
      </rPr>
      <t xml:space="preserve">What is your timeline, including targeted milestones, for addressing these identified barriers? </t>
    </r>
    <r>
      <rPr>
        <sz val="12"/>
        <color theme="3" tint="-0.249977111117893"/>
        <rFont val="Calibri"/>
        <family val="2"/>
        <scheme val="minor"/>
      </rPr>
      <t>  </t>
    </r>
  </si>
  <si>
    <t>This page contains 4 example GEPA statements and 3 budget narratives. These were submitted by LEAs in 2023, and the ODE has approved them as exceptional.</t>
  </si>
  <si>
    <t xml:space="preserve">Umatilla SD </t>
  </si>
  <si>
    <t>2. Based on your proposed project or activity, what barriers may impede equitable access and participation of students, educators, or other beneficiaries?</t>
  </si>
  <si>
    <t>The data team process is designed to remove barriers. Students are identified individually and then provided supports with consideration for their unique needs according to student groups they represent. We work to monitor discipline, schedules and interventions by student group as well as ""all students"" to ensure we are providing equitable and appropriate services.</t>
  </si>
  <si>
    <t xml:space="preserve">3. Based on the barriers identified, what steps will you take to address such barriers to equitable access and participation in the proposed project or activity?  </t>
  </si>
  <si>
    <t>Supports for access include modified schedules, increased intervention time, additional adult support, access to services (mental and physical health as well as academic and behavioral) and in-class modifications and accommodations.  </t>
  </si>
  <si>
    <t>4. What is your timeline, including targeted milestones, for addressing these identified barriers? </t>
  </si>
  <si>
    <t xml:space="preserve">As data teams, or other stakeholders, identify barriers, we work collaboratively through our Core Team process at each school to eliminate the barriers to access.  These meetings occur quarterly and if an immediate need is identified, they will convene. "    </t>
  </si>
  <si>
    <t>Banks SD</t>
  </si>
  <si>
    <t>Banks School District has established a new strategic plan that is grounded in the philosophy and practice of equitable learning that supports the growth and achievement of all students. Banks School District will provide high quality professional development and resources to teaching staff around this goal.</t>
  </si>
  <si>
    <t>Engaging the community is also a pillar of the new strategic plan.  Banks School District recognizes that family support is essential and proactive communication is vital for the success of our students. </t>
  </si>
  <si>
    <t>Barriers that we might encounter are family engagement, data collection and targeted interventions</t>
  </si>
  <si>
    <t>Family Engagement Barrier - Banks School District has several methods for surveying families in their native language.  We have a family and student engagement liaison who has built a strong relationship with the families she serves.  She also seeks out families who are in need of communication or community resources.  We hold family engagement meetings and evenings for families to come together in a more authentic setting.</t>
  </si>
  <si>
    <t> Data Collection and Targeted Instruction Barriers - Banks Elementary has been accepted to be part of the next RtI cohort.  We recently adopted a new math curriculum and that is based on equitable learning.  We are in the process of creating school and district report cards to assess progress 3 times a year in these areas.</t>
  </si>
  <si>
    <t xml:space="preserve">Our new Strategic Plan with our school and district report cards will begin in the Fall.  We will assess our targeted milestones 3 times a year.     </t>
  </si>
  <si>
    <r>
      <t> </t>
    </r>
    <r>
      <rPr>
        <i/>
        <sz val="12"/>
        <color theme="4" tint="-0.249977111117893"/>
        <rFont val="Calibri"/>
        <family val="2"/>
        <scheme val="minor"/>
      </rPr>
      <t>2. Based on your proposed project or activity, what barriers may impede equitable access and participation of students, educators, or other beneficiaries?</t>
    </r>
  </si>
  <si>
    <r>
      <t> </t>
    </r>
    <r>
      <rPr>
        <i/>
        <sz val="12"/>
        <color theme="4" tint="-0.249977111117893"/>
        <rFont val="Calibri"/>
        <family val="2"/>
        <scheme val="minor"/>
      </rPr>
      <t>3. Based on the barriers identified, what steps will you take to address such barriers to equitable access and participation in the proposed project or activity?</t>
    </r>
  </si>
  <si>
    <r>
      <t> </t>
    </r>
    <r>
      <rPr>
        <i/>
        <sz val="12"/>
        <color theme="4" tint="-0.249977111117893"/>
        <rFont val="Calibri"/>
        <family val="2"/>
        <scheme val="minor"/>
      </rPr>
      <t>4. What is your timeline, including targeted milestones, for addressing these identified barriers?</t>
    </r>
  </si>
  <si>
    <t>GEPA Statements</t>
  </si>
  <si>
    <r>
      <t xml:space="preserve">2. Based on your proposed project or activity, what barriers may impede equitable access and participation of students, educators, or other beneficiaries? </t>
    </r>
    <r>
      <rPr>
        <sz val="11"/>
        <color rgb="FFFF0000"/>
        <rFont val="Calibri"/>
        <family val="2"/>
        <scheme val="minor"/>
      </rPr>
      <t>*</t>
    </r>
  </si>
  <si>
    <r>
      <t xml:space="preserve">3. Based on the barriers identified, what steps will you take to address such barriers to equitable access and participation in the proposed project or activity? </t>
    </r>
    <r>
      <rPr>
        <sz val="11"/>
        <color rgb="FFFF0000"/>
        <rFont val="Calibri"/>
        <family val="2"/>
        <scheme val="minor"/>
      </rPr>
      <t>*</t>
    </r>
  </si>
  <si>
    <r>
      <t xml:space="preserve">4. What is your timeline, including targeted milestones, for addressing these identified barriers? </t>
    </r>
    <r>
      <rPr>
        <sz val="11"/>
        <color rgb="FFFF0000"/>
        <rFont val="Calibri"/>
        <family val="2"/>
        <scheme val="minor"/>
      </rPr>
      <t>*</t>
    </r>
  </si>
  <si>
    <t>Please ensure to address each of the items above in the statement below</t>
  </si>
  <si>
    <t>The Umatilla School District strives to ""Build Bridges to Successful Futures." Our behind the motto document details our specific commitments to this work:    To assure each and every child can experience success in the Umatilla system, we analyze our resources and work to support the growth areas identified for our students, both collectively and individually.  Monthly data teams review discipline, attendance and academic data to identify students’ needs and assign interventions as needed. This ongoing system of monitoring and adjusting supports provides just-in-time interventions to keep students progressing.</t>
  </si>
  <si>
    <t>1. Describe how your entity’s existing mission, policies, or commitments ensure equitable access to, and equitable participation in, the proposed project or activity.                     </t>
  </si>
  <si>
    <t>LEA has no SPED Director or a SPED Director in year 1 or 2 of being a SPED Director.</t>
  </si>
  <si>
    <t>LEA has a SPED Director in year 3 of being a SPED Director, or a new SPED Director with 3 years of experience from out of state.</t>
  </si>
  <si>
    <t>LEA has a new SPED Director, but the SPED Director has 3 or more years of experience as a SPED Director in Oregon.</t>
  </si>
  <si>
    <t>LEA has a returning SPED Director with at least 3 years of experience.</t>
  </si>
  <si>
    <t>Includes Fund 100, Fund 251 and ESD contributions to the budget &gt;&gt;&gt;&gt;&gt;</t>
  </si>
  <si>
    <t>No, the LEA does not have a system in place to track time and effort and will engage in technical assistance with ODE.</t>
  </si>
  <si>
    <t>Yes, the LEA has a system in place to track time and effort and will attach supporting documentation to the SmartSheet submission form.</t>
  </si>
  <si>
    <t xml:space="preserve">These examples are not intended to be copied, these are examples and the statements submitted should be district specific. </t>
  </si>
  <si>
    <r>
      <t xml:space="preserve">The LEA may choose to join a </t>
    </r>
    <r>
      <rPr>
        <b/>
        <sz val="11"/>
        <color theme="1"/>
        <rFont val="Calibri"/>
        <family val="2"/>
        <scheme val="minor"/>
      </rPr>
      <t>consortium</t>
    </r>
    <r>
      <rPr>
        <sz val="11"/>
        <color theme="1"/>
        <rFont val="Calibri"/>
        <family val="2"/>
        <scheme val="minor"/>
      </rPr>
      <t xml:space="preserve"> for the purposes of combining IDEA funds. LEAs that do so must submit a copy of its signed agreement between the LEA and the consortium manager authorizing the consortium manager to combine the LEA's funds and act as the LEA's Fiscal Agent. For questions, please contact a member of the IDEA Fiscal Team.</t>
    </r>
  </si>
  <si>
    <t>Here is a link to the ODE Website with templates and supporting documentation.</t>
  </si>
  <si>
    <t>12. The LEA adopts the National Instructional Materials Accessibility Standard (NIMAS), through National Instructional Materials Access Center (NIMAC), for the purposes of providing instructional materials to blind persons or other persons with print disabilities in a timely manner in accordance. The LEA separately assures that all instructional materials are provided in a timely manner to blind persons or others with print disabilities. (34 CFR §300.172, OAR 581-015-2060; OAR 581-022-2355)</t>
  </si>
  <si>
    <t>By the LEA choosing to retain its RIS funding, it is agreeing to provide all services to students with low incidence or high need disabilities.</t>
  </si>
  <si>
    <t>By the LEA choosing to retain its OSD funding, it is agreeing to pay for all services to students who are deaf or hard of hearing.</t>
  </si>
  <si>
    <t>By the LEA choosing to retain its LTCT funding, it is agreeing to pay for all services to students who attend LTCT sites within their boundaries.</t>
  </si>
  <si>
    <t>MOE Letters</t>
  </si>
  <si>
    <t>Data submission</t>
  </si>
  <si>
    <t>Claims Score</t>
  </si>
  <si>
    <t>Please use this linked form, and the tables below to enter in any allowed exceptions for your maintenance of effort. If the table above shows your LEA is not meeting either by State and Local Total or by State and Local Per Capita, then we suggest searching for and entering in exceptions below. Note: If the LEA enters any exceptions for Exception (a), (c), or (d), the LEA must also submit documentation for those exceptions. Please reach out to the IDEA Fiscal Team for details on the documentation necessary.</t>
  </si>
  <si>
    <t>2024-2025</t>
  </si>
  <si>
    <t>2023-2024</t>
  </si>
  <si>
    <t>CCEIS Year's</t>
  </si>
  <si>
    <t>CCEIS Award Year</t>
  </si>
  <si>
    <t>Total Award</t>
  </si>
  <si>
    <t>&gt;&gt;&gt;&gt;&gt;&gt;&gt;&gt;</t>
  </si>
  <si>
    <t>PNF</t>
  </si>
  <si>
    <t>619 &gt;&gt;&gt;</t>
  </si>
  <si>
    <t>611 &gt;&gt;&gt;</t>
  </si>
  <si>
    <t>The LEA assures that the award year chosen will be consistent with Coordinated Early Intervening Services Collection submission in the fall, and that the LEA has budgeted the required 15%.</t>
  </si>
  <si>
    <t>CCEIS Assurance</t>
  </si>
  <si>
    <t>CCEIS</t>
  </si>
  <si>
    <t xml:space="preserve">Yes, The LEA ensures it will abide by the above statement. </t>
  </si>
  <si>
    <t>No, The LEA would like to request a hearing to dispute the identification and amount required to budget.</t>
  </si>
  <si>
    <r>
      <t xml:space="preserve">The LEA will </t>
    </r>
    <r>
      <rPr>
        <b/>
        <sz val="11"/>
        <color theme="1"/>
        <rFont val="Calibri"/>
        <family val="2"/>
        <scheme val="minor"/>
      </rPr>
      <t>not</t>
    </r>
    <r>
      <rPr>
        <sz val="11"/>
        <color theme="1"/>
        <rFont val="Calibri"/>
        <family val="2"/>
        <scheme val="minor"/>
      </rPr>
      <t xml:space="preserve"> coordinate with NIMAC, and the LEA assures it will provide print instructional materials to blind persons or other persons with print disabilities in a timely manner without coordination with the National Instructional Materials Access Center (NIMAC).</t>
    </r>
  </si>
  <si>
    <t>Ashalnd</t>
  </si>
  <si>
    <t>Clatskanie</t>
  </si>
  <si>
    <t>Days Creek Douglas County SD 15</t>
  </si>
  <si>
    <t>Hood River County</t>
  </si>
  <si>
    <t>Portland</t>
  </si>
  <si>
    <t>Sweet Home</t>
  </si>
  <si>
    <t>La Grande</t>
  </si>
  <si>
    <t>Sig Dys</t>
  </si>
  <si>
    <t>The LEA does not have any charter schools within its boundaries. </t>
  </si>
  <si>
    <r>
      <t xml:space="preserve">Minimum Total Budget </t>
    </r>
    <r>
      <rPr>
        <b/>
        <sz val="11"/>
        <color theme="1"/>
        <rFont val="Calibri"/>
        <family val="2"/>
        <scheme val="minor"/>
      </rPr>
      <t>Required</t>
    </r>
  </si>
  <si>
    <t>Acceptable documentation of Time and Effort is as follows: templates or completed forms and employee schedules that demonstrate the proper tracking of time and effort or policies and procedures used to implement the time and effort tracking system. ODE recognizes that there are multiple methods to track time and effort, so please ensure to attach any necessary documentation.</t>
  </si>
  <si>
    <r>
      <t xml:space="preserve">What if the form isn't working?
Occasionally Smartsheet does maintenance. Try again in a day or two. The form will save where you left off. If you continue to have issues with the Smartsheet form, reach out to the assurance’s mailbox </t>
    </r>
    <r>
      <rPr>
        <b/>
        <sz val="11"/>
        <rFont val="Calibri"/>
        <family val="2"/>
        <scheme val="minor"/>
      </rPr>
      <t>attention</t>
    </r>
    <r>
      <rPr>
        <sz val="11"/>
        <rFont val="Calibri"/>
        <family val="2"/>
        <scheme val="minor"/>
      </rPr>
      <t>: Heather Shinn.</t>
    </r>
  </si>
  <si>
    <t>Click here to generate email</t>
  </si>
  <si>
    <t>Net Total</t>
  </si>
  <si>
    <t>Percentage of funds claimed (prior year grant)</t>
  </si>
  <si>
    <t>As of April 15th, 2024 the ODE has not received the State IDEA Grant.
Therefore, the awards below are the 2023-24 awards updated with the most recent enrollment and child count.</t>
  </si>
  <si>
    <t>More than 60% of 611 and 619 claimed</t>
  </si>
  <si>
    <t>Combined 611 and 619 claims at 55%-60%</t>
  </si>
  <si>
    <t>Combined 611 and 619 claims less than 55%</t>
  </si>
  <si>
    <t>Link Application Submission form</t>
  </si>
  <si>
    <t>&lt;&lt;&lt;Click here to access form</t>
  </si>
  <si>
    <t>Audit with 2 or more unresolved findings associated with IDEA from the last two recent completed audits</t>
  </si>
  <si>
    <t>Audit with 2 or more resolved findings AND/OR one unresolved finding associated with IDEA from the last two audits</t>
  </si>
  <si>
    <t>Audit with one finding associated with IDEA within the last two recent completed audits</t>
  </si>
  <si>
    <t>Audit with no current finding associated with IDEA within the last two recent completed audits</t>
  </si>
  <si>
    <t>Late</t>
  </si>
  <si>
    <t>Inaccurate</t>
  </si>
  <si>
    <r>
      <t xml:space="preserve">One or more reports were late </t>
    </r>
    <r>
      <rPr>
        <b/>
        <sz val="10"/>
        <color theme="1"/>
        <rFont val="Calibri"/>
        <family val="2"/>
        <scheme val="minor"/>
      </rPr>
      <t xml:space="preserve">and </t>
    </r>
    <r>
      <rPr>
        <sz val="10"/>
        <color theme="1"/>
        <rFont val="Calibri"/>
        <family val="2"/>
        <scheme val="minor"/>
      </rPr>
      <t>inaccurate</t>
    </r>
  </si>
  <si>
    <r>
      <t xml:space="preserve">One or more reports were late </t>
    </r>
    <r>
      <rPr>
        <b/>
        <sz val="10"/>
        <color theme="1"/>
        <rFont val="Calibri"/>
        <family val="2"/>
        <scheme val="minor"/>
      </rPr>
      <t xml:space="preserve">or </t>
    </r>
    <r>
      <rPr>
        <sz val="10"/>
        <color theme="1"/>
        <rFont val="Calibri"/>
        <family val="2"/>
        <scheme val="minor"/>
      </rPr>
      <t>inaccurate</t>
    </r>
  </si>
  <si>
    <t>OLAP_FinanceESDSuppId</t>
  </si>
  <si>
    <t>SchoolYear</t>
  </si>
  <si>
    <t>District_Instid</t>
  </si>
  <si>
    <t>ESD_Instid</t>
  </si>
  <si>
    <t>FundCd</t>
  </si>
  <si>
    <t>AreaOfRespCd</t>
  </si>
  <si>
    <t>FunctionCd</t>
  </si>
  <si>
    <t>ESDServAmt</t>
  </si>
  <si>
    <t>ESDRevAmt</t>
  </si>
  <si>
    <t>LoadDt</t>
  </si>
  <si>
    <t>FunctionDesc</t>
  </si>
  <si>
    <t>AreaOfRespDesc</t>
  </si>
  <si>
    <t>FundDesc</t>
  </si>
  <si>
    <t>ESD_Name</t>
  </si>
  <si>
    <t>District_Name</t>
  </si>
  <si>
    <t>Special Programs</t>
  </si>
  <si>
    <t>Special Education</t>
  </si>
  <si>
    <t>General Fund</t>
  </si>
  <si>
    <t>Support Services-Students</t>
  </si>
  <si>
    <t>Student Transportation Services</t>
  </si>
  <si>
    <t>Other Student Treatment Services</t>
  </si>
  <si>
    <t>Service Direction: Student Support Services</t>
  </si>
  <si>
    <t>Assessment and Testing</t>
  </si>
  <si>
    <t>Technology Services</t>
  </si>
  <si>
    <t>KLAMATH FALLS CITY SCHOOLS</t>
  </si>
  <si>
    <t>Instructional Staff Development</t>
  </si>
  <si>
    <t>Staff Services</t>
  </si>
  <si>
    <t>School Administration</t>
  </si>
  <si>
    <t>Internal Services</t>
  </si>
  <si>
    <t>Food Services</t>
  </si>
  <si>
    <t xml:space="preserve">Region 18 ESD </t>
  </si>
  <si>
    <t>BLP</t>
  </si>
  <si>
    <t>Beaverton</t>
  </si>
  <si>
    <t>Sherwood</t>
  </si>
  <si>
    <t>Astoria</t>
  </si>
  <si>
    <t>Jewell</t>
  </si>
  <si>
    <t xml:space="preserve">Seaside </t>
  </si>
  <si>
    <t>ESD 2023</t>
  </si>
  <si>
    <t>ESD 2022</t>
  </si>
  <si>
    <t>Improvement of Instruction Services</t>
  </si>
  <si>
    <t>Link to Exception Request Form</t>
  </si>
  <si>
    <t>Oregon City SD 63</t>
  </si>
  <si>
    <t>Oregon City SD 64</t>
  </si>
  <si>
    <t>Oregon City SD 65</t>
  </si>
  <si>
    <t>Helix Charter School</t>
  </si>
  <si>
    <t>Valley School of Southern Oregon, The</t>
  </si>
  <si>
    <t>Four Rivers Community School**</t>
  </si>
  <si>
    <t>Armadillo Community Charter School</t>
  </si>
  <si>
    <t>Cottonwood School of Civics and Science, The** (formerly Southwest Charter School)</t>
  </si>
  <si>
    <t>Ivy School, The**</t>
  </si>
  <si>
    <t>HOLLA School</t>
  </si>
  <si>
    <t>Multnomah Learning Academy (formerly Multisensory)</t>
  </si>
  <si>
    <t>Eagle Charter School**</t>
  </si>
  <si>
    <t>Cannon Beach Academy, The</t>
  </si>
  <si>
    <t>Community Roots School, The</t>
  </si>
  <si>
    <t xml:space="preserve">Kalmiopsis Community Arts High School </t>
  </si>
  <si>
    <t>OregonPartBApp202425</t>
  </si>
  <si>
    <t>Score</t>
  </si>
  <si>
    <t>Screen grab below to show those who were late with their Excess Cost reporting</t>
  </si>
  <si>
    <t>File path for data</t>
  </si>
  <si>
    <t>J:\~ IDEA Compliance\IDEA District Applications\2024 Draft Application\Supporting Docs\ode-summary-lateinaseccurate_report_4_12_2024_Jm.xlsx</t>
  </si>
  <si>
    <t>Please update this role in Agency contacts in the IDEA Data Manager, located on the district website</t>
  </si>
  <si>
    <t>https://district.ode.state.or.us/CentralLogin/</t>
  </si>
  <si>
    <t xml:space="preserve">If you are unsure of who in your district has access to login and do this, please reach out to the </t>
  </si>
  <si>
    <t>Example GEPA Statements</t>
  </si>
  <si>
    <t>Agency serving codes 30/33</t>
  </si>
  <si>
    <t>Fall membership OR spring membership</t>
  </si>
  <si>
    <t>MOE child count COULD be the numerator</t>
  </si>
  <si>
    <t>Attending District Institution ID</t>
  </si>
  <si>
    <t>District Name</t>
  </si>
  <si>
    <t>2021-22 Total Enrollment</t>
  </si>
  <si>
    <t>2022-23 Total Enrollment</t>
  </si>
  <si>
    <t>2022-23 American Indian/Alaska Native</t>
  </si>
  <si>
    <t>2022-23 % American Indian/Alaska Native</t>
  </si>
  <si>
    <t>2022-23 Asian</t>
  </si>
  <si>
    <t>2022-23 % Asian</t>
  </si>
  <si>
    <t>2022-23 Native Hawaiian/ Pacific Islander</t>
  </si>
  <si>
    <t>2022-23 % Native Hawaiian/ Pacific Islander</t>
  </si>
  <si>
    <t>2022-23 Black/African American</t>
  </si>
  <si>
    <t>2022-23 % Black/African American</t>
  </si>
  <si>
    <t>2022-23 Hispanic/ Latino</t>
  </si>
  <si>
    <t>2022-23 % Hispanic/ Latino</t>
  </si>
  <si>
    <t>2022-23 White</t>
  </si>
  <si>
    <t>2022-23 % White</t>
  </si>
  <si>
    <t>2022-23Multi-Racial</t>
  </si>
  <si>
    <t>2022-23 % Multi-Racial</t>
  </si>
  <si>
    <t>2022-23 Kindergarten</t>
  </si>
  <si>
    <t>2022-23 Grade One</t>
  </si>
  <si>
    <t>2022-23 Grade Two</t>
  </si>
  <si>
    <t>2022-23 Grade Three</t>
  </si>
  <si>
    <t>2022-23 Grade Four</t>
  </si>
  <si>
    <t>2022-23 Grade Five</t>
  </si>
  <si>
    <t>2022-23 Grade Six</t>
  </si>
  <si>
    <t>2022-23 Grade Seven</t>
  </si>
  <si>
    <t>2022-23 Grade Eight</t>
  </si>
  <si>
    <t>2022-23 Grade Nine</t>
  </si>
  <si>
    <t>2022-23 Grade Ten</t>
  </si>
  <si>
    <t>2022-23 Grade Eleven</t>
  </si>
  <si>
    <t>2022-23 Grade Twelve</t>
  </si>
  <si>
    <t>ODE JDEP District</t>
  </si>
  <si>
    <t>ODE YCEP District</t>
  </si>
  <si>
    <t>Oregon Department of Education</t>
  </si>
  <si>
    <r>
      <rPr>
        <b/>
        <sz val="16"/>
        <color rgb="FFFF0000"/>
        <rFont val="Calibri"/>
        <family val="2"/>
        <scheme val="minor"/>
      </rPr>
      <t>Budget Narrative Box *</t>
    </r>
    <r>
      <rPr>
        <b/>
        <sz val="16"/>
        <color theme="3"/>
        <rFont val="Calibri"/>
        <family val="2"/>
        <scheme val="minor"/>
      </rPr>
      <t>If your budget in cell D10 is below the required amount in D8, please describe why the the amount is lower and how you plan to provide FAPE.</t>
    </r>
    <r>
      <rPr>
        <b/>
        <sz val="16"/>
        <color rgb="FFFF0000"/>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</si>
</sst>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lt;=9999999]###\-####;\(###\)\ ###\-####"/>
    <numFmt numFmtId="165" formatCode="0.0%"/>
    <numFmt numFmtId="166" formatCode="&quot;$&quot;#,##0.00"/>
    <numFmt numFmtId="167" formatCode="_(&quot;$&quot;* #,##0_);_(&quot;$&quot;* \(#,##0\);_(&quot;$&quot;* &quot;-&quot;??_);_(@_)"/>
  </numFmts>
  <fonts count="80" x14ac:knownFonts="1">
    <font>
      <sz val="11"/>
      <color theme="1"/>
      <name val="Calibri"/>
      <family val="2"/>
      <scheme val="minor"/>
    </font>
    <font>
      <sz val="11"/>
      <color theme="1"/>
      <name val="Calibri"/>
      <family val="2"/>
      <scheme val="minor"/>
    </font>
    <font>
      <u/>
      <sz val="11"/>
      <color theme="10"/>
      <name val="Calibri"/>
      <family val="2"/>
      <scheme val="minor"/>
    </font>
    <font>
      <b/>
      <sz val="15"/>
      <color theme="3"/>
      <name val="Calibri"/>
      <family val="2"/>
      <scheme val="minor"/>
    </font>
    <font>
      <b/>
      <sz val="11"/>
      <color rgb="FF3F3F3F"/>
      <name val="Calibri"/>
      <family val="2"/>
      <scheme val="minor"/>
    </font>
    <font>
      <sz val="11"/>
      <color rgb="FFFF0000"/>
      <name val="Calibri"/>
      <family val="2"/>
      <scheme val="minor"/>
    </font>
    <font>
      <b/>
      <sz val="11"/>
      <color theme="1"/>
      <name val="Calibri"/>
      <family val="2"/>
      <scheme val="minor"/>
    </font>
    <font>
      <b/>
      <sz val="11"/>
      <name val="Calibri"/>
      <family val="2"/>
      <scheme val="minor"/>
    </font>
    <font>
      <b/>
      <sz val="15"/>
      <color theme="1"/>
      <name val="Calibri"/>
      <family val="2"/>
      <scheme val="minor"/>
    </font>
    <font>
      <i/>
      <sz val="11"/>
      <color theme="1"/>
      <name val="Calibri"/>
      <family val="2"/>
      <scheme val="minor"/>
    </font>
    <font>
      <u/>
      <sz val="11"/>
      <color theme="6"/>
      <name val="Calibri"/>
      <family val="2"/>
      <scheme val="minor"/>
    </font>
    <font>
      <sz val="10"/>
      <color theme="1"/>
      <name val="Calibri"/>
      <family val="2"/>
      <scheme val="minor"/>
    </font>
    <font>
      <b/>
      <sz val="11"/>
      <color rgb="FF0070C0"/>
      <name val="Calibri"/>
      <family val="2"/>
      <scheme val="minor"/>
    </font>
    <font>
      <b/>
      <sz val="13"/>
      <color theme="3"/>
      <name val="Calibri"/>
      <family val="2"/>
      <scheme val="minor"/>
    </font>
    <font>
      <sz val="14"/>
      <color theme="1"/>
      <name val="Calibri"/>
      <family val="2"/>
      <scheme val="minor"/>
    </font>
    <font>
      <b/>
      <sz val="10"/>
      <color theme="1"/>
      <name val="Calibri"/>
      <family val="2"/>
      <scheme val="minor"/>
    </font>
    <font>
      <b/>
      <sz val="24"/>
      <name val="Calibri"/>
      <family val="2"/>
      <scheme val="minor"/>
    </font>
    <font>
      <b/>
      <sz val="15"/>
      <name val="Calibri"/>
      <family val="2"/>
      <scheme val="minor"/>
    </font>
    <font>
      <i/>
      <sz val="10"/>
      <color theme="3" tint="-0.499984740745262"/>
      <name val="Calibri"/>
      <family val="2"/>
      <scheme val="minor"/>
    </font>
    <font>
      <b/>
      <sz val="12"/>
      <color theme="1"/>
      <name val="Calibri"/>
      <family val="2"/>
      <scheme val="minor"/>
    </font>
    <font>
      <b/>
      <u/>
      <sz val="11"/>
      <color theme="1"/>
      <name val="Calibri"/>
      <family val="2"/>
      <scheme val="minor"/>
    </font>
    <font>
      <b/>
      <i/>
      <u/>
      <sz val="10"/>
      <color theme="3" tint="-0.499984740745262"/>
      <name val="Calibri"/>
      <family val="2"/>
      <scheme val="minor"/>
    </font>
    <font>
      <u/>
      <sz val="11"/>
      <color theme="1"/>
      <name val="Calibri"/>
      <family val="2"/>
      <scheme val="minor"/>
    </font>
    <font>
      <i/>
      <sz val="11"/>
      <color theme="3" tint="-0.499984740745262"/>
      <name val="Calibri"/>
      <family val="2"/>
      <scheme val="minor"/>
    </font>
    <font>
      <b/>
      <sz val="22"/>
      <color rgb="FF3F3F3F"/>
      <name val="Calibri"/>
      <family val="2"/>
      <scheme val="minor"/>
    </font>
    <font>
      <b/>
      <sz val="22"/>
      <name val="Calibri"/>
      <family val="2"/>
      <scheme val="minor"/>
    </font>
    <font>
      <sz val="12"/>
      <color theme="1"/>
      <name val="Calibri"/>
      <family val="2"/>
      <scheme val="minor"/>
    </font>
    <font>
      <b/>
      <sz val="11"/>
      <color theme="3"/>
      <name val="Calibri"/>
      <family val="2"/>
      <scheme val="minor"/>
    </font>
    <font>
      <b/>
      <sz val="11"/>
      <color theme="1" tint="0.499984740745262"/>
      <name val="Calibri"/>
      <family val="2"/>
      <scheme val="minor"/>
    </font>
    <font>
      <sz val="11"/>
      <color theme="1" tint="0.499984740745262"/>
      <name val="Calibri"/>
      <family val="2"/>
      <scheme val="minor"/>
    </font>
    <font>
      <b/>
      <sz val="13"/>
      <color theme="3" tint="0.39997558519241921"/>
      <name val="Calibri"/>
      <family val="2"/>
      <scheme val="minor"/>
    </font>
    <font>
      <b/>
      <sz val="11"/>
      <color rgb="FFFF0000"/>
      <name val="Calibri"/>
      <family val="2"/>
      <scheme val="minor"/>
    </font>
    <font>
      <sz val="20"/>
      <color theme="1"/>
      <name val="Calibri"/>
      <family val="2"/>
      <scheme val="minor"/>
    </font>
    <font>
      <b/>
      <sz val="20"/>
      <color rgb="FF0070C0"/>
      <name val="Calibri"/>
      <family val="2"/>
      <scheme val="minor"/>
    </font>
    <font>
      <i/>
      <sz val="11"/>
      <color rgb="FFFF0000"/>
      <name val="Calibri"/>
      <family val="2"/>
      <scheme val="minor"/>
    </font>
    <font>
      <sz val="20"/>
      <color theme="0"/>
      <name val="Calibri"/>
      <family val="2"/>
      <scheme val="minor"/>
    </font>
    <font>
      <sz val="10"/>
      <color rgb="FFFF0000"/>
      <name val="Calibri"/>
      <family val="2"/>
      <scheme val="minor"/>
    </font>
    <font>
      <sz val="9"/>
      <color indexed="81"/>
      <name val="Tahoma"/>
      <family val="2"/>
    </font>
    <font>
      <b/>
      <sz val="9"/>
      <color indexed="81"/>
      <name val="Tahoma"/>
      <family val="2"/>
    </font>
    <font>
      <sz val="11"/>
      <name val="Calibri"/>
      <family val="2"/>
      <scheme val="minor"/>
    </font>
    <font>
      <b/>
      <sz val="15"/>
      <color rgb="FFFF0000"/>
      <name val="Calibri"/>
      <family val="2"/>
      <scheme val="minor"/>
    </font>
    <font>
      <sz val="20"/>
      <name val="Calibri"/>
      <family val="2"/>
      <scheme val="minor"/>
    </font>
    <font>
      <b/>
      <i/>
      <sz val="11"/>
      <color rgb="FFFF0000"/>
      <name val="Calibri"/>
      <family val="2"/>
      <scheme val="minor"/>
    </font>
    <font>
      <sz val="11"/>
      <color rgb="FF000000"/>
      <name val="Calibri"/>
      <family val="2"/>
      <scheme val="minor"/>
    </font>
    <font>
      <sz val="11"/>
      <color rgb="FF1F497D"/>
      <name val="Courier New"/>
      <family val="3"/>
    </font>
    <font>
      <sz val="11"/>
      <color rgb="FF1F497D"/>
      <name val="Calibri"/>
      <family val="2"/>
    </font>
    <font>
      <sz val="11"/>
      <color rgb="FF1F497D"/>
      <name val="Wingdings"/>
      <charset val="2"/>
    </font>
    <font>
      <sz val="11"/>
      <color theme="1"/>
      <name val="Symbol"/>
      <family val="1"/>
      <charset val="2"/>
    </font>
    <font>
      <b/>
      <sz val="11"/>
      <color rgb="FF1F497D"/>
      <name val="Calibri"/>
      <family val="2"/>
    </font>
    <font>
      <sz val="11"/>
      <color rgb="FF1F497D"/>
      <name val="Calibri"/>
      <family val="2"/>
      <scheme val="minor"/>
    </font>
    <font>
      <b/>
      <sz val="11"/>
      <color rgb="FF1F497D"/>
      <name val="Calibri"/>
      <family val="2"/>
      <scheme val="minor"/>
    </font>
    <font>
      <b/>
      <u/>
      <sz val="15"/>
      <color theme="3"/>
      <name val="Calibri"/>
      <family val="2"/>
      <scheme val="minor"/>
    </font>
    <font>
      <b/>
      <u/>
      <sz val="11"/>
      <color rgb="FF1F497D"/>
      <name val="Calibri"/>
      <family val="2"/>
    </font>
    <font>
      <sz val="10"/>
      <name val="Calibri"/>
      <family val="2"/>
      <scheme val="minor"/>
    </font>
    <font>
      <sz val="11"/>
      <color rgb="FF0A0101"/>
      <name val="Calibri"/>
      <family val="2"/>
      <scheme val="minor"/>
    </font>
    <font>
      <b/>
      <sz val="11"/>
      <color theme="0"/>
      <name val="Calibri"/>
      <family val="2"/>
      <scheme val="minor"/>
    </font>
    <font>
      <sz val="8"/>
      <name val="Calibri"/>
      <family val="2"/>
      <scheme val="minor"/>
    </font>
    <font>
      <b/>
      <sz val="14"/>
      <color theme="1"/>
      <name val="Calibri"/>
      <family val="2"/>
      <scheme val="minor"/>
    </font>
    <font>
      <b/>
      <sz val="16"/>
      <color theme="1"/>
      <name val="Calibri"/>
      <family val="2"/>
      <scheme val="minor"/>
    </font>
    <font>
      <u/>
      <sz val="16"/>
      <color theme="10"/>
      <name val="Calibri"/>
      <family val="2"/>
      <scheme val="minor"/>
    </font>
    <font>
      <sz val="18"/>
      <color theme="3"/>
      <name val="Calibri Light"/>
      <family val="2"/>
      <scheme val="major"/>
    </font>
    <font>
      <sz val="12"/>
      <color rgb="FF000000"/>
      <name val="Calibri"/>
      <family val="2"/>
      <scheme val="minor"/>
    </font>
    <font>
      <b/>
      <sz val="12"/>
      <color rgb="FF000000"/>
      <name val="Calibri"/>
      <family val="2"/>
      <scheme val="minor"/>
    </font>
    <font>
      <i/>
      <sz val="12"/>
      <color theme="3" tint="-0.249977111117893"/>
      <name val="Calibri"/>
      <family val="2"/>
      <scheme val="minor"/>
    </font>
    <font>
      <sz val="12"/>
      <color theme="3" tint="-0.249977111117893"/>
      <name val="Calibri"/>
      <family val="2"/>
      <scheme val="minor"/>
    </font>
    <font>
      <sz val="7"/>
      <color theme="3" tint="-0.249977111117893"/>
      <name val="Times New Roman"/>
      <family val="1"/>
    </font>
    <font>
      <i/>
      <sz val="12"/>
      <color theme="4" tint="-0.249977111117893"/>
      <name val="Calibri"/>
      <family val="2"/>
      <scheme val="minor"/>
    </font>
    <font>
      <sz val="12"/>
      <color theme="4" tint="-0.249977111117893"/>
      <name val="Calibri"/>
      <family val="2"/>
      <scheme val="minor"/>
    </font>
    <font>
      <b/>
      <u/>
      <sz val="11"/>
      <color rgb="FFFF0000"/>
      <name val="Calibri"/>
      <family val="2"/>
      <scheme val="minor"/>
    </font>
    <font>
      <b/>
      <i/>
      <sz val="10"/>
      <color theme="3" tint="-0.499984740745262"/>
      <name val="Calibri"/>
      <family val="2"/>
      <scheme val="minor"/>
    </font>
    <font>
      <b/>
      <u/>
      <sz val="11"/>
      <name val="Calibri"/>
      <family val="2"/>
      <scheme val="minor"/>
    </font>
    <font>
      <sz val="16"/>
      <color theme="1"/>
      <name val="Calibri"/>
      <family val="2"/>
      <scheme val="minor"/>
    </font>
    <font>
      <b/>
      <strike/>
      <sz val="11"/>
      <color theme="1"/>
      <name val="Calibri"/>
      <family val="2"/>
      <scheme val="minor"/>
    </font>
    <font>
      <u/>
      <sz val="14"/>
      <color theme="10"/>
      <name val="Calibri"/>
      <family val="2"/>
      <scheme val="minor"/>
    </font>
    <font>
      <u/>
      <sz val="20"/>
      <color theme="10"/>
      <name val="Calibri"/>
      <family val="2"/>
      <scheme val="minor"/>
    </font>
    <font>
      <b/>
      <sz val="12"/>
      <color rgb="FF3F3F3F"/>
      <name val="Calibri"/>
      <family val="2"/>
      <scheme val="minor"/>
    </font>
    <font>
      <b/>
      <sz val="16"/>
      <color theme="3"/>
      <name val="Calibri"/>
      <family val="2"/>
      <scheme val="minor"/>
    </font>
    <font>
      <b/>
      <sz val="16"/>
      <color rgb="FFFF0000"/>
      <name val="Calibri"/>
      <family val="2"/>
      <scheme val="minor"/>
    </font>
    <font>
      <u/>
      <sz val="28"/>
      <color theme="10"/>
      <name val="Calibri"/>
      <family val="2"/>
      <scheme val="minor"/>
    </font>
    <font>
      <b/>
      <sz val="12"/>
      <color theme="0"/>
      <name val="Calibri"/>
      <family val="2"/>
      <scheme val="minor"/>
    </font>
  </fonts>
  <fills count="27">
    <fill>
      <patternFill patternType="none"/>
    </fill>
    <fill>
      <patternFill patternType="gray125"/>
    </fill>
    <fill>
      <patternFill patternType="solid">
        <fgColor rgb="FFF2F2F2"/>
      </patternFill>
    </fill>
    <fill>
      <patternFill patternType="solid">
        <fgColor rgb="FFCCECFF"/>
        <bgColor indexed="64"/>
      </patternFill>
    </fill>
    <fill>
      <patternFill patternType="solid">
        <fgColor theme="0"/>
        <bgColor indexed="64"/>
      </patternFill>
    </fill>
    <fill>
      <patternFill patternType="solid">
        <fgColor rgb="FFFFFFCC"/>
      </patternFill>
    </fill>
    <fill>
      <patternFill patternType="solid">
        <fgColor theme="0" tint="-0.249977111117893"/>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1"/>
        <bgColor indexed="64"/>
      </patternFill>
    </fill>
    <fill>
      <patternFill patternType="solid">
        <fgColor theme="4" tint="0.79998168889431442"/>
        <bgColor indexed="64"/>
      </patternFill>
    </fill>
    <fill>
      <patternFill patternType="solid">
        <fgColor theme="4" tint="0.59999389629810485"/>
        <bgColor indexed="65"/>
      </patternFill>
    </fill>
    <fill>
      <patternFill patternType="solid">
        <fgColor theme="8" tint="0.59999389629810485"/>
        <bgColor indexed="65"/>
      </patternFill>
    </fill>
    <fill>
      <patternFill patternType="solid">
        <fgColor rgb="FFFFFF00"/>
        <bgColor indexed="64"/>
      </patternFill>
    </fill>
    <fill>
      <patternFill patternType="solid">
        <fgColor rgb="FFFF0000"/>
        <bgColor indexed="64"/>
      </patternFill>
    </fill>
    <fill>
      <patternFill patternType="solid">
        <fgColor rgb="FFFFFF99"/>
        <bgColor indexed="64"/>
      </patternFill>
    </fill>
    <fill>
      <patternFill patternType="solid">
        <fgColor theme="6" tint="0.59999389629810485"/>
        <bgColor indexed="65"/>
      </patternFill>
    </fill>
    <fill>
      <patternFill patternType="solid">
        <fgColor theme="4" tint="0.79998168889431442"/>
        <bgColor theme="4" tint="0.79998168889431442"/>
      </patternFill>
    </fill>
    <fill>
      <patternFill patternType="solid">
        <fgColor theme="0" tint="-0.14999847407452621"/>
        <bgColor theme="0" tint="-0.14999847407452621"/>
      </patternFill>
    </fill>
    <fill>
      <patternFill patternType="solid">
        <fgColor rgb="FFEAF1FA"/>
        <bgColor indexed="64"/>
      </patternFill>
    </fill>
    <fill>
      <patternFill patternType="solid">
        <fgColor theme="3"/>
        <bgColor indexed="64"/>
      </patternFill>
    </fill>
    <fill>
      <patternFill patternType="solid">
        <fgColor rgb="FFFBC1C1"/>
        <bgColor indexed="64"/>
      </patternFill>
    </fill>
    <fill>
      <patternFill patternType="solid">
        <fgColor theme="4"/>
        <bgColor theme="4"/>
      </patternFill>
    </fill>
    <fill>
      <patternFill patternType="solid">
        <fgColor rgb="FFC1E7FF"/>
        <bgColor indexed="64"/>
      </patternFill>
    </fill>
    <fill>
      <patternFill patternType="solid">
        <fgColor theme="8"/>
        <bgColor theme="4"/>
      </patternFill>
    </fill>
  </fills>
  <borders count="80">
    <border>
      <left/>
      <right/>
      <top/>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ck">
        <color theme="4" tint="0.499984740745262"/>
      </bottom>
      <diagonal/>
    </border>
    <border>
      <left/>
      <right/>
      <top style="thick">
        <color theme="4"/>
      </top>
      <bottom/>
      <diagonal/>
    </border>
    <border>
      <left/>
      <right/>
      <top style="thin">
        <color rgb="FF7F7F7F"/>
      </top>
      <bottom style="thin">
        <color rgb="FF7F7F7F"/>
      </bottom>
      <diagonal/>
    </border>
    <border>
      <left/>
      <right/>
      <top/>
      <bottom style="thin">
        <color rgb="FF7F7F7F"/>
      </bottom>
      <diagonal/>
    </border>
    <border>
      <left/>
      <right/>
      <top/>
      <bottom style="thin">
        <color indexed="64"/>
      </bottom>
      <diagonal/>
    </border>
    <border>
      <left/>
      <right/>
      <top style="thick">
        <color theme="4"/>
      </top>
      <bottom style="thin">
        <color indexed="64"/>
      </bottom>
      <diagonal/>
    </border>
    <border>
      <left/>
      <right/>
      <top style="thin">
        <color indexed="64"/>
      </top>
      <bottom/>
      <diagonal/>
    </border>
    <border>
      <left style="thin">
        <color rgb="FF7F7F7F"/>
      </left>
      <right style="thin">
        <color rgb="FF7F7F7F"/>
      </right>
      <top/>
      <bottom style="thin">
        <color rgb="FF7F7F7F"/>
      </bottom>
      <diagonal/>
    </border>
    <border>
      <left/>
      <right/>
      <top style="thin">
        <color indexed="64"/>
      </top>
      <bottom style="thin">
        <color indexed="64"/>
      </bottom>
      <diagonal/>
    </border>
    <border>
      <left style="thin">
        <color rgb="FFB2B2B2"/>
      </left>
      <right/>
      <top style="thin">
        <color indexed="64"/>
      </top>
      <bottom style="thin">
        <color rgb="FFB2B2B2"/>
      </bottom>
      <diagonal/>
    </border>
    <border>
      <left/>
      <right/>
      <top style="thin">
        <color indexed="64"/>
      </top>
      <bottom style="thin">
        <color rgb="FFB2B2B2"/>
      </bottom>
      <diagonal/>
    </border>
    <border>
      <left/>
      <right style="thin">
        <color rgb="FFB2B2B2"/>
      </right>
      <top style="thin">
        <color indexed="64"/>
      </top>
      <bottom style="thin">
        <color rgb="FFB2B2B2"/>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right style="thin">
        <color rgb="FF7F7F7F"/>
      </right>
      <top/>
      <bottom style="thin">
        <color rgb="FF7F7F7F"/>
      </bottom>
      <diagonal/>
    </border>
    <border>
      <left/>
      <right style="thin">
        <color indexed="64"/>
      </right>
      <top/>
      <bottom style="thin">
        <color rgb="FF7F7F7F"/>
      </bottom>
      <diagonal/>
    </border>
    <border>
      <left/>
      <right style="thin">
        <color indexed="64"/>
      </right>
      <top/>
      <bottom style="thin">
        <color rgb="FF3F3F3F"/>
      </bottom>
      <diagonal/>
    </border>
    <border>
      <left/>
      <right/>
      <top/>
      <bottom style="medium">
        <color theme="4" tint="0.39997558519241921"/>
      </bottom>
      <diagonal/>
    </border>
    <border>
      <left style="thin">
        <color rgb="FFB2B2B2"/>
      </left>
      <right/>
      <top/>
      <bottom/>
      <diagonal/>
    </border>
    <border>
      <left/>
      <right/>
      <top style="thin">
        <color rgb="FFB2B2B2"/>
      </top>
      <bottom/>
      <diagonal/>
    </border>
    <border>
      <left/>
      <right/>
      <top style="thin">
        <color rgb="FFB2B2B2"/>
      </top>
      <bottom style="thin">
        <color indexed="64"/>
      </bottom>
      <diagonal/>
    </border>
    <border>
      <left style="thin">
        <color rgb="FF7F7F7F"/>
      </left>
      <right/>
      <top style="thick">
        <color theme="4"/>
      </top>
      <bottom style="thin">
        <color rgb="FF7F7F7F"/>
      </bottom>
      <diagonal/>
    </border>
    <border>
      <left/>
      <right/>
      <top style="thick">
        <color theme="4"/>
      </top>
      <bottom style="thin">
        <color rgb="FF7F7F7F"/>
      </bottom>
      <diagonal/>
    </border>
    <border>
      <left/>
      <right style="thin">
        <color rgb="FF7F7F7F"/>
      </right>
      <top style="thick">
        <color theme="4"/>
      </top>
      <bottom style="thin">
        <color rgb="FF7F7F7F"/>
      </bottom>
      <diagonal/>
    </border>
    <border>
      <left style="thin">
        <color rgb="FFB2B2B2"/>
      </left>
      <right style="thin">
        <color rgb="FFB2B2B2"/>
      </right>
      <top style="thin">
        <color rgb="FFB2B2B2"/>
      </top>
      <bottom/>
      <diagonal/>
    </border>
    <border>
      <left style="thin">
        <color rgb="FFB2B2B2"/>
      </left>
      <right/>
      <top/>
      <bottom style="thin">
        <color rgb="FFB2B2B2"/>
      </bottom>
      <diagonal/>
    </border>
    <border>
      <left/>
      <right/>
      <top/>
      <bottom style="thin">
        <color rgb="FFB2B2B2"/>
      </bottom>
      <diagonal/>
    </border>
    <border>
      <left/>
      <right style="thin">
        <color rgb="FFB2B2B2"/>
      </right>
      <top/>
      <bottom style="thin">
        <color rgb="FFB2B2B2"/>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3F3F3F"/>
      </right>
      <top style="thin">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style="thin">
        <color indexed="64"/>
      </left>
      <right style="thick">
        <color rgb="FF1B3F6F"/>
      </right>
      <top style="thin">
        <color indexed="64"/>
      </top>
      <bottom style="thin">
        <color indexed="64"/>
      </bottom>
      <diagonal/>
    </border>
    <border>
      <left style="thin">
        <color theme="1"/>
      </left>
      <right style="thin">
        <color theme="1"/>
      </right>
      <top style="thin">
        <color theme="1"/>
      </top>
      <bottom style="thin">
        <color theme="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style="thin">
        <color rgb="FFB2B2B2"/>
      </right>
      <top style="thin">
        <color indexed="64"/>
      </top>
      <bottom style="thin">
        <color indexed="64"/>
      </bottom>
      <diagonal/>
    </border>
    <border>
      <left style="thin">
        <color rgb="FFB2B2B2"/>
      </left>
      <right style="thin">
        <color rgb="FFB2B2B2"/>
      </right>
      <top style="thin">
        <color indexed="64"/>
      </top>
      <bottom style="thin">
        <color indexed="64"/>
      </bottom>
      <diagonal/>
    </border>
    <border>
      <left style="thin">
        <color rgb="FFB2B2B2"/>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auto="1"/>
      </left>
      <right/>
      <top/>
      <bottom/>
      <diagonal/>
    </border>
    <border>
      <left/>
      <right style="thin">
        <color indexed="64"/>
      </right>
      <top/>
      <bottom/>
      <diagonal/>
    </border>
    <border>
      <left style="thin">
        <color rgb="FFB2B2B2"/>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diagonal/>
    </border>
    <border>
      <left/>
      <right/>
      <top style="medium">
        <color indexed="64"/>
      </top>
      <bottom style="medium">
        <color indexed="64"/>
      </bottom>
      <diagonal/>
    </border>
    <border>
      <left style="thin">
        <color theme="4" tint="0.39997558519241921"/>
      </left>
      <right style="thin">
        <color theme="0"/>
      </right>
      <top/>
      <bottom style="thin">
        <color theme="4" tint="0.39997558519241921"/>
      </bottom>
      <diagonal/>
    </border>
    <border>
      <left style="thin">
        <color theme="0"/>
      </left>
      <right style="thin">
        <color theme="0"/>
      </right>
      <top/>
      <bottom style="thin">
        <color theme="4" tint="0.39997558519241921"/>
      </bottom>
      <diagonal/>
    </border>
    <border>
      <left style="thin">
        <color theme="0"/>
      </left>
      <right style="thin">
        <color theme="4" tint="0.39997558519241921"/>
      </right>
      <top/>
      <bottom style="thin">
        <color theme="4" tint="0.39997558519241921"/>
      </bottom>
      <diagonal/>
    </border>
  </borders>
  <cellStyleXfs count="20">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10" fillId="0" borderId="0" applyNumberFormat="0" applyFill="0" applyBorder="0" applyAlignment="0" applyProtection="0"/>
    <xf numFmtId="0" fontId="3" fillId="0" borderId="1" applyNumberFormat="0" applyFill="0" applyAlignment="0" applyProtection="0"/>
    <xf numFmtId="0" fontId="7" fillId="3" borderId="2" applyNumberFormat="0" applyAlignment="0" applyProtection="0"/>
    <xf numFmtId="0" fontId="4" fillId="2" borderId="3" applyNumberFormat="0" applyAlignment="0" applyProtection="0"/>
    <xf numFmtId="0" fontId="1" fillId="5" borderId="4" applyNumberFormat="0" applyFont="0" applyAlignment="0" applyProtection="0"/>
    <xf numFmtId="0" fontId="12" fillId="2" borderId="2" applyNumberFormat="0" applyAlignment="0" applyProtection="0"/>
    <xf numFmtId="0" fontId="13" fillId="0" borderId="10" applyNumberFormat="0" applyFill="0" applyAlignment="0" applyProtection="0"/>
    <xf numFmtId="0" fontId="18" fillId="0" borderId="4">
      <alignment horizontal="center" vertical="center" wrapText="1"/>
    </xf>
    <xf numFmtId="0" fontId="27" fillId="0" borderId="27" applyNumberFormat="0" applyFill="0" applyAlignment="0" applyProtection="0"/>
    <xf numFmtId="0" fontId="27" fillId="0" borderId="0" applyNumberForma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5" fillId="0" borderId="0" applyNumberFormat="0" applyFill="0" applyBorder="0" applyAlignment="0" applyProtection="0"/>
    <xf numFmtId="0" fontId="60"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466">
    <xf numFmtId="0" fontId="0" fillId="0" borderId="0" xfId="0"/>
    <xf numFmtId="44" fontId="0" fillId="0" borderId="0" xfId="1" applyFont="1"/>
    <xf numFmtId="0" fontId="3" fillId="4" borderId="1" xfId="4" applyFill="1"/>
    <xf numFmtId="0" fontId="0" fillId="4" borderId="0" xfId="0" applyFill="1"/>
    <xf numFmtId="0" fontId="8" fillId="4" borderId="1" xfId="4" applyFont="1" applyFill="1"/>
    <xf numFmtId="0" fontId="8" fillId="4" borderId="1" xfId="4" applyFont="1" applyFill="1" applyAlignment="1">
      <alignment horizontal="right"/>
    </xf>
    <xf numFmtId="0" fontId="5" fillId="4" borderId="0" xfId="0" applyFont="1" applyFill="1"/>
    <xf numFmtId="44" fontId="4" fillId="2" borderId="3" xfId="6" applyNumberFormat="1"/>
    <xf numFmtId="0" fontId="9" fillId="4" borderId="0" xfId="0" applyFont="1" applyFill="1" applyAlignment="1">
      <alignment horizontal="center"/>
    </xf>
    <xf numFmtId="0" fontId="0" fillId="0" borderId="0" xfId="0" applyAlignment="1">
      <alignment horizontal="left"/>
    </xf>
    <xf numFmtId="164" fontId="0" fillId="0" borderId="0" xfId="0" applyNumberFormat="1"/>
    <xf numFmtId="0" fontId="0" fillId="0" borderId="8" xfId="0" applyBorder="1" applyAlignment="1">
      <alignment horizontal="center" vertical="center"/>
    </xf>
    <xf numFmtId="0" fontId="0" fillId="6" borderId="0" xfId="0" applyFill="1"/>
    <xf numFmtId="14" fontId="0" fillId="0" borderId="0" xfId="0" applyNumberFormat="1"/>
    <xf numFmtId="0" fontId="6" fillId="4" borderId="14" xfId="0" applyFont="1" applyFill="1" applyBorder="1"/>
    <xf numFmtId="0" fontId="14" fillId="4" borderId="14" xfId="0" applyFont="1" applyFill="1" applyBorder="1"/>
    <xf numFmtId="0" fontId="0" fillId="4" borderId="14" xfId="0" applyFill="1" applyBorder="1"/>
    <xf numFmtId="0" fontId="17" fillId="4" borderId="1" xfId="4" applyFont="1" applyFill="1" applyAlignment="1">
      <alignment horizontal="right"/>
    </xf>
    <xf numFmtId="0" fontId="17" fillId="4" borderId="1" xfId="4" applyFont="1" applyFill="1"/>
    <xf numFmtId="0" fontId="0" fillId="0" borderId="0" xfId="0" applyAlignment="1">
      <alignment horizontal="right"/>
    </xf>
    <xf numFmtId="0" fontId="19" fillId="4" borderId="14" xfId="0" applyFont="1" applyFill="1" applyBorder="1"/>
    <xf numFmtId="0" fontId="0" fillId="0" borderId="0" xfId="0" applyAlignment="1">
      <alignment horizontal="right" vertical="center"/>
    </xf>
    <xf numFmtId="0" fontId="0" fillId="4" borderId="0" xfId="0" applyFill="1" applyAlignment="1">
      <alignment horizontal="right" vertical="center"/>
    </xf>
    <xf numFmtId="0" fontId="5" fillId="4" borderId="0" xfId="0" applyFont="1" applyFill="1" applyAlignment="1">
      <alignment vertical="top"/>
    </xf>
    <xf numFmtId="0" fontId="9" fillId="4" borderId="0" xfId="0" applyFont="1" applyFill="1"/>
    <xf numFmtId="164" fontId="7" fillId="3" borderId="2" xfId="5" applyNumberFormat="1" applyProtection="1">
      <protection locked="0"/>
    </xf>
    <xf numFmtId="0" fontId="0" fillId="4" borderId="17" xfId="0" applyFill="1" applyBorder="1" applyAlignment="1">
      <alignment horizontal="center"/>
    </xf>
    <xf numFmtId="0" fontId="6" fillId="0" borderId="24" xfId="0" applyFont="1" applyBorder="1" applyAlignment="1">
      <alignment horizontal="right" indent="1"/>
    </xf>
    <xf numFmtId="0" fontId="6" fillId="0" borderId="23" xfId="0" applyFont="1" applyBorder="1" applyAlignment="1">
      <alignment horizontal="right" indent="1"/>
    </xf>
    <xf numFmtId="0" fontId="0" fillId="0" borderId="23" xfId="0" applyBorder="1" applyAlignment="1">
      <alignment horizontal="right" indent="1"/>
    </xf>
    <xf numFmtId="0" fontId="7" fillId="3" borderId="17" xfId="5" applyBorder="1" applyProtection="1">
      <protection locked="0"/>
    </xf>
    <xf numFmtId="0" fontId="3" fillId="4" borderId="1" xfId="4" applyFill="1" applyProtection="1"/>
    <xf numFmtId="0" fontId="17" fillId="4" borderId="1" xfId="4" applyFont="1" applyFill="1" applyAlignment="1" applyProtection="1">
      <alignment horizontal="right"/>
    </xf>
    <xf numFmtId="0" fontId="17" fillId="4" borderId="1" xfId="4" applyFont="1" applyFill="1" applyProtection="1"/>
    <xf numFmtId="0" fontId="5" fillId="0" borderId="0" xfId="0" applyFont="1"/>
    <xf numFmtId="0" fontId="5" fillId="0" borderId="0" xfId="0" applyFont="1" applyAlignment="1">
      <alignment vertical="top"/>
    </xf>
    <xf numFmtId="0" fontId="6" fillId="7" borderId="14" xfId="0" applyFont="1" applyFill="1" applyBorder="1"/>
    <xf numFmtId="0" fontId="0" fillId="0" borderId="18" xfId="0" applyBorder="1"/>
    <xf numFmtId="0" fontId="0" fillId="4" borderId="0" xfId="0" applyFill="1" applyAlignment="1">
      <alignment horizontal="right"/>
    </xf>
    <xf numFmtId="0" fontId="3" fillId="0" borderId="1" xfId="4" applyProtection="1"/>
    <xf numFmtId="0" fontId="16" fillId="3" borderId="2" xfId="5" applyFont="1" applyProtection="1">
      <protection locked="0"/>
    </xf>
    <xf numFmtId="0" fontId="16" fillId="3" borderId="2" xfId="5" applyFont="1" applyAlignment="1" applyProtection="1">
      <alignment vertical="center"/>
      <protection locked="0"/>
    </xf>
    <xf numFmtId="0" fontId="24" fillId="2" borderId="2" xfId="6" applyFont="1" applyBorder="1" applyAlignment="1">
      <alignment horizontal="left" vertical="center"/>
    </xf>
    <xf numFmtId="14" fontId="16" fillId="3" borderId="2" xfId="5" applyNumberFormat="1" applyFont="1" applyAlignment="1" applyProtection="1">
      <alignment vertical="center"/>
      <protection locked="0"/>
    </xf>
    <xf numFmtId="0" fontId="0" fillId="0" borderId="0" xfId="1" applyNumberFormat="1" applyFont="1"/>
    <xf numFmtId="0" fontId="4" fillId="2" borderId="3" xfId="6" applyAlignment="1">
      <alignment horizontal="center"/>
    </xf>
    <xf numFmtId="44" fontId="4" fillId="2" borderId="3" xfId="1" applyFont="1" applyFill="1" applyBorder="1"/>
    <xf numFmtId="165" fontId="4" fillId="2" borderId="3" xfId="6" applyNumberFormat="1" applyAlignment="1">
      <alignment horizontal="center"/>
    </xf>
    <xf numFmtId="0" fontId="26" fillId="0" borderId="14" xfId="0" applyFont="1" applyBorder="1"/>
    <xf numFmtId="0" fontId="26" fillId="4" borderId="14" xfId="0" applyFont="1" applyFill="1" applyBorder="1"/>
    <xf numFmtId="0" fontId="19" fillId="4" borderId="15" xfId="0" applyFont="1" applyFill="1" applyBorder="1"/>
    <xf numFmtId="0" fontId="19" fillId="0" borderId="15" xfId="0" applyFont="1" applyBorder="1"/>
    <xf numFmtId="0" fontId="26" fillId="4" borderId="15" xfId="0" applyFont="1" applyFill="1" applyBorder="1"/>
    <xf numFmtId="0" fontId="0" fillId="6" borderId="25" xfId="0" applyFill="1" applyBorder="1"/>
    <xf numFmtId="0" fontId="0" fillId="6" borderId="26" xfId="0" applyFill="1" applyBorder="1"/>
    <xf numFmtId="0" fontId="2" fillId="4" borderId="0" xfId="2" applyFill="1" applyProtection="1">
      <protection locked="0"/>
    </xf>
    <xf numFmtId="44" fontId="0" fillId="0" borderId="8" xfId="1" applyFont="1" applyBorder="1" applyAlignment="1">
      <alignment vertical="center"/>
    </xf>
    <xf numFmtId="0" fontId="0" fillId="0" borderId="8" xfId="0" applyBorder="1" applyAlignment="1">
      <alignment horizontal="center" vertical="center" wrapText="1"/>
    </xf>
    <xf numFmtId="44" fontId="0" fillId="8" borderId="8" xfId="1" applyFont="1" applyFill="1" applyBorder="1" applyAlignment="1">
      <alignment vertical="center"/>
    </xf>
    <xf numFmtId="44" fontId="0" fillId="9" borderId="8" xfId="1" applyFont="1" applyFill="1" applyBorder="1" applyAlignment="1">
      <alignment vertical="center"/>
    </xf>
    <xf numFmtId="44" fontId="0" fillId="10" borderId="8" xfId="1" applyFont="1" applyFill="1" applyBorder="1" applyAlignment="1">
      <alignment vertical="center"/>
    </xf>
    <xf numFmtId="44" fontId="7" fillId="3" borderId="2" xfId="1" applyFont="1" applyFill="1" applyBorder="1" applyProtection="1">
      <protection locked="0"/>
    </xf>
    <xf numFmtId="44" fontId="28" fillId="2" borderId="3" xfId="6" applyNumberFormat="1" applyFont="1"/>
    <xf numFmtId="0" fontId="0" fillId="0" borderId="0" xfId="0" quotePrefix="1"/>
    <xf numFmtId="0" fontId="29" fillId="4" borderId="0" xfId="0" applyFont="1" applyFill="1" applyAlignment="1">
      <alignment horizontal="center"/>
    </xf>
    <xf numFmtId="0" fontId="13" fillId="4" borderId="10" xfId="9" applyFill="1"/>
    <xf numFmtId="44" fontId="0" fillId="0" borderId="8" xfId="1" applyFont="1" applyFill="1" applyBorder="1" applyAlignment="1">
      <alignment vertical="center"/>
    </xf>
    <xf numFmtId="0" fontId="13" fillId="4" borderId="10" xfId="9" applyFill="1" applyAlignment="1">
      <alignment vertical="center"/>
    </xf>
    <xf numFmtId="0" fontId="27" fillId="4" borderId="27" xfId="11" applyFill="1" applyAlignment="1">
      <alignment vertical="center"/>
    </xf>
    <xf numFmtId="0" fontId="27" fillId="4" borderId="27" xfId="11" applyFill="1" applyAlignment="1">
      <alignment vertical="center" wrapText="1"/>
    </xf>
    <xf numFmtId="0" fontId="27" fillId="4" borderId="27" xfId="11" applyFill="1"/>
    <xf numFmtId="0" fontId="18" fillId="4" borderId="28" xfId="10" applyFill="1" applyBorder="1" applyAlignment="1">
      <alignment vertical="center"/>
    </xf>
    <xf numFmtId="0" fontId="18" fillId="4" borderId="0" xfId="10" applyFill="1" applyBorder="1" applyAlignment="1">
      <alignment vertical="center"/>
    </xf>
    <xf numFmtId="0" fontId="6" fillId="0" borderId="8" xfId="0" applyFont="1" applyBorder="1" applyAlignment="1">
      <alignment horizontal="center" wrapText="1"/>
    </xf>
    <xf numFmtId="44" fontId="4" fillId="2" borderId="3" xfId="1" applyFont="1" applyFill="1" applyBorder="1" applyAlignment="1">
      <alignment horizontal="center"/>
    </xf>
    <xf numFmtId="44" fontId="0" fillId="12" borderId="8" xfId="1" applyFont="1" applyFill="1" applyBorder="1" applyAlignment="1">
      <alignment vertical="center"/>
    </xf>
    <xf numFmtId="0" fontId="6" fillId="7" borderId="30" xfId="0" applyFont="1" applyFill="1" applyBorder="1"/>
    <xf numFmtId="0" fontId="7" fillId="3" borderId="2" xfId="5" applyProtection="1">
      <protection locked="0"/>
    </xf>
    <xf numFmtId="0" fontId="0" fillId="4" borderId="0" xfId="0" applyFill="1" applyAlignment="1">
      <alignment horizontal="center"/>
    </xf>
    <xf numFmtId="0" fontId="0" fillId="0" borderId="0" xfId="0" applyAlignment="1">
      <alignment horizontal="center"/>
    </xf>
    <xf numFmtId="14" fontId="0" fillId="4" borderId="0" xfId="0" applyNumberFormat="1" applyFill="1"/>
    <xf numFmtId="4" fontId="0" fillId="0" borderId="0" xfId="0" applyNumberFormat="1"/>
    <xf numFmtId="0" fontId="11" fillId="0" borderId="8" xfId="0" applyFont="1" applyBorder="1" applyAlignment="1">
      <alignment vertical="center" wrapText="1"/>
    </xf>
    <xf numFmtId="0" fontId="6" fillId="14" borderId="8" xfId="14" applyFont="1" applyBorder="1"/>
    <xf numFmtId="0" fontId="6" fillId="14" borderId="8" xfId="14" applyFont="1" applyBorder="1" applyAlignment="1">
      <alignment horizontal="center"/>
    </xf>
    <xf numFmtId="0" fontId="6" fillId="13" borderId="8" xfId="13" applyFont="1" applyBorder="1"/>
    <xf numFmtId="0" fontId="6" fillId="13" borderId="8" xfId="13" applyFont="1" applyBorder="1" applyAlignment="1">
      <alignment horizontal="center"/>
    </xf>
    <xf numFmtId="0" fontId="4" fillId="2" borderId="8" xfId="6" applyBorder="1" applyAlignment="1">
      <alignment horizontal="center" vertical="center"/>
    </xf>
    <xf numFmtId="0" fontId="32" fillId="4" borderId="0" xfId="0" applyFont="1" applyFill="1" applyAlignment="1">
      <alignment horizontal="right" vertical="center"/>
    </xf>
    <xf numFmtId="0" fontId="11" fillId="4" borderId="0" xfId="0" applyFont="1" applyFill="1" applyAlignment="1">
      <alignment vertical="center"/>
    </xf>
    <xf numFmtId="0" fontId="36" fillId="4" borderId="0" xfId="0" applyFont="1" applyFill="1"/>
    <xf numFmtId="0" fontId="7" fillId="3" borderId="8" xfId="5" applyBorder="1" applyAlignment="1" applyProtection="1">
      <alignment horizontal="center" vertical="center"/>
      <protection locked="0"/>
    </xf>
    <xf numFmtId="0" fontId="4" fillId="2" borderId="3" xfId="6" applyAlignment="1">
      <alignment horizontal="center" vertical="center"/>
    </xf>
    <xf numFmtId="0" fontId="4" fillId="2" borderId="3" xfId="6" applyAlignment="1">
      <alignment horizontal="center" vertical="center" wrapText="1"/>
    </xf>
    <xf numFmtId="0" fontId="7" fillId="3" borderId="2" xfId="5" applyAlignment="1" applyProtection="1">
      <alignment horizontal="center" vertical="center"/>
      <protection locked="0"/>
    </xf>
    <xf numFmtId="0" fontId="11" fillId="0" borderId="9" xfId="0" applyFont="1" applyBorder="1" applyAlignment="1">
      <alignment vertical="center" wrapText="1"/>
    </xf>
    <xf numFmtId="0" fontId="7" fillId="3" borderId="17" xfId="5" applyBorder="1" applyAlignment="1" applyProtection="1">
      <alignment horizontal="center" vertical="center"/>
      <protection locked="0"/>
    </xf>
    <xf numFmtId="0" fontId="7" fillId="3" borderId="40" xfId="5" applyBorder="1" applyAlignment="1" applyProtection="1">
      <alignment horizontal="center" vertical="center"/>
      <protection locked="0"/>
    </xf>
    <xf numFmtId="0" fontId="39" fillId="0" borderId="0" xfId="0" applyFont="1"/>
    <xf numFmtId="0" fontId="9" fillId="4" borderId="0" xfId="0" applyFont="1" applyFill="1" applyAlignment="1">
      <alignment horizontal="right"/>
    </xf>
    <xf numFmtId="0" fontId="19" fillId="4" borderId="30" xfId="0" applyFont="1" applyFill="1" applyBorder="1"/>
    <xf numFmtId="0" fontId="19" fillId="4" borderId="0" xfId="0" applyFont="1" applyFill="1"/>
    <xf numFmtId="0" fontId="43" fillId="0" borderId="0" xfId="0" applyFont="1"/>
    <xf numFmtId="0" fontId="0" fillId="0" borderId="0" xfId="0" applyAlignment="1">
      <alignment wrapText="1"/>
    </xf>
    <xf numFmtId="0" fontId="0" fillId="17" borderId="0" xfId="0" applyFill="1"/>
    <xf numFmtId="0" fontId="0" fillId="17" borderId="0" xfId="1" applyNumberFormat="1" applyFont="1" applyFill="1"/>
    <xf numFmtId="0" fontId="6" fillId="0" borderId="0" xfId="0" applyFont="1"/>
    <xf numFmtId="0" fontId="6" fillId="0" borderId="0" xfId="0" applyFont="1" applyAlignment="1">
      <alignment horizontal="right"/>
    </xf>
    <xf numFmtId="0" fontId="0" fillId="19" borderId="41" xfId="0" applyFill="1" applyBorder="1"/>
    <xf numFmtId="0" fontId="0" fillId="0" borderId="41" xfId="0" applyBorder="1"/>
    <xf numFmtId="0" fontId="18" fillId="0" borderId="0" xfId="10" applyBorder="1">
      <alignment horizontal="center" vertical="center" wrapText="1"/>
    </xf>
    <xf numFmtId="0" fontId="27" fillId="0" borderId="0" xfId="12" applyBorder="1" applyAlignment="1">
      <alignment horizontal="left" vertical="center" wrapText="1"/>
    </xf>
    <xf numFmtId="0" fontId="0" fillId="0" borderId="0" xfId="0" applyAlignment="1">
      <alignment vertical="top" wrapText="1"/>
    </xf>
    <xf numFmtId="0" fontId="15" fillId="0" borderId="0" xfId="0" applyFont="1"/>
    <xf numFmtId="0" fontId="4" fillId="2" borderId="3" xfId="6"/>
    <xf numFmtId="0" fontId="7" fillId="0" borderId="0" xfId="5" applyFill="1" applyBorder="1" applyProtection="1"/>
    <xf numFmtId="0" fontId="4" fillId="0" borderId="0" xfId="6" applyFill="1" applyBorder="1" applyAlignment="1" applyProtection="1">
      <alignment horizontal="right"/>
    </xf>
    <xf numFmtId="0" fontId="3" fillId="0" borderId="1" xfId="4" applyFill="1" applyAlignment="1">
      <alignment wrapText="1"/>
    </xf>
    <xf numFmtId="0" fontId="17" fillId="0" borderId="1" xfId="4" applyFont="1" applyFill="1" applyAlignment="1">
      <alignment horizontal="right" wrapText="1"/>
    </xf>
    <xf numFmtId="0" fontId="0" fillId="0" borderId="8" xfId="0" applyBorder="1"/>
    <xf numFmtId="10" fontId="1" fillId="21" borderId="42" xfId="15" applyNumberFormat="1" applyFill="1" applyBorder="1" applyAlignment="1">
      <alignment horizontal="right"/>
    </xf>
    <xf numFmtId="166" fontId="0" fillId="0" borderId="0" xfId="0" applyNumberFormat="1"/>
    <xf numFmtId="0" fontId="0" fillId="0" borderId="43" xfId="0" applyBorder="1"/>
    <xf numFmtId="0" fontId="0" fillId="20" borderId="43" xfId="0" applyFill="1" applyBorder="1"/>
    <xf numFmtId="0" fontId="0" fillId="22" borderId="0" xfId="0" applyFill="1"/>
    <xf numFmtId="166" fontId="0" fillId="22" borderId="0" xfId="0" applyNumberFormat="1" applyFill="1"/>
    <xf numFmtId="0" fontId="46" fillId="0" borderId="0" xfId="0" applyFont="1" applyAlignment="1">
      <alignment horizontal="left" vertical="center" indent="14"/>
    </xf>
    <xf numFmtId="0" fontId="44" fillId="0" borderId="0" xfId="0" applyFont="1" applyAlignment="1">
      <alignment horizontal="left" vertical="center" indent="15"/>
    </xf>
    <xf numFmtId="0" fontId="47" fillId="0" borderId="0" xfId="0" applyFont="1" applyAlignment="1">
      <alignment horizontal="left" vertical="center" indent="15"/>
    </xf>
    <xf numFmtId="0" fontId="45" fillId="0" borderId="0" xfId="0" applyFont="1" applyAlignment="1">
      <alignment horizontal="left" vertical="center"/>
    </xf>
    <xf numFmtId="0" fontId="45" fillId="0" borderId="0" xfId="0" applyFont="1" applyAlignment="1">
      <alignment vertical="center"/>
    </xf>
    <xf numFmtId="0" fontId="48" fillId="0" borderId="0" xfId="0" applyFont="1" applyAlignment="1">
      <alignment horizontal="right" vertical="center"/>
    </xf>
    <xf numFmtId="0" fontId="50" fillId="0" borderId="0" xfId="0" applyFont="1" applyAlignment="1">
      <alignment horizontal="right"/>
    </xf>
    <xf numFmtId="0" fontId="50" fillId="0" borderId="0" xfId="0" applyFont="1" applyAlignment="1">
      <alignment wrapText="1"/>
    </xf>
    <xf numFmtId="0" fontId="49" fillId="0" borderId="0" xfId="0" applyFont="1" applyAlignment="1">
      <alignment horizontal="left"/>
    </xf>
    <xf numFmtId="0" fontId="49" fillId="0" borderId="0" xfId="0" applyFont="1"/>
    <xf numFmtId="0" fontId="2" fillId="0" borderId="0" xfId="2" applyAlignment="1">
      <alignment horizontal="left" vertical="center" wrapText="1"/>
    </xf>
    <xf numFmtId="0" fontId="45" fillId="0" borderId="0" xfId="0" applyFont="1" applyAlignment="1">
      <alignment horizontal="right" vertical="center"/>
    </xf>
    <xf numFmtId="0" fontId="49" fillId="0" borderId="0" xfId="0" applyFont="1" applyAlignment="1">
      <alignment horizontal="right"/>
    </xf>
    <xf numFmtId="0" fontId="6" fillId="4" borderId="0" xfId="0" applyFont="1" applyFill="1" applyAlignment="1">
      <alignment horizontal="right"/>
    </xf>
    <xf numFmtId="166" fontId="12" fillId="2" borderId="2" xfId="8" applyNumberFormat="1" applyAlignment="1">
      <alignment horizontal="center"/>
    </xf>
    <xf numFmtId="166" fontId="0" fillId="0" borderId="0" xfId="1" applyNumberFormat="1" applyFont="1"/>
    <xf numFmtId="0" fontId="5" fillId="0" borderId="0" xfId="0" applyFont="1" applyAlignment="1">
      <alignment vertical="top" wrapText="1"/>
    </xf>
    <xf numFmtId="0" fontId="5" fillId="4" borderId="0" xfId="16" applyFill="1" applyBorder="1" applyProtection="1"/>
    <xf numFmtId="0" fontId="53" fillId="0" borderId="8" xfId="0" applyFont="1" applyBorder="1"/>
    <xf numFmtId="0" fontId="11" fillId="0" borderId="8" xfId="0" applyFont="1" applyBorder="1" applyAlignment="1">
      <alignment horizontal="right"/>
    </xf>
    <xf numFmtId="0" fontId="11" fillId="0" borderId="8" xfId="0" applyFont="1" applyBorder="1"/>
    <xf numFmtId="0" fontId="53" fillId="0" borderId="8" xfId="0" applyFont="1" applyBorder="1" applyAlignment="1">
      <alignment horizontal="right"/>
    </xf>
    <xf numFmtId="0" fontId="0" fillId="0" borderId="44" xfId="0" applyBorder="1"/>
    <xf numFmtId="0" fontId="6" fillId="0" borderId="0" xfId="0" applyFont="1" applyAlignment="1">
      <alignment horizontal="center"/>
    </xf>
    <xf numFmtId="0" fontId="26" fillId="0" borderId="0" xfId="0" applyFont="1" applyAlignment="1">
      <alignment vertical="center"/>
    </xf>
    <xf numFmtId="0" fontId="3" fillId="0" borderId="1" xfId="4"/>
    <xf numFmtId="0" fontId="40" fillId="0" borderId="1" xfId="4" applyFont="1"/>
    <xf numFmtId="0" fontId="0" fillId="0" borderId="45" xfId="0" applyBorder="1"/>
    <xf numFmtId="4" fontId="0" fillId="17" borderId="0" xfId="0" applyNumberFormat="1" applyFill="1"/>
    <xf numFmtId="166" fontId="0" fillId="23" borderId="0" xfId="1" applyNumberFormat="1" applyFont="1" applyFill="1" applyAlignment="1">
      <alignment wrapText="1"/>
    </xf>
    <xf numFmtId="0" fontId="7" fillId="3" borderId="2" xfId="5" applyAlignment="1" applyProtection="1">
      <protection locked="0"/>
    </xf>
    <xf numFmtId="166" fontId="7" fillId="3" borderId="2" xfId="5" applyNumberFormat="1" applyProtection="1">
      <protection locked="0"/>
    </xf>
    <xf numFmtId="0" fontId="0" fillId="4" borderId="0" xfId="0" applyFill="1" applyProtection="1">
      <protection locked="0"/>
    </xf>
    <xf numFmtId="0" fontId="0" fillId="4" borderId="0" xfId="0" applyFill="1" applyProtection="1">
      <protection hidden="1"/>
    </xf>
    <xf numFmtId="0" fontId="0" fillId="4" borderId="0" xfId="0" applyFill="1" applyAlignment="1" applyProtection="1">
      <alignment horizontal="right"/>
      <protection hidden="1"/>
    </xf>
    <xf numFmtId="0" fontId="0" fillId="4" borderId="0" xfId="0" applyFill="1" applyAlignment="1" applyProtection="1">
      <alignment horizontal="center" wrapText="1"/>
      <protection hidden="1"/>
    </xf>
    <xf numFmtId="44" fontId="4" fillId="2" borderId="3" xfId="6" applyNumberFormat="1" applyProtection="1">
      <protection hidden="1"/>
    </xf>
    <xf numFmtId="0" fontId="0" fillId="4" borderId="0" xfId="0" applyFill="1" applyAlignment="1" applyProtection="1">
      <alignment horizontal="center"/>
      <protection hidden="1"/>
    </xf>
    <xf numFmtId="0" fontId="0" fillId="4" borderId="0" xfId="0" applyFill="1" applyAlignment="1" applyProtection="1">
      <alignment horizontal="centerContinuous"/>
      <protection hidden="1"/>
    </xf>
    <xf numFmtId="0" fontId="0" fillId="0" borderId="0" xfId="0" applyAlignment="1" applyProtection="1">
      <alignment horizontal="center"/>
      <protection hidden="1"/>
    </xf>
    <xf numFmtId="0" fontId="4" fillId="2" borderId="3" xfId="6" applyAlignment="1" applyProtection="1">
      <alignment horizontal="center"/>
      <protection hidden="1"/>
    </xf>
    <xf numFmtId="0" fontId="0" fillId="4" borderId="0" xfId="0" applyFill="1" applyAlignment="1" applyProtection="1">
      <alignment horizontal="right" vertical="center"/>
      <protection hidden="1"/>
    </xf>
    <xf numFmtId="44" fontId="4" fillId="2" borderId="3" xfId="6" applyNumberFormat="1" applyAlignment="1" applyProtection="1">
      <alignment vertical="center"/>
      <protection hidden="1"/>
    </xf>
    <xf numFmtId="0" fontId="0" fillId="0" borderId="0" xfId="0" applyProtection="1">
      <protection hidden="1"/>
    </xf>
    <xf numFmtId="0" fontId="27" fillId="4" borderId="14" xfId="12" applyFill="1" applyBorder="1" applyProtection="1">
      <protection locked="0"/>
    </xf>
    <xf numFmtId="0" fontId="0" fillId="0" borderId="0" xfId="0" applyAlignment="1" applyProtection="1">
      <alignment vertical="center"/>
      <protection locked="0"/>
    </xf>
    <xf numFmtId="0" fontId="0" fillId="0" borderId="0" xfId="0" applyAlignment="1" applyProtection="1">
      <alignment horizontal="center"/>
      <protection locked="0"/>
    </xf>
    <xf numFmtId="44" fontId="4" fillId="2" borderId="3" xfId="6" applyNumberFormat="1" applyProtection="1">
      <protection locked="0"/>
    </xf>
    <xf numFmtId="0" fontId="0" fillId="4" borderId="0" xfId="0" applyFill="1" applyAlignment="1" applyProtection="1">
      <alignment horizontal="right"/>
      <protection locked="0"/>
    </xf>
    <xf numFmtId="44" fontId="0" fillId="4" borderId="0" xfId="0" applyNumberFormat="1" applyFill="1" applyProtection="1">
      <protection locked="0"/>
    </xf>
    <xf numFmtId="0" fontId="0" fillId="11" borderId="0" xfId="0" applyFill="1" applyProtection="1">
      <protection locked="0"/>
    </xf>
    <xf numFmtId="0" fontId="0" fillId="4" borderId="0" xfId="0" applyFill="1" applyAlignment="1" applyProtection="1">
      <alignment horizontal="left" indent="1"/>
      <protection locked="0"/>
    </xf>
    <xf numFmtId="0" fontId="27" fillId="4" borderId="27" xfId="11" applyFill="1" applyProtection="1">
      <protection locked="0"/>
    </xf>
    <xf numFmtId="0" fontId="0" fillId="0" borderId="0" xfId="0" applyProtection="1">
      <protection locked="0"/>
    </xf>
    <xf numFmtId="0" fontId="20" fillId="4" borderId="0" xfId="0" applyFont="1" applyFill="1" applyAlignment="1">
      <alignment horizontal="center"/>
    </xf>
    <xf numFmtId="0" fontId="6" fillId="0" borderId="46" xfId="0" applyFont="1" applyBorder="1" applyAlignment="1">
      <alignment horizontal="center" vertical="center" wrapText="1"/>
    </xf>
    <xf numFmtId="0" fontId="6" fillId="0" borderId="47" xfId="0" applyFont="1" applyBorder="1" applyAlignment="1">
      <alignment horizontal="center" vertical="center" wrapText="1"/>
    </xf>
    <xf numFmtId="0" fontId="6" fillId="0" borderId="0" xfId="0" applyFont="1" applyAlignment="1">
      <alignment horizontal="center" vertical="center" wrapText="1"/>
    </xf>
    <xf numFmtId="44" fontId="54" fillId="0" borderId="0" xfId="0" applyNumberFormat="1" applyFont="1" applyAlignment="1">
      <alignment horizontal="right" vertical="center" wrapText="1"/>
    </xf>
    <xf numFmtId="0" fontId="1" fillId="0" borderId="0" xfId="0" applyFont="1" applyAlignment="1">
      <alignment horizontal="justify" vertical="center" wrapText="1"/>
    </xf>
    <xf numFmtId="0" fontId="1" fillId="0" borderId="0" xfId="0" applyFont="1" applyAlignment="1">
      <alignment horizontal="center" vertical="center" wrapText="1"/>
    </xf>
    <xf numFmtId="0" fontId="1" fillId="0" borderId="46" xfId="0" applyFont="1" applyBorder="1" applyAlignment="1">
      <alignment horizontal="justify" vertical="center" wrapText="1"/>
    </xf>
    <xf numFmtId="0" fontId="1" fillId="0" borderId="47" xfId="0" applyFont="1" applyBorder="1" applyAlignment="1">
      <alignment horizontal="center" vertical="center" wrapText="1"/>
    </xf>
    <xf numFmtId="167" fontId="54" fillId="0" borderId="47" xfId="1" applyNumberFormat="1" applyFont="1" applyBorder="1" applyAlignment="1">
      <alignment horizontal="right"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0" fillId="0" borderId="50" xfId="0" applyBorder="1"/>
    <xf numFmtId="0" fontId="0" fillId="0" borderId="46" xfId="0" applyBorder="1" applyAlignment="1">
      <alignment horizontal="center"/>
    </xf>
    <xf numFmtId="0" fontId="0" fillId="0" borderId="51" xfId="0" applyBorder="1"/>
    <xf numFmtId="0" fontId="55" fillId="24" borderId="52" xfId="0" applyFont="1" applyFill="1" applyBorder="1"/>
    <xf numFmtId="0" fontId="55" fillId="24" borderId="53" xfId="0" applyFont="1" applyFill="1" applyBorder="1"/>
    <xf numFmtId="0" fontId="55" fillId="24" borderId="53" xfId="1" applyNumberFormat="1" applyFont="1" applyFill="1" applyBorder="1"/>
    <xf numFmtId="0" fontId="0" fillId="19" borderId="52" xfId="0" applyFill="1" applyBorder="1"/>
    <xf numFmtId="0" fontId="0" fillId="19" borderId="53" xfId="0" applyFill="1" applyBorder="1"/>
    <xf numFmtId="0" fontId="0" fillId="0" borderId="52" xfId="0" applyBorder="1"/>
    <xf numFmtId="0" fontId="0" fillId="0" borderId="53" xfId="0" applyBorder="1"/>
    <xf numFmtId="0" fontId="0" fillId="19" borderId="53" xfId="1" applyNumberFormat="1" applyFont="1" applyFill="1" applyBorder="1"/>
    <xf numFmtId="44" fontId="0" fillId="19" borderId="53" xfId="1" applyFont="1" applyFill="1" applyBorder="1"/>
    <xf numFmtId="0" fontId="0" fillId="0" borderId="53" xfId="1" applyNumberFormat="1" applyFont="1" applyBorder="1"/>
    <xf numFmtId="44" fontId="0" fillId="0" borderId="53" xfId="1" applyFont="1" applyBorder="1"/>
    <xf numFmtId="0" fontId="0" fillId="17" borderId="52" xfId="0" applyFill="1" applyBorder="1"/>
    <xf numFmtId="0" fontId="0" fillId="17" borderId="53" xfId="0" applyFill="1" applyBorder="1"/>
    <xf numFmtId="4" fontId="0" fillId="17" borderId="53" xfId="0" applyNumberFormat="1" applyFill="1" applyBorder="1"/>
    <xf numFmtId="0" fontId="0" fillId="17" borderId="53" xfId="1" applyNumberFormat="1" applyFont="1" applyFill="1" applyBorder="1"/>
    <xf numFmtId="0" fontId="0" fillId="19" borderId="53" xfId="0" applyFill="1" applyBorder="1" applyAlignment="1">
      <alignment wrapText="1"/>
    </xf>
    <xf numFmtId="4" fontId="0" fillId="0" borderId="53" xfId="0" applyNumberFormat="1" applyBorder="1"/>
    <xf numFmtId="0" fontId="0" fillId="0" borderId="53" xfId="0" applyBorder="1" applyAlignment="1">
      <alignment wrapText="1"/>
    </xf>
    <xf numFmtId="4" fontId="0" fillId="19" borderId="53" xfId="0" applyNumberFormat="1" applyFill="1" applyBorder="1"/>
    <xf numFmtId="166" fontId="0" fillId="23" borderId="53" xfId="1" applyNumberFormat="1" applyFont="1" applyFill="1" applyBorder="1" applyAlignment="1">
      <alignment wrapText="1"/>
    </xf>
    <xf numFmtId="0" fontId="0" fillId="0" borderId="51" xfId="1" applyNumberFormat="1" applyFont="1" applyBorder="1"/>
    <xf numFmtId="0" fontId="11" fillId="0" borderId="8" xfId="0" applyFont="1" applyBorder="1" applyAlignment="1">
      <alignment horizontal="center" vertical="center" wrapText="1"/>
    </xf>
    <xf numFmtId="0" fontId="11" fillId="0" borderId="8" xfId="0" applyFont="1" applyBorder="1" applyAlignment="1">
      <alignment horizontal="center" vertical="top" wrapText="1"/>
    </xf>
    <xf numFmtId="0" fontId="11" fillId="11" borderId="8" xfId="0" applyFont="1" applyFill="1" applyBorder="1" applyAlignment="1">
      <alignment horizontal="center" vertical="center" wrapText="1"/>
    </xf>
    <xf numFmtId="0" fontId="11" fillId="11" borderId="8" xfId="0" applyFont="1" applyFill="1" applyBorder="1" applyAlignment="1">
      <alignment horizontal="center" vertical="top" wrapText="1"/>
    </xf>
    <xf numFmtId="0" fontId="0" fillId="11" borderId="0" xfId="0" applyFill="1"/>
    <xf numFmtId="0" fontId="0" fillId="0" borderId="0" xfId="0" applyAlignment="1">
      <alignment horizontal="left" vertical="center" wrapText="1"/>
    </xf>
    <xf numFmtId="0" fontId="19" fillId="0" borderId="0" xfId="0" applyFont="1"/>
    <xf numFmtId="0" fontId="0" fillId="0" borderId="0" xfId="7" applyFont="1" applyFill="1" applyBorder="1" applyAlignment="1">
      <alignment horizontal="left" vertical="center" wrapText="1"/>
    </xf>
    <xf numFmtId="0" fontId="34" fillId="0" borderId="0" xfId="10" applyFont="1" applyBorder="1">
      <alignment horizontal="center" vertical="center" wrapText="1"/>
    </xf>
    <xf numFmtId="0" fontId="0" fillId="0" borderId="0" xfId="7" applyFont="1" applyFill="1" applyBorder="1" applyAlignment="1">
      <alignment horizontal="left" vertical="center"/>
    </xf>
    <xf numFmtId="0" fontId="34" fillId="0" borderId="0" xfId="16" applyFont="1" applyFill="1" applyBorder="1" applyAlignment="1">
      <alignment horizontal="center"/>
    </xf>
    <xf numFmtId="0" fontId="57" fillId="0" borderId="0" xfId="0" applyFont="1"/>
    <xf numFmtId="0" fontId="25" fillId="3" borderId="2" xfId="5" applyFont="1" applyAlignment="1" applyProtection="1">
      <alignment vertical="center" wrapText="1"/>
    </xf>
    <xf numFmtId="0" fontId="2" fillId="0" borderId="0" xfId="2"/>
    <xf numFmtId="0" fontId="61" fillId="0" borderId="0" xfId="0" applyFont="1" applyAlignment="1">
      <alignment horizontal="left" vertical="center" wrapText="1" indent="5"/>
    </xf>
    <xf numFmtId="0" fontId="61" fillId="0" borderId="0" xfId="0" applyFont="1" applyAlignment="1">
      <alignment horizontal="left" vertical="center" indent="5"/>
    </xf>
    <xf numFmtId="0" fontId="63" fillId="0" borderId="0" xfId="0" applyFont="1" applyAlignment="1">
      <alignment vertical="center"/>
    </xf>
    <xf numFmtId="0" fontId="64" fillId="0" borderId="0" xfId="0" applyFont="1" applyAlignment="1">
      <alignment vertical="center"/>
    </xf>
    <xf numFmtId="0" fontId="66" fillId="0" borderId="0" xfId="0" applyFont="1" applyAlignment="1">
      <alignment vertical="center"/>
    </xf>
    <xf numFmtId="0" fontId="67" fillId="0" borderId="0" xfId="0" applyFont="1" applyAlignment="1">
      <alignment vertical="center"/>
    </xf>
    <xf numFmtId="0" fontId="13" fillId="0" borderId="10" xfId="9" applyAlignment="1">
      <alignment vertical="center"/>
    </xf>
    <xf numFmtId="0" fontId="60" fillId="0" borderId="0" xfId="17"/>
    <xf numFmtId="0" fontId="42" fillId="0" borderId="0" xfId="0" applyFont="1"/>
    <xf numFmtId="0" fontId="2" fillId="0" borderId="0" xfId="2" applyAlignment="1">
      <alignment vertical="center"/>
    </xf>
    <xf numFmtId="0" fontId="26" fillId="4" borderId="0" xfId="0" applyFont="1" applyFill="1" applyAlignment="1">
      <alignment vertical="center" wrapText="1"/>
    </xf>
    <xf numFmtId="0" fontId="42" fillId="4" borderId="11" xfId="16" applyFont="1" applyFill="1" applyBorder="1" applyAlignment="1" applyProtection="1">
      <alignment vertical="center"/>
    </xf>
    <xf numFmtId="0" fontId="7" fillId="3" borderId="40" xfId="5" applyBorder="1" applyAlignment="1" applyProtection="1">
      <alignment horizontal="center" vertical="center"/>
    </xf>
    <xf numFmtId="0" fontId="7" fillId="3" borderId="8" xfId="5" applyBorder="1" applyAlignment="1" applyProtection="1">
      <alignment horizontal="center" vertical="center"/>
    </xf>
    <xf numFmtId="0" fontId="4" fillId="2" borderId="3" xfId="6" applyAlignment="1" applyProtection="1">
      <alignment horizontal="center"/>
    </xf>
    <xf numFmtId="0" fontId="6" fillId="4" borderId="0" xfId="0" applyFont="1" applyFill="1" applyAlignment="1">
      <alignment horizontal="center"/>
    </xf>
    <xf numFmtId="0" fontId="0" fillId="16" borderId="0" xfId="0" applyFill="1"/>
    <xf numFmtId="167" fontId="0" fillId="0" borderId="0" xfId="1" applyNumberFormat="1" applyFont="1"/>
    <xf numFmtId="0" fontId="0" fillId="15" borderId="0" xfId="0" applyFill="1" applyAlignment="1">
      <alignment horizontal="center"/>
    </xf>
    <xf numFmtId="167" fontId="0" fillId="4" borderId="0" xfId="1" applyNumberFormat="1" applyFont="1" applyFill="1" applyAlignment="1">
      <alignment horizontal="center"/>
    </xf>
    <xf numFmtId="9" fontId="19" fillId="4" borderId="0" xfId="0" applyNumberFormat="1" applyFont="1" applyFill="1" applyAlignment="1">
      <alignment horizontal="center" vertical="center" wrapText="1"/>
    </xf>
    <xf numFmtId="0" fontId="31" fillId="4" borderId="0" xfId="0" applyFont="1" applyFill="1"/>
    <xf numFmtId="0" fontId="6" fillId="0" borderId="0" xfId="0" applyFont="1" applyAlignment="1">
      <alignment vertical="center" wrapText="1"/>
    </xf>
    <xf numFmtId="0" fontId="27" fillId="4" borderId="0" xfId="12" applyFill="1" applyAlignment="1">
      <alignment horizontal="center"/>
    </xf>
    <xf numFmtId="0" fontId="31" fillId="4" borderId="0" xfId="0" applyFont="1" applyFill="1" applyAlignment="1">
      <alignment horizontal="center" vertical="center" wrapText="1"/>
    </xf>
    <xf numFmtId="0" fontId="5" fillId="5" borderId="0" xfId="16" applyFill="1" applyBorder="1" applyAlignment="1">
      <alignment horizontal="left" vertical="center" wrapText="1" indent="1"/>
    </xf>
    <xf numFmtId="0" fontId="18" fillId="0" borderId="0" xfId="10" applyBorder="1" applyAlignment="1">
      <alignment horizontal="left" vertical="center" wrapText="1" indent="1"/>
    </xf>
    <xf numFmtId="167" fontId="12" fillId="2" borderId="8" xfId="8" applyNumberFormat="1" applyBorder="1" applyAlignment="1">
      <alignment horizontal="center" vertical="center" wrapText="1"/>
    </xf>
    <xf numFmtId="167" fontId="12" fillId="0" borderId="0" xfId="8" applyNumberFormat="1" applyFill="1" applyBorder="1" applyAlignment="1">
      <alignment horizontal="center" vertical="center" wrapText="1"/>
    </xf>
    <xf numFmtId="0" fontId="72" fillId="0" borderId="0" xfId="0" applyFont="1" applyAlignment="1">
      <alignment vertical="center" wrapText="1"/>
    </xf>
    <xf numFmtId="0" fontId="0" fillId="0" borderId="0" xfId="0" applyAlignment="1">
      <alignment vertical="center" wrapText="1"/>
    </xf>
    <xf numFmtId="0" fontId="58" fillId="0" borderId="67" xfId="0" applyFont="1" applyBorder="1"/>
    <xf numFmtId="0" fontId="0" fillId="0" borderId="68" xfId="0" applyBorder="1"/>
    <xf numFmtId="0" fontId="0" fillId="0" borderId="49" xfId="0" applyBorder="1"/>
    <xf numFmtId="0" fontId="0" fillId="0" borderId="69" xfId="0" applyBorder="1"/>
    <xf numFmtId="0" fontId="0" fillId="0" borderId="70" xfId="0" applyBorder="1"/>
    <xf numFmtId="0" fontId="0" fillId="0" borderId="72" xfId="0" applyBorder="1"/>
    <xf numFmtId="0" fontId="0" fillId="0" borderId="73" xfId="0" applyBorder="1"/>
    <xf numFmtId="0" fontId="2" fillId="0" borderId="0" xfId="2" applyBorder="1"/>
    <xf numFmtId="0" fontId="0" fillId="0" borderId="71" xfId="0" applyBorder="1"/>
    <xf numFmtId="0" fontId="26" fillId="0" borderId="0" xfId="0" applyFont="1" applyAlignment="1">
      <alignment horizontal="center"/>
    </xf>
    <xf numFmtId="0" fontId="11" fillId="15" borderId="74" xfId="0" applyFont="1" applyFill="1" applyBorder="1" applyAlignment="1">
      <alignment vertical="center" wrapText="1"/>
    </xf>
    <xf numFmtId="0" fontId="7" fillId="3" borderId="75" xfId="5" applyBorder="1" applyAlignment="1" applyProtection="1">
      <alignment horizontal="center" vertical="center"/>
      <protection locked="0"/>
    </xf>
    <xf numFmtId="0" fontId="4" fillId="2" borderId="74" xfId="6" applyBorder="1" applyAlignment="1">
      <alignment horizontal="center" vertical="center"/>
    </xf>
    <xf numFmtId="0" fontId="32" fillId="4" borderId="59" xfId="0" applyFont="1" applyFill="1" applyBorder="1" applyAlignment="1">
      <alignment vertical="center" wrapText="1"/>
    </xf>
    <xf numFmtId="0" fontId="32" fillId="4" borderId="18" xfId="0" applyFont="1" applyFill="1" applyBorder="1"/>
    <xf numFmtId="0" fontId="35" fillId="4" borderId="60" xfId="0" applyFont="1" applyFill="1" applyBorder="1"/>
    <xf numFmtId="0" fontId="33" fillId="2" borderId="8" xfId="8" applyFont="1" applyBorder="1" applyAlignment="1">
      <alignment horizontal="center" vertical="center"/>
    </xf>
    <xf numFmtId="0" fontId="0" fillId="16" borderId="0" xfId="0" applyFill="1" applyAlignment="1">
      <alignment horizontal="center" vertical="center" wrapText="1"/>
    </xf>
    <xf numFmtId="0" fontId="7" fillId="7" borderId="3" xfId="6" applyFont="1" applyFill="1" applyAlignment="1" applyProtection="1">
      <alignment horizontal="left" indent="1"/>
    </xf>
    <xf numFmtId="164" fontId="7" fillId="7" borderId="3" xfId="6" applyNumberFormat="1" applyFont="1" applyFill="1" applyAlignment="1" applyProtection="1">
      <alignment horizontal="left" indent="1"/>
    </xf>
    <xf numFmtId="0" fontId="0" fillId="15" borderId="0" xfId="0" applyFill="1"/>
    <xf numFmtId="0" fontId="0" fillId="15" borderId="0" xfId="1" applyNumberFormat="1" applyFont="1" applyFill="1"/>
    <xf numFmtId="47" fontId="0" fillId="0" borderId="0" xfId="0" applyNumberFormat="1"/>
    <xf numFmtId="167" fontId="0" fillId="0" borderId="0" xfId="0" applyNumberFormat="1"/>
    <xf numFmtId="167" fontId="0" fillId="16" borderId="0" xfId="0" applyNumberFormat="1" applyFill="1"/>
    <xf numFmtId="0" fontId="7" fillId="3" borderId="2" xfId="5" applyAlignment="1" applyProtection="1">
      <alignment horizontal="center"/>
      <protection locked="0"/>
    </xf>
    <xf numFmtId="0" fontId="25" fillId="0" borderId="3" xfId="6" applyFont="1" applyFill="1" applyAlignment="1">
      <alignment vertical="center"/>
    </xf>
    <xf numFmtId="9" fontId="0" fillId="0" borderId="0" xfId="19" applyFont="1"/>
    <xf numFmtId="0" fontId="79" fillId="26" borderId="77" xfId="0" applyFont="1" applyFill="1" applyBorder="1" applyAlignment="1">
      <alignment horizontal="center" vertical="center" wrapText="1"/>
    </xf>
    <xf numFmtId="0" fontId="79" fillId="26" borderId="78" xfId="0" applyFont="1" applyFill="1" applyBorder="1" applyAlignment="1">
      <alignment horizontal="center" vertical="center" wrapText="1"/>
    </xf>
    <xf numFmtId="3" fontId="79" fillId="26" borderId="78" xfId="0" applyNumberFormat="1" applyFont="1" applyFill="1" applyBorder="1" applyAlignment="1">
      <alignment horizontal="center" vertical="center" wrapText="1"/>
    </xf>
    <xf numFmtId="3" fontId="79" fillId="26" borderId="78" xfId="18" applyNumberFormat="1" applyFont="1" applyFill="1" applyBorder="1" applyAlignment="1">
      <alignment horizontal="center" vertical="center" wrapText="1"/>
    </xf>
    <xf numFmtId="165" fontId="79" fillId="26" borderId="78" xfId="19" applyNumberFormat="1" applyFont="1" applyFill="1" applyBorder="1" applyAlignment="1">
      <alignment horizontal="center" vertical="center" wrapText="1"/>
    </xf>
    <xf numFmtId="165" fontId="79" fillId="26" borderId="78" xfId="0" applyNumberFormat="1" applyFont="1" applyFill="1" applyBorder="1" applyAlignment="1">
      <alignment horizontal="center" vertical="center" wrapText="1"/>
    </xf>
    <xf numFmtId="3" fontId="79" fillId="26" borderId="79" xfId="18" applyNumberFormat="1" applyFont="1" applyFill="1" applyBorder="1" applyAlignment="1">
      <alignment horizontal="center" vertical="center" wrapText="1"/>
    </xf>
    <xf numFmtId="0" fontId="26" fillId="0" borderId="0" xfId="0" applyFont="1"/>
    <xf numFmtId="3" fontId="26" fillId="0" borderId="0" xfId="0" applyNumberFormat="1" applyFont="1"/>
    <xf numFmtId="165" fontId="26" fillId="0" borderId="0" xfId="0" applyNumberFormat="1" applyFont="1"/>
    <xf numFmtId="10" fontId="0" fillId="0" borderId="0" xfId="19" applyNumberFormat="1" applyFont="1"/>
    <xf numFmtId="0" fontId="71" fillId="16" borderId="0" xfId="0" applyFont="1" applyFill="1" applyAlignment="1">
      <alignment horizontal="center"/>
    </xf>
    <xf numFmtId="0" fontId="32" fillId="16" borderId="0" xfId="0" applyFont="1" applyFill="1" applyAlignment="1">
      <alignment horizontal="center" vertical="top"/>
    </xf>
    <xf numFmtId="0" fontId="0" fillId="0" borderId="0" xfId="0" applyAlignment="1">
      <alignment vertical="center" wrapText="1"/>
    </xf>
    <xf numFmtId="0" fontId="6" fillId="0" borderId="0" xfId="0" applyFont="1"/>
    <xf numFmtId="0" fontId="0" fillId="0" borderId="0" xfId="0"/>
    <xf numFmtId="0" fontId="39" fillId="0" borderId="69" xfId="0" applyFont="1" applyBorder="1" applyAlignment="1">
      <alignment horizontal="center" vertical="center" wrapText="1"/>
    </xf>
    <xf numFmtId="0" fontId="39" fillId="0" borderId="0" xfId="0" applyFont="1" applyAlignment="1">
      <alignment horizontal="center" vertical="center"/>
    </xf>
    <xf numFmtId="0" fontId="39" fillId="0" borderId="70" xfId="0" applyFont="1" applyBorder="1" applyAlignment="1">
      <alignment horizontal="center" vertical="center"/>
    </xf>
    <xf numFmtId="0" fontId="59" fillId="0" borderId="69" xfId="2" applyFont="1" applyBorder="1" applyAlignment="1">
      <alignment horizontal="center"/>
    </xf>
    <xf numFmtId="0" fontId="59" fillId="0" borderId="0" xfId="2" applyFont="1" applyBorder="1" applyAlignment="1">
      <alignment horizontal="center"/>
    </xf>
    <xf numFmtId="0" fontId="59" fillId="0" borderId="70" xfId="2" applyFont="1" applyBorder="1" applyAlignment="1">
      <alignment horizontal="center"/>
    </xf>
    <xf numFmtId="0" fontId="73" fillId="0" borderId="72" xfId="2" applyFont="1" applyBorder="1" applyAlignment="1">
      <alignment horizontal="center"/>
    </xf>
    <xf numFmtId="0" fontId="78" fillId="0" borderId="50" xfId="2" applyFont="1" applyBorder="1" applyAlignment="1">
      <alignment horizontal="center" vertical="center" wrapText="1"/>
    </xf>
    <xf numFmtId="0" fontId="78" fillId="0" borderId="76" xfId="2" applyFont="1" applyBorder="1" applyAlignment="1">
      <alignment horizontal="center" vertical="center" wrapText="1"/>
    </xf>
    <xf numFmtId="0" fontId="78" fillId="0" borderId="47" xfId="2" applyFont="1" applyBorder="1" applyAlignment="1">
      <alignment horizontal="center" vertical="center" wrapText="1"/>
    </xf>
    <xf numFmtId="0" fontId="7" fillId="3" borderId="2" xfId="5" applyAlignment="1" applyProtection="1">
      <protection locked="0"/>
    </xf>
    <xf numFmtId="0" fontId="42" fillId="4" borderId="35" xfId="10" applyFont="1" applyFill="1" applyBorder="1">
      <alignment horizontal="center" vertical="center" wrapText="1"/>
    </xf>
    <xf numFmtId="0" fontId="42" fillId="4" borderId="36" xfId="10" applyFont="1" applyFill="1" applyBorder="1">
      <alignment horizontal="center" vertical="center" wrapText="1"/>
    </xf>
    <xf numFmtId="0" fontId="42" fillId="4" borderId="37" xfId="10" applyFont="1" applyFill="1" applyBorder="1">
      <alignment horizontal="center" vertical="center" wrapText="1"/>
    </xf>
    <xf numFmtId="164" fontId="7" fillId="25" borderId="22" xfId="5" applyNumberFormat="1" applyFill="1" applyBorder="1" applyAlignment="1" applyProtection="1">
      <alignment horizontal="left" indent="1"/>
      <protection locked="0"/>
    </xf>
    <xf numFmtId="164" fontId="7" fillId="25" borderId="12" xfId="5" applyNumberFormat="1" applyFill="1" applyBorder="1" applyAlignment="1" applyProtection="1">
      <alignment horizontal="left" indent="1"/>
      <protection locked="0"/>
    </xf>
    <xf numFmtId="164" fontId="7" fillId="25" borderId="23" xfId="5" applyNumberFormat="1" applyFill="1" applyBorder="1" applyAlignment="1" applyProtection="1">
      <alignment horizontal="left" indent="1"/>
      <protection locked="0"/>
    </xf>
    <xf numFmtId="0" fontId="31" fillId="4" borderId="0" xfId="0" applyFont="1" applyFill="1" applyAlignment="1">
      <alignment horizontal="center" vertical="center" wrapText="1"/>
    </xf>
    <xf numFmtId="0" fontId="7" fillId="25" borderId="31" xfId="5" applyFill="1" applyBorder="1" applyAlignment="1" applyProtection="1">
      <alignment horizontal="left" indent="1"/>
      <protection locked="0"/>
    </xf>
    <xf numFmtId="0" fontId="7" fillId="25" borderId="32" xfId="5" applyFill="1" applyBorder="1" applyAlignment="1" applyProtection="1">
      <alignment horizontal="left" indent="1"/>
      <protection locked="0"/>
    </xf>
    <xf numFmtId="0" fontId="7" fillId="25" borderId="33" xfId="5" applyFill="1" applyBorder="1" applyAlignment="1" applyProtection="1">
      <alignment horizontal="left" indent="1"/>
      <protection locked="0"/>
    </xf>
    <xf numFmtId="0" fontId="7" fillId="25" borderId="22" xfId="5" applyFill="1" applyBorder="1" applyAlignment="1" applyProtection="1">
      <alignment horizontal="left" indent="1"/>
    </xf>
    <xf numFmtId="0" fontId="7" fillId="25" borderId="12" xfId="5" applyFill="1" applyBorder="1" applyAlignment="1" applyProtection="1">
      <alignment horizontal="left" indent="1"/>
    </xf>
    <xf numFmtId="0" fontId="7" fillId="25" borderId="23" xfId="5" applyFill="1" applyBorder="1" applyAlignment="1" applyProtection="1">
      <alignment horizontal="left" indent="1"/>
    </xf>
    <xf numFmtId="0" fontId="2" fillId="25" borderId="22" xfId="2" applyFill="1" applyBorder="1" applyAlignment="1" applyProtection="1">
      <alignment horizontal="left" indent="1"/>
      <protection locked="0"/>
    </xf>
    <xf numFmtId="0" fontId="7" fillId="25" borderId="12" xfId="5" applyFill="1" applyBorder="1" applyAlignment="1" applyProtection="1">
      <alignment horizontal="left" indent="1"/>
      <protection locked="0"/>
    </xf>
    <xf numFmtId="0" fontId="7" fillId="25" borderId="23" xfId="5" applyFill="1" applyBorder="1" applyAlignment="1" applyProtection="1">
      <alignment horizontal="left" indent="1"/>
      <protection locked="0"/>
    </xf>
    <xf numFmtId="0" fontId="0" fillId="5" borderId="4" xfId="7" applyFont="1" applyAlignment="1">
      <alignment vertical="center" wrapText="1"/>
    </xf>
    <xf numFmtId="0" fontId="18" fillId="0" borderId="34" xfId="10" applyBorder="1">
      <alignment horizontal="center" vertical="center" wrapText="1"/>
    </xf>
    <xf numFmtId="0" fontId="0" fillId="5" borderId="4" xfId="7" applyFont="1" applyAlignment="1">
      <alignment wrapText="1"/>
    </xf>
    <xf numFmtId="0" fontId="0" fillId="4" borderId="0" xfId="0" applyFill="1" applyAlignment="1">
      <alignment horizontal="center"/>
    </xf>
    <xf numFmtId="0" fontId="0" fillId="4" borderId="0" xfId="0" applyFill="1" applyAlignment="1">
      <alignment horizontal="left" wrapText="1"/>
    </xf>
    <xf numFmtId="0" fontId="0" fillId="0" borderId="0" xfId="0" applyAlignment="1">
      <alignment horizontal="left" vertical="top" wrapText="1"/>
    </xf>
    <xf numFmtId="0" fontId="7" fillId="3" borderId="2" xfId="5" applyAlignment="1" applyProtection="1">
      <alignment horizontal="left" vertical="top" wrapText="1"/>
      <protection locked="0"/>
    </xf>
    <xf numFmtId="0" fontId="70" fillId="5" borderId="4" xfId="2" applyFont="1" applyFill="1" applyBorder="1" applyAlignment="1">
      <alignment vertical="center" wrapText="1"/>
    </xf>
    <xf numFmtId="0" fontId="0" fillId="4" borderId="0" xfId="0" applyFill="1" applyAlignment="1">
      <alignment horizontal="right"/>
    </xf>
    <xf numFmtId="0" fontId="0" fillId="0" borderId="29" xfId="0" applyBorder="1" applyAlignment="1" applyProtection="1">
      <alignment horizontal="center"/>
      <protection locked="0"/>
    </xf>
    <xf numFmtId="0" fontId="7" fillId="3" borderId="22" xfId="5" applyBorder="1" applyAlignment="1" applyProtection="1">
      <protection locked="0"/>
    </xf>
    <xf numFmtId="0" fontId="7" fillId="3" borderId="23" xfId="5" applyBorder="1" applyAlignment="1" applyProtection="1">
      <protection locked="0"/>
    </xf>
    <xf numFmtId="0" fontId="0" fillId="5" borderId="4" xfId="7" applyFont="1" applyAlignment="1"/>
    <xf numFmtId="0" fontId="0" fillId="0" borderId="13" xfId="0" applyBorder="1" applyProtection="1">
      <protection locked="0"/>
    </xf>
    <xf numFmtId="0" fontId="0" fillId="0" borderId="0" xfId="0" applyAlignment="1" applyProtection="1">
      <alignment horizontal="center"/>
      <protection locked="0"/>
    </xf>
    <xf numFmtId="0" fontId="0" fillId="5" borderId="4" xfId="7" applyFont="1" applyAlignment="1" applyProtection="1">
      <alignment wrapText="1"/>
      <protection locked="0"/>
    </xf>
    <xf numFmtId="0" fontId="27" fillId="4" borderId="0" xfId="12" applyFill="1" applyAlignment="1">
      <alignment horizontal="center"/>
    </xf>
    <xf numFmtId="0" fontId="0" fillId="0" borderId="16" xfId="0" applyBorder="1" applyAlignment="1">
      <alignment horizontal="left" vertical="center" wrapText="1"/>
    </xf>
    <xf numFmtId="0" fontId="0" fillId="5" borderId="54" xfId="7" applyFont="1" applyBorder="1" applyAlignment="1">
      <alignment horizontal="left" vertical="center" wrapText="1"/>
    </xf>
    <xf numFmtId="0" fontId="0" fillId="5" borderId="55" xfId="7" applyFont="1" applyBorder="1" applyAlignment="1">
      <alignment horizontal="left" vertical="center" wrapText="1"/>
    </xf>
    <xf numFmtId="0" fontId="0" fillId="5" borderId="66" xfId="7" applyFont="1" applyBorder="1" applyAlignment="1">
      <alignment horizontal="left" vertical="center" wrapText="1"/>
    </xf>
    <xf numFmtId="0" fontId="0" fillId="5" borderId="56" xfId="7" applyFont="1" applyBorder="1" applyAlignment="1">
      <alignment horizontal="left" vertical="center" wrapText="1"/>
    </xf>
    <xf numFmtId="0" fontId="42" fillId="0" borderId="61" xfId="10" applyFont="1" applyBorder="1" applyAlignment="1">
      <alignment horizontal="center" vertical="top" wrapText="1"/>
    </xf>
    <xf numFmtId="0" fontId="69" fillId="0" borderId="62" xfId="10" applyFont="1" applyBorder="1" applyAlignment="1">
      <alignment horizontal="center" vertical="top" wrapText="1"/>
    </xf>
    <xf numFmtId="0" fontId="69" fillId="0" borderId="63" xfId="10" applyFont="1" applyBorder="1" applyAlignment="1">
      <alignment horizontal="center" vertical="top" wrapText="1"/>
    </xf>
    <xf numFmtId="0" fontId="75" fillId="25" borderId="57" xfId="6" applyFont="1" applyFill="1" applyBorder="1" applyAlignment="1" applyProtection="1">
      <alignment horizontal="center" vertical="top" wrapText="1"/>
      <protection locked="0"/>
    </xf>
    <xf numFmtId="0" fontId="75" fillId="25" borderId="16" xfId="6" applyFont="1" applyFill="1" applyBorder="1" applyAlignment="1" applyProtection="1">
      <alignment horizontal="center" vertical="top" wrapText="1"/>
      <protection locked="0"/>
    </xf>
    <xf numFmtId="0" fontId="75" fillId="25" borderId="58" xfId="6" applyFont="1" applyFill="1" applyBorder="1" applyAlignment="1" applyProtection="1">
      <alignment horizontal="center" vertical="top" wrapText="1"/>
      <protection locked="0"/>
    </xf>
    <xf numFmtId="0" fontId="75" fillId="25" borderId="38" xfId="6" applyFont="1" applyFill="1" applyBorder="1" applyAlignment="1" applyProtection="1">
      <alignment horizontal="center" vertical="top" wrapText="1"/>
      <protection locked="0"/>
    </xf>
    <xf numFmtId="0" fontId="75" fillId="25" borderId="14" xfId="6" applyFont="1" applyFill="1" applyBorder="1" applyAlignment="1" applyProtection="1">
      <alignment horizontal="center" vertical="top" wrapText="1"/>
      <protection locked="0"/>
    </xf>
    <xf numFmtId="0" fontId="75" fillId="25" borderId="39" xfId="6" applyFont="1" applyFill="1" applyBorder="1" applyAlignment="1" applyProtection="1">
      <alignment horizontal="center" vertical="top" wrapText="1"/>
      <protection locked="0"/>
    </xf>
    <xf numFmtId="0" fontId="68" fillId="4" borderId="0" xfId="0" applyFont="1" applyFill="1" applyAlignment="1">
      <alignment horizontal="left" vertical="top" wrapText="1"/>
    </xf>
    <xf numFmtId="0" fontId="2" fillId="0" borderId="0" xfId="2" applyAlignment="1">
      <alignment horizontal="center"/>
    </xf>
    <xf numFmtId="0" fontId="76" fillId="0" borderId="16" xfId="12" applyFont="1" applyBorder="1" applyAlignment="1">
      <alignment horizontal="left" wrapText="1"/>
    </xf>
    <xf numFmtId="0" fontId="31" fillId="4" borderId="0" xfId="0" applyFont="1" applyFill="1" applyAlignment="1">
      <alignment horizontal="center"/>
    </xf>
    <xf numFmtId="0" fontId="0" fillId="0" borderId="57" xfId="7" applyFont="1" applyFill="1" applyBorder="1" applyAlignment="1">
      <alignment horizontal="center" vertical="center" wrapText="1"/>
    </xf>
    <xf numFmtId="0" fontId="0" fillId="0" borderId="16" xfId="7" applyFont="1" applyFill="1" applyBorder="1" applyAlignment="1">
      <alignment horizontal="center" vertical="center" wrapText="1"/>
    </xf>
    <xf numFmtId="0" fontId="0" fillId="0" borderId="58" xfId="7" applyFont="1" applyFill="1" applyBorder="1" applyAlignment="1">
      <alignment horizontal="center" vertical="center" wrapText="1"/>
    </xf>
    <xf numFmtId="0" fontId="0" fillId="0" borderId="64" xfId="7" applyFont="1" applyFill="1" applyBorder="1" applyAlignment="1">
      <alignment horizontal="center" vertical="center" wrapText="1"/>
    </xf>
    <xf numFmtId="0" fontId="0" fillId="0" borderId="0" xfId="7" applyFont="1" applyFill="1" applyBorder="1" applyAlignment="1">
      <alignment horizontal="center" vertical="center" wrapText="1"/>
    </xf>
    <xf numFmtId="0" fontId="0" fillId="0" borderId="65" xfId="7" applyFont="1" applyFill="1" applyBorder="1" applyAlignment="1">
      <alignment horizontal="center" vertical="center" wrapText="1"/>
    </xf>
    <xf numFmtId="0" fontId="0" fillId="0" borderId="38" xfId="7" applyFont="1" applyFill="1" applyBorder="1" applyAlignment="1">
      <alignment horizontal="center" vertical="center" wrapText="1"/>
    </xf>
    <xf numFmtId="0" fontId="0" fillId="0" borderId="14" xfId="7" applyFont="1" applyFill="1" applyBorder="1" applyAlignment="1">
      <alignment horizontal="center" vertical="center" wrapText="1"/>
    </xf>
    <xf numFmtId="0" fontId="0" fillId="0" borderId="39" xfId="7" applyFont="1" applyFill="1" applyBorder="1" applyAlignment="1">
      <alignment horizontal="center" vertical="center" wrapText="1"/>
    </xf>
    <xf numFmtId="0" fontId="6" fillId="0" borderId="54" xfId="7" applyFont="1" applyFill="1" applyBorder="1" applyAlignment="1">
      <alignment horizontal="center" vertical="center" wrapText="1"/>
    </xf>
    <xf numFmtId="0" fontId="6" fillId="0" borderId="55" xfId="7" applyFont="1" applyFill="1" applyBorder="1" applyAlignment="1">
      <alignment horizontal="center" vertical="center" wrapText="1"/>
    </xf>
    <xf numFmtId="0" fontId="6" fillId="0" borderId="56" xfId="7" applyFont="1" applyFill="1" applyBorder="1" applyAlignment="1">
      <alignment horizontal="center" vertical="center" wrapText="1"/>
    </xf>
    <xf numFmtId="0" fontId="26" fillId="4" borderId="57" xfId="0" applyFont="1" applyFill="1" applyBorder="1" applyAlignment="1" applyProtection="1">
      <alignment horizontal="center" vertical="top" wrapText="1"/>
      <protection locked="0"/>
    </xf>
    <xf numFmtId="0" fontId="26" fillId="4" borderId="16" xfId="0" applyFont="1" applyFill="1" applyBorder="1" applyAlignment="1" applyProtection="1">
      <alignment horizontal="center" vertical="top" wrapText="1"/>
      <protection locked="0"/>
    </xf>
    <xf numFmtId="0" fontId="26" fillId="4" borderId="58" xfId="0" applyFont="1" applyFill="1" applyBorder="1" applyAlignment="1" applyProtection="1">
      <alignment horizontal="center" vertical="top" wrapText="1"/>
      <protection locked="0"/>
    </xf>
    <xf numFmtId="0" fontId="26" fillId="4" borderId="64" xfId="0" applyFont="1" applyFill="1" applyBorder="1" applyAlignment="1" applyProtection="1">
      <alignment horizontal="center" vertical="top" wrapText="1"/>
      <protection locked="0"/>
    </xf>
    <xf numFmtId="0" fontId="26" fillId="4" borderId="0" xfId="0" applyFont="1" applyFill="1" applyAlignment="1" applyProtection="1">
      <alignment horizontal="center" vertical="top" wrapText="1"/>
      <protection locked="0"/>
    </xf>
    <xf numFmtId="0" fontId="26" fillId="4" borderId="65" xfId="0" applyFont="1" applyFill="1" applyBorder="1" applyAlignment="1" applyProtection="1">
      <alignment horizontal="center" vertical="top" wrapText="1"/>
      <protection locked="0"/>
    </xf>
    <xf numFmtId="0" fontId="26" fillId="4" borderId="14" xfId="0" applyFont="1" applyFill="1" applyBorder="1" applyAlignment="1" applyProtection="1">
      <alignment horizontal="center" vertical="top" wrapText="1"/>
      <protection locked="0"/>
    </xf>
    <xf numFmtId="0" fontId="26" fillId="4" borderId="39" xfId="0" applyFont="1" applyFill="1" applyBorder="1" applyAlignment="1" applyProtection="1">
      <alignment horizontal="center" vertical="top" wrapText="1"/>
      <protection locked="0"/>
    </xf>
    <xf numFmtId="0" fontId="18" fillId="0" borderId="54" xfId="10" applyBorder="1">
      <alignment horizontal="center" vertical="center" wrapText="1"/>
    </xf>
    <xf numFmtId="0" fontId="18" fillId="0" borderId="55" xfId="10" applyBorder="1">
      <alignment horizontal="center" vertical="center" wrapText="1"/>
    </xf>
    <xf numFmtId="0" fontId="18" fillId="0" borderId="66" xfId="10" applyBorder="1">
      <alignment horizontal="center" vertical="center" wrapText="1"/>
    </xf>
    <xf numFmtId="0" fontId="18" fillId="0" borderId="56" xfId="10" applyBorder="1">
      <alignment horizontal="center" vertical="center" wrapText="1"/>
    </xf>
    <xf numFmtId="0" fontId="42" fillId="0" borderId="54" xfId="10" applyFont="1" applyBorder="1">
      <alignment horizontal="center" vertical="center" wrapText="1"/>
    </xf>
    <xf numFmtId="0" fontId="42" fillId="0" borderId="55" xfId="10" applyFont="1" applyBorder="1">
      <alignment horizontal="center" vertical="center" wrapText="1"/>
    </xf>
    <xf numFmtId="0" fontId="42" fillId="0" borderId="66" xfId="10" applyFont="1" applyBorder="1">
      <alignment horizontal="center" vertical="center" wrapText="1"/>
    </xf>
    <xf numFmtId="0" fontId="42" fillId="0" borderId="56" xfId="10" applyFont="1" applyBorder="1">
      <alignment horizontal="center" vertical="center" wrapText="1"/>
    </xf>
    <xf numFmtId="0" fontId="39" fillId="5" borderId="0" xfId="7" applyFont="1" applyBorder="1" applyAlignment="1">
      <alignment horizontal="left" vertical="center" wrapText="1"/>
    </xf>
    <xf numFmtId="0" fontId="0" fillId="5" borderId="0" xfId="7" applyFont="1" applyBorder="1" applyAlignment="1">
      <alignment horizontal="left" vertical="center" wrapText="1"/>
    </xf>
    <xf numFmtId="0" fontId="0" fillId="15" borderId="0" xfId="0" applyFill="1" applyAlignment="1">
      <alignment horizontal="center" vertical="center" wrapText="1"/>
    </xf>
    <xf numFmtId="0" fontId="18" fillId="0" borderId="35" xfId="10" applyBorder="1" applyAlignment="1">
      <alignment horizontal="left" vertical="center" wrapText="1" indent="1"/>
    </xf>
    <xf numFmtId="0" fontId="18" fillId="0" borderId="36" xfId="10" applyBorder="1" applyAlignment="1">
      <alignment horizontal="left" vertical="center" wrapText="1" indent="1"/>
    </xf>
    <xf numFmtId="0" fontId="18" fillId="0" borderId="37" xfId="10" applyBorder="1" applyAlignment="1">
      <alignment horizontal="left" vertical="center" wrapText="1" indent="1"/>
    </xf>
    <xf numFmtId="0" fontId="0" fillId="5" borderId="59" xfId="7" applyFont="1" applyBorder="1" applyAlignment="1">
      <alignment horizontal="left" vertical="center" wrapText="1"/>
    </xf>
    <xf numFmtId="0" fontId="0" fillId="5" borderId="18" xfId="7" applyFont="1" applyBorder="1" applyAlignment="1">
      <alignment horizontal="left" vertical="center" wrapText="1"/>
    </xf>
    <xf numFmtId="0" fontId="0" fillId="5" borderId="60" xfId="7" applyFont="1" applyBorder="1" applyAlignment="1">
      <alignment horizontal="left" vertical="center" wrapText="1"/>
    </xf>
    <xf numFmtId="0" fontId="5" fillId="5" borderId="35" xfId="16" applyFill="1" applyBorder="1" applyAlignment="1">
      <alignment horizontal="left" vertical="center" wrapText="1" indent="1"/>
    </xf>
    <xf numFmtId="0" fontId="5" fillId="5" borderId="36" xfId="16" applyFill="1" applyBorder="1" applyAlignment="1">
      <alignment horizontal="left" vertical="center" wrapText="1" indent="1"/>
    </xf>
    <xf numFmtId="0" fontId="5" fillId="5" borderId="37" xfId="16" applyFill="1" applyBorder="1" applyAlignment="1">
      <alignment horizontal="left" vertical="center" wrapText="1" indent="1"/>
    </xf>
    <xf numFmtId="0" fontId="7" fillId="3" borderId="59" xfId="5" applyBorder="1" applyAlignment="1" applyProtection="1">
      <alignment horizontal="center" vertical="center" wrapText="1"/>
      <protection locked="0"/>
    </xf>
    <xf numFmtId="0" fontId="7" fillId="3" borderId="18" xfId="5" applyBorder="1" applyAlignment="1" applyProtection="1">
      <alignment horizontal="center" vertical="center" wrapText="1"/>
      <protection locked="0"/>
    </xf>
    <xf numFmtId="0" fontId="7" fillId="3" borderId="60" xfId="5" applyBorder="1" applyAlignment="1" applyProtection="1">
      <alignment horizontal="center" vertical="center" wrapText="1"/>
      <protection locked="0"/>
    </xf>
    <xf numFmtId="0" fontId="7" fillId="3" borderId="22" xfId="5" applyBorder="1" applyAlignment="1" applyProtection="1">
      <alignment horizontal="center" vertical="center" wrapText="1"/>
      <protection locked="0"/>
    </xf>
    <xf numFmtId="0" fontId="7" fillId="3" borderId="12" xfId="5" applyBorder="1" applyAlignment="1" applyProtection="1">
      <alignment horizontal="center" vertical="center" wrapText="1"/>
      <protection locked="0"/>
    </xf>
    <xf numFmtId="0" fontId="7" fillId="3" borderId="23" xfId="5" applyBorder="1" applyAlignment="1" applyProtection="1">
      <alignment horizontal="center" vertical="center" wrapText="1"/>
      <protection locked="0"/>
    </xf>
    <xf numFmtId="0" fontId="7" fillId="3" borderId="22" xfId="5" applyBorder="1" applyAlignment="1" applyProtection="1">
      <alignment horizontal="center" vertical="center"/>
      <protection locked="0"/>
    </xf>
    <xf numFmtId="0" fontId="7" fillId="3" borderId="12" xfId="5" applyBorder="1" applyAlignment="1" applyProtection="1">
      <alignment horizontal="center" vertical="center"/>
      <protection locked="0"/>
    </xf>
    <xf numFmtId="0" fontId="7" fillId="3" borderId="23" xfId="5" applyBorder="1" applyAlignment="1" applyProtection="1">
      <alignment horizontal="center" vertical="center"/>
      <protection locked="0"/>
    </xf>
    <xf numFmtId="0" fontId="7" fillId="3" borderId="59" xfId="5" applyBorder="1" applyAlignment="1" applyProtection="1">
      <alignment horizontal="center" vertical="center"/>
      <protection locked="0"/>
    </xf>
    <xf numFmtId="0" fontId="7" fillId="3" borderId="18" xfId="5" applyBorder="1" applyAlignment="1" applyProtection="1">
      <alignment horizontal="center" vertical="center"/>
      <protection locked="0"/>
    </xf>
    <xf numFmtId="0" fontId="7" fillId="3" borderId="60" xfId="5" applyBorder="1" applyAlignment="1" applyProtection="1">
      <alignment horizontal="center" vertical="center"/>
      <protection locked="0"/>
    </xf>
    <xf numFmtId="0" fontId="34" fillId="0" borderId="0" xfId="16" applyFont="1" applyAlignment="1">
      <alignment horizontal="center"/>
    </xf>
    <xf numFmtId="0" fontId="0" fillId="5" borderId="55" xfId="7" applyFont="1" applyBorder="1" applyAlignment="1">
      <alignment horizontal="left" vertical="center"/>
    </xf>
    <xf numFmtId="0" fontId="0" fillId="5" borderId="66" xfId="7" applyFont="1" applyBorder="1" applyAlignment="1">
      <alignment horizontal="left" vertical="center"/>
    </xf>
    <xf numFmtId="0" fontId="0" fillId="5" borderId="56" xfId="7" applyFont="1" applyBorder="1" applyAlignment="1">
      <alignment horizontal="left" vertical="center"/>
    </xf>
    <xf numFmtId="0" fontId="0" fillId="4" borderId="16" xfId="0" applyFill="1" applyBorder="1" applyAlignment="1">
      <alignment horizontal="left" vertical="center" wrapText="1"/>
    </xf>
    <xf numFmtId="0" fontId="0" fillId="4" borderId="0" xfId="0" applyFill="1" applyAlignment="1">
      <alignment horizontal="left" vertical="center" wrapText="1"/>
    </xf>
    <xf numFmtId="0" fontId="7" fillId="3" borderId="2" xfId="5" applyAlignment="1" applyProtection="1">
      <alignment horizontal="left" wrapText="1"/>
      <protection locked="0"/>
    </xf>
    <xf numFmtId="0" fontId="0" fillId="5" borderId="4" xfId="7" applyFont="1" applyAlignment="1" applyProtection="1">
      <alignment horizontal="left" vertical="center" wrapText="1"/>
    </xf>
    <xf numFmtId="0" fontId="7" fillId="3" borderId="2" xfId="5" applyAlignment="1" applyProtection="1">
      <alignment horizontal="left" vertical="center" wrapText="1"/>
      <protection locked="0"/>
    </xf>
    <xf numFmtId="0" fontId="4" fillId="0" borderId="0" xfId="6" applyFill="1" applyBorder="1" applyAlignment="1" applyProtection="1">
      <alignment horizontal="right"/>
    </xf>
    <xf numFmtId="0" fontId="0" fillId="5" borderId="4" xfId="7" applyFont="1" applyAlignment="1" applyProtection="1">
      <alignment horizontal="left" vertical="center" wrapText="1" indent="1"/>
    </xf>
    <xf numFmtId="0" fontId="0" fillId="5" borderId="19" xfId="7" applyFont="1" applyBorder="1" applyAlignment="1" applyProtection="1">
      <alignment vertical="center" wrapText="1"/>
    </xf>
    <xf numFmtId="0" fontId="0" fillId="5" borderId="20" xfId="7" applyFont="1" applyBorder="1" applyAlignment="1" applyProtection="1">
      <alignment vertical="center" wrapText="1"/>
    </xf>
    <xf numFmtId="0" fontId="0" fillId="5" borderId="21" xfId="7" applyFont="1" applyBorder="1" applyAlignment="1" applyProtection="1">
      <alignment vertical="center" wrapText="1"/>
    </xf>
    <xf numFmtId="0" fontId="23" fillId="0" borderId="4" xfId="10" applyFont="1">
      <alignment horizontal="center" vertical="center" wrapText="1"/>
    </xf>
    <xf numFmtId="0" fontId="0" fillId="5" borderId="5" xfId="7" applyFont="1" applyBorder="1" applyAlignment="1" applyProtection="1">
      <alignment vertical="center" wrapText="1"/>
    </xf>
    <xf numFmtId="0" fontId="0" fillId="5" borderId="6" xfId="7" applyFont="1" applyBorder="1" applyAlignment="1" applyProtection="1">
      <alignment vertical="center" wrapText="1"/>
    </xf>
    <xf numFmtId="0" fontId="0" fillId="5" borderId="7" xfId="7" applyFont="1" applyBorder="1" applyAlignment="1" applyProtection="1">
      <alignment vertical="center" wrapText="1"/>
    </xf>
    <xf numFmtId="0" fontId="6" fillId="5" borderId="5" xfId="7" applyFont="1" applyBorder="1" applyAlignment="1" applyProtection="1">
      <alignment vertical="center" wrapText="1"/>
    </xf>
    <xf numFmtId="0" fontId="6" fillId="5" borderId="6" xfId="7" applyFont="1" applyBorder="1" applyAlignment="1" applyProtection="1">
      <alignment vertical="center" wrapText="1"/>
    </xf>
    <xf numFmtId="0" fontId="6" fillId="5" borderId="7" xfId="7" applyFont="1" applyBorder="1" applyAlignment="1" applyProtection="1">
      <alignment vertical="center" wrapText="1"/>
    </xf>
    <xf numFmtId="0" fontId="7" fillId="3" borderId="22" xfId="5" applyBorder="1" applyAlignment="1" applyProtection="1">
      <alignment vertical="center" wrapText="1"/>
      <protection locked="0"/>
    </xf>
    <xf numFmtId="0" fontId="7" fillId="3" borderId="12" xfId="5" applyBorder="1" applyAlignment="1" applyProtection="1">
      <alignment vertical="center" wrapText="1"/>
      <protection locked="0"/>
    </xf>
    <xf numFmtId="0" fontId="7" fillId="3" borderId="23" xfId="5" applyBorder="1" applyAlignment="1" applyProtection="1">
      <alignment vertical="center" wrapText="1"/>
      <protection locked="0"/>
    </xf>
    <xf numFmtId="0" fontId="0" fillId="5" borderId="4" xfId="7" applyFont="1" applyAlignment="1" applyProtection="1">
      <alignment vertical="center" wrapText="1"/>
    </xf>
    <xf numFmtId="0" fontId="11" fillId="4" borderId="11" xfId="0" applyFont="1" applyFill="1" applyBorder="1" applyAlignment="1">
      <alignment vertical="top" wrapText="1"/>
    </xf>
    <xf numFmtId="0" fontId="11" fillId="4" borderId="0" xfId="0" applyFont="1" applyFill="1" applyAlignment="1">
      <alignment vertical="top" wrapText="1"/>
    </xf>
    <xf numFmtId="0" fontId="41" fillId="4" borderId="0" xfId="0" applyFont="1" applyFill="1" applyAlignment="1">
      <alignment horizontal="center" vertical="center"/>
    </xf>
    <xf numFmtId="0" fontId="0" fillId="0" borderId="0" xfId="0" applyAlignment="1">
      <alignment horizontal="center"/>
    </xf>
    <xf numFmtId="0" fontId="11" fillId="5" borderId="4" xfId="7" applyFont="1" applyAlignment="1">
      <alignment vertical="center" wrapText="1"/>
    </xf>
    <xf numFmtId="0" fontId="11" fillId="4" borderId="0" xfId="0" applyFont="1" applyFill="1" applyAlignment="1">
      <alignment horizontal="left" vertical="center" wrapText="1" indent="1"/>
    </xf>
    <xf numFmtId="0" fontId="11" fillId="5" borderId="4" xfId="7" applyFont="1" applyAlignment="1">
      <alignment horizontal="left" vertical="center" wrapText="1"/>
    </xf>
    <xf numFmtId="0" fontId="11" fillId="3" borderId="8" xfId="7" applyFont="1" applyFill="1" applyBorder="1" applyAlignment="1" applyProtection="1">
      <alignment vertical="center" wrapText="1"/>
      <protection locked="0"/>
    </xf>
    <xf numFmtId="0" fontId="0" fillId="4" borderId="0" xfId="0" applyFill="1"/>
    <xf numFmtId="0" fontId="31" fillId="4" borderId="16" xfId="0" applyFont="1" applyFill="1" applyBorder="1" applyAlignment="1">
      <alignment horizontal="center"/>
    </xf>
    <xf numFmtId="0" fontId="74" fillId="15" borderId="0" xfId="2" applyFont="1" applyFill="1" applyAlignment="1" applyProtection="1">
      <alignment horizontal="center"/>
      <protection locked="0"/>
    </xf>
    <xf numFmtId="0" fontId="4" fillId="2" borderId="3" xfId="6" applyAlignment="1">
      <alignment horizontal="left" vertical="center"/>
    </xf>
    <xf numFmtId="0" fontId="50" fillId="0" borderId="0" xfId="0" applyFont="1" applyAlignment="1">
      <alignment horizontal="left"/>
    </xf>
    <xf numFmtId="0" fontId="49" fillId="0" borderId="0" xfId="0" applyFont="1" applyAlignment="1">
      <alignment horizontal="left"/>
    </xf>
    <xf numFmtId="0" fontId="45" fillId="0" borderId="0" xfId="0" applyFont="1" applyAlignment="1">
      <alignment horizontal="left" vertical="center"/>
    </xf>
    <xf numFmtId="0" fontId="51" fillId="0" borderId="0" xfId="4" applyFont="1" applyBorder="1" applyAlignment="1">
      <alignment horizontal="left" vertical="center"/>
    </xf>
    <xf numFmtId="0" fontId="3" fillId="0" borderId="0" xfId="4" applyBorder="1" applyAlignment="1">
      <alignment horizontal="left" vertical="center"/>
    </xf>
    <xf numFmtId="0" fontId="0" fillId="5" borderId="4" xfId="7" applyFont="1" applyAlignment="1">
      <alignment horizontal="left" vertical="top" wrapText="1"/>
    </xf>
    <xf numFmtId="0" fontId="52" fillId="0" borderId="0" xfId="0" applyFont="1" applyAlignment="1">
      <alignment horizontal="left" vertical="center"/>
    </xf>
    <xf numFmtId="0" fontId="4" fillId="2" borderId="3" xfId="6" applyAlignment="1">
      <alignment horizontal="left"/>
    </xf>
    <xf numFmtId="0" fontId="48" fillId="0" borderId="0" xfId="0" applyFont="1" applyAlignment="1">
      <alignment horizontal="left" vertical="center"/>
    </xf>
    <xf numFmtId="0" fontId="45" fillId="0" borderId="0" xfId="0" applyFont="1" applyAlignment="1">
      <alignment horizontal="center" vertical="center"/>
    </xf>
  </cellXfs>
  <cellStyles count="20">
    <cellStyle name="40% - Accent1" xfId="13" builtinId="31"/>
    <cellStyle name="40% - Accent3" xfId="15" builtinId="39"/>
    <cellStyle name="40% - Accent5" xfId="14" builtinId="47"/>
    <cellStyle name="Calculation" xfId="8" builtinId="22" customBuiltin="1"/>
    <cellStyle name="Comma" xfId="18" builtinId="3"/>
    <cellStyle name="Currency" xfId="1" builtinId="4"/>
    <cellStyle name="Followed Hyperlink" xfId="3" builtinId="9" customBuiltin="1"/>
    <cellStyle name="Heading 1" xfId="4" builtinId="16"/>
    <cellStyle name="Heading 2" xfId="9" builtinId="17"/>
    <cellStyle name="Heading 3" xfId="11" builtinId="18"/>
    <cellStyle name="Heading 4" xfId="12" builtinId="19"/>
    <cellStyle name="Hyperlink" xfId="2" builtinId="8"/>
    <cellStyle name="Input" xfId="5" builtinId="20" customBuiltin="1"/>
    <cellStyle name="Normal" xfId="0" builtinId="0"/>
    <cellStyle name="Note" xfId="7" builtinId="10"/>
    <cellStyle name="Output" xfId="6" builtinId="21"/>
    <cellStyle name="Percent" xfId="19" builtinId="5"/>
    <cellStyle name="Test Note" xfId="10" xr:uid="{00000000-0005-0000-0000-00000F000000}"/>
    <cellStyle name="Title" xfId="17" builtinId="15"/>
    <cellStyle name="Warning Text" xfId="16" builtinId="11"/>
  </cellStyles>
  <dxfs count="209">
    <dxf>
      <font>
        <color rgb="FF006100"/>
      </font>
      <fill>
        <patternFill>
          <bgColor rgb="FFC6EFCE"/>
        </patternFill>
      </fill>
    </dxf>
    <dxf>
      <font>
        <color rgb="FF9C0006"/>
      </font>
      <fill>
        <patternFill>
          <bgColor rgb="FFFFC7CE"/>
        </patternFill>
      </fill>
    </dxf>
    <dxf>
      <fill>
        <patternFill>
          <bgColor rgb="FFFF0000"/>
        </patternFill>
      </fill>
    </dxf>
    <dxf>
      <fill>
        <patternFill>
          <bgColor theme="8" tint="0.59996337778862885"/>
        </patternFill>
      </fill>
    </dxf>
    <dxf>
      <fill>
        <patternFill>
          <bgColor rgb="FFFFFF00"/>
        </patternFill>
      </fill>
    </dxf>
    <dxf>
      <fill>
        <patternFill>
          <bgColor rgb="FF00B050"/>
        </patternFill>
      </fill>
    </dxf>
    <dxf>
      <fill>
        <patternFill>
          <bgColor rgb="FFFF0000"/>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font>
      <fill>
        <patternFill>
          <bgColor theme="0"/>
        </patternFill>
      </fill>
      <border>
        <left/>
        <right/>
        <top/>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00B050"/>
        </patternFill>
      </fill>
      <border>
        <left style="thin">
          <color rgb="FF00B050"/>
        </left>
        <right style="thin">
          <color rgb="FF00B050"/>
        </right>
        <top style="thin">
          <color rgb="FF00B050"/>
        </top>
        <bottom style="thin">
          <color rgb="FF00B05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00B050"/>
        </patternFill>
      </fill>
      <border>
        <left style="thin">
          <color rgb="FF00B050"/>
        </left>
        <right style="thin">
          <color rgb="FF00B050"/>
        </right>
        <top style="thin">
          <color rgb="FF00B050"/>
        </top>
        <bottom style="thin">
          <color rgb="FF00B05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00B050"/>
        </patternFill>
      </fill>
      <border>
        <left style="thin">
          <color rgb="FF00B050"/>
        </left>
        <right style="thin">
          <color rgb="FF00B050"/>
        </right>
        <top style="thin">
          <color rgb="FF00B050"/>
        </top>
        <bottom style="thin">
          <color rgb="FF00B050"/>
        </bottom>
        <vertical/>
        <horizontal/>
      </border>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00B050"/>
        </patternFill>
      </fill>
      <border>
        <left style="thin">
          <color rgb="FF00B050"/>
        </left>
        <right style="thin">
          <color rgb="FF00B050"/>
        </right>
        <top style="thin">
          <color rgb="FF00B050"/>
        </top>
        <bottom style="thin">
          <color rgb="FF00B05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00B050"/>
        </patternFill>
      </fill>
      <border>
        <left style="thin">
          <color rgb="FF00B050"/>
        </left>
        <right style="thin">
          <color rgb="FF00B050"/>
        </right>
        <top style="thin">
          <color rgb="FF00B050"/>
        </top>
        <bottom style="thin">
          <color rgb="FF00B050"/>
        </bottom>
        <vertical/>
        <horizontal/>
      </border>
    </dxf>
    <dxf>
      <font>
        <strike/>
        <color theme="0"/>
      </font>
      <fill>
        <patternFill>
          <bgColor theme="0"/>
        </patternFill>
      </fill>
      <border>
        <left/>
        <right/>
        <top/>
        <bottom/>
        <vertical/>
        <horizontal/>
      </border>
    </dxf>
    <dxf>
      <font>
        <b/>
        <i/>
        <color auto="1"/>
      </font>
      <fill>
        <patternFill>
          <bgColor theme="4" tint="0.59996337778862885"/>
        </patternFill>
      </fill>
    </dxf>
    <dxf>
      <font>
        <b/>
        <i/>
        <color auto="1"/>
      </font>
      <fill>
        <patternFill>
          <bgColor rgb="FFFF0000"/>
        </patternFill>
      </fill>
    </dxf>
    <dxf>
      <font>
        <b/>
        <i/>
        <color auto="1"/>
      </font>
      <fill>
        <patternFill>
          <bgColor rgb="FFFFFFCC"/>
        </patternFill>
      </fill>
    </dxf>
    <dxf>
      <font>
        <strike/>
        <color theme="0"/>
      </font>
      <fill>
        <patternFill>
          <bgColor theme="0"/>
        </patternFill>
      </fill>
      <border>
        <left/>
        <right/>
        <top/>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color theme="0"/>
      </font>
      <fill>
        <patternFill>
          <bgColor theme="0"/>
        </patternFill>
      </fill>
      <border>
        <left/>
        <right/>
        <bottom/>
        <vertical/>
        <horizontal/>
      </border>
    </dxf>
    <dxf>
      <font>
        <strike/>
        <color theme="0"/>
      </font>
      <fill>
        <patternFill>
          <bgColor theme="0"/>
        </patternFill>
      </fill>
      <border>
        <left/>
        <right/>
        <bottom/>
        <vertical/>
        <horizontal/>
      </border>
    </dxf>
    <dxf>
      <font>
        <strike/>
        <color theme="0"/>
      </font>
      <fill>
        <patternFill>
          <bgColor theme="0"/>
        </patternFill>
      </fill>
      <border>
        <left/>
        <right/>
        <bottom/>
        <vertical/>
        <horizontal/>
      </border>
    </dxf>
    <dxf>
      <font>
        <color theme="0"/>
      </font>
      <fill>
        <patternFill>
          <bgColor theme="0"/>
        </patternFill>
      </fill>
      <border>
        <left/>
        <right/>
        <top/>
        <bottom/>
        <vertical/>
        <horizontal/>
      </border>
    </dxf>
    <dxf>
      <font>
        <b/>
        <i val="0"/>
        <color rgb="FFFF0000"/>
      </font>
      <border>
        <left style="thin">
          <color rgb="FFFF0000"/>
        </left>
        <right style="thin">
          <color rgb="FFFF0000"/>
        </right>
        <top style="thin">
          <color rgb="FFFF0000"/>
        </top>
        <bottom style="thin">
          <color rgb="FFFF0000"/>
        </bottom>
        <vertical/>
        <horizontal/>
      </border>
    </dxf>
    <dxf>
      <font>
        <strike/>
        <color theme="0"/>
      </font>
      <fill>
        <patternFill>
          <bgColor theme="0"/>
        </patternFill>
      </fill>
      <border>
        <left/>
        <right/>
        <top/>
        <bottom/>
        <vertical/>
        <horizontal/>
      </border>
    </dxf>
    <dxf>
      <fill>
        <patternFill>
          <bgColor rgb="FFFF0000"/>
        </patternFill>
      </fill>
      <border>
        <left style="thin">
          <color rgb="FFFF0000"/>
        </left>
        <right style="thin">
          <color rgb="FFFF0000"/>
        </right>
        <top style="thin">
          <color rgb="FFFF0000"/>
        </top>
        <bottom style="thin">
          <color rgb="FFFF0000"/>
        </bottom>
      </border>
    </dxf>
    <dxf>
      <fill>
        <patternFill>
          <bgColor rgb="FF92D050"/>
        </patternFill>
      </fill>
      <border>
        <left style="thin">
          <color rgb="FF92D050"/>
        </left>
        <right style="thin">
          <color rgb="FF92D050"/>
        </right>
        <top style="thin">
          <color rgb="FF92D050"/>
        </top>
        <bottom style="thin">
          <color rgb="FF92D050"/>
        </bottom>
        <vertical/>
        <horizontal/>
      </border>
    </dxf>
    <dxf>
      <fill>
        <patternFill>
          <bgColor theme="0"/>
        </patternFill>
      </fill>
      <border>
        <left style="thin">
          <color auto="1"/>
        </left>
        <right/>
        <top/>
        <bottom/>
        <vertical/>
        <horizontal/>
      </border>
    </dxf>
    <dxf>
      <font>
        <color rgb="FF006100"/>
      </font>
      <fill>
        <patternFill>
          <bgColor rgb="FFC6EFCE"/>
        </patternFill>
      </fill>
    </dxf>
    <dxf>
      <font>
        <color rgb="FF9C0006"/>
      </font>
      <fill>
        <patternFill>
          <bgColor rgb="FFFFC7CE"/>
        </patternFill>
      </fill>
    </dxf>
    <dxf>
      <fill>
        <patternFill>
          <bgColor theme="0"/>
        </patternFill>
      </fill>
      <border>
        <left style="thin">
          <color auto="1"/>
        </left>
        <right/>
        <top/>
        <bottom/>
        <vertical/>
        <horizontal/>
      </border>
    </dxf>
    <dxf>
      <font>
        <color rgb="FF006100"/>
      </font>
      <fill>
        <patternFill>
          <bgColor rgb="FFC6EFCE"/>
        </patternFill>
      </fill>
    </dxf>
    <dxf>
      <font>
        <color rgb="FF9C0006"/>
      </font>
      <fill>
        <patternFill>
          <bgColor rgb="FFFFC7CE"/>
        </patternFill>
      </fill>
    </dxf>
    <dxf>
      <numFmt numFmtId="168" formatCode="&quot;*&quot;"/>
    </dxf>
    <dxf>
      <numFmt numFmtId="168" formatCode="&quot;*&quot;"/>
    </dxf>
    <dxf>
      <font>
        <color rgb="FF9C0006"/>
      </font>
      <fill>
        <patternFill>
          <bgColor rgb="FFFFC7CE"/>
        </patternFill>
      </fill>
    </dxf>
    <dxf>
      <fill>
        <patternFill>
          <bgColor theme="0"/>
        </patternFill>
      </fill>
    </dxf>
    <dxf>
      <fill>
        <patternFill>
          <bgColor theme="0"/>
        </patternFill>
      </fill>
      <border>
        <left style="thin">
          <color auto="1"/>
        </left>
        <right/>
        <top/>
        <bottom/>
        <vertical/>
        <horizontal/>
      </border>
    </dxf>
    <dxf>
      <font>
        <color rgb="FF006100"/>
      </font>
      <fill>
        <patternFill>
          <bgColor rgb="FFC6EFCE"/>
        </patternFill>
      </fill>
    </dxf>
    <dxf>
      <font>
        <color rgb="FF9C0006"/>
      </font>
      <fill>
        <patternFill>
          <bgColor rgb="FFFFC7CE"/>
        </patternFill>
      </fill>
    </dxf>
    <dxf>
      <fill>
        <patternFill>
          <bgColor theme="0"/>
        </patternFill>
      </fill>
      <border>
        <left style="thin">
          <color auto="1"/>
        </left>
        <right/>
        <top/>
        <bottom/>
        <vertical/>
        <horizontal/>
      </border>
    </dxf>
    <dxf>
      <font>
        <color rgb="FF006100"/>
      </font>
      <fill>
        <patternFill>
          <bgColor rgb="FFC6EFCE"/>
        </patternFill>
      </fill>
    </dxf>
    <dxf>
      <font>
        <color rgb="FF9C0006"/>
      </font>
      <fill>
        <patternFill>
          <bgColor rgb="FFFFC7CE"/>
        </patternFill>
      </fill>
    </dxf>
    <dxf>
      <numFmt numFmtId="168" formatCode="&quot;*&quot;"/>
    </dxf>
    <dxf>
      <font>
        <color rgb="FF9C0006"/>
      </font>
      <fill>
        <patternFill>
          <bgColor rgb="FFFFC7CE"/>
        </patternFill>
      </fill>
    </dxf>
    <dxf>
      <fill>
        <patternFill>
          <bgColor theme="0"/>
        </patternFill>
      </fill>
    </dxf>
    <dxf>
      <font>
        <color rgb="FF9C0006"/>
      </font>
      <fill>
        <patternFill>
          <bgColor rgb="FFFFC7CE"/>
        </patternFill>
      </fill>
    </dxf>
    <dxf>
      <font>
        <color rgb="FF006100"/>
      </font>
      <fill>
        <patternFill>
          <bgColor rgb="FFC6EFCE"/>
        </patternFill>
      </fill>
    </dxf>
    <dxf>
      <numFmt numFmtId="168" formatCode="&quot;*&quot;"/>
    </dxf>
    <dxf>
      <numFmt numFmtId="168" formatCode="&quot;*&quot;"/>
    </dxf>
    <dxf>
      <numFmt numFmtId="168" formatCode="&quot;*&quot;"/>
    </dxf>
    <dxf>
      <font>
        <strike/>
        <color theme="1" tint="0.499984740745262"/>
      </font>
    </dxf>
    <dxf>
      <font>
        <color theme="0"/>
      </font>
      <fill>
        <patternFill>
          <bgColor theme="0"/>
        </patternFill>
      </fill>
      <border>
        <left/>
        <right/>
        <top/>
        <bottom/>
        <vertical/>
        <horizontal/>
      </border>
    </dxf>
    <dxf>
      <font>
        <color theme="0"/>
      </font>
    </dxf>
    <dxf>
      <font>
        <color rgb="FFFF0000"/>
      </font>
    </dxf>
    <dxf>
      <font>
        <strike/>
        <color theme="1" tint="0.499984740745262"/>
      </font>
    </dxf>
    <dxf>
      <font>
        <color theme="0"/>
      </font>
      <fill>
        <patternFill>
          <bgColor theme="0"/>
        </patternFill>
      </fill>
      <border>
        <left/>
        <right/>
        <top/>
        <bottom/>
        <vertical/>
        <horizontal/>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border diagonalUp="0" diagonalDown="0" outline="0">
        <left style="thin">
          <color rgb="FF7F7F7F"/>
        </left>
        <right style="thin">
          <color rgb="FF7F7F7F"/>
        </right>
        <top/>
        <bottom style="thin">
          <color rgb="FF7F7F7F"/>
        </bottom>
      </border>
      <protection locked="0" hidden="0"/>
    </dxf>
    <dxf>
      <numFmt numFmtId="0" formatCode="General"/>
      <alignment horizontal="general" vertical="bottom" textRotation="0" wrapText="0" indent="0" justifyLastLine="0" shrinkToFit="0" readingOrder="0"/>
      <border diagonalUp="0" diagonalDown="0">
        <left/>
        <right style="thin">
          <color rgb="FF7F7F7F"/>
        </right>
        <top style="thin">
          <color indexed="64"/>
        </top>
        <bottom style="thin">
          <color indexed="64"/>
        </bottom>
      </border>
      <protection locked="1" hidden="0"/>
    </dxf>
    <dxf>
      <protection locked="1" hidden="0"/>
    </dxf>
    <dxf>
      <border outline="0">
        <bottom style="thin">
          <color indexed="64"/>
        </bottom>
      </border>
    </dxf>
    <dxf>
      <protection locked="1" hidden="0"/>
    </dxf>
    <dxf>
      <fill>
        <patternFill patternType="none">
          <bgColor auto="1"/>
        </patternFill>
      </fill>
    </dxf>
    <dxf>
      <fill>
        <patternFill patternType="none">
          <fgColor indexed="64"/>
          <bgColor indexed="65"/>
        </patternFill>
      </fill>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theme="4" tint="0.39997558519241921"/>
        </left>
        <right/>
        <top style="thin">
          <color theme="4" tint="0.39997558519241921"/>
        </top>
        <bottom style="thin">
          <color theme="4" tint="0.39997558519241921"/>
        </bottom>
        <vertical/>
        <horizontal/>
      </border>
    </dxf>
    <dxf>
      <fill>
        <patternFill patternType="none">
          <bgColor auto="1"/>
        </patternFill>
      </fill>
    </dxf>
    <dxf>
      <font>
        <b/>
        <i val="0"/>
        <strike val="0"/>
        <condense val="0"/>
        <extend val="0"/>
        <outline val="0"/>
        <shadow val="0"/>
        <u val="none"/>
        <vertAlign val="baseline"/>
        <sz val="11"/>
        <color theme="1"/>
        <name val="Calibri"/>
        <scheme val="minor"/>
      </font>
      <fill>
        <patternFill patternType="none">
          <bgColor auto="1"/>
        </patternFill>
      </fill>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165" formatCode="0.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165" formatCode="0.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165" formatCode="0.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165" formatCode="0.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165" formatCode="0.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165" formatCode="0.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165" formatCode="0.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dxf>
    <dxf>
      <font>
        <strike val="0"/>
        <outline val="0"/>
        <shadow val="0"/>
        <u val="none"/>
        <vertAlign val="baseline"/>
        <sz val="12"/>
        <name val="Calibri"/>
        <scheme val="minor"/>
      </font>
    </dxf>
    <dxf>
      <font>
        <strike val="0"/>
        <outline val="0"/>
        <shadow val="0"/>
        <u val="none"/>
        <vertAlign val="baseline"/>
        <sz val="12"/>
        <name val="Calibri"/>
        <scheme val="minor"/>
      </font>
    </dxf>
    <dxf>
      <font>
        <strike val="0"/>
        <outline val="0"/>
        <shadow val="0"/>
        <u val="none"/>
        <vertAlign val="baseline"/>
        <sz val="12"/>
        <name val="Calibri"/>
        <scheme val="minor"/>
      </font>
    </dxf>
    <dxf>
      <border outline="0">
        <bottom style="thin">
          <color theme="4" tint="0.39997558519241921"/>
        </bottom>
      </border>
    </dxf>
    <dxf>
      <font>
        <b/>
        <i val="0"/>
        <strike val="0"/>
        <condense val="0"/>
        <extend val="0"/>
        <outline val="0"/>
        <shadow val="0"/>
        <u val="none"/>
        <vertAlign val="baseline"/>
        <sz val="12"/>
        <color theme="0"/>
        <name val="Calibri"/>
        <scheme val="minor"/>
      </font>
      <numFmt numFmtId="3" formatCode="#,##0"/>
      <fill>
        <patternFill patternType="solid">
          <fgColor theme="4"/>
          <bgColor theme="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lt;=9999999]###\-####;\(###\)\ ###\-####"/>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lt;=9999999]###\-####;\(###\)\ ###\-####"/>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lt;=9999999]###\-####;\(###\)\ ###\-####"/>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0"/>
        <color auto="1"/>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border diagonalUp="0" diagonalDown="0">
        <left style="thin">
          <color indexed="64"/>
        </left>
        <right style="thin">
          <color indexed="64"/>
        </right>
        <top style="thin">
          <color indexed="64"/>
        </top>
        <bottom style="thin">
          <color indexed="64"/>
        </bottom>
        <vertical/>
        <horizontal/>
      </border>
    </dxf>
    <dxf>
      <numFmt numFmtId="19" formatCode="m/d/yyyy"/>
    </dxf>
    <dxf>
      <numFmt numFmtId="19" formatCode="m/d/yyyy"/>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font>
        <b val="0"/>
        <i val="0"/>
        <strike val="0"/>
        <condense val="0"/>
        <extend val="0"/>
        <outline val="0"/>
        <shadow val="0"/>
        <u val="none"/>
        <vertAlign val="baseline"/>
        <sz val="11"/>
        <color theme="1"/>
        <name val="Calibri"/>
        <family val="2"/>
        <scheme val="minor"/>
      </font>
    </dxf>
    <dxf>
      <numFmt numFmtId="34" formatCode="_(&quot;$&quot;* #,##0.00_);_(&quot;$&quot;* \(#,##0.00\);_(&quot;$&quot;* &quot;-&quot;??_);_(@_)"/>
    </dxf>
    <dxf>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numFmt numFmtId="34" formatCode="_(&quot;$&quot;* #,##0.00_);_(&quot;$&quot;* \(#,##0.00\);_(&quot;$&quot;* &quot;-&quot;??_);_(@_)"/>
    </dxf>
    <dxf>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font>
        <b val="0"/>
        <i val="0"/>
        <strike val="0"/>
        <condense val="0"/>
        <extend val="0"/>
        <outline val="0"/>
        <shadow val="0"/>
        <u val="none"/>
        <vertAlign val="baseline"/>
        <sz val="11"/>
        <color theme="1"/>
        <name val="Calibri"/>
        <scheme val="minor"/>
      </font>
      <numFmt numFmtId="0" formatCode="General"/>
    </dxf>
    <dxf>
      <font>
        <b val="0"/>
        <i val="0"/>
        <strike val="0"/>
        <condense val="0"/>
        <extend val="0"/>
        <outline val="0"/>
        <shadow val="0"/>
        <u val="none"/>
        <vertAlign val="baseline"/>
        <sz val="11"/>
        <color theme="1"/>
        <name val="Calibri"/>
        <scheme val="minor"/>
      </font>
      <numFmt numFmtId="0" formatCode="General"/>
    </dxf>
    <dxf>
      <font>
        <b val="0"/>
        <i val="0"/>
        <strike val="0"/>
        <condense val="0"/>
        <extend val="0"/>
        <outline val="0"/>
        <shadow val="0"/>
        <u val="none"/>
        <vertAlign val="baseline"/>
        <sz val="11"/>
        <color theme="1"/>
        <name val="Calibri"/>
        <scheme val="minor"/>
      </font>
      <numFmt numFmtId="0" formatCode="General"/>
    </dxf>
    <dxf>
      <font>
        <b val="0"/>
        <i val="0"/>
        <strike val="0"/>
        <condense val="0"/>
        <extend val="0"/>
        <outline val="0"/>
        <shadow val="0"/>
        <u val="none"/>
        <vertAlign val="baseline"/>
        <sz val="11"/>
        <color theme="1"/>
        <name val="Calibri"/>
        <scheme val="minor"/>
      </font>
      <numFmt numFmtId="0" formatCode="General"/>
    </dxf>
  </dxfs>
  <tableStyles count="0" defaultTableStyle="TableStyleMedium2" defaultPivotStyle="PivotStyleLight16"/>
  <colors>
    <mruColors>
      <color rgb="FFC1E7FF"/>
      <color rgb="FFFFFFCC"/>
      <color rgb="FFFFFF99"/>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owerPivotData" Target="model/item.data"/><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microsoft.com/office/2017/10/relationships/person" Target="persons/person.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onnections" Target="connections.xml"/><Relationship Id="rId43"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8</xdr:col>
      <xdr:colOff>28575</xdr:colOff>
      <xdr:row>14</xdr:row>
      <xdr:rowOff>9525</xdr:rowOff>
    </xdr:from>
    <xdr:to>
      <xdr:col>32</xdr:col>
      <xdr:colOff>221569</xdr:colOff>
      <xdr:row>32</xdr:row>
      <xdr:rowOff>86190</xdr:rowOff>
    </xdr:to>
    <xdr:pic>
      <xdr:nvPicPr>
        <xdr:cNvPr id="3" name="Picture 2">
          <a:extLst>
            <a:ext uri="{FF2B5EF4-FFF2-40B4-BE49-F238E27FC236}">
              <a16:creationId xmlns:a16="http://schemas.microsoft.com/office/drawing/2014/main" id="{75EBAE09-05C8-A679-ADDF-E6FFEEBD0B49}"/>
            </a:ext>
          </a:extLst>
        </xdr:cNvPr>
        <xdr:cNvPicPr>
          <a:picLocks noChangeAspect="1"/>
        </xdr:cNvPicPr>
      </xdr:nvPicPr>
      <xdr:blipFill>
        <a:blip xmlns:r="http://schemas.openxmlformats.org/officeDocument/2006/relationships" r:embed="rId1"/>
        <a:stretch>
          <a:fillRect/>
        </a:stretch>
      </xdr:blipFill>
      <xdr:spPr>
        <a:xfrm>
          <a:off x="9744075" y="2543175"/>
          <a:ext cx="17871394" cy="33342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606425</xdr:colOff>
      <xdr:row>7</xdr:row>
      <xdr:rowOff>6350</xdr:rowOff>
    </xdr:from>
    <xdr:to>
      <xdr:col>15</xdr:col>
      <xdr:colOff>340383</xdr:colOff>
      <xdr:row>10</xdr:row>
      <xdr:rowOff>6426</xdr:rowOff>
    </xdr:to>
    <xdr:pic>
      <xdr:nvPicPr>
        <xdr:cNvPr id="4" name="Picture 3">
          <a:extLst>
            <a:ext uri="{FF2B5EF4-FFF2-40B4-BE49-F238E27FC236}">
              <a16:creationId xmlns:a16="http://schemas.microsoft.com/office/drawing/2014/main" id="{022B3EAA-97CB-28B3-8D25-ED3574F37E3D}"/>
            </a:ext>
          </a:extLst>
        </xdr:cNvPr>
        <xdr:cNvPicPr>
          <a:picLocks noChangeAspect="1"/>
        </xdr:cNvPicPr>
      </xdr:nvPicPr>
      <xdr:blipFill>
        <a:blip xmlns:r="http://schemas.openxmlformats.org/officeDocument/2006/relationships" r:embed="rId1"/>
        <a:stretch>
          <a:fillRect/>
        </a:stretch>
      </xdr:blipFill>
      <xdr:spPr>
        <a:xfrm>
          <a:off x="9598025" y="1273175"/>
          <a:ext cx="4715533" cy="543001"/>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VERMILLION Alex * ODE" id="{C923D642-B00D-4DF8-988C-7553648BC4AB}" userId="S::VermillA@ode.oregon.gov::761ef8fe-08a2-434c-8740-41b67259f1d3"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blAgencies" displayName="TblAgencies" ref="A1:G198" totalsRowShown="0">
  <autoFilter ref="A1:G198" xr:uid="{00000000-0009-0000-0100-000002000000}"/>
  <tableColumns count="7">
    <tableColumn id="1" xr3:uid="{00000000-0010-0000-0000-000001000000}" name="InstNm"/>
    <tableColumn id="2" xr3:uid="{00000000-0010-0000-0000-000002000000}" name="InstID"/>
    <tableColumn id="3" xr3:uid="{00000000-0010-0000-0000-000003000000}" name="SigDis"/>
    <tableColumn id="32" xr3:uid="{00000000-0010-0000-0000-000020000000}" name="LEA Nm Length" dataDxfId="208" dataCellStyle="Currency">
      <calculatedColumnFormula>LEN(TblAgencies[[#This Row],[InstNm]])</calculatedColumnFormula>
    </tableColumn>
    <tableColumn id="4" xr3:uid="{00000000-0010-0000-0000-000004000000}" name="APR Determination" dataDxfId="207" dataCellStyle="Currency"/>
    <tableColumn id="5" xr3:uid="{00000000-0010-0000-0000-000005000000}" name="Maintain FAPE" dataDxfId="206" dataCellStyle="Currency"/>
    <tableColumn id="6" xr3:uid="{00000000-0010-0000-0000-000006000000}" name="MOE Failures in prior 3 years" dataDxfId="205" dataCellStyle="Currency">
      <calculatedColumnFormula>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blFRv2Choices" displayName="tblFRv2Choices" ref="E15:G19" totalsRowShown="0">
  <autoFilter ref="E15:G19" xr:uid="{00000000-0009-0000-0100-000007000000}"/>
  <tableColumns count="3">
    <tableColumn id="13" xr3:uid="{00000000-0010-0000-0900-00000D000000}" name="Choices"/>
    <tableColumn id="15" xr3:uid="{00000000-0010-0000-0900-00000F000000}" name="ScoreA"/>
    <tableColumn id="16" xr3:uid="{00000000-0010-0000-0900-000010000000}" name="ScoreB"/>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A000000}" name="tblInsts" displayName="tblInsts" ref="F23:L220" totalsRowShown="0">
  <autoFilter ref="F23:L220" xr:uid="{00000000-0009-0000-0100-00000C000000}"/>
  <tableColumns count="7">
    <tableColumn id="1" xr3:uid="{00000000-0010-0000-0A00-000001000000}" name="ESD"/>
    <tableColumn id="2" xr3:uid="{00000000-0010-0000-0A00-000002000000}" name="InstID"/>
    <tableColumn id="3" xr3:uid="{00000000-0010-0000-0A00-000003000000}" name="LEA"/>
    <tableColumn id="4" xr3:uid="{00000000-0010-0000-0A00-000004000000}" name="LeaID"/>
    <tableColumn id="5" xr3:uid="{37DB35E3-57E6-4CC0-8367-1332BE72BA4A}" name="MOE Letters"/>
    <tableColumn id="6" xr3:uid="{673991AF-62EA-48E5-8F8D-95E6023B9004}" name="Data submission"/>
    <tableColumn id="7" xr3:uid="{839F49E7-2BEF-4428-BED1-57935C076F1E}" name="Claims Score"/>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tblCharterSchls" displayName="tblCharterSchls" ref="A1:F132" totalsRowShown="0">
  <autoFilter ref="A1:F132" xr:uid="{00000000-0009-0000-0100-000001000000}"/>
  <tableColumns count="6">
    <tableColumn id="1" xr3:uid="{00000000-0010-0000-0600-000001000000}" name="AdminNm" dataDxfId="176"/>
    <tableColumn id="2" xr3:uid="{00000000-0010-0000-0600-000002000000}" name="AdminID" dataDxfId="175"/>
    <tableColumn id="3" xr3:uid="{00000000-0010-0000-0600-000003000000}" name="CharterNm" dataDxfId="174"/>
    <tableColumn id="4" xr3:uid="{00000000-0010-0000-0600-000004000000}" name="CharterID"/>
    <tableColumn id="6" xr3:uid="{00000000-0010-0000-0600-000006000000}" name="Count of Schools" dataDxfId="173">
      <calculatedColumnFormula>COUNTIF(tblCharterSchls[AdminNm],tblCharterSchls[[#This Row],[AdminNm]])</calculatedColumnFormula>
    </tableColumn>
    <tableColumn id="5" xr3:uid="{00000000-0010-0000-0600-000005000000}" name="NIMAS"/>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blMoeHistory" displayName="tblMoeHistory" ref="A1:V2562" totalsRowShown="0">
  <autoFilter ref="A1:V2562" xr:uid="{00000000-0009-0000-0100-000006000000}"/>
  <sortState xmlns:xlrd2="http://schemas.microsoft.com/office/spreadsheetml/2017/richdata2" ref="A2:U1971">
    <sortCondition ref="C2:C1971"/>
    <sortCondition ref="A2:A1971"/>
  </sortState>
  <tableColumns count="22">
    <tableColumn id="1" xr3:uid="{00000000-0010-0000-0300-000001000000}" name="InstNm"/>
    <tableColumn id="2" xr3:uid="{00000000-0010-0000-0300-000002000000}" name="InstID"/>
    <tableColumn id="3" xr3:uid="{00000000-0010-0000-0300-000003000000}" name="Fiscal Year"/>
    <tableColumn id="4" xr3:uid="{00000000-0010-0000-0300-000004000000}" name="Child Count"/>
    <tableColumn id="5" xr3:uid="{00000000-0010-0000-0300-000005000000}" name="LEA State and Local Amount"/>
    <tableColumn id="6" xr3:uid="{00000000-0010-0000-0300-000006000000}" name="ESD State and Local Amount"/>
    <tableColumn id="7" xr3:uid="{00000000-0010-0000-0300-000007000000}" name="State and Local Total Amount" dataDxfId="172">
      <calculatedColumnFormula>tblMoeHistory[[#This Row],[LEA State and Local Amount]]+tblMoeHistory[[#This Row],[ESD State and Local Amount]]</calculatedColumnFormula>
    </tableColumn>
    <tableColumn id="20" xr3:uid="{00000000-0010-0000-0300-000014000000}" name="State and Local Total Shortfall"/>
    <tableColumn id="8" xr3:uid="{00000000-0010-0000-0300-000008000000}" name="State and Local Total Result"/>
    <tableColumn id="9" xr3:uid="{00000000-0010-0000-0300-000009000000}" name="LEA State and Local Per Capita Amount" dataDxfId="171">
      <calculatedColumnFormula>IFERROR(tblMoeHistory[[#This Row],[LEA State and Local Amount]]/tblMoeHistory[[#This Row],[Child Count]],0)</calculatedColumnFormula>
    </tableColumn>
    <tableColumn id="10" xr3:uid="{00000000-0010-0000-0300-00000A000000}" name="ESD State and Local Per Capita Amount" dataDxfId="170">
      <calculatedColumnFormula>IFERROR(tblMoeHistory[[#This Row],[ESD State and Local Amount]]/tblMoeHistory[[#This Row],[Child Count]],0)</calculatedColumnFormula>
    </tableColumn>
    <tableColumn id="11" xr3:uid="{00000000-0010-0000-0300-00000B000000}" name="State and Local Total Per Capita Amount" dataDxfId="169">
      <calculatedColumnFormula>IFERROR(tblMoeHistory[[#This Row],[State and Local Total Amount]]/tblMoeHistory[[#This Row],[Child Count]],0)</calculatedColumnFormula>
    </tableColumn>
    <tableColumn id="21" xr3:uid="{00000000-0010-0000-0300-000015000000}" name="State and Local Per Capita Shortfall"/>
    <tableColumn id="12" xr3:uid="{00000000-0010-0000-0300-00000C000000}" name="State and Local Per Capita Result"/>
    <tableColumn id="13" xr3:uid="{00000000-0010-0000-0300-00000D000000}" name="Amount of IDEA Part B, Section 611 award"/>
    <tableColumn id="14" xr3:uid="{00000000-0010-0000-0300-00000E000000}" name="Amount of IDEA Part B, Section 619 award"/>
    <tableColumn id="15" xr3:uid="{00000000-0010-0000-0300-00000F000000}" name="Total IDEA Part B award" dataDxfId="168">
      <calculatedColumnFormula>tblMoeHistory[[#This Row],[Amount of IDEA Part B, Section 611 award]]+tblMoeHistory[[#This Row],[Amount of IDEA Part B, Section 619 award]]</calculatedColumnFormula>
    </tableColumn>
    <tableColumn id="17" xr3:uid="{00000000-0010-0000-0300-000011000000}" name="Total Exceptions"/>
    <tableColumn id="19" xr3:uid="{00000000-0010-0000-0300-000013000000}" name="SLT Exceptions"/>
    <tableColumn id="18" xr3:uid="{00000000-0010-0000-0300-000012000000}" name="SLPC Exceptions"/>
    <tableColumn id="16" xr3:uid="{00000000-0010-0000-0300-000010000000}" name="Repayment Amount" dataDxfId="167">
      <calculatedColumnFormula>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calculatedColumnFormula>
    </tableColumn>
    <tableColumn id="22" xr3:uid="{00000000-0010-0000-0300-000016000000}" name="Overall Result" dataDxfId="166">
      <calculatedColumnFormula>IF(OR(IFERROR(SEARCH("Met",tblMoeHistory[[#This Row],[State and Local Per Capita Result]]),0)&gt;0,IFERROR(SEARCH("Met",tblMoeHistory[[#This Row],[State and Local Total Result]]),0)&gt;0),"Met","Not Met")</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5000000}" name="tblContacts" displayName="tblContacts" ref="A1:AD354" totalsRowShown="0" headerRowDxfId="165">
  <autoFilter ref="A1:AD354" xr:uid="{00000000-0009-0000-0100-00000A000000}"/>
  <tableColumns count="30">
    <tableColumn id="3" xr3:uid="{00000000-0010-0000-0500-000003000000}" name="DistNm" dataDxfId="164"/>
    <tableColumn id="2" xr3:uid="{00000000-0010-0000-0500-000002000000}" name="DistID" dataDxfId="163"/>
    <tableColumn id="1" xr3:uid="{00000000-0010-0000-0500-000001000000}" name="County" dataDxfId="162"/>
    <tableColumn id="4" xr3:uid="{00000000-0010-0000-0500-000004000000}" name="ESD_ID" dataDxfId="161"/>
    <tableColumn id="5" xr3:uid="{00000000-0010-0000-0500-000005000000}" name="ESD" dataDxfId="160"/>
    <tableColumn id="6" xr3:uid="{00000000-0010-0000-0500-000006000000}" name="Type" dataDxfId="159"/>
    <tableColumn id="7" xr3:uid="{00000000-0010-0000-0500-000007000000}" name="SupFirstName" dataDxfId="158"/>
    <tableColumn id="8" xr3:uid="{00000000-0010-0000-0500-000008000000}" name="SupLastName" dataDxfId="157"/>
    <tableColumn id="9" xr3:uid="{00000000-0010-0000-0500-000009000000}" name="SupFullName" dataDxfId="156"/>
    <tableColumn id="10" xr3:uid="{00000000-0010-0000-0500-00000A000000}" name="SupPhoneNumber" dataDxfId="155"/>
    <tableColumn id="28" xr3:uid="{00000000-0010-0000-0500-00001C000000}" name="SupPhoneExt" dataDxfId="154"/>
    <tableColumn id="11" xr3:uid="{00000000-0010-0000-0500-00000B000000}" name="SupEmail" dataDxfId="153"/>
    <tableColumn id="12" xr3:uid="{00000000-0010-0000-0500-00000C000000}" name="Type2" dataDxfId="152"/>
    <tableColumn id="13" xr3:uid="{00000000-0010-0000-0500-00000D000000}" name="SedFirstName" dataDxfId="151"/>
    <tableColumn id="14" xr3:uid="{00000000-0010-0000-0500-00000E000000}" name="SedLastName" dataDxfId="150"/>
    <tableColumn id="15" xr3:uid="{00000000-0010-0000-0500-00000F000000}" name="SedFullName" dataDxfId="149"/>
    <tableColumn id="16" xr3:uid="{00000000-0010-0000-0500-000010000000}" name="SedPhoneNumber" dataDxfId="148"/>
    <tableColumn id="29" xr3:uid="{00000000-0010-0000-0500-00001D000000}" name="SedPhoneExt" dataDxfId="147"/>
    <tableColumn id="17" xr3:uid="{00000000-0010-0000-0500-000011000000}" name="SedEmail" dataDxfId="146"/>
    <tableColumn id="31" xr3:uid="{00000000-0010-0000-0500-00001F000000}" name="Type3" dataDxfId="145"/>
    <tableColumn id="25" xr3:uid="{00000000-0010-0000-0500-000019000000}" name="BsnFirstName" dataDxfId="144"/>
    <tableColumn id="24" xr3:uid="{00000000-0010-0000-0500-000018000000}" name="BsnLastName" dataDxfId="143"/>
    <tableColumn id="18" xr3:uid="{00000000-0010-0000-0500-000012000000}" name="BsnFullName" dataDxfId="142"/>
    <tableColumn id="19" xr3:uid="{00000000-0010-0000-0500-000013000000}" name="BsnPhoneNumber" dataDxfId="141"/>
    <tableColumn id="26" xr3:uid="{00000000-0010-0000-0500-00001A000000}" name="BsnPhoneExt" dataDxfId="140"/>
    <tableColumn id="27" xr3:uid="{00000000-0010-0000-0500-00001B000000}" name="BsnPhone2" dataDxfId="139"/>
    <tableColumn id="20" xr3:uid="{00000000-0010-0000-0500-000014000000}" name="BsnEmail" dataDxfId="138"/>
    <tableColumn id="21" xr3:uid="{00000000-0010-0000-0500-000015000000}" name="Column1" dataDxfId="137"/>
    <tableColumn id="23" xr3:uid="{00000000-0010-0000-0500-000017000000}" name="Column12" dataDxfId="136"/>
    <tableColumn id="22" xr3:uid="{00000000-0010-0000-0500-000016000000}" name="Column2" dataDxfId="135"/>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782BB7A1-4D10-4BF3-BE48-010005256BFB}" name="Table4" displayName="Table4" ref="A1:AF211" totalsRowShown="0" headerRowDxfId="134" dataDxfId="132" headerRowBorderDxfId="133" headerRowCellStyle="Comma">
  <autoFilter ref="A1:AF211" xr:uid="{00000000-0009-0000-0100-000004000000}">
    <filterColumn colId="2">
      <filters>
        <filter val="Adel SD 21"/>
        <filter val="Adrian SD 61"/>
        <filter val="Alsea SD 7J"/>
        <filter val="Amity SD 4J"/>
        <filter val="Annex SD 29"/>
        <filter val="Arlington SD 3"/>
        <filter val="Arock SD 81"/>
        <filter val="Ashland SD 5"/>
        <filter val="Ashwood SD 8"/>
        <filter val="Astoria SD 1"/>
        <filter val="Athena-Weston SD 29RJ"/>
        <filter val="Baker SD 5J"/>
        <filter val="Bandon SD 54"/>
        <filter val="Banks SD 13"/>
        <filter val="Beaverton SD 48J"/>
        <filter val="Bend-LaPine Administrative SD 1"/>
        <filter val="Bethel SD 52"/>
        <filter val="Blachly SD 90"/>
        <filter val="Black Butte SD 41"/>
        <filter val="Brookings-Harbor SD 17C"/>
        <filter val="Burnt River SD 30J"/>
        <filter val="Butte Falls SD 91"/>
        <filter val="Camas Valley SD 21J"/>
        <filter val="Canby SD 86"/>
        <filter val="Cascade SD 5"/>
        <filter val="Centennial SD 28J"/>
        <filter val="Central Curry SD 1"/>
        <filter val="Central Linn SD 552"/>
        <filter val="Central Point SD 6"/>
        <filter val="Central SD 13J"/>
        <filter val="Clatskanie SD 6J"/>
        <filter val="Colton SD 53"/>
        <filter val="Condon SD 25J"/>
        <filter val="Coos Bay SD 9"/>
        <filter val="Coquille SD 8"/>
        <filter val="Corbett SD 39"/>
        <filter val="Corvallis SD 509J"/>
        <filter val="Cove SD 15"/>
        <filter val="Creswell SD 40"/>
        <filter val="Crook County SD"/>
        <filter val="Crow-Applegate-Lorane SD 66"/>
        <filter val="Culver SD 4"/>
        <filter val="Dallas SD 2"/>
        <filter val="David Douglas SD 40"/>
        <filter val="Dayton SD 8"/>
        <filter val="Dayville SD 16J"/>
        <filter val="Diamond SD 7"/>
        <filter val="Double O SD 28"/>
        <filter val="Douglas County SD 15"/>
        <filter val="Douglas County SD 4"/>
        <filter val="Drewsey SD 13"/>
        <filter val="Dufur SD 29"/>
        <filter val="Eagle Point SD 9"/>
        <filter val="Echo SD 5"/>
        <filter val="Elgin SD 23"/>
        <filter val="Elkton SD 34"/>
        <filter val="Enterprise SD 21"/>
        <filter val="Estacada SD 108"/>
        <filter val="Eugene SD 4J"/>
        <filter val="Falls City SD 57"/>
        <filter val="Fern Ridge SD 28J"/>
        <filter val="Forest Grove SD 15"/>
        <filter val="Fossil SD 21J"/>
        <filter val="Frenchglen SD 16"/>
        <filter val="Gaston SD 511J"/>
        <filter val="Gervais SD 1"/>
        <filter val="Gladstone SD 115"/>
        <filter val="Glendale SD 77"/>
        <filter val="Glide SD 12"/>
        <filter val="Grants Pass SD 7"/>
        <filter val="Greater Albany Public SD 8J"/>
        <filter val="Gresham-Barlow SD 10J"/>
        <filter val="Harney County SD 3"/>
        <filter val="Harney County SD 4"/>
        <filter val="Harney County Union High SD 1J"/>
        <filter val="Harper SD 66"/>
        <filter val="Harrisburg SD 7J"/>
        <filter val="Helix SD 1"/>
        <filter val="Hermiston SD 8"/>
        <filter val="Hillsboro SD 1J"/>
        <filter val="Hood River County SD"/>
        <filter val="Huntington SD 16J"/>
        <filter val="Imbler SD 11"/>
        <filter val="Ione SD R2"/>
        <filter val="Jefferson County SD 509J"/>
        <filter val="Jefferson SD 14J"/>
        <filter val="Jewell SD 8"/>
        <filter val="John Day SD 3"/>
        <filter val="Jordan Valley SD 3"/>
        <filter val="Joseph SD 6"/>
        <filter val="Junction City SD 69"/>
        <filter val="Juntura SD 12"/>
        <filter val="Klamath County SD"/>
        <filter val="Klamath Falls City Schools"/>
        <filter val="Knappa SD 4"/>
        <filter val="La Grande SD 1"/>
        <filter val="Lake County SD 7"/>
        <filter val="Lake Oswego SD 7J"/>
        <filter val="Lebanon Community SD 9"/>
        <filter val="Lincoln County SD"/>
        <filter val="Long Creek SD 17"/>
        <filter val="Lowell SD 71"/>
        <filter val="Malheur County SD 51"/>
        <filter val="Mapleton SD 32"/>
        <filter val="Marcola SD 79J"/>
        <filter val="McKenzie SD 68"/>
        <filter val="McMinnville SD 40"/>
        <filter val="Medford SD 549C"/>
        <filter val="Milton-Freewater Unified SD 7"/>
        <filter val="Mitchell SD 55"/>
        <filter val="Molalla River SD 35"/>
        <filter val="Monroe SD 1J"/>
        <filter val="Monument SD 8"/>
        <filter val="Morrow SD 1"/>
        <filter val="Mt Angel SD 91"/>
        <filter val="Myrtle Point SD 41"/>
        <filter val="Neah-Kah-Nie SD 56"/>
        <filter val="Nestucca Valley SD 101J"/>
        <filter val="Newberg SD 29J"/>
        <filter val="North Bend SD 13"/>
        <filter val="North Clackamas SD 12"/>
        <filter val="North Douglas SD 22"/>
        <filter val="North Lake SD 14"/>
        <filter val="North Marion SD 15"/>
        <filter val="North Powder SD 8J"/>
        <filter val="North Santiam SD 29J"/>
        <filter val="North Wasco County SD 21"/>
        <filter val="Nyssa SD 26"/>
        <filter val="Oakland SD 1"/>
        <filter val="Oakridge SD 76"/>
        <filter val="Ontario SD 8C"/>
        <filter val="Oregon City SD 62"/>
        <filter val="Oregon Trail SD 46"/>
        <filter val="Paisley SD 11"/>
        <filter val="Parkrose SD 3"/>
        <filter val="Pendleton SD 16"/>
        <filter val="Perrydale SD 21"/>
        <filter val="Philomath SD 17J"/>
        <filter val="Phoenix-Talent SD 4"/>
        <filter val="Pilot Rock SD 2"/>
        <filter val="Pine Creek SD 5"/>
        <filter val="Pine Eagle SD 61"/>
        <filter val="Pinehurst SD 94"/>
        <filter val="Pleasant Hill SD 1"/>
        <filter val="Plush SD 18"/>
        <filter val="Port Orford-Langlois SD 2CJ"/>
        <filter val="Portland SD 1J"/>
        <filter val="Powers SD 31"/>
        <filter val="Prairie City SD 4"/>
        <filter val="Prospect SD 59"/>
        <filter val="Rainier SD 13"/>
        <filter val="Redmond SD 2J"/>
        <filter val="Reedsport SD 105"/>
        <filter val="Reynolds SD 7"/>
        <filter val="Riddle SD 70"/>
        <filter val="Riverdale SD 51J"/>
        <filter val="Rogue River SD 35"/>
        <filter val="Salem-Keizer SD 24J"/>
        <filter val="Santiam Canyon SD 129J"/>
        <filter val="Scappoose SD 1J"/>
        <filter val="Scio SD 95"/>
        <filter val="Seaside SD 10"/>
        <filter val="Sheridan SD 48J"/>
        <filter val="Sherman County SD"/>
        <filter val="Sherwood SD 88J"/>
        <filter val="Silver Falls SD 4J"/>
        <filter val="Sisters SD 6"/>
        <filter val="Siuslaw SD 97J"/>
        <filter val="South Harney SD 33"/>
        <filter val="South Lane SD 45J3"/>
        <filter val="South Umpqua SD 19"/>
        <filter val="South Wasco County SD 1"/>
        <filter val="Spray SD 1"/>
        <filter val="Springfield SD 19"/>
        <filter val="St Helens SD 502"/>
        <filter val="St Paul SD 45"/>
        <filter val="Stanfield SD 61"/>
        <filter val="Suntex SD 10"/>
        <filter val="Sutherlin SD 130"/>
        <filter val="Sweet Home SD 55"/>
        <filter val="Three Rivers/Josephine County SD"/>
        <filter val="Tigard-Tualatin SD 23J"/>
        <filter val="Tillamook SD 9"/>
        <filter val="Troy SD 54"/>
        <filter val="Ukiah SD 80R"/>
        <filter val="Umatilla SD 6R"/>
        <filter val="Union SD 5"/>
        <filter val="Vale SD 84"/>
        <filter val="Vernonia SD 47J"/>
        <filter val="Wallowa SD 12"/>
        <filter val="Warrenton-Hammond SD 30"/>
        <filter val="West Linn-Wilsonville SD 3J"/>
        <filter val="Willamina SD 30J"/>
        <filter val="Winston-Dillard SD 116"/>
        <filter val="Woodburn SD 103"/>
        <filter val="Yamhill Carlton SD 1"/>
        <filter val="Yoncalla SD 32"/>
      </filters>
    </filterColumn>
  </autoFilter>
  <sortState xmlns:xlrd2="http://schemas.microsoft.com/office/spreadsheetml/2017/richdata2" ref="A2:AF211">
    <sortCondition ref="C1:C211"/>
  </sortState>
  <tableColumns count="32">
    <tableColumn id="1" xr3:uid="{A8F01D2B-7D0C-4B9B-845D-B83B95316DC8}" name="County" dataDxfId="131"/>
    <tableColumn id="2" xr3:uid="{3995725C-5DC9-49B9-9257-368FE952F8B7}" name="Attending District Institution ID" dataDxfId="130"/>
    <tableColumn id="3" xr3:uid="{E6EA6FE6-3B71-4E1A-89F2-A441D55B9577}" name="District Name" dataDxfId="129"/>
    <tableColumn id="4" xr3:uid="{148288EB-30DC-452B-9C5F-510D15B925CC}" name="2021-22 Total Enrollment" dataDxfId="128"/>
    <tableColumn id="5" xr3:uid="{8A1E96DE-53F1-40FC-AB73-C3E762EDA4C0}" name="2022-23 Total Enrollment" dataDxfId="127"/>
    <tableColumn id="6" xr3:uid="{D28F0068-8554-483F-B419-185DDCF8BF07}" name="2022-23 American Indian/Alaska Native" dataDxfId="126"/>
    <tableColumn id="7" xr3:uid="{BEFFED33-D4B9-4FAD-AA0E-6E1B1D024721}" name="2022-23 % American Indian/Alaska Native" dataDxfId="125"/>
    <tableColumn id="8" xr3:uid="{02E50071-1161-45DF-8FF0-3AB94D8A3BD6}" name="2022-23 Asian" dataDxfId="124"/>
    <tableColumn id="9" xr3:uid="{5EB8A8B0-93F6-4290-9F32-5E7F7FD70CCD}" name="2022-23 % Asian" dataDxfId="123"/>
    <tableColumn id="10" xr3:uid="{CC3A46F8-FBD1-4236-93A9-CDDC87F19CDE}" name="2022-23 Native Hawaiian/ Pacific Islander" dataDxfId="122"/>
    <tableColumn id="11" xr3:uid="{35582E29-CF08-4FDB-90AF-5AC86A308C31}" name="2022-23 % Native Hawaiian/ Pacific Islander" dataDxfId="121"/>
    <tableColumn id="12" xr3:uid="{4CCFB764-9326-40B1-93B6-41629F66FA8C}" name="2022-23 Black/African American" dataDxfId="120"/>
    <tableColumn id="13" xr3:uid="{0AE416E4-403A-4C3D-BC87-9E83A88DE3E2}" name="2022-23 % Black/African American" dataDxfId="119"/>
    <tableColumn id="14" xr3:uid="{4AD405E3-86DD-48BC-9085-40C0F6F175C7}" name="2022-23 Hispanic/ Latino" dataDxfId="118"/>
    <tableColumn id="15" xr3:uid="{F37E60FE-CB66-45D4-B779-9B12980270DB}" name="2022-23 % Hispanic/ Latino" dataDxfId="117"/>
    <tableColumn id="16" xr3:uid="{D9FF1E0E-660B-43E8-962D-A109D873E8CA}" name="2022-23 White" dataDxfId="116"/>
    <tableColumn id="17" xr3:uid="{648C3AE3-A6CB-4B85-A9D6-0BBFF8170D44}" name="2022-23 % White" dataDxfId="115"/>
    <tableColumn id="18" xr3:uid="{A3D2BD49-46B7-4985-BC56-1EC9912532AD}" name="2022-23Multi-Racial" dataDxfId="114"/>
    <tableColumn id="19" xr3:uid="{607AAE20-7E4E-4768-A190-9D12883AA5E2}" name="2022-23 % Multi-Racial" dataDxfId="113"/>
    <tableColumn id="20" xr3:uid="{C7ED062F-C77B-4D28-B594-77C0640B0F76}" name="2022-23 Kindergarten" dataDxfId="112"/>
    <tableColumn id="21" xr3:uid="{8690D767-A722-4C26-B6C2-FFE158AE8A7A}" name="2022-23 Grade One" dataDxfId="111"/>
    <tableColumn id="22" xr3:uid="{206F7CEF-A199-401D-AD06-AE723947A131}" name="2022-23 Grade Two" dataDxfId="110"/>
    <tableColumn id="23" xr3:uid="{052850BB-4891-487F-8D33-34A3E9A1B5E5}" name="2022-23 Grade Three" dataDxfId="109"/>
    <tableColumn id="24" xr3:uid="{B394D9D6-A183-44C8-ABE4-3E2C63D82138}" name="2022-23 Grade Four" dataDxfId="108"/>
    <tableColumn id="25" xr3:uid="{E2232826-C1E7-4CDA-9662-F4EA20E24EFA}" name="2022-23 Grade Five" dataDxfId="107"/>
    <tableColumn id="26" xr3:uid="{C383BFF2-768A-4DD3-9434-6C029D7099D4}" name="2022-23 Grade Six" dataDxfId="106"/>
    <tableColumn id="27" xr3:uid="{8AE1A8DA-93FA-4EEF-B5C9-5B970DA6336A}" name="2022-23 Grade Seven" dataDxfId="105"/>
    <tableColumn id="28" xr3:uid="{E1B3D2E4-FF1D-41D5-BDA8-4485F2C37A9D}" name="2022-23 Grade Eight" dataDxfId="104"/>
    <tableColumn id="29" xr3:uid="{496AEF00-77C5-48FB-A376-508B29A222A8}" name="2022-23 Grade Nine" dataDxfId="103"/>
    <tableColumn id="30" xr3:uid="{9CBF9D52-5BFC-448E-B65B-417C3AB34233}" name="2022-23 Grade Ten" dataDxfId="102"/>
    <tableColumn id="31" xr3:uid="{7E87727A-2573-4D0A-9E72-B68955A31D1E}" name="2022-23 Grade Eleven" dataDxfId="101"/>
    <tableColumn id="32" xr3:uid="{1711C1AA-6F41-4D6D-A761-B1ABC151814E}" name="2022-23 Grade Twelve" dataDxfId="100"/>
  </tableColumns>
  <tableStyleInfo name="TableStyleMedium13" showFirstColumn="0" showLastColumn="0" showRowStripes="1" showColumnStripes="0"/>
  <extLst>
    <ext xmlns:x14="http://schemas.microsoft.com/office/spreadsheetml/2009/9/main" uri="{504A1905-F514-4f6f-8877-14C23A59335A}">
      <x14:table altText="Enrollment statistics for individual districts on the first school day in October 3, 2022 "/>
    </ext>
  </extLst>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blSigDis" displayName="tblSigDis" ref="A1:D198" totalsRowShown="0" headerRowDxfId="99" dataDxfId="98">
  <autoFilter ref="A1:D198" xr:uid="{00000000-0009-0000-0100-000004000000}"/>
  <tableColumns count="4">
    <tableColumn id="1" xr3:uid="{00000000-0010-0000-0400-000001000000}" name="LEA" dataDxfId="97"/>
    <tableColumn id="2" xr3:uid="{00000000-0010-0000-0400-000002000000}" name="Institution ID" dataDxfId="96"/>
    <tableColumn id="3" xr3:uid="{00000000-0010-0000-0400-000003000000}" name="2021-22" dataDxfId="95"/>
    <tableColumn id="4" xr3:uid="{00000000-0010-0000-0400-000004000000}" name="2022-2023" dataDxfId="94"/>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B000000}" name="tblCharters" displayName="tblCharters" ref="C17:D23" totalsRowShown="0" headerRowDxfId="93" dataDxfId="91" headerRowBorderDxfId="92">
  <autoFilter ref="C17:D23" xr:uid="{00000000-0009-0000-0100-000009000000}"/>
  <tableColumns count="2">
    <tableColumn id="1" xr3:uid="{00000000-0010-0000-0B00-000001000000}" name="Charter School" dataDxfId="90">
      <calculatedColumnFormula>IF(HasCharterSchools&gt;=ROW(B18)-17,INDEX(tblCharterSchls[],MATCH(LeaName,tblCharterSchls[AdminNm],0)+ROW(B18)-18,3),"")</calculatedColumnFormula>
    </tableColumn>
    <tableColumn id="2" xr3:uid="{00000000-0010-0000-0B00-000002000000}" name="Option" dataDxfId="89" dataCellStyle="Input"/>
  </tableColumns>
  <tableStyleInfo showFirstColumn="0" showLastColumn="0" showRowStripes="1" showColumnStripes="0"/>
  <extLst>
    <ext xmlns:x14="http://schemas.microsoft.com/office/spreadsheetml/2009/9/main" uri="{504A1905-F514-4f6f-8877-14C23A59335A}">
      <x14:table altTextSummary="Table with two columns and six rows. Each row is the name of a charter school and the N I M A C option chosen for that charter school."/>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blSection611" displayName="tblSection611" ref="BN1:BV198" totalsRowShown="0">
  <autoFilter ref="BN1:BV198" xr:uid="{00000000-0009-0000-0100-000008000000}"/>
  <sortState xmlns:xlrd2="http://schemas.microsoft.com/office/spreadsheetml/2017/richdata2" ref="BN2:BV198">
    <sortCondition ref="BN1:BN198"/>
  </sortState>
  <tableColumns count="9">
    <tableColumn id="1" xr3:uid="{00000000-0010-0000-0100-000001000000}" name="InstNm"/>
    <tableColumn id="2" xr3:uid="{00000000-0010-0000-0100-000002000000}" name="LEA/District" dataCellStyle="Currency"/>
    <tableColumn id="3" xr3:uid="{00000000-0010-0000-0100-000003000000}" name="Regional" dataCellStyle="Currency"/>
    <tableColumn id="4" xr3:uid="{00000000-0010-0000-0100-000004000000}" name="OSD" dataCellStyle="Currency"/>
    <tableColumn id="5" xr3:uid="{00000000-0010-0000-0100-000005000000}" name="LTCT" dataCellStyle="Currency"/>
    <tableColumn id="6" xr3:uid="{00000000-0010-0000-0100-000006000000}" name="Hospital" dataCellStyle="Currency"/>
    <tableColumn id="7" xr3:uid="{00000000-0010-0000-0100-000007000000}" name="ECSE" dataCellStyle="Currency"/>
    <tableColumn id="8" xr3:uid="{00000000-0010-0000-0100-000008000000}" name="Gross Total" dataDxfId="204" dataCellStyle="Currency">
      <calculatedColumnFormula>SUM(tblSection611[[#This Row],[LEA/District]:[ECSE]])</calculatedColumnFormula>
    </tableColumn>
    <tableColumn id="9" xr3:uid="{00000000-0010-0000-0100-000009000000}" name="Max CEIS 611" dataDxfId="203" dataCellStyle="Currency">
      <calculatedColumnFormula>tblSection611[[#This Row],[Gross Total]]*0.15</calculatedColumnFormula>
    </tableColumn>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tblSection619" displayName="tblSection619" ref="BZ1:CH198" totalsRowShown="0">
  <autoFilter ref="BZ1:CH198" xr:uid="{00000000-0009-0000-0100-00000B000000}"/>
  <sortState xmlns:xlrd2="http://schemas.microsoft.com/office/spreadsheetml/2017/richdata2" ref="BZ2:CH198">
    <sortCondition ref="BZ1:BZ198"/>
  </sortState>
  <tableColumns count="9">
    <tableColumn id="1" xr3:uid="{00000000-0010-0000-0200-000001000000}" name="InstNm"/>
    <tableColumn id="2" xr3:uid="{00000000-0010-0000-0200-000002000000}" name="LEA/District" dataCellStyle="Currency"/>
    <tableColumn id="3" xr3:uid="{00000000-0010-0000-0200-000003000000}" name="Regional" dataCellStyle="Currency"/>
    <tableColumn id="4" xr3:uid="{00000000-0010-0000-0200-000004000000}" name="OSD" dataCellStyle="Currency"/>
    <tableColumn id="5" xr3:uid="{00000000-0010-0000-0200-000005000000}" name="LTCT" dataCellStyle="Currency"/>
    <tableColumn id="6" xr3:uid="{00000000-0010-0000-0200-000006000000}" name="Hospital" dataCellStyle="Currency"/>
    <tableColumn id="7" xr3:uid="{00000000-0010-0000-0200-000007000000}" name="ECSE" dataCellStyle="Currency"/>
    <tableColumn id="8" xr3:uid="{00000000-0010-0000-0200-000008000000}" name="Gross Total" dataDxfId="202" dataCellStyle="Currency">
      <calculatedColumnFormula>SUM(tblSection619[[#This Row],[LEA/District]:[ECSE]])</calculatedColumnFormula>
    </tableColumn>
    <tableColumn id="9" xr3:uid="{00000000-0010-0000-0200-000009000000}" name="Max CEIS 619" dataDxfId="201" dataCellStyle="Currency">
      <calculatedColumnFormula>tblSection619[[#This Row],[Gross Total]]*0.15</calculatedColumnFormula>
    </tableColumn>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93A97A6-2FD1-499C-86B6-FE3B99D9B411}" name="tblSection61114" displayName="tblSection61114" ref="AO1:AX198" totalsRowShown="0">
  <autoFilter ref="AO1:AX198" xr:uid="{693A97A6-2FD1-499C-86B6-FE3B99D9B411}"/>
  <sortState xmlns:xlrd2="http://schemas.microsoft.com/office/spreadsheetml/2017/richdata2" ref="AO2:AX198">
    <sortCondition ref="AO1:AO198"/>
  </sortState>
  <tableColumns count="10">
    <tableColumn id="1" xr3:uid="{7C6CE0CF-E130-4A52-9A95-F8EA19B2A877}" name="InstNm"/>
    <tableColumn id="2" xr3:uid="{2ECEED2A-3358-4705-98B5-45A5AE70D361}" name="LEA/District" dataDxfId="200" dataCellStyle="Currency"/>
    <tableColumn id="3" xr3:uid="{638D9849-F626-4112-A4D1-69DAB4D624E0}" name="Regional" dataDxfId="199" dataCellStyle="Currency"/>
    <tableColumn id="4" xr3:uid="{70A22678-007F-4722-9892-6344A00B70A5}" name="OSD" dataDxfId="198" dataCellStyle="Currency"/>
    <tableColumn id="5" xr3:uid="{32A5863B-A2CF-48CD-A739-D515F1E95E4C}" name="LTCT" dataDxfId="197" dataCellStyle="Currency"/>
    <tableColumn id="6" xr3:uid="{A871A090-2D52-4ECC-98FB-8EE3707FEDE4}" name="Hospital" dataDxfId="196" dataCellStyle="Currency"/>
    <tableColumn id="10" xr3:uid="{A1AD2102-BFC9-444C-85BE-D75137105F0F}" name="PNF" dataDxfId="195" dataCellStyle="Currency"/>
    <tableColumn id="7" xr3:uid="{EFB4DE72-625A-4445-A280-6DF41B5B00F0}" name="ECSE" dataDxfId="194" dataCellStyle="Currency"/>
    <tableColumn id="8" xr3:uid="{B06E2400-3E7C-44EF-A99B-593FF3325367}" name="Gross Total" dataDxfId="193" dataCellStyle="Currency"/>
    <tableColumn id="9" xr3:uid="{332FFD91-DC0C-4ED9-A76B-5495364F339F}" name="Max CEIS 611" dataDxfId="192" dataCellStyle="Currency">
      <calculatedColumnFormula>tblSection61114[[#This Row],[Gross Total]]*0.15</calculatedColumnFormula>
    </tableColumn>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F1DA018-5421-4691-8B70-49B3CEE373C9}" name="tblSection61915" displayName="tblSection61915" ref="BA1:BI198" totalsRowShown="0">
  <autoFilter ref="BA1:BI198" xr:uid="{FF1DA018-5421-4691-8B70-49B3CEE373C9}"/>
  <sortState xmlns:xlrd2="http://schemas.microsoft.com/office/spreadsheetml/2017/richdata2" ref="BA2:BI198">
    <sortCondition ref="BA1:BA198"/>
  </sortState>
  <tableColumns count="9">
    <tableColumn id="1" xr3:uid="{3CF56EE4-D822-455A-A8AB-FAD9FDD77047}" name="InstNm"/>
    <tableColumn id="2" xr3:uid="{99C9F25A-3437-4E13-9D19-E6566A0759AE}" name="LEA/District" dataDxfId="191" dataCellStyle="Currency"/>
    <tableColumn id="3" xr3:uid="{A523AA18-3E63-4CCF-A8C4-20B955282006}" name="Regional" dataDxfId="190" dataCellStyle="Currency"/>
    <tableColumn id="4" xr3:uid="{EA07CE81-BCAD-4235-A1D7-DEB38C0CD0A6}" name="OSD" dataDxfId="189" dataCellStyle="Currency"/>
    <tableColumn id="5" xr3:uid="{6006F21D-F6DF-4F8B-B6E7-9FDA39ED1CA4}" name="LTCT" dataDxfId="188" dataCellStyle="Currency"/>
    <tableColumn id="6" xr3:uid="{39C9F964-E839-4C82-901A-ED4A62C9357E}" name="Hospital" dataDxfId="187" dataCellStyle="Currency"/>
    <tableColumn id="7" xr3:uid="{6B3FA1B3-CB06-4FB8-9B84-E012BFFD8C5F}" name="ECSE" dataDxfId="186" dataCellStyle="Currency"/>
    <tableColumn id="8" xr3:uid="{05C5741D-7220-4B73-A6C4-8F3F998AA848}" name="Gross Total" dataDxfId="185" dataCellStyle="Currency"/>
    <tableColumn id="9" xr3:uid="{6F235FA5-1F81-4F29-877F-86395920CC33}" name="Max CEIS 619" dataDxfId="184" dataCellStyle="Currency">
      <calculatedColumnFormula>tblSection61915[[#This Row],[Gross Total]]*0.15</calculatedColumnFormula>
    </tableColumn>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4E9CFD13-7878-4369-8C17-6C6A82BE246B}" name="tblSection6111416" displayName="tblSection6111416" ref="O1:X198" totalsRowShown="0">
  <autoFilter ref="O1:X198" xr:uid="{4E9CFD13-7878-4369-8C17-6C6A82BE246B}"/>
  <sortState xmlns:xlrd2="http://schemas.microsoft.com/office/spreadsheetml/2017/richdata2" ref="O2:X198">
    <sortCondition ref="O1:O198"/>
  </sortState>
  <tableColumns count="10">
    <tableColumn id="1" xr3:uid="{E32A828B-1046-4A38-B4BF-9C4FB5661F31}" name="InstNm"/>
    <tableColumn id="2" xr3:uid="{A7D843EA-FAF6-4A52-A86C-C5A8D92080EA}" name="LEA/District" dataCellStyle="Currency"/>
    <tableColumn id="3" xr3:uid="{40CA3E1A-009E-4446-AF28-3E7A40CF143D}" name="Regional" dataCellStyle="Currency"/>
    <tableColumn id="4" xr3:uid="{503B7CF0-5CED-4FB5-836D-8E015BBB2A63}" name="OSD" dataCellStyle="Currency"/>
    <tableColumn id="5" xr3:uid="{4A94B17F-5A39-4A45-9B33-D41EAB357C47}" name="LTCT" dataCellStyle="Currency"/>
    <tableColumn id="6" xr3:uid="{22AC051F-EEF7-44AB-8CB6-C78C6CE1D5FC}" name="Hospital" dataCellStyle="Currency"/>
    <tableColumn id="10" xr3:uid="{6DC7EA26-6151-4769-8B86-4245EEB2905E}" name="PNF" dataDxfId="183" dataCellStyle="Currency"/>
    <tableColumn id="7" xr3:uid="{9ECDA390-23D5-456C-A122-32133EC96E08}" name="ECSE" dataCellStyle="Currency"/>
    <tableColumn id="8" xr3:uid="{E6D22B3B-C260-4D7B-80F0-94ED3E629C64}" name="Net Total" dataDxfId="182" dataCellStyle="Currency"/>
    <tableColumn id="9" xr3:uid="{831A774F-E8FE-4530-BF0F-1AC62B023C38}" name="Max CEIS 611" dataDxfId="181" dataCellStyle="Currency">
      <calculatedColumnFormula>tblSection6111416[[#This Row],[Net Total]]*0.15</calculatedColumnFormula>
    </tableColumn>
  </tableColumns>
  <tableStyleInfo name="TableStyleMedium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D70E3F1-2C94-4643-A516-B60F7F62018F}" name="tblSection6191517" displayName="tblSection6191517" ref="AB1:AJ198" totalsRowShown="0">
  <autoFilter ref="AB1:AJ198" xr:uid="{4D70E3F1-2C94-4643-A516-B60F7F62018F}"/>
  <sortState xmlns:xlrd2="http://schemas.microsoft.com/office/spreadsheetml/2017/richdata2" ref="AB2:AJ198">
    <sortCondition ref="AB1:AB198"/>
  </sortState>
  <tableColumns count="9">
    <tableColumn id="1" xr3:uid="{CD986789-813F-47DB-9061-2D4C2063B86B}" name="InstNm"/>
    <tableColumn id="2" xr3:uid="{194D29F9-7920-4276-AE0B-D53AD23B5014}" name="LEA/District" dataCellStyle="Currency"/>
    <tableColumn id="3" xr3:uid="{98E41483-15A7-4D3F-8710-475F4A404ED8}" name="Regional" dataCellStyle="Currency"/>
    <tableColumn id="4" xr3:uid="{0B648BCD-07C2-4B08-AEE2-1F800827B908}" name="OSD" dataCellStyle="Currency"/>
    <tableColumn id="5" xr3:uid="{3CCB0ADC-D0E6-451D-BB87-837AF4F96A42}" name="LTCT" dataCellStyle="Currency"/>
    <tableColumn id="6" xr3:uid="{F13C01EC-1139-4067-ACF5-34F4B94BA020}" name="Hospital" dataCellStyle="Currency"/>
    <tableColumn id="7" xr3:uid="{2CA7E185-DF81-4744-B9DB-E2F4B15D09BA}" name="ECSE" dataCellStyle="Currency"/>
    <tableColumn id="8" xr3:uid="{EE5B1D7A-B5F7-433C-BBDC-C44B6708F022}" name="Net Total" dataDxfId="180" dataCellStyle="Currency"/>
    <tableColumn id="9" xr3:uid="{466393B1-0614-4949-9D60-F055425CAC64}" name="Max CEIS 619" dataDxfId="179" dataCellStyle="Currency">
      <calculatedColumnFormula>tblSection6191517[[#This Row],[Net Total]]*0.15</calculatedColumnFormula>
    </tableColumn>
  </tableColumns>
  <tableStyleInfo name="TableStyleMedium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7000000}" name="tblChoices" displayName="tblChoices" ref="E1:AD8" totalsRowShown="0">
  <autoFilter ref="E1:AD8" xr:uid="{00000000-0009-0000-0100-000003000000}"/>
  <tableColumns count="26">
    <tableColumn id="19" xr3:uid="{00000000-0010-0000-0700-000013000000}" name="Contacts" dataDxfId="178"/>
    <tableColumn id="1" xr3:uid="{00000000-0010-0000-0700-000001000000}" name="Budget Meets MOE:" dataDxfId="177"/>
    <tableColumn id="2" xr3:uid="{00000000-0010-0000-0700-000002000000}" name="Fiscal Controls:"/>
    <tableColumn id="3" xr3:uid="{00000000-0010-0000-0700-000003000000}" name="CEIS Assurance:"/>
    <tableColumn id="4" xr3:uid="{00000000-0010-0000-0700-000004000000}" name="CCEIS Assurance:"/>
    <tableColumn id="7" xr3:uid="{00000000-0010-0000-0700-000007000000}" name="Time And Effort:"/>
    <tableColumn id="8" xr3:uid="{00000000-0010-0000-0700-000008000000}" name="Regional Funding:"/>
    <tableColumn id="9" xr3:uid="{00000000-0010-0000-0700-000009000000}" name="OSD Funding:"/>
    <tableColumn id="10" xr3:uid="{00000000-0010-0000-0700-00000A000000}" name="LTCT Funding:"/>
    <tableColumn id="11" xr3:uid="{00000000-0010-0000-0700-00000B000000}" name="Data:"/>
    <tableColumn id="13" xr3:uid="{00000000-0010-0000-0700-00000D000000}" name="General IDEA:"/>
    <tableColumn id="14" xr3:uid="{00000000-0010-0000-0700-00000E000000}" name="Private Schools:"/>
    <tableColumn id="12" xr3:uid="{00000000-0010-0000-0700-00000C000000}" name="Charter Schools:"/>
    <tableColumn id="17" xr3:uid="{00000000-0010-0000-0700-000011000000}" name="Public Benefits:"/>
    <tableColumn id="18" xr3:uid="{00000000-0010-0000-0700-000012000000}" name="Other Policies:"/>
    <tableColumn id="15" xr3:uid="{00000000-0010-0000-0700-00000F000000}" name="NIMAS:"/>
    <tableColumn id="16" xr3:uid="{00000000-0010-0000-0700-000010000000}" name="NIMAS Charter:"/>
    <tableColumn id="20" xr3:uid="{00000000-0010-0000-0700-000014000000}" name="LEA/ESD Placed Private Schools:"/>
    <tableColumn id="21" xr3:uid="{00000000-0010-0000-0700-000015000000}" name="Parent-Placed Private Schools:"/>
    <tableColumn id="5" xr3:uid="{00000000-0010-0000-0700-000005000000}" name="FR_Turnover_Sped"/>
    <tableColumn id="6" xr3:uid="{00000000-0010-0000-0700-000006000000}" name="FR_Turnover_Fiscal"/>
    <tableColumn id="22" xr3:uid="{00000000-0010-0000-0700-000016000000}" name="Consent to Electronic Signature:"/>
    <tableColumn id="23" xr3:uid="{00000000-0010-0000-0700-000017000000}" name="Acceptance of funds"/>
    <tableColumn id="24" xr3:uid="{00000000-0010-0000-0700-000018000000}" name="Reallocation Criteria"/>
    <tableColumn id="26" xr3:uid="{00000000-0010-0000-0700-00001A000000}" name="Sig Dig"/>
    <tableColumn id="25" xr3:uid="{D250291C-6427-4EF4-924B-525867BF313C}" name="CCEI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8000000}" name="tblAdmin" displayName="tblAdmin" ref="A27:C38" totalsRowShown="0">
  <autoFilter ref="A27:C38" xr:uid="{00000000-0009-0000-0100-000005000000}"/>
  <sortState xmlns:xlrd2="http://schemas.microsoft.com/office/spreadsheetml/2017/richdata2" ref="A35:C44">
    <sortCondition ref="A8:A18"/>
  </sortState>
  <tableColumns count="3">
    <tableColumn id="1" xr3:uid="{00000000-0010-0000-0800-000001000000}" name="Variable"/>
    <tableColumn id="2" xr3:uid="{00000000-0010-0000-0800-000002000000}" name="Value"/>
    <tableColumn id="3" xr3:uid="{00000000-0010-0000-0800-000003000000}" name="Option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DE Colors">
      <a:dk1>
        <a:sysClr val="windowText" lastClr="000000"/>
      </a:dk1>
      <a:lt1>
        <a:sysClr val="window" lastClr="FFFFFF"/>
      </a:lt1>
      <a:dk2>
        <a:srgbClr val="1B75BC"/>
      </a:dk2>
      <a:lt2>
        <a:srgbClr val="E4E9EF"/>
      </a:lt2>
      <a:accent1>
        <a:srgbClr val="1B75BC"/>
      </a:accent1>
      <a:accent2>
        <a:srgbClr val="9F2065"/>
      </a:accent2>
      <a:accent3>
        <a:srgbClr val="E26B2A"/>
      </a:accent3>
      <a:accent4>
        <a:srgbClr val="D3A809"/>
      </a:accent4>
      <a:accent5>
        <a:srgbClr val="408740"/>
      </a:accent5>
      <a:accent6>
        <a:srgbClr val="754C29"/>
      </a:accent6>
      <a:hlink>
        <a:srgbClr val="1B75BC"/>
      </a:hlink>
      <a:folHlink>
        <a:srgbClr val="E19AC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 dT="2024-04-08T19:12:30.10" personId="{C923D642-B00D-4DF8-988C-7553648BC4AB}" id="{371D7F06-C6D3-4AA4-8D34-13F298347DA6}">
    <text xml:space="preserve">Updated 4.8.2023
</text>
  </threadedComment>
</ThreadedComments>
</file>

<file path=xl/threadedComments/threadedComment2.xml><?xml version="1.0" encoding="utf-8"?>
<ThreadedComments xmlns="http://schemas.microsoft.com/office/spreadsheetml/2018/threadedcomments" xmlns:x="http://schemas.openxmlformats.org/spreadsheetml/2006/main">
  <threadedComment ref="K23" dT="2024-04-17T16:21:30.06" personId="{C923D642-B00D-4DF8-988C-7553648BC4AB}" id="{99C47941-7A30-405F-B543-EDFA880FF352}">
    <text>Need to consolidate the late and inaccurate report</text>
  </threadedComment>
</ThreadedComments>
</file>

<file path=xl/threadedComments/threadedComment3.xml><?xml version="1.0" encoding="utf-8"?>
<ThreadedComments xmlns="http://schemas.microsoft.com/office/spreadsheetml/2018/threadedcomments" xmlns:x="http://schemas.openxmlformats.org/spreadsheetml/2006/main">
  <threadedComment ref="A1" dT="2024-05-01T18:04:57.61" personId="{C923D642-B00D-4DF8-988C-7553648BC4AB}" id="{27B9A528-3E9C-4413-B865-54A2BA2234ED}">
    <text>Updated 5.1.2024</text>
  </threadedComment>
</ThreadedComments>
</file>

<file path=xl/threadedComments/threadedComment4.xml><?xml version="1.0" encoding="utf-8"?>
<ThreadedComments xmlns="http://schemas.microsoft.com/office/spreadsheetml/2018/threadedcomments" xmlns:x="http://schemas.openxmlformats.org/spreadsheetml/2006/main">
  <threadedComment ref="D2366" dT="2024-04-30T18:46:33.28" personId="{C923D642-B00D-4DF8-988C-7553648BC4AB}" id="{463BCBAE-B52F-4FCD-A30D-2EDD915C0F03}">
    <text>Total for 611 CC</text>
  </threadedComment>
  <threadedComment ref="D2366" dT="2024-05-10T16:35:37.09" personId="{C923D642-B00D-4DF8-988C-7553648BC4AB}" id="{FB1A5B80-7351-4DEB-9142-6E9F92546EF8}" parentId="{463BCBAE-B52F-4FCD-A30D-2EDD915C0F03}">
    <text>611 District, Regional, and LTCT</text>
  </threadedComment>
  <threadedComment ref="D2366" dT="2024-06-03T18:54:58.15" personId="{C923D642-B00D-4DF8-988C-7553648BC4AB}" id="{30D9FF01-089D-4C65-97D9-0E199DB6195C}" parentId="{463BCBAE-B52F-4FCD-A30D-2EDD915C0F03}">
    <text>J:\~ IDEA Compliance\MOE\School Finance Report for MOE</text>
    <extLst>
      <x:ext xmlns:xltc2="http://schemas.microsoft.com/office/spreadsheetml/2020/threadedcomments2" uri="{F7C98A9C-CBB3-438F-8F68-D28B6AF4A901}">
        <xltc2:checksum>15150190</xltc2:checksum>
        <xltc2:hyperlink startIndex="0" length="4" url="J:\~"/>
      </x:ext>
    </extLst>
  </threadedComment>
  <threadedComment ref="D2366" dT="2024-06-03T19:03:05.61" personId="{C923D642-B00D-4DF8-988C-7553648BC4AB}" id="{2EC43E44-E556-4BBD-9ACC-29171C8F8020}" parentId="{463BCBAE-B52F-4FCD-A30D-2EDD915C0F03}">
    <text>Updated</text>
  </threadedComment>
  <threadedComment ref="E2366" dT="2024-05-22T17:24:07.75" personId="{C923D642-B00D-4DF8-988C-7553648BC4AB}" id="{41AB0FC6-FA85-495F-ABC1-C9854F04D792}">
    <text>Updated on 5.28</text>
  </threadedComment>
  <threadedComment ref="F2366" dT="2024-05-22T17:24:16.84" personId="{C923D642-B00D-4DF8-988C-7553648BC4AB}" id="{A8A30918-C25A-4EDB-9D58-FECDEBC95A68}">
    <text>Updated on 5.28</text>
  </threadedComment>
</ThreadedComments>
</file>

<file path=xl/worksheets/_rels/sheet1.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microsoft.com/office/2017/10/relationships/threadedComment" Target="../threadedComments/threadedComment1.xml"/><Relationship Id="rId5" Type="http://schemas.openxmlformats.org/officeDocument/2006/relationships/table" Target="../tables/table3.xml"/><Relationship Id="rId10" Type="http://schemas.openxmlformats.org/officeDocument/2006/relationships/comments" Target="../comments1.xml"/><Relationship Id="rId4" Type="http://schemas.openxmlformats.org/officeDocument/2006/relationships/table" Target="../tables/table2.xml"/><Relationship Id="rId9" Type="http://schemas.openxmlformats.org/officeDocument/2006/relationships/table" Target="../tables/table7.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3" Type="http://schemas.openxmlformats.org/officeDocument/2006/relationships/hyperlink" Target="https://www.oregon.gov/ode/schools-and-districts/grants/SPEDFunding/Documents/fiscal%20monitoring/MOE%20Exception%20Request%20Form.docx" TargetMode="External"/><Relationship Id="rId2" Type="http://schemas.openxmlformats.org/officeDocument/2006/relationships/hyperlink" Target="mailto:%20ode.ideaassurances@ode.oregon.gov?subject=Attn:%20Heather%20Shinn!" TargetMode="External"/><Relationship Id="rId1" Type="http://schemas.openxmlformats.org/officeDocument/2006/relationships/hyperlink" Target="https://app.smartsheet.com/b/form/76e051735a6647fcb2648fb44c8047ad" TargetMode="External"/></Relationships>
</file>

<file path=xl/worksheets/_rels/sheet19.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ODE.OSS-DataTeam@ode.oregon.gov" TargetMode="External"/><Relationship Id="rId1" Type="http://schemas.openxmlformats.org/officeDocument/2006/relationships/hyperlink" Target="https://district.ode.state.or.us/CentralLogin/"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docs.google.com/document/d/1a38F4P0pqgXhWeXMm3290VRvuMXW-R8ImnLZrx-ct-c/edit?usp=sharing"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OE%20Exception%20Request%20Form.docx"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oregon.gov/ode/schools-and-districts/grants/SPEDFunding/Pages/default.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app.smartsheet.com/b/form/76e051735a6647fcb2648fb44c8047ad" TargetMode="External"/><Relationship Id="rId1" Type="http://schemas.openxmlformats.org/officeDocument/2006/relationships/hyperlink" Target="mailto:ODE.IDEAAssurances@state.or.us?subject=FY%202020%20IDEA%20Annual%20Application"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table" Target="../tables/table8.xml"/><Relationship Id="rId7"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table" Target="../tables/table12.xml"/><Relationship Id="rId1" Type="http://schemas.openxmlformats.org/officeDocument/2006/relationships/vmlDrawing" Target="../drawings/vmlDrawing3.vml"/><Relationship Id="rId4" Type="http://schemas.microsoft.com/office/2017/10/relationships/threadedComment" Target="../threadedComments/threadedComment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CH198"/>
  <sheetViews>
    <sheetView workbookViewId="0">
      <selection activeCell="F16" sqref="F16"/>
    </sheetView>
  </sheetViews>
  <sheetFormatPr defaultRowHeight="14.5" x14ac:dyDescent="0.35"/>
  <cols>
    <col min="1" max="1" width="32" customWidth="1"/>
    <col min="4" max="4" width="17.81640625" bestFit="1" customWidth="1"/>
    <col min="5" max="6" width="17.81640625" customWidth="1"/>
    <col min="7" max="7" width="27.26953125" bestFit="1" customWidth="1"/>
    <col min="8" max="8" width="17.81640625" customWidth="1"/>
    <col min="9" max="9" width="31.54296875" customWidth="1"/>
    <col min="10" max="11" width="17.81640625" customWidth="1"/>
    <col min="12" max="12" width="15.26953125" style="246" bestFit="1" customWidth="1"/>
    <col min="13" max="14" width="17.81640625" customWidth="1"/>
    <col min="15" max="15" width="30.54296875" bestFit="1" customWidth="1"/>
    <col min="16" max="16" width="14.54296875" bestFit="1" customWidth="1"/>
    <col min="17" max="17" width="18" bestFit="1" customWidth="1"/>
    <col min="18" max="18" width="14.7265625" bestFit="1" customWidth="1"/>
    <col min="19" max="20" width="14.26953125" bestFit="1" customWidth="1"/>
    <col min="21" max="21" width="14.26953125" customWidth="1"/>
    <col min="22" max="22" width="13.54296875" bestFit="1" customWidth="1"/>
    <col min="23" max="23" width="15.26953125" bestFit="1" customWidth="1"/>
    <col min="24" max="24" width="16.26953125" bestFit="1" customWidth="1"/>
    <col min="25" max="25" width="16.26953125" customWidth="1"/>
    <col min="26" max="26" width="18.54296875" bestFit="1" customWidth="1"/>
    <col min="27" max="27" width="18.54296875" customWidth="1"/>
    <col min="28" max="28" width="18.54296875" bestFit="1" customWidth="1"/>
    <col min="29" max="29" width="20.81640625" bestFit="1" customWidth="1"/>
    <col min="30" max="30" width="18.54296875" bestFit="1" customWidth="1"/>
    <col min="31" max="31" width="29" bestFit="1" customWidth="1"/>
    <col min="32" max="32" width="14.26953125" bestFit="1" customWidth="1"/>
    <col min="33" max="34" width="15.26953125" bestFit="1" customWidth="1"/>
    <col min="35" max="35" width="14.26953125" customWidth="1"/>
    <col min="36" max="37" width="15.26953125" customWidth="1"/>
    <col min="38" max="38" width="15.26953125" style="246" bestFit="1" customWidth="1"/>
    <col min="39" max="40" width="17.81640625" customWidth="1"/>
    <col min="41" max="41" width="17.81640625" bestFit="1" customWidth="1"/>
    <col min="42" max="42" width="14.54296875" bestFit="1" customWidth="1"/>
    <col min="43" max="43" width="18" bestFit="1" customWidth="1"/>
    <col min="44" max="44" width="14.7265625" bestFit="1" customWidth="1"/>
    <col min="45" max="46" width="14.26953125" bestFit="1" customWidth="1"/>
    <col min="47" max="47" width="12.54296875" bestFit="1" customWidth="1"/>
    <col min="48" max="48" width="15.26953125" bestFit="1" customWidth="1"/>
    <col min="49" max="49" width="16.26953125" bestFit="1" customWidth="1"/>
    <col min="50" max="50" width="18.453125" bestFit="1" customWidth="1"/>
    <col min="51" max="51" width="18.54296875" bestFit="1" customWidth="1"/>
    <col min="52" max="52" width="18.54296875" customWidth="1"/>
    <col min="53" max="53" width="20.81640625" bestFit="1" customWidth="1"/>
    <col min="54" max="54" width="18.54296875" bestFit="1" customWidth="1"/>
    <col min="55" max="55" width="29" bestFit="1" customWidth="1"/>
    <col min="56" max="56" width="14.26953125" bestFit="1" customWidth="1"/>
    <col min="57" max="58" width="15.26953125" bestFit="1" customWidth="1"/>
    <col min="59" max="59" width="14.26953125" customWidth="1"/>
    <col min="60" max="60" width="15.26953125" customWidth="1"/>
    <col min="61" max="61" width="17.81640625" customWidth="1"/>
    <col min="62" max="62" width="15.26953125" style="246" bestFit="1" customWidth="1"/>
    <col min="63" max="63" width="17.81640625" bestFit="1" customWidth="1"/>
    <col min="64" max="64" width="18.54296875" bestFit="1" customWidth="1"/>
    <col min="65" max="65" width="18.54296875" customWidth="1"/>
    <col min="66" max="66" width="14.54296875" bestFit="1" customWidth="1"/>
    <col min="67" max="67" width="18" bestFit="1" customWidth="1"/>
    <col min="68" max="68" width="14.7265625" bestFit="1" customWidth="1"/>
    <col min="69" max="70" width="14.26953125" bestFit="1" customWidth="1"/>
    <col min="71" max="71" width="12.54296875" bestFit="1" customWidth="1"/>
    <col min="72" max="72" width="15.26953125" bestFit="1" customWidth="1"/>
    <col min="73" max="73" width="16.26953125" bestFit="1" customWidth="1"/>
    <col min="74" max="74" width="18.453125" bestFit="1" customWidth="1"/>
    <col min="75" max="75" width="18.453125" customWidth="1"/>
    <col min="76" max="76" width="18.54296875" bestFit="1" customWidth="1"/>
    <col min="77" max="77" width="18.54296875" customWidth="1"/>
    <col min="78" max="78" width="20.81640625" bestFit="1" customWidth="1"/>
    <col min="79" max="79" width="18.54296875" bestFit="1" customWidth="1"/>
    <col min="80" max="80" width="29" bestFit="1" customWidth="1"/>
    <col min="81" max="81" width="14.26953125" bestFit="1" customWidth="1"/>
    <col min="82" max="83" width="15.26953125" bestFit="1" customWidth="1"/>
    <col min="84" max="84" width="14.26953125" customWidth="1"/>
    <col min="85" max="85" width="15.26953125" customWidth="1"/>
    <col min="86" max="86" width="15.26953125" bestFit="1" customWidth="1"/>
    <col min="87" max="87" width="8.26953125" customWidth="1"/>
    <col min="88" max="88" width="14.26953125" bestFit="1" customWidth="1"/>
    <col min="89" max="90" width="15.26953125" bestFit="1" customWidth="1"/>
    <col min="91" max="91" width="9.1796875" customWidth="1"/>
    <col min="92" max="92" width="16.1796875" bestFit="1" customWidth="1"/>
    <col min="94" max="94" width="32" bestFit="1" customWidth="1"/>
    <col min="95" max="96" width="14.26953125" bestFit="1" customWidth="1"/>
    <col min="97" max="99" width="11.54296875" bestFit="1" customWidth="1"/>
    <col min="100" max="100" width="14.26953125" bestFit="1" customWidth="1"/>
    <col min="101" max="101" width="15.26953125" bestFit="1" customWidth="1"/>
    <col min="102" max="102" width="14.453125" bestFit="1" customWidth="1"/>
    <col min="103" max="103" width="11.453125" customWidth="1"/>
    <col min="104" max="104" width="32" bestFit="1" customWidth="1"/>
    <col min="105" max="105" width="13.54296875" bestFit="1" customWidth="1"/>
    <col min="106" max="106" width="11.54296875" bestFit="1" customWidth="1"/>
    <col min="107" max="108" width="9" bestFit="1" customWidth="1"/>
    <col min="109" max="109" width="10.54296875" bestFit="1" customWidth="1"/>
    <col min="110" max="110" width="12.54296875" bestFit="1" customWidth="1"/>
    <col min="111" max="111" width="13.1796875" bestFit="1" customWidth="1"/>
    <col min="112" max="112" width="14.7265625" bestFit="1" customWidth="1"/>
  </cols>
  <sheetData>
    <row r="1" spans="1:86" x14ac:dyDescent="0.35">
      <c r="A1" t="s">
        <v>0</v>
      </c>
      <c r="B1" t="s">
        <v>1</v>
      </c>
      <c r="C1" t="s">
        <v>2</v>
      </c>
      <c r="D1" t="s">
        <v>6</v>
      </c>
      <c r="E1" t="s">
        <v>1898</v>
      </c>
      <c r="F1" t="s">
        <v>1899</v>
      </c>
      <c r="G1" t="s">
        <v>5</v>
      </c>
      <c r="L1" s="300" t="s">
        <v>3085</v>
      </c>
      <c r="M1" s="248" t="s">
        <v>3093</v>
      </c>
      <c r="N1" s="248"/>
      <c r="O1" t="s">
        <v>0</v>
      </c>
      <c r="P1" t="s">
        <v>7</v>
      </c>
      <c r="Q1" t="s">
        <v>8</v>
      </c>
      <c r="R1" t="s">
        <v>9</v>
      </c>
      <c r="S1" t="s">
        <v>10</v>
      </c>
      <c r="T1" t="s">
        <v>11</v>
      </c>
      <c r="U1" t="s">
        <v>3091</v>
      </c>
      <c r="V1" t="s">
        <v>12</v>
      </c>
      <c r="W1" t="s">
        <v>3113</v>
      </c>
      <c r="X1" t="s">
        <v>3</v>
      </c>
      <c r="Z1" s="248" t="s">
        <v>3092</v>
      </c>
      <c r="AA1" s="248"/>
      <c r="AB1" t="s">
        <v>0</v>
      </c>
      <c r="AC1" t="s">
        <v>7</v>
      </c>
      <c r="AD1" t="s">
        <v>8</v>
      </c>
      <c r="AE1" t="s">
        <v>9</v>
      </c>
      <c r="AF1" t="s">
        <v>10</v>
      </c>
      <c r="AG1" t="s">
        <v>11</v>
      </c>
      <c r="AH1" t="s">
        <v>12</v>
      </c>
      <c r="AI1" t="s">
        <v>3113</v>
      </c>
      <c r="AJ1" t="s">
        <v>4</v>
      </c>
      <c r="AL1" s="300" t="s">
        <v>3086</v>
      </c>
      <c r="AM1" s="248" t="s">
        <v>3093</v>
      </c>
      <c r="AN1" s="248"/>
      <c r="AO1" t="s">
        <v>0</v>
      </c>
      <c r="AP1" t="s">
        <v>7</v>
      </c>
      <c r="AQ1" t="s">
        <v>8</v>
      </c>
      <c r="AR1" t="s">
        <v>9</v>
      </c>
      <c r="AS1" t="s">
        <v>10</v>
      </c>
      <c r="AT1" t="s">
        <v>11</v>
      </c>
      <c r="AU1" t="s">
        <v>3091</v>
      </c>
      <c r="AV1" t="s">
        <v>12</v>
      </c>
      <c r="AW1" t="s">
        <v>13</v>
      </c>
      <c r="AX1" t="s">
        <v>3</v>
      </c>
      <c r="AY1" s="248" t="s">
        <v>3092</v>
      </c>
      <c r="AZ1" s="248"/>
      <c r="BA1" t="s">
        <v>0</v>
      </c>
      <c r="BB1" t="s">
        <v>7</v>
      </c>
      <c r="BC1" t="s">
        <v>8</v>
      </c>
      <c r="BD1" t="s">
        <v>9</v>
      </c>
      <c r="BE1" t="s">
        <v>10</v>
      </c>
      <c r="BF1" t="s">
        <v>11</v>
      </c>
      <c r="BG1" t="s">
        <v>12</v>
      </c>
      <c r="BH1" t="s">
        <v>13</v>
      </c>
      <c r="BI1" t="s">
        <v>4</v>
      </c>
      <c r="BJ1"/>
      <c r="BK1" s="300" t="s">
        <v>2108</v>
      </c>
      <c r="BL1" s="248" t="s">
        <v>3093</v>
      </c>
      <c r="BM1" s="248"/>
      <c r="BN1" t="s">
        <v>0</v>
      </c>
      <c r="BO1" t="s">
        <v>7</v>
      </c>
      <c r="BP1" t="s">
        <v>8</v>
      </c>
      <c r="BQ1" t="s">
        <v>9</v>
      </c>
      <c r="BR1" t="s">
        <v>10</v>
      </c>
      <c r="BS1" t="s">
        <v>11</v>
      </c>
      <c r="BT1" t="s">
        <v>12</v>
      </c>
      <c r="BU1" t="s">
        <v>13</v>
      </c>
      <c r="BV1" t="s">
        <v>3</v>
      </c>
      <c r="BX1" s="248" t="s">
        <v>3092</v>
      </c>
      <c r="BY1" s="248"/>
      <c r="BZ1" t="s">
        <v>0</v>
      </c>
      <c r="CA1" t="s">
        <v>7</v>
      </c>
      <c r="CB1" t="s">
        <v>8</v>
      </c>
      <c r="CC1" t="s">
        <v>9</v>
      </c>
      <c r="CD1" t="s">
        <v>10</v>
      </c>
      <c r="CE1" t="s">
        <v>11</v>
      </c>
      <c r="CF1" t="s">
        <v>12</v>
      </c>
      <c r="CG1" t="s">
        <v>13</v>
      </c>
      <c r="CH1" t="s">
        <v>4</v>
      </c>
    </row>
    <row r="2" spans="1:86" x14ac:dyDescent="0.35">
      <c r="A2" t="s">
        <v>14</v>
      </c>
      <c r="B2">
        <v>2063</v>
      </c>
      <c r="C2" t="s">
        <v>1528</v>
      </c>
      <c r="D2" s="44">
        <f>LEN(TblAgencies[[#This Row],[InstNm]])</f>
        <v>10</v>
      </c>
      <c r="E2" s="44" t="s">
        <v>1900</v>
      </c>
      <c r="F2" s="44" t="s">
        <v>1900</v>
      </c>
      <c r="G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2" s="44"/>
      <c r="I2" s="44"/>
      <c r="J2" s="44"/>
      <c r="K2" s="44"/>
      <c r="L2" s="300"/>
      <c r="M2" s="44"/>
      <c r="N2" s="44">
        <v>2063</v>
      </c>
      <c r="O2" t="s">
        <v>14</v>
      </c>
      <c r="P2" s="1">
        <v>3545.9753821381591</v>
      </c>
      <c r="Q2" s="1">
        <v>0</v>
      </c>
      <c r="R2" s="1">
        <v>0</v>
      </c>
      <c r="S2" s="1">
        <v>0</v>
      </c>
      <c r="T2" s="1">
        <v>0</v>
      </c>
      <c r="U2" s="1">
        <v>0</v>
      </c>
      <c r="V2" s="1">
        <v>0</v>
      </c>
      <c r="W2" s="1">
        <v>3545.9753821381591</v>
      </c>
      <c r="X2" s="1">
        <f>tblSection6111416[[#This Row],[Net Total]]*0.15</f>
        <v>531.89630732072385</v>
      </c>
      <c r="Y2" s="1"/>
      <c r="AA2" s="44">
        <v>2063</v>
      </c>
      <c r="AB2" t="s">
        <v>14</v>
      </c>
      <c r="AC2" s="1">
        <v>484.4116246228603</v>
      </c>
      <c r="AD2" s="1">
        <v>0</v>
      </c>
      <c r="AE2" s="1">
        <v>0</v>
      </c>
      <c r="AF2" s="1">
        <v>0</v>
      </c>
      <c r="AG2" s="1">
        <v>0</v>
      </c>
      <c r="AH2" s="1">
        <v>0</v>
      </c>
      <c r="AI2" s="1">
        <v>484.4116246228603</v>
      </c>
      <c r="AJ2" s="1">
        <f>tblSection6191517[[#This Row],[Net Total]]*0.15</f>
        <v>72.661743693429045</v>
      </c>
      <c r="AK2" s="1"/>
      <c r="AL2" s="300"/>
      <c r="AM2" s="44"/>
      <c r="AN2" s="44">
        <v>2063</v>
      </c>
      <c r="AO2" t="s">
        <v>14</v>
      </c>
      <c r="AP2" s="247">
        <v>3545.9753821381591</v>
      </c>
      <c r="AQ2" s="247">
        <v>0</v>
      </c>
      <c r="AR2" s="247">
        <v>0</v>
      </c>
      <c r="AS2" s="247">
        <v>0</v>
      </c>
      <c r="AT2" s="247">
        <v>0</v>
      </c>
      <c r="AU2" s="247">
        <v>0</v>
      </c>
      <c r="AV2" s="247">
        <v>0</v>
      </c>
      <c r="AW2" s="247">
        <v>3545.9753821381591</v>
      </c>
      <c r="AX2" s="1">
        <f>tblSection61114[[#This Row],[Gross Total]]*0.15</f>
        <v>531.89630732072385</v>
      </c>
      <c r="AZ2" s="44">
        <v>2063</v>
      </c>
      <c r="BA2" t="s">
        <v>14</v>
      </c>
      <c r="BB2" s="247">
        <v>484.4116246228603</v>
      </c>
      <c r="BC2" s="247">
        <v>0</v>
      </c>
      <c r="BD2" s="247">
        <v>0</v>
      </c>
      <c r="BE2" s="247">
        <v>0</v>
      </c>
      <c r="BF2" s="247">
        <v>0</v>
      </c>
      <c r="BG2" s="247">
        <v>0</v>
      </c>
      <c r="BH2" s="247">
        <v>484.4116246228603</v>
      </c>
      <c r="BI2" s="1">
        <f>tblSection61915[[#This Row],[Gross Total]]*0.15</f>
        <v>72.661743693429045</v>
      </c>
      <c r="BJ2" s="44"/>
      <c r="BK2" s="300"/>
      <c r="BM2" s="44">
        <v>2063</v>
      </c>
      <c r="BN2" t="s">
        <v>14</v>
      </c>
      <c r="BO2" s="1">
        <v>3999</v>
      </c>
      <c r="BP2" s="1">
        <v>0</v>
      </c>
      <c r="BQ2" s="1">
        <v>0</v>
      </c>
      <c r="BR2" s="1">
        <v>0</v>
      </c>
      <c r="BS2" s="1">
        <v>0</v>
      </c>
      <c r="BT2" s="1">
        <v>0</v>
      </c>
      <c r="BU2" s="1">
        <f>SUM(tblSection611[[#This Row],[LEA/District]:[ECSE]])</f>
        <v>3999</v>
      </c>
      <c r="BV2" s="1">
        <f>tblSection611[[#This Row],[Gross Total]]*0.15</f>
        <v>599.85</v>
      </c>
      <c r="BW2" s="1"/>
      <c r="BY2" s="44">
        <v>2063</v>
      </c>
      <c r="BZ2" t="s">
        <v>14</v>
      </c>
      <c r="CA2" s="1">
        <v>472</v>
      </c>
      <c r="CB2" s="1">
        <v>0</v>
      </c>
      <c r="CC2" s="1">
        <v>0</v>
      </c>
      <c r="CD2" s="1">
        <v>0</v>
      </c>
      <c r="CE2" s="1">
        <v>0</v>
      </c>
      <c r="CF2" s="1">
        <v>0</v>
      </c>
      <c r="CG2" s="1">
        <f>SUM(tblSection619[[#This Row],[LEA/District]:[ECSE]])</f>
        <v>472</v>
      </c>
      <c r="CH2" s="1">
        <f>tblSection619[[#This Row],[Gross Total]]*0.15</f>
        <v>70.8</v>
      </c>
    </row>
    <row r="3" spans="1:86" x14ac:dyDescent="0.35">
      <c r="A3" t="s">
        <v>17</v>
      </c>
      <c r="B3">
        <v>2113</v>
      </c>
      <c r="C3" t="s">
        <v>1528</v>
      </c>
      <c r="D3" s="44">
        <f>LEN(TblAgencies[[#This Row],[InstNm]])</f>
        <v>12</v>
      </c>
      <c r="E3" s="44" t="s">
        <v>1900</v>
      </c>
      <c r="F3" s="44" t="s">
        <v>1900</v>
      </c>
      <c r="G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3" s="44"/>
      <c r="I3" s="44"/>
      <c r="J3" s="44"/>
      <c r="K3" s="44"/>
      <c r="L3" s="300"/>
      <c r="M3" s="44"/>
      <c r="N3" s="44">
        <v>2113</v>
      </c>
      <c r="O3" t="s">
        <v>17</v>
      </c>
      <c r="P3" s="1">
        <v>60794.753909640007</v>
      </c>
      <c r="Q3" s="1">
        <v>0</v>
      </c>
      <c r="R3" s="1">
        <v>0</v>
      </c>
      <c r="S3" s="1">
        <v>0</v>
      </c>
      <c r="T3" s="1">
        <v>0</v>
      </c>
      <c r="U3" s="1">
        <v>0</v>
      </c>
      <c r="V3" s="1">
        <v>0</v>
      </c>
      <c r="W3" s="1">
        <v>60794.753909640007</v>
      </c>
      <c r="X3" s="1">
        <f>tblSection6111416[[#This Row],[Net Total]]*0.15</f>
        <v>9119.2130864460014</v>
      </c>
      <c r="Y3" s="1"/>
      <c r="AA3" s="44">
        <v>2113</v>
      </c>
      <c r="AB3" t="s">
        <v>17</v>
      </c>
      <c r="AC3" s="1">
        <v>353.91329711468325</v>
      </c>
      <c r="AD3" s="1">
        <v>0</v>
      </c>
      <c r="AE3" s="1">
        <v>0</v>
      </c>
      <c r="AF3" s="1">
        <v>0</v>
      </c>
      <c r="AG3" s="1">
        <v>0</v>
      </c>
      <c r="AH3" s="1">
        <v>0</v>
      </c>
      <c r="AI3" s="1">
        <v>353.91329711468325</v>
      </c>
      <c r="AJ3" s="1">
        <f>tblSection6191517[[#This Row],[Net Total]]*0.15</f>
        <v>53.086994567202488</v>
      </c>
      <c r="AK3" s="1"/>
      <c r="AL3" s="300"/>
      <c r="AM3" s="44"/>
      <c r="AN3" s="44">
        <v>2113</v>
      </c>
      <c r="AO3" t="s">
        <v>17</v>
      </c>
      <c r="AP3" s="247">
        <v>60794.753909640007</v>
      </c>
      <c r="AQ3" s="247">
        <v>0</v>
      </c>
      <c r="AR3" s="247">
        <v>0</v>
      </c>
      <c r="AS3" s="247">
        <v>0</v>
      </c>
      <c r="AT3" s="247">
        <v>0</v>
      </c>
      <c r="AU3" s="247">
        <v>0</v>
      </c>
      <c r="AV3" s="247">
        <v>0</v>
      </c>
      <c r="AW3" s="247">
        <v>60794.753909640007</v>
      </c>
      <c r="AX3" s="1">
        <f>tblSection61114[[#This Row],[Gross Total]]*0.15</f>
        <v>9119.2130864460014</v>
      </c>
      <c r="AZ3" s="44">
        <v>2113</v>
      </c>
      <c r="BA3" t="s">
        <v>17</v>
      </c>
      <c r="BB3" s="247">
        <v>353.91329711468325</v>
      </c>
      <c r="BC3" s="247">
        <v>0</v>
      </c>
      <c r="BD3" s="247">
        <v>0</v>
      </c>
      <c r="BE3" s="247">
        <v>0</v>
      </c>
      <c r="BF3" s="247">
        <v>0</v>
      </c>
      <c r="BG3" s="247">
        <v>0</v>
      </c>
      <c r="BH3" s="247">
        <v>353.91329711468325</v>
      </c>
      <c r="BI3" s="1">
        <f>tblSection61915[[#This Row],[Gross Total]]*0.15</f>
        <v>53.086994567202488</v>
      </c>
      <c r="BJ3" s="44"/>
      <c r="BK3" s="300"/>
      <c r="BM3" s="44">
        <v>2113</v>
      </c>
      <c r="BN3" t="s">
        <v>17</v>
      </c>
      <c r="BO3" s="1">
        <v>54511</v>
      </c>
      <c r="BP3" s="1">
        <v>0</v>
      </c>
      <c r="BQ3" s="1">
        <v>0</v>
      </c>
      <c r="BR3" s="1">
        <v>0</v>
      </c>
      <c r="BS3" s="1">
        <v>0</v>
      </c>
      <c r="BT3" s="1">
        <v>2795</v>
      </c>
      <c r="BU3" s="1">
        <f>SUM(tblSection611[[#This Row],[LEA/District]:[ECSE]])</f>
        <v>57306</v>
      </c>
      <c r="BV3" s="1">
        <f>tblSection611[[#This Row],[Gross Total]]*0.15</f>
        <v>8595.9</v>
      </c>
      <c r="BW3" s="1"/>
      <c r="BY3" s="44">
        <v>2113</v>
      </c>
      <c r="BZ3" t="s">
        <v>17</v>
      </c>
      <c r="CA3" s="1">
        <v>0</v>
      </c>
      <c r="CB3" s="1">
        <v>0</v>
      </c>
      <c r="CC3" s="1">
        <v>0</v>
      </c>
      <c r="CD3" s="1">
        <v>0</v>
      </c>
      <c r="CE3" s="1">
        <v>0</v>
      </c>
      <c r="CF3" s="1">
        <v>406</v>
      </c>
      <c r="CG3" s="1">
        <f>SUM(tblSection619[[#This Row],[LEA/District]:[ECSE]])</f>
        <v>406</v>
      </c>
      <c r="CH3" s="1">
        <f>tblSection619[[#This Row],[Gross Total]]*0.15</f>
        <v>60.9</v>
      </c>
    </row>
    <row r="4" spans="1:86" x14ac:dyDescent="0.35">
      <c r="A4" t="s">
        <v>20</v>
      </c>
      <c r="B4">
        <v>1899</v>
      </c>
      <c r="C4" t="s">
        <v>1528</v>
      </c>
      <c r="D4" s="44">
        <f>LEN(TblAgencies[[#This Row],[InstNm]])</f>
        <v>11</v>
      </c>
      <c r="E4" s="44" t="s">
        <v>1900</v>
      </c>
      <c r="F4" s="44" t="s">
        <v>1900</v>
      </c>
      <c r="G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4" s="44"/>
      <c r="I4" s="44" t="s">
        <v>3107</v>
      </c>
      <c r="J4" s="44"/>
      <c r="K4" s="44"/>
      <c r="L4" s="300"/>
      <c r="M4" s="44"/>
      <c r="N4" s="44">
        <v>1899</v>
      </c>
      <c r="O4" t="s">
        <v>20</v>
      </c>
      <c r="P4" s="1">
        <v>94297.699610790645</v>
      </c>
      <c r="Q4" s="1">
        <v>24247.979899917591</v>
      </c>
      <c r="R4" s="1">
        <v>0</v>
      </c>
      <c r="S4" s="1">
        <v>0</v>
      </c>
      <c r="T4" s="1">
        <v>0</v>
      </c>
      <c r="U4" s="1">
        <v>0</v>
      </c>
      <c r="V4" s="1">
        <v>4041.3299833195983</v>
      </c>
      <c r="W4" s="1">
        <v>94297.699610790631</v>
      </c>
      <c r="X4" s="1">
        <f>tblSection6111416[[#This Row],[Net Total]]*0.15</f>
        <v>14144.654941618594</v>
      </c>
      <c r="Y4" s="1"/>
      <c r="AA4" s="44">
        <v>1899</v>
      </c>
      <c r="AB4" t="s">
        <v>20</v>
      </c>
      <c r="AC4" s="1">
        <v>0</v>
      </c>
      <c r="AD4" s="1">
        <v>1050.8251093647684</v>
      </c>
      <c r="AE4" s="1">
        <v>0</v>
      </c>
      <c r="AF4" s="1">
        <v>0</v>
      </c>
      <c r="AG4" s="1">
        <v>0</v>
      </c>
      <c r="AH4" s="1">
        <v>1576.2376640471525</v>
      </c>
      <c r="AI4" s="1">
        <v>0</v>
      </c>
      <c r="AJ4" s="1">
        <f>tblSection6191517[[#This Row],[Net Total]]*0.15</f>
        <v>0</v>
      </c>
      <c r="AK4" s="1"/>
      <c r="AL4" s="300"/>
      <c r="AM4" s="44"/>
      <c r="AN4" s="44">
        <v>1899</v>
      </c>
      <c r="AO4" t="s">
        <v>20</v>
      </c>
      <c r="AP4" s="247">
        <v>94297.699610790645</v>
      </c>
      <c r="AQ4" s="247">
        <v>24247.979899917591</v>
      </c>
      <c r="AR4" s="247">
        <v>0</v>
      </c>
      <c r="AS4" s="247">
        <v>0</v>
      </c>
      <c r="AT4" s="247">
        <v>0</v>
      </c>
      <c r="AU4" s="247">
        <v>0</v>
      </c>
      <c r="AV4" s="247">
        <v>1347.1099944398661</v>
      </c>
      <c r="AW4" s="247">
        <v>119892.78950514809</v>
      </c>
      <c r="AX4" s="1">
        <f>tblSection61114[[#This Row],[Gross Total]]*0.15</f>
        <v>17983.918425772212</v>
      </c>
      <c r="AZ4" s="44">
        <v>1899</v>
      </c>
      <c r="BA4" t="s">
        <v>20</v>
      </c>
      <c r="BB4" s="247">
        <v>0</v>
      </c>
      <c r="BC4" s="247">
        <v>1050.8251093647684</v>
      </c>
      <c r="BD4" s="247">
        <v>0</v>
      </c>
      <c r="BE4" s="247">
        <v>0</v>
      </c>
      <c r="BF4" s="247">
        <v>0</v>
      </c>
      <c r="BG4" s="247">
        <v>525.41255468238421</v>
      </c>
      <c r="BH4" s="247">
        <v>1576.2376640471525</v>
      </c>
      <c r="BI4" s="1">
        <f>tblSection61915[[#This Row],[Gross Total]]*0.15</f>
        <v>236.43564960707286</v>
      </c>
      <c r="BJ4" s="44"/>
      <c r="BK4" s="300"/>
      <c r="BM4" s="44">
        <v>1899</v>
      </c>
      <c r="BN4" t="s">
        <v>20</v>
      </c>
      <c r="BO4" s="1">
        <v>96991</v>
      </c>
      <c r="BP4" s="1">
        <v>16998</v>
      </c>
      <c r="BQ4" s="1">
        <v>0</v>
      </c>
      <c r="BR4" s="1">
        <v>0</v>
      </c>
      <c r="BS4" s="1">
        <v>0</v>
      </c>
      <c r="BT4" s="1">
        <v>1000</v>
      </c>
      <c r="BU4" s="1">
        <f>SUM(tblSection611[[#This Row],[LEA/District]:[ECSE]])</f>
        <v>114989</v>
      </c>
      <c r="BV4" s="1">
        <f>tblSection611[[#This Row],[Gross Total]]*0.15</f>
        <v>17248.349999999999</v>
      </c>
      <c r="BW4" s="1"/>
      <c r="BY4" s="44">
        <v>1899</v>
      </c>
      <c r="BZ4" t="s">
        <v>20</v>
      </c>
      <c r="CA4" s="1">
        <v>1419</v>
      </c>
      <c r="CB4" s="1">
        <v>0</v>
      </c>
      <c r="CC4" s="1">
        <v>0</v>
      </c>
      <c r="CD4" s="1">
        <v>0</v>
      </c>
      <c r="CE4" s="1">
        <v>0</v>
      </c>
      <c r="CF4" s="1">
        <v>355</v>
      </c>
      <c r="CG4" s="1">
        <f>SUM(tblSection619[[#This Row],[LEA/District]:[ECSE]])</f>
        <v>1774</v>
      </c>
      <c r="CH4" s="1">
        <f>tblSection619[[#This Row],[Gross Total]]*0.15</f>
        <v>266.09999999999997</v>
      </c>
    </row>
    <row r="5" spans="1:86" x14ac:dyDescent="0.35">
      <c r="A5" t="s">
        <v>21</v>
      </c>
      <c r="B5">
        <v>2252</v>
      </c>
      <c r="C5" t="s">
        <v>1528</v>
      </c>
      <c r="D5" s="44">
        <f>LEN(TblAgencies[[#This Row],[InstNm]])</f>
        <v>11</v>
      </c>
      <c r="E5" s="44" t="s">
        <v>1900</v>
      </c>
      <c r="F5" s="44" t="s">
        <v>1900</v>
      </c>
      <c r="G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5" s="44"/>
      <c r="I5" s="252" t="s">
        <v>3100</v>
      </c>
      <c r="J5" s="44"/>
      <c r="K5" s="44"/>
      <c r="L5" s="300"/>
      <c r="M5" s="44"/>
      <c r="N5" s="44">
        <v>2252</v>
      </c>
      <c r="O5" t="s">
        <v>21</v>
      </c>
      <c r="P5" s="1">
        <v>168461.08093140033</v>
      </c>
      <c r="Q5" s="1">
        <v>50889.284864693844</v>
      </c>
      <c r="R5" s="1">
        <v>0</v>
      </c>
      <c r="S5" s="1">
        <v>0</v>
      </c>
      <c r="T5" s="1">
        <v>0</v>
      </c>
      <c r="U5" s="1">
        <v>0</v>
      </c>
      <c r="V5" s="1">
        <v>21057.635116425037</v>
      </c>
      <c r="W5" s="1">
        <v>168461.08093140036</v>
      </c>
      <c r="X5" s="1">
        <f>tblSection6111416[[#This Row],[Net Total]]*0.15</f>
        <v>25269.162139710053</v>
      </c>
      <c r="Y5" s="1"/>
      <c r="AA5" s="44">
        <v>2252</v>
      </c>
      <c r="AB5" t="s">
        <v>21</v>
      </c>
      <c r="AC5" s="1">
        <v>0</v>
      </c>
      <c r="AD5" s="1">
        <v>3823.1991160336497</v>
      </c>
      <c r="AE5" s="1">
        <v>0</v>
      </c>
      <c r="AF5" s="1">
        <v>0</v>
      </c>
      <c r="AG5" s="1">
        <v>0</v>
      </c>
      <c r="AH5" s="1">
        <v>7646.3982320673003</v>
      </c>
      <c r="AI5" s="1">
        <v>0</v>
      </c>
      <c r="AJ5" s="1">
        <f>tblSection6191517[[#This Row],[Net Total]]*0.15</f>
        <v>0</v>
      </c>
      <c r="AK5" s="1"/>
      <c r="AL5" s="300"/>
      <c r="AM5" s="44"/>
      <c r="AN5" s="44">
        <v>2252</v>
      </c>
      <c r="AO5" t="s">
        <v>21</v>
      </c>
      <c r="AP5" s="247">
        <v>168461.08093140033</v>
      </c>
      <c r="AQ5" s="247">
        <v>50889.284864693844</v>
      </c>
      <c r="AR5" s="247">
        <v>0</v>
      </c>
      <c r="AS5" s="247">
        <v>0</v>
      </c>
      <c r="AT5" s="247">
        <v>0</v>
      </c>
      <c r="AU5" s="247">
        <v>0</v>
      </c>
      <c r="AV5" s="247">
        <v>12283.620484581272</v>
      </c>
      <c r="AW5" s="247">
        <v>231633.98628067545</v>
      </c>
      <c r="AX5" s="1">
        <f>tblSection61114[[#This Row],[Gross Total]]*0.15</f>
        <v>34745.097942101318</v>
      </c>
      <c r="AZ5" s="44">
        <v>2252</v>
      </c>
      <c r="BA5" t="s">
        <v>21</v>
      </c>
      <c r="BB5" s="247">
        <v>0</v>
      </c>
      <c r="BC5" s="247">
        <v>3823.1991160336497</v>
      </c>
      <c r="BD5" s="247">
        <v>0</v>
      </c>
      <c r="BE5" s="247">
        <v>0</v>
      </c>
      <c r="BF5" s="247">
        <v>0</v>
      </c>
      <c r="BG5" s="247">
        <v>4460.3989687059247</v>
      </c>
      <c r="BH5" s="247">
        <v>8283.5980847395749</v>
      </c>
      <c r="BI5" s="1">
        <f>tblSection61915[[#This Row],[Gross Total]]*0.15</f>
        <v>1242.5397127109361</v>
      </c>
      <c r="BJ5" s="44"/>
      <c r="BK5" s="300"/>
      <c r="BM5" s="44">
        <v>2252</v>
      </c>
      <c r="BN5" t="s">
        <v>21</v>
      </c>
      <c r="BO5" s="1">
        <v>136222</v>
      </c>
      <c r="BP5" s="1">
        <v>31648</v>
      </c>
      <c r="BQ5" s="1">
        <v>0</v>
      </c>
      <c r="BR5" s="1">
        <v>0</v>
      </c>
      <c r="BS5" s="1">
        <v>0</v>
      </c>
      <c r="BT5" s="1">
        <v>15136</v>
      </c>
      <c r="BU5" s="1">
        <f>SUM(tblSection611[[#This Row],[LEA/District]:[ECSE]])</f>
        <v>183006</v>
      </c>
      <c r="BV5" s="1">
        <f>tblSection611[[#This Row],[Gross Total]]*0.15</f>
        <v>27450.899999999998</v>
      </c>
      <c r="BW5" s="1"/>
      <c r="BY5" s="44">
        <v>2252</v>
      </c>
      <c r="BZ5" t="s">
        <v>21</v>
      </c>
      <c r="CA5" s="1">
        <v>1201</v>
      </c>
      <c r="CB5" s="1">
        <v>0</v>
      </c>
      <c r="CC5" s="1">
        <v>0</v>
      </c>
      <c r="CD5" s="1">
        <v>0</v>
      </c>
      <c r="CE5" s="1">
        <v>0</v>
      </c>
      <c r="CF5" s="1">
        <v>6603</v>
      </c>
      <c r="CG5" s="1">
        <f>SUM(tblSection619[[#This Row],[LEA/District]:[ECSE]])</f>
        <v>7804</v>
      </c>
      <c r="CH5" s="1">
        <f>tblSection619[[#This Row],[Gross Total]]*0.15</f>
        <v>1170.5999999999999</v>
      </c>
    </row>
    <row r="6" spans="1:86" x14ac:dyDescent="0.35">
      <c r="A6" t="s">
        <v>23</v>
      </c>
      <c r="B6">
        <v>2111</v>
      </c>
      <c r="C6" t="s">
        <v>1528</v>
      </c>
      <c r="D6" s="44">
        <f>LEN(TblAgencies[[#This Row],[InstNm]])</f>
        <v>11</v>
      </c>
      <c r="E6" s="44" t="s">
        <v>1900</v>
      </c>
      <c r="F6" s="44" t="s">
        <v>1900</v>
      </c>
      <c r="G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6" s="44"/>
      <c r="I6" s="252" t="s">
        <v>3101</v>
      </c>
      <c r="J6" s="44"/>
      <c r="K6" s="44"/>
      <c r="L6" s="300"/>
      <c r="M6" s="44"/>
      <c r="N6" s="44">
        <v>2111</v>
      </c>
      <c r="O6" t="s">
        <v>23</v>
      </c>
      <c r="P6" s="1">
        <v>24107.898425759471</v>
      </c>
      <c r="Q6" s="1">
        <v>0</v>
      </c>
      <c r="R6" s="1">
        <v>0</v>
      </c>
      <c r="S6" s="1">
        <v>0</v>
      </c>
      <c r="T6" s="1">
        <v>0</v>
      </c>
      <c r="U6" s="1">
        <v>0</v>
      </c>
      <c r="V6" s="1">
        <v>0</v>
      </c>
      <c r="W6" s="1">
        <v>24107.898425759471</v>
      </c>
      <c r="X6" s="1">
        <f>tblSection6111416[[#This Row],[Net Total]]*0.15</f>
        <v>3616.1847638639206</v>
      </c>
      <c r="Y6" s="1"/>
      <c r="AA6" s="44">
        <v>2111</v>
      </c>
      <c r="AB6" t="s">
        <v>23</v>
      </c>
      <c r="AC6" s="1">
        <v>814.00235583533811</v>
      </c>
      <c r="AD6" s="1">
        <v>0</v>
      </c>
      <c r="AE6" s="1">
        <v>0</v>
      </c>
      <c r="AF6" s="1">
        <v>0</v>
      </c>
      <c r="AG6" s="1">
        <v>0</v>
      </c>
      <c r="AH6" s="1">
        <v>0</v>
      </c>
      <c r="AI6" s="1">
        <v>814.00235583533811</v>
      </c>
      <c r="AJ6" s="1">
        <f>tblSection6191517[[#This Row],[Net Total]]*0.15</f>
        <v>122.10035337530071</v>
      </c>
      <c r="AK6" s="1"/>
      <c r="AL6" s="300"/>
      <c r="AM6" s="44"/>
      <c r="AN6" s="44">
        <v>2111</v>
      </c>
      <c r="AO6" t="s">
        <v>23</v>
      </c>
      <c r="AP6" s="247">
        <v>24107.898425759471</v>
      </c>
      <c r="AQ6" s="247">
        <v>0</v>
      </c>
      <c r="AR6" s="247">
        <v>0</v>
      </c>
      <c r="AS6" s="247">
        <v>0</v>
      </c>
      <c r="AT6" s="247">
        <v>0</v>
      </c>
      <c r="AU6" s="247">
        <v>0</v>
      </c>
      <c r="AV6" s="247">
        <v>0</v>
      </c>
      <c r="AW6" s="247">
        <v>24107.898425759471</v>
      </c>
      <c r="AX6" s="1">
        <f>tblSection61114[[#This Row],[Gross Total]]*0.15</f>
        <v>3616.1847638639206</v>
      </c>
      <c r="AZ6" s="44">
        <v>2111</v>
      </c>
      <c r="BA6" t="s">
        <v>23</v>
      </c>
      <c r="BB6" s="247">
        <v>814.00235583533811</v>
      </c>
      <c r="BC6" s="247">
        <v>0</v>
      </c>
      <c r="BD6" s="247">
        <v>0</v>
      </c>
      <c r="BE6" s="247">
        <v>0</v>
      </c>
      <c r="BF6" s="247">
        <v>0</v>
      </c>
      <c r="BG6" s="247">
        <v>0</v>
      </c>
      <c r="BH6" s="247">
        <v>814.00235583533811</v>
      </c>
      <c r="BI6" s="1">
        <f>tblSection61915[[#This Row],[Gross Total]]*0.15</f>
        <v>122.10035337530071</v>
      </c>
      <c r="BJ6" s="44"/>
      <c r="BK6" s="300"/>
      <c r="BM6" s="44">
        <v>2111</v>
      </c>
      <c r="BN6" t="s">
        <v>23</v>
      </c>
      <c r="BO6" s="1">
        <v>24457</v>
      </c>
      <c r="BP6" s="1">
        <v>0</v>
      </c>
      <c r="BQ6" s="1">
        <v>0</v>
      </c>
      <c r="BR6" s="1">
        <v>0</v>
      </c>
      <c r="BS6" s="1">
        <v>0</v>
      </c>
      <c r="BT6" s="1">
        <v>0</v>
      </c>
      <c r="BU6" s="1">
        <f>SUM(tblSection611[[#This Row],[LEA/District]:[ECSE]])</f>
        <v>24457</v>
      </c>
      <c r="BV6" s="1">
        <f>tblSection611[[#This Row],[Gross Total]]*0.15</f>
        <v>3668.5499999999997</v>
      </c>
      <c r="BW6" s="1"/>
      <c r="BY6" s="44">
        <v>2111</v>
      </c>
      <c r="BZ6" t="s">
        <v>23</v>
      </c>
      <c r="CA6" s="1">
        <v>793</v>
      </c>
      <c r="CB6" s="1">
        <v>0</v>
      </c>
      <c r="CC6" s="1">
        <v>0</v>
      </c>
      <c r="CD6" s="1">
        <v>0</v>
      </c>
      <c r="CE6" s="1">
        <v>0</v>
      </c>
      <c r="CF6" s="1">
        <v>0</v>
      </c>
      <c r="CG6" s="1">
        <f>SUM(tblSection619[[#This Row],[LEA/District]:[ECSE]])</f>
        <v>793</v>
      </c>
      <c r="CH6" s="1">
        <f>tblSection619[[#This Row],[Gross Total]]*0.15</f>
        <v>118.94999999999999</v>
      </c>
    </row>
    <row r="7" spans="1:86" x14ac:dyDescent="0.35">
      <c r="A7" t="s">
        <v>24</v>
      </c>
      <c r="B7">
        <v>2005</v>
      </c>
      <c r="C7" t="s">
        <v>1528</v>
      </c>
      <c r="D7" s="44">
        <f>LEN(TblAgencies[[#This Row],[InstNm]])</f>
        <v>14</v>
      </c>
      <c r="E7" s="44" t="s">
        <v>1900</v>
      </c>
      <c r="F7" s="44" t="s">
        <v>1900</v>
      </c>
      <c r="G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7" s="44"/>
      <c r="I7" s="252" t="s">
        <v>3102</v>
      </c>
      <c r="J7" s="44"/>
      <c r="K7" s="44"/>
      <c r="L7" s="300"/>
      <c r="M7" s="44"/>
      <c r="N7" s="44">
        <v>2005</v>
      </c>
      <c r="O7" t="s">
        <v>24</v>
      </c>
      <c r="P7" s="1">
        <v>32925.303925450557</v>
      </c>
      <c r="Q7" s="1">
        <v>1567.8716154976453</v>
      </c>
      <c r="R7" s="1">
        <v>0</v>
      </c>
      <c r="S7" s="1">
        <v>0</v>
      </c>
      <c r="T7" s="1">
        <v>0</v>
      </c>
      <c r="U7" s="1">
        <v>0</v>
      </c>
      <c r="V7" s="1">
        <v>9407.2296929858712</v>
      </c>
      <c r="W7" s="1">
        <v>32925.303925450557</v>
      </c>
      <c r="X7" s="1">
        <f>tblSection6111416[[#This Row],[Net Total]]*0.15</f>
        <v>4938.7955888175829</v>
      </c>
      <c r="Y7" s="1"/>
      <c r="AA7" s="44">
        <v>2005</v>
      </c>
      <c r="AB7" t="s">
        <v>24</v>
      </c>
      <c r="AC7" s="1">
        <v>0</v>
      </c>
      <c r="AD7" s="1">
        <v>131.10011660514792</v>
      </c>
      <c r="AE7" s="1">
        <v>0</v>
      </c>
      <c r="AF7" s="1">
        <v>0</v>
      </c>
      <c r="AG7" s="1">
        <v>0</v>
      </c>
      <c r="AH7" s="1">
        <v>786.60069963088768</v>
      </c>
      <c r="AI7" s="1">
        <v>0</v>
      </c>
      <c r="AJ7" s="1">
        <f>tblSection6191517[[#This Row],[Net Total]]*0.15</f>
        <v>0</v>
      </c>
      <c r="AK7" s="1"/>
      <c r="AL7" s="300"/>
      <c r="AM7" s="44"/>
      <c r="AN7" s="44">
        <v>2005</v>
      </c>
      <c r="AO7" t="s">
        <v>24</v>
      </c>
      <c r="AP7" s="247">
        <v>32925.303925450557</v>
      </c>
      <c r="AQ7" s="247">
        <v>1567.8716154976453</v>
      </c>
      <c r="AR7" s="247">
        <v>0</v>
      </c>
      <c r="AS7" s="247">
        <v>0</v>
      </c>
      <c r="AT7" s="247">
        <v>0</v>
      </c>
      <c r="AU7" s="247">
        <v>0</v>
      </c>
      <c r="AV7" s="247">
        <v>7839.3580774882266</v>
      </c>
      <c r="AW7" s="247">
        <v>42332.533618436428</v>
      </c>
      <c r="AX7" s="1">
        <f>tblSection61114[[#This Row],[Gross Total]]*0.15</f>
        <v>6349.8800427654642</v>
      </c>
      <c r="AZ7" s="44">
        <v>2005</v>
      </c>
      <c r="BA7" t="s">
        <v>24</v>
      </c>
      <c r="BB7" s="247">
        <v>0</v>
      </c>
      <c r="BC7" s="247">
        <v>131.10011660514792</v>
      </c>
      <c r="BD7" s="247">
        <v>0</v>
      </c>
      <c r="BE7" s="247">
        <v>0</v>
      </c>
      <c r="BF7" s="247">
        <v>0</v>
      </c>
      <c r="BG7" s="247">
        <v>655.50058302573973</v>
      </c>
      <c r="BH7" s="247">
        <v>786.60069963088768</v>
      </c>
      <c r="BI7" s="1">
        <f>tblSection61915[[#This Row],[Gross Total]]*0.15</f>
        <v>117.99010494463315</v>
      </c>
      <c r="BJ7" s="44"/>
      <c r="BK7" s="300"/>
      <c r="BM7" s="44">
        <v>2005</v>
      </c>
      <c r="BN7" t="s">
        <v>24</v>
      </c>
      <c r="BO7" s="1">
        <v>30007</v>
      </c>
      <c r="BP7" s="1">
        <v>3159</v>
      </c>
      <c r="BQ7" s="1">
        <v>0</v>
      </c>
      <c r="BR7" s="1">
        <v>0</v>
      </c>
      <c r="BS7" s="1">
        <v>0</v>
      </c>
      <c r="BT7" s="1">
        <v>1579</v>
      </c>
      <c r="BU7" s="1">
        <f>SUM(tblSection611[[#This Row],[LEA/District]:[ECSE]])</f>
        <v>34745</v>
      </c>
      <c r="BV7" s="1">
        <f>tblSection611[[#This Row],[Gross Total]]*0.15</f>
        <v>5211.75</v>
      </c>
      <c r="BW7" s="1"/>
      <c r="BY7" s="44">
        <v>2005</v>
      </c>
      <c r="BZ7" t="s">
        <v>24</v>
      </c>
      <c r="CA7" s="1">
        <v>457</v>
      </c>
      <c r="CB7" s="1">
        <v>0</v>
      </c>
      <c r="CC7" s="1">
        <v>0</v>
      </c>
      <c r="CD7" s="1">
        <v>0</v>
      </c>
      <c r="CE7" s="1">
        <v>0</v>
      </c>
      <c r="CF7" s="1">
        <v>152</v>
      </c>
      <c r="CG7" s="1">
        <f>SUM(tblSection619[[#This Row],[LEA/District]:[ECSE]])</f>
        <v>609</v>
      </c>
      <c r="CH7" s="1">
        <f>tblSection619[[#This Row],[Gross Total]]*0.15</f>
        <v>91.35</v>
      </c>
    </row>
    <row r="8" spans="1:86" x14ac:dyDescent="0.35">
      <c r="A8" t="s">
        <v>25</v>
      </c>
      <c r="B8">
        <v>2115</v>
      </c>
      <c r="C8" t="s">
        <v>1528</v>
      </c>
      <c r="D8" s="44">
        <f>LEN(TblAgencies[[#This Row],[InstNm]])</f>
        <v>11</v>
      </c>
      <c r="E8" s="44" t="s">
        <v>1900</v>
      </c>
      <c r="F8" s="44" t="s">
        <v>1900</v>
      </c>
      <c r="G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8" s="44"/>
      <c r="I8" s="252" t="s">
        <v>3103</v>
      </c>
      <c r="J8" s="44"/>
      <c r="K8" s="44"/>
      <c r="L8" s="300"/>
      <c r="M8" s="44"/>
      <c r="N8" s="44">
        <v>2115</v>
      </c>
      <c r="O8" t="s">
        <v>25</v>
      </c>
      <c r="P8" s="1">
        <v>1555</v>
      </c>
      <c r="Q8" s="1">
        <v>0</v>
      </c>
      <c r="R8" s="1">
        <v>0</v>
      </c>
      <c r="S8" s="1">
        <v>0</v>
      </c>
      <c r="T8" s="1">
        <v>0</v>
      </c>
      <c r="U8" s="1">
        <v>0</v>
      </c>
      <c r="V8" s="1">
        <v>0</v>
      </c>
      <c r="W8" s="1">
        <v>1555</v>
      </c>
      <c r="X8" s="1">
        <f>tblSection6111416[[#This Row],[Net Total]]*0.15</f>
        <v>233.25</v>
      </c>
      <c r="Y8" s="1"/>
      <c r="AA8" s="44">
        <v>2115</v>
      </c>
      <c r="AB8" t="s">
        <v>25</v>
      </c>
      <c r="AC8" s="1">
        <v>0</v>
      </c>
      <c r="AD8" s="1">
        <v>0</v>
      </c>
      <c r="AE8" s="1">
        <v>0</v>
      </c>
      <c r="AF8" s="1">
        <v>0</v>
      </c>
      <c r="AG8" s="1">
        <v>0</v>
      </c>
      <c r="AH8" s="1">
        <v>0</v>
      </c>
      <c r="AI8" s="1">
        <v>0</v>
      </c>
      <c r="AJ8" s="1">
        <f>tblSection6191517[[#This Row],[Net Total]]*0.15</f>
        <v>0</v>
      </c>
      <c r="AK8" s="1"/>
      <c r="AL8" s="300"/>
      <c r="AM8" s="44"/>
      <c r="AN8" s="44">
        <v>2115</v>
      </c>
      <c r="AO8" t="s">
        <v>25</v>
      </c>
      <c r="AP8" s="247">
        <v>1555</v>
      </c>
      <c r="AQ8" s="247">
        <v>0</v>
      </c>
      <c r="AR8" s="247">
        <v>0</v>
      </c>
      <c r="AS8" s="247">
        <v>0</v>
      </c>
      <c r="AT8" s="247">
        <v>0</v>
      </c>
      <c r="AU8" s="247">
        <v>0</v>
      </c>
      <c r="AV8" s="247">
        <v>0</v>
      </c>
      <c r="AW8" s="247">
        <v>1555</v>
      </c>
      <c r="AX8" s="1">
        <f>tblSection61114[[#This Row],[Gross Total]]*0.15</f>
        <v>233.25</v>
      </c>
      <c r="AZ8" s="44">
        <v>2115</v>
      </c>
      <c r="BA8" t="s">
        <v>25</v>
      </c>
      <c r="BB8" s="247">
        <v>0</v>
      </c>
      <c r="BC8" s="247">
        <v>0</v>
      </c>
      <c r="BD8" s="247">
        <v>0</v>
      </c>
      <c r="BE8" s="247">
        <v>0</v>
      </c>
      <c r="BF8" s="247">
        <v>0</v>
      </c>
      <c r="BG8" s="247">
        <v>0</v>
      </c>
      <c r="BH8" s="247">
        <v>0</v>
      </c>
      <c r="BI8" s="1">
        <f>tblSection61915[[#This Row],[Gross Total]]*0.15</f>
        <v>0</v>
      </c>
      <c r="BJ8" s="44"/>
      <c r="BK8" s="300"/>
      <c r="BM8" s="44">
        <v>2115</v>
      </c>
      <c r="BN8" t="s">
        <v>25</v>
      </c>
      <c r="BO8" s="1">
        <v>4071</v>
      </c>
      <c r="BP8" s="1">
        <v>0</v>
      </c>
      <c r="BQ8" s="1">
        <v>0</v>
      </c>
      <c r="BR8" s="1">
        <v>0</v>
      </c>
      <c r="BS8" s="1">
        <v>0</v>
      </c>
      <c r="BT8" s="1">
        <v>0</v>
      </c>
      <c r="BU8" s="1">
        <f>SUM(tblSection611[[#This Row],[LEA/District]:[ECSE]])</f>
        <v>4071</v>
      </c>
      <c r="BV8" s="1">
        <f>tblSection611[[#This Row],[Gross Total]]*0.15</f>
        <v>610.65</v>
      </c>
      <c r="BW8" s="1"/>
      <c r="BY8" s="44">
        <v>2115</v>
      </c>
      <c r="BZ8" t="s">
        <v>25</v>
      </c>
      <c r="CA8" s="1">
        <v>10</v>
      </c>
      <c r="CB8" s="1">
        <v>0</v>
      </c>
      <c r="CC8" s="1">
        <v>0</v>
      </c>
      <c r="CD8" s="1">
        <v>0</v>
      </c>
      <c r="CE8" s="1">
        <v>0</v>
      </c>
      <c r="CF8" s="1">
        <v>0</v>
      </c>
      <c r="CG8" s="1">
        <f>SUM(tblSection619[[#This Row],[LEA/District]:[ECSE]])</f>
        <v>10</v>
      </c>
      <c r="CH8" s="1">
        <f>tblSection619[[#This Row],[Gross Total]]*0.15</f>
        <v>1.5</v>
      </c>
    </row>
    <row r="9" spans="1:86" x14ac:dyDescent="0.35">
      <c r="A9" t="s">
        <v>26</v>
      </c>
      <c r="B9">
        <v>2041</v>
      </c>
      <c r="C9" t="s">
        <v>1527</v>
      </c>
      <c r="D9" s="44">
        <f>LEN(TblAgencies[[#This Row],[InstNm]])</f>
        <v>12</v>
      </c>
      <c r="E9" s="44" t="s">
        <v>1900</v>
      </c>
      <c r="F9" s="44" t="s">
        <v>1900</v>
      </c>
      <c r="G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9" s="44"/>
      <c r="I9" s="252" t="s">
        <v>776</v>
      </c>
      <c r="J9" s="44"/>
      <c r="K9" s="44"/>
      <c r="L9" s="300"/>
      <c r="M9" s="44"/>
      <c r="N9" s="44">
        <v>2041</v>
      </c>
      <c r="O9" t="s">
        <v>26</v>
      </c>
      <c r="P9" s="1">
        <v>457124.10235285806</v>
      </c>
      <c r="Q9" s="1">
        <v>136611.80070315296</v>
      </c>
      <c r="R9" s="1">
        <v>0</v>
      </c>
      <c r="S9" s="1">
        <v>8757.1667117405741</v>
      </c>
      <c r="T9" s="1">
        <v>0</v>
      </c>
      <c r="U9" s="1">
        <v>0</v>
      </c>
      <c r="V9" s="1">
        <v>26271.500135221726</v>
      </c>
      <c r="W9" s="1">
        <v>457124.10235285811</v>
      </c>
      <c r="X9" s="1">
        <f>tblSection6111416[[#This Row],[Net Total]]*0.15</f>
        <v>68568.615352928711</v>
      </c>
      <c r="Y9" s="1"/>
      <c r="AA9" s="44">
        <v>2041</v>
      </c>
      <c r="AB9" t="s">
        <v>26</v>
      </c>
      <c r="AC9" s="1">
        <v>4709.8952569732182</v>
      </c>
      <c r="AD9" s="1">
        <v>1345.6843591352051</v>
      </c>
      <c r="AE9" s="1">
        <v>0</v>
      </c>
      <c r="AF9" s="1">
        <v>0</v>
      </c>
      <c r="AG9" s="1">
        <v>0</v>
      </c>
      <c r="AH9" s="1">
        <v>10092.632693514039</v>
      </c>
      <c r="AI9" s="1">
        <v>4709.8952569732191</v>
      </c>
      <c r="AJ9" s="1">
        <f>tblSection6191517[[#This Row],[Net Total]]*0.15</f>
        <v>706.48428854598285</v>
      </c>
      <c r="AK9" s="1"/>
      <c r="AL9" s="300"/>
      <c r="AM9" s="44"/>
      <c r="AN9" s="44">
        <v>2041</v>
      </c>
      <c r="AO9" t="s">
        <v>26</v>
      </c>
      <c r="AP9" s="247">
        <v>457124.10235285806</v>
      </c>
      <c r="AQ9" s="247">
        <v>136611.80070315296</v>
      </c>
      <c r="AR9" s="247">
        <v>0</v>
      </c>
      <c r="AS9" s="247">
        <v>8757.1667117405741</v>
      </c>
      <c r="AT9" s="247">
        <v>0</v>
      </c>
      <c r="AU9" s="247">
        <v>0</v>
      </c>
      <c r="AV9" s="247">
        <v>24520.066792873611</v>
      </c>
      <c r="AW9" s="247">
        <v>627013.13656062528</v>
      </c>
      <c r="AX9" s="1">
        <f>tblSection61114[[#This Row],[Gross Total]]*0.15</f>
        <v>94051.970484093792</v>
      </c>
      <c r="AZ9" s="44">
        <v>2041</v>
      </c>
      <c r="BA9" t="s">
        <v>26</v>
      </c>
      <c r="BB9" s="247">
        <v>4709.8952569732182</v>
      </c>
      <c r="BC9" s="247">
        <v>1345.6843591352051</v>
      </c>
      <c r="BD9" s="247">
        <v>0</v>
      </c>
      <c r="BE9" s="247">
        <v>0</v>
      </c>
      <c r="BF9" s="247">
        <v>0</v>
      </c>
      <c r="BG9" s="247">
        <v>9419.7905139464365</v>
      </c>
      <c r="BH9" s="247">
        <v>15475.37013005486</v>
      </c>
      <c r="BI9" s="1">
        <f>tblSection61915[[#This Row],[Gross Total]]*0.15</f>
        <v>2321.3055195082288</v>
      </c>
      <c r="BJ9" s="44"/>
      <c r="BK9" s="300"/>
      <c r="BM9" s="44">
        <v>2041</v>
      </c>
      <c r="BN9" t="s">
        <v>26</v>
      </c>
      <c r="BO9" s="1">
        <v>454512</v>
      </c>
      <c r="BP9" s="1">
        <v>124946</v>
      </c>
      <c r="BQ9" s="1">
        <v>0</v>
      </c>
      <c r="BR9" s="1">
        <v>9054</v>
      </c>
      <c r="BS9" s="1">
        <v>0</v>
      </c>
      <c r="BT9" s="1">
        <v>30784</v>
      </c>
      <c r="BU9" s="1">
        <f>SUM(tblSection611[[#This Row],[LEA/District]:[ECSE]])</f>
        <v>619296</v>
      </c>
      <c r="BV9" s="1">
        <f>tblSection611[[#This Row],[Gross Total]]*0.15</f>
        <v>92894.399999999994</v>
      </c>
      <c r="BW9" s="1"/>
      <c r="BY9" s="44">
        <v>2041</v>
      </c>
      <c r="BZ9" t="s">
        <v>26</v>
      </c>
      <c r="CA9" s="1">
        <v>3361</v>
      </c>
      <c r="CB9" s="1">
        <v>672</v>
      </c>
      <c r="CC9" s="1">
        <v>0</v>
      </c>
      <c r="CD9" s="1">
        <v>0</v>
      </c>
      <c r="CE9" s="1">
        <v>0</v>
      </c>
      <c r="CF9" s="1">
        <v>11428</v>
      </c>
      <c r="CG9" s="1">
        <f>SUM(tblSection619[[#This Row],[LEA/District]:[ECSE]])</f>
        <v>15461</v>
      </c>
      <c r="CH9" s="1">
        <f>tblSection619[[#This Row],[Gross Total]]*0.15</f>
        <v>2319.15</v>
      </c>
    </row>
    <row r="10" spans="1:86" x14ac:dyDescent="0.35">
      <c r="A10" t="s">
        <v>27</v>
      </c>
      <c r="B10">
        <v>2051</v>
      </c>
      <c r="C10" t="s">
        <v>1528</v>
      </c>
      <c r="D10" s="44">
        <f>LEN(TblAgencies[[#This Row],[InstNm]])</f>
        <v>12</v>
      </c>
      <c r="E10" s="44" t="s">
        <v>1900</v>
      </c>
      <c r="F10" s="44" t="s">
        <v>1900</v>
      </c>
      <c r="G1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0" s="44"/>
      <c r="I10" s="252" t="s">
        <v>3104</v>
      </c>
      <c r="J10" s="44"/>
      <c r="K10" s="44"/>
      <c r="L10" s="300"/>
      <c r="M10" s="44"/>
      <c r="N10" s="44">
        <v>2051</v>
      </c>
      <c r="O10" t="s">
        <v>27</v>
      </c>
      <c r="P10" s="1">
        <v>0</v>
      </c>
      <c r="Q10" s="1">
        <v>0</v>
      </c>
      <c r="R10" s="1">
        <v>0</v>
      </c>
      <c r="S10" s="1">
        <v>0</v>
      </c>
      <c r="T10" s="1">
        <v>0</v>
      </c>
      <c r="U10" s="1">
        <v>0</v>
      </c>
      <c r="V10" s="1">
        <v>0</v>
      </c>
      <c r="W10" s="1">
        <v>0</v>
      </c>
      <c r="X10" s="1">
        <f>tblSection6111416[[#This Row],[Net Total]]*0.15</f>
        <v>0</v>
      </c>
      <c r="Y10" s="1"/>
      <c r="AA10" s="44">
        <v>2051</v>
      </c>
      <c r="AB10" t="s">
        <v>27</v>
      </c>
      <c r="AC10" s="1">
        <v>0</v>
      </c>
      <c r="AD10" s="1">
        <v>0</v>
      </c>
      <c r="AE10" s="1">
        <v>0</v>
      </c>
      <c r="AF10" s="1">
        <v>0</v>
      </c>
      <c r="AG10" s="1">
        <v>0</v>
      </c>
      <c r="AH10" s="1">
        <v>0</v>
      </c>
      <c r="AI10" s="1">
        <v>0</v>
      </c>
      <c r="AJ10" s="1">
        <f>tblSection6191517[[#This Row],[Net Total]]*0.15</f>
        <v>0</v>
      </c>
      <c r="AK10" s="1"/>
      <c r="AL10" s="300"/>
      <c r="AM10" s="44"/>
      <c r="AN10" s="44">
        <v>2051</v>
      </c>
      <c r="AO10" t="s">
        <v>27</v>
      </c>
      <c r="AP10" s="247">
        <v>0</v>
      </c>
      <c r="AQ10" s="247">
        <v>0</v>
      </c>
      <c r="AR10" s="247">
        <v>0</v>
      </c>
      <c r="AS10" s="247">
        <v>0</v>
      </c>
      <c r="AT10" s="247">
        <v>0</v>
      </c>
      <c r="AU10" s="247">
        <v>0</v>
      </c>
      <c r="AV10" s="247">
        <v>0</v>
      </c>
      <c r="AW10" s="247">
        <v>0</v>
      </c>
      <c r="AX10" s="1">
        <f>tblSection61114[[#This Row],[Gross Total]]*0.15</f>
        <v>0</v>
      </c>
      <c r="AZ10" s="44">
        <v>2051</v>
      </c>
      <c r="BA10" t="s">
        <v>27</v>
      </c>
      <c r="BB10" s="247">
        <v>0</v>
      </c>
      <c r="BC10" s="247">
        <v>0</v>
      </c>
      <c r="BD10" s="247">
        <v>0</v>
      </c>
      <c r="BE10" s="247">
        <v>0</v>
      </c>
      <c r="BF10" s="247">
        <v>0</v>
      </c>
      <c r="BG10" s="247">
        <v>0</v>
      </c>
      <c r="BH10" s="247">
        <v>0</v>
      </c>
      <c r="BI10" s="1">
        <f>tblSection61915[[#This Row],[Gross Total]]*0.15</f>
        <v>0</v>
      </c>
      <c r="BJ10" s="44"/>
      <c r="BK10" s="300"/>
      <c r="BM10" s="44">
        <v>2051</v>
      </c>
      <c r="BN10" t="s">
        <v>27</v>
      </c>
      <c r="BO10" s="1">
        <v>1910</v>
      </c>
      <c r="BP10" s="1">
        <v>0</v>
      </c>
      <c r="BQ10" s="1">
        <v>0</v>
      </c>
      <c r="BR10" s="1">
        <v>0</v>
      </c>
      <c r="BS10" s="1">
        <v>0</v>
      </c>
      <c r="BT10" s="1">
        <v>0</v>
      </c>
      <c r="BU10" s="1">
        <f>SUM(tblSection611[[#This Row],[LEA/District]:[ECSE]])</f>
        <v>1910</v>
      </c>
      <c r="BV10" s="1">
        <f>tblSection611[[#This Row],[Gross Total]]*0.15</f>
        <v>286.5</v>
      </c>
      <c r="BW10" s="1"/>
      <c r="BY10" s="44">
        <v>2051</v>
      </c>
      <c r="BZ10" t="s">
        <v>27</v>
      </c>
      <c r="CA10" s="1">
        <v>7</v>
      </c>
      <c r="CB10" s="1">
        <v>0</v>
      </c>
      <c r="CC10" s="1">
        <v>0</v>
      </c>
      <c r="CD10" s="1">
        <v>0</v>
      </c>
      <c r="CE10" s="1">
        <v>0</v>
      </c>
      <c r="CF10" s="1">
        <v>0</v>
      </c>
      <c r="CG10" s="1">
        <f>SUM(tblSection619[[#This Row],[LEA/District]:[ECSE]])</f>
        <v>7</v>
      </c>
      <c r="CH10" s="1">
        <f>tblSection619[[#This Row],[Gross Total]]*0.15</f>
        <v>1.05</v>
      </c>
    </row>
    <row r="11" spans="1:86" x14ac:dyDescent="0.35">
      <c r="A11" t="s">
        <v>28</v>
      </c>
      <c r="B11">
        <v>1933</v>
      </c>
      <c r="C11" t="s">
        <v>1528</v>
      </c>
      <c r="D11" s="44">
        <f>LEN(TblAgencies[[#This Row],[InstNm]])</f>
        <v>12</v>
      </c>
      <c r="E11" s="44" t="s">
        <v>1900</v>
      </c>
      <c r="F11" s="44" t="s">
        <v>1900</v>
      </c>
      <c r="G1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1" s="44"/>
      <c r="I11" s="252" t="s">
        <v>3105</v>
      </c>
      <c r="J11" s="44"/>
      <c r="K11" s="44"/>
      <c r="L11" s="300"/>
      <c r="M11" s="44"/>
      <c r="N11" s="44">
        <v>1933</v>
      </c>
      <c r="O11" t="s">
        <v>28</v>
      </c>
      <c r="P11" s="1">
        <v>339263.58694050286</v>
      </c>
      <c r="Q11" s="1">
        <v>78548.712247308547</v>
      </c>
      <c r="R11" s="1">
        <v>3342.4983935024911</v>
      </c>
      <c r="S11" s="1">
        <v>0</v>
      </c>
      <c r="T11" s="1">
        <v>0</v>
      </c>
      <c r="U11" s="1">
        <v>0</v>
      </c>
      <c r="V11" s="1">
        <v>46794.977509034878</v>
      </c>
      <c r="W11" s="1">
        <v>339263.58694050286</v>
      </c>
      <c r="X11" s="1">
        <f>tblSection6111416[[#This Row],[Net Total]]*0.15</f>
        <v>50889.53804107543</v>
      </c>
      <c r="Y11" s="1"/>
      <c r="AA11" s="44">
        <v>1933</v>
      </c>
      <c r="AB11" t="s">
        <v>28</v>
      </c>
      <c r="AC11" s="1">
        <v>1537.7699126847704</v>
      </c>
      <c r="AD11" s="1">
        <v>768.88495634238518</v>
      </c>
      <c r="AE11" s="1">
        <v>0</v>
      </c>
      <c r="AF11" s="1">
        <v>0</v>
      </c>
      <c r="AG11" s="1">
        <v>0</v>
      </c>
      <c r="AH11" s="1">
        <v>7176.2595925289288</v>
      </c>
      <c r="AI11" s="1">
        <v>1537.7699126847692</v>
      </c>
      <c r="AJ11" s="1">
        <f>tblSection6191517[[#This Row],[Net Total]]*0.15</f>
        <v>230.66548690271537</v>
      </c>
      <c r="AK11" s="1"/>
      <c r="AL11" s="300"/>
      <c r="AM11" s="44"/>
      <c r="AN11" s="44">
        <v>1933</v>
      </c>
      <c r="AO11" t="s">
        <v>28</v>
      </c>
      <c r="AP11" s="247">
        <v>339263.58694050286</v>
      </c>
      <c r="AQ11" s="247">
        <v>78548.712247308547</v>
      </c>
      <c r="AR11" s="247">
        <v>3342.4983935024911</v>
      </c>
      <c r="AS11" s="247">
        <v>0</v>
      </c>
      <c r="AT11" s="247">
        <v>0</v>
      </c>
      <c r="AU11" s="247">
        <v>0</v>
      </c>
      <c r="AV11" s="247">
        <v>45123.728312283631</v>
      </c>
      <c r="AW11" s="247">
        <v>466278.52589359757</v>
      </c>
      <c r="AX11" s="1">
        <f>tblSection61114[[#This Row],[Gross Total]]*0.15</f>
        <v>69941.778884039639</v>
      </c>
      <c r="AZ11" s="44">
        <v>1933</v>
      </c>
      <c r="BA11" t="s">
        <v>28</v>
      </c>
      <c r="BB11" s="247">
        <v>1537.7699126847704</v>
      </c>
      <c r="BC11" s="247">
        <v>768.88495634238518</v>
      </c>
      <c r="BD11" s="247">
        <v>0</v>
      </c>
      <c r="BE11" s="247">
        <v>0</v>
      </c>
      <c r="BF11" s="247">
        <v>0</v>
      </c>
      <c r="BG11" s="247">
        <v>6919.964607081467</v>
      </c>
      <c r="BH11" s="247">
        <v>9226.6194761086226</v>
      </c>
      <c r="BI11" s="1">
        <f>tblSection61915[[#This Row],[Gross Total]]*0.15</f>
        <v>1383.9929214162933</v>
      </c>
      <c r="BJ11" s="44"/>
      <c r="BK11" s="300"/>
      <c r="BM11" s="44">
        <v>1933</v>
      </c>
      <c r="BN11" t="s">
        <v>28</v>
      </c>
      <c r="BO11" s="1">
        <v>298908</v>
      </c>
      <c r="BP11" s="1">
        <v>57760</v>
      </c>
      <c r="BQ11" s="1">
        <v>2888</v>
      </c>
      <c r="BR11" s="1">
        <v>0</v>
      </c>
      <c r="BS11" s="1">
        <v>0</v>
      </c>
      <c r="BT11" s="1">
        <v>37544</v>
      </c>
      <c r="BU11" s="1">
        <f>SUM(tblSection611[[#This Row],[LEA/District]:[ECSE]])</f>
        <v>397100</v>
      </c>
      <c r="BV11" s="1">
        <f>tblSection611[[#This Row],[Gross Total]]*0.15</f>
        <v>59565</v>
      </c>
      <c r="BW11" s="1"/>
      <c r="BY11" s="44">
        <v>1933</v>
      </c>
      <c r="BZ11" t="s">
        <v>28</v>
      </c>
      <c r="CA11" s="1">
        <v>1782</v>
      </c>
      <c r="CB11" s="1">
        <v>0</v>
      </c>
      <c r="CC11" s="1">
        <v>0</v>
      </c>
      <c r="CD11" s="1">
        <v>0</v>
      </c>
      <c r="CE11" s="1">
        <v>0</v>
      </c>
      <c r="CF11" s="1">
        <v>6617</v>
      </c>
      <c r="CG11" s="1">
        <f>SUM(tblSection619[[#This Row],[LEA/District]:[ECSE]])</f>
        <v>8399</v>
      </c>
      <c r="CH11" s="1">
        <f>tblSection619[[#This Row],[Gross Total]]*0.15</f>
        <v>1259.8499999999999</v>
      </c>
    </row>
    <row r="12" spans="1:86" x14ac:dyDescent="0.35">
      <c r="A12" t="s">
        <v>29</v>
      </c>
      <c r="B12">
        <v>2208</v>
      </c>
      <c r="C12" t="s">
        <v>1528</v>
      </c>
      <c r="D12" s="44">
        <f>LEN(TblAgencies[[#This Row],[InstNm]])</f>
        <v>21</v>
      </c>
      <c r="E12" s="44" t="s">
        <v>1900</v>
      </c>
      <c r="F12" s="44" t="s">
        <v>1900</v>
      </c>
      <c r="G1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2" s="44"/>
      <c r="I12" s="259" t="s">
        <v>3106</v>
      </c>
      <c r="J12" s="44"/>
      <c r="K12" s="44"/>
      <c r="L12" s="300"/>
      <c r="M12" s="44"/>
      <c r="N12" s="44">
        <v>2208</v>
      </c>
      <c r="O12" t="s">
        <v>29</v>
      </c>
      <c r="P12" s="1">
        <v>101903.27552615845</v>
      </c>
      <c r="Q12" s="1">
        <v>25058.182506432404</v>
      </c>
      <c r="R12" s="1">
        <v>0</v>
      </c>
      <c r="S12" s="1">
        <v>0</v>
      </c>
      <c r="T12" s="1">
        <v>0</v>
      </c>
      <c r="U12" s="1">
        <v>0</v>
      </c>
      <c r="V12" s="1">
        <v>8352.7275021441346</v>
      </c>
      <c r="W12" s="1">
        <v>101903.27552615847</v>
      </c>
      <c r="X12" s="1">
        <f>tblSection6111416[[#This Row],[Net Total]]*0.15</f>
        <v>15285.49132892377</v>
      </c>
      <c r="Y12" s="1"/>
      <c r="AA12" s="44">
        <v>2208</v>
      </c>
      <c r="AB12" t="s">
        <v>29</v>
      </c>
      <c r="AC12" s="1">
        <v>1939.5463825142976</v>
      </c>
      <c r="AD12" s="1">
        <v>0</v>
      </c>
      <c r="AE12" s="1">
        <v>0</v>
      </c>
      <c r="AF12" s="1">
        <v>0</v>
      </c>
      <c r="AG12" s="1">
        <v>0</v>
      </c>
      <c r="AH12" s="1">
        <v>3232.5773041904968</v>
      </c>
      <c r="AI12" s="1">
        <v>1939.5463825142979</v>
      </c>
      <c r="AJ12" s="1">
        <f>tblSection6191517[[#This Row],[Net Total]]*0.15</f>
        <v>290.93195737714467</v>
      </c>
      <c r="AK12" s="1"/>
      <c r="AL12" s="300"/>
      <c r="AM12" s="44"/>
      <c r="AN12" s="44">
        <v>2208</v>
      </c>
      <c r="AO12" t="s">
        <v>29</v>
      </c>
      <c r="AP12" s="247">
        <v>101903.27552615845</v>
      </c>
      <c r="AQ12" s="247">
        <v>25058.182506432404</v>
      </c>
      <c r="AR12" s="247">
        <v>0</v>
      </c>
      <c r="AS12" s="247">
        <v>0</v>
      </c>
      <c r="AT12" s="247">
        <v>0</v>
      </c>
      <c r="AU12" s="247">
        <v>0</v>
      </c>
      <c r="AV12" s="247">
        <v>8352.7275021441346</v>
      </c>
      <c r="AW12" s="247">
        <v>135314.18553473501</v>
      </c>
      <c r="AX12" s="1">
        <f>tblSection61114[[#This Row],[Gross Total]]*0.15</f>
        <v>20297.127830210251</v>
      </c>
      <c r="AZ12" s="44">
        <v>2208</v>
      </c>
      <c r="BA12" t="s">
        <v>29</v>
      </c>
      <c r="BB12" s="247">
        <v>1939.5463825142976</v>
      </c>
      <c r="BC12" s="247">
        <v>0</v>
      </c>
      <c r="BD12" s="247">
        <v>0</v>
      </c>
      <c r="BE12" s="247">
        <v>0</v>
      </c>
      <c r="BF12" s="247">
        <v>0</v>
      </c>
      <c r="BG12" s="247">
        <v>3232.5773041904968</v>
      </c>
      <c r="BH12" s="247">
        <v>5172.1236867047946</v>
      </c>
      <c r="BI12" s="1">
        <f>tblSection61915[[#This Row],[Gross Total]]*0.15</f>
        <v>775.8185530057192</v>
      </c>
      <c r="BJ12" s="44"/>
      <c r="BK12" s="300"/>
      <c r="BM12" s="44">
        <v>2208</v>
      </c>
      <c r="BN12" t="s">
        <v>29</v>
      </c>
      <c r="BO12" s="1">
        <v>89300</v>
      </c>
      <c r="BP12" s="1">
        <v>23638</v>
      </c>
      <c r="BQ12" s="1">
        <v>0</v>
      </c>
      <c r="BR12" s="1">
        <v>0</v>
      </c>
      <c r="BS12" s="1">
        <v>0</v>
      </c>
      <c r="BT12" s="1">
        <v>6566</v>
      </c>
      <c r="BU12" s="1">
        <f>SUM(tblSection611[[#This Row],[LEA/District]:[ECSE]])</f>
        <v>119504</v>
      </c>
      <c r="BV12" s="1">
        <f>tblSection611[[#This Row],[Gross Total]]*0.15</f>
        <v>17925.599999999999</v>
      </c>
      <c r="BW12" s="1"/>
      <c r="BY12" s="44">
        <v>2208</v>
      </c>
      <c r="BZ12" t="s">
        <v>29</v>
      </c>
      <c r="CA12" s="1">
        <v>0</v>
      </c>
      <c r="CB12" s="1">
        <v>0</v>
      </c>
      <c r="CC12" s="1">
        <v>0</v>
      </c>
      <c r="CD12" s="1">
        <v>0</v>
      </c>
      <c r="CE12" s="1">
        <v>0</v>
      </c>
      <c r="CF12" s="1">
        <v>4926</v>
      </c>
      <c r="CG12" s="1">
        <f>SUM(tblSection619[[#This Row],[LEA/District]:[ECSE]])</f>
        <v>4926</v>
      </c>
      <c r="CH12" s="1">
        <f>tblSection619[[#This Row],[Gross Total]]*0.15</f>
        <v>738.9</v>
      </c>
    </row>
    <row r="13" spans="1:86" x14ac:dyDescent="0.35">
      <c r="A13" t="s">
        <v>30</v>
      </c>
      <c r="B13">
        <v>1894</v>
      </c>
      <c r="C13" t="s">
        <v>1528</v>
      </c>
      <c r="D13" s="44">
        <f>LEN(TblAgencies[[#This Row],[InstNm]])</f>
        <v>11</v>
      </c>
      <c r="E13" s="44" t="s">
        <v>1900</v>
      </c>
      <c r="F13" s="44" t="s">
        <v>1900</v>
      </c>
      <c r="G1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3" s="44"/>
      <c r="I13" s="44"/>
      <c r="J13" s="44"/>
      <c r="K13" s="44"/>
      <c r="L13" s="300"/>
      <c r="M13" s="44"/>
      <c r="N13" s="44">
        <v>1894</v>
      </c>
      <c r="O13" t="s">
        <v>30</v>
      </c>
      <c r="P13" s="1">
        <v>687291.65894002817</v>
      </c>
      <c r="Q13" s="1">
        <v>120939.7339765715</v>
      </c>
      <c r="R13" s="1">
        <v>0</v>
      </c>
      <c r="S13" s="1">
        <v>0</v>
      </c>
      <c r="T13" s="1">
        <v>0</v>
      </c>
      <c r="U13" s="1">
        <v>0</v>
      </c>
      <c r="V13" s="1">
        <v>32447.245701031377</v>
      </c>
      <c r="W13" s="1">
        <v>687291.65894002817</v>
      </c>
      <c r="X13" s="1">
        <f>tblSection6111416[[#This Row],[Net Total]]*0.15</f>
        <v>103093.74884100423</v>
      </c>
      <c r="Y13" s="1"/>
      <c r="AA13" s="44">
        <v>1894</v>
      </c>
      <c r="AB13" t="s">
        <v>30</v>
      </c>
      <c r="AC13" s="1">
        <v>6905.4037667576022</v>
      </c>
      <c r="AD13" s="1">
        <v>383.63354259764458</v>
      </c>
      <c r="AE13" s="1">
        <v>0</v>
      </c>
      <c r="AF13" s="1">
        <v>0</v>
      </c>
      <c r="AG13" s="1">
        <v>0</v>
      </c>
      <c r="AH13" s="1">
        <v>8439.9379371481809</v>
      </c>
      <c r="AI13" s="1">
        <v>6905.4037667576031</v>
      </c>
      <c r="AJ13" s="1">
        <f>tblSection6191517[[#This Row],[Net Total]]*0.15</f>
        <v>1035.8105650136404</v>
      </c>
      <c r="AK13" s="1"/>
      <c r="AL13" s="300"/>
      <c r="AM13" s="44"/>
      <c r="AN13" s="44">
        <v>1894</v>
      </c>
      <c r="AO13" t="s">
        <v>30</v>
      </c>
      <c r="AP13" s="247">
        <v>687291.65894002817</v>
      </c>
      <c r="AQ13" s="247">
        <v>120939.7339765715</v>
      </c>
      <c r="AR13" s="247">
        <v>0</v>
      </c>
      <c r="AS13" s="247">
        <v>0</v>
      </c>
      <c r="AT13" s="247">
        <v>0</v>
      </c>
      <c r="AU13" s="247">
        <v>0</v>
      </c>
      <c r="AV13" s="247">
        <v>32447.245701031377</v>
      </c>
      <c r="AW13" s="247">
        <v>840678.63861763105</v>
      </c>
      <c r="AX13" s="1">
        <f>tblSection61114[[#This Row],[Gross Total]]*0.15</f>
        <v>126101.79579264465</v>
      </c>
      <c r="AZ13" s="44">
        <v>1894</v>
      </c>
      <c r="BA13" t="s">
        <v>30</v>
      </c>
      <c r="BB13" s="247">
        <v>6905.4037667576022</v>
      </c>
      <c r="BC13" s="247">
        <v>383.63354259764458</v>
      </c>
      <c r="BD13" s="247">
        <v>0</v>
      </c>
      <c r="BE13" s="247">
        <v>0</v>
      </c>
      <c r="BF13" s="247">
        <v>0</v>
      </c>
      <c r="BG13" s="247">
        <v>8439.9379371481809</v>
      </c>
      <c r="BH13" s="247">
        <v>15728.975246503429</v>
      </c>
      <c r="BI13" s="1">
        <f>tblSection61915[[#This Row],[Gross Total]]*0.15</f>
        <v>2359.3462869755144</v>
      </c>
      <c r="BJ13" s="44"/>
      <c r="BK13" s="300"/>
      <c r="BM13" s="44">
        <v>1894</v>
      </c>
      <c r="BN13" t="s">
        <v>30</v>
      </c>
      <c r="BO13" s="1">
        <v>710163</v>
      </c>
      <c r="BP13" s="1">
        <v>93992</v>
      </c>
      <c r="BQ13" s="1">
        <v>0</v>
      </c>
      <c r="BR13" s="1">
        <v>0</v>
      </c>
      <c r="BS13" s="1">
        <v>0</v>
      </c>
      <c r="BT13" s="1">
        <v>29839</v>
      </c>
      <c r="BU13" s="1">
        <f>SUM(tblSection611[[#This Row],[LEA/District]:[ECSE]])</f>
        <v>833994</v>
      </c>
      <c r="BV13" s="1">
        <f>tblSection611[[#This Row],[Gross Total]]*0.15</f>
        <v>125099.09999999999</v>
      </c>
      <c r="BW13" s="1"/>
      <c r="BY13" s="44">
        <v>1894</v>
      </c>
      <c r="BZ13" t="s">
        <v>30</v>
      </c>
      <c r="CA13" s="1">
        <v>4142</v>
      </c>
      <c r="CB13" s="1">
        <v>0</v>
      </c>
      <c r="CC13" s="1">
        <v>0</v>
      </c>
      <c r="CD13" s="1">
        <v>0</v>
      </c>
      <c r="CE13" s="1">
        <v>0</v>
      </c>
      <c r="CF13" s="1">
        <v>11834</v>
      </c>
      <c r="CG13" s="1">
        <f>SUM(tblSection619[[#This Row],[LEA/District]:[ECSE]])</f>
        <v>15976</v>
      </c>
      <c r="CH13" s="1">
        <f>tblSection619[[#This Row],[Gross Total]]*0.15</f>
        <v>2396.4</v>
      </c>
    </row>
    <row r="14" spans="1:86" x14ac:dyDescent="0.35">
      <c r="A14" t="s">
        <v>32</v>
      </c>
      <c r="B14">
        <v>1969</v>
      </c>
      <c r="C14" t="s">
        <v>1528</v>
      </c>
      <c r="D14" s="44">
        <f>LEN(TblAgencies[[#This Row],[InstNm]])</f>
        <v>12</v>
      </c>
      <c r="E14" s="44" t="s">
        <v>1900</v>
      </c>
      <c r="F14" s="44" t="s">
        <v>1900</v>
      </c>
      <c r="G1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4" s="44"/>
      <c r="I14" s="44"/>
      <c r="J14" s="44"/>
      <c r="K14" s="44"/>
      <c r="L14" s="300"/>
      <c r="M14" s="44"/>
      <c r="N14" s="44">
        <v>1969</v>
      </c>
      <c r="O14" t="s">
        <v>32</v>
      </c>
      <c r="P14" s="1">
        <v>159832.15163194085</v>
      </c>
      <c r="Q14" s="1">
        <v>16726.620519621716</v>
      </c>
      <c r="R14" s="1">
        <v>0</v>
      </c>
      <c r="S14" s="1">
        <v>0</v>
      </c>
      <c r="T14" s="1">
        <v>0</v>
      </c>
      <c r="U14" s="1">
        <v>0</v>
      </c>
      <c r="V14" s="1">
        <v>9292.566955345399</v>
      </c>
      <c r="W14" s="1">
        <v>159832.15163194083</v>
      </c>
      <c r="X14" s="1">
        <f>tblSection6111416[[#This Row],[Net Total]]*0.15</f>
        <v>23974.822744791123</v>
      </c>
      <c r="Y14" s="1"/>
      <c r="AA14" s="44">
        <v>1969</v>
      </c>
      <c r="AB14" t="s">
        <v>32</v>
      </c>
      <c r="AC14" s="1">
        <v>1899.178747129059</v>
      </c>
      <c r="AD14" s="1">
        <v>633.05958237635309</v>
      </c>
      <c r="AE14" s="1">
        <v>0</v>
      </c>
      <c r="AF14" s="1">
        <v>0</v>
      </c>
      <c r="AG14" s="1">
        <v>0</v>
      </c>
      <c r="AH14" s="1">
        <v>3165.2979118817657</v>
      </c>
      <c r="AI14" s="1">
        <v>1899.178747129059</v>
      </c>
      <c r="AJ14" s="1">
        <f>tblSection6191517[[#This Row],[Net Total]]*0.15</f>
        <v>284.87681206935883</v>
      </c>
      <c r="AK14" s="1"/>
      <c r="AL14" s="300"/>
      <c r="AM14" s="44"/>
      <c r="AN14" s="44">
        <v>1969</v>
      </c>
      <c r="AO14" t="s">
        <v>32</v>
      </c>
      <c r="AP14" s="247">
        <v>159832.15163194085</v>
      </c>
      <c r="AQ14" s="247">
        <v>16726.620519621716</v>
      </c>
      <c r="AR14" s="247">
        <v>0</v>
      </c>
      <c r="AS14" s="247">
        <v>0</v>
      </c>
      <c r="AT14" s="247">
        <v>0</v>
      </c>
      <c r="AU14" s="247">
        <v>0</v>
      </c>
      <c r="AV14" s="247">
        <v>9292.566955345399</v>
      </c>
      <c r="AW14" s="247">
        <v>185851.33910690795</v>
      </c>
      <c r="AX14" s="1">
        <f>tblSection61114[[#This Row],[Gross Total]]*0.15</f>
        <v>27877.700866036193</v>
      </c>
      <c r="AZ14" s="44">
        <v>1969</v>
      </c>
      <c r="BA14" t="s">
        <v>32</v>
      </c>
      <c r="BB14" s="247">
        <v>1899.178747129059</v>
      </c>
      <c r="BC14" s="247">
        <v>633.05958237635309</v>
      </c>
      <c r="BD14" s="247">
        <v>0</v>
      </c>
      <c r="BE14" s="247">
        <v>0</v>
      </c>
      <c r="BF14" s="247">
        <v>0</v>
      </c>
      <c r="BG14" s="247">
        <v>3165.2979118817657</v>
      </c>
      <c r="BH14" s="247">
        <v>5697.5362413871781</v>
      </c>
      <c r="BI14" s="1">
        <f>tblSection61915[[#This Row],[Gross Total]]*0.15</f>
        <v>854.63043620807673</v>
      </c>
      <c r="BJ14" s="44"/>
      <c r="BK14" s="300"/>
      <c r="BM14" s="44">
        <v>1969</v>
      </c>
      <c r="BN14" t="s">
        <v>32</v>
      </c>
      <c r="BO14" s="1">
        <v>141625</v>
      </c>
      <c r="BP14" s="1">
        <v>16134</v>
      </c>
      <c r="BQ14" s="1">
        <v>0</v>
      </c>
      <c r="BR14" s="1">
        <v>0</v>
      </c>
      <c r="BS14" s="1">
        <v>0</v>
      </c>
      <c r="BT14" s="1">
        <v>8964</v>
      </c>
      <c r="BU14" s="1">
        <f>SUM(tblSection611[[#This Row],[LEA/District]:[ECSE]])</f>
        <v>166723</v>
      </c>
      <c r="BV14" s="1">
        <f>tblSection611[[#This Row],[Gross Total]]*0.15</f>
        <v>25008.45</v>
      </c>
      <c r="BW14" s="1"/>
      <c r="BY14" s="44">
        <v>1969</v>
      </c>
      <c r="BZ14" t="s">
        <v>32</v>
      </c>
      <c r="CA14" s="1">
        <v>2049</v>
      </c>
      <c r="CB14" s="1">
        <v>0</v>
      </c>
      <c r="CC14" s="1">
        <v>0</v>
      </c>
      <c r="CD14" s="1">
        <v>0</v>
      </c>
      <c r="CE14" s="1">
        <v>0</v>
      </c>
      <c r="CF14" s="1">
        <v>3414</v>
      </c>
      <c r="CG14" s="1">
        <f>SUM(tblSection619[[#This Row],[LEA/District]:[ECSE]])</f>
        <v>5463</v>
      </c>
      <c r="CH14" s="1">
        <f>tblSection619[[#This Row],[Gross Total]]*0.15</f>
        <v>819.44999999999993</v>
      </c>
    </row>
    <row r="15" spans="1:86" x14ac:dyDescent="0.35">
      <c r="A15" t="s">
        <v>33</v>
      </c>
      <c r="B15">
        <v>2240</v>
      </c>
      <c r="C15" t="s">
        <v>1528</v>
      </c>
      <c r="D15" s="44">
        <f>LEN(TblAgencies[[#This Row],[InstNm]])</f>
        <v>11</v>
      </c>
      <c r="E15" s="44" t="s">
        <v>1900</v>
      </c>
      <c r="F15" s="44" t="s">
        <v>1900</v>
      </c>
      <c r="G1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5" s="44"/>
      <c r="I15" s="44"/>
      <c r="J15" s="44"/>
      <c r="K15" s="44"/>
      <c r="L15" s="300"/>
      <c r="M15" s="44"/>
      <c r="N15" s="44">
        <v>2240</v>
      </c>
      <c r="O15" t="s">
        <v>33</v>
      </c>
      <c r="P15" s="1">
        <v>226273.30117307062</v>
      </c>
      <c r="Q15" s="1">
        <v>30064.284771247148</v>
      </c>
      <c r="R15" s="1">
        <v>0</v>
      </c>
      <c r="S15" s="1">
        <v>0</v>
      </c>
      <c r="T15" s="1">
        <v>0</v>
      </c>
      <c r="U15" s="1">
        <v>0</v>
      </c>
      <c r="V15" s="1">
        <v>15823.307774340603</v>
      </c>
      <c r="W15" s="1">
        <v>226273.30117307062</v>
      </c>
      <c r="X15" s="1">
        <f>tblSection6111416[[#This Row],[Net Total]]*0.15</f>
        <v>33940.99517596059</v>
      </c>
      <c r="Y15" s="1"/>
      <c r="AA15" s="44">
        <v>2240</v>
      </c>
      <c r="AB15" t="s">
        <v>33</v>
      </c>
      <c r="AC15" s="1">
        <v>885.39734083314124</v>
      </c>
      <c r="AD15" s="1">
        <v>505.94133761893789</v>
      </c>
      <c r="AE15" s="1">
        <v>0</v>
      </c>
      <c r="AF15" s="1">
        <v>0</v>
      </c>
      <c r="AG15" s="1">
        <v>0</v>
      </c>
      <c r="AH15" s="1">
        <v>1264.8533440473448</v>
      </c>
      <c r="AI15" s="1">
        <v>885.39734083314102</v>
      </c>
      <c r="AJ15" s="1">
        <f>tblSection6191517[[#This Row],[Net Total]]*0.15</f>
        <v>132.80960112497115</v>
      </c>
      <c r="AK15" s="1"/>
      <c r="AL15" s="300"/>
      <c r="AM15" s="44"/>
      <c r="AN15" s="44">
        <v>2240</v>
      </c>
      <c r="AO15" t="s">
        <v>33</v>
      </c>
      <c r="AP15" s="247">
        <v>226273.30117307062</v>
      </c>
      <c r="AQ15" s="247">
        <v>30064.284771247148</v>
      </c>
      <c r="AR15" s="247">
        <v>0</v>
      </c>
      <c r="AS15" s="247">
        <v>0</v>
      </c>
      <c r="AT15" s="247">
        <v>0</v>
      </c>
      <c r="AU15" s="247">
        <v>0</v>
      </c>
      <c r="AV15" s="247">
        <v>9493.9846646043625</v>
      </c>
      <c r="AW15" s="247">
        <v>265831.57060892216</v>
      </c>
      <c r="AX15" s="1">
        <f>tblSection61114[[#This Row],[Gross Total]]*0.15</f>
        <v>39874.735591338322</v>
      </c>
      <c r="AZ15" s="44">
        <v>2240</v>
      </c>
      <c r="BA15" t="s">
        <v>33</v>
      </c>
      <c r="BB15" s="247">
        <v>885.39734083314124</v>
      </c>
      <c r="BC15" s="247">
        <v>505.94133761893789</v>
      </c>
      <c r="BD15" s="247">
        <v>0</v>
      </c>
      <c r="BE15" s="247">
        <v>0</v>
      </c>
      <c r="BF15" s="247">
        <v>0</v>
      </c>
      <c r="BG15" s="247">
        <v>758.91200642840693</v>
      </c>
      <c r="BH15" s="247">
        <v>2150.250684880486</v>
      </c>
      <c r="BI15" s="1">
        <f>tblSection61915[[#This Row],[Gross Total]]*0.15</f>
        <v>322.53760273207291</v>
      </c>
      <c r="BJ15" s="44"/>
      <c r="BK15" s="300"/>
      <c r="BM15" s="44">
        <v>2240</v>
      </c>
      <c r="BN15" t="s">
        <v>33</v>
      </c>
      <c r="BO15" s="1">
        <v>183337</v>
      </c>
      <c r="BP15" s="1">
        <v>26191</v>
      </c>
      <c r="BQ15" s="1">
        <v>0</v>
      </c>
      <c r="BR15" s="1">
        <v>0</v>
      </c>
      <c r="BS15" s="1">
        <v>0</v>
      </c>
      <c r="BT15" s="1">
        <v>11640</v>
      </c>
      <c r="BU15" s="1">
        <f>SUM(tblSection611[[#This Row],[LEA/District]:[ECSE]])</f>
        <v>221168</v>
      </c>
      <c r="BV15" s="1">
        <f>tblSection611[[#This Row],[Gross Total]]*0.15</f>
        <v>33175.199999999997</v>
      </c>
      <c r="BW15" s="1"/>
      <c r="BY15" s="44">
        <v>2240</v>
      </c>
      <c r="BZ15" t="s">
        <v>33</v>
      </c>
      <c r="CA15" s="1">
        <v>541</v>
      </c>
      <c r="CB15" s="1">
        <v>0</v>
      </c>
      <c r="CC15" s="1">
        <v>0</v>
      </c>
      <c r="CD15" s="1">
        <v>0</v>
      </c>
      <c r="CE15" s="1">
        <v>0</v>
      </c>
      <c r="CF15" s="1">
        <v>1442</v>
      </c>
      <c r="CG15" s="1">
        <f>SUM(tblSection619[[#This Row],[LEA/District]:[ECSE]])</f>
        <v>1983</v>
      </c>
      <c r="CH15" s="1">
        <f>tblSection619[[#This Row],[Gross Total]]*0.15</f>
        <v>297.45</v>
      </c>
    </row>
    <row r="16" spans="1:86" x14ac:dyDescent="0.35">
      <c r="A16" t="s">
        <v>34</v>
      </c>
      <c r="B16">
        <v>2243</v>
      </c>
      <c r="C16" t="s">
        <v>1528</v>
      </c>
      <c r="D16" s="44">
        <f>LEN(TblAgencies[[#This Row],[InstNm]])</f>
        <v>16</v>
      </c>
      <c r="E16" s="44" t="s">
        <v>1900</v>
      </c>
      <c r="F16" s="44" t="s">
        <v>1900</v>
      </c>
      <c r="G1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6" s="44"/>
      <c r="I16" s="44"/>
      <c r="J16" s="44"/>
      <c r="K16" s="44"/>
      <c r="L16" s="300"/>
      <c r="M16" s="44"/>
      <c r="N16" s="44">
        <v>2243</v>
      </c>
      <c r="O16" t="s">
        <v>34</v>
      </c>
      <c r="P16" s="1">
        <v>5701388.0677938154</v>
      </c>
      <c r="Q16" s="1">
        <v>1675862.5532606062</v>
      </c>
      <c r="R16" s="1">
        <v>7853.1516085314252</v>
      </c>
      <c r="S16" s="1">
        <v>29841.976112419419</v>
      </c>
      <c r="T16" s="1">
        <v>0</v>
      </c>
      <c r="U16" s="1">
        <v>0</v>
      </c>
      <c r="V16" s="1">
        <v>761755.70602754829</v>
      </c>
      <c r="W16" s="1">
        <v>5701388.0677938154</v>
      </c>
      <c r="X16" s="1">
        <f>tblSection6111416[[#This Row],[Net Total]]*0.15</f>
        <v>855208.21016907226</v>
      </c>
      <c r="Y16" s="1"/>
      <c r="AA16" s="44">
        <v>2243</v>
      </c>
      <c r="AB16" t="s">
        <v>34</v>
      </c>
      <c r="AC16" s="1">
        <v>28378.730416118055</v>
      </c>
      <c r="AD16" s="1">
        <v>28787.05747246508</v>
      </c>
      <c r="AE16" s="1">
        <v>0</v>
      </c>
      <c r="AF16" s="1">
        <v>0</v>
      </c>
      <c r="AG16" s="1">
        <v>0</v>
      </c>
      <c r="AH16" s="1">
        <v>99019.311164152925</v>
      </c>
      <c r="AI16" s="1">
        <v>28378.730416118065</v>
      </c>
      <c r="AJ16" s="1">
        <f>tblSection6191517[[#This Row],[Net Total]]*0.15</f>
        <v>4256.8095624177095</v>
      </c>
      <c r="AK16" s="1"/>
      <c r="AL16" s="300"/>
      <c r="AM16" s="44"/>
      <c r="AN16" s="44">
        <v>2243</v>
      </c>
      <c r="AO16" t="s">
        <v>34</v>
      </c>
      <c r="AP16" s="247">
        <v>5701388.0677938154</v>
      </c>
      <c r="AQ16" s="247">
        <v>1675862.5532606062</v>
      </c>
      <c r="AR16" s="247">
        <v>7853.1516085314252</v>
      </c>
      <c r="AS16" s="247">
        <v>29841.976112419419</v>
      </c>
      <c r="AT16" s="247">
        <v>0</v>
      </c>
      <c r="AU16" s="247">
        <v>0</v>
      </c>
      <c r="AV16" s="247">
        <v>609404.56482203864</v>
      </c>
      <c r="AW16" s="247">
        <v>8024350.3135974118</v>
      </c>
      <c r="AX16" s="1">
        <f>tblSection61114[[#This Row],[Gross Total]]*0.15</f>
        <v>1203652.5470396117</v>
      </c>
      <c r="AZ16" s="44">
        <v>2243</v>
      </c>
      <c r="BA16" t="s">
        <v>34</v>
      </c>
      <c r="BB16" s="247">
        <v>28378.730416118055</v>
      </c>
      <c r="BC16" s="247">
        <v>28787.05747246508</v>
      </c>
      <c r="BD16" s="247">
        <v>0</v>
      </c>
      <c r="BE16" s="247">
        <v>0</v>
      </c>
      <c r="BF16" s="247">
        <v>0</v>
      </c>
      <c r="BG16" s="247">
        <v>79215.448931322346</v>
      </c>
      <c r="BH16" s="247">
        <v>136381.23681990546</v>
      </c>
      <c r="BI16" s="1">
        <f>tblSection61915[[#This Row],[Gross Total]]*0.15</f>
        <v>20457.185522985819</v>
      </c>
      <c r="BJ16" s="44"/>
      <c r="BK16" s="300"/>
      <c r="BM16" s="44">
        <v>2243</v>
      </c>
      <c r="BN16" t="s">
        <v>34</v>
      </c>
      <c r="BO16" s="1">
        <v>6184487</v>
      </c>
      <c r="BP16" s="1">
        <v>1400537</v>
      </c>
      <c r="BQ16" s="1">
        <v>6507</v>
      </c>
      <c r="BR16" s="1">
        <v>35786</v>
      </c>
      <c r="BS16" s="1">
        <v>0</v>
      </c>
      <c r="BT16" s="1">
        <v>736868</v>
      </c>
      <c r="BU16" s="1">
        <f>SUM(tblSection611[[#This Row],[LEA/District]:[ECSE]])</f>
        <v>8364185</v>
      </c>
      <c r="BV16" s="1">
        <f>tblSection611[[#This Row],[Gross Total]]*0.15</f>
        <v>1254627.75</v>
      </c>
      <c r="BW16" s="1"/>
      <c r="BY16" s="44">
        <v>2243</v>
      </c>
      <c r="BZ16" t="s">
        <v>34</v>
      </c>
      <c r="CA16" s="1">
        <v>27261</v>
      </c>
      <c r="CB16" s="1">
        <v>6867</v>
      </c>
      <c r="CC16" s="1">
        <v>208</v>
      </c>
      <c r="CD16" s="1">
        <v>0</v>
      </c>
      <c r="CE16" s="1">
        <v>0</v>
      </c>
      <c r="CF16" s="1">
        <v>94270</v>
      </c>
      <c r="CG16" s="1">
        <f>SUM(tblSection619[[#This Row],[LEA/District]:[ECSE]])</f>
        <v>128606</v>
      </c>
      <c r="CH16" s="1">
        <f>tblSection619[[#This Row],[Gross Total]]*0.15</f>
        <v>19290.899999999998</v>
      </c>
    </row>
    <row r="17" spans="1:86" x14ac:dyDescent="0.35">
      <c r="A17" t="s">
        <v>35</v>
      </c>
      <c r="B17">
        <v>1976</v>
      </c>
      <c r="C17" t="s">
        <v>1528</v>
      </c>
      <c r="D17" s="44">
        <f>LEN(TblAgencies[[#This Row],[InstNm]])</f>
        <v>31</v>
      </c>
      <c r="E17" s="44" t="s">
        <v>1900</v>
      </c>
      <c r="F17" s="44" t="s">
        <v>1900</v>
      </c>
      <c r="G1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7" s="44"/>
      <c r="I17" s="44"/>
      <c r="J17" s="44"/>
      <c r="K17" s="44"/>
      <c r="L17" s="300"/>
      <c r="M17" s="44"/>
      <c r="N17" s="44">
        <v>1976</v>
      </c>
      <c r="O17" t="s">
        <v>35</v>
      </c>
      <c r="P17" s="1">
        <v>2490863.239520588</v>
      </c>
      <c r="Q17" s="1">
        <v>540639.82444676361</v>
      </c>
      <c r="R17" s="1">
        <v>0</v>
      </c>
      <c r="S17" s="1">
        <v>0</v>
      </c>
      <c r="T17" s="1">
        <v>0</v>
      </c>
      <c r="U17" s="1">
        <v>0</v>
      </c>
      <c r="V17" s="1">
        <v>295636.88285457471</v>
      </c>
      <c r="W17" s="1">
        <v>2490863.2395205884</v>
      </c>
      <c r="X17" s="1">
        <f>tblSection6111416[[#This Row],[Net Total]]*0.15</f>
        <v>373629.48592808825</v>
      </c>
      <c r="Y17" s="1"/>
      <c r="AA17" s="44">
        <v>1976</v>
      </c>
      <c r="AB17" t="s">
        <v>35</v>
      </c>
      <c r="AC17" s="1">
        <v>11569.208917801017</v>
      </c>
      <c r="AD17" s="1">
        <v>9438.0388539955675</v>
      </c>
      <c r="AE17" s="1">
        <v>0</v>
      </c>
      <c r="AF17" s="1">
        <v>0</v>
      </c>
      <c r="AG17" s="1">
        <v>0</v>
      </c>
      <c r="AH17" s="1">
        <v>55105.968792683794</v>
      </c>
      <c r="AI17" s="1">
        <v>11569.208917801014</v>
      </c>
      <c r="AJ17" s="1">
        <f>tblSection6191517[[#This Row],[Net Total]]*0.15</f>
        <v>1735.3813376701521</v>
      </c>
      <c r="AK17" s="1"/>
      <c r="AL17" s="300"/>
      <c r="AM17" s="44"/>
      <c r="AN17" s="44">
        <v>1976</v>
      </c>
      <c r="AO17" t="s">
        <v>35</v>
      </c>
      <c r="AP17" s="247">
        <v>2490863.239520588</v>
      </c>
      <c r="AQ17" s="247">
        <v>540639.82444676361</v>
      </c>
      <c r="AR17" s="247">
        <v>0</v>
      </c>
      <c r="AS17" s="247">
        <v>0</v>
      </c>
      <c r="AT17" s="247">
        <v>0</v>
      </c>
      <c r="AU17" s="247">
        <v>0</v>
      </c>
      <c r="AV17" s="247">
        <v>259703.1180877203</v>
      </c>
      <c r="AW17" s="247">
        <v>3291206.1820550719</v>
      </c>
      <c r="AX17" s="1">
        <f>tblSection61114[[#This Row],[Gross Total]]*0.15</f>
        <v>493680.92730826075</v>
      </c>
      <c r="AZ17" s="44">
        <v>1976</v>
      </c>
      <c r="BA17" t="s">
        <v>35</v>
      </c>
      <c r="BB17" s="247">
        <v>11569.208917801017</v>
      </c>
      <c r="BC17" s="247">
        <v>9438.0388539955675</v>
      </c>
      <c r="BD17" s="247">
        <v>0</v>
      </c>
      <c r="BE17" s="247">
        <v>0</v>
      </c>
      <c r="BF17" s="247">
        <v>0</v>
      </c>
      <c r="BG17" s="247">
        <v>48408.005735009523</v>
      </c>
      <c r="BH17" s="247">
        <v>69415.253506806112</v>
      </c>
      <c r="BI17" s="1">
        <f>tblSection61915[[#This Row],[Gross Total]]*0.15</f>
        <v>10412.288026020917</v>
      </c>
      <c r="BJ17" s="44"/>
      <c r="BK17" s="300"/>
      <c r="BM17" s="44">
        <v>1976</v>
      </c>
      <c r="BN17" t="s">
        <v>35</v>
      </c>
      <c r="BO17" s="1">
        <v>2860643</v>
      </c>
      <c r="BP17" s="1">
        <v>547455</v>
      </c>
      <c r="BQ17" s="1">
        <v>0</v>
      </c>
      <c r="BR17" s="1">
        <v>0</v>
      </c>
      <c r="BS17" s="1">
        <v>0</v>
      </c>
      <c r="BT17" s="1">
        <v>296859</v>
      </c>
      <c r="BU17" s="1">
        <f>SUM(tblSection611[[#This Row],[LEA/District]:[ECSE]])</f>
        <v>3704957</v>
      </c>
      <c r="BV17" s="1">
        <f>tblSection611[[#This Row],[Gross Total]]*0.15</f>
        <v>555743.54999999993</v>
      </c>
      <c r="BW17" s="1"/>
      <c r="BY17" s="44">
        <v>1976</v>
      </c>
      <c r="BZ17" t="s">
        <v>35</v>
      </c>
      <c r="CA17" s="1">
        <v>12917</v>
      </c>
      <c r="CB17" s="1">
        <v>1396</v>
      </c>
      <c r="CC17" s="1">
        <v>0</v>
      </c>
      <c r="CD17" s="1">
        <v>0</v>
      </c>
      <c r="CE17" s="1">
        <v>0</v>
      </c>
      <c r="CF17" s="1">
        <v>53763</v>
      </c>
      <c r="CG17" s="1">
        <f>SUM(tblSection619[[#This Row],[LEA/District]:[ECSE]])</f>
        <v>68076</v>
      </c>
      <c r="CH17" s="1">
        <f>tblSection619[[#This Row],[Gross Total]]*0.15</f>
        <v>10211.4</v>
      </c>
    </row>
    <row r="18" spans="1:86" x14ac:dyDescent="0.35">
      <c r="A18" t="s">
        <v>36</v>
      </c>
      <c r="B18">
        <v>2088</v>
      </c>
      <c r="C18" t="s">
        <v>1528</v>
      </c>
      <c r="D18" s="44">
        <f>LEN(TblAgencies[[#This Row],[InstNm]])</f>
        <v>12</v>
      </c>
      <c r="E18" s="44" t="s">
        <v>1900</v>
      </c>
      <c r="F18" s="44" t="s">
        <v>1900</v>
      </c>
      <c r="G1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8" s="44"/>
      <c r="I18" s="44"/>
      <c r="J18" s="44"/>
      <c r="K18" s="44"/>
      <c r="L18" s="300"/>
      <c r="M18" s="44"/>
      <c r="N18" s="44">
        <v>2088</v>
      </c>
      <c r="O18" t="s">
        <v>36</v>
      </c>
      <c r="P18" s="1">
        <v>1441500.9316493871</v>
      </c>
      <c r="Q18" s="1">
        <v>53447.144684928207</v>
      </c>
      <c r="R18" s="1">
        <v>0</v>
      </c>
      <c r="S18" s="1">
        <v>0</v>
      </c>
      <c r="T18" s="1">
        <v>0</v>
      </c>
      <c r="U18" s="1">
        <v>0</v>
      </c>
      <c r="V18" s="1">
        <v>194924.8806156205</v>
      </c>
      <c r="W18" s="1">
        <v>1441500.9316493871</v>
      </c>
      <c r="X18" s="1">
        <f>tblSection6111416[[#This Row],[Net Total]]*0.15</f>
        <v>216225.13974740807</v>
      </c>
      <c r="Y18" s="1"/>
      <c r="AA18" s="44">
        <v>2088</v>
      </c>
      <c r="AB18" t="s">
        <v>36</v>
      </c>
      <c r="AC18" s="1">
        <v>8897.50521115845</v>
      </c>
      <c r="AD18" s="1">
        <v>593.16701407722996</v>
      </c>
      <c r="AE18" s="1">
        <v>0</v>
      </c>
      <c r="AF18" s="1">
        <v>0</v>
      </c>
      <c r="AG18" s="1">
        <v>0</v>
      </c>
      <c r="AH18" s="1">
        <v>24517.569915192173</v>
      </c>
      <c r="AI18" s="1">
        <v>8897.5052111584482</v>
      </c>
      <c r="AJ18" s="1">
        <f>tblSection6191517[[#This Row],[Net Total]]*0.15</f>
        <v>1334.6257816737673</v>
      </c>
      <c r="AK18" s="1"/>
      <c r="AL18" s="300"/>
      <c r="AM18" s="44"/>
      <c r="AN18" s="44">
        <v>2088</v>
      </c>
      <c r="AO18" t="s">
        <v>36</v>
      </c>
      <c r="AP18" s="247">
        <v>1441500.9316493871</v>
      </c>
      <c r="AQ18" s="247">
        <v>53447.144684928207</v>
      </c>
      <c r="AR18" s="247">
        <v>0</v>
      </c>
      <c r="AS18" s="247">
        <v>0</v>
      </c>
      <c r="AT18" s="247">
        <v>0</v>
      </c>
      <c r="AU18" s="247">
        <v>0</v>
      </c>
      <c r="AV18" s="247">
        <v>191780.93092827179</v>
      </c>
      <c r="AW18" s="247">
        <v>1686729.0072625871</v>
      </c>
      <c r="AX18" s="1">
        <f>tblSection61114[[#This Row],[Gross Total]]*0.15</f>
        <v>253009.35108938804</v>
      </c>
      <c r="AZ18" s="44">
        <v>2088</v>
      </c>
      <c r="BA18" t="s">
        <v>36</v>
      </c>
      <c r="BB18" s="247">
        <v>8897.50521115845</v>
      </c>
      <c r="BC18" s="247">
        <v>593.16701407722996</v>
      </c>
      <c r="BD18" s="247">
        <v>0</v>
      </c>
      <c r="BE18" s="247">
        <v>0</v>
      </c>
      <c r="BF18" s="247">
        <v>0</v>
      </c>
      <c r="BG18" s="247">
        <v>24122.125239140685</v>
      </c>
      <c r="BH18" s="247">
        <v>33612.797464376366</v>
      </c>
      <c r="BI18" s="1">
        <f>tblSection61915[[#This Row],[Gross Total]]*0.15</f>
        <v>5041.9196196564544</v>
      </c>
      <c r="BJ18" s="44"/>
      <c r="BK18" s="300"/>
      <c r="BM18" s="44">
        <v>2088</v>
      </c>
      <c r="BN18" t="s">
        <v>36</v>
      </c>
      <c r="BO18" s="1">
        <v>1051595</v>
      </c>
      <c r="BP18" s="1">
        <v>38158</v>
      </c>
      <c r="BQ18" s="1">
        <v>0</v>
      </c>
      <c r="BR18" s="1">
        <v>0</v>
      </c>
      <c r="BS18" s="1">
        <v>0</v>
      </c>
      <c r="BT18" s="1">
        <v>162733</v>
      </c>
      <c r="BU18" s="1">
        <f>SUM(tblSection611[[#This Row],[LEA/District]:[ECSE]])</f>
        <v>1252486</v>
      </c>
      <c r="BV18" s="1">
        <f>tblSection611[[#This Row],[Gross Total]]*0.15</f>
        <v>187872.9</v>
      </c>
      <c r="BW18" s="1"/>
      <c r="BY18" s="44">
        <v>2088</v>
      </c>
      <c r="BZ18" t="s">
        <v>36</v>
      </c>
      <c r="CA18" s="1">
        <v>5016</v>
      </c>
      <c r="CB18" s="1">
        <v>162</v>
      </c>
      <c r="CC18" s="1">
        <v>0</v>
      </c>
      <c r="CD18" s="1">
        <v>0</v>
      </c>
      <c r="CE18" s="1">
        <v>0</v>
      </c>
      <c r="CF18" s="1">
        <v>23460</v>
      </c>
      <c r="CG18" s="1">
        <f>SUM(tblSection619[[#This Row],[LEA/District]:[ECSE]])</f>
        <v>28638</v>
      </c>
      <c r="CH18" s="1">
        <f>tblSection619[[#This Row],[Gross Total]]*0.15</f>
        <v>4295.7</v>
      </c>
    </row>
    <row r="19" spans="1:86" x14ac:dyDescent="0.35">
      <c r="A19" t="s">
        <v>37</v>
      </c>
      <c r="B19">
        <v>2095</v>
      </c>
      <c r="C19" t="s">
        <v>1528</v>
      </c>
      <c r="D19" s="44">
        <f>LEN(TblAgencies[[#This Row],[InstNm]])</f>
        <v>13</v>
      </c>
      <c r="E19" s="44" t="s">
        <v>1900</v>
      </c>
      <c r="F19" s="44" t="s">
        <v>1900</v>
      </c>
      <c r="G1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9" s="44"/>
      <c r="I19" s="44"/>
      <c r="J19" s="44"/>
      <c r="K19" s="44"/>
      <c r="L19" s="300"/>
      <c r="M19" s="44"/>
      <c r="N19" s="44">
        <v>2095</v>
      </c>
      <c r="O19" t="s">
        <v>37</v>
      </c>
      <c r="P19" s="1">
        <v>73956.65762265386</v>
      </c>
      <c r="Q19" s="1">
        <v>0</v>
      </c>
      <c r="R19" s="1">
        <v>0</v>
      </c>
      <c r="S19" s="1">
        <v>0</v>
      </c>
      <c r="T19" s="1">
        <v>0</v>
      </c>
      <c r="U19" s="1">
        <v>0</v>
      </c>
      <c r="V19" s="1">
        <v>3521.7456010787555</v>
      </c>
      <c r="W19" s="1">
        <v>73956.65762265386</v>
      </c>
      <c r="X19" s="1">
        <f>tblSection6111416[[#This Row],[Net Total]]*0.15</f>
        <v>11093.498643398079</v>
      </c>
      <c r="Y19" s="1"/>
      <c r="AA19" s="44">
        <v>2095</v>
      </c>
      <c r="AB19" t="s">
        <v>37</v>
      </c>
      <c r="AC19" s="1">
        <v>324.20767243047777</v>
      </c>
      <c r="AD19" s="1">
        <v>0</v>
      </c>
      <c r="AE19" s="1">
        <v>0</v>
      </c>
      <c r="AF19" s="1">
        <v>0</v>
      </c>
      <c r="AG19" s="1">
        <v>0</v>
      </c>
      <c r="AH19" s="1">
        <v>324.20767243047777</v>
      </c>
      <c r="AI19" s="1">
        <v>324.20767243047777</v>
      </c>
      <c r="AJ19" s="1">
        <f>tblSection6191517[[#This Row],[Net Total]]*0.15</f>
        <v>48.631150864571666</v>
      </c>
      <c r="AK19" s="1"/>
      <c r="AL19" s="300"/>
      <c r="AM19" s="44"/>
      <c r="AN19" s="44">
        <v>2095</v>
      </c>
      <c r="AO19" t="s">
        <v>37</v>
      </c>
      <c r="AP19" s="247">
        <v>73956.65762265386</v>
      </c>
      <c r="AQ19" s="247">
        <v>0</v>
      </c>
      <c r="AR19" s="247">
        <v>0</v>
      </c>
      <c r="AS19" s="247">
        <v>0</v>
      </c>
      <c r="AT19" s="247">
        <v>0</v>
      </c>
      <c r="AU19" s="247">
        <v>0</v>
      </c>
      <c r="AV19" s="247">
        <v>3521.7456010787555</v>
      </c>
      <c r="AW19" s="247">
        <v>77478.403223732617</v>
      </c>
      <c r="AX19" s="1">
        <f>tblSection61114[[#This Row],[Gross Total]]*0.15</f>
        <v>11621.760483559892</v>
      </c>
      <c r="AZ19" s="44">
        <v>2095</v>
      </c>
      <c r="BA19" t="s">
        <v>37</v>
      </c>
      <c r="BB19" s="247">
        <v>324.20767243047777</v>
      </c>
      <c r="BC19" s="247">
        <v>0</v>
      </c>
      <c r="BD19" s="247">
        <v>0</v>
      </c>
      <c r="BE19" s="247">
        <v>0</v>
      </c>
      <c r="BF19" s="247">
        <v>0</v>
      </c>
      <c r="BG19" s="247">
        <v>324.20767243047777</v>
      </c>
      <c r="BH19" s="247">
        <v>648.41534486095554</v>
      </c>
      <c r="BI19" s="1">
        <f>tblSection61915[[#This Row],[Gross Total]]*0.15</f>
        <v>97.262301729143331</v>
      </c>
      <c r="BJ19" s="44"/>
      <c r="BK19" s="300"/>
      <c r="BM19" s="44">
        <v>2095</v>
      </c>
      <c r="BN19" t="s">
        <v>37</v>
      </c>
      <c r="BO19" s="1">
        <v>56170</v>
      </c>
      <c r="BP19" s="1">
        <v>0</v>
      </c>
      <c r="BQ19" s="1">
        <v>0</v>
      </c>
      <c r="BR19" s="1">
        <v>0</v>
      </c>
      <c r="BS19" s="1">
        <v>0</v>
      </c>
      <c r="BT19" s="1">
        <v>0</v>
      </c>
      <c r="BU19" s="1">
        <f>SUM(tblSection611[[#This Row],[LEA/District]:[ECSE]])</f>
        <v>56170</v>
      </c>
      <c r="BV19" s="1">
        <f>tblSection611[[#This Row],[Gross Total]]*0.15</f>
        <v>8425.5</v>
      </c>
      <c r="BW19" s="1"/>
      <c r="BY19" s="44">
        <v>2095</v>
      </c>
      <c r="BZ19" t="s">
        <v>37</v>
      </c>
      <c r="CA19" s="1">
        <v>581</v>
      </c>
      <c r="CB19" s="1">
        <v>0</v>
      </c>
      <c r="CC19" s="1">
        <v>0</v>
      </c>
      <c r="CD19" s="1">
        <v>0</v>
      </c>
      <c r="CE19" s="1">
        <v>0</v>
      </c>
      <c r="CF19" s="1">
        <v>0</v>
      </c>
      <c r="CG19" s="1">
        <f>SUM(tblSection619[[#This Row],[LEA/District]:[ECSE]])</f>
        <v>581</v>
      </c>
      <c r="CH19" s="1">
        <f>tblSection619[[#This Row],[Gross Total]]*0.15</f>
        <v>87.149999999999991</v>
      </c>
    </row>
    <row r="20" spans="1:86" x14ac:dyDescent="0.35">
      <c r="A20" t="s">
        <v>38</v>
      </c>
      <c r="B20">
        <v>2052</v>
      </c>
      <c r="C20" t="s">
        <v>1528</v>
      </c>
      <c r="D20" s="44">
        <f>LEN(TblAgencies[[#This Row],[InstNm]])</f>
        <v>17</v>
      </c>
      <c r="E20" s="44" t="s">
        <v>1900</v>
      </c>
      <c r="F20" s="44" t="s">
        <v>1900</v>
      </c>
      <c r="G2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20" s="44"/>
      <c r="I20" s="44"/>
      <c r="J20" s="44"/>
      <c r="K20" s="44"/>
      <c r="L20" s="300"/>
      <c r="M20" s="44"/>
      <c r="N20" s="44">
        <v>2052</v>
      </c>
      <c r="O20" t="s">
        <v>38</v>
      </c>
      <c r="P20" s="1">
        <v>2781.2953821381593</v>
      </c>
      <c r="Q20" s="1">
        <v>0</v>
      </c>
      <c r="R20" s="1">
        <v>0</v>
      </c>
      <c r="S20" s="1">
        <v>0</v>
      </c>
      <c r="T20" s="1">
        <v>0</v>
      </c>
      <c r="U20" s="1">
        <v>0</v>
      </c>
      <c r="V20" s="1">
        <v>0</v>
      </c>
      <c r="W20" s="1">
        <v>2781.2953821381593</v>
      </c>
      <c r="X20" s="1">
        <f>tblSection6111416[[#This Row],[Net Total]]*0.15</f>
        <v>417.19430732072391</v>
      </c>
      <c r="Y20" s="1"/>
      <c r="AA20" s="44">
        <v>2052</v>
      </c>
      <c r="AB20" t="s">
        <v>38</v>
      </c>
      <c r="AC20" s="1">
        <v>0</v>
      </c>
      <c r="AD20" s="1">
        <v>0</v>
      </c>
      <c r="AE20" s="1">
        <v>0</v>
      </c>
      <c r="AF20" s="1">
        <v>0</v>
      </c>
      <c r="AG20" s="1">
        <v>0</v>
      </c>
      <c r="AH20" s="1">
        <v>0</v>
      </c>
      <c r="AI20" s="1">
        <v>0</v>
      </c>
      <c r="AJ20" s="1">
        <f>tblSection6191517[[#This Row],[Net Total]]*0.15</f>
        <v>0</v>
      </c>
      <c r="AK20" s="1"/>
      <c r="AL20" s="300"/>
      <c r="AM20" s="44"/>
      <c r="AN20" s="44">
        <v>2052</v>
      </c>
      <c r="AO20" t="s">
        <v>38</v>
      </c>
      <c r="AP20" s="247">
        <v>2781.2953821381593</v>
      </c>
      <c r="AQ20" s="247">
        <v>0</v>
      </c>
      <c r="AR20" s="247">
        <v>0</v>
      </c>
      <c r="AS20" s="247">
        <v>0</v>
      </c>
      <c r="AT20" s="247">
        <v>0</v>
      </c>
      <c r="AU20" s="247">
        <v>0</v>
      </c>
      <c r="AV20" s="247">
        <v>0</v>
      </c>
      <c r="AW20" s="247">
        <v>2781.2953821381593</v>
      </c>
      <c r="AX20" s="1">
        <f>tblSection61114[[#This Row],[Gross Total]]*0.15</f>
        <v>417.19430732072391</v>
      </c>
      <c r="AZ20" s="44">
        <v>2052</v>
      </c>
      <c r="BA20" t="s">
        <v>38</v>
      </c>
      <c r="BB20" s="247">
        <v>0</v>
      </c>
      <c r="BC20" s="247">
        <v>0</v>
      </c>
      <c r="BD20" s="247">
        <v>0</v>
      </c>
      <c r="BE20" s="247">
        <v>0</v>
      </c>
      <c r="BF20" s="247">
        <v>0</v>
      </c>
      <c r="BG20" s="247">
        <v>0</v>
      </c>
      <c r="BH20" s="247">
        <v>0</v>
      </c>
      <c r="BI20" s="1">
        <f>tblSection61915[[#This Row],[Gross Total]]*0.15</f>
        <v>0</v>
      </c>
      <c r="BJ20" s="44"/>
      <c r="BK20" s="300"/>
      <c r="BM20" s="44">
        <v>2052</v>
      </c>
      <c r="BN20" t="s">
        <v>38</v>
      </c>
      <c r="BO20" s="1">
        <v>4215</v>
      </c>
      <c r="BP20" s="1">
        <v>0</v>
      </c>
      <c r="BQ20" s="1">
        <v>0</v>
      </c>
      <c r="BR20" s="1">
        <v>0</v>
      </c>
      <c r="BS20" s="1">
        <v>0</v>
      </c>
      <c r="BT20" s="1">
        <v>0</v>
      </c>
      <c r="BU20" s="1">
        <f>SUM(tblSection611[[#This Row],[LEA/District]:[ECSE]])</f>
        <v>4215</v>
      </c>
      <c r="BV20" s="1">
        <f>tblSection611[[#This Row],[Gross Total]]*0.15</f>
        <v>632.25</v>
      </c>
      <c r="BW20" s="1"/>
      <c r="BY20" s="44">
        <v>2052</v>
      </c>
      <c r="BZ20" t="s">
        <v>38</v>
      </c>
      <c r="CA20" s="1">
        <v>15</v>
      </c>
      <c r="CB20" s="1">
        <v>0</v>
      </c>
      <c r="CC20" s="1">
        <v>0</v>
      </c>
      <c r="CD20" s="1">
        <v>0</v>
      </c>
      <c r="CE20" s="1">
        <v>0</v>
      </c>
      <c r="CF20" s="1">
        <v>0</v>
      </c>
      <c r="CG20" s="1">
        <f>SUM(tblSection619[[#This Row],[LEA/District]:[ECSE]])</f>
        <v>15</v>
      </c>
      <c r="CH20" s="1">
        <f>tblSection619[[#This Row],[Gross Total]]*0.15</f>
        <v>2.25</v>
      </c>
    </row>
    <row r="21" spans="1:86" x14ac:dyDescent="0.35">
      <c r="A21" t="s">
        <v>39</v>
      </c>
      <c r="B21">
        <v>1974</v>
      </c>
      <c r="C21" t="s">
        <v>1528</v>
      </c>
      <c r="D21" s="44">
        <f>LEN(TblAgencies[[#This Row],[InstNm]])</f>
        <v>23</v>
      </c>
      <c r="E21" s="44" t="s">
        <v>1900</v>
      </c>
      <c r="F21" s="44" t="s">
        <v>1900</v>
      </c>
      <c r="G2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21" s="44"/>
      <c r="I21" s="44"/>
      <c r="J21" s="44"/>
      <c r="K21" s="44"/>
      <c r="L21" s="301" t="s">
        <v>3090</v>
      </c>
      <c r="M21" s="44"/>
      <c r="N21" s="44">
        <v>1974</v>
      </c>
      <c r="O21" t="s">
        <v>39</v>
      </c>
      <c r="P21" s="1">
        <v>308999.16895316349</v>
      </c>
      <c r="Q21" s="1">
        <v>48437.707565631034</v>
      </c>
      <c r="R21" s="1">
        <v>1670.2657781252083</v>
      </c>
      <c r="S21" s="1">
        <v>0</v>
      </c>
      <c r="T21" s="1">
        <v>0</v>
      </c>
      <c r="U21" s="1">
        <v>0</v>
      </c>
      <c r="V21" s="1">
        <v>31735.049784378956</v>
      </c>
      <c r="W21" s="1">
        <v>308999.16895316349</v>
      </c>
      <c r="X21" s="1">
        <f>tblSection6111416[[#This Row],[Net Total]]*0.15</f>
        <v>46349.875342974519</v>
      </c>
      <c r="Y21" s="1"/>
      <c r="AA21" s="44">
        <v>1974</v>
      </c>
      <c r="AB21" t="s">
        <v>39</v>
      </c>
      <c r="AC21" s="1">
        <v>1205.8368292440839</v>
      </c>
      <c r="AD21" s="1">
        <v>2411.6736584881678</v>
      </c>
      <c r="AE21" s="1">
        <v>0</v>
      </c>
      <c r="AF21" s="1">
        <v>0</v>
      </c>
      <c r="AG21" s="1">
        <v>0</v>
      </c>
      <c r="AH21" s="1">
        <v>11455.449877818795</v>
      </c>
      <c r="AI21" s="1">
        <v>1205.8368292440846</v>
      </c>
      <c r="AJ21" s="1">
        <f>tblSection6191517[[#This Row],[Net Total]]*0.15</f>
        <v>180.87552438661268</v>
      </c>
      <c r="AK21" s="1"/>
      <c r="AL21" s="301" t="s">
        <v>3090</v>
      </c>
      <c r="AM21" s="44"/>
      <c r="AN21" s="44">
        <v>1974</v>
      </c>
      <c r="AO21" t="s">
        <v>39</v>
      </c>
      <c r="AP21" s="247">
        <v>308999.16895316349</v>
      </c>
      <c r="AQ21" s="247">
        <v>48437.707565631034</v>
      </c>
      <c r="AR21" s="247">
        <v>1670.2657781252083</v>
      </c>
      <c r="AS21" s="247">
        <v>0</v>
      </c>
      <c r="AT21" s="247">
        <v>0</v>
      </c>
      <c r="AU21" s="247">
        <v>0</v>
      </c>
      <c r="AV21" s="247">
        <v>31735.049784378956</v>
      </c>
      <c r="AW21" s="247">
        <v>390842.19208129868</v>
      </c>
      <c r="AX21" s="1">
        <f>tblSection61114[[#This Row],[Gross Total]]*0.15</f>
        <v>58626.328812194799</v>
      </c>
      <c r="AZ21" s="44">
        <v>1974</v>
      </c>
      <c r="BA21" t="s">
        <v>39</v>
      </c>
      <c r="BB21" s="247">
        <v>1205.8368292440839</v>
      </c>
      <c r="BC21" s="247">
        <v>2411.6736584881678</v>
      </c>
      <c r="BD21" s="247">
        <v>0</v>
      </c>
      <c r="BE21" s="247">
        <v>0</v>
      </c>
      <c r="BF21" s="247">
        <v>0</v>
      </c>
      <c r="BG21" s="247">
        <v>11455.449877818795</v>
      </c>
      <c r="BH21" s="247">
        <v>15072.960365551047</v>
      </c>
      <c r="BI21" s="1">
        <f>tblSection61915[[#This Row],[Gross Total]]*0.15</f>
        <v>2260.944054832657</v>
      </c>
      <c r="BJ21" s="44"/>
      <c r="BK21" s="301" t="s">
        <v>3090</v>
      </c>
      <c r="BM21" s="44">
        <v>1974</v>
      </c>
      <c r="BN21" t="s">
        <v>39</v>
      </c>
      <c r="BO21" s="1">
        <v>290118</v>
      </c>
      <c r="BP21" s="1">
        <v>43440</v>
      </c>
      <c r="BQ21" s="1">
        <v>1551</v>
      </c>
      <c r="BR21" s="1">
        <v>0</v>
      </c>
      <c r="BS21" s="1">
        <v>0</v>
      </c>
      <c r="BT21" s="1">
        <v>34132</v>
      </c>
      <c r="BU21" s="1">
        <f>SUM(tblSection611[[#This Row],[LEA/District]:[ECSE]])</f>
        <v>369241</v>
      </c>
      <c r="BV21" s="1">
        <f>tblSection611[[#This Row],[Gross Total]]*0.15</f>
        <v>55386.15</v>
      </c>
      <c r="BW21" s="1"/>
      <c r="BY21" s="44">
        <v>1974</v>
      </c>
      <c r="BZ21" t="s">
        <v>39</v>
      </c>
      <c r="CA21" s="1">
        <v>4174</v>
      </c>
      <c r="CB21" s="1">
        <v>0</v>
      </c>
      <c r="CC21" s="1">
        <v>0</v>
      </c>
      <c r="CD21" s="1">
        <v>0</v>
      </c>
      <c r="CE21" s="1">
        <v>0</v>
      </c>
      <c r="CF21" s="1">
        <v>10203</v>
      </c>
      <c r="CG21" s="1">
        <f>SUM(tblSection619[[#This Row],[LEA/District]:[ECSE]])</f>
        <v>14377</v>
      </c>
      <c r="CH21" s="1">
        <f>tblSection619[[#This Row],[Gross Total]]*0.15</f>
        <v>2156.5499999999997</v>
      </c>
    </row>
    <row r="22" spans="1:86" x14ac:dyDescent="0.35">
      <c r="A22" t="s">
        <v>40</v>
      </c>
      <c r="B22">
        <v>1896</v>
      </c>
      <c r="C22" t="s">
        <v>1528</v>
      </c>
      <c r="D22" s="44">
        <f>LEN(TblAgencies[[#This Row],[InstNm]])</f>
        <v>18</v>
      </c>
      <c r="E22" s="44" t="s">
        <v>1900</v>
      </c>
      <c r="F22" s="44" t="s">
        <v>1900</v>
      </c>
      <c r="G2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22" s="44"/>
      <c r="I22" s="44"/>
      <c r="J22" s="44"/>
      <c r="K22" s="44"/>
      <c r="L22" s="301"/>
      <c r="M22" s="44"/>
      <c r="N22" s="44">
        <v>1896</v>
      </c>
      <c r="O22" t="s">
        <v>40</v>
      </c>
      <c r="P22" s="1">
        <v>14607.790764276318</v>
      </c>
      <c r="Q22" s="1">
        <v>0</v>
      </c>
      <c r="R22" s="1">
        <v>0</v>
      </c>
      <c r="S22" s="1">
        <v>0</v>
      </c>
      <c r="T22" s="1">
        <v>0</v>
      </c>
      <c r="U22" s="1">
        <v>0</v>
      </c>
      <c r="V22" s="1">
        <v>0</v>
      </c>
      <c r="W22" s="1">
        <v>14607.790764276318</v>
      </c>
      <c r="X22" s="1">
        <f>tblSection6111416[[#This Row],[Net Total]]*0.15</f>
        <v>2191.1686146414477</v>
      </c>
      <c r="Y22" s="1"/>
      <c r="AA22" s="44">
        <v>1896</v>
      </c>
      <c r="AB22" t="s">
        <v>40</v>
      </c>
      <c r="AC22" s="1">
        <v>270.29755963687239</v>
      </c>
      <c r="AD22" s="1">
        <v>0</v>
      </c>
      <c r="AE22" s="1">
        <v>0</v>
      </c>
      <c r="AF22" s="1">
        <v>0</v>
      </c>
      <c r="AG22" s="1">
        <v>0</v>
      </c>
      <c r="AH22" s="1">
        <v>0</v>
      </c>
      <c r="AI22" s="1">
        <v>270.29755963687239</v>
      </c>
      <c r="AJ22" s="1">
        <f>tblSection6191517[[#This Row],[Net Total]]*0.15</f>
        <v>40.544633945530855</v>
      </c>
      <c r="AK22" s="1"/>
      <c r="AL22" s="301"/>
      <c r="AM22" s="44"/>
      <c r="AN22" s="44">
        <v>1896</v>
      </c>
      <c r="AO22" t="s">
        <v>40</v>
      </c>
      <c r="AP22" s="247">
        <v>14607.790764276318</v>
      </c>
      <c r="AQ22" s="247">
        <v>0</v>
      </c>
      <c r="AR22" s="247">
        <v>0</v>
      </c>
      <c r="AS22" s="247">
        <v>0</v>
      </c>
      <c r="AT22" s="247">
        <v>0</v>
      </c>
      <c r="AU22" s="247">
        <v>0</v>
      </c>
      <c r="AV22" s="247">
        <v>0</v>
      </c>
      <c r="AW22" s="247">
        <v>14607.790764276318</v>
      </c>
      <c r="AX22" s="1">
        <f>tblSection61114[[#This Row],[Gross Total]]*0.15</f>
        <v>2191.1686146414477</v>
      </c>
      <c r="AZ22" s="44">
        <v>1896</v>
      </c>
      <c r="BA22" t="s">
        <v>40</v>
      </c>
      <c r="BB22" s="247">
        <v>270.29755963687239</v>
      </c>
      <c r="BC22" s="247">
        <v>0</v>
      </c>
      <c r="BD22" s="247">
        <v>0</v>
      </c>
      <c r="BE22" s="247">
        <v>0</v>
      </c>
      <c r="BF22" s="247">
        <v>0</v>
      </c>
      <c r="BG22" s="247">
        <v>0</v>
      </c>
      <c r="BH22" s="247">
        <v>270.29755963687239</v>
      </c>
      <c r="BI22" s="1">
        <f>tblSection61915[[#This Row],[Gross Total]]*0.15</f>
        <v>40.544633945530855</v>
      </c>
      <c r="BJ22" s="44"/>
      <c r="BK22" s="301"/>
      <c r="BM22" s="44">
        <v>1896</v>
      </c>
      <c r="BN22" t="s">
        <v>40</v>
      </c>
      <c r="BO22" s="1">
        <v>14607</v>
      </c>
      <c r="BP22" s="1">
        <v>0</v>
      </c>
      <c r="BQ22" s="1">
        <v>0</v>
      </c>
      <c r="BR22" s="1">
        <v>0</v>
      </c>
      <c r="BS22" s="1">
        <v>0</v>
      </c>
      <c r="BT22" s="1">
        <v>0</v>
      </c>
      <c r="BU22" s="1">
        <f>SUM(tblSection611[[#This Row],[LEA/District]:[ECSE]])</f>
        <v>14607</v>
      </c>
      <c r="BV22" s="1">
        <f>tblSection611[[#This Row],[Gross Total]]*0.15</f>
        <v>2191.0499999999997</v>
      </c>
      <c r="BW22" s="1"/>
      <c r="BY22" s="44">
        <v>1896</v>
      </c>
      <c r="BZ22" t="s">
        <v>40</v>
      </c>
      <c r="CA22" s="1">
        <v>276</v>
      </c>
      <c r="CB22" s="1">
        <v>0</v>
      </c>
      <c r="CC22" s="1">
        <v>0</v>
      </c>
      <c r="CD22" s="1">
        <v>0</v>
      </c>
      <c r="CE22" s="1">
        <v>0</v>
      </c>
      <c r="CF22" s="1">
        <v>0</v>
      </c>
      <c r="CG22" s="1">
        <f>SUM(tblSection619[[#This Row],[LEA/District]:[ECSE]])</f>
        <v>276</v>
      </c>
      <c r="CH22" s="1">
        <f>tblSection619[[#This Row],[Gross Total]]*0.15</f>
        <v>41.4</v>
      </c>
    </row>
    <row r="23" spans="1:86" x14ac:dyDescent="0.35">
      <c r="A23" t="s">
        <v>42</v>
      </c>
      <c r="B23">
        <v>2046</v>
      </c>
      <c r="C23" t="s">
        <v>1528</v>
      </c>
      <c r="D23" s="44">
        <f>LEN(TblAgencies[[#This Row],[InstNm]])</f>
        <v>17</v>
      </c>
      <c r="E23" s="44" t="s">
        <v>1900</v>
      </c>
      <c r="F23" s="44" t="s">
        <v>1900</v>
      </c>
      <c r="G2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23" s="44"/>
      <c r="I23" s="44"/>
      <c r="J23" s="44"/>
      <c r="K23" s="44"/>
      <c r="L23" s="301"/>
      <c r="M23" s="44"/>
      <c r="N23" s="44">
        <v>2046</v>
      </c>
      <c r="O23" t="s">
        <v>42</v>
      </c>
      <c r="P23" s="1">
        <v>65183.077372323678</v>
      </c>
      <c r="Q23" s="1">
        <v>8321.2439198711072</v>
      </c>
      <c r="R23" s="1">
        <v>0</v>
      </c>
      <c r="S23" s="1">
        <v>0</v>
      </c>
      <c r="T23" s="1">
        <v>0</v>
      </c>
      <c r="U23" s="1">
        <v>0</v>
      </c>
      <c r="V23" s="1">
        <v>1386.8739866451847</v>
      </c>
      <c r="W23" s="1">
        <v>65183.077372323671</v>
      </c>
      <c r="X23" s="1">
        <f>tblSection6111416[[#This Row],[Net Total]]*0.15</f>
        <v>9777.4616058485499</v>
      </c>
      <c r="Y23" s="1"/>
      <c r="AA23" s="44">
        <v>2046</v>
      </c>
      <c r="AB23" t="s">
        <v>42</v>
      </c>
      <c r="AC23" s="1">
        <v>0</v>
      </c>
      <c r="AD23" s="1">
        <v>0</v>
      </c>
      <c r="AE23" s="1">
        <v>0</v>
      </c>
      <c r="AF23" s="1">
        <v>0</v>
      </c>
      <c r="AG23" s="1">
        <v>0</v>
      </c>
      <c r="AH23" s="1">
        <v>525.4125546823841</v>
      </c>
      <c r="AI23" s="1">
        <v>0</v>
      </c>
      <c r="AJ23" s="1">
        <f>tblSection6191517[[#This Row],[Net Total]]*0.15</f>
        <v>0</v>
      </c>
      <c r="AK23" s="1"/>
      <c r="AL23" s="301"/>
      <c r="AM23" s="44"/>
      <c r="AN23" s="44">
        <v>2046</v>
      </c>
      <c r="AO23" t="s">
        <v>42</v>
      </c>
      <c r="AP23" s="247">
        <v>65183.077372323678</v>
      </c>
      <c r="AQ23" s="247">
        <v>8321.2439198711072</v>
      </c>
      <c r="AR23" s="247">
        <v>0</v>
      </c>
      <c r="AS23" s="247">
        <v>0</v>
      </c>
      <c r="AT23" s="247">
        <v>0</v>
      </c>
      <c r="AU23" s="247">
        <v>0</v>
      </c>
      <c r="AV23" s="247">
        <v>1386.8739866451847</v>
      </c>
      <c r="AW23" s="247">
        <v>74891.195278839965</v>
      </c>
      <c r="AX23" s="1">
        <f>tblSection61114[[#This Row],[Gross Total]]*0.15</f>
        <v>11233.679291825994</v>
      </c>
      <c r="AZ23" s="44">
        <v>2046</v>
      </c>
      <c r="BA23" t="s">
        <v>42</v>
      </c>
      <c r="BB23" s="247">
        <v>0</v>
      </c>
      <c r="BC23" s="247">
        <v>0</v>
      </c>
      <c r="BD23" s="247">
        <v>0</v>
      </c>
      <c r="BE23" s="247">
        <v>0</v>
      </c>
      <c r="BF23" s="247">
        <v>0</v>
      </c>
      <c r="BG23" s="247">
        <v>525.4125546823841</v>
      </c>
      <c r="BH23" s="247">
        <v>525.4125546823841</v>
      </c>
      <c r="BI23" s="1">
        <f>tblSection61915[[#This Row],[Gross Total]]*0.15</f>
        <v>78.811883202357606</v>
      </c>
      <c r="BJ23" s="44"/>
      <c r="BK23" s="301"/>
      <c r="BM23" s="44">
        <v>2046</v>
      </c>
      <c r="BN23" t="s">
        <v>42</v>
      </c>
      <c r="BO23" s="1">
        <v>37789</v>
      </c>
      <c r="BP23" s="1">
        <v>5726</v>
      </c>
      <c r="BQ23" s="1">
        <v>0</v>
      </c>
      <c r="BR23" s="1">
        <v>0</v>
      </c>
      <c r="BS23" s="1">
        <v>0</v>
      </c>
      <c r="BT23" s="1">
        <v>1145</v>
      </c>
      <c r="BU23" s="1">
        <f>SUM(tblSection611[[#This Row],[LEA/District]:[ECSE]])</f>
        <v>44660</v>
      </c>
      <c r="BV23" s="1">
        <f>tblSection611[[#This Row],[Gross Total]]*0.15</f>
        <v>6699</v>
      </c>
      <c r="BW23" s="1"/>
      <c r="BY23" s="44">
        <v>2046</v>
      </c>
      <c r="BZ23" t="s">
        <v>42</v>
      </c>
      <c r="CA23" s="1">
        <v>296</v>
      </c>
      <c r="CB23" s="1">
        <v>0</v>
      </c>
      <c r="CC23" s="1">
        <v>0</v>
      </c>
      <c r="CD23" s="1">
        <v>0</v>
      </c>
      <c r="CE23" s="1">
        <v>0</v>
      </c>
      <c r="CF23" s="1">
        <v>296</v>
      </c>
      <c r="CG23" s="1">
        <f>SUM(tblSection619[[#This Row],[LEA/District]:[ECSE]])</f>
        <v>592</v>
      </c>
      <c r="CH23" s="1">
        <f>tblSection619[[#This Row],[Gross Total]]*0.15</f>
        <v>88.8</v>
      </c>
    </row>
    <row r="24" spans="1:86" x14ac:dyDescent="0.35">
      <c r="A24" t="s">
        <v>43</v>
      </c>
      <c r="B24">
        <v>1995</v>
      </c>
      <c r="C24" t="s">
        <v>1528</v>
      </c>
      <c r="D24" s="44">
        <f>LEN(TblAgencies[[#This Row],[InstNm]])</f>
        <v>19</v>
      </c>
      <c r="E24" s="44" t="s">
        <v>1900</v>
      </c>
      <c r="F24" s="44" t="s">
        <v>1900</v>
      </c>
      <c r="G2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24" s="44"/>
      <c r="I24" s="44"/>
      <c r="J24" s="44"/>
      <c r="K24" s="44"/>
      <c r="L24" s="301"/>
      <c r="M24" s="44"/>
      <c r="N24" s="44">
        <v>1995</v>
      </c>
      <c r="O24" t="s">
        <v>43</v>
      </c>
      <c r="P24" s="1">
        <v>56746.528310016729</v>
      </c>
      <c r="Q24" s="1">
        <v>3783.1018873344483</v>
      </c>
      <c r="R24" s="1">
        <v>0</v>
      </c>
      <c r="S24" s="1">
        <v>0</v>
      </c>
      <c r="T24" s="1">
        <v>0</v>
      </c>
      <c r="U24" s="1">
        <v>0</v>
      </c>
      <c r="V24" s="1">
        <v>1891.5509436672241</v>
      </c>
      <c r="W24" s="1">
        <v>56746.528310016729</v>
      </c>
      <c r="X24" s="1">
        <f>tblSection6111416[[#This Row],[Net Total]]*0.15</f>
        <v>8511.9792465025093</v>
      </c>
      <c r="Y24" s="1"/>
      <c r="AA24" s="44">
        <v>1995</v>
      </c>
      <c r="AB24" t="s">
        <v>43</v>
      </c>
      <c r="AC24" s="1">
        <v>176.95664855734162</v>
      </c>
      <c r="AD24" s="1">
        <v>0</v>
      </c>
      <c r="AE24" s="1">
        <v>0</v>
      </c>
      <c r="AF24" s="1">
        <v>0</v>
      </c>
      <c r="AG24" s="1">
        <v>0</v>
      </c>
      <c r="AH24" s="1">
        <v>176.95664855734162</v>
      </c>
      <c r="AI24" s="1">
        <v>176.95664855734162</v>
      </c>
      <c r="AJ24" s="1">
        <f>tblSection6191517[[#This Row],[Net Total]]*0.15</f>
        <v>26.543497283601244</v>
      </c>
      <c r="AK24" s="1"/>
      <c r="AL24" s="301"/>
      <c r="AM24" s="44"/>
      <c r="AN24" s="44">
        <v>1995</v>
      </c>
      <c r="AO24" t="s">
        <v>43</v>
      </c>
      <c r="AP24" s="247">
        <v>56746.528310016729</v>
      </c>
      <c r="AQ24" s="247">
        <v>3783.1018873344483</v>
      </c>
      <c r="AR24" s="247">
        <v>0</v>
      </c>
      <c r="AS24" s="247">
        <v>0</v>
      </c>
      <c r="AT24" s="247">
        <v>0</v>
      </c>
      <c r="AU24" s="247">
        <v>0</v>
      </c>
      <c r="AV24" s="247">
        <v>1891.5509436672241</v>
      </c>
      <c r="AW24" s="247">
        <v>62421.181141018402</v>
      </c>
      <c r="AX24" s="1">
        <f>tblSection61114[[#This Row],[Gross Total]]*0.15</f>
        <v>9363.1771711527599</v>
      </c>
      <c r="AZ24" s="44">
        <v>1995</v>
      </c>
      <c r="BA24" t="s">
        <v>43</v>
      </c>
      <c r="BB24" s="247">
        <v>176.95664855734162</v>
      </c>
      <c r="BC24" s="247">
        <v>0</v>
      </c>
      <c r="BD24" s="247">
        <v>0</v>
      </c>
      <c r="BE24" s="247">
        <v>0</v>
      </c>
      <c r="BF24" s="247">
        <v>0</v>
      </c>
      <c r="BG24" s="247">
        <v>176.95664855734162</v>
      </c>
      <c r="BH24" s="247">
        <v>353.91329711468325</v>
      </c>
      <c r="BI24" s="1">
        <f>tblSection61915[[#This Row],[Gross Total]]*0.15</f>
        <v>53.086994567202488</v>
      </c>
      <c r="BJ24" s="44"/>
      <c r="BK24" s="301"/>
      <c r="BM24" s="44">
        <v>1995</v>
      </c>
      <c r="BN24" t="s">
        <v>43</v>
      </c>
      <c r="BO24" s="1">
        <v>49736</v>
      </c>
      <c r="BP24" s="1">
        <v>4263</v>
      </c>
      <c r="BQ24" s="1">
        <v>0</v>
      </c>
      <c r="BR24" s="1">
        <v>0</v>
      </c>
      <c r="BS24" s="1">
        <v>0</v>
      </c>
      <c r="BT24" s="1">
        <v>1421</v>
      </c>
      <c r="BU24" s="1">
        <f>SUM(tblSection611[[#This Row],[LEA/District]:[ECSE]])</f>
        <v>55420</v>
      </c>
      <c r="BV24" s="1">
        <f>tblSection611[[#This Row],[Gross Total]]*0.15</f>
        <v>8313</v>
      </c>
      <c r="BW24" s="1"/>
      <c r="BY24" s="44">
        <v>1995</v>
      </c>
      <c r="BZ24" t="s">
        <v>43</v>
      </c>
      <c r="CA24" s="1">
        <v>0</v>
      </c>
      <c r="CB24" s="1">
        <v>0</v>
      </c>
      <c r="CC24" s="1">
        <v>0</v>
      </c>
      <c r="CD24" s="1">
        <v>0</v>
      </c>
      <c r="CE24" s="1">
        <v>0</v>
      </c>
      <c r="CF24" s="1">
        <v>384</v>
      </c>
      <c r="CG24" s="1">
        <f>SUM(tblSection619[[#This Row],[LEA/District]:[ECSE]])</f>
        <v>384</v>
      </c>
      <c r="CH24" s="1">
        <f>tblSection619[[#This Row],[Gross Total]]*0.15</f>
        <v>57.599999999999994</v>
      </c>
    </row>
    <row r="25" spans="1:86" x14ac:dyDescent="0.35">
      <c r="A25" t="s">
        <v>44</v>
      </c>
      <c r="B25">
        <v>1929</v>
      </c>
      <c r="C25" t="s">
        <v>1528</v>
      </c>
      <c r="D25" s="44">
        <f>LEN(TblAgencies[[#This Row],[InstNm]])</f>
        <v>11</v>
      </c>
      <c r="E25" s="44" t="s">
        <v>1900</v>
      </c>
      <c r="F25" s="44" t="s">
        <v>1900</v>
      </c>
      <c r="G2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25" s="44"/>
      <c r="I25" s="44"/>
      <c r="J25" s="44"/>
      <c r="K25" s="44"/>
      <c r="L25" s="301"/>
      <c r="M25" s="44"/>
      <c r="N25" s="44">
        <v>1929</v>
      </c>
      <c r="O25" t="s">
        <v>44</v>
      </c>
      <c r="P25" s="1">
        <v>817956.37013708369</v>
      </c>
      <c r="Q25" s="1">
        <v>220477.95162131268</v>
      </c>
      <c r="R25" s="1">
        <v>0</v>
      </c>
      <c r="S25" s="1">
        <v>0</v>
      </c>
      <c r="T25" s="1">
        <v>0</v>
      </c>
      <c r="U25" s="1">
        <v>0</v>
      </c>
      <c r="V25" s="1">
        <v>100982.2679181585</v>
      </c>
      <c r="W25" s="1">
        <v>817956.37013708358</v>
      </c>
      <c r="X25" s="1">
        <f>tblSection6111416[[#This Row],[Net Total]]*0.15</f>
        <v>122693.45552056254</v>
      </c>
      <c r="Y25" s="1"/>
      <c r="AA25" s="44">
        <v>1929</v>
      </c>
      <c r="AB25" t="s">
        <v>44</v>
      </c>
      <c r="AC25" s="1">
        <v>3638.0863890792716</v>
      </c>
      <c r="AD25" s="1">
        <v>4708.1117976319983</v>
      </c>
      <c r="AE25" s="1">
        <v>0</v>
      </c>
      <c r="AF25" s="1">
        <v>0</v>
      </c>
      <c r="AG25" s="1">
        <v>0</v>
      </c>
      <c r="AH25" s="1">
        <v>12840.304902632721</v>
      </c>
      <c r="AI25" s="1">
        <v>3638.0863890792716</v>
      </c>
      <c r="AJ25" s="1">
        <f>tblSection6191517[[#This Row],[Net Total]]*0.15</f>
        <v>545.71295836189074</v>
      </c>
      <c r="AK25" s="1"/>
      <c r="AL25" s="301"/>
      <c r="AM25" s="44"/>
      <c r="AN25" s="44">
        <v>1929</v>
      </c>
      <c r="AO25" t="s">
        <v>44</v>
      </c>
      <c r="AP25" s="247">
        <v>817956.37013708369</v>
      </c>
      <c r="AQ25" s="247">
        <v>220477.95162131268</v>
      </c>
      <c r="AR25" s="247">
        <v>0</v>
      </c>
      <c r="AS25" s="247">
        <v>0</v>
      </c>
      <c r="AT25" s="247">
        <v>0</v>
      </c>
      <c r="AU25" s="247">
        <v>0</v>
      </c>
      <c r="AV25" s="247">
        <v>75736.700938618873</v>
      </c>
      <c r="AW25" s="247">
        <v>1114171.0226970152</v>
      </c>
      <c r="AX25" s="1">
        <f>tblSection61114[[#This Row],[Gross Total]]*0.15</f>
        <v>167125.65340455229</v>
      </c>
      <c r="AZ25" s="44">
        <v>1929</v>
      </c>
      <c r="BA25" t="s">
        <v>44</v>
      </c>
      <c r="BB25" s="247">
        <v>3638.0863890792716</v>
      </c>
      <c r="BC25" s="247">
        <v>4708.1117976319983</v>
      </c>
      <c r="BD25" s="247">
        <v>0</v>
      </c>
      <c r="BE25" s="247">
        <v>0</v>
      </c>
      <c r="BF25" s="247">
        <v>0</v>
      </c>
      <c r="BG25" s="247">
        <v>9630.2286769745406</v>
      </c>
      <c r="BH25" s="247">
        <v>17976.426863685811</v>
      </c>
      <c r="BI25" s="1">
        <f>tblSection61915[[#This Row],[Gross Total]]*0.15</f>
        <v>2696.4640295528716</v>
      </c>
      <c r="BJ25" s="44"/>
      <c r="BK25" s="301"/>
      <c r="BM25" s="44">
        <v>1929</v>
      </c>
      <c r="BN25" t="s">
        <v>44</v>
      </c>
      <c r="BO25" s="1">
        <v>784338</v>
      </c>
      <c r="BP25" s="1">
        <v>151335</v>
      </c>
      <c r="BQ25" s="1">
        <v>0</v>
      </c>
      <c r="BR25" s="1">
        <v>0</v>
      </c>
      <c r="BS25" s="1">
        <v>0</v>
      </c>
      <c r="BT25" s="1">
        <v>69972</v>
      </c>
      <c r="BU25" s="1">
        <f>SUM(tblSection611[[#This Row],[LEA/District]:[ECSE]])</f>
        <v>1005645</v>
      </c>
      <c r="BV25" s="1">
        <f>tblSection611[[#This Row],[Gross Total]]*0.15</f>
        <v>150846.75</v>
      </c>
      <c r="BW25" s="1"/>
      <c r="BY25" s="44">
        <v>1929</v>
      </c>
      <c r="BZ25" t="s">
        <v>44</v>
      </c>
      <c r="CA25" s="1">
        <v>4249</v>
      </c>
      <c r="CB25" s="1">
        <v>797</v>
      </c>
      <c r="CC25" s="1">
        <v>0</v>
      </c>
      <c r="CD25" s="1">
        <v>0</v>
      </c>
      <c r="CE25" s="1">
        <v>0</v>
      </c>
      <c r="CF25" s="1">
        <v>11420</v>
      </c>
      <c r="CG25" s="1">
        <f>SUM(tblSection619[[#This Row],[LEA/District]:[ECSE]])</f>
        <v>16466</v>
      </c>
      <c r="CH25" s="1">
        <f>tblSection619[[#This Row],[Gross Total]]*0.15</f>
        <v>2469.9</v>
      </c>
    </row>
    <row r="26" spans="1:86" x14ac:dyDescent="0.35">
      <c r="A26" t="s">
        <v>45</v>
      </c>
      <c r="B26">
        <v>2139</v>
      </c>
      <c r="C26" t="s">
        <v>1528</v>
      </c>
      <c r="D26" s="44">
        <f>LEN(TblAgencies[[#This Row],[InstNm]])</f>
        <v>12</v>
      </c>
      <c r="E26" s="44" t="s">
        <v>1900</v>
      </c>
      <c r="F26" s="44" t="s">
        <v>1900</v>
      </c>
      <c r="G2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26" s="44"/>
      <c r="I26" s="44"/>
      <c r="J26" s="44"/>
      <c r="K26" s="44"/>
      <c r="L26" s="301"/>
      <c r="M26" s="44"/>
      <c r="N26" s="44">
        <v>2139</v>
      </c>
      <c r="O26" t="s">
        <v>45</v>
      </c>
      <c r="P26" s="1">
        <v>545874.02878073324</v>
      </c>
      <c r="Q26" s="1">
        <v>125488.28247832946</v>
      </c>
      <c r="R26" s="1">
        <v>1568.6035309791184</v>
      </c>
      <c r="S26" s="1">
        <v>0</v>
      </c>
      <c r="T26" s="1">
        <v>0</v>
      </c>
      <c r="U26" s="1">
        <v>0</v>
      </c>
      <c r="V26" s="1">
        <v>23529.052964686776</v>
      </c>
      <c r="W26" s="1">
        <v>545874.02878073324</v>
      </c>
      <c r="X26" s="1">
        <f>tblSection6111416[[#This Row],[Net Total]]*0.15</f>
        <v>81881.104317109988</v>
      </c>
      <c r="Y26" s="1"/>
      <c r="AA26" s="44">
        <v>2139</v>
      </c>
      <c r="AB26" t="s">
        <v>45</v>
      </c>
      <c r="AC26" s="1">
        <v>2440.7506100954365</v>
      </c>
      <c r="AD26" s="1">
        <v>5857.8014642290473</v>
      </c>
      <c r="AE26" s="1">
        <v>0</v>
      </c>
      <c r="AF26" s="1">
        <v>0</v>
      </c>
      <c r="AG26" s="1">
        <v>0</v>
      </c>
      <c r="AH26" s="1">
        <v>7322.2518302863091</v>
      </c>
      <c r="AI26" s="1">
        <v>2440.7506100954342</v>
      </c>
      <c r="AJ26" s="1">
        <f>tblSection6191517[[#This Row],[Net Total]]*0.15</f>
        <v>366.11259151431511</v>
      </c>
      <c r="AK26" s="1"/>
      <c r="AL26" s="301"/>
      <c r="AM26" s="44"/>
      <c r="AN26" s="44">
        <v>2139</v>
      </c>
      <c r="AO26" t="s">
        <v>45</v>
      </c>
      <c r="AP26" s="247">
        <v>545874.02878073324</v>
      </c>
      <c r="AQ26" s="247">
        <v>125488.28247832946</v>
      </c>
      <c r="AR26" s="247">
        <v>1568.6035309791184</v>
      </c>
      <c r="AS26" s="247">
        <v>0</v>
      </c>
      <c r="AT26" s="247">
        <v>0</v>
      </c>
      <c r="AU26" s="247">
        <v>0</v>
      </c>
      <c r="AV26" s="247">
        <v>14117.431778812066</v>
      </c>
      <c r="AW26" s="247">
        <v>687048.34656885394</v>
      </c>
      <c r="AX26" s="1">
        <f>tblSection61114[[#This Row],[Gross Total]]*0.15</f>
        <v>103057.25198532808</v>
      </c>
      <c r="AZ26" s="44">
        <v>2139</v>
      </c>
      <c r="BA26" t="s">
        <v>45</v>
      </c>
      <c r="BB26" s="247">
        <v>2440.7506100954365</v>
      </c>
      <c r="BC26" s="247">
        <v>5857.8014642290473</v>
      </c>
      <c r="BD26" s="247">
        <v>0</v>
      </c>
      <c r="BE26" s="247">
        <v>0</v>
      </c>
      <c r="BF26" s="247">
        <v>0</v>
      </c>
      <c r="BG26" s="247">
        <v>4393.3510981717855</v>
      </c>
      <c r="BH26" s="247">
        <v>12691.90317249627</v>
      </c>
      <c r="BI26" s="1">
        <f>tblSection61915[[#This Row],[Gross Total]]*0.15</f>
        <v>1903.7854758744404</v>
      </c>
      <c r="BJ26" s="44"/>
      <c r="BK26" s="301"/>
      <c r="BM26" s="44">
        <v>2139</v>
      </c>
      <c r="BN26" t="s">
        <v>45</v>
      </c>
      <c r="BO26" s="1">
        <v>461317</v>
      </c>
      <c r="BP26" s="1">
        <v>104364</v>
      </c>
      <c r="BQ26" s="1">
        <v>1513</v>
      </c>
      <c r="BR26" s="1">
        <v>0</v>
      </c>
      <c r="BS26" s="1">
        <v>0</v>
      </c>
      <c r="BT26" s="1">
        <v>36300</v>
      </c>
      <c r="BU26" s="1">
        <f>SUM(tblSection611[[#This Row],[LEA/District]:[ECSE]])</f>
        <v>603494</v>
      </c>
      <c r="BV26" s="1">
        <f>tblSection611[[#This Row],[Gross Total]]*0.15</f>
        <v>90524.099999999991</v>
      </c>
      <c r="BW26" s="1"/>
      <c r="BY26" s="44">
        <v>2139</v>
      </c>
      <c r="BZ26" t="s">
        <v>45</v>
      </c>
      <c r="CA26" s="1">
        <v>2128</v>
      </c>
      <c r="CB26" s="1">
        <v>426</v>
      </c>
      <c r="CC26" s="1">
        <v>0</v>
      </c>
      <c r="CD26" s="1">
        <v>0</v>
      </c>
      <c r="CE26" s="1">
        <v>0</v>
      </c>
      <c r="CF26" s="1">
        <v>10213</v>
      </c>
      <c r="CG26" s="1">
        <f>SUM(tblSection619[[#This Row],[LEA/District]:[ECSE]])</f>
        <v>12767</v>
      </c>
      <c r="CH26" s="1">
        <f>tblSection619[[#This Row],[Gross Total]]*0.15</f>
        <v>1915.05</v>
      </c>
    </row>
    <row r="27" spans="1:86" x14ac:dyDescent="0.35">
      <c r="A27" t="s">
        <v>46</v>
      </c>
      <c r="B27">
        <v>2185</v>
      </c>
      <c r="C27" t="s">
        <v>1528</v>
      </c>
      <c r="D27" s="44">
        <f>LEN(TblAgencies[[#This Row],[InstNm]])</f>
        <v>17</v>
      </c>
      <c r="E27" s="44" t="s">
        <v>1900</v>
      </c>
      <c r="F27" s="44" t="s">
        <v>1900</v>
      </c>
      <c r="G2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27" s="44"/>
      <c r="I27" s="44"/>
      <c r="J27" s="44"/>
      <c r="K27" s="44"/>
      <c r="L27" s="301"/>
      <c r="M27" s="44"/>
      <c r="N27" s="44">
        <v>2185</v>
      </c>
      <c r="O27" t="s">
        <v>46</v>
      </c>
      <c r="P27" s="1">
        <v>1027175.2904755145</v>
      </c>
      <c r="Q27" s="1">
        <v>314541.71574369818</v>
      </c>
      <c r="R27" s="1">
        <v>3276.4762056635236</v>
      </c>
      <c r="S27" s="1">
        <v>0</v>
      </c>
      <c r="T27" s="1">
        <v>0</v>
      </c>
      <c r="U27" s="1">
        <v>0</v>
      </c>
      <c r="V27" s="1">
        <v>160547.33407751264</v>
      </c>
      <c r="W27" s="1">
        <v>1027175.2904755145</v>
      </c>
      <c r="X27" s="1">
        <f>tblSection6111416[[#This Row],[Net Total]]*0.15</f>
        <v>154076.29357132717</v>
      </c>
      <c r="Y27" s="1"/>
      <c r="AA27" s="44">
        <v>2185</v>
      </c>
      <c r="AB27" t="s">
        <v>46</v>
      </c>
      <c r="AC27" s="1">
        <v>7221.3297876576489</v>
      </c>
      <c r="AD27" s="1">
        <v>10276.507774743579</v>
      </c>
      <c r="AE27" s="1">
        <v>0</v>
      </c>
      <c r="AF27" s="1">
        <v>0</v>
      </c>
      <c r="AG27" s="1">
        <v>0</v>
      </c>
      <c r="AH27" s="1">
        <v>27218.858430401902</v>
      </c>
      <c r="AI27" s="1">
        <v>7221.3297876576471</v>
      </c>
      <c r="AJ27" s="1">
        <f>tblSection6191517[[#This Row],[Net Total]]*0.15</f>
        <v>1083.1994681486469</v>
      </c>
      <c r="AK27" s="1"/>
      <c r="AL27" s="301"/>
      <c r="AM27" s="44"/>
      <c r="AN27" s="44">
        <v>2185</v>
      </c>
      <c r="AO27" t="s">
        <v>46</v>
      </c>
      <c r="AP27" s="247">
        <v>1027175.2904755145</v>
      </c>
      <c r="AQ27" s="247">
        <v>314541.71574369818</v>
      </c>
      <c r="AR27" s="247">
        <v>3276.4762056635236</v>
      </c>
      <c r="AS27" s="247">
        <v>0</v>
      </c>
      <c r="AT27" s="247">
        <v>0</v>
      </c>
      <c r="AU27" s="247">
        <v>0</v>
      </c>
      <c r="AV27" s="247">
        <v>114676.66719822331</v>
      </c>
      <c r="AW27" s="247">
        <v>1459670.1496230995</v>
      </c>
      <c r="AX27" s="1">
        <f>tblSection61114[[#This Row],[Gross Total]]*0.15</f>
        <v>218950.52244346493</v>
      </c>
      <c r="AZ27" s="44">
        <v>2185</v>
      </c>
      <c r="BA27" t="s">
        <v>46</v>
      </c>
      <c r="BB27" s="247">
        <v>7221.3297876576489</v>
      </c>
      <c r="BC27" s="247">
        <v>10276.507774743579</v>
      </c>
      <c r="BD27" s="247">
        <v>0</v>
      </c>
      <c r="BE27" s="247">
        <v>0</v>
      </c>
      <c r="BF27" s="247">
        <v>0</v>
      </c>
      <c r="BG27" s="247">
        <v>19442.04173600136</v>
      </c>
      <c r="BH27" s="247">
        <v>36939.879298402586</v>
      </c>
      <c r="BI27" s="1">
        <f>tblSection61915[[#This Row],[Gross Total]]*0.15</f>
        <v>5540.9818947603881</v>
      </c>
      <c r="BJ27" s="44"/>
      <c r="BK27" s="301"/>
      <c r="BM27" s="44">
        <v>2185</v>
      </c>
      <c r="BN27" t="s">
        <v>46</v>
      </c>
      <c r="BO27" s="1">
        <v>990006</v>
      </c>
      <c r="BP27" s="1">
        <v>257563</v>
      </c>
      <c r="BQ27" s="1">
        <v>3220</v>
      </c>
      <c r="BR27" s="1">
        <v>0</v>
      </c>
      <c r="BS27" s="1">
        <v>0</v>
      </c>
      <c r="BT27" s="1">
        <v>125562</v>
      </c>
      <c r="BU27" s="1">
        <f>SUM(tblSection611[[#This Row],[LEA/District]:[ECSE]])</f>
        <v>1376351</v>
      </c>
      <c r="BV27" s="1">
        <f>tblSection611[[#This Row],[Gross Total]]*0.15</f>
        <v>206452.65</v>
      </c>
      <c r="BW27" s="1"/>
      <c r="BY27" s="44">
        <v>2185</v>
      </c>
      <c r="BZ27" t="s">
        <v>46</v>
      </c>
      <c r="CA27" s="1">
        <v>5016</v>
      </c>
      <c r="CB27" s="1">
        <v>2675</v>
      </c>
      <c r="CC27" s="1">
        <v>0</v>
      </c>
      <c r="CD27" s="1">
        <v>0</v>
      </c>
      <c r="CE27" s="1">
        <v>0</v>
      </c>
      <c r="CF27" s="1">
        <v>26081</v>
      </c>
      <c r="CG27" s="1">
        <f>SUM(tblSection619[[#This Row],[LEA/District]:[ECSE]])</f>
        <v>33772</v>
      </c>
      <c r="CH27" s="1">
        <f>tblSection619[[#This Row],[Gross Total]]*0.15</f>
        <v>5065.8</v>
      </c>
    </row>
    <row r="28" spans="1:86" x14ac:dyDescent="0.35">
      <c r="A28" t="s">
        <v>47</v>
      </c>
      <c r="B28">
        <v>1972</v>
      </c>
      <c r="C28" t="s">
        <v>1528</v>
      </c>
      <c r="D28" s="44">
        <f>LEN(TblAgencies[[#This Row],[InstNm]])</f>
        <v>18</v>
      </c>
      <c r="E28" s="44" t="s">
        <v>1900</v>
      </c>
      <c r="F28" s="44" t="s">
        <v>1900</v>
      </c>
      <c r="G2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28" s="44"/>
      <c r="I28" s="44"/>
      <c r="J28" s="44"/>
      <c r="K28" s="44"/>
      <c r="L28" s="301"/>
      <c r="M28" s="44"/>
      <c r="N28" s="44">
        <v>1972</v>
      </c>
      <c r="O28" t="s">
        <v>47</v>
      </c>
      <c r="P28" s="1">
        <v>111590.91340456228</v>
      </c>
      <c r="Q28" s="1">
        <v>4851.7788436766214</v>
      </c>
      <c r="R28" s="1">
        <v>0</v>
      </c>
      <c r="S28" s="1">
        <v>0</v>
      </c>
      <c r="T28" s="1">
        <v>0</v>
      </c>
      <c r="U28" s="1">
        <v>0</v>
      </c>
      <c r="V28" s="1">
        <v>9703.5576873532427</v>
      </c>
      <c r="W28" s="1">
        <v>111590.91340456228</v>
      </c>
      <c r="X28" s="1">
        <f>tblSection6111416[[#This Row],[Net Total]]*0.15</f>
        <v>16738.637010684342</v>
      </c>
      <c r="Y28" s="1"/>
      <c r="AA28" s="44">
        <v>1972</v>
      </c>
      <c r="AB28" t="s">
        <v>47</v>
      </c>
      <c r="AC28" s="1">
        <v>2101.6502187295364</v>
      </c>
      <c r="AD28" s="1">
        <v>0</v>
      </c>
      <c r="AE28" s="1">
        <v>0</v>
      </c>
      <c r="AF28" s="1">
        <v>0</v>
      </c>
      <c r="AG28" s="1">
        <v>0</v>
      </c>
      <c r="AH28" s="1">
        <v>2101.6502187295364</v>
      </c>
      <c r="AI28" s="1">
        <v>2101.6502187295364</v>
      </c>
      <c r="AJ28" s="1">
        <f>tblSection6191517[[#This Row],[Net Total]]*0.15</f>
        <v>315.24753280943042</v>
      </c>
      <c r="AK28" s="1"/>
      <c r="AL28" s="301"/>
      <c r="AM28" s="44"/>
      <c r="AN28" s="44">
        <v>1972</v>
      </c>
      <c r="AO28" t="s">
        <v>47</v>
      </c>
      <c r="AP28" s="247">
        <v>111590.91340456228</v>
      </c>
      <c r="AQ28" s="247">
        <v>4851.7788436766214</v>
      </c>
      <c r="AR28" s="247">
        <v>0</v>
      </c>
      <c r="AS28" s="247">
        <v>0</v>
      </c>
      <c r="AT28" s="247">
        <v>0</v>
      </c>
      <c r="AU28" s="247">
        <v>0</v>
      </c>
      <c r="AV28" s="247">
        <v>9703.5576873532427</v>
      </c>
      <c r="AW28" s="247">
        <v>126146.24993559215</v>
      </c>
      <c r="AX28" s="1">
        <f>tblSection61114[[#This Row],[Gross Total]]*0.15</f>
        <v>18921.93749033882</v>
      </c>
      <c r="AZ28" s="44">
        <v>1972</v>
      </c>
      <c r="BA28" t="s">
        <v>47</v>
      </c>
      <c r="BB28" s="247">
        <v>2101.6502187295364</v>
      </c>
      <c r="BC28" s="247">
        <v>0</v>
      </c>
      <c r="BD28" s="247">
        <v>0</v>
      </c>
      <c r="BE28" s="247">
        <v>0</v>
      </c>
      <c r="BF28" s="247">
        <v>0</v>
      </c>
      <c r="BG28" s="247">
        <v>2101.6502187295364</v>
      </c>
      <c r="BH28" s="247">
        <v>4203.3004374590728</v>
      </c>
      <c r="BI28" s="1">
        <f>tblSection61915[[#This Row],[Gross Total]]*0.15</f>
        <v>630.49506561886085</v>
      </c>
      <c r="BJ28" s="44"/>
      <c r="BK28" s="301"/>
      <c r="BM28" s="44">
        <v>1972</v>
      </c>
      <c r="BN28" t="s">
        <v>47</v>
      </c>
      <c r="BO28" s="1">
        <v>110789</v>
      </c>
      <c r="BP28" s="1">
        <v>6517</v>
      </c>
      <c r="BQ28" s="1">
        <v>0</v>
      </c>
      <c r="BR28" s="1">
        <v>0</v>
      </c>
      <c r="BS28" s="1">
        <v>0</v>
      </c>
      <c r="BT28" s="1">
        <v>19551</v>
      </c>
      <c r="BU28" s="1">
        <f>SUM(tblSection611[[#This Row],[LEA/District]:[ECSE]])</f>
        <v>136857</v>
      </c>
      <c r="BV28" s="1">
        <f>tblSection611[[#This Row],[Gross Total]]*0.15</f>
        <v>20528.55</v>
      </c>
      <c r="BW28" s="1"/>
      <c r="BY28" s="44">
        <v>1972</v>
      </c>
      <c r="BZ28" t="s">
        <v>47</v>
      </c>
      <c r="CA28" s="1">
        <v>397</v>
      </c>
      <c r="CB28" s="1">
        <v>0</v>
      </c>
      <c r="CC28" s="1">
        <v>0</v>
      </c>
      <c r="CD28" s="1">
        <v>0</v>
      </c>
      <c r="CE28" s="1">
        <v>0</v>
      </c>
      <c r="CF28" s="1">
        <v>3575</v>
      </c>
      <c r="CG28" s="1">
        <f>SUM(tblSection619[[#This Row],[LEA/District]:[ECSE]])</f>
        <v>3972</v>
      </c>
      <c r="CH28" s="1">
        <f>tblSection619[[#This Row],[Gross Total]]*0.15</f>
        <v>595.79999999999995</v>
      </c>
    </row>
    <row r="29" spans="1:86" x14ac:dyDescent="0.35">
      <c r="A29" t="s">
        <v>48</v>
      </c>
      <c r="B29">
        <v>2105</v>
      </c>
      <c r="C29" t="s">
        <v>1528</v>
      </c>
      <c r="D29" s="44">
        <f>LEN(TblAgencies[[#This Row],[InstNm]])</f>
        <v>19</v>
      </c>
      <c r="E29" s="44" t="s">
        <v>1900</v>
      </c>
      <c r="F29" s="44" t="s">
        <v>1900</v>
      </c>
      <c r="G2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29" s="44"/>
      <c r="I29" s="44"/>
      <c r="J29" s="44"/>
      <c r="K29" s="44"/>
      <c r="L29" s="301"/>
      <c r="M29" s="44"/>
      <c r="N29" s="44">
        <v>2105</v>
      </c>
      <c r="O29" t="s">
        <v>48</v>
      </c>
      <c r="P29" s="1">
        <v>136853.2961378232</v>
      </c>
      <c r="Q29" s="1">
        <v>14321.856572562894</v>
      </c>
      <c r="R29" s="1">
        <v>0</v>
      </c>
      <c r="S29" s="1">
        <v>0</v>
      </c>
      <c r="T29" s="1">
        <v>0</v>
      </c>
      <c r="U29" s="1">
        <v>0</v>
      </c>
      <c r="V29" s="1">
        <v>12730.539175611462</v>
      </c>
      <c r="W29" s="1">
        <v>136853.2961378232</v>
      </c>
      <c r="X29" s="1">
        <f>tblSection6111416[[#This Row],[Net Total]]*0.15</f>
        <v>20527.99442067348</v>
      </c>
      <c r="Y29" s="1"/>
      <c r="AA29" s="44">
        <v>2105</v>
      </c>
      <c r="AB29" t="s">
        <v>48</v>
      </c>
      <c r="AC29" s="1">
        <v>471.5890408353996</v>
      </c>
      <c r="AD29" s="1">
        <v>471.5890408353996</v>
      </c>
      <c r="AE29" s="1">
        <v>0</v>
      </c>
      <c r="AF29" s="1">
        <v>0</v>
      </c>
      <c r="AG29" s="1">
        <v>0</v>
      </c>
      <c r="AH29" s="1">
        <v>3772.7123266831968</v>
      </c>
      <c r="AI29" s="1">
        <v>471.58904083539983</v>
      </c>
      <c r="AJ29" s="1">
        <f>tblSection6191517[[#This Row],[Net Total]]*0.15</f>
        <v>70.738356125309977</v>
      </c>
      <c r="AK29" s="1"/>
      <c r="AL29" s="301"/>
      <c r="AM29" s="44"/>
      <c r="AN29" s="44">
        <v>2105</v>
      </c>
      <c r="AO29" t="s">
        <v>48</v>
      </c>
      <c r="AP29" s="247">
        <v>136853.2961378232</v>
      </c>
      <c r="AQ29" s="247">
        <v>14321.856572562894</v>
      </c>
      <c r="AR29" s="247">
        <v>0</v>
      </c>
      <c r="AS29" s="247">
        <v>0</v>
      </c>
      <c r="AT29" s="247">
        <v>0</v>
      </c>
      <c r="AU29" s="247">
        <v>0</v>
      </c>
      <c r="AV29" s="247">
        <v>11139.221778660029</v>
      </c>
      <c r="AW29" s="247">
        <v>162314.37448904611</v>
      </c>
      <c r="AX29" s="1">
        <f>tblSection61114[[#This Row],[Gross Total]]*0.15</f>
        <v>24347.156173356914</v>
      </c>
      <c r="AZ29" s="44">
        <v>2105</v>
      </c>
      <c r="BA29" t="s">
        <v>48</v>
      </c>
      <c r="BB29" s="247">
        <v>471.5890408353996</v>
      </c>
      <c r="BC29" s="247">
        <v>471.5890408353996</v>
      </c>
      <c r="BD29" s="247">
        <v>0</v>
      </c>
      <c r="BE29" s="247">
        <v>0</v>
      </c>
      <c r="BF29" s="247">
        <v>0</v>
      </c>
      <c r="BG29" s="247">
        <v>3301.1232858477974</v>
      </c>
      <c r="BH29" s="247">
        <v>4244.3013675185966</v>
      </c>
      <c r="BI29" s="1">
        <f>tblSection61915[[#This Row],[Gross Total]]*0.15</f>
        <v>636.6452051277895</v>
      </c>
      <c r="BJ29" s="44"/>
      <c r="BK29" s="301"/>
      <c r="BM29" s="44">
        <v>2105</v>
      </c>
      <c r="BN29" t="s">
        <v>48</v>
      </c>
      <c r="BO29" s="1">
        <v>116278</v>
      </c>
      <c r="BP29" s="1">
        <v>17226</v>
      </c>
      <c r="BQ29" s="1">
        <v>0</v>
      </c>
      <c r="BR29" s="1">
        <v>0</v>
      </c>
      <c r="BS29" s="1">
        <v>0</v>
      </c>
      <c r="BT29" s="1">
        <v>5742</v>
      </c>
      <c r="BU29" s="1">
        <f>SUM(tblSection611[[#This Row],[LEA/District]:[ECSE]])</f>
        <v>139246</v>
      </c>
      <c r="BV29" s="1">
        <f>tblSection611[[#This Row],[Gross Total]]*0.15</f>
        <v>20886.899999999998</v>
      </c>
      <c r="BW29" s="1"/>
      <c r="BY29" s="44">
        <v>2105</v>
      </c>
      <c r="BZ29" t="s">
        <v>48</v>
      </c>
      <c r="CA29" s="1">
        <v>1357</v>
      </c>
      <c r="CB29" s="1">
        <v>0</v>
      </c>
      <c r="CC29" s="1">
        <v>0</v>
      </c>
      <c r="CD29" s="1">
        <v>0</v>
      </c>
      <c r="CE29" s="1">
        <v>0</v>
      </c>
      <c r="CF29" s="1">
        <v>2714</v>
      </c>
      <c r="CG29" s="1">
        <f>SUM(tblSection619[[#This Row],[LEA/District]:[ECSE]])</f>
        <v>4071</v>
      </c>
      <c r="CH29" s="1">
        <f>tblSection619[[#This Row],[Gross Total]]*0.15</f>
        <v>610.65</v>
      </c>
    </row>
    <row r="30" spans="1:86" x14ac:dyDescent="0.35">
      <c r="A30" t="s">
        <v>49</v>
      </c>
      <c r="B30">
        <v>2042</v>
      </c>
      <c r="C30" t="s">
        <v>1528</v>
      </c>
      <c r="D30" s="44">
        <f>LEN(TblAgencies[[#This Row],[InstNm]])</f>
        <v>18</v>
      </c>
      <c r="E30" s="44" t="s">
        <v>15</v>
      </c>
      <c r="F30" s="44" t="s">
        <v>1900</v>
      </c>
      <c r="G3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30" s="44"/>
      <c r="I30" s="44"/>
      <c r="J30" s="44"/>
      <c r="K30" s="44"/>
      <c r="M30" s="44"/>
      <c r="N30" s="44">
        <v>2042</v>
      </c>
      <c r="O30" t="s">
        <v>49</v>
      </c>
      <c r="P30" s="1">
        <v>890692.79940793326</v>
      </c>
      <c r="Q30" s="1">
        <v>154158.36912829615</v>
      </c>
      <c r="R30" s="1">
        <v>0</v>
      </c>
      <c r="S30" s="1">
        <v>0</v>
      </c>
      <c r="T30" s="1">
        <v>0</v>
      </c>
      <c r="U30" s="1">
        <v>0</v>
      </c>
      <c r="V30" s="1">
        <v>80972.072673448478</v>
      </c>
      <c r="W30" s="1">
        <v>890692.79940793326</v>
      </c>
      <c r="X30" s="1">
        <f>tblSection6111416[[#This Row],[Net Total]]*0.15</f>
        <v>133603.91991118999</v>
      </c>
      <c r="Y30" s="1"/>
      <c r="AA30" s="44">
        <v>2042</v>
      </c>
      <c r="AB30" t="s">
        <v>49</v>
      </c>
      <c r="AC30" s="1">
        <v>10529.301962442951</v>
      </c>
      <c r="AD30" s="1">
        <v>7581.097412958924</v>
      </c>
      <c r="AE30" s="1">
        <v>0</v>
      </c>
      <c r="AF30" s="1">
        <v>0</v>
      </c>
      <c r="AG30" s="1">
        <v>0</v>
      </c>
      <c r="AH30" s="1">
        <v>21900.948081881335</v>
      </c>
      <c r="AI30" s="1">
        <v>10529.301962442947</v>
      </c>
      <c r="AJ30" s="1">
        <f>tblSection6191517[[#This Row],[Net Total]]*0.15</f>
        <v>1579.3952943664419</v>
      </c>
      <c r="AK30" s="1"/>
      <c r="AM30" s="44"/>
      <c r="AN30" s="44">
        <v>2042</v>
      </c>
      <c r="AO30" t="s">
        <v>49</v>
      </c>
      <c r="AP30" s="247">
        <v>890692.79940793326</v>
      </c>
      <c r="AQ30" s="247">
        <v>154158.36912829615</v>
      </c>
      <c r="AR30" s="247">
        <v>0</v>
      </c>
      <c r="AS30" s="247">
        <v>0</v>
      </c>
      <c r="AT30" s="247">
        <v>0</v>
      </c>
      <c r="AU30" s="247">
        <v>0</v>
      </c>
      <c r="AV30" s="247">
        <v>56057.588773925869</v>
      </c>
      <c r="AW30" s="247">
        <v>1100908.7573101553</v>
      </c>
      <c r="AX30" s="1">
        <f>tblSection61114[[#This Row],[Gross Total]]*0.15</f>
        <v>165136.31359652328</v>
      </c>
      <c r="AZ30" s="44">
        <v>2042</v>
      </c>
      <c r="BA30" t="s">
        <v>49</v>
      </c>
      <c r="BB30" s="247">
        <v>10529.301962442951</v>
      </c>
      <c r="BC30" s="247">
        <v>7581.097412958924</v>
      </c>
      <c r="BD30" s="247">
        <v>0</v>
      </c>
      <c r="BE30" s="247">
        <v>0</v>
      </c>
      <c r="BF30" s="247">
        <v>0</v>
      </c>
      <c r="BG30" s="247">
        <v>15162.194825917848</v>
      </c>
      <c r="BH30" s="247">
        <v>33272.59420131972</v>
      </c>
      <c r="BI30" s="1">
        <f>tblSection61915[[#This Row],[Gross Total]]*0.15</f>
        <v>4990.8891301979575</v>
      </c>
      <c r="BJ30" s="44"/>
      <c r="BK30" s="246"/>
      <c r="BM30" s="44">
        <v>2042</v>
      </c>
      <c r="BN30" t="s">
        <v>49</v>
      </c>
      <c r="BO30" s="1">
        <v>772068</v>
      </c>
      <c r="BP30" s="1">
        <v>113582</v>
      </c>
      <c r="BQ30" s="1">
        <v>0</v>
      </c>
      <c r="BR30" s="1">
        <v>0</v>
      </c>
      <c r="BS30" s="1">
        <v>0</v>
      </c>
      <c r="BT30" s="1">
        <v>61823</v>
      </c>
      <c r="BU30" s="1">
        <f>SUM(tblSection611[[#This Row],[LEA/District]:[ECSE]])</f>
        <v>947473</v>
      </c>
      <c r="BV30" s="1">
        <f>tblSection611[[#This Row],[Gross Total]]*0.15</f>
        <v>142120.94999999998</v>
      </c>
      <c r="BW30" s="1"/>
      <c r="BY30" s="44">
        <v>2042</v>
      </c>
      <c r="BZ30" t="s">
        <v>49</v>
      </c>
      <c r="CA30" s="1">
        <v>11168</v>
      </c>
      <c r="CB30" s="1">
        <v>893</v>
      </c>
      <c r="CC30" s="1">
        <v>0</v>
      </c>
      <c r="CD30" s="1">
        <v>0</v>
      </c>
      <c r="CE30" s="1">
        <v>0</v>
      </c>
      <c r="CF30" s="1">
        <v>19209</v>
      </c>
      <c r="CG30" s="1">
        <f>SUM(tblSection619[[#This Row],[LEA/District]:[ECSE]])</f>
        <v>31270</v>
      </c>
      <c r="CH30" s="1">
        <f>tblSection619[[#This Row],[Gross Total]]*0.15</f>
        <v>4690.5</v>
      </c>
    </row>
    <row r="31" spans="1:86" x14ac:dyDescent="0.35">
      <c r="A31" t="s">
        <v>50</v>
      </c>
      <c r="B31">
        <v>2191</v>
      </c>
      <c r="C31" t="s">
        <v>1528</v>
      </c>
      <c r="D31" s="44">
        <f>LEN(TblAgencies[[#This Row],[InstNm]])</f>
        <v>14</v>
      </c>
      <c r="E31" s="44" t="s">
        <v>1900</v>
      </c>
      <c r="F31" s="44" t="s">
        <v>1900</v>
      </c>
      <c r="G3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31" s="44"/>
      <c r="I31" s="44"/>
      <c r="J31" s="44"/>
      <c r="K31" s="44"/>
      <c r="M31" s="44"/>
      <c r="N31" s="44">
        <v>2191</v>
      </c>
      <c r="O31" t="s">
        <v>50</v>
      </c>
      <c r="P31" s="1">
        <v>518014.55565842928</v>
      </c>
      <c r="Q31" s="1">
        <v>144257.21803146129</v>
      </c>
      <c r="R31" s="1">
        <v>4917.8597056179988</v>
      </c>
      <c r="S31" s="1">
        <v>0</v>
      </c>
      <c r="T31" s="1">
        <v>0</v>
      </c>
      <c r="U31" s="1">
        <v>0</v>
      </c>
      <c r="V31" s="1">
        <v>55735.743330337318</v>
      </c>
      <c r="W31" s="1">
        <v>518014.55565842928</v>
      </c>
      <c r="X31" s="1">
        <f>tblSection6111416[[#This Row],[Net Total]]*0.15</f>
        <v>77702.183348764389</v>
      </c>
      <c r="Y31" s="1"/>
      <c r="AA31" s="44">
        <v>2191</v>
      </c>
      <c r="AB31" t="s">
        <v>50</v>
      </c>
      <c r="AC31" s="1">
        <v>2700.6358059759145</v>
      </c>
      <c r="AD31" s="1">
        <v>5401.2716119518291</v>
      </c>
      <c r="AE31" s="1">
        <v>0</v>
      </c>
      <c r="AF31" s="1">
        <v>0</v>
      </c>
      <c r="AG31" s="1">
        <v>0</v>
      </c>
      <c r="AH31" s="1">
        <v>11477.702175397637</v>
      </c>
      <c r="AI31" s="1">
        <v>2700.635805975915</v>
      </c>
      <c r="AJ31" s="1">
        <f>tblSection6191517[[#This Row],[Net Total]]*0.15</f>
        <v>405.09537089638724</v>
      </c>
      <c r="AK31" s="1"/>
      <c r="AM31" s="44"/>
      <c r="AN31" s="44">
        <v>2191</v>
      </c>
      <c r="AO31" t="s">
        <v>50</v>
      </c>
      <c r="AP31" s="247">
        <v>518014.55565842928</v>
      </c>
      <c r="AQ31" s="247">
        <v>144257.21803146129</v>
      </c>
      <c r="AR31" s="247">
        <v>4917.8597056179988</v>
      </c>
      <c r="AS31" s="247">
        <v>0</v>
      </c>
      <c r="AT31" s="247">
        <v>0</v>
      </c>
      <c r="AU31" s="247">
        <v>0</v>
      </c>
      <c r="AV31" s="247">
        <v>40982.164213483324</v>
      </c>
      <c r="AW31" s="247">
        <v>708171.79760899185</v>
      </c>
      <c r="AX31" s="1">
        <f>tblSection61114[[#This Row],[Gross Total]]*0.15</f>
        <v>106225.76964134877</v>
      </c>
      <c r="AZ31" s="44">
        <v>2191</v>
      </c>
      <c r="BA31" t="s">
        <v>50</v>
      </c>
      <c r="BB31" s="247">
        <v>2700.6358059759145</v>
      </c>
      <c r="BC31" s="247">
        <v>5401.2716119518291</v>
      </c>
      <c r="BD31" s="247">
        <v>0</v>
      </c>
      <c r="BE31" s="247">
        <v>0</v>
      </c>
      <c r="BF31" s="247">
        <v>0</v>
      </c>
      <c r="BG31" s="247">
        <v>8439.4868936747334</v>
      </c>
      <c r="BH31" s="247">
        <v>16541.394311602475</v>
      </c>
      <c r="BI31" s="1">
        <f>tblSection61915[[#This Row],[Gross Total]]*0.15</f>
        <v>2481.2091467403711</v>
      </c>
      <c r="BJ31" s="44"/>
      <c r="BK31" s="246"/>
      <c r="BM31" s="44">
        <v>2191</v>
      </c>
      <c r="BN31" t="s">
        <v>50</v>
      </c>
      <c r="BO31" s="1">
        <v>516374</v>
      </c>
      <c r="BP31" s="1">
        <v>82115</v>
      </c>
      <c r="BQ31" s="1">
        <v>0</v>
      </c>
      <c r="BR31" s="1">
        <v>0</v>
      </c>
      <c r="BS31" s="1">
        <v>0</v>
      </c>
      <c r="BT31" s="1">
        <v>52111</v>
      </c>
      <c r="BU31" s="1">
        <f>SUM(tblSection611[[#This Row],[LEA/District]:[ECSE]])</f>
        <v>650600</v>
      </c>
      <c r="BV31" s="1">
        <f>tblSection611[[#This Row],[Gross Total]]*0.15</f>
        <v>97590</v>
      </c>
      <c r="BW31" s="1"/>
      <c r="BY31" s="44">
        <v>2191</v>
      </c>
      <c r="BZ31" t="s">
        <v>50</v>
      </c>
      <c r="CA31" s="1">
        <v>3902</v>
      </c>
      <c r="CB31" s="1">
        <v>975</v>
      </c>
      <c r="CC31" s="1">
        <v>0</v>
      </c>
      <c r="CD31" s="1">
        <v>0</v>
      </c>
      <c r="CE31" s="1">
        <v>0</v>
      </c>
      <c r="CF31" s="1">
        <v>10731</v>
      </c>
      <c r="CG31" s="1">
        <f>SUM(tblSection619[[#This Row],[LEA/District]:[ECSE]])</f>
        <v>15608</v>
      </c>
      <c r="CH31" s="1">
        <f>tblSection619[[#This Row],[Gross Total]]*0.15</f>
        <v>2341.1999999999998</v>
      </c>
    </row>
    <row r="32" spans="1:86" x14ac:dyDescent="0.35">
      <c r="A32" t="s">
        <v>51</v>
      </c>
      <c r="B32">
        <v>1945</v>
      </c>
      <c r="C32" t="s">
        <v>1527</v>
      </c>
      <c r="D32" s="44">
        <f>LEN(TblAgencies[[#This Row],[InstNm]])</f>
        <v>16</v>
      </c>
      <c r="E32" s="44" t="s">
        <v>1900</v>
      </c>
      <c r="F32" s="44" t="s">
        <v>1900</v>
      </c>
      <c r="G3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32" s="44"/>
      <c r="I32" s="44"/>
      <c r="J32" s="44"/>
      <c r="K32" s="44"/>
      <c r="M32" s="44"/>
      <c r="N32" s="44">
        <v>1945</v>
      </c>
      <c r="O32" t="s">
        <v>51</v>
      </c>
      <c r="P32" s="1">
        <v>165296.0312417002</v>
      </c>
      <c r="Q32" s="1">
        <v>36365.126873174042</v>
      </c>
      <c r="R32" s="1">
        <v>0</v>
      </c>
      <c r="S32" s="1">
        <v>0</v>
      </c>
      <c r="T32" s="1">
        <v>0</v>
      </c>
      <c r="U32" s="1">
        <v>0</v>
      </c>
      <c r="V32" s="1">
        <v>33059.206248340037</v>
      </c>
      <c r="W32" s="1">
        <v>165296.03124170023</v>
      </c>
      <c r="X32" s="1">
        <f>tblSection6111416[[#This Row],[Net Total]]*0.15</f>
        <v>24794.404686255035</v>
      </c>
      <c r="Y32" s="1"/>
      <c r="AA32" s="44">
        <v>1945</v>
      </c>
      <c r="AB32" t="s">
        <v>51</v>
      </c>
      <c r="AC32" s="1">
        <v>1404.0974792726176</v>
      </c>
      <c r="AD32" s="1">
        <v>351.02436981815441</v>
      </c>
      <c r="AE32" s="1">
        <v>0</v>
      </c>
      <c r="AF32" s="1">
        <v>0</v>
      </c>
      <c r="AG32" s="1">
        <v>0</v>
      </c>
      <c r="AH32" s="1">
        <v>7020.487396363088</v>
      </c>
      <c r="AI32" s="1">
        <v>1404.0974792726165</v>
      </c>
      <c r="AJ32" s="1">
        <f>tblSection6191517[[#This Row],[Net Total]]*0.15</f>
        <v>210.61462189089247</v>
      </c>
      <c r="AK32" s="1"/>
      <c r="AM32" s="44"/>
      <c r="AN32" s="44">
        <v>1945</v>
      </c>
      <c r="AO32" t="s">
        <v>51</v>
      </c>
      <c r="AP32" s="247">
        <v>165296.0312417002</v>
      </c>
      <c r="AQ32" s="247">
        <v>36365.126873174042</v>
      </c>
      <c r="AR32" s="247">
        <v>0</v>
      </c>
      <c r="AS32" s="247">
        <v>0</v>
      </c>
      <c r="AT32" s="247">
        <v>0</v>
      </c>
      <c r="AU32" s="247">
        <v>0</v>
      </c>
      <c r="AV32" s="247">
        <v>33059.206248340037</v>
      </c>
      <c r="AW32" s="247">
        <v>234720.36436321429</v>
      </c>
      <c r="AX32" s="1">
        <f>tblSection61114[[#This Row],[Gross Total]]*0.15</f>
        <v>35208.054654482141</v>
      </c>
      <c r="AZ32" s="44">
        <v>1945</v>
      </c>
      <c r="BA32" t="s">
        <v>51</v>
      </c>
      <c r="BB32" s="247">
        <v>1404.0974792726176</v>
      </c>
      <c r="BC32" s="247">
        <v>351.02436981815441</v>
      </c>
      <c r="BD32" s="247">
        <v>0</v>
      </c>
      <c r="BE32" s="247">
        <v>0</v>
      </c>
      <c r="BF32" s="247">
        <v>0</v>
      </c>
      <c r="BG32" s="247">
        <v>7020.487396363088</v>
      </c>
      <c r="BH32" s="247">
        <v>8775.6092454538593</v>
      </c>
      <c r="BI32" s="1">
        <f>tblSection61915[[#This Row],[Gross Total]]*0.15</f>
        <v>1316.3413868180789</v>
      </c>
      <c r="BJ32" s="44"/>
      <c r="BK32" s="246"/>
      <c r="BM32" s="44">
        <v>1945</v>
      </c>
      <c r="BN32" t="s">
        <v>51</v>
      </c>
      <c r="BO32" s="1">
        <v>120710</v>
      </c>
      <c r="BP32" s="1">
        <v>28251</v>
      </c>
      <c r="BQ32" s="1">
        <v>0</v>
      </c>
      <c r="BR32" s="1">
        <v>0</v>
      </c>
      <c r="BS32" s="1">
        <v>0</v>
      </c>
      <c r="BT32" s="1">
        <v>15410</v>
      </c>
      <c r="BU32" s="1">
        <f>SUM(tblSection611[[#This Row],[LEA/District]:[ECSE]])</f>
        <v>164371</v>
      </c>
      <c r="BV32" s="1">
        <f>tblSection611[[#This Row],[Gross Total]]*0.15</f>
        <v>24655.649999999998</v>
      </c>
      <c r="BW32" s="1"/>
      <c r="BY32" s="44">
        <v>1945</v>
      </c>
      <c r="BZ32" t="s">
        <v>51</v>
      </c>
      <c r="CA32" s="1">
        <v>3883</v>
      </c>
      <c r="CB32" s="1">
        <v>0</v>
      </c>
      <c r="CC32" s="1">
        <v>0</v>
      </c>
      <c r="CD32" s="1">
        <v>0</v>
      </c>
      <c r="CE32" s="1">
        <v>0</v>
      </c>
      <c r="CF32" s="1">
        <v>3883</v>
      </c>
      <c r="CG32" s="1">
        <f>SUM(tblSection619[[#This Row],[LEA/District]:[ECSE]])</f>
        <v>7766</v>
      </c>
      <c r="CH32" s="1">
        <f>tblSection619[[#This Row],[Gross Total]]*0.15</f>
        <v>1164.8999999999999</v>
      </c>
    </row>
    <row r="33" spans="1:86" x14ac:dyDescent="0.35">
      <c r="A33" t="s">
        <v>52</v>
      </c>
      <c r="B33">
        <v>1927</v>
      </c>
      <c r="C33" t="s">
        <v>1528</v>
      </c>
      <c r="D33" s="44">
        <f>LEN(TblAgencies[[#This Row],[InstNm]])</f>
        <v>12</v>
      </c>
      <c r="E33" s="44" t="s">
        <v>1900</v>
      </c>
      <c r="F33" s="44" t="s">
        <v>1900</v>
      </c>
      <c r="G3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33" s="44"/>
      <c r="I33" s="44"/>
      <c r="J33" s="44"/>
      <c r="K33" s="44"/>
      <c r="M33" s="44"/>
      <c r="N33" s="44">
        <v>1927</v>
      </c>
      <c r="O33" t="s">
        <v>52</v>
      </c>
      <c r="P33" s="1">
        <v>148031.55254164612</v>
      </c>
      <c r="Q33" s="1">
        <v>19224.876953460534</v>
      </c>
      <c r="R33" s="1">
        <v>0</v>
      </c>
      <c r="S33" s="1">
        <v>0</v>
      </c>
      <c r="T33" s="1">
        <v>0</v>
      </c>
      <c r="U33" s="1">
        <v>0</v>
      </c>
      <c r="V33" s="1">
        <v>21147.364648806586</v>
      </c>
      <c r="W33" s="1">
        <v>148031.55254164612</v>
      </c>
      <c r="X33" s="1">
        <f>tblSection6111416[[#This Row],[Net Total]]*0.15</f>
        <v>22204.732881246917</v>
      </c>
      <c r="Y33" s="1"/>
      <c r="AA33" s="44">
        <v>1927</v>
      </c>
      <c r="AB33" t="s">
        <v>52</v>
      </c>
      <c r="AC33" s="1">
        <v>0</v>
      </c>
      <c r="AD33" s="1">
        <v>0</v>
      </c>
      <c r="AE33" s="1">
        <v>0</v>
      </c>
      <c r="AF33" s="1">
        <v>0</v>
      </c>
      <c r="AG33" s="1">
        <v>0</v>
      </c>
      <c r="AH33" s="1">
        <v>5779.5381015062248</v>
      </c>
      <c r="AI33" s="1">
        <v>0</v>
      </c>
      <c r="AJ33" s="1">
        <f>tblSection6191517[[#This Row],[Net Total]]*0.15</f>
        <v>0</v>
      </c>
      <c r="AK33" s="1"/>
      <c r="AM33" s="44"/>
      <c r="AN33" s="44">
        <v>1927</v>
      </c>
      <c r="AO33" t="s">
        <v>52</v>
      </c>
      <c r="AP33" s="247">
        <v>148031.55254164612</v>
      </c>
      <c r="AQ33" s="247">
        <v>19224.876953460534</v>
      </c>
      <c r="AR33" s="247">
        <v>0</v>
      </c>
      <c r="AS33" s="247">
        <v>0</v>
      </c>
      <c r="AT33" s="247">
        <v>0</v>
      </c>
      <c r="AU33" s="247">
        <v>0</v>
      </c>
      <c r="AV33" s="247">
        <v>21147.364648806586</v>
      </c>
      <c r="AW33" s="247">
        <v>188403.79414391326</v>
      </c>
      <c r="AX33" s="1">
        <f>tblSection61114[[#This Row],[Gross Total]]*0.15</f>
        <v>28260.569121586988</v>
      </c>
      <c r="AZ33" s="44">
        <v>1927</v>
      </c>
      <c r="BA33" t="s">
        <v>52</v>
      </c>
      <c r="BB33" s="247">
        <v>0</v>
      </c>
      <c r="BC33" s="247">
        <v>0</v>
      </c>
      <c r="BD33" s="247">
        <v>0</v>
      </c>
      <c r="BE33" s="247">
        <v>0</v>
      </c>
      <c r="BF33" s="247">
        <v>0</v>
      </c>
      <c r="BG33" s="247">
        <v>5779.5381015062248</v>
      </c>
      <c r="BH33" s="247">
        <v>5779.5381015062248</v>
      </c>
      <c r="BI33" s="1">
        <f>tblSection61915[[#This Row],[Gross Total]]*0.15</f>
        <v>866.93071522593368</v>
      </c>
      <c r="BJ33" s="44"/>
      <c r="BK33" s="246"/>
      <c r="BM33" s="44">
        <v>1927</v>
      </c>
      <c r="BN33" t="s">
        <v>52</v>
      </c>
      <c r="BO33" s="1">
        <v>112830</v>
      </c>
      <c r="BP33" s="1">
        <v>10746</v>
      </c>
      <c r="BQ33" s="1">
        <v>0</v>
      </c>
      <c r="BR33" s="1">
        <v>0</v>
      </c>
      <c r="BS33" s="1">
        <v>0</v>
      </c>
      <c r="BT33" s="1">
        <v>16118</v>
      </c>
      <c r="BU33" s="1">
        <f>SUM(tblSection611[[#This Row],[LEA/District]:[ECSE]])</f>
        <v>139694</v>
      </c>
      <c r="BV33" s="1">
        <f>tblSection611[[#This Row],[Gross Total]]*0.15</f>
        <v>20954.099999999999</v>
      </c>
      <c r="BW33" s="1"/>
      <c r="BY33" s="44">
        <v>1927</v>
      </c>
      <c r="BZ33" t="s">
        <v>52</v>
      </c>
      <c r="CA33" s="1">
        <v>0</v>
      </c>
      <c r="CB33" s="1">
        <v>0</v>
      </c>
      <c r="CC33" s="1">
        <v>0</v>
      </c>
      <c r="CD33" s="1">
        <v>0</v>
      </c>
      <c r="CE33" s="1">
        <v>0</v>
      </c>
      <c r="CF33" s="1">
        <v>5339</v>
      </c>
      <c r="CG33" s="1">
        <f>SUM(tblSection619[[#This Row],[LEA/District]:[ECSE]])</f>
        <v>5339</v>
      </c>
      <c r="CH33" s="1">
        <f>tblSection619[[#This Row],[Gross Total]]*0.15</f>
        <v>800.85</v>
      </c>
    </row>
    <row r="34" spans="1:86" x14ac:dyDescent="0.35">
      <c r="A34" t="s">
        <v>53</v>
      </c>
      <c r="B34">
        <v>2006</v>
      </c>
      <c r="C34" t="s">
        <v>1528</v>
      </c>
      <c r="D34" s="44">
        <f>LEN(TblAgencies[[#This Row],[InstNm]])</f>
        <v>13</v>
      </c>
      <c r="E34" s="44" t="s">
        <v>1900</v>
      </c>
      <c r="F34" s="44" t="s">
        <v>1900</v>
      </c>
      <c r="G3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34" s="44"/>
      <c r="I34" s="44"/>
      <c r="J34" s="44"/>
      <c r="K34" s="44"/>
      <c r="M34" s="44"/>
      <c r="N34" s="44">
        <v>2006</v>
      </c>
      <c r="O34" t="s">
        <v>53</v>
      </c>
      <c r="P34" s="1">
        <v>24902.589559909698</v>
      </c>
      <c r="Q34" s="1">
        <v>0</v>
      </c>
      <c r="R34" s="1">
        <v>0</v>
      </c>
      <c r="S34" s="1">
        <v>0</v>
      </c>
      <c r="T34" s="1">
        <v>0</v>
      </c>
      <c r="U34" s="1">
        <v>0</v>
      </c>
      <c r="V34" s="1">
        <v>4150.4315933182825</v>
      </c>
      <c r="W34" s="1">
        <v>24902.589559909698</v>
      </c>
      <c r="X34" s="1">
        <f>tblSection6111416[[#This Row],[Net Total]]*0.15</f>
        <v>3735.3884339864544</v>
      </c>
      <c r="Y34" s="1"/>
      <c r="AA34" s="44">
        <v>2006</v>
      </c>
      <c r="AB34" t="s">
        <v>53</v>
      </c>
      <c r="AC34" s="1">
        <v>711.63783846071681</v>
      </c>
      <c r="AD34" s="1">
        <v>0</v>
      </c>
      <c r="AE34" s="1">
        <v>0</v>
      </c>
      <c r="AF34" s="1">
        <v>0</v>
      </c>
      <c r="AG34" s="1">
        <v>0</v>
      </c>
      <c r="AH34" s="1">
        <v>355.8189192303584</v>
      </c>
      <c r="AI34" s="1">
        <v>711.63783846071669</v>
      </c>
      <c r="AJ34" s="1">
        <f>tblSection6191517[[#This Row],[Net Total]]*0.15</f>
        <v>106.74567576910751</v>
      </c>
      <c r="AK34" s="1"/>
      <c r="AM34" s="44"/>
      <c r="AN34" s="44">
        <v>2006</v>
      </c>
      <c r="AO34" t="s">
        <v>53</v>
      </c>
      <c r="AP34" s="247">
        <v>24902.589559909698</v>
      </c>
      <c r="AQ34" s="247">
        <v>0</v>
      </c>
      <c r="AR34" s="247">
        <v>0</v>
      </c>
      <c r="AS34" s="247">
        <v>0</v>
      </c>
      <c r="AT34" s="247">
        <v>0</v>
      </c>
      <c r="AU34" s="247">
        <v>0</v>
      </c>
      <c r="AV34" s="247">
        <v>4150.4315933182825</v>
      </c>
      <c r="AW34" s="247">
        <v>29053.021153227979</v>
      </c>
      <c r="AX34" s="1">
        <f>tblSection61114[[#This Row],[Gross Total]]*0.15</f>
        <v>4357.9531729841965</v>
      </c>
      <c r="AZ34" s="44">
        <v>2006</v>
      </c>
      <c r="BA34" t="s">
        <v>53</v>
      </c>
      <c r="BB34" s="247">
        <v>711.63783846071681</v>
      </c>
      <c r="BC34" s="247">
        <v>0</v>
      </c>
      <c r="BD34" s="247">
        <v>0</v>
      </c>
      <c r="BE34" s="247">
        <v>0</v>
      </c>
      <c r="BF34" s="247">
        <v>0</v>
      </c>
      <c r="BG34" s="247">
        <v>355.8189192303584</v>
      </c>
      <c r="BH34" s="247">
        <v>1067.4567576910752</v>
      </c>
      <c r="BI34" s="1">
        <f>tblSection61915[[#This Row],[Gross Total]]*0.15</f>
        <v>160.11851365366127</v>
      </c>
      <c r="BJ34" s="44"/>
      <c r="BK34" s="246"/>
      <c r="BM34" s="44">
        <v>2006</v>
      </c>
      <c r="BN34" t="s">
        <v>53</v>
      </c>
      <c r="BO34" s="1">
        <v>23808</v>
      </c>
      <c r="BP34" s="1">
        <v>0</v>
      </c>
      <c r="BQ34" s="1">
        <v>0</v>
      </c>
      <c r="BR34" s="1">
        <v>0</v>
      </c>
      <c r="BS34" s="1">
        <v>0</v>
      </c>
      <c r="BT34" s="1">
        <v>8928</v>
      </c>
      <c r="BU34" s="1">
        <f>SUM(tblSection611[[#This Row],[LEA/District]:[ECSE]])</f>
        <v>32736</v>
      </c>
      <c r="BV34" s="1">
        <f>tblSection611[[#This Row],[Gross Total]]*0.15</f>
        <v>4910.3999999999996</v>
      </c>
      <c r="BW34" s="1"/>
      <c r="BY34" s="44">
        <v>2006</v>
      </c>
      <c r="BZ34" t="s">
        <v>53</v>
      </c>
      <c r="CA34" s="1">
        <v>0</v>
      </c>
      <c r="CB34" s="1">
        <v>0</v>
      </c>
      <c r="CC34" s="1">
        <v>0</v>
      </c>
      <c r="CD34" s="1">
        <v>0</v>
      </c>
      <c r="CE34" s="1">
        <v>0</v>
      </c>
      <c r="CF34" s="1">
        <v>861</v>
      </c>
      <c r="CG34" s="1">
        <f>SUM(tblSection619[[#This Row],[LEA/District]:[ECSE]])</f>
        <v>861</v>
      </c>
      <c r="CH34" s="1">
        <f>tblSection619[[#This Row],[Gross Total]]*0.15</f>
        <v>129.15</v>
      </c>
    </row>
    <row r="35" spans="1:86" x14ac:dyDescent="0.35">
      <c r="A35" t="s">
        <v>54</v>
      </c>
      <c r="B35">
        <v>1965</v>
      </c>
      <c r="C35" t="s">
        <v>1528</v>
      </c>
      <c r="D35" s="44">
        <f>LEN(TblAgencies[[#This Row],[InstNm]])</f>
        <v>13</v>
      </c>
      <c r="E35" s="44" t="s">
        <v>1900</v>
      </c>
      <c r="F35" s="44" t="s">
        <v>1900</v>
      </c>
      <c r="G3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35" s="44"/>
      <c r="I35" s="44"/>
      <c r="J35" s="44"/>
      <c r="K35" s="44"/>
      <c r="M35" s="44"/>
      <c r="N35" s="44">
        <v>1965</v>
      </c>
      <c r="O35" t="s">
        <v>54</v>
      </c>
      <c r="P35" s="1">
        <v>813241.75002545817</v>
      </c>
      <c r="Q35" s="1">
        <v>94343.59049019235</v>
      </c>
      <c r="R35" s="1">
        <v>0</v>
      </c>
      <c r="S35" s="1">
        <v>0</v>
      </c>
      <c r="T35" s="1">
        <v>0</v>
      </c>
      <c r="U35" s="1">
        <v>0</v>
      </c>
      <c r="V35" s="1">
        <v>109438.56496862313</v>
      </c>
      <c r="W35" s="1">
        <v>813241.75002545817</v>
      </c>
      <c r="X35" s="1">
        <f>tblSection6111416[[#This Row],[Net Total]]*0.15</f>
        <v>121986.26250381873</v>
      </c>
      <c r="Y35" s="1"/>
      <c r="AA35" s="44">
        <v>1965</v>
      </c>
      <c r="AB35" t="s">
        <v>54</v>
      </c>
      <c r="AC35" s="1">
        <v>6046.682449548638</v>
      </c>
      <c r="AD35" s="1">
        <v>806.22432660648508</v>
      </c>
      <c r="AE35" s="1">
        <v>0</v>
      </c>
      <c r="AF35" s="1">
        <v>0</v>
      </c>
      <c r="AG35" s="1">
        <v>0</v>
      </c>
      <c r="AH35" s="1">
        <v>23380.505471588069</v>
      </c>
      <c r="AI35" s="1">
        <v>6046.6824495486399</v>
      </c>
      <c r="AJ35" s="1">
        <f>tblSection6191517[[#This Row],[Net Total]]*0.15</f>
        <v>907.00236743229596</v>
      </c>
      <c r="AK35" s="1"/>
      <c r="AM35" s="44"/>
      <c r="AN35" s="44">
        <v>1965</v>
      </c>
      <c r="AO35" t="s">
        <v>54</v>
      </c>
      <c r="AP35" s="247">
        <v>813241.75002545817</v>
      </c>
      <c r="AQ35" s="247">
        <v>94343.59049019235</v>
      </c>
      <c r="AR35" s="247">
        <v>0</v>
      </c>
      <c r="AS35" s="247">
        <v>0</v>
      </c>
      <c r="AT35" s="247">
        <v>0</v>
      </c>
      <c r="AU35" s="247">
        <v>0</v>
      </c>
      <c r="AV35" s="247">
        <v>107551.69315881928</v>
      </c>
      <c r="AW35" s="247">
        <v>1015137.0336744699</v>
      </c>
      <c r="AX35" s="1">
        <f>tblSection61114[[#This Row],[Gross Total]]*0.15</f>
        <v>152270.55505117049</v>
      </c>
      <c r="AZ35" s="44">
        <v>1965</v>
      </c>
      <c r="BA35" t="s">
        <v>54</v>
      </c>
      <c r="BB35" s="247">
        <v>6046.682449548638</v>
      </c>
      <c r="BC35" s="247">
        <v>806.22432660648508</v>
      </c>
      <c r="BD35" s="247">
        <v>0</v>
      </c>
      <c r="BE35" s="247">
        <v>0</v>
      </c>
      <c r="BF35" s="247">
        <v>0</v>
      </c>
      <c r="BG35" s="247">
        <v>22977.393308284827</v>
      </c>
      <c r="BH35" s="247">
        <v>29830.30008443995</v>
      </c>
      <c r="BI35" s="1">
        <f>tblSection61915[[#This Row],[Gross Total]]*0.15</f>
        <v>4474.5450126659925</v>
      </c>
      <c r="BJ35" s="44"/>
      <c r="BK35" s="246"/>
      <c r="BM35" s="44">
        <v>1965</v>
      </c>
      <c r="BN35" t="s">
        <v>54</v>
      </c>
      <c r="BO35" s="1">
        <v>716624</v>
      </c>
      <c r="BP35" s="1">
        <v>78675</v>
      </c>
      <c r="BQ35" s="1">
        <v>0</v>
      </c>
      <c r="BR35" s="1">
        <v>0</v>
      </c>
      <c r="BS35" s="1">
        <v>0</v>
      </c>
      <c r="BT35" s="1">
        <v>94068</v>
      </c>
      <c r="BU35" s="1">
        <f>SUM(tblSection611[[#This Row],[LEA/District]:[ECSE]])</f>
        <v>889367</v>
      </c>
      <c r="BV35" s="1">
        <f>tblSection611[[#This Row],[Gross Total]]*0.15</f>
        <v>133405.04999999999</v>
      </c>
      <c r="BW35" s="1"/>
      <c r="BY35" s="44">
        <v>1965</v>
      </c>
      <c r="BZ35" t="s">
        <v>54</v>
      </c>
      <c r="CA35" s="1">
        <v>7567</v>
      </c>
      <c r="CB35" s="1">
        <v>1032</v>
      </c>
      <c r="CC35" s="1">
        <v>0</v>
      </c>
      <c r="CD35" s="1">
        <v>0</v>
      </c>
      <c r="CE35" s="1">
        <v>0</v>
      </c>
      <c r="CF35" s="1">
        <v>18919</v>
      </c>
      <c r="CG35" s="1">
        <f>SUM(tblSection619[[#This Row],[LEA/District]:[ECSE]])</f>
        <v>27518</v>
      </c>
      <c r="CH35" s="1">
        <f>tblSection619[[#This Row],[Gross Total]]*0.15</f>
        <v>4127.7</v>
      </c>
    </row>
    <row r="36" spans="1:86" x14ac:dyDescent="0.35">
      <c r="A36" t="s">
        <v>55</v>
      </c>
      <c r="B36">
        <v>1964</v>
      </c>
      <c r="C36" t="s">
        <v>1528</v>
      </c>
      <c r="D36" s="44">
        <f>LEN(TblAgencies[[#This Row],[InstNm]])</f>
        <v>13</v>
      </c>
      <c r="E36" s="44" t="s">
        <v>1900</v>
      </c>
      <c r="F36" s="44" t="s">
        <v>1900</v>
      </c>
      <c r="G3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36" s="44"/>
      <c r="I36" s="44"/>
      <c r="J36" s="44"/>
      <c r="K36" s="44"/>
      <c r="M36" s="44"/>
      <c r="N36" s="44">
        <v>1964</v>
      </c>
      <c r="O36" t="s">
        <v>55</v>
      </c>
      <c r="P36" s="1">
        <v>254323.89153970339</v>
      </c>
      <c r="Q36" s="1">
        <v>37257.640161867377</v>
      </c>
      <c r="R36" s="1">
        <v>0</v>
      </c>
      <c r="S36" s="1">
        <v>0</v>
      </c>
      <c r="T36" s="1">
        <v>0</v>
      </c>
      <c r="U36" s="1">
        <v>0</v>
      </c>
      <c r="V36" s="1">
        <v>14579.076585078539</v>
      </c>
      <c r="W36" s="1">
        <v>254323.89153970341</v>
      </c>
      <c r="X36" s="1">
        <f>tblSection6111416[[#This Row],[Net Total]]*0.15</f>
        <v>38148.583730955514</v>
      </c>
      <c r="Y36" s="1"/>
      <c r="AA36" s="44">
        <v>1964</v>
      </c>
      <c r="AB36" t="s">
        <v>55</v>
      </c>
      <c r="AC36" s="1">
        <v>1667.3489952484085</v>
      </c>
      <c r="AD36" s="1">
        <v>833.67449762420426</v>
      </c>
      <c r="AE36" s="1">
        <v>0</v>
      </c>
      <c r="AF36" s="1">
        <v>0</v>
      </c>
      <c r="AG36" s="1">
        <v>0</v>
      </c>
      <c r="AH36" s="1">
        <v>7503.0704786178385</v>
      </c>
      <c r="AI36" s="1">
        <v>1667.3489952484088</v>
      </c>
      <c r="AJ36" s="1">
        <f>tblSection6191517[[#This Row],[Net Total]]*0.15</f>
        <v>250.10234928726129</v>
      </c>
      <c r="AK36" s="1"/>
      <c r="AM36" s="44"/>
      <c r="AN36" s="44">
        <v>1964</v>
      </c>
      <c r="AO36" t="s">
        <v>55</v>
      </c>
      <c r="AP36" s="247">
        <v>254323.89153970339</v>
      </c>
      <c r="AQ36" s="247">
        <v>37257.640161867377</v>
      </c>
      <c r="AR36" s="247">
        <v>0</v>
      </c>
      <c r="AS36" s="247">
        <v>0</v>
      </c>
      <c r="AT36" s="247">
        <v>0</v>
      </c>
      <c r="AU36" s="247">
        <v>0</v>
      </c>
      <c r="AV36" s="247">
        <v>12959.179186736479</v>
      </c>
      <c r="AW36" s="247">
        <v>304540.71088830725</v>
      </c>
      <c r="AX36" s="1">
        <f>tblSection61114[[#This Row],[Gross Total]]*0.15</f>
        <v>45681.106633246083</v>
      </c>
      <c r="AZ36" s="44">
        <v>1964</v>
      </c>
      <c r="BA36" t="s">
        <v>55</v>
      </c>
      <c r="BB36" s="247">
        <v>1667.3489952484085</v>
      </c>
      <c r="BC36" s="247">
        <v>833.67449762420426</v>
      </c>
      <c r="BD36" s="247">
        <v>0</v>
      </c>
      <c r="BE36" s="247">
        <v>0</v>
      </c>
      <c r="BF36" s="247">
        <v>0</v>
      </c>
      <c r="BG36" s="247">
        <v>6669.3959809936341</v>
      </c>
      <c r="BH36" s="247">
        <v>9170.4194738662463</v>
      </c>
      <c r="BI36" s="1">
        <f>tblSection61915[[#This Row],[Gross Total]]*0.15</f>
        <v>1375.5629210799368</v>
      </c>
      <c r="BJ36" s="44"/>
      <c r="BK36" s="246"/>
      <c r="BM36" s="44">
        <v>1964</v>
      </c>
      <c r="BN36" t="s">
        <v>55</v>
      </c>
      <c r="BO36" s="1">
        <v>244179</v>
      </c>
      <c r="BP36" s="1">
        <v>33366</v>
      </c>
      <c r="BQ36" s="1">
        <v>0</v>
      </c>
      <c r="BR36" s="1">
        <v>0</v>
      </c>
      <c r="BS36" s="1">
        <v>0</v>
      </c>
      <c r="BT36" s="1">
        <v>9100</v>
      </c>
      <c r="BU36" s="1">
        <f>SUM(tblSection611[[#This Row],[LEA/District]:[ECSE]])</f>
        <v>286645</v>
      </c>
      <c r="BV36" s="1">
        <f>tblSection611[[#This Row],[Gross Total]]*0.15</f>
        <v>42996.75</v>
      </c>
      <c r="BW36" s="1"/>
      <c r="BY36" s="44">
        <v>1964</v>
      </c>
      <c r="BZ36" t="s">
        <v>55</v>
      </c>
      <c r="CA36" s="1">
        <v>6502</v>
      </c>
      <c r="CB36" s="1">
        <v>0</v>
      </c>
      <c r="CC36" s="1">
        <v>0</v>
      </c>
      <c r="CD36" s="1">
        <v>0</v>
      </c>
      <c r="CE36" s="1">
        <v>0</v>
      </c>
      <c r="CF36" s="1">
        <v>2601</v>
      </c>
      <c r="CG36" s="1">
        <f>SUM(tblSection619[[#This Row],[LEA/District]:[ECSE]])</f>
        <v>9103</v>
      </c>
      <c r="CH36" s="1">
        <f>tblSection619[[#This Row],[Gross Total]]*0.15</f>
        <v>1365.45</v>
      </c>
    </row>
    <row r="37" spans="1:86" x14ac:dyDescent="0.35">
      <c r="A37" t="s">
        <v>56</v>
      </c>
      <c r="B37">
        <v>2186</v>
      </c>
      <c r="C37" t="s">
        <v>1528</v>
      </c>
      <c r="D37" s="44">
        <f>LEN(TblAgencies[[#This Row],[InstNm]])</f>
        <v>13</v>
      </c>
      <c r="E37" s="44" t="s">
        <v>1900</v>
      </c>
      <c r="F37" s="44" t="s">
        <v>1900</v>
      </c>
      <c r="G3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37" s="44"/>
      <c r="I37" s="44"/>
      <c r="J37" s="44"/>
      <c r="K37" s="44"/>
      <c r="M37" s="44"/>
      <c r="N37" s="44">
        <v>2186</v>
      </c>
      <c r="O37" t="s">
        <v>56</v>
      </c>
      <c r="P37" s="1">
        <v>197433.91370024456</v>
      </c>
      <c r="Q37" s="1">
        <v>38308.072807510143</v>
      </c>
      <c r="R37" s="1">
        <v>0</v>
      </c>
      <c r="S37" s="1">
        <v>0</v>
      </c>
      <c r="T37" s="1">
        <v>0</v>
      </c>
      <c r="U37" s="1">
        <v>0</v>
      </c>
      <c r="V37" s="1">
        <v>7366.9370783673357</v>
      </c>
      <c r="W37" s="1">
        <v>197433.91370024456</v>
      </c>
      <c r="X37" s="1">
        <f>tblSection6111416[[#This Row],[Net Total]]*0.15</f>
        <v>29615.087055036682</v>
      </c>
      <c r="Y37" s="1"/>
      <c r="AA37" s="44">
        <v>2186</v>
      </c>
      <c r="AB37" t="s">
        <v>56</v>
      </c>
      <c r="AC37" s="1">
        <v>1900.44533647763</v>
      </c>
      <c r="AD37" s="1">
        <v>380.08906729552604</v>
      </c>
      <c r="AE37" s="1">
        <v>0</v>
      </c>
      <c r="AF37" s="1">
        <v>0</v>
      </c>
      <c r="AG37" s="1">
        <v>0</v>
      </c>
      <c r="AH37" s="1">
        <v>1900.4453364776302</v>
      </c>
      <c r="AI37" s="1">
        <v>1900.4453364776305</v>
      </c>
      <c r="AJ37" s="1">
        <f>tblSection6191517[[#This Row],[Net Total]]*0.15</f>
        <v>285.06680047164457</v>
      </c>
      <c r="AK37" s="1"/>
      <c r="AM37" s="44"/>
      <c r="AN37" s="44">
        <v>2186</v>
      </c>
      <c r="AO37" t="s">
        <v>56</v>
      </c>
      <c r="AP37" s="247">
        <v>197433.91370024456</v>
      </c>
      <c r="AQ37" s="247">
        <v>38308.072807510143</v>
      </c>
      <c r="AR37" s="247">
        <v>0</v>
      </c>
      <c r="AS37" s="247">
        <v>0</v>
      </c>
      <c r="AT37" s="247">
        <v>0</v>
      </c>
      <c r="AU37" s="247">
        <v>0</v>
      </c>
      <c r="AV37" s="247">
        <v>5893.5496626938684</v>
      </c>
      <c r="AW37" s="247">
        <v>241635.53617044858</v>
      </c>
      <c r="AX37" s="1">
        <f>tblSection61114[[#This Row],[Gross Total]]*0.15</f>
        <v>36245.330425567285</v>
      </c>
      <c r="AZ37" s="44">
        <v>2186</v>
      </c>
      <c r="BA37" t="s">
        <v>56</v>
      </c>
      <c r="BB37" s="247">
        <v>1900.44533647763</v>
      </c>
      <c r="BC37" s="247">
        <v>380.08906729552604</v>
      </c>
      <c r="BD37" s="247">
        <v>0</v>
      </c>
      <c r="BE37" s="247">
        <v>0</v>
      </c>
      <c r="BF37" s="247">
        <v>0</v>
      </c>
      <c r="BG37" s="247">
        <v>1520.3562691821041</v>
      </c>
      <c r="BH37" s="247">
        <v>3800.89067295526</v>
      </c>
      <c r="BI37" s="1">
        <f>tblSection61915[[#This Row],[Gross Total]]*0.15</f>
        <v>570.13360094328903</v>
      </c>
      <c r="BJ37" s="44"/>
      <c r="BK37" s="246"/>
      <c r="BM37" s="44">
        <v>2186</v>
      </c>
      <c r="BN37" t="s">
        <v>56</v>
      </c>
      <c r="BO37" s="1">
        <v>149009</v>
      </c>
      <c r="BP37" s="1">
        <v>33921</v>
      </c>
      <c r="BQ37" s="1">
        <v>0</v>
      </c>
      <c r="BR37" s="1">
        <v>0</v>
      </c>
      <c r="BS37" s="1">
        <v>0</v>
      </c>
      <c r="BT37" s="1">
        <v>6057</v>
      </c>
      <c r="BU37" s="1">
        <f>SUM(tblSection611[[#This Row],[LEA/District]:[ECSE]])</f>
        <v>188987</v>
      </c>
      <c r="BV37" s="1">
        <f>tblSection611[[#This Row],[Gross Total]]*0.15</f>
        <v>28348.05</v>
      </c>
      <c r="BW37" s="1"/>
      <c r="BY37" s="44">
        <v>2186</v>
      </c>
      <c r="BZ37" t="s">
        <v>56</v>
      </c>
      <c r="CA37" s="1">
        <v>1718</v>
      </c>
      <c r="CB37" s="1">
        <v>344</v>
      </c>
      <c r="CC37" s="1">
        <v>0</v>
      </c>
      <c r="CD37" s="1">
        <v>0</v>
      </c>
      <c r="CE37" s="1">
        <v>0</v>
      </c>
      <c r="CF37" s="1">
        <v>1718</v>
      </c>
      <c r="CG37" s="1">
        <f>SUM(tblSection619[[#This Row],[LEA/District]:[ECSE]])</f>
        <v>3780</v>
      </c>
      <c r="CH37" s="1">
        <f>tblSection619[[#This Row],[Gross Total]]*0.15</f>
        <v>567</v>
      </c>
    </row>
    <row r="38" spans="1:86" x14ac:dyDescent="0.35">
      <c r="A38" t="s">
        <v>58</v>
      </c>
      <c r="B38">
        <v>1901</v>
      </c>
      <c r="C38" t="s">
        <v>1528</v>
      </c>
      <c r="D38" s="44">
        <f>LEN(TblAgencies[[#This Row],[InstNm]])</f>
        <v>17</v>
      </c>
      <c r="E38" s="44" t="s">
        <v>1900</v>
      </c>
      <c r="F38" s="44" t="s">
        <v>1900</v>
      </c>
      <c r="G3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38" s="44"/>
      <c r="I38" s="44"/>
      <c r="J38" s="44"/>
      <c r="K38" s="44"/>
      <c r="M38" s="44"/>
      <c r="N38" s="44">
        <v>1901</v>
      </c>
      <c r="O38" t="s">
        <v>58</v>
      </c>
      <c r="P38" s="1">
        <v>1101076.4160504616</v>
      </c>
      <c r="Q38" s="1">
        <v>301254.50743140629</v>
      </c>
      <c r="R38" s="1">
        <v>1761.7222656807385</v>
      </c>
      <c r="S38" s="1">
        <v>36996.167579295507</v>
      </c>
      <c r="T38" s="1">
        <v>0</v>
      </c>
      <c r="U38" s="1">
        <v>0</v>
      </c>
      <c r="V38" s="1">
        <v>107465.05820652505</v>
      </c>
      <c r="W38" s="1">
        <v>1102838.1383161424</v>
      </c>
      <c r="X38" s="1">
        <f>tblSection6111416[[#This Row],[Net Total]]*0.15</f>
        <v>165425.72074742135</v>
      </c>
      <c r="Y38" s="1"/>
      <c r="AA38" s="44">
        <v>1901</v>
      </c>
      <c r="AB38" t="s">
        <v>58</v>
      </c>
      <c r="AC38" s="1">
        <v>7701.4965440643009</v>
      </c>
      <c r="AD38" s="1">
        <v>7248.4673355899295</v>
      </c>
      <c r="AE38" s="1">
        <v>0</v>
      </c>
      <c r="AF38" s="1">
        <v>453.02920847437059</v>
      </c>
      <c r="AG38" s="1">
        <v>0</v>
      </c>
      <c r="AH38" s="1">
        <v>27634.78171693661</v>
      </c>
      <c r="AI38" s="1">
        <v>7701.4965440643064</v>
      </c>
      <c r="AJ38" s="1">
        <f>tblSection6191517[[#This Row],[Net Total]]*0.15</f>
        <v>1155.2244816096459</v>
      </c>
      <c r="AK38" s="1"/>
      <c r="AM38" s="44"/>
      <c r="AN38" s="44">
        <v>1901</v>
      </c>
      <c r="AO38" t="s">
        <v>58</v>
      </c>
      <c r="AP38" s="247">
        <v>1101076.4160504616</v>
      </c>
      <c r="AQ38" s="247">
        <v>301254.50743140629</v>
      </c>
      <c r="AR38" s="247">
        <v>1761.7222656807385</v>
      </c>
      <c r="AS38" s="247">
        <v>36996.167579295507</v>
      </c>
      <c r="AT38" s="247">
        <v>0</v>
      </c>
      <c r="AU38" s="247">
        <v>0</v>
      </c>
      <c r="AV38" s="247">
        <v>93371.280081079138</v>
      </c>
      <c r="AW38" s="247">
        <v>1534460.0934079234</v>
      </c>
      <c r="AX38" s="1">
        <f>tblSection61114[[#This Row],[Gross Total]]*0.15</f>
        <v>230169.0140111885</v>
      </c>
      <c r="AZ38" s="44">
        <v>1901</v>
      </c>
      <c r="BA38" t="s">
        <v>58</v>
      </c>
      <c r="BB38" s="247">
        <v>7701.4965440643009</v>
      </c>
      <c r="BC38" s="247">
        <v>7248.4673355899295</v>
      </c>
      <c r="BD38" s="247">
        <v>0</v>
      </c>
      <c r="BE38" s="247">
        <v>453.02920847437059</v>
      </c>
      <c r="BF38" s="247">
        <v>0</v>
      </c>
      <c r="BG38" s="247">
        <v>24010.548049141646</v>
      </c>
      <c r="BH38" s="247">
        <v>39413.541137270251</v>
      </c>
      <c r="BI38" s="1">
        <f>tblSection61915[[#This Row],[Gross Total]]*0.15</f>
        <v>5912.0311705905378</v>
      </c>
      <c r="BJ38" s="44"/>
      <c r="BK38" s="246"/>
      <c r="BM38" s="44">
        <v>1901</v>
      </c>
      <c r="BN38" t="s">
        <v>58</v>
      </c>
      <c r="BO38" s="1">
        <v>1171114</v>
      </c>
      <c r="BP38" s="1">
        <v>286721</v>
      </c>
      <c r="BQ38" s="1">
        <v>4038</v>
      </c>
      <c r="BR38" s="1">
        <v>36345</v>
      </c>
      <c r="BS38" s="1">
        <v>0</v>
      </c>
      <c r="BT38" s="1">
        <v>104996</v>
      </c>
      <c r="BU38" s="1">
        <f>SUM(tblSection611[[#This Row],[LEA/District]:[ECSE]])</f>
        <v>1603214</v>
      </c>
      <c r="BV38" s="1">
        <f>tblSection611[[#This Row],[Gross Total]]*0.15</f>
        <v>240482.09999999998</v>
      </c>
      <c r="BW38" s="1"/>
      <c r="BY38" s="44">
        <v>1901</v>
      </c>
      <c r="BZ38" t="s">
        <v>58</v>
      </c>
      <c r="CA38" s="1">
        <v>9221</v>
      </c>
      <c r="CB38" s="1">
        <v>2561</v>
      </c>
      <c r="CC38" s="1">
        <v>0</v>
      </c>
      <c r="CD38" s="1">
        <v>0</v>
      </c>
      <c r="CE38" s="1">
        <v>0</v>
      </c>
      <c r="CF38" s="1">
        <v>26637</v>
      </c>
      <c r="CG38" s="1">
        <f>SUM(tblSection619[[#This Row],[LEA/District]:[ECSE]])</f>
        <v>38419</v>
      </c>
      <c r="CH38" s="1">
        <f>tblSection619[[#This Row],[Gross Total]]*0.15</f>
        <v>5762.8499999999995</v>
      </c>
    </row>
    <row r="39" spans="1:86" x14ac:dyDescent="0.35">
      <c r="A39" t="s">
        <v>59</v>
      </c>
      <c r="B39">
        <v>2216</v>
      </c>
      <c r="C39" t="s">
        <v>1528</v>
      </c>
      <c r="D39" s="44">
        <f>LEN(TblAgencies[[#This Row],[InstNm]])</f>
        <v>10</v>
      </c>
      <c r="E39" s="44" t="s">
        <v>1900</v>
      </c>
      <c r="F39" s="44" t="s">
        <v>1900</v>
      </c>
      <c r="G3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39" s="44"/>
      <c r="I39" s="44"/>
      <c r="J39" s="44"/>
      <c r="K39" s="44"/>
      <c r="M39" s="44"/>
      <c r="N39" s="44">
        <v>2216</v>
      </c>
      <c r="O39" t="s">
        <v>59</v>
      </c>
      <c r="P39" s="1">
        <v>58499.838114397447</v>
      </c>
      <c r="Q39" s="1">
        <v>5014.2718383769243</v>
      </c>
      <c r="R39" s="1">
        <v>0</v>
      </c>
      <c r="S39" s="1">
        <v>0</v>
      </c>
      <c r="T39" s="1">
        <v>0</v>
      </c>
      <c r="U39" s="1">
        <v>0</v>
      </c>
      <c r="V39" s="1">
        <v>1671.4239461256411</v>
      </c>
      <c r="W39" s="1">
        <v>58499.838114397447</v>
      </c>
      <c r="X39" s="1">
        <f>tblSection6111416[[#This Row],[Net Total]]*0.15</f>
        <v>8774.9757171596175</v>
      </c>
      <c r="Y39" s="1"/>
      <c r="AA39" s="44">
        <v>2216</v>
      </c>
      <c r="AB39" t="s">
        <v>59</v>
      </c>
      <c r="AC39" s="1">
        <v>767.61836699381445</v>
      </c>
      <c r="AD39" s="1">
        <v>0</v>
      </c>
      <c r="AE39" s="1">
        <v>0</v>
      </c>
      <c r="AF39" s="1">
        <v>0</v>
      </c>
      <c r="AG39" s="1">
        <v>0</v>
      </c>
      <c r="AH39" s="1">
        <v>767.61836699381445</v>
      </c>
      <c r="AI39" s="1">
        <v>767.61836699381445</v>
      </c>
      <c r="AJ39" s="1">
        <f>tblSection6191517[[#This Row],[Net Total]]*0.15</f>
        <v>115.14275504907216</v>
      </c>
      <c r="AK39" s="1"/>
      <c r="AM39" s="44"/>
      <c r="AN39" s="44">
        <v>2216</v>
      </c>
      <c r="AO39" t="s">
        <v>59</v>
      </c>
      <c r="AP39" s="247">
        <v>58499.838114397447</v>
      </c>
      <c r="AQ39" s="247">
        <v>5014.2718383769243</v>
      </c>
      <c r="AR39" s="247">
        <v>0</v>
      </c>
      <c r="AS39" s="247">
        <v>0</v>
      </c>
      <c r="AT39" s="247">
        <v>0</v>
      </c>
      <c r="AU39" s="247">
        <v>0</v>
      </c>
      <c r="AV39" s="247">
        <v>1671.4239461256411</v>
      </c>
      <c r="AW39" s="247">
        <v>65185.533898900016</v>
      </c>
      <c r="AX39" s="1">
        <f>tblSection61114[[#This Row],[Gross Total]]*0.15</f>
        <v>9777.8300848350027</v>
      </c>
      <c r="AZ39" s="44">
        <v>2216</v>
      </c>
      <c r="BA39" t="s">
        <v>59</v>
      </c>
      <c r="BB39" s="247">
        <v>767.61836699381445</v>
      </c>
      <c r="BC39" s="247">
        <v>0</v>
      </c>
      <c r="BD39" s="247">
        <v>0</v>
      </c>
      <c r="BE39" s="247">
        <v>0</v>
      </c>
      <c r="BF39" s="247">
        <v>0</v>
      </c>
      <c r="BG39" s="247">
        <v>767.61836699381445</v>
      </c>
      <c r="BH39" s="247">
        <v>1535.2367339876289</v>
      </c>
      <c r="BI39" s="1">
        <f>tblSection61915[[#This Row],[Gross Total]]*0.15</f>
        <v>230.28551009814433</v>
      </c>
      <c r="BJ39" s="44"/>
      <c r="BK39" s="246"/>
      <c r="BM39" s="44">
        <v>2216</v>
      </c>
      <c r="BN39" t="s">
        <v>59</v>
      </c>
      <c r="BO39" s="1">
        <v>57156</v>
      </c>
      <c r="BP39" s="1">
        <v>6532</v>
      </c>
      <c r="BQ39" s="1">
        <v>0</v>
      </c>
      <c r="BR39" s="1">
        <v>0</v>
      </c>
      <c r="BS39" s="1">
        <v>0</v>
      </c>
      <c r="BT39" s="1">
        <v>0</v>
      </c>
      <c r="BU39" s="1">
        <f>SUM(tblSection611[[#This Row],[LEA/District]:[ECSE]])</f>
        <v>63688</v>
      </c>
      <c r="BV39" s="1">
        <f>tblSection611[[#This Row],[Gross Total]]*0.15</f>
        <v>9553.1999999999989</v>
      </c>
      <c r="BW39" s="1"/>
      <c r="BY39" s="44">
        <v>2216</v>
      </c>
      <c r="BZ39" t="s">
        <v>59</v>
      </c>
      <c r="CA39" s="1">
        <v>1558</v>
      </c>
      <c r="CB39" s="1">
        <v>0</v>
      </c>
      <c r="CC39" s="1">
        <v>0</v>
      </c>
      <c r="CD39" s="1">
        <v>0</v>
      </c>
      <c r="CE39" s="1">
        <v>0</v>
      </c>
      <c r="CF39" s="1">
        <v>0</v>
      </c>
      <c r="CG39" s="1">
        <f>SUM(tblSection619[[#This Row],[LEA/District]:[ECSE]])</f>
        <v>1558</v>
      </c>
      <c r="CH39" s="1">
        <f>tblSection619[[#This Row],[Gross Total]]*0.15</f>
        <v>233.7</v>
      </c>
    </row>
    <row r="40" spans="1:86" x14ac:dyDescent="0.35">
      <c r="A40" t="s">
        <v>60</v>
      </c>
      <c r="B40">
        <v>2086</v>
      </c>
      <c r="C40" t="s">
        <v>1528</v>
      </c>
      <c r="D40" s="44">
        <f>LEN(TblAgencies[[#This Row],[InstNm]])</f>
        <v>14</v>
      </c>
      <c r="E40" s="44" t="s">
        <v>1900</v>
      </c>
      <c r="F40" s="44" t="s">
        <v>1900</v>
      </c>
      <c r="G4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40" s="44"/>
      <c r="I40" s="44"/>
      <c r="J40" s="44"/>
      <c r="K40" s="44"/>
      <c r="M40" s="44"/>
      <c r="N40" s="44">
        <v>2086</v>
      </c>
      <c r="O40" t="s">
        <v>60</v>
      </c>
      <c r="P40" s="1">
        <v>328481.7889387568</v>
      </c>
      <c r="Q40" s="1">
        <v>24077.199189228249</v>
      </c>
      <c r="R40" s="1">
        <v>0</v>
      </c>
      <c r="S40" s="1">
        <v>0</v>
      </c>
      <c r="T40" s="1">
        <v>0</v>
      </c>
      <c r="U40" s="1">
        <v>0</v>
      </c>
      <c r="V40" s="1">
        <v>41275.198610105566</v>
      </c>
      <c r="W40" s="1">
        <v>328481.7889387568</v>
      </c>
      <c r="X40" s="1">
        <f>tblSection6111416[[#This Row],[Net Total]]*0.15</f>
        <v>49272.26834081352</v>
      </c>
      <c r="Y40" s="1"/>
      <c r="AA40" s="44">
        <v>2086</v>
      </c>
      <c r="AB40" t="s">
        <v>60</v>
      </c>
      <c r="AC40" s="1">
        <v>3039.1523393540438</v>
      </c>
      <c r="AD40" s="1">
        <v>0</v>
      </c>
      <c r="AE40" s="1">
        <v>0</v>
      </c>
      <c r="AF40" s="1">
        <v>0</v>
      </c>
      <c r="AG40" s="1">
        <v>0</v>
      </c>
      <c r="AH40" s="1">
        <v>6630.8778313179137</v>
      </c>
      <c r="AI40" s="1">
        <v>3039.1523393540447</v>
      </c>
      <c r="AJ40" s="1">
        <f>tblSection6191517[[#This Row],[Net Total]]*0.15</f>
        <v>455.87285090310667</v>
      </c>
      <c r="AK40" s="1"/>
      <c r="AM40" s="44"/>
      <c r="AN40" s="44">
        <v>2086</v>
      </c>
      <c r="AO40" t="s">
        <v>60</v>
      </c>
      <c r="AP40" s="247">
        <v>328481.7889387568</v>
      </c>
      <c r="AQ40" s="247">
        <v>24077.199189228249</v>
      </c>
      <c r="AR40" s="247">
        <v>0</v>
      </c>
      <c r="AS40" s="247">
        <v>0</v>
      </c>
      <c r="AT40" s="247">
        <v>0</v>
      </c>
      <c r="AU40" s="247">
        <v>0</v>
      </c>
      <c r="AV40" s="247">
        <v>41275.198610105566</v>
      </c>
      <c r="AW40" s="247">
        <v>393834.18673809059</v>
      </c>
      <c r="AX40" s="1">
        <f>tblSection61114[[#This Row],[Gross Total]]*0.15</f>
        <v>59075.128010713583</v>
      </c>
      <c r="AZ40" s="44">
        <v>2086</v>
      </c>
      <c r="BA40" t="s">
        <v>60</v>
      </c>
      <c r="BB40" s="247">
        <v>3039.1523393540438</v>
      </c>
      <c r="BC40" s="247">
        <v>0</v>
      </c>
      <c r="BD40" s="247">
        <v>0</v>
      </c>
      <c r="BE40" s="247">
        <v>0</v>
      </c>
      <c r="BF40" s="247">
        <v>0</v>
      </c>
      <c r="BG40" s="247">
        <v>6630.8778313179137</v>
      </c>
      <c r="BH40" s="247">
        <v>9670.0301706719583</v>
      </c>
      <c r="BI40" s="1">
        <f>tblSection61915[[#This Row],[Gross Total]]*0.15</f>
        <v>1450.5045256007936</v>
      </c>
      <c r="BJ40" s="44"/>
      <c r="BK40" s="246"/>
      <c r="BM40" s="44">
        <v>2086</v>
      </c>
      <c r="BN40" t="s">
        <v>60</v>
      </c>
      <c r="BO40" s="1">
        <v>247271</v>
      </c>
      <c r="BP40" s="1">
        <v>32323</v>
      </c>
      <c r="BQ40" s="1">
        <v>0</v>
      </c>
      <c r="BR40" s="1">
        <v>0</v>
      </c>
      <c r="BS40" s="1">
        <v>0</v>
      </c>
      <c r="BT40" s="1">
        <v>33939</v>
      </c>
      <c r="BU40" s="1">
        <f>SUM(tblSection611[[#This Row],[LEA/District]:[ECSE]])</f>
        <v>313533</v>
      </c>
      <c r="BV40" s="1">
        <f>tblSection611[[#This Row],[Gross Total]]*0.15</f>
        <v>47029.95</v>
      </c>
      <c r="BW40" s="1"/>
      <c r="BY40" s="44">
        <v>2086</v>
      </c>
      <c r="BZ40" t="s">
        <v>60</v>
      </c>
      <c r="CA40" s="1">
        <v>2073</v>
      </c>
      <c r="CB40" s="1">
        <v>296</v>
      </c>
      <c r="CC40" s="1">
        <v>0</v>
      </c>
      <c r="CD40" s="1">
        <v>0</v>
      </c>
      <c r="CE40" s="1">
        <v>0</v>
      </c>
      <c r="CF40" s="1">
        <v>6219</v>
      </c>
      <c r="CG40" s="1">
        <f>SUM(tblSection619[[#This Row],[LEA/District]:[ECSE]])</f>
        <v>8588</v>
      </c>
      <c r="CH40" s="1">
        <f>tblSection619[[#This Row],[Gross Total]]*0.15</f>
        <v>1288.2</v>
      </c>
    </row>
    <row r="41" spans="1:86" x14ac:dyDescent="0.35">
      <c r="A41" t="s">
        <v>61</v>
      </c>
      <c r="B41">
        <v>1970</v>
      </c>
      <c r="C41" t="s">
        <v>1528</v>
      </c>
      <c r="D41" s="44">
        <f>LEN(TblAgencies[[#This Row],[InstNm]])</f>
        <v>15</v>
      </c>
      <c r="E41" s="44" t="s">
        <v>1900</v>
      </c>
      <c r="F41" s="44" t="s">
        <v>1900</v>
      </c>
      <c r="G4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41" s="44"/>
      <c r="I41" s="44"/>
      <c r="J41" s="44"/>
      <c r="K41" s="44"/>
      <c r="M41" s="44"/>
      <c r="N41" s="44">
        <v>1970</v>
      </c>
      <c r="O41" t="s">
        <v>61</v>
      </c>
      <c r="P41" s="1">
        <v>739109.37318497733</v>
      </c>
      <c r="Q41" s="1">
        <v>8248.9885400109069</v>
      </c>
      <c r="R41" s="1">
        <v>0</v>
      </c>
      <c r="S41" s="1">
        <v>0</v>
      </c>
      <c r="T41" s="1">
        <v>0</v>
      </c>
      <c r="U41" s="1">
        <v>0</v>
      </c>
      <c r="V41" s="1">
        <v>84139.683108111247</v>
      </c>
      <c r="W41" s="1">
        <v>739109.37318497733</v>
      </c>
      <c r="X41" s="1">
        <f>tblSection6111416[[#This Row],[Net Total]]*0.15</f>
        <v>110866.4059777466</v>
      </c>
      <c r="Y41" s="1"/>
      <c r="AA41" s="44">
        <v>1970</v>
      </c>
      <c r="AB41" t="s">
        <v>61</v>
      </c>
      <c r="AC41" s="1">
        <v>5354.4215420982164</v>
      </c>
      <c r="AD41" s="1">
        <v>2059.3929008070063</v>
      </c>
      <c r="AE41" s="1">
        <v>0</v>
      </c>
      <c r="AF41" s="1">
        <v>0</v>
      </c>
      <c r="AG41" s="1">
        <v>0</v>
      </c>
      <c r="AH41" s="1">
        <v>21005.807588231466</v>
      </c>
      <c r="AI41" s="1">
        <v>5354.4215420982182</v>
      </c>
      <c r="AJ41" s="1">
        <f>tblSection6191517[[#This Row],[Net Total]]*0.15</f>
        <v>803.16323131473268</v>
      </c>
      <c r="AK41" s="1"/>
      <c r="AM41" s="44"/>
      <c r="AN41" s="44">
        <v>1970</v>
      </c>
      <c r="AO41" t="s">
        <v>61</v>
      </c>
      <c r="AP41" s="247">
        <v>739109.37318497733</v>
      </c>
      <c r="AQ41" s="247">
        <v>8248.9885400109069</v>
      </c>
      <c r="AR41" s="247">
        <v>0</v>
      </c>
      <c r="AS41" s="247">
        <v>0</v>
      </c>
      <c r="AT41" s="247">
        <v>0</v>
      </c>
      <c r="AU41" s="247">
        <v>0</v>
      </c>
      <c r="AV41" s="247">
        <v>75890.694568100342</v>
      </c>
      <c r="AW41" s="247">
        <v>823249.05629308859</v>
      </c>
      <c r="AX41" s="1">
        <f>tblSection61114[[#This Row],[Gross Total]]*0.15</f>
        <v>123487.35844396328</v>
      </c>
      <c r="AZ41" s="44">
        <v>1970</v>
      </c>
      <c r="BA41" t="s">
        <v>61</v>
      </c>
      <c r="BB41" s="247">
        <v>5354.4215420982164</v>
      </c>
      <c r="BC41" s="247">
        <v>2059.3929008070063</v>
      </c>
      <c r="BD41" s="247">
        <v>0</v>
      </c>
      <c r="BE41" s="247">
        <v>0</v>
      </c>
      <c r="BF41" s="247">
        <v>0</v>
      </c>
      <c r="BG41" s="247">
        <v>18946.414687424458</v>
      </c>
      <c r="BH41" s="247">
        <v>26360.229130329681</v>
      </c>
      <c r="BI41" s="1">
        <f>tblSection61915[[#This Row],[Gross Total]]*0.15</f>
        <v>3954.0343695494521</v>
      </c>
      <c r="BJ41" s="44"/>
      <c r="BK41" s="246"/>
      <c r="BM41" s="44">
        <v>1970</v>
      </c>
      <c r="BN41" t="s">
        <v>61</v>
      </c>
      <c r="BO41" s="1">
        <v>573160</v>
      </c>
      <c r="BP41" s="1">
        <v>61924</v>
      </c>
      <c r="BQ41" s="1">
        <v>0</v>
      </c>
      <c r="BR41" s="1">
        <v>0</v>
      </c>
      <c r="BS41" s="1">
        <v>0</v>
      </c>
      <c r="BT41" s="1">
        <v>70565</v>
      </c>
      <c r="BU41" s="1">
        <f>SUM(tblSection611[[#This Row],[LEA/District]:[ECSE]])</f>
        <v>705649</v>
      </c>
      <c r="BV41" s="1">
        <f>tblSection611[[#This Row],[Gross Total]]*0.15</f>
        <v>105847.34999999999</v>
      </c>
      <c r="BW41" s="1"/>
      <c r="BY41" s="44">
        <v>1970</v>
      </c>
      <c r="BZ41" t="s">
        <v>61</v>
      </c>
      <c r="CA41" s="1">
        <v>5349</v>
      </c>
      <c r="CB41" s="1">
        <v>382</v>
      </c>
      <c r="CC41" s="1">
        <v>0</v>
      </c>
      <c r="CD41" s="1">
        <v>0</v>
      </c>
      <c r="CE41" s="1">
        <v>0</v>
      </c>
      <c r="CF41" s="1">
        <v>18722</v>
      </c>
      <c r="CG41" s="1">
        <f>SUM(tblSection619[[#This Row],[LEA/District]:[ECSE]])</f>
        <v>24453</v>
      </c>
      <c r="CH41" s="1">
        <f>tblSection619[[#This Row],[Gross Total]]*0.15</f>
        <v>3667.95</v>
      </c>
    </row>
    <row r="42" spans="1:86" x14ac:dyDescent="0.35">
      <c r="A42" t="s">
        <v>62</v>
      </c>
      <c r="B42">
        <v>2089</v>
      </c>
      <c r="C42" t="s">
        <v>1528</v>
      </c>
      <c r="D42" s="44">
        <f>LEN(TblAgencies[[#This Row],[InstNm]])</f>
        <v>27</v>
      </c>
      <c r="E42" s="44" t="s">
        <v>1900</v>
      </c>
      <c r="F42" s="44" t="s">
        <v>1900</v>
      </c>
      <c r="G4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42" s="44"/>
      <c r="I42" s="44"/>
      <c r="J42" s="44"/>
      <c r="K42" s="44"/>
      <c r="M42" s="44"/>
      <c r="N42" s="44">
        <v>2089</v>
      </c>
      <c r="O42" t="s">
        <v>62</v>
      </c>
      <c r="P42" s="1">
        <v>77815.345760032127</v>
      </c>
      <c r="Q42" s="1">
        <v>0</v>
      </c>
      <c r="R42" s="1">
        <v>0</v>
      </c>
      <c r="S42" s="1">
        <v>0</v>
      </c>
      <c r="T42" s="1">
        <v>0</v>
      </c>
      <c r="U42" s="1">
        <v>0</v>
      </c>
      <c r="V42" s="1">
        <v>10515.587264869208</v>
      </c>
      <c r="W42" s="1">
        <v>77815.345760032127</v>
      </c>
      <c r="X42" s="1">
        <f>tblSection6111416[[#This Row],[Net Total]]*0.15</f>
        <v>11672.301864004819</v>
      </c>
      <c r="Y42" s="1"/>
      <c r="AA42" s="44">
        <v>2089</v>
      </c>
      <c r="AB42" t="s">
        <v>62</v>
      </c>
      <c r="AC42" s="1">
        <v>0</v>
      </c>
      <c r="AD42" s="1">
        <v>0</v>
      </c>
      <c r="AE42" s="1">
        <v>0</v>
      </c>
      <c r="AF42" s="1">
        <v>0</v>
      </c>
      <c r="AG42" s="1">
        <v>0</v>
      </c>
      <c r="AH42" s="1">
        <v>1658.2395241662002</v>
      </c>
      <c r="AI42" s="1">
        <v>0</v>
      </c>
      <c r="AJ42" s="1">
        <f>tblSection6191517[[#This Row],[Net Total]]*0.15</f>
        <v>0</v>
      </c>
      <c r="AK42" s="1"/>
      <c r="AM42" s="44"/>
      <c r="AN42" s="44">
        <v>2089</v>
      </c>
      <c r="AO42" t="s">
        <v>62</v>
      </c>
      <c r="AP42" s="247">
        <v>77815.345760032127</v>
      </c>
      <c r="AQ42" s="247">
        <v>0</v>
      </c>
      <c r="AR42" s="247">
        <v>0</v>
      </c>
      <c r="AS42" s="247">
        <v>0</v>
      </c>
      <c r="AT42" s="247">
        <v>0</v>
      </c>
      <c r="AU42" s="247">
        <v>0</v>
      </c>
      <c r="AV42" s="247">
        <v>10515.587264869208</v>
      </c>
      <c r="AW42" s="247">
        <v>88330.933024901329</v>
      </c>
      <c r="AX42" s="1">
        <f>tblSection61114[[#This Row],[Gross Total]]*0.15</f>
        <v>13249.639953735199</v>
      </c>
      <c r="AZ42" s="44">
        <v>2089</v>
      </c>
      <c r="BA42" t="s">
        <v>62</v>
      </c>
      <c r="BB42" s="247">
        <v>0</v>
      </c>
      <c r="BC42" s="247">
        <v>0</v>
      </c>
      <c r="BD42" s="247">
        <v>0</v>
      </c>
      <c r="BE42" s="247">
        <v>0</v>
      </c>
      <c r="BF42" s="247">
        <v>0</v>
      </c>
      <c r="BG42" s="247">
        <v>1658.2395241662002</v>
      </c>
      <c r="BH42" s="247">
        <v>1658.2395241662002</v>
      </c>
      <c r="BI42" s="1">
        <f>tblSection61915[[#This Row],[Gross Total]]*0.15</f>
        <v>248.73592862493001</v>
      </c>
      <c r="BJ42" s="44"/>
      <c r="BK42" s="246"/>
      <c r="BM42" s="44">
        <v>2089</v>
      </c>
      <c r="BN42" t="s">
        <v>62</v>
      </c>
      <c r="BO42" s="1">
        <v>67848</v>
      </c>
      <c r="BP42" s="1">
        <v>0</v>
      </c>
      <c r="BQ42" s="1">
        <v>0</v>
      </c>
      <c r="BR42" s="1">
        <v>0</v>
      </c>
      <c r="BS42" s="1">
        <v>0</v>
      </c>
      <c r="BT42" s="1">
        <v>5815</v>
      </c>
      <c r="BU42" s="1">
        <f>SUM(tblSection611[[#This Row],[LEA/District]:[ECSE]])</f>
        <v>73663</v>
      </c>
      <c r="BV42" s="1">
        <f>tblSection611[[#This Row],[Gross Total]]*0.15</f>
        <v>11049.449999999999</v>
      </c>
      <c r="BW42" s="1"/>
      <c r="BY42" s="44">
        <v>2089</v>
      </c>
      <c r="BZ42" t="s">
        <v>62</v>
      </c>
      <c r="CA42" s="1">
        <v>380</v>
      </c>
      <c r="CB42" s="1">
        <v>0</v>
      </c>
      <c r="CC42" s="1">
        <v>0</v>
      </c>
      <c r="CD42" s="1">
        <v>0</v>
      </c>
      <c r="CE42" s="1">
        <v>0</v>
      </c>
      <c r="CF42" s="1">
        <v>1141</v>
      </c>
      <c r="CG42" s="1">
        <f>SUM(tblSection619[[#This Row],[LEA/District]:[ECSE]])</f>
        <v>1521</v>
      </c>
      <c r="CH42" s="1">
        <f>tblSection619[[#This Row],[Gross Total]]*0.15</f>
        <v>228.15</v>
      </c>
    </row>
    <row r="43" spans="1:86" x14ac:dyDescent="0.35">
      <c r="A43" t="s">
        <v>63</v>
      </c>
      <c r="B43">
        <v>2050</v>
      </c>
      <c r="C43" t="s">
        <v>1528</v>
      </c>
      <c r="D43" s="44">
        <f>LEN(TblAgencies[[#This Row],[InstNm]])</f>
        <v>11</v>
      </c>
      <c r="E43" s="44" t="s">
        <v>1900</v>
      </c>
      <c r="F43" s="44" t="s">
        <v>1900</v>
      </c>
      <c r="G4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43" s="44"/>
      <c r="I43" s="44"/>
      <c r="J43" s="44"/>
      <c r="K43" s="44"/>
      <c r="M43" s="44"/>
      <c r="N43" s="44">
        <v>2050</v>
      </c>
      <c r="O43" t="s">
        <v>63</v>
      </c>
      <c r="P43" s="1">
        <v>137701.01076229798</v>
      </c>
      <c r="Q43" s="1">
        <v>14410.570893728862</v>
      </c>
      <c r="R43" s="1">
        <v>0</v>
      </c>
      <c r="S43" s="1">
        <v>0</v>
      </c>
      <c r="T43" s="1">
        <v>0</v>
      </c>
      <c r="U43" s="1">
        <v>0</v>
      </c>
      <c r="V43" s="1">
        <v>6404.6981749906045</v>
      </c>
      <c r="W43" s="1">
        <v>137701.01076229798</v>
      </c>
      <c r="X43" s="1">
        <f>tblSection6111416[[#This Row],[Net Total]]*0.15</f>
        <v>20655.151614344697</v>
      </c>
      <c r="Y43" s="1"/>
      <c r="AA43" s="44">
        <v>2050</v>
      </c>
      <c r="AB43" t="s">
        <v>63</v>
      </c>
      <c r="AC43" s="1">
        <v>2571.1813785468721</v>
      </c>
      <c r="AD43" s="1">
        <v>428.53022975781204</v>
      </c>
      <c r="AE43" s="1">
        <v>0</v>
      </c>
      <c r="AF43" s="1">
        <v>0</v>
      </c>
      <c r="AG43" s="1">
        <v>0</v>
      </c>
      <c r="AH43" s="1">
        <v>1714.1209190312481</v>
      </c>
      <c r="AI43" s="1">
        <v>2571.1813785468721</v>
      </c>
      <c r="AJ43" s="1">
        <f>tblSection6191517[[#This Row],[Net Total]]*0.15</f>
        <v>385.67720678203079</v>
      </c>
      <c r="AK43" s="1"/>
      <c r="AM43" s="44"/>
      <c r="AN43" s="44">
        <v>2050</v>
      </c>
      <c r="AO43" t="s">
        <v>63</v>
      </c>
      <c r="AP43" s="247">
        <v>137701.01076229798</v>
      </c>
      <c r="AQ43" s="247">
        <v>14410.570893728862</v>
      </c>
      <c r="AR43" s="247">
        <v>0</v>
      </c>
      <c r="AS43" s="247">
        <v>0</v>
      </c>
      <c r="AT43" s="247">
        <v>0</v>
      </c>
      <c r="AU43" s="247">
        <v>0</v>
      </c>
      <c r="AV43" s="247">
        <v>4803.5236312429533</v>
      </c>
      <c r="AW43" s="247">
        <v>156915.10528726981</v>
      </c>
      <c r="AX43" s="1">
        <f>tblSection61114[[#This Row],[Gross Total]]*0.15</f>
        <v>23537.265793090472</v>
      </c>
      <c r="AZ43" s="44">
        <v>2050</v>
      </c>
      <c r="BA43" t="s">
        <v>63</v>
      </c>
      <c r="BB43" s="247">
        <v>2571.1813785468721</v>
      </c>
      <c r="BC43" s="247">
        <v>428.53022975781204</v>
      </c>
      <c r="BD43" s="247">
        <v>0</v>
      </c>
      <c r="BE43" s="247">
        <v>0</v>
      </c>
      <c r="BF43" s="247">
        <v>0</v>
      </c>
      <c r="BG43" s="247">
        <v>1285.5906892734361</v>
      </c>
      <c r="BH43" s="247">
        <v>4285.3022975781205</v>
      </c>
      <c r="BI43" s="1">
        <f>tblSection61915[[#This Row],[Gross Total]]*0.15</f>
        <v>642.79534463671803</v>
      </c>
      <c r="BJ43" s="44"/>
      <c r="BK43" s="246"/>
      <c r="BM43" s="44">
        <v>2050</v>
      </c>
      <c r="BN43" t="s">
        <v>63</v>
      </c>
      <c r="BO43" s="1">
        <v>121775</v>
      </c>
      <c r="BP43" s="1">
        <v>13005</v>
      </c>
      <c r="BQ43" s="1">
        <v>0</v>
      </c>
      <c r="BR43" s="1">
        <v>0</v>
      </c>
      <c r="BS43" s="1">
        <v>0</v>
      </c>
      <c r="BT43" s="1">
        <v>4729</v>
      </c>
      <c r="BU43" s="1">
        <f>SUM(tblSection611[[#This Row],[LEA/District]:[ECSE]])</f>
        <v>139509</v>
      </c>
      <c r="BV43" s="1">
        <f>tblSection611[[#This Row],[Gross Total]]*0.15</f>
        <v>20926.349999999999</v>
      </c>
      <c r="BW43" s="1"/>
      <c r="BY43" s="44">
        <v>2050</v>
      </c>
      <c r="BZ43" t="s">
        <v>63</v>
      </c>
      <c r="CA43" s="1">
        <v>1528</v>
      </c>
      <c r="CB43" s="1">
        <v>509</v>
      </c>
      <c r="CC43" s="1">
        <v>0</v>
      </c>
      <c r="CD43" s="1">
        <v>0</v>
      </c>
      <c r="CE43" s="1">
        <v>0</v>
      </c>
      <c r="CF43" s="1">
        <v>2038</v>
      </c>
      <c r="CG43" s="1">
        <f>SUM(tblSection619[[#This Row],[LEA/District]:[ECSE]])</f>
        <v>4075</v>
      </c>
      <c r="CH43" s="1">
        <f>tblSection619[[#This Row],[Gross Total]]*0.15</f>
        <v>611.25</v>
      </c>
    </row>
    <row r="44" spans="1:86" x14ac:dyDescent="0.35">
      <c r="A44" t="s">
        <v>64</v>
      </c>
      <c r="B44">
        <v>2190</v>
      </c>
      <c r="C44" t="s">
        <v>1528</v>
      </c>
      <c r="D44" s="44">
        <f>LEN(TblAgencies[[#This Row],[InstNm]])</f>
        <v>11</v>
      </c>
      <c r="E44" s="44" t="s">
        <v>1900</v>
      </c>
      <c r="F44" s="44" t="s">
        <v>1900</v>
      </c>
      <c r="G4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44" s="44"/>
      <c r="I44" s="44"/>
      <c r="J44" s="44"/>
      <c r="K44" s="44"/>
      <c r="M44" s="44"/>
      <c r="N44" s="44">
        <v>2190</v>
      </c>
      <c r="O44" t="s">
        <v>64</v>
      </c>
      <c r="P44" s="1">
        <v>697132.77299179765</v>
      </c>
      <c r="Q44" s="1">
        <v>163158.73410446328</v>
      </c>
      <c r="R44" s="1">
        <v>1648.0680212572047</v>
      </c>
      <c r="S44" s="1">
        <v>16480.680212572046</v>
      </c>
      <c r="T44" s="1">
        <v>0</v>
      </c>
      <c r="U44" s="1">
        <v>0</v>
      </c>
      <c r="V44" s="1">
        <v>52738.17668023055</v>
      </c>
      <c r="W44" s="1">
        <v>697132.77299179765</v>
      </c>
      <c r="X44" s="1">
        <f>tblSection6111416[[#This Row],[Net Total]]*0.15</f>
        <v>104569.91594876965</v>
      </c>
      <c r="Y44" s="1"/>
      <c r="AA44" s="44">
        <v>2190</v>
      </c>
      <c r="AB44" t="s">
        <v>64</v>
      </c>
      <c r="AC44" s="1">
        <v>6011.2132263258554</v>
      </c>
      <c r="AD44" s="1">
        <v>7104.1610856578282</v>
      </c>
      <c r="AE44" s="1">
        <v>0</v>
      </c>
      <c r="AF44" s="1">
        <v>0</v>
      </c>
      <c r="AG44" s="1">
        <v>0</v>
      </c>
      <c r="AH44" s="1">
        <v>17487.165749311578</v>
      </c>
      <c r="AI44" s="1">
        <v>6011.2132263258572</v>
      </c>
      <c r="AJ44" s="1">
        <f>tblSection6191517[[#This Row],[Net Total]]*0.15</f>
        <v>901.68198394887861</v>
      </c>
      <c r="AK44" s="1"/>
      <c r="AM44" s="44"/>
      <c r="AN44" s="44">
        <v>2190</v>
      </c>
      <c r="AO44" t="s">
        <v>64</v>
      </c>
      <c r="AP44" s="247">
        <v>697132.77299179765</v>
      </c>
      <c r="AQ44" s="247">
        <v>163158.73410446328</v>
      </c>
      <c r="AR44" s="247">
        <v>1648.0680212572047</v>
      </c>
      <c r="AS44" s="247">
        <v>16480.680212572046</v>
      </c>
      <c r="AT44" s="247">
        <v>0</v>
      </c>
      <c r="AU44" s="247">
        <v>0</v>
      </c>
      <c r="AV44" s="247">
        <v>36257.4964676585</v>
      </c>
      <c r="AW44" s="247">
        <v>914677.75179774873</v>
      </c>
      <c r="AX44" s="1">
        <f>tblSection61114[[#This Row],[Gross Total]]*0.15</f>
        <v>137201.6627696623</v>
      </c>
      <c r="AZ44" s="44">
        <v>2190</v>
      </c>
      <c r="BA44" t="s">
        <v>64</v>
      </c>
      <c r="BB44" s="247">
        <v>6011.2132263258554</v>
      </c>
      <c r="BC44" s="247">
        <v>7104.1610856578282</v>
      </c>
      <c r="BD44" s="247">
        <v>0</v>
      </c>
      <c r="BE44" s="247">
        <v>0</v>
      </c>
      <c r="BF44" s="247">
        <v>0</v>
      </c>
      <c r="BG44" s="247">
        <v>12022.426452651711</v>
      </c>
      <c r="BH44" s="247">
        <v>25137.800764635394</v>
      </c>
      <c r="BI44" s="1">
        <f>tblSection61915[[#This Row],[Gross Total]]*0.15</f>
        <v>3770.6701146953092</v>
      </c>
      <c r="BJ44" s="44"/>
      <c r="BK44" s="246"/>
      <c r="BM44" s="44">
        <v>2190</v>
      </c>
      <c r="BN44" t="s">
        <v>64</v>
      </c>
      <c r="BO44" s="1">
        <v>590017</v>
      </c>
      <c r="BP44" s="1">
        <v>118842</v>
      </c>
      <c r="BQ44" s="1">
        <v>1398</v>
      </c>
      <c r="BR44" s="1">
        <v>12583</v>
      </c>
      <c r="BS44" s="1">
        <v>0</v>
      </c>
      <c r="BT44" s="1">
        <v>25167</v>
      </c>
      <c r="BU44" s="1">
        <f>SUM(tblSection611[[#This Row],[LEA/District]:[ECSE]])</f>
        <v>748007</v>
      </c>
      <c r="BV44" s="1">
        <f>tblSection611[[#This Row],[Gross Total]]*0.15</f>
        <v>112201.05</v>
      </c>
      <c r="BW44" s="1"/>
      <c r="BY44" s="44">
        <v>2190</v>
      </c>
      <c r="BZ44" t="s">
        <v>64</v>
      </c>
      <c r="CA44" s="1">
        <v>7519</v>
      </c>
      <c r="CB44" s="1">
        <v>3007</v>
      </c>
      <c r="CC44" s="1">
        <v>0</v>
      </c>
      <c r="CD44" s="1">
        <v>0</v>
      </c>
      <c r="CE44" s="1">
        <v>0</v>
      </c>
      <c r="CF44" s="1">
        <v>13534</v>
      </c>
      <c r="CG44" s="1">
        <f>SUM(tblSection619[[#This Row],[LEA/District]:[ECSE]])</f>
        <v>24060</v>
      </c>
      <c r="CH44" s="1">
        <f>tblSection619[[#This Row],[Gross Total]]*0.15</f>
        <v>3609</v>
      </c>
    </row>
    <row r="45" spans="1:86" x14ac:dyDescent="0.35">
      <c r="A45" t="s">
        <v>65</v>
      </c>
      <c r="B45">
        <v>2187</v>
      </c>
      <c r="C45" t="s">
        <v>1528</v>
      </c>
      <c r="D45" s="44">
        <f>LEN(TblAgencies[[#This Row],[InstNm]])</f>
        <v>19</v>
      </c>
      <c r="E45" s="44" t="s">
        <v>1900</v>
      </c>
      <c r="F45" s="44" t="s">
        <v>1900</v>
      </c>
      <c r="G4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45" s="44"/>
      <c r="I45" s="44"/>
      <c r="J45" s="44"/>
      <c r="K45" s="44"/>
      <c r="M45" s="44"/>
      <c r="N45" s="44">
        <v>2187</v>
      </c>
      <c r="O45" t="s">
        <v>65</v>
      </c>
      <c r="P45" s="1">
        <v>1402509.1122780063</v>
      </c>
      <c r="Q45" s="1">
        <v>453891.5268178542</v>
      </c>
      <c r="R45" s="1">
        <v>3141.1178326495101</v>
      </c>
      <c r="S45" s="1">
        <v>6282.2356652990202</v>
      </c>
      <c r="T45" s="1">
        <v>0</v>
      </c>
      <c r="U45" s="1">
        <v>0</v>
      </c>
      <c r="V45" s="1">
        <v>285841.72277110547</v>
      </c>
      <c r="W45" s="1">
        <v>1402509.1122780063</v>
      </c>
      <c r="X45" s="1">
        <f>tblSection6111416[[#This Row],[Net Total]]*0.15</f>
        <v>210376.36684170095</v>
      </c>
      <c r="Y45" s="1"/>
      <c r="AA45" s="44">
        <v>2187</v>
      </c>
      <c r="AB45" t="s">
        <v>65</v>
      </c>
      <c r="AC45" s="1">
        <v>8216.7952968033787</v>
      </c>
      <c r="AD45" s="1">
        <v>15024.99711415475</v>
      </c>
      <c r="AE45" s="1">
        <v>0</v>
      </c>
      <c r="AF45" s="1">
        <v>0</v>
      </c>
      <c r="AG45" s="1">
        <v>0</v>
      </c>
      <c r="AH45" s="1">
        <v>42727.335543377565</v>
      </c>
      <c r="AI45" s="1">
        <v>8216.7952968033787</v>
      </c>
      <c r="AJ45" s="1">
        <f>tblSection6191517[[#This Row],[Net Total]]*0.15</f>
        <v>1232.5192945205067</v>
      </c>
      <c r="AK45" s="1"/>
      <c r="AM45" s="44"/>
      <c r="AN45" s="44">
        <v>2187</v>
      </c>
      <c r="AO45" t="s">
        <v>65</v>
      </c>
      <c r="AP45" s="247">
        <v>1402509.1122780063</v>
      </c>
      <c r="AQ45" s="247">
        <v>453891.5268178542</v>
      </c>
      <c r="AR45" s="247">
        <v>3141.1178326495101</v>
      </c>
      <c r="AS45" s="247">
        <v>6282.2356652990202</v>
      </c>
      <c r="AT45" s="247">
        <v>0</v>
      </c>
      <c r="AU45" s="247">
        <v>0</v>
      </c>
      <c r="AV45" s="247">
        <v>213596.0126201667</v>
      </c>
      <c r="AW45" s="247">
        <v>2079420.0052139757</v>
      </c>
      <c r="AX45" s="1">
        <f>tblSection61114[[#This Row],[Gross Total]]*0.15</f>
        <v>311913.00078209635</v>
      </c>
      <c r="AZ45" s="44">
        <v>2187</v>
      </c>
      <c r="BA45" t="s">
        <v>65</v>
      </c>
      <c r="BB45" s="247">
        <v>8216.7952968033787</v>
      </c>
      <c r="BC45" s="247">
        <v>15024.99711415475</v>
      </c>
      <c r="BD45" s="247">
        <v>0</v>
      </c>
      <c r="BE45" s="247">
        <v>0</v>
      </c>
      <c r="BF45" s="247">
        <v>0</v>
      </c>
      <c r="BG45" s="247">
        <v>31928.118867578836</v>
      </c>
      <c r="BH45" s="247">
        <v>55169.911278536965</v>
      </c>
      <c r="BI45" s="1">
        <f>tblSection61915[[#This Row],[Gross Total]]*0.15</f>
        <v>8275.4866917805448</v>
      </c>
      <c r="BJ45" s="44"/>
      <c r="BK45" s="246"/>
      <c r="BM45" s="44">
        <v>2187</v>
      </c>
      <c r="BN45" t="s">
        <v>65</v>
      </c>
      <c r="BO45" s="1">
        <v>1529283</v>
      </c>
      <c r="BP45" s="1">
        <v>362421</v>
      </c>
      <c r="BQ45" s="1">
        <v>1694</v>
      </c>
      <c r="BR45" s="1">
        <v>0</v>
      </c>
      <c r="BS45" s="1">
        <v>0</v>
      </c>
      <c r="BT45" s="1">
        <v>203227</v>
      </c>
      <c r="BU45" s="1">
        <f>SUM(tblSection611[[#This Row],[LEA/District]:[ECSE]])</f>
        <v>2096625</v>
      </c>
      <c r="BV45" s="1">
        <f>tblSection611[[#This Row],[Gross Total]]*0.15</f>
        <v>314493.75</v>
      </c>
      <c r="BW45" s="1"/>
      <c r="BY45" s="44">
        <v>2187</v>
      </c>
      <c r="BZ45" t="s">
        <v>65</v>
      </c>
      <c r="CA45" s="1">
        <v>11622</v>
      </c>
      <c r="CB45" s="1">
        <v>4704</v>
      </c>
      <c r="CC45" s="1">
        <v>0</v>
      </c>
      <c r="CD45" s="1">
        <v>0</v>
      </c>
      <c r="CE45" s="1">
        <v>0</v>
      </c>
      <c r="CF45" s="1">
        <v>33207</v>
      </c>
      <c r="CG45" s="1">
        <f>SUM(tblSection619[[#This Row],[LEA/District]:[ECSE]])</f>
        <v>49533</v>
      </c>
      <c r="CH45" s="1">
        <f>tblSection619[[#This Row],[Gross Total]]*0.15</f>
        <v>7429.95</v>
      </c>
    </row>
    <row r="46" spans="1:86" x14ac:dyDescent="0.35">
      <c r="A46" t="s">
        <v>66</v>
      </c>
      <c r="B46">
        <v>2253</v>
      </c>
      <c r="C46" t="s">
        <v>1528</v>
      </c>
      <c r="D46" s="44">
        <f>LEN(TblAgencies[[#This Row],[InstNm]])</f>
        <v>11</v>
      </c>
      <c r="E46" s="44" t="s">
        <v>1900</v>
      </c>
      <c r="F46" s="44" t="s">
        <v>1900</v>
      </c>
      <c r="G4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46" s="44"/>
      <c r="I46" s="44"/>
      <c r="J46" s="44"/>
      <c r="K46" s="44"/>
      <c r="M46" s="44"/>
      <c r="N46" s="44">
        <v>2253</v>
      </c>
      <c r="O46" t="s">
        <v>66</v>
      </c>
      <c r="P46" s="1">
        <v>171788.67449375326</v>
      </c>
      <c r="Q46" s="1">
        <v>39368.237904818459</v>
      </c>
      <c r="R46" s="1">
        <v>0</v>
      </c>
      <c r="S46" s="1">
        <v>0</v>
      </c>
      <c r="T46" s="1">
        <v>0</v>
      </c>
      <c r="U46" s="1">
        <v>0</v>
      </c>
      <c r="V46" s="1">
        <v>7157.8614372397187</v>
      </c>
      <c r="W46" s="1">
        <v>171788.67449375326</v>
      </c>
      <c r="X46" s="1">
        <f>tblSection6111416[[#This Row],[Net Total]]*0.15</f>
        <v>25768.301174062988</v>
      </c>
      <c r="Y46" s="1"/>
      <c r="AA46" s="44">
        <v>2253</v>
      </c>
      <c r="AB46" t="s">
        <v>66</v>
      </c>
      <c r="AC46" s="1">
        <v>2627.0627734119207</v>
      </c>
      <c r="AD46" s="1">
        <v>525.4125546823841</v>
      </c>
      <c r="AE46" s="1">
        <v>0</v>
      </c>
      <c r="AF46" s="1">
        <v>0</v>
      </c>
      <c r="AG46" s="1">
        <v>0</v>
      </c>
      <c r="AH46" s="1">
        <v>2101.6502187295364</v>
      </c>
      <c r="AI46" s="1">
        <v>2627.0627734119207</v>
      </c>
      <c r="AJ46" s="1">
        <f>tblSection6191517[[#This Row],[Net Total]]*0.15</f>
        <v>394.05941601178807</v>
      </c>
      <c r="AK46" s="1"/>
      <c r="AM46" s="44"/>
      <c r="AN46" s="44">
        <v>2253</v>
      </c>
      <c r="AO46" t="s">
        <v>66</v>
      </c>
      <c r="AP46" s="247">
        <v>171788.67449375326</v>
      </c>
      <c r="AQ46" s="247">
        <v>39368.237904818459</v>
      </c>
      <c r="AR46" s="247">
        <v>0</v>
      </c>
      <c r="AS46" s="247">
        <v>0</v>
      </c>
      <c r="AT46" s="247">
        <v>0</v>
      </c>
      <c r="AU46" s="247">
        <v>0</v>
      </c>
      <c r="AV46" s="247">
        <v>5368.3960779297895</v>
      </c>
      <c r="AW46" s="247">
        <v>216525.30847650152</v>
      </c>
      <c r="AX46" s="1">
        <f>tblSection61114[[#This Row],[Gross Total]]*0.15</f>
        <v>32478.796271475228</v>
      </c>
      <c r="AZ46" s="44">
        <v>2253</v>
      </c>
      <c r="BA46" t="s">
        <v>66</v>
      </c>
      <c r="BB46" s="247">
        <v>2627.0627734119207</v>
      </c>
      <c r="BC46" s="247">
        <v>525.4125546823841</v>
      </c>
      <c r="BD46" s="247">
        <v>0</v>
      </c>
      <c r="BE46" s="247">
        <v>0</v>
      </c>
      <c r="BF46" s="247">
        <v>0</v>
      </c>
      <c r="BG46" s="247">
        <v>1576.2376640471521</v>
      </c>
      <c r="BH46" s="247">
        <v>4728.7129921414571</v>
      </c>
      <c r="BI46" s="1">
        <f>tblSection61915[[#This Row],[Gross Total]]*0.15</f>
        <v>709.3069488212185</v>
      </c>
      <c r="BJ46" s="44"/>
      <c r="BK46" s="246"/>
      <c r="BM46" s="44">
        <v>2253</v>
      </c>
      <c r="BN46" t="s">
        <v>66</v>
      </c>
      <c r="BO46" s="1">
        <v>155676</v>
      </c>
      <c r="BP46" s="1">
        <v>40772</v>
      </c>
      <c r="BQ46" s="1">
        <v>0</v>
      </c>
      <c r="BR46" s="1">
        <v>0</v>
      </c>
      <c r="BS46" s="1">
        <v>0</v>
      </c>
      <c r="BT46" s="1">
        <v>9266</v>
      </c>
      <c r="BU46" s="1">
        <f>SUM(tblSection611[[#This Row],[LEA/District]:[ECSE]])</f>
        <v>205714</v>
      </c>
      <c r="BV46" s="1">
        <f>tblSection611[[#This Row],[Gross Total]]*0.15</f>
        <v>30857.1</v>
      </c>
      <c r="BW46" s="1"/>
      <c r="BY46" s="44">
        <v>2253</v>
      </c>
      <c r="BZ46" t="s">
        <v>66</v>
      </c>
      <c r="CA46" s="1">
        <v>1334</v>
      </c>
      <c r="CB46" s="1">
        <v>0</v>
      </c>
      <c r="CC46" s="1">
        <v>0</v>
      </c>
      <c r="CD46" s="1">
        <v>0</v>
      </c>
      <c r="CE46" s="1">
        <v>0</v>
      </c>
      <c r="CF46" s="1">
        <v>3334</v>
      </c>
      <c r="CG46" s="1">
        <f>SUM(tblSection619[[#This Row],[LEA/District]:[ECSE]])</f>
        <v>4668</v>
      </c>
      <c r="CH46" s="1">
        <f>tblSection619[[#This Row],[Gross Total]]*0.15</f>
        <v>700.19999999999993</v>
      </c>
    </row>
    <row r="47" spans="1:86" x14ac:dyDescent="0.35">
      <c r="A47" t="s">
        <v>67</v>
      </c>
      <c r="B47">
        <v>2011</v>
      </c>
      <c r="C47" t="s">
        <v>1528</v>
      </c>
      <c r="D47" s="44">
        <f>LEN(TblAgencies[[#This Row],[InstNm]])</f>
        <v>15</v>
      </c>
      <c r="E47" s="44" t="s">
        <v>1900</v>
      </c>
      <c r="F47" s="44" t="s">
        <v>1900</v>
      </c>
      <c r="G4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47" s="44"/>
      <c r="I47" s="44"/>
      <c r="J47" s="44"/>
      <c r="K47" s="44"/>
      <c r="M47" s="44"/>
      <c r="N47" s="44">
        <v>2011</v>
      </c>
      <c r="O47" t="s">
        <v>67</v>
      </c>
      <c r="P47" s="1">
        <v>10308.136110210831</v>
      </c>
      <c r="Q47" s="1">
        <v>4417.7726186617838</v>
      </c>
      <c r="R47" s="1">
        <v>0</v>
      </c>
      <c r="S47" s="1">
        <v>0</v>
      </c>
      <c r="T47" s="1">
        <v>0</v>
      </c>
      <c r="U47" s="1">
        <v>0</v>
      </c>
      <c r="V47" s="1">
        <v>1472.5908728872616</v>
      </c>
      <c r="W47" s="1">
        <v>10308.136110210831</v>
      </c>
      <c r="X47" s="1">
        <f>tblSection6111416[[#This Row],[Net Total]]*0.15</f>
        <v>1546.2204165316246</v>
      </c>
      <c r="Y47" s="1"/>
      <c r="AA47" s="44">
        <v>2011</v>
      </c>
      <c r="AB47" t="s">
        <v>67</v>
      </c>
      <c r="AC47" s="1">
        <v>1009.8241793052445</v>
      </c>
      <c r="AD47" s="1">
        <v>0</v>
      </c>
      <c r="AE47" s="1">
        <v>0</v>
      </c>
      <c r="AF47" s="1">
        <v>0</v>
      </c>
      <c r="AG47" s="1">
        <v>0</v>
      </c>
      <c r="AH47" s="1">
        <v>1009.8241793052445</v>
      </c>
      <c r="AI47" s="1">
        <v>1009.8241793052445</v>
      </c>
      <c r="AJ47" s="1">
        <f>tblSection6191517[[#This Row],[Net Total]]*0.15</f>
        <v>151.47362689578665</v>
      </c>
      <c r="AK47" s="1"/>
      <c r="AM47" s="44"/>
      <c r="AN47" s="44">
        <v>2011</v>
      </c>
      <c r="AO47" t="s">
        <v>67</v>
      </c>
      <c r="AP47" s="247">
        <v>10308.136110210831</v>
      </c>
      <c r="AQ47" s="247">
        <v>4417.7726186617838</v>
      </c>
      <c r="AR47" s="247">
        <v>0</v>
      </c>
      <c r="AS47" s="247">
        <v>0</v>
      </c>
      <c r="AT47" s="247">
        <v>0</v>
      </c>
      <c r="AU47" s="247">
        <v>0</v>
      </c>
      <c r="AV47" s="247">
        <v>1472.5908728872616</v>
      </c>
      <c r="AW47" s="247">
        <v>16198.499601759877</v>
      </c>
      <c r="AX47" s="1">
        <f>tblSection61114[[#This Row],[Gross Total]]*0.15</f>
        <v>2429.7749402639815</v>
      </c>
      <c r="AZ47" s="44">
        <v>2011</v>
      </c>
      <c r="BA47" t="s">
        <v>67</v>
      </c>
      <c r="BB47" s="247">
        <v>1009.8241793052445</v>
      </c>
      <c r="BC47" s="247">
        <v>0</v>
      </c>
      <c r="BD47" s="247">
        <v>0</v>
      </c>
      <c r="BE47" s="247">
        <v>0</v>
      </c>
      <c r="BF47" s="247">
        <v>0</v>
      </c>
      <c r="BG47" s="247">
        <v>1009.8241793052445</v>
      </c>
      <c r="BH47" s="247">
        <v>2019.6483586104889</v>
      </c>
      <c r="BI47" s="1">
        <f>tblSection61915[[#This Row],[Gross Total]]*0.15</f>
        <v>302.9472537915733</v>
      </c>
      <c r="BJ47" s="44"/>
      <c r="BK47" s="246"/>
      <c r="BM47" s="44">
        <v>2011</v>
      </c>
      <c r="BN47" t="s">
        <v>67</v>
      </c>
      <c r="BO47" s="1">
        <v>8107</v>
      </c>
      <c r="BP47" s="1">
        <v>3243</v>
      </c>
      <c r="BQ47" s="1">
        <v>0</v>
      </c>
      <c r="BR47" s="1">
        <v>0</v>
      </c>
      <c r="BS47" s="1">
        <v>0</v>
      </c>
      <c r="BT47" s="1">
        <v>1621</v>
      </c>
      <c r="BU47" s="1">
        <f>SUM(tblSection611[[#This Row],[LEA/District]:[ECSE]])</f>
        <v>12971</v>
      </c>
      <c r="BV47" s="1">
        <f>tblSection611[[#This Row],[Gross Total]]*0.15</f>
        <v>1945.6499999999999</v>
      </c>
      <c r="BW47" s="1"/>
      <c r="BY47" s="44">
        <v>2011</v>
      </c>
      <c r="BZ47" t="s">
        <v>67</v>
      </c>
      <c r="CA47" s="1">
        <v>0</v>
      </c>
      <c r="CB47" s="1">
        <v>0</v>
      </c>
      <c r="CC47" s="1">
        <v>0</v>
      </c>
      <c r="CD47" s="1">
        <v>0</v>
      </c>
      <c r="CE47" s="1">
        <v>0</v>
      </c>
      <c r="CF47" s="1">
        <v>1884</v>
      </c>
      <c r="CG47" s="1">
        <f>SUM(tblSection619[[#This Row],[LEA/District]:[ECSE]])</f>
        <v>1884</v>
      </c>
      <c r="CH47" s="1">
        <f>tblSection619[[#This Row],[Gross Total]]*0.15</f>
        <v>282.59999999999997</v>
      </c>
    </row>
    <row r="48" spans="1:86" x14ac:dyDescent="0.35">
      <c r="A48" t="s">
        <v>68</v>
      </c>
      <c r="B48">
        <v>2017</v>
      </c>
      <c r="C48" t="s">
        <v>1528</v>
      </c>
      <c r="D48" s="44">
        <f>LEN(TblAgencies[[#This Row],[InstNm]])</f>
        <v>12</v>
      </c>
      <c r="E48" s="44" t="s">
        <v>1900</v>
      </c>
      <c r="F48" s="44" t="s">
        <v>1900</v>
      </c>
      <c r="G4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48" s="44"/>
      <c r="I48" s="44"/>
      <c r="J48" s="44"/>
      <c r="K48" s="44"/>
      <c r="M48" s="44"/>
      <c r="N48" s="44">
        <v>2017</v>
      </c>
      <c r="O48" t="s">
        <v>68</v>
      </c>
      <c r="P48" s="1">
        <v>2532.9426910690795</v>
      </c>
      <c r="Q48" s="1">
        <v>0</v>
      </c>
      <c r="R48" s="1">
        <v>0</v>
      </c>
      <c r="S48" s="1">
        <v>0</v>
      </c>
      <c r="T48" s="1">
        <v>0</v>
      </c>
      <c r="U48" s="1">
        <v>0</v>
      </c>
      <c r="V48" s="1">
        <v>0</v>
      </c>
      <c r="W48" s="1">
        <v>2532.9426910690795</v>
      </c>
      <c r="X48" s="1">
        <f>tblSection6111416[[#This Row],[Net Total]]*0.15</f>
        <v>379.94140366036191</v>
      </c>
      <c r="Y48" s="1"/>
      <c r="AA48" s="44">
        <v>2017</v>
      </c>
      <c r="AB48" t="s">
        <v>68</v>
      </c>
      <c r="AC48" s="1">
        <v>263.6023683578814</v>
      </c>
      <c r="AD48" s="1">
        <v>0</v>
      </c>
      <c r="AE48" s="1">
        <v>0</v>
      </c>
      <c r="AF48" s="1">
        <v>0</v>
      </c>
      <c r="AG48" s="1">
        <v>0</v>
      </c>
      <c r="AH48" s="1">
        <v>0</v>
      </c>
      <c r="AI48" s="1">
        <v>263.6023683578814</v>
      </c>
      <c r="AJ48" s="1">
        <f>tblSection6191517[[#This Row],[Net Total]]*0.15</f>
        <v>39.540355253682208</v>
      </c>
      <c r="AK48" s="1"/>
      <c r="AM48" s="44"/>
      <c r="AN48" s="44">
        <v>2017</v>
      </c>
      <c r="AO48" t="s">
        <v>68</v>
      </c>
      <c r="AP48" s="247">
        <v>2532.9426910690795</v>
      </c>
      <c r="AQ48" s="247">
        <v>0</v>
      </c>
      <c r="AR48" s="247">
        <v>0</v>
      </c>
      <c r="AS48" s="247">
        <v>0</v>
      </c>
      <c r="AT48" s="247">
        <v>0</v>
      </c>
      <c r="AU48" s="247">
        <v>0</v>
      </c>
      <c r="AV48" s="247">
        <v>0</v>
      </c>
      <c r="AW48" s="247">
        <v>2532.9426910690795</v>
      </c>
      <c r="AX48" s="1">
        <f>tblSection61114[[#This Row],[Gross Total]]*0.15</f>
        <v>379.94140366036191</v>
      </c>
      <c r="AZ48" s="44">
        <v>2017</v>
      </c>
      <c r="BA48" t="s">
        <v>68</v>
      </c>
      <c r="BB48" s="247">
        <v>263.6023683578814</v>
      </c>
      <c r="BC48" s="247">
        <v>0</v>
      </c>
      <c r="BD48" s="247">
        <v>0</v>
      </c>
      <c r="BE48" s="247">
        <v>0</v>
      </c>
      <c r="BF48" s="247">
        <v>0</v>
      </c>
      <c r="BG48" s="247">
        <v>0</v>
      </c>
      <c r="BH48" s="247">
        <v>263.6023683578814</v>
      </c>
      <c r="BI48" s="1">
        <f>tblSection61915[[#This Row],[Gross Total]]*0.15</f>
        <v>39.540355253682208</v>
      </c>
      <c r="BJ48" s="44"/>
      <c r="BK48" s="246"/>
      <c r="BM48" s="44">
        <v>2017</v>
      </c>
      <c r="BN48" t="s">
        <v>68</v>
      </c>
      <c r="BO48" s="1">
        <v>1905</v>
      </c>
      <c r="BP48" s="1">
        <v>0</v>
      </c>
      <c r="BQ48" s="1">
        <v>0</v>
      </c>
      <c r="BR48" s="1">
        <v>0</v>
      </c>
      <c r="BS48" s="1">
        <v>0</v>
      </c>
      <c r="BT48" s="1">
        <v>0</v>
      </c>
      <c r="BU48" s="1">
        <f>SUM(tblSection611[[#This Row],[LEA/District]:[ECSE]])</f>
        <v>1905</v>
      </c>
      <c r="BV48" s="1">
        <f>tblSection611[[#This Row],[Gross Total]]*0.15</f>
        <v>285.75</v>
      </c>
      <c r="BW48" s="1"/>
      <c r="BY48" s="44">
        <v>2017</v>
      </c>
      <c r="BZ48" t="s">
        <v>68</v>
      </c>
      <c r="CA48" s="1">
        <v>253</v>
      </c>
      <c r="CB48" s="1">
        <v>0</v>
      </c>
      <c r="CC48" s="1">
        <v>0</v>
      </c>
      <c r="CD48" s="1">
        <v>0</v>
      </c>
      <c r="CE48" s="1">
        <v>0</v>
      </c>
      <c r="CF48" s="1">
        <v>0</v>
      </c>
      <c r="CG48" s="1">
        <f>SUM(tblSection619[[#This Row],[LEA/District]:[ECSE]])</f>
        <v>253</v>
      </c>
      <c r="CH48" s="1">
        <f>tblSection619[[#This Row],[Gross Total]]*0.15</f>
        <v>37.949999999999996</v>
      </c>
    </row>
    <row r="49" spans="1:86" x14ac:dyDescent="0.35">
      <c r="A49" t="s">
        <v>69</v>
      </c>
      <c r="B49">
        <v>2021</v>
      </c>
      <c r="C49" t="s">
        <v>1528</v>
      </c>
      <c r="D49" s="44">
        <f>LEN(TblAgencies[[#This Row],[InstNm]])</f>
        <v>14</v>
      </c>
      <c r="E49" s="44" t="s">
        <v>1900</v>
      </c>
      <c r="F49" s="44" t="s">
        <v>1900</v>
      </c>
      <c r="G4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49" s="44"/>
      <c r="I49" s="44"/>
      <c r="J49" s="44"/>
      <c r="K49" s="44"/>
      <c r="M49" s="44"/>
      <c r="N49" s="44">
        <v>2021</v>
      </c>
      <c r="O49" t="s">
        <v>69</v>
      </c>
      <c r="P49" s="1">
        <v>518.33000000000004</v>
      </c>
      <c r="Q49" s="1">
        <v>0</v>
      </c>
      <c r="R49" s="1">
        <v>0</v>
      </c>
      <c r="S49" s="1">
        <v>0</v>
      </c>
      <c r="T49" s="1">
        <v>0</v>
      </c>
      <c r="U49" s="1">
        <v>0</v>
      </c>
      <c r="V49" s="1">
        <v>0</v>
      </c>
      <c r="W49" s="1">
        <v>518.33000000000004</v>
      </c>
      <c r="X49" s="1">
        <f>tblSection6111416[[#This Row],[Net Total]]*0.15</f>
        <v>77.749499999999998</v>
      </c>
      <c r="Y49" s="1"/>
      <c r="AA49" s="44">
        <v>2021</v>
      </c>
      <c r="AB49" t="s">
        <v>69</v>
      </c>
      <c r="AC49" s="1">
        <v>221.57613802041146</v>
      </c>
      <c r="AD49" s="1">
        <v>0</v>
      </c>
      <c r="AE49" s="1">
        <v>0</v>
      </c>
      <c r="AF49" s="1">
        <v>0</v>
      </c>
      <c r="AG49" s="1">
        <v>0</v>
      </c>
      <c r="AH49" s="1">
        <v>0</v>
      </c>
      <c r="AI49" s="1">
        <v>221.57613802041146</v>
      </c>
      <c r="AJ49" s="1">
        <f>tblSection6191517[[#This Row],[Net Total]]*0.15</f>
        <v>33.236420703061718</v>
      </c>
      <c r="AK49" s="1"/>
      <c r="AM49" s="44"/>
      <c r="AN49" s="44">
        <v>2021</v>
      </c>
      <c r="AO49" t="s">
        <v>69</v>
      </c>
      <c r="AP49" s="247">
        <v>518.33000000000004</v>
      </c>
      <c r="AQ49" s="247">
        <v>0</v>
      </c>
      <c r="AR49" s="247">
        <v>0</v>
      </c>
      <c r="AS49" s="247">
        <v>0</v>
      </c>
      <c r="AT49" s="247">
        <v>0</v>
      </c>
      <c r="AU49" s="247">
        <v>0</v>
      </c>
      <c r="AV49" s="247">
        <v>0</v>
      </c>
      <c r="AW49" s="247">
        <v>518.33000000000004</v>
      </c>
      <c r="AX49" s="1">
        <f>tblSection61114[[#This Row],[Gross Total]]*0.15</f>
        <v>77.749499999999998</v>
      </c>
      <c r="AZ49" s="44">
        <v>2021</v>
      </c>
      <c r="BA49" t="s">
        <v>69</v>
      </c>
      <c r="BB49" s="247">
        <v>221.57613802041146</v>
      </c>
      <c r="BC49" s="247">
        <v>0</v>
      </c>
      <c r="BD49" s="247">
        <v>0</v>
      </c>
      <c r="BE49" s="247">
        <v>0</v>
      </c>
      <c r="BF49" s="247">
        <v>0</v>
      </c>
      <c r="BG49" s="247">
        <v>0</v>
      </c>
      <c r="BH49" s="247">
        <v>221.57613802041146</v>
      </c>
      <c r="BI49" s="1">
        <f>tblSection61915[[#This Row],[Gross Total]]*0.15</f>
        <v>33.236420703061718</v>
      </c>
      <c r="BJ49" s="44"/>
      <c r="BK49" s="246"/>
      <c r="BM49" s="44">
        <v>2021</v>
      </c>
      <c r="BN49" t="s">
        <v>69</v>
      </c>
      <c r="BO49" s="1">
        <v>1187</v>
      </c>
      <c r="BP49" s="1">
        <v>0</v>
      </c>
      <c r="BQ49" s="1">
        <v>0</v>
      </c>
      <c r="BR49" s="1">
        <v>0</v>
      </c>
      <c r="BS49" s="1">
        <v>0</v>
      </c>
      <c r="BT49" s="1">
        <v>0</v>
      </c>
      <c r="BU49" s="1">
        <f>SUM(tblSection611[[#This Row],[LEA/District]:[ECSE]])</f>
        <v>1187</v>
      </c>
      <c r="BV49" s="1">
        <f>tblSection611[[#This Row],[Gross Total]]*0.15</f>
        <v>178.04999999999998</v>
      </c>
      <c r="BW49" s="1"/>
      <c r="BY49" s="44">
        <v>2021</v>
      </c>
      <c r="BZ49" t="s">
        <v>69</v>
      </c>
      <c r="CA49" s="1">
        <v>224</v>
      </c>
      <c r="CB49" s="1">
        <v>0</v>
      </c>
      <c r="CC49" s="1">
        <v>0</v>
      </c>
      <c r="CD49" s="1">
        <v>0</v>
      </c>
      <c r="CE49" s="1">
        <v>0</v>
      </c>
      <c r="CF49" s="1">
        <v>0</v>
      </c>
      <c r="CG49" s="1">
        <f>SUM(tblSection619[[#This Row],[LEA/District]:[ECSE]])</f>
        <v>224</v>
      </c>
      <c r="CH49" s="1">
        <f>tblSection619[[#This Row],[Gross Total]]*0.15</f>
        <v>33.6</v>
      </c>
    </row>
    <row r="50" spans="1:86" x14ac:dyDescent="0.35">
      <c r="A50" t="s">
        <v>70</v>
      </c>
      <c r="B50">
        <v>1993</v>
      </c>
      <c r="C50" t="s">
        <v>1527</v>
      </c>
      <c r="D50" s="44">
        <f>LEN(TblAgencies[[#This Row],[InstNm]])</f>
        <v>20</v>
      </c>
      <c r="E50" s="44" t="s">
        <v>1900</v>
      </c>
      <c r="F50" s="44" t="s">
        <v>1900</v>
      </c>
      <c r="G5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50" s="44"/>
      <c r="I50" s="44"/>
      <c r="J50" s="44"/>
      <c r="K50" s="44"/>
      <c r="M50" s="44"/>
      <c r="N50" s="44">
        <v>1993</v>
      </c>
      <c r="O50" t="s">
        <v>70</v>
      </c>
      <c r="P50" s="1">
        <v>71016.845756659008</v>
      </c>
      <c r="Q50" s="1">
        <v>3303.109104960884</v>
      </c>
      <c r="R50" s="1">
        <v>0</v>
      </c>
      <c r="S50" s="1">
        <v>0</v>
      </c>
      <c r="T50" s="1">
        <v>0</v>
      </c>
      <c r="U50" s="1">
        <v>0</v>
      </c>
      <c r="V50" s="1">
        <v>0</v>
      </c>
      <c r="W50" s="1">
        <v>71016.845756659008</v>
      </c>
      <c r="X50" s="1">
        <f>tblSection6111416[[#This Row],[Net Total]]*0.15</f>
        <v>10652.526863498852</v>
      </c>
      <c r="Y50" s="1"/>
      <c r="AA50" s="44">
        <v>1993</v>
      </c>
      <c r="AB50" t="s">
        <v>70</v>
      </c>
      <c r="AC50" s="1">
        <v>1453.2348738685812</v>
      </c>
      <c r="AD50" s="1">
        <v>0</v>
      </c>
      <c r="AE50" s="1">
        <v>0</v>
      </c>
      <c r="AF50" s="1">
        <v>0</v>
      </c>
      <c r="AG50" s="1">
        <v>0</v>
      </c>
      <c r="AH50" s="1">
        <v>0</v>
      </c>
      <c r="AI50" s="1">
        <v>1453.2348738685812</v>
      </c>
      <c r="AJ50" s="1">
        <f>tblSection6191517[[#This Row],[Net Total]]*0.15</f>
        <v>217.98523108028718</v>
      </c>
      <c r="AK50" s="1"/>
      <c r="AM50" s="44"/>
      <c r="AN50" s="44">
        <v>1993</v>
      </c>
      <c r="AO50" t="s">
        <v>70</v>
      </c>
      <c r="AP50" s="247">
        <v>71016.845756659008</v>
      </c>
      <c r="AQ50" s="247">
        <v>3303.109104960884</v>
      </c>
      <c r="AR50" s="247">
        <v>0</v>
      </c>
      <c r="AS50" s="247">
        <v>0</v>
      </c>
      <c r="AT50" s="247">
        <v>0</v>
      </c>
      <c r="AU50" s="247">
        <v>0</v>
      </c>
      <c r="AV50" s="247">
        <v>0</v>
      </c>
      <c r="AW50" s="247">
        <v>74319.954861619888</v>
      </c>
      <c r="AX50" s="1">
        <f>tblSection61114[[#This Row],[Gross Total]]*0.15</f>
        <v>11147.993229242982</v>
      </c>
      <c r="AZ50" s="44">
        <v>1993</v>
      </c>
      <c r="BA50" t="s">
        <v>70</v>
      </c>
      <c r="BB50" s="247">
        <v>1453.2348738685812</v>
      </c>
      <c r="BC50" s="247">
        <v>0</v>
      </c>
      <c r="BD50" s="247">
        <v>0</v>
      </c>
      <c r="BE50" s="247">
        <v>0</v>
      </c>
      <c r="BF50" s="247">
        <v>0</v>
      </c>
      <c r="BG50" s="247">
        <v>0</v>
      </c>
      <c r="BH50" s="247">
        <v>1453.2348738685812</v>
      </c>
      <c r="BI50" s="1">
        <f>tblSection61915[[#This Row],[Gross Total]]*0.15</f>
        <v>217.98523108028718</v>
      </c>
      <c r="BJ50" s="44"/>
      <c r="BK50" s="246"/>
      <c r="BM50" s="44">
        <v>1993</v>
      </c>
      <c r="BN50" t="s">
        <v>70</v>
      </c>
      <c r="BO50" s="1">
        <v>61495</v>
      </c>
      <c r="BP50" s="1">
        <v>1577</v>
      </c>
      <c r="BQ50" s="1">
        <v>0</v>
      </c>
      <c r="BR50" s="1">
        <v>0</v>
      </c>
      <c r="BS50" s="1">
        <v>0</v>
      </c>
      <c r="BT50" s="1">
        <v>0</v>
      </c>
      <c r="BU50" s="1">
        <f>SUM(tblSection611[[#This Row],[LEA/District]:[ECSE]])</f>
        <v>63072</v>
      </c>
      <c r="BV50" s="1">
        <f>tblSection611[[#This Row],[Gross Total]]*0.15</f>
        <v>9460.7999999999993</v>
      </c>
      <c r="BW50" s="1"/>
      <c r="BY50" s="44">
        <v>1993</v>
      </c>
      <c r="BZ50" t="s">
        <v>70</v>
      </c>
      <c r="CA50" s="1">
        <v>1548</v>
      </c>
      <c r="CB50" s="1">
        <v>0</v>
      </c>
      <c r="CC50" s="1">
        <v>0</v>
      </c>
      <c r="CD50" s="1">
        <v>0</v>
      </c>
      <c r="CE50" s="1">
        <v>0</v>
      </c>
      <c r="CF50" s="1">
        <v>0</v>
      </c>
      <c r="CG50" s="1">
        <f>SUM(tblSection619[[#This Row],[LEA/District]:[ECSE]])</f>
        <v>1548</v>
      </c>
      <c r="CH50" s="1">
        <f>tblSection619[[#This Row],[Gross Total]]*0.15</f>
        <v>232.2</v>
      </c>
    </row>
    <row r="51" spans="1:86" x14ac:dyDescent="0.35">
      <c r="A51" t="s">
        <v>71</v>
      </c>
      <c r="B51">
        <v>1991</v>
      </c>
      <c r="C51" t="s">
        <v>1528</v>
      </c>
      <c r="D51" s="44">
        <f>LEN(TblAgencies[[#This Row],[InstNm]])</f>
        <v>19</v>
      </c>
      <c r="E51" s="44" t="s">
        <v>1900</v>
      </c>
      <c r="F51" s="44" t="s">
        <v>1900</v>
      </c>
      <c r="G5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51" s="44"/>
      <c r="I51" s="44"/>
      <c r="J51" s="44"/>
      <c r="K51" s="44"/>
      <c r="M51" s="44"/>
      <c r="N51" s="44">
        <v>1991</v>
      </c>
      <c r="O51" t="s">
        <v>71</v>
      </c>
      <c r="P51" s="1">
        <v>1083718.5207371945</v>
      </c>
      <c r="Q51" s="1">
        <v>232469.58804457169</v>
      </c>
      <c r="R51" s="1">
        <v>1709.3352062100862</v>
      </c>
      <c r="S51" s="1">
        <v>0</v>
      </c>
      <c r="T51" s="1">
        <v>0</v>
      </c>
      <c r="U51" s="1">
        <v>0</v>
      </c>
      <c r="V51" s="1">
        <v>198282.88392036999</v>
      </c>
      <c r="W51" s="1">
        <v>1083718.5207371945</v>
      </c>
      <c r="X51" s="1">
        <f>tblSection6111416[[#This Row],[Net Total]]*0.15</f>
        <v>162557.77811057915</v>
      </c>
      <c r="Y51" s="1"/>
      <c r="AA51" s="44">
        <v>1991</v>
      </c>
      <c r="AB51" t="s">
        <v>71</v>
      </c>
      <c r="AC51" s="1">
        <v>12017.245156894283</v>
      </c>
      <c r="AD51" s="1">
        <v>3719.623500943469</v>
      </c>
      <c r="AE51" s="1">
        <v>0</v>
      </c>
      <c r="AF51" s="1">
        <v>0</v>
      </c>
      <c r="AG51" s="1">
        <v>0</v>
      </c>
      <c r="AH51" s="1">
        <v>33190.486623803263</v>
      </c>
      <c r="AI51" s="1">
        <v>12017.245156894285</v>
      </c>
      <c r="AJ51" s="1">
        <f>tblSection6191517[[#This Row],[Net Total]]*0.15</f>
        <v>1802.5867735341428</v>
      </c>
      <c r="AK51" s="1"/>
      <c r="AM51" s="44"/>
      <c r="AN51" s="44">
        <v>1991</v>
      </c>
      <c r="AO51" t="s">
        <v>71</v>
      </c>
      <c r="AP51" s="247">
        <v>1083718.5207371945</v>
      </c>
      <c r="AQ51" s="247">
        <v>232469.58804457169</v>
      </c>
      <c r="AR51" s="247">
        <v>1709.3352062100862</v>
      </c>
      <c r="AS51" s="247">
        <v>0</v>
      </c>
      <c r="AT51" s="247">
        <v>0</v>
      </c>
      <c r="AU51" s="247">
        <v>0</v>
      </c>
      <c r="AV51" s="247">
        <v>189736.20788931957</v>
      </c>
      <c r="AW51" s="247">
        <v>1507633.6518772959</v>
      </c>
      <c r="AX51" s="1">
        <f>tblSection61114[[#This Row],[Gross Total]]*0.15</f>
        <v>226145.04778159439</v>
      </c>
      <c r="AZ51" s="44">
        <v>1991</v>
      </c>
      <c r="BA51" t="s">
        <v>71</v>
      </c>
      <c r="BB51" s="247">
        <v>12017.245156894283</v>
      </c>
      <c r="BC51" s="247">
        <v>3719.623500943469</v>
      </c>
      <c r="BD51" s="247">
        <v>0</v>
      </c>
      <c r="BE51" s="247">
        <v>0</v>
      </c>
      <c r="BF51" s="247">
        <v>0</v>
      </c>
      <c r="BG51" s="247">
        <v>31759.862200363466</v>
      </c>
      <c r="BH51" s="247">
        <v>47496.730858201219</v>
      </c>
      <c r="BI51" s="1">
        <f>tblSection61915[[#This Row],[Gross Total]]*0.15</f>
        <v>7124.5096287301831</v>
      </c>
      <c r="BJ51" s="44"/>
      <c r="BK51" s="246"/>
      <c r="BM51" s="44">
        <v>1991</v>
      </c>
      <c r="BN51" t="s">
        <v>71</v>
      </c>
      <c r="BO51" s="1">
        <v>983599</v>
      </c>
      <c r="BP51" s="1">
        <v>200111</v>
      </c>
      <c r="BQ51" s="1">
        <v>0</v>
      </c>
      <c r="BR51" s="1">
        <v>0</v>
      </c>
      <c r="BS51" s="1">
        <v>0</v>
      </c>
      <c r="BT51" s="1">
        <v>169586</v>
      </c>
      <c r="BU51" s="1">
        <f>SUM(tblSection611[[#This Row],[LEA/District]:[ECSE]])</f>
        <v>1353296</v>
      </c>
      <c r="BV51" s="1">
        <f>tblSection611[[#This Row],[Gross Total]]*0.15</f>
        <v>202994.4</v>
      </c>
      <c r="BW51" s="1"/>
      <c r="BY51" s="44">
        <v>1991</v>
      </c>
      <c r="BZ51" t="s">
        <v>71</v>
      </c>
      <c r="CA51" s="1">
        <v>12910</v>
      </c>
      <c r="CB51" s="1">
        <v>2421</v>
      </c>
      <c r="CC51" s="1">
        <v>0</v>
      </c>
      <c r="CD51" s="1">
        <v>0</v>
      </c>
      <c r="CE51" s="1">
        <v>0</v>
      </c>
      <c r="CF51" s="1">
        <v>26895</v>
      </c>
      <c r="CG51" s="1">
        <f>SUM(tblSection619[[#This Row],[LEA/District]:[ECSE]])</f>
        <v>42226</v>
      </c>
      <c r="CH51" s="1">
        <f>tblSection619[[#This Row],[Gross Total]]*0.15</f>
        <v>6333.9</v>
      </c>
    </row>
    <row r="52" spans="1:86" x14ac:dyDescent="0.35">
      <c r="A52" t="s">
        <v>72</v>
      </c>
      <c r="B52">
        <v>2019</v>
      </c>
      <c r="C52" t="s">
        <v>1528</v>
      </c>
      <c r="D52" s="44">
        <f>LEN(TblAgencies[[#This Row],[InstNm]])</f>
        <v>13</v>
      </c>
      <c r="E52" s="44" t="s">
        <v>1900</v>
      </c>
      <c r="F52" s="44" t="s">
        <v>1900</v>
      </c>
      <c r="G5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52" s="44"/>
      <c r="I52" s="44"/>
      <c r="J52" s="44"/>
      <c r="K52" s="44"/>
      <c r="M52" s="44"/>
      <c r="N52" s="44">
        <v>2019</v>
      </c>
      <c r="O52" t="s">
        <v>72</v>
      </c>
      <c r="P52" s="1">
        <v>691.11333333333346</v>
      </c>
      <c r="Q52" s="1">
        <v>0</v>
      </c>
      <c r="R52" s="1">
        <v>0</v>
      </c>
      <c r="S52" s="1">
        <v>0</v>
      </c>
      <c r="T52" s="1">
        <v>0</v>
      </c>
      <c r="U52" s="1">
        <v>0</v>
      </c>
      <c r="V52" s="1">
        <v>0</v>
      </c>
      <c r="W52" s="1">
        <v>691.11333333333346</v>
      </c>
      <c r="X52" s="1">
        <f>tblSection6111416[[#This Row],[Net Total]]*0.15</f>
        <v>103.66700000000002</v>
      </c>
      <c r="Y52" s="1"/>
      <c r="AA52" s="44">
        <v>2019</v>
      </c>
      <c r="AB52" t="s">
        <v>72</v>
      </c>
      <c r="AC52" s="1">
        <v>0</v>
      </c>
      <c r="AD52" s="1">
        <v>0</v>
      </c>
      <c r="AE52" s="1">
        <v>0</v>
      </c>
      <c r="AF52" s="1">
        <v>0</v>
      </c>
      <c r="AG52" s="1">
        <v>0</v>
      </c>
      <c r="AH52" s="1">
        <v>0</v>
      </c>
      <c r="AI52" s="1">
        <v>0</v>
      </c>
      <c r="AJ52" s="1">
        <f>tblSection6191517[[#This Row],[Net Total]]*0.15</f>
        <v>0</v>
      </c>
      <c r="AK52" s="1"/>
      <c r="AM52" s="44"/>
      <c r="AN52" s="44">
        <v>2019</v>
      </c>
      <c r="AO52" t="s">
        <v>72</v>
      </c>
      <c r="AP52" s="247">
        <v>691.11333333333346</v>
      </c>
      <c r="AQ52" s="247">
        <v>0</v>
      </c>
      <c r="AR52" s="247">
        <v>0</v>
      </c>
      <c r="AS52" s="247">
        <v>0</v>
      </c>
      <c r="AT52" s="247">
        <v>0</v>
      </c>
      <c r="AU52" s="247">
        <v>0</v>
      </c>
      <c r="AV52" s="247">
        <v>0</v>
      </c>
      <c r="AW52" s="247">
        <v>691.11333333333346</v>
      </c>
      <c r="AX52" s="1">
        <f>tblSection61114[[#This Row],[Gross Total]]*0.15</f>
        <v>103.66700000000002</v>
      </c>
      <c r="AZ52" s="44">
        <v>2019</v>
      </c>
      <c r="BA52" t="s">
        <v>72</v>
      </c>
      <c r="BB52" s="247">
        <v>0</v>
      </c>
      <c r="BC52" s="247">
        <v>0</v>
      </c>
      <c r="BD52" s="247">
        <v>0</v>
      </c>
      <c r="BE52" s="247">
        <v>0</v>
      </c>
      <c r="BF52" s="247">
        <v>0</v>
      </c>
      <c r="BG52" s="247">
        <v>0</v>
      </c>
      <c r="BH52" s="247">
        <v>0</v>
      </c>
      <c r="BI52" s="1">
        <f>tblSection61915[[#This Row],[Gross Total]]*0.15</f>
        <v>0</v>
      </c>
      <c r="BJ52" s="44"/>
      <c r="BK52" s="246"/>
      <c r="BM52" s="44">
        <v>2019</v>
      </c>
      <c r="BN52" t="s">
        <v>72</v>
      </c>
      <c r="BO52" s="1">
        <v>1967</v>
      </c>
      <c r="BP52" s="1">
        <v>0</v>
      </c>
      <c r="BQ52" s="1">
        <v>0</v>
      </c>
      <c r="BR52" s="1">
        <v>0</v>
      </c>
      <c r="BS52" s="1">
        <v>0</v>
      </c>
      <c r="BT52" s="1">
        <v>0</v>
      </c>
      <c r="BU52" s="1">
        <f>SUM(tblSection611[[#This Row],[LEA/District]:[ECSE]])</f>
        <v>1967</v>
      </c>
      <c r="BV52" s="1">
        <f>tblSection611[[#This Row],[Gross Total]]*0.15</f>
        <v>295.05</v>
      </c>
      <c r="BW52" s="1"/>
      <c r="BY52" s="44">
        <v>2019</v>
      </c>
      <c r="BZ52" t="s">
        <v>72</v>
      </c>
      <c r="CA52" s="1">
        <v>5</v>
      </c>
      <c r="CB52" s="1">
        <v>0</v>
      </c>
      <c r="CC52" s="1">
        <v>0</v>
      </c>
      <c r="CD52" s="1">
        <v>0</v>
      </c>
      <c r="CE52" s="1">
        <v>0</v>
      </c>
      <c r="CF52" s="1">
        <v>0</v>
      </c>
      <c r="CG52" s="1">
        <f>SUM(tblSection619[[#This Row],[LEA/District]:[ECSE]])</f>
        <v>5</v>
      </c>
      <c r="CH52" s="1">
        <f>tblSection619[[#This Row],[Gross Total]]*0.15</f>
        <v>0.75</v>
      </c>
    </row>
    <row r="53" spans="1:86" x14ac:dyDescent="0.35">
      <c r="A53" t="s">
        <v>73</v>
      </c>
      <c r="B53">
        <v>2229</v>
      </c>
      <c r="C53" t="s">
        <v>1528</v>
      </c>
      <c r="D53" s="44">
        <f>LEN(TblAgencies[[#This Row],[InstNm]])</f>
        <v>11</v>
      </c>
      <c r="E53" s="44" t="s">
        <v>1900</v>
      </c>
      <c r="F53" s="44" t="s">
        <v>1900</v>
      </c>
      <c r="G5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53" s="44"/>
      <c r="I53" s="44"/>
      <c r="J53" s="44"/>
      <c r="K53" s="44"/>
      <c r="M53" s="44"/>
      <c r="N53" s="44">
        <v>2229</v>
      </c>
      <c r="O53" t="s">
        <v>73</v>
      </c>
      <c r="P53" s="1">
        <v>77868.457796642644</v>
      </c>
      <c r="Q53" s="1">
        <v>6952.5408747002366</v>
      </c>
      <c r="R53" s="1">
        <v>0</v>
      </c>
      <c r="S53" s="1">
        <v>0</v>
      </c>
      <c r="T53" s="1">
        <v>0</v>
      </c>
      <c r="U53" s="1">
        <v>0</v>
      </c>
      <c r="V53" s="1">
        <v>1390.5081749400474</v>
      </c>
      <c r="W53" s="1">
        <v>77868.457796642644</v>
      </c>
      <c r="X53" s="1">
        <f>tblSection6111416[[#This Row],[Net Total]]*0.15</f>
        <v>11680.268669496396</v>
      </c>
      <c r="Y53" s="1"/>
      <c r="AA53" s="44">
        <v>2229</v>
      </c>
      <c r="AB53" t="s">
        <v>73</v>
      </c>
      <c r="AC53" s="1">
        <v>1050.8251093647684</v>
      </c>
      <c r="AD53" s="1">
        <v>0</v>
      </c>
      <c r="AE53" s="1">
        <v>0</v>
      </c>
      <c r="AF53" s="1">
        <v>0</v>
      </c>
      <c r="AG53" s="1">
        <v>0</v>
      </c>
      <c r="AH53" s="1">
        <v>525.41255468238421</v>
      </c>
      <c r="AI53" s="1">
        <v>1050.8251093647682</v>
      </c>
      <c r="AJ53" s="1">
        <f>tblSection6191517[[#This Row],[Net Total]]*0.15</f>
        <v>157.62376640471521</v>
      </c>
      <c r="AK53" s="1"/>
      <c r="AM53" s="44"/>
      <c r="AN53" s="44">
        <v>2229</v>
      </c>
      <c r="AO53" t="s">
        <v>73</v>
      </c>
      <c r="AP53" s="247">
        <v>77868.457796642644</v>
      </c>
      <c r="AQ53" s="247">
        <v>6952.5408747002366</v>
      </c>
      <c r="AR53" s="247">
        <v>0</v>
      </c>
      <c r="AS53" s="247">
        <v>0</v>
      </c>
      <c r="AT53" s="247">
        <v>0</v>
      </c>
      <c r="AU53" s="247">
        <v>0</v>
      </c>
      <c r="AV53" s="247">
        <v>1390.5081749400474</v>
      </c>
      <c r="AW53" s="247">
        <v>86211.506846282922</v>
      </c>
      <c r="AX53" s="1">
        <f>tblSection61114[[#This Row],[Gross Total]]*0.15</f>
        <v>12931.726026942439</v>
      </c>
      <c r="AZ53" s="44">
        <v>2229</v>
      </c>
      <c r="BA53" t="s">
        <v>73</v>
      </c>
      <c r="BB53" s="247">
        <v>1050.8251093647684</v>
      </c>
      <c r="BC53" s="247">
        <v>0</v>
      </c>
      <c r="BD53" s="247">
        <v>0</v>
      </c>
      <c r="BE53" s="247">
        <v>0</v>
      </c>
      <c r="BF53" s="247">
        <v>0</v>
      </c>
      <c r="BG53" s="247">
        <v>525.41255468238421</v>
      </c>
      <c r="BH53" s="247">
        <v>1576.2376640471525</v>
      </c>
      <c r="BI53" s="1">
        <f>tblSection61915[[#This Row],[Gross Total]]*0.15</f>
        <v>236.43564960707286</v>
      </c>
      <c r="BJ53" s="44"/>
      <c r="BK53" s="246"/>
      <c r="BM53" s="44">
        <v>2229</v>
      </c>
      <c r="BN53" t="s">
        <v>73</v>
      </c>
      <c r="BO53" s="1">
        <v>54885</v>
      </c>
      <c r="BP53" s="1">
        <v>5881</v>
      </c>
      <c r="BQ53" s="1">
        <v>0</v>
      </c>
      <c r="BR53" s="1">
        <v>0</v>
      </c>
      <c r="BS53" s="1">
        <v>0</v>
      </c>
      <c r="BT53" s="1">
        <v>1960</v>
      </c>
      <c r="BU53" s="1">
        <f>SUM(tblSection611[[#This Row],[LEA/District]:[ECSE]])</f>
        <v>62726</v>
      </c>
      <c r="BV53" s="1">
        <f>tblSection611[[#This Row],[Gross Total]]*0.15</f>
        <v>9408.9</v>
      </c>
      <c r="BW53" s="1"/>
      <c r="BY53" s="44">
        <v>2229</v>
      </c>
      <c r="BZ53" t="s">
        <v>73</v>
      </c>
      <c r="CA53" s="1">
        <v>0</v>
      </c>
      <c r="CB53" s="1">
        <v>526</v>
      </c>
      <c r="CC53" s="1">
        <v>0</v>
      </c>
      <c r="CD53" s="1">
        <v>0</v>
      </c>
      <c r="CE53" s="1">
        <v>0</v>
      </c>
      <c r="CF53" s="1">
        <v>1052</v>
      </c>
      <c r="CG53" s="1">
        <f>SUM(tblSection619[[#This Row],[LEA/District]:[ECSE]])</f>
        <v>1578</v>
      </c>
      <c r="CH53" s="1">
        <f>tblSection619[[#This Row],[Gross Total]]*0.15</f>
        <v>236.7</v>
      </c>
    </row>
    <row r="54" spans="1:86" x14ac:dyDescent="0.35">
      <c r="A54" t="s">
        <v>74</v>
      </c>
      <c r="B54">
        <v>2043</v>
      </c>
      <c r="C54" t="s">
        <v>1528</v>
      </c>
      <c r="D54" s="44">
        <f>LEN(TblAgencies[[#This Row],[InstNm]])</f>
        <v>16</v>
      </c>
      <c r="E54" s="44" t="s">
        <v>1900</v>
      </c>
      <c r="F54" s="44" t="s">
        <v>1900</v>
      </c>
      <c r="G5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54" s="44"/>
      <c r="I54" s="44"/>
      <c r="J54" s="44"/>
      <c r="K54" s="44"/>
      <c r="M54" s="44"/>
      <c r="N54" s="44">
        <v>2043</v>
      </c>
      <c r="O54" t="s">
        <v>74</v>
      </c>
      <c r="P54" s="1">
        <v>828689.31023672293</v>
      </c>
      <c r="Q54" s="1">
        <v>178996.89101113213</v>
      </c>
      <c r="R54" s="1">
        <v>0</v>
      </c>
      <c r="S54" s="1">
        <v>0</v>
      </c>
      <c r="T54" s="1">
        <v>0</v>
      </c>
      <c r="U54" s="1">
        <v>0</v>
      </c>
      <c r="V54" s="1">
        <v>117673.88205361465</v>
      </c>
      <c r="W54" s="1">
        <v>828689.31023672293</v>
      </c>
      <c r="X54" s="1">
        <f>tblSection6111416[[#This Row],[Net Total]]*0.15</f>
        <v>124303.39653550844</v>
      </c>
      <c r="Y54" s="1"/>
      <c r="AA54" s="44">
        <v>2043</v>
      </c>
      <c r="AB54" t="s">
        <v>74</v>
      </c>
      <c r="AC54" s="1">
        <v>4277.4495582243508</v>
      </c>
      <c r="AD54" s="1">
        <v>3774.220198433251</v>
      </c>
      <c r="AE54" s="1">
        <v>0</v>
      </c>
      <c r="AF54" s="1">
        <v>0</v>
      </c>
      <c r="AG54" s="1">
        <v>0</v>
      </c>
      <c r="AH54" s="1">
        <v>17864.642272584053</v>
      </c>
      <c r="AI54" s="1">
        <v>4277.4495582243544</v>
      </c>
      <c r="AJ54" s="1">
        <f>tblSection6191517[[#This Row],[Net Total]]*0.15</f>
        <v>641.61743373365312</v>
      </c>
      <c r="AK54" s="1"/>
      <c r="AM54" s="44"/>
      <c r="AN54" s="44">
        <v>2043</v>
      </c>
      <c r="AO54" t="s">
        <v>74</v>
      </c>
      <c r="AP54" s="247">
        <v>828689.31023672293</v>
      </c>
      <c r="AQ54" s="247">
        <v>178996.89101113213</v>
      </c>
      <c r="AR54" s="247">
        <v>0</v>
      </c>
      <c r="AS54" s="247">
        <v>0</v>
      </c>
      <c r="AT54" s="247">
        <v>0</v>
      </c>
      <c r="AU54" s="247">
        <v>0</v>
      </c>
      <c r="AV54" s="247">
        <v>99442.717228406749</v>
      </c>
      <c r="AW54" s="247">
        <v>1107128.9184762619</v>
      </c>
      <c r="AX54" s="1">
        <f>tblSection61114[[#This Row],[Gross Total]]*0.15</f>
        <v>166069.33777143928</v>
      </c>
      <c r="AZ54" s="44">
        <v>2043</v>
      </c>
      <c r="BA54" t="s">
        <v>74</v>
      </c>
      <c r="BB54" s="247">
        <v>4277.4495582243508</v>
      </c>
      <c r="BC54" s="247">
        <v>3774.220198433251</v>
      </c>
      <c r="BD54" s="247">
        <v>0</v>
      </c>
      <c r="BE54" s="247">
        <v>0</v>
      </c>
      <c r="BF54" s="247">
        <v>0</v>
      </c>
      <c r="BG54" s="247">
        <v>15096.880793733004</v>
      </c>
      <c r="BH54" s="247">
        <v>23148.550550390606</v>
      </c>
      <c r="BI54" s="1">
        <f>tblSection61915[[#This Row],[Gross Total]]*0.15</f>
        <v>3472.282582558591</v>
      </c>
      <c r="BJ54" s="44"/>
      <c r="BK54" s="246"/>
      <c r="BM54" s="44">
        <v>2043</v>
      </c>
      <c r="BN54" t="s">
        <v>74</v>
      </c>
      <c r="BO54" s="1">
        <v>725284</v>
      </c>
      <c r="BP54" s="1">
        <v>122286</v>
      </c>
      <c r="BQ54" s="1">
        <v>0</v>
      </c>
      <c r="BR54" s="1">
        <v>0</v>
      </c>
      <c r="BS54" s="1">
        <v>0</v>
      </c>
      <c r="BT54" s="1">
        <v>80119</v>
      </c>
      <c r="BU54" s="1">
        <f>SUM(tblSection611[[#This Row],[LEA/District]:[ECSE]])</f>
        <v>927689</v>
      </c>
      <c r="BV54" s="1">
        <f>tblSection611[[#This Row],[Gross Total]]*0.15</f>
        <v>139153.35</v>
      </c>
      <c r="BW54" s="1"/>
      <c r="BY54" s="44">
        <v>2043</v>
      </c>
      <c r="BZ54" t="s">
        <v>74</v>
      </c>
      <c r="CA54" s="1">
        <v>4949</v>
      </c>
      <c r="CB54" s="1">
        <v>1042</v>
      </c>
      <c r="CC54" s="1">
        <v>0</v>
      </c>
      <c r="CD54" s="1">
        <v>0</v>
      </c>
      <c r="CE54" s="1">
        <v>0</v>
      </c>
      <c r="CF54" s="1">
        <v>14846</v>
      </c>
      <c r="CG54" s="1">
        <f>SUM(tblSection619[[#This Row],[LEA/District]:[ECSE]])</f>
        <v>20837</v>
      </c>
      <c r="CH54" s="1">
        <f>tblSection619[[#This Row],[Gross Total]]*0.15</f>
        <v>3125.5499999999997</v>
      </c>
    </row>
    <row r="55" spans="1:86" x14ac:dyDescent="0.35">
      <c r="A55" t="s">
        <v>75</v>
      </c>
      <c r="B55">
        <v>2203</v>
      </c>
      <c r="C55" t="s">
        <v>1528</v>
      </c>
      <c r="D55" s="44">
        <f>LEN(TblAgencies[[#This Row],[InstNm]])</f>
        <v>9</v>
      </c>
      <c r="E55" s="44" t="s">
        <v>1900</v>
      </c>
      <c r="F55" s="44" t="s">
        <v>1900</v>
      </c>
      <c r="G5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55" s="44"/>
      <c r="I55" s="44"/>
      <c r="J55" s="44"/>
      <c r="K55" s="44"/>
      <c r="M55" s="44"/>
      <c r="N55" s="44">
        <v>2203</v>
      </c>
      <c r="O55" t="s">
        <v>75</v>
      </c>
      <c r="P55" s="1">
        <v>54213.120293121014</v>
      </c>
      <c r="Q55" s="1">
        <v>6023.6800325690019</v>
      </c>
      <c r="R55" s="1">
        <v>0</v>
      </c>
      <c r="S55" s="1">
        <v>0</v>
      </c>
      <c r="T55" s="1">
        <v>0</v>
      </c>
      <c r="U55" s="1">
        <v>0</v>
      </c>
      <c r="V55" s="1">
        <v>1505.9200081422505</v>
      </c>
      <c r="W55" s="1">
        <v>54213.120293121014</v>
      </c>
      <c r="X55" s="1">
        <f>tblSection6111416[[#This Row],[Net Total]]*0.15</f>
        <v>8131.9680439681515</v>
      </c>
      <c r="Y55" s="1"/>
      <c r="AA55" s="44">
        <v>2203</v>
      </c>
      <c r="AB55" t="s">
        <v>75</v>
      </c>
      <c r="AC55" s="1">
        <v>486.31150864571669</v>
      </c>
      <c r="AD55" s="1">
        <v>0</v>
      </c>
      <c r="AE55" s="1">
        <v>0</v>
      </c>
      <c r="AF55" s="1">
        <v>0</v>
      </c>
      <c r="AG55" s="1">
        <v>0</v>
      </c>
      <c r="AH55" s="1">
        <v>162.10383621523889</v>
      </c>
      <c r="AI55" s="1">
        <v>486.31150864571669</v>
      </c>
      <c r="AJ55" s="1">
        <f>tblSection6191517[[#This Row],[Net Total]]*0.15</f>
        <v>72.946726296857506</v>
      </c>
      <c r="AK55" s="1"/>
      <c r="AM55" s="44"/>
      <c r="AN55" s="44">
        <v>2203</v>
      </c>
      <c r="AO55" t="s">
        <v>75</v>
      </c>
      <c r="AP55" s="247">
        <v>54213.120293121014</v>
      </c>
      <c r="AQ55" s="247">
        <v>6023.6800325690019</v>
      </c>
      <c r="AR55" s="247">
        <v>0</v>
      </c>
      <c r="AS55" s="247">
        <v>0</v>
      </c>
      <c r="AT55" s="247">
        <v>0</v>
      </c>
      <c r="AU55" s="247">
        <v>0</v>
      </c>
      <c r="AV55" s="247">
        <v>1505.9200081422505</v>
      </c>
      <c r="AW55" s="247">
        <v>61742.720333832265</v>
      </c>
      <c r="AX55" s="1">
        <f>tblSection61114[[#This Row],[Gross Total]]*0.15</f>
        <v>9261.4080500748387</v>
      </c>
      <c r="AZ55" s="44">
        <v>2203</v>
      </c>
      <c r="BA55" t="s">
        <v>75</v>
      </c>
      <c r="BB55" s="247">
        <v>486.31150864571669</v>
      </c>
      <c r="BC55" s="247">
        <v>0</v>
      </c>
      <c r="BD55" s="247">
        <v>0</v>
      </c>
      <c r="BE55" s="247">
        <v>0</v>
      </c>
      <c r="BF55" s="247">
        <v>0</v>
      </c>
      <c r="BG55" s="247">
        <v>162.10383621523889</v>
      </c>
      <c r="BH55" s="247">
        <v>648.41534486095554</v>
      </c>
      <c r="BI55" s="1">
        <f>tblSection61915[[#This Row],[Gross Total]]*0.15</f>
        <v>97.262301729143331</v>
      </c>
      <c r="BJ55" s="44"/>
      <c r="BK55" s="246"/>
      <c r="BM55" s="44">
        <v>2203</v>
      </c>
      <c r="BN55" t="s">
        <v>75</v>
      </c>
      <c r="BO55" s="1">
        <v>40942</v>
      </c>
      <c r="BP55" s="1">
        <v>6203</v>
      </c>
      <c r="BQ55" s="1">
        <v>0</v>
      </c>
      <c r="BR55" s="1">
        <v>0</v>
      </c>
      <c r="BS55" s="1">
        <v>0</v>
      </c>
      <c r="BT55" s="1">
        <v>4963</v>
      </c>
      <c r="BU55" s="1">
        <f>SUM(tblSection611[[#This Row],[LEA/District]:[ECSE]])</f>
        <v>52108</v>
      </c>
      <c r="BV55" s="1">
        <f>tblSection611[[#This Row],[Gross Total]]*0.15</f>
        <v>7816.2</v>
      </c>
      <c r="BW55" s="1"/>
      <c r="BY55" s="44">
        <v>2203</v>
      </c>
      <c r="BZ55" t="s">
        <v>75</v>
      </c>
      <c r="CA55" s="1">
        <v>123</v>
      </c>
      <c r="CB55" s="1">
        <v>0</v>
      </c>
      <c r="CC55" s="1">
        <v>0</v>
      </c>
      <c r="CD55" s="1">
        <v>0</v>
      </c>
      <c r="CE55" s="1">
        <v>0</v>
      </c>
      <c r="CF55" s="1">
        <v>490</v>
      </c>
      <c r="CG55" s="1">
        <f>SUM(tblSection619[[#This Row],[LEA/District]:[ECSE]])</f>
        <v>613</v>
      </c>
      <c r="CH55" s="1">
        <f>tblSection619[[#This Row],[Gross Total]]*0.15</f>
        <v>91.95</v>
      </c>
    </row>
    <row r="56" spans="1:86" x14ac:dyDescent="0.35">
      <c r="A56" t="s">
        <v>76</v>
      </c>
      <c r="B56">
        <v>2217</v>
      </c>
      <c r="C56" t="s">
        <v>1528</v>
      </c>
      <c r="D56" s="44">
        <f>LEN(TblAgencies[[#This Row],[InstNm]])</f>
        <v>11</v>
      </c>
      <c r="E56" s="44" t="s">
        <v>1900</v>
      </c>
      <c r="F56" s="44" t="s">
        <v>1900</v>
      </c>
      <c r="G5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56" s="44"/>
      <c r="I56" s="44"/>
      <c r="J56" s="44"/>
      <c r="K56" s="44"/>
      <c r="M56" s="44"/>
      <c r="N56" s="44">
        <v>2217</v>
      </c>
      <c r="O56" t="s">
        <v>76</v>
      </c>
      <c r="P56" s="1">
        <v>94347.184871544479</v>
      </c>
      <c r="Q56" s="1">
        <v>8577.0168065040434</v>
      </c>
      <c r="R56" s="1">
        <v>0</v>
      </c>
      <c r="S56" s="1">
        <v>0</v>
      </c>
      <c r="T56" s="1">
        <v>0</v>
      </c>
      <c r="U56" s="1">
        <v>0</v>
      </c>
      <c r="V56" s="1">
        <v>10292.420167804852</v>
      </c>
      <c r="W56" s="1">
        <v>94347.184871544479</v>
      </c>
      <c r="X56" s="1">
        <f>tblSection6111416[[#This Row],[Net Total]]*0.15</f>
        <v>14152.077730731671</v>
      </c>
      <c r="Y56" s="1"/>
      <c r="AA56" s="44">
        <v>2217</v>
      </c>
      <c r="AB56" t="s">
        <v>76</v>
      </c>
      <c r="AC56" s="1">
        <v>284.47333171952482</v>
      </c>
      <c r="AD56" s="1">
        <v>0</v>
      </c>
      <c r="AE56" s="1">
        <v>0</v>
      </c>
      <c r="AF56" s="1">
        <v>0</v>
      </c>
      <c r="AG56" s="1">
        <v>0</v>
      </c>
      <c r="AH56" s="1">
        <v>568.94666343904964</v>
      </c>
      <c r="AI56" s="1">
        <v>284.47333171952482</v>
      </c>
      <c r="AJ56" s="1">
        <f>tblSection6191517[[#This Row],[Net Total]]*0.15</f>
        <v>42.670999757928719</v>
      </c>
      <c r="AK56" s="1"/>
      <c r="AM56" s="44"/>
      <c r="AN56" s="44">
        <v>2217</v>
      </c>
      <c r="AO56" t="s">
        <v>76</v>
      </c>
      <c r="AP56" s="247">
        <v>94347.184871544479</v>
      </c>
      <c r="AQ56" s="247">
        <v>8577.0168065040434</v>
      </c>
      <c r="AR56" s="247">
        <v>0</v>
      </c>
      <c r="AS56" s="247">
        <v>0</v>
      </c>
      <c r="AT56" s="247">
        <v>0</v>
      </c>
      <c r="AU56" s="247">
        <v>0</v>
      </c>
      <c r="AV56" s="247">
        <v>10292.420167804852</v>
      </c>
      <c r="AW56" s="247">
        <v>113216.62184585338</v>
      </c>
      <c r="AX56" s="1">
        <f>tblSection61114[[#This Row],[Gross Total]]*0.15</f>
        <v>16982.493276878005</v>
      </c>
      <c r="AZ56" s="44">
        <v>2217</v>
      </c>
      <c r="BA56" t="s">
        <v>76</v>
      </c>
      <c r="BB56" s="247">
        <v>284.47333171952482</v>
      </c>
      <c r="BC56" s="247">
        <v>0</v>
      </c>
      <c r="BD56" s="247">
        <v>0</v>
      </c>
      <c r="BE56" s="247">
        <v>0</v>
      </c>
      <c r="BF56" s="247">
        <v>0</v>
      </c>
      <c r="BG56" s="247">
        <v>568.94666343904964</v>
      </c>
      <c r="BH56" s="247">
        <v>853.41999515857447</v>
      </c>
      <c r="BI56" s="1">
        <f>tblSection61915[[#This Row],[Gross Total]]*0.15</f>
        <v>128.01299927378616</v>
      </c>
      <c r="BJ56" s="44"/>
      <c r="BK56" s="246"/>
      <c r="BM56" s="44">
        <v>2217</v>
      </c>
      <c r="BN56" t="s">
        <v>76</v>
      </c>
      <c r="BO56" s="1">
        <v>74595</v>
      </c>
      <c r="BP56" s="1">
        <v>8951</v>
      </c>
      <c r="BQ56" s="1">
        <v>0</v>
      </c>
      <c r="BR56" s="1">
        <v>0</v>
      </c>
      <c r="BS56" s="1">
        <v>0</v>
      </c>
      <c r="BT56" s="1">
        <v>13427</v>
      </c>
      <c r="BU56" s="1">
        <f>SUM(tblSection611[[#This Row],[LEA/District]:[ECSE]])</f>
        <v>96973</v>
      </c>
      <c r="BV56" s="1">
        <f>tblSection611[[#This Row],[Gross Total]]*0.15</f>
        <v>14545.949999999999</v>
      </c>
      <c r="BW56" s="1"/>
      <c r="BY56" s="44">
        <v>2217</v>
      </c>
      <c r="BZ56" t="s">
        <v>76</v>
      </c>
      <c r="CA56" s="1">
        <v>216</v>
      </c>
      <c r="CB56" s="1">
        <v>0</v>
      </c>
      <c r="CC56" s="1">
        <v>0</v>
      </c>
      <c r="CD56" s="1">
        <v>0</v>
      </c>
      <c r="CE56" s="1">
        <v>0</v>
      </c>
      <c r="CF56" s="1">
        <v>486</v>
      </c>
      <c r="CG56" s="1">
        <f>SUM(tblSection619[[#This Row],[LEA/District]:[ECSE]])</f>
        <v>702</v>
      </c>
      <c r="CH56" s="1">
        <f>tblSection619[[#This Row],[Gross Total]]*0.15</f>
        <v>105.3</v>
      </c>
    </row>
    <row r="57" spans="1:86" x14ac:dyDescent="0.35">
      <c r="A57" t="s">
        <v>77</v>
      </c>
      <c r="B57">
        <v>1998</v>
      </c>
      <c r="C57" t="s">
        <v>1528</v>
      </c>
      <c r="D57" s="44">
        <f>LEN(TblAgencies[[#This Row],[InstNm]])</f>
        <v>12</v>
      </c>
      <c r="E57" s="44" t="s">
        <v>1900</v>
      </c>
      <c r="F57" s="44" t="s">
        <v>1900</v>
      </c>
      <c r="G5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57" s="44"/>
      <c r="I57" s="44"/>
      <c r="J57" s="44"/>
      <c r="K57" s="44"/>
      <c r="M57" s="44"/>
      <c r="N57" s="44">
        <v>1998</v>
      </c>
      <c r="O57" t="s">
        <v>77</v>
      </c>
      <c r="P57" s="1">
        <v>45489.301344492415</v>
      </c>
      <c r="Q57" s="1">
        <v>0</v>
      </c>
      <c r="R57" s="1">
        <v>0</v>
      </c>
      <c r="S57" s="1">
        <v>0</v>
      </c>
      <c r="T57" s="1">
        <v>0</v>
      </c>
      <c r="U57" s="1">
        <v>0</v>
      </c>
      <c r="V57" s="1">
        <v>0</v>
      </c>
      <c r="W57" s="1">
        <v>45489.301344492415</v>
      </c>
      <c r="X57" s="1">
        <f>tblSection6111416[[#This Row],[Net Total]]*0.15</f>
        <v>6823.3952016738622</v>
      </c>
      <c r="Y57" s="1"/>
      <c r="AA57" s="44">
        <v>1998</v>
      </c>
      <c r="AB57" t="s">
        <v>77</v>
      </c>
      <c r="AC57" s="1">
        <v>484.4116246228603</v>
      </c>
      <c r="AD57" s="1">
        <v>0</v>
      </c>
      <c r="AE57" s="1">
        <v>0</v>
      </c>
      <c r="AF57" s="1">
        <v>0</v>
      </c>
      <c r="AG57" s="1">
        <v>0</v>
      </c>
      <c r="AH57" s="1">
        <v>0</v>
      </c>
      <c r="AI57" s="1">
        <v>484.4116246228603</v>
      </c>
      <c r="AJ57" s="1">
        <f>tblSection6191517[[#This Row],[Net Total]]*0.15</f>
        <v>72.661743693429045</v>
      </c>
      <c r="AK57" s="1"/>
      <c r="AM57" s="44"/>
      <c r="AN57" s="44">
        <v>1998</v>
      </c>
      <c r="AO57" t="s">
        <v>77</v>
      </c>
      <c r="AP57" s="247">
        <v>45489.301344492415</v>
      </c>
      <c r="AQ57" s="247">
        <v>0</v>
      </c>
      <c r="AR57" s="247">
        <v>0</v>
      </c>
      <c r="AS57" s="247">
        <v>0</v>
      </c>
      <c r="AT57" s="247">
        <v>0</v>
      </c>
      <c r="AU57" s="247">
        <v>0</v>
      </c>
      <c r="AV57" s="247">
        <v>0</v>
      </c>
      <c r="AW57" s="247">
        <v>45489.301344492415</v>
      </c>
      <c r="AX57" s="1">
        <f>tblSection61114[[#This Row],[Gross Total]]*0.15</f>
        <v>6823.3952016738622</v>
      </c>
      <c r="AZ57" s="44">
        <v>1998</v>
      </c>
      <c r="BA57" t="s">
        <v>77</v>
      </c>
      <c r="BB57" s="247">
        <v>484.4116246228603</v>
      </c>
      <c r="BC57" s="247">
        <v>0</v>
      </c>
      <c r="BD57" s="247">
        <v>0</v>
      </c>
      <c r="BE57" s="247">
        <v>0</v>
      </c>
      <c r="BF57" s="247">
        <v>0</v>
      </c>
      <c r="BG57" s="247">
        <v>0</v>
      </c>
      <c r="BH57" s="247">
        <v>484.4116246228603</v>
      </c>
      <c r="BI57" s="1">
        <f>tblSection61915[[#This Row],[Gross Total]]*0.15</f>
        <v>72.661743693429045</v>
      </c>
      <c r="BJ57" s="44"/>
      <c r="BK57" s="246"/>
      <c r="BM57" s="44">
        <v>1998</v>
      </c>
      <c r="BN57" t="s">
        <v>77</v>
      </c>
      <c r="BO57" s="1">
        <v>47944</v>
      </c>
      <c r="BP57" s="1">
        <v>0</v>
      </c>
      <c r="BQ57" s="1">
        <v>0</v>
      </c>
      <c r="BR57" s="1">
        <v>0</v>
      </c>
      <c r="BS57" s="1">
        <v>0</v>
      </c>
      <c r="BT57" s="1">
        <v>1844</v>
      </c>
      <c r="BU57" s="1">
        <f>SUM(tblSection611[[#This Row],[LEA/District]:[ECSE]])</f>
        <v>49788</v>
      </c>
      <c r="BV57" s="1">
        <f>tblSection611[[#This Row],[Gross Total]]*0.15</f>
        <v>7468.2</v>
      </c>
      <c r="BW57" s="1"/>
      <c r="BY57" s="44">
        <v>1998</v>
      </c>
      <c r="BZ57" t="s">
        <v>77</v>
      </c>
      <c r="CA57" s="1">
        <v>392</v>
      </c>
      <c r="CB57" s="1">
        <v>0</v>
      </c>
      <c r="CC57" s="1">
        <v>0</v>
      </c>
      <c r="CD57" s="1">
        <v>0</v>
      </c>
      <c r="CE57" s="1">
        <v>0</v>
      </c>
      <c r="CF57" s="1">
        <v>196</v>
      </c>
      <c r="CG57" s="1">
        <f>SUM(tblSection619[[#This Row],[LEA/District]:[ECSE]])</f>
        <v>588</v>
      </c>
      <c r="CH57" s="1">
        <f>tblSection619[[#This Row],[Gross Total]]*0.15</f>
        <v>88.2</v>
      </c>
    </row>
    <row r="58" spans="1:86" x14ac:dyDescent="0.35">
      <c r="A58" t="s">
        <v>78</v>
      </c>
      <c r="B58">
        <v>2221</v>
      </c>
      <c r="C58" t="s">
        <v>1528</v>
      </c>
      <c r="D58" s="44">
        <f>LEN(TblAgencies[[#This Row],[InstNm]])</f>
        <v>16</v>
      </c>
      <c r="E58" s="44" t="s">
        <v>1900</v>
      </c>
      <c r="F58" s="44" t="s">
        <v>1900</v>
      </c>
      <c r="G5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58" s="44"/>
      <c r="I58" s="44"/>
      <c r="J58" s="44"/>
      <c r="K58" s="44"/>
      <c r="M58" s="44"/>
      <c r="N58" s="44">
        <v>2221</v>
      </c>
      <c r="O58" t="s">
        <v>78</v>
      </c>
      <c r="P58" s="1">
        <v>122032.87124605173</v>
      </c>
      <c r="Q58" s="1">
        <v>10312.637006708595</v>
      </c>
      <c r="R58" s="1">
        <v>0</v>
      </c>
      <c r="S58" s="1">
        <v>0</v>
      </c>
      <c r="T58" s="1">
        <v>0</v>
      </c>
      <c r="U58" s="1">
        <v>0</v>
      </c>
      <c r="V58" s="1">
        <v>13750.182675611461</v>
      </c>
      <c r="W58" s="1">
        <v>122032.87124605174</v>
      </c>
      <c r="X58" s="1">
        <f>tblSection6111416[[#This Row],[Net Total]]*0.15</f>
        <v>18304.930686907759</v>
      </c>
      <c r="Y58" s="1"/>
      <c r="AA58" s="44">
        <v>2221</v>
      </c>
      <c r="AB58" t="s">
        <v>78</v>
      </c>
      <c r="AC58" s="1">
        <v>1012.3573580023863</v>
      </c>
      <c r="AD58" s="1">
        <v>404.94294320095457</v>
      </c>
      <c r="AE58" s="1">
        <v>0</v>
      </c>
      <c r="AF58" s="1">
        <v>0</v>
      </c>
      <c r="AG58" s="1">
        <v>0</v>
      </c>
      <c r="AH58" s="1">
        <v>1619.7717728038183</v>
      </c>
      <c r="AI58" s="1">
        <v>1012.3573580023863</v>
      </c>
      <c r="AJ58" s="1">
        <f>tblSection6191517[[#This Row],[Net Total]]*0.15</f>
        <v>151.85360370035792</v>
      </c>
      <c r="AK58" s="1"/>
      <c r="AM58" s="44"/>
      <c r="AN58" s="44">
        <v>2221</v>
      </c>
      <c r="AO58" t="s">
        <v>78</v>
      </c>
      <c r="AP58" s="247">
        <v>122032.87124605173</v>
      </c>
      <c r="AQ58" s="247">
        <v>10312.637006708595</v>
      </c>
      <c r="AR58" s="247">
        <v>0</v>
      </c>
      <c r="AS58" s="247">
        <v>0</v>
      </c>
      <c r="AT58" s="247">
        <v>0</v>
      </c>
      <c r="AU58" s="247">
        <v>0</v>
      </c>
      <c r="AV58" s="247">
        <v>13750.182675611461</v>
      </c>
      <c r="AW58" s="247">
        <v>146095.6909283718</v>
      </c>
      <c r="AX58" s="1">
        <f>tblSection61114[[#This Row],[Gross Total]]*0.15</f>
        <v>21914.353639255769</v>
      </c>
      <c r="AZ58" s="44">
        <v>2221</v>
      </c>
      <c r="BA58" t="s">
        <v>78</v>
      </c>
      <c r="BB58" s="247">
        <v>1012.3573580023863</v>
      </c>
      <c r="BC58" s="247">
        <v>404.94294320095457</v>
      </c>
      <c r="BD58" s="247">
        <v>0</v>
      </c>
      <c r="BE58" s="247">
        <v>0</v>
      </c>
      <c r="BF58" s="247">
        <v>0</v>
      </c>
      <c r="BG58" s="247">
        <v>1619.7717728038183</v>
      </c>
      <c r="BH58" s="247">
        <v>3037.0720740071592</v>
      </c>
      <c r="BI58" s="1">
        <f>tblSection61915[[#This Row],[Gross Total]]*0.15</f>
        <v>455.56081110107385</v>
      </c>
      <c r="BJ58" s="44"/>
      <c r="BK58" s="246"/>
      <c r="BM58" s="44">
        <v>2221</v>
      </c>
      <c r="BN58" t="s">
        <v>78</v>
      </c>
      <c r="BO58" s="1">
        <v>87195</v>
      </c>
      <c r="BP58" s="1">
        <v>4360</v>
      </c>
      <c r="BQ58" s="1">
        <v>0</v>
      </c>
      <c r="BR58" s="1">
        <v>0</v>
      </c>
      <c r="BS58" s="1">
        <v>0</v>
      </c>
      <c r="BT58" s="1">
        <v>14533</v>
      </c>
      <c r="BU58" s="1">
        <f>SUM(tblSection611[[#This Row],[LEA/District]:[ECSE]])</f>
        <v>106088</v>
      </c>
      <c r="BV58" s="1">
        <f>tblSection611[[#This Row],[Gross Total]]*0.15</f>
        <v>15913.199999999999</v>
      </c>
      <c r="BW58" s="1"/>
      <c r="BY58" s="44">
        <v>2221</v>
      </c>
      <c r="BZ58" t="s">
        <v>78</v>
      </c>
      <c r="CA58" s="1">
        <v>1047</v>
      </c>
      <c r="CB58" s="1">
        <v>0</v>
      </c>
      <c r="CC58" s="1">
        <v>0</v>
      </c>
      <c r="CD58" s="1">
        <v>0</v>
      </c>
      <c r="CE58" s="1">
        <v>0</v>
      </c>
      <c r="CF58" s="1">
        <v>1496</v>
      </c>
      <c r="CG58" s="1">
        <f>SUM(tblSection619[[#This Row],[LEA/District]:[ECSE]])</f>
        <v>2543</v>
      </c>
      <c r="CH58" s="1">
        <f>tblSection619[[#This Row],[Gross Total]]*0.15</f>
        <v>381.45</v>
      </c>
    </row>
    <row r="59" spans="1:86" x14ac:dyDescent="0.35">
      <c r="A59" t="s">
        <v>79</v>
      </c>
      <c r="B59">
        <v>1930</v>
      </c>
      <c r="C59" t="s">
        <v>1528</v>
      </c>
      <c r="D59" s="44">
        <f>LEN(TblAgencies[[#This Row],[InstNm]])</f>
        <v>15</v>
      </c>
      <c r="E59" s="44" t="s">
        <v>1900</v>
      </c>
      <c r="F59" s="44" t="s">
        <v>1900</v>
      </c>
      <c r="G5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59" s="44"/>
      <c r="I59" s="44"/>
      <c r="J59" s="44"/>
      <c r="K59" s="44"/>
      <c r="M59" s="44"/>
      <c r="N59" s="44">
        <v>1930</v>
      </c>
      <c r="O59" t="s">
        <v>79</v>
      </c>
      <c r="P59" s="1">
        <v>526164.75528169738</v>
      </c>
      <c r="Q59" s="1">
        <v>108230.09206743774</v>
      </c>
      <c r="R59" s="1">
        <v>0</v>
      </c>
      <c r="S59" s="1">
        <v>0</v>
      </c>
      <c r="T59" s="1">
        <v>0</v>
      </c>
      <c r="U59" s="1">
        <v>0</v>
      </c>
      <c r="V59" s="1">
        <v>56612.663542967435</v>
      </c>
      <c r="W59" s="1">
        <v>526164.75528169726</v>
      </c>
      <c r="X59" s="1">
        <f>tblSection6111416[[#This Row],[Net Total]]*0.15</f>
        <v>78924.713292254586</v>
      </c>
      <c r="Y59" s="1"/>
      <c r="AA59" s="44">
        <v>1930</v>
      </c>
      <c r="AB59" t="s">
        <v>79</v>
      </c>
      <c r="AC59" s="1">
        <v>3812.1306734037353</v>
      </c>
      <c r="AD59" s="1">
        <v>1524.8522693614941</v>
      </c>
      <c r="AE59" s="1">
        <v>0</v>
      </c>
      <c r="AF59" s="1">
        <v>0</v>
      </c>
      <c r="AG59" s="1">
        <v>0</v>
      </c>
      <c r="AH59" s="1">
        <v>8640.8295263818</v>
      </c>
      <c r="AI59" s="1">
        <v>3812.1306734037353</v>
      </c>
      <c r="AJ59" s="1">
        <f>tblSection6191517[[#This Row],[Net Total]]*0.15</f>
        <v>571.81960101056029</v>
      </c>
      <c r="AK59" s="1"/>
      <c r="AM59" s="44"/>
      <c r="AN59" s="44">
        <v>1930</v>
      </c>
      <c r="AO59" t="s">
        <v>79</v>
      </c>
      <c r="AP59" s="247">
        <v>526164.75528169738</v>
      </c>
      <c r="AQ59" s="247">
        <v>108230.09206743774</v>
      </c>
      <c r="AR59" s="247">
        <v>0</v>
      </c>
      <c r="AS59" s="247">
        <v>0</v>
      </c>
      <c r="AT59" s="247">
        <v>0</v>
      </c>
      <c r="AU59" s="247">
        <v>0</v>
      </c>
      <c r="AV59" s="247">
        <v>48287.27184547222</v>
      </c>
      <c r="AW59" s="247">
        <v>682682.11919460725</v>
      </c>
      <c r="AX59" s="1">
        <f>tblSection61114[[#This Row],[Gross Total]]*0.15</f>
        <v>102402.31787919109</v>
      </c>
      <c r="AZ59" s="44">
        <v>1930</v>
      </c>
      <c r="BA59" t="s">
        <v>79</v>
      </c>
      <c r="BB59" s="247">
        <v>3812.1306734037353</v>
      </c>
      <c r="BC59" s="247">
        <v>1524.8522693614941</v>
      </c>
      <c r="BD59" s="247">
        <v>0</v>
      </c>
      <c r="BE59" s="247">
        <v>0</v>
      </c>
      <c r="BF59" s="247">
        <v>0</v>
      </c>
      <c r="BG59" s="247">
        <v>7370.1193019138882</v>
      </c>
      <c r="BH59" s="247">
        <v>12707.102244679118</v>
      </c>
      <c r="BI59" s="1">
        <f>tblSection61915[[#This Row],[Gross Total]]*0.15</f>
        <v>1906.0653367018676</v>
      </c>
      <c r="BJ59" s="44"/>
      <c r="BK59" s="246"/>
      <c r="BM59" s="44">
        <v>1930</v>
      </c>
      <c r="BN59" t="s">
        <v>79</v>
      </c>
      <c r="BO59" s="1">
        <v>482049</v>
      </c>
      <c r="BP59" s="1">
        <v>75616</v>
      </c>
      <c r="BQ59" s="1">
        <v>0</v>
      </c>
      <c r="BR59" s="1">
        <v>0</v>
      </c>
      <c r="BS59" s="1">
        <v>0</v>
      </c>
      <c r="BT59" s="1">
        <v>56712</v>
      </c>
      <c r="BU59" s="1">
        <f>SUM(tblSection611[[#This Row],[LEA/District]:[ECSE]])</f>
        <v>614377</v>
      </c>
      <c r="BV59" s="1">
        <f>tblSection611[[#This Row],[Gross Total]]*0.15</f>
        <v>92156.55</v>
      </c>
      <c r="BW59" s="1"/>
      <c r="BY59" s="44">
        <v>1930</v>
      </c>
      <c r="BZ59" t="s">
        <v>79</v>
      </c>
      <c r="CA59" s="1">
        <v>3123</v>
      </c>
      <c r="CB59" s="1">
        <v>0</v>
      </c>
      <c r="CC59" s="1">
        <v>0</v>
      </c>
      <c r="CD59" s="1">
        <v>0</v>
      </c>
      <c r="CE59" s="1">
        <v>0</v>
      </c>
      <c r="CF59" s="1">
        <v>8649</v>
      </c>
      <c r="CG59" s="1">
        <f>SUM(tblSection619[[#This Row],[LEA/District]:[ECSE]])</f>
        <v>11772</v>
      </c>
      <c r="CH59" s="1">
        <f>tblSection619[[#This Row],[Gross Total]]*0.15</f>
        <v>1765.8</v>
      </c>
    </row>
    <row r="60" spans="1:86" x14ac:dyDescent="0.35">
      <c r="A60" t="s">
        <v>80</v>
      </c>
      <c r="B60">
        <v>2082</v>
      </c>
      <c r="C60" t="s">
        <v>1528</v>
      </c>
      <c r="D60" s="44">
        <f>LEN(TblAgencies[[#This Row],[InstNm]])</f>
        <v>12</v>
      </c>
      <c r="E60" s="44" t="s">
        <v>1900</v>
      </c>
      <c r="F60" s="44" t="s">
        <v>1900</v>
      </c>
      <c r="G6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60" s="44"/>
      <c r="I60" s="44"/>
      <c r="J60" s="44"/>
      <c r="K60" s="44"/>
      <c r="M60" s="44"/>
      <c r="N60" s="44">
        <v>2082</v>
      </c>
      <c r="O60" t="s">
        <v>80</v>
      </c>
      <c r="P60" s="1">
        <v>3606942.9506079191</v>
      </c>
      <c r="Q60" s="1">
        <v>115617.58442129222</v>
      </c>
      <c r="R60" s="1">
        <v>3256.8333639800626</v>
      </c>
      <c r="S60" s="1">
        <v>0</v>
      </c>
      <c r="T60" s="1">
        <v>0</v>
      </c>
      <c r="U60" s="1">
        <v>0</v>
      </c>
      <c r="V60" s="1">
        <v>530863.83832875022</v>
      </c>
      <c r="W60" s="1">
        <v>3606942.9506079191</v>
      </c>
      <c r="X60" s="1">
        <f>tblSection6111416[[#This Row],[Net Total]]*0.15</f>
        <v>541041.44259118789</v>
      </c>
      <c r="Y60" s="1"/>
      <c r="AA60" s="44">
        <v>2082</v>
      </c>
      <c r="AB60" t="s">
        <v>80</v>
      </c>
      <c r="AC60" s="1">
        <v>37294.299683179263</v>
      </c>
      <c r="AD60" s="1">
        <v>1088.8846622826061</v>
      </c>
      <c r="AE60" s="1">
        <v>0</v>
      </c>
      <c r="AF60" s="1">
        <v>0</v>
      </c>
      <c r="AG60" s="1">
        <v>0</v>
      </c>
      <c r="AH60" s="1">
        <v>88744.099976032405</v>
      </c>
      <c r="AI60" s="1">
        <v>37294.29968317927</v>
      </c>
      <c r="AJ60" s="1">
        <f>tblSection6191517[[#This Row],[Net Total]]*0.15</f>
        <v>5594.1449524768905</v>
      </c>
      <c r="AK60" s="1"/>
      <c r="AM60" s="44"/>
      <c r="AN60" s="44">
        <v>2082</v>
      </c>
      <c r="AO60" t="s">
        <v>80</v>
      </c>
      <c r="AP60" s="247">
        <v>3606942.9506079191</v>
      </c>
      <c r="AQ60" s="247">
        <v>115617.58442129222</v>
      </c>
      <c r="AR60" s="247">
        <v>3256.8333639800626</v>
      </c>
      <c r="AS60" s="247">
        <v>0</v>
      </c>
      <c r="AT60" s="247">
        <v>0</v>
      </c>
      <c r="AU60" s="247">
        <v>0</v>
      </c>
      <c r="AV60" s="247">
        <v>524350.17160079011</v>
      </c>
      <c r="AW60" s="247">
        <v>4250167.5399939818</v>
      </c>
      <c r="AX60" s="1">
        <f>tblSection61114[[#This Row],[Gross Total]]*0.15</f>
        <v>637525.13099909725</v>
      </c>
      <c r="AZ60" s="44">
        <v>2082</v>
      </c>
      <c r="BA60" t="s">
        <v>80</v>
      </c>
      <c r="BB60" s="247">
        <v>37294.299683179263</v>
      </c>
      <c r="BC60" s="247">
        <v>1088.8846622826061</v>
      </c>
      <c r="BD60" s="247">
        <v>0</v>
      </c>
      <c r="BE60" s="247">
        <v>0</v>
      </c>
      <c r="BF60" s="247">
        <v>0</v>
      </c>
      <c r="BG60" s="247">
        <v>87655.215313749795</v>
      </c>
      <c r="BH60" s="247">
        <v>126038.39965921166</v>
      </c>
      <c r="BI60" s="1">
        <f>tblSection61915[[#This Row],[Gross Total]]*0.15</f>
        <v>18905.759948881747</v>
      </c>
      <c r="BJ60" s="44"/>
      <c r="BK60" s="246"/>
      <c r="BM60" s="44">
        <v>2082</v>
      </c>
      <c r="BN60" t="s">
        <v>80</v>
      </c>
      <c r="BO60" s="1">
        <v>3358188</v>
      </c>
      <c r="BP60" s="1">
        <v>137199</v>
      </c>
      <c r="BQ60" s="1">
        <v>4786</v>
      </c>
      <c r="BR60" s="1">
        <v>0</v>
      </c>
      <c r="BS60" s="1">
        <v>0</v>
      </c>
      <c r="BT60" s="1">
        <v>473816</v>
      </c>
      <c r="BU60" s="1">
        <f>SUM(tblSection611[[#This Row],[LEA/District]:[ECSE]])</f>
        <v>3973989</v>
      </c>
      <c r="BV60" s="1">
        <f>tblSection611[[#This Row],[Gross Total]]*0.15</f>
        <v>596098.35</v>
      </c>
      <c r="BW60" s="1"/>
      <c r="BY60" s="44">
        <v>2082</v>
      </c>
      <c r="BZ60" t="s">
        <v>80</v>
      </c>
      <c r="CA60" s="1">
        <v>31640</v>
      </c>
      <c r="CB60" s="1">
        <v>273</v>
      </c>
      <c r="CC60" s="1">
        <v>0</v>
      </c>
      <c r="CD60" s="1">
        <v>0</v>
      </c>
      <c r="CE60" s="1">
        <v>0</v>
      </c>
      <c r="CF60" s="1">
        <v>81010</v>
      </c>
      <c r="CG60" s="1">
        <f>SUM(tblSection619[[#This Row],[LEA/District]:[ECSE]])</f>
        <v>112923</v>
      </c>
      <c r="CH60" s="1">
        <f>tblSection619[[#This Row],[Gross Total]]*0.15</f>
        <v>16938.45</v>
      </c>
    </row>
    <row r="61" spans="1:86" x14ac:dyDescent="0.35">
      <c r="A61" t="s">
        <v>81</v>
      </c>
      <c r="B61">
        <v>2193</v>
      </c>
      <c r="C61" t="s">
        <v>1528</v>
      </c>
      <c r="D61" s="44">
        <f>LEN(TblAgencies[[#This Row],[InstNm]])</f>
        <v>16</v>
      </c>
      <c r="E61" s="44" t="s">
        <v>1900</v>
      </c>
      <c r="F61" s="44" t="s">
        <v>1900</v>
      </c>
      <c r="G6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61" s="44"/>
      <c r="I61" s="44"/>
      <c r="J61" s="44"/>
      <c r="K61" s="44"/>
      <c r="M61" s="44"/>
      <c r="N61" s="44">
        <v>2193</v>
      </c>
      <c r="O61" t="s">
        <v>81</v>
      </c>
      <c r="P61" s="1">
        <v>53330.857204319691</v>
      </c>
      <c r="Q61" s="1">
        <v>9876.08466746661</v>
      </c>
      <c r="R61" s="1">
        <v>0</v>
      </c>
      <c r="S61" s="1">
        <v>0</v>
      </c>
      <c r="T61" s="1">
        <v>0</v>
      </c>
      <c r="U61" s="1">
        <v>0</v>
      </c>
      <c r="V61" s="1">
        <v>1975.2169334933219</v>
      </c>
      <c r="W61" s="1">
        <v>53330.857204319691</v>
      </c>
      <c r="X61" s="1">
        <f>tblSection6111416[[#This Row],[Net Total]]*0.15</f>
        <v>7999.6285806479536</v>
      </c>
      <c r="Y61" s="1"/>
      <c r="AA61" s="44">
        <v>2193</v>
      </c>
      <c r="AB61" t="s">
        <v>81</v>
      </c>
      <c r="AC61" s="1">
        <v>849.62022711286193</v>
      </c>
      <c r="AD61" s="1">
        <v>0</v>
      </c>
      <c r="AE61" s="1">
        <v>0</v>
      </c>
      <c r="AF61" s="1">
        <v>0</v>
      </c>
      <c r="AG61" s="1">
        <v>0</v>
      </c>
      <c r="AH61" s="1">
        <v>283.20674237095398</v>
      </c>
      <c r="AI61" s="1">
        <v>849.62022711286193</v>
      </c>
      <c r="AJ61" s="1">
        <f>tblSection6191517[[#This Row],[Net Total]]*0.15</f>
        <v>127.44303406692929</v>
      </c>
      <c r="AK61" s="1"/>
      <c r="AM61" s="44"/>
      <c r="AN61" s="44">
        <v>2193</v>
      </c>
      <c r="AO61" t="s">
        <v>81</v>
      </c>
      <c r="AP61" s="247">
        <v>53330.857204319691</v>
      </c>
      <c r="AQ61" s="247">
        <v>9876.08466746661</v>
      </c>
      <c r="AR61" s="247">
        <v>0</v>
      </c>
      <c r="AS61" s="247">
        <v>0</v>
      </c>
      <c r="AT61" s="247">
        <v>0</v>
      </c>
      <c r="AU61" s="247">
        <v>0</v>
      </c>
      <c r="AV61" s="247">
        <v>1975.2169334933219</v>
      </c>
      <c r="AW61" s="247">
        <v>65182.158805279621</v>
      </c>
      <c r="AX61" s="1">
        <f>tblSection61114[[#This Row],[Gross Total]]*0.15</f>
        <v>9777.3238207919421</v>
      </c>
      <c r="AZ61" s="44">
        <v>2193</v>
      </c>
      <c r="BA61" t="s">
        <v>81</v>
      </c>
      <c r="BB61" s="247">
        <v>849.62022711286193</v>
      </c>
      <c r="BC61" s="247">
        <v>0</v>
      </c>
      <c r="BD61" s="247">
        <v>0</v>
      </c>
      <c r="BE61" s="247">
        <v>0</v>
      </c>
      <c r="BF61" s="247">
        <v>0</v>
      </c>
      <c r="BG61" s="247">
        <v>283.20674237095398</v>
      </c>
      <c r="BH61" s="247">
        <v>1132.8269694838159</v>
      </c>
      <c r="BI61" s="1">
        <f>tblSection61915[[#This Row],[Gross Total]]*0.15</f>
        <v>169.92404542257239</v>
      </c>
      <c r="BJ61" s="44"/>
      <c r="BK61" s="246"/>
      <c r="BM61" s="44">
        <v>2193</v>
      </c>
      <c r="BN61" t="s">
        <v>81</v>
      </c>
      <c r="BO61" s="1">
        <v>48621</v>
      </c>
      <c r="BP61" s="1">
        <v>4862</v>
      </c>
      <c r="BQ61" s="1">
        <v>0</v>
      </c>
      <c r="BR61" s="1">
        <v>0</v>
      </c>
      <c r="BS61" s="1">
        <v>0</v>
      </c>
      <c r="BT61" s="1">
        <v>3241</v>
      </c>
      <c r="BU61" s="1">
        <f>SUM(tblSection611[[#This Row],[LEA/District]:[ECSE]])</f>
        <v>56724</v>
      </c>
      <c r="BV61" s="1">
        <f>tblSection611[[#This Row],[Gross Total]]*0.15</f>
        <v>8508.6</v>
      </c>
      <c r="BW61" s="1"/>
      <c r="BY61" s="44">
        <v>2193</v>
      </c>
      <c r="BZ61" t="s">
        <v>81</v>
      </c>
      <c r="CA61" s="1">
        <v>261</v>
      </c>
      <c r="CB61" s="1">
        <v>261</v>
      </c>
      <c r="CC61" s="1">
        <v>0</v>
      </c>
      <c r="CD61" s="1">
        <v>0</v>
      </c>
      <c r="CE61" s="1">
        <v>0</v>
      </c>
      <c r="CF61" s="1">
        <v>521</v>
      </c>
      <c r="CG61" s="1">
        <f>SUM(tblSection619[[#This Row],[LEA/District]:[ECSE]])</f>
        <v>1043</v>
      </c>
      <c r="CH61" s="1">
        <f>tblSection619[[#This Row],[Gross Total]]*0.15</f>
        <v>156.44999999999999</v>
      </c>
    </row>
    <row r="62" spans="1:86" x14ac:dyDescent="0.35">
      <c r="A62" t="s">
        <v>82</v>
      </c>
      <c r="B62">
        <v>2084</v>
      </c>
      <c r="C62" t="s">
        <v>1528</v>
      </c>
      <c r="D62" s="44">
        <f>LEN(TblAgencies[[#This Row],[InstNm]])</f>
        <v>17</v>
      </c>
      <c r="E62" s="44" t="s">
        <v>1900</v>
      </c>
      <c r="F62" s="44" t="s">
        <v>1900</v>
      </c>
      <c r="G6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62" s="44"/>
      <c r="I62" s="44"/>
      <c r="J62" s="44"/>
      <c r="K62" s="44"/>
      <c r="M62" s="44"/>
      <c r="N62" s="44">
        <v>2084</v>
      </c>
      <c r="O62" t="s">
        <v>82</v>
      </c>
      <c r="P62" s="1">
        <v>426002.82912011252</v>
      </c>
      <c r="Q62" s="1">
        <v>3594.9605832920888</v>
      </c>
      <c r="R62" s="1">
        <v>0</v>
      </c>
      <c r="S62" s="1">
        <v>0</v>
      </c>
      <c r="T62" s="1">
        <v>0</v>
      </c>
      <c r="U62" s="1">
        <v>0</v>
      </c>
      <c r="V62" s="1">
        <v>66506.77079090364</v>
      </c>
      <c r="W62" s="1">
        <v>426002.82912011252</v>
      </c>
      <c r="X62" s="1">
        <f>tblSection6111416[[#This Row],[Net Total]]*0.15</f>
        <v>63900.424368016873</v>
      </c>
      <c r="Y62" s="1"/>
      <c r="AA62" s="44">
        <v>2084</v>
      </c>
      <c r="AB62" t="s">
        <v>82</v>
      </c>
      <c r="AC62" s="1">
        <v>1956.0038472639412</v>
      </c>
      <c r="AD62" s="1">
        <v>195.60038472639411</v>
      </c>
      <c r="AE62" s="1">
        <v>0</v>
      </c>
      <c r="AF62" s="1">
        <v>0</v>
      </c>
      <c r="AG62" s="1">
        <v>0</v>
      </c>
      <c r="AH62" s="1">
        <v>7237.2142348765819</v>
      </c>
      <c r="AI62" s="1">
        <v>1956.0038472639408</v>
      </c>
      <c r="AJ62" s="1">
        <f>tblSection6191517[[#This Row],[Net Total]]*0.15</f>
        <v>293.40057708959108</v>
      </c>
      <c r="AK62" s="1"/>
      <c r="AM62" s="44"/>
      <c r="AN62" s="44">
        <v>2084</v>
      </c>
      <c r="AO62" t="s">
        <v>82</v>
      </c>
      <c r="AP62" s="247">
        <v>426002.82912011252</v>
      </c>
      <c r="AQ62" s="247">
        <v>3594.9605832920888</v>
      </c>
      <c r="AR62" s="247">
        <v>0</v>
      </c>
      <c r="AS62" s="247">
        <v>0</v>
      </c>
      <c r="AT62" s="247">
        <v>0</v>
      </c>
      <c r="AU62" s="247">
        <v>0</v>
      </c>
      <c r="AV62" s="247">
        <v>64709.2904992576</v>
      </c>
      <c r="AW62" s="247">
        <v>494307.08020266221</v>
      </c>
      <c r="AX62" s="1">
        <f>tblSection61114[[#This Row],[Gross Total]]*0.15</f>
        <v>74146.062030399335</v>
      </c>
      <c r="AZ62" s="44">
        <v>2084</v>
      </c>
      <c r="BA62" t="s">
        <v>82</v>
      </c>
      <c r="BB62" s="247">
        <v>1956.0038472639412</v>
      </c>
      <c r="BC62" s="247">
        <v>195.60038472639411</v>
      </c>
      <c r="BD62" s="247">
        <v>0</v>
      </c>
      <c r="BE62" s="247">
        <v>0</v>
      </c>
      <c r="BF62" s="247">
        <v>0</v>
      </c>
      <c r="BG62" s="247">
        <v>7041.6138501501882</v>
      </c>
      <c r="BH62" s="247">
        <v>9193.2180821405236</v>
      </c>
      <c r="BI62" s="1">
        <f>tblSection61915[[#This Row],[Gross Total]]*0.15</f>
        <v>1378.9827123210785</v>
      </c>
      <c r="BJ62" s="44"/>
      <c r="BK62" s="246"/>
      <c r="BM62" s="44">
        <v>2084</v>
      </c>
      <c r="BN62" t="s">
        <v>82</v>
      </c>
      <c r="BO62" s="1">
        <v>342105</v>
      </c>
      <c r="BP62" s="1">
        <v>1468</v>
      </c>
      <c r="BQ62" s="1">
        <v>0</v>
      </c>
      <c r="BR62" s="1">
        <v>0</v>
      </c>
      <c r="BS62" s="1">
        <v>0</v>
      </c>
      <c r="BT62" s="1">
        <v>51389</v>
      </c>
      <c r="BU62" s="1">
        <f>SUM(tblSection611[[#This Row],[LEA/District]:[ECSE]])</f>
        <v>394962</v>
      </c>
      <c r="BV62" s="1">
        <f>tblSection611[[#This Row],[Gross Total]]*0.15</f>
        <v>59244.299999999996</v>
      </c>
      <c r="BW62" s="1"/>
      <c r="BY62" s="44">
        <v>2084</v>
      </c>
      <c r="BZ62" t="s">
        <v>82</v>
      </c>
      <c r="CA62" s="1">
        <v>1452</v>
      </c>
      <c r="CB62" s="1">
        <v>0</v>
      </c>
      <c r="CC62" s="1">
        <v>0</v>
      </c>
      <c r="CD62" s="1">
        <v>0</v>
      </c>
      <c r="CE62" s="1">
        <v>0</v>
      </c>
      <c r="CF62" s="1">
        <v>6351</v>
      </c>
      <c r="CG62" s="1">
        <f>SUM(tblSection619[[#This Row],[LEA/District]:[ECSE]])</f>
        <v>7803</v>
      </c>
      <c r="CH62" s="1">
        <f>tblSection619[[#This Row],[Gross Total]]*0.15</f>
        <v>1170.45</v>
      </c>
    </row>
    <row r="63" spans="1:86" x14ac:dyDescent="0.35">
      <c r="A63" t="s">
        <v>83</v>
      </c>
      <c r="B63">
        <v>2241</v>
      </c>
      <c r="C63" t="s">
        <v>1528</v>
      </c>
      <c r="D63" s="44">
        <f>LEN(TblAgencies[[#This Row],[InstNm]])</f>
        <v>18</v>
      </c>
      <c r="E63" s="44" t="s">
        <v>1900</v>
      </c>
      <c r="F63" s="44" t="s">
        <v>1900</v>
      </c>
      <c r="G6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63" s="44"/>
      <c r="I63" s="44"/>
      <c r="J63" s="44"/>
      <c r="K63" s="44"/>
      <c r="M63" s="44"/>
      <c r="N63" s="44">
        <v>2241</v>
      </c>
      <c r="O63" t="s">
        <v>83</v>
      </c>
      <c r="P63" s="1">
        <v>1051693.1217033032</v>
      </c>
      <c r="Q63" s="1">
        <v>315823.76027126226</v>
      </c>
      <c r="R63" s="1">
        <v>0</v>
      </c>
      <c r="S63" s="1">
        <v>18949.42561627573</v>
      </c>
      <c r="T63" s="1">
        <v>0</v>
      </c>
      <c r="U63" s="1">
        <v>0</v>
      </c>
      <c r="V63" s="1">
        <v>164228.35534105636</v>
      </c>
      <c r="W63" s="1">
        <v>1051693.121703303</v>
      </c>
      <c r="X63" s="1">
        <f>tblSection6111416[[#This Row],[Net Total]]*0.15</f>
        <v>157753.96825549545</v>
      </c>
      <c r="Y63" s="1"/>
      <c r="AA63" s="44">
        <v>2241</v>
      </c>
      <c r="AB63" t="s">
        <v>83</v>
      </c>
      <c r="AC63" s="1">
        <v>6360.9750862549872</v>
      </c>
      <c r="AD63" s="1">
        <v>4543.553633039277</v>
      </c>
      <c r="AE63" s="1">
        <v>0</v>
      </c>
      <c r="AF63" s="1">
        <v>0</v>
      </c>
      <c r="AG63" s="1">
        <v>0</v>
      </c>
      <c r="AH63" s="1">
        <v>18901.183113443392</v>
      </c>
      <c r="AI63" s="1">
        <v>6360.9750862549881</v>
      </c>
      <c r="AJ63" s="1">
        <f>tblSection6191517[[#This Row],[Net Total]]*0.15</f>
        <v>954.14626293824813</v>
      </c>
      <c r="AK63" s="1"/>
      <c r="AM63" s="44"/>
      <c r="AN63" s="44">
        <v>2241</v>
      </c>
      <c r="AO63" t="s">
        <v>83</v>
      </c>
      <c r="AP63" s="247">
        <v>1051693.1217033032</v>
      </c>
      <c r="AQ63" s="247">
        <v>315823.76027126226</v>
      </c>
      <c r="AR63" s="247">
        <v>0</v>
      </c>
      <c r="AS63" s="247">
        <v>18949.42561627573</v>
      </c>
      <c r="AT63" s="247">
        <v>0</v>
      </c>
      <c r="AU63" s="247">
        <v>0</v>
      </c>
      <c r="AV63" s="247">
        <v>138962.45451935538</v>
      </c>
      <c r="AW63" s="247">
        <v>1525428.7621101965</v>
      </c>
      <c r="AX63" s="1">
        <f>tblSection61114[[#This Row],[Gross Total]]*0.15</f>
        <v>228814.31431652946</v>
      </c>
      <c r="AZ63" s="44">
        <v>2241</v>
      </c>
      <c r="BA63" t="s">
        <v>83</v>
      </c>
      <c r="BB63" s="247">
        <v>6360.9750862549872</v>
      </c>
      <c r="BC63" s="247">
        <v>4543.553633039277</v>
      </c>
      <c r="BD63" s="247">
        <v>0</v>
      </c>
      <c r="BE63" s="247">
        <v>0</v>
      </c>
      <c r="BF63" s="247">
        <v>0</v>
      </c>
      <c r="BG63" s="247">
        <v>15993.308788298255</v>
      </c>
      <c r="BH63" s="247">
        <v>26897.837507592518</v>
      </c>
      <c r="BI63" s="1">
        <f>tblSection61915[[#This Row],[Gross Total]]*0.15</f>
        <v>4034.6756261388773</v>
      </c>
      <c r="BJ63" s="44"/>
      <c r="BK63" s="246"/>
      <c r="BM63" s="44">
        <v>2241</v>
      </c>
      <c r="BN63" t="s">
        <v>83</v>
      </c>
      <c r="BO63" s="1">
        <v>896307</v>
      </c>
      <c r="BP63" s="1">
        <v>223400</v>
      </c>
      <c r="BQ63" s="1">
        <v>0</v>
      </c>
      <c r="BR63" s="1">
        <v>21663</v>
      </c>
      <c r="BS63" s="1">
        <v>0</v>
      </c>
      <c r="BT63" s="1">
        <v>132686</v>
      </c>
      <c r="BU63" s="1">
        <f>SUM(tblSection611[[#This Row],[LEA/District]:[ECSE]])</f>
        <v>1274056</v>
      </c>
      <c r="BV63" s="1">
        <f>tblSection611[[#This Row],[Gross Total]]*0.15</f>
        <v>191108.4</v>
      </c>
      <c r="BW63" s="1"/>
      <c r="BY63" s="44">
        <v>2241</v>
      </c>
      <c r="BZ63" t="s">
        <v>83</v>
      </c>
      <c r="CA63" s="1">
        <v>4189</v>
      </c>
      <c r="CB63" s="1">
        <v>1275</v>
      </c>
      <c r="CC63" s="1">
        <v>0</v>
      </c>
      <c r="CD63" s="1">
        <v>0</v>
      </c>
      <c r="CE63" s="1">
        <v>0</v>
      </c>
      <c r="CF63" s="1">
        <v>17848</v>
      </c>
      <c r="CG63" s="1">
        <f>SUM(tblSection619[[#This Row],[LEA/District]:[ECSE]])</f>
        <v>23312</v>
      </c>
      <c r="CH63" s="1">
        <f>tblSection619[[#This Row],[Gross Total]]*0.15</f>
        <v>3496.7999999999997</v>
      </c>
    </row>
    <row r="64" spans="1:86" x14ac:dyDescent="0.35">
      <c r="A64" t="s">
        <v>84</v>
      </c>
      <c r="B64">
        <v>2248</v>
      </c>
      <c r="C64" t="s">
        <v>1528</v>
      </c>
      <c r="D64" s="44">
        <f>LEN(TblAgencies[[#This Row],[InstNm]])</f>
        <v>13</v>
      </c>
      <c r="E64" s="44" t="s">
        <v>1900</v>
      </c>
      <c r="F64" s="44" t="s">
        <v>1900</v>
      </c>
      <c r="G6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64" s="44"/>
      <c r="I64" s="44"/>
      <c r="J64" s="44"/>
      <c r="K64" s="44"/>
      <c r="M64" s="44"/>
      <c r="N64" s="44">
        <v>2248</v>
      </c>
      <c r="O64" t="s">
        <v>84</v>
      </c>
      <c r="P64" s="1">
        <v>140675.02625965865</v>
      </c>
      <c r="Q64" s="1">
        <v>0</v>
      </c>
      <c r="R64" s="1">
        <v>0</v>
      </c>
      <c r="S64" s="1">
        <v>0</v>
      </c>
      <c r="T64" s="1">
        <v>0</v>
      </c>
      <c r="U64" s="1">
        <v>0</v>
      </c>
      <c r="V64" s="1">
        <v>2512.0540403510472</v>
      </c>
      <c r="W64" s="1">
        <v>140675.02625965865</v>
      </c>
      <c r="X64" s="1">
        <f>tblSection6111416[[#This Row],[Net Total]]*0.15</f>
        <v>21101.253938948797</v>
      </c>
      <c r="Y64" s="1"/>
      <c r="AA64" s="44">
        <v>2248</v>
      </c>
      <c r="AB64" t="s">
        <v>84</v>
      </c>
      <c r="AC64" s="1">
        <v>707.82659422936649</v>
      </c>
      <c r="AD64" s="1">
        <v>0</v>
      </c>
      <c r="AE64" s="1">
        <v>0</v>
      </c>
      <c r="AF64" s="1">
        <v>0</v>
      </c>
      <c r="AG64" s="1">
        <v>0</v>
      </c>
      <c r="AH64" s="1">
        <v>353.91329711468325</v>
      </c>
      <c r="AI64" s="1">
        <v>707.82659422936649</v>
      </c>
      <c r="AJ64" s="1">
        <f>tblSection6191517[[#This Row],[Net Total]]*0.15</f>
        <v>106.17398913440498</v>
      </c>
      <c r="AK64" s="1"/>
      <c r="AM64" s="44"/>
      <c r="AN64" s="44">
        <v>2248</v>
      </c>
      <c r="AO64" t="s">
        <v>84</v>
      </c>
      <c r="AP64" s="247">
        <v>140675.02625965865</v>
      </c>
      <c r="AQ64" s="247">
        <v>0</v>
      </c>
      <c r="AR64" s="247">
        <v>0</v>
      </c>
      <c r="AS64" s="247">
        <v>0</v>
      </c>
      <c r="AT64" s="247">
        <v>0</v>
      </c>
      <c r="AU64" s="247">
        <v>0</v>
      </c>
      <c r="AV64" s="247">
        <v>2512.0540403510472</v>
      </c>
      <c r="AW64" s="247">
        <v>143187.08030000969</v>
      </c>
      <c r="AX64" s="1">
        <f>tblSection61114[[#This Row],[Gross Total]]*0.15</f>
        <v>21478.062045001454</v>
      </c>
      <c r="AZ64" s="44">
        <v>2248</v>
      </c>
      <c r="BA64" t="s">
        <v>84</v>
      </c>
      <c r="BB64" s="247">
        <v>707.82659422936649</v>
      </c>
      <c r="BC64" s="247">
        <v>0</v>
      </c>
      <c r="BD64" s="247">
        <v>0</v>
      </c>
      <c r="BE64" s="247">
        <v>0</v>
      </c>
      <c r="BF64" s="247">
        <v>0</v>
      </c>
      <c r="BG64" s="247">
        <v>353.91329711468325</v>
      </c>
      <c r="BH64" s="247">
        <v>1061.7398913440497</v>
      </c>
      <c r="BI64" s="1">
        <f>tblSection61915[[#This Row],[Gross Total]]*0.15</f>
        <v>159.26098370160744</v>
      </c>
      <c r="BJ64" s="44"/>
      <c r="BK64" s="246"/>
      <c r="BM64" s="44">
        <v>2248</v>
      </c>
      <c r="BN64" t="s">
        <v>84</v>
      </c>
      <c r="BO64" s="1">
        <v>174749</v>
      </c>
      <c r="BP64" s="1">
        <v>1603</v>
      </c>
      <c r="BQ64" s="1">
        <v>0</v>
      </c>
      <c r="BR64" s="1">
        <v>0</v>
      </c>
      <c r="BS64" s="1">
        <v>0</v>
      </c>
      <c r="BT64" s="1">
        <v>1603</v>
      </c>
      <c r="BU64" s="1">
        <f>SUM(tblSection611[[#This Row],[LEA/District]:[ECSE]])</f>
        <v>177955</v>
      </c>
      <c r="BV64" s="1">
        <f>tblSection611[[#This Row],[Gross Total]]*0.15</f>
        <v>26693.25</v>
      </c>
      <c r="BW64" s="1"/>
      <c r="BY64" s="44">
        <v>2248</v>
      </c>
      <c r="BZ64" t="s">
        <v>84</v>
      </c>
      <c r="CA64" s="1">
        <v>717</v>
      </c>
      <c r="CB64" s="1">
        <v>0</v>
      </c>
      <c r="CC64" s="1">
        <v>0</v>
      </c>
      <c r="CD64" s="1">
        <v>0</v>
      </c>
      <c r="CE64" s="1">
        <v>0</v>
      </c>
      <c r="CF64" s="1">
        <v>717</v>
      </c>
      <c r="CG64" s="1">
        <f>SUM(tblSection619[[#This Row],[LEA/District]:[ECSE]])</f>
        <v>1434</v>
      </c>
      <c r="CH64" s="1">
        <f>tblSection619[[#This Row],[Gross Total]]*0.15</f>
        <v>215.1</v>
      </c>
    </row>
    <row r="65" spans="1:86" x14ac:dyDescent="0.35">
      <c r="A65" t="s">
        <v>85</v>
      </c>
      <c r="B65">
        <v>2020</v>
      </c>
      <c r="C65" t="s">
        <v>1528</v>
      </c>
      <c r="D65" s="44">
        <f>LEN(TblAgencies[[#This Row],[InstNm]])</f>
        <v>16</v>
      </c>
      <c r="E65" s="44" t="s">
        <v>1900</v>
      </c>
      <c r="F65" s="44" t="s">
        <v>1900</v>
      </c>
      <c r="G6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65" s="44"/>
      <c r="I65" s="44"/>
      <c r="J65" s="44"/>
      <c r="K65" s="44"/>
      <c r="M65" s="44"/>
      <c r="N65" s="44">
        <v>2020</v>
      </c>
      <c r="O65" t="s">
        <v>85</v>
      </c>
      <c r="P65" s="1">
        <v>3455.8353821381588</v>
      </c>
      <c r="Q65" s="1">
        <v>0</v>
      </c>
      <c r="R65" s="1">
        <v>0</v>
      </c>
      <c r="S65" s="1">
        <v>0</v>
      </c>
      <c r="T65" s="1">
        <v>0</v>
      </c>
      <c r="U65" s="1">
        <v>0</v>
      </c>
      <c r="V65" s="1">
        <v>0</v>
      </c>
      <c r="W65" s="1">
        <v>3455.8353821381588</v>
      </c>
      <c r="X65" s="1">
        <f>tblSection6111416[[#This Row],[Net Total]]*0.15</f>
        <v>518.37530732072378</v>
      </c>
      <c r="Y65" s="1"/>
      <c r="AA65" s="44">
        <v>2020</v>
      </c>
      <c r="AB65" t="s">
        <v>85</v>
      </c>
      <c r="AC65" s="1">
        <v>270.29755963687239</v>
      </c>
      <c r="AD65" s="1">
        <v>0</v>
      </c>
      <c r="AE65" s="1">
        <v>0</v>
      </c>
      <c r="AF65" s="1">
        <v>0</v>
      </c>
      <c r="AG65" s="1">
        <v>0</v>
      </c>
      <c r="AH65" s="1">
        <v>0</v>
      </c>
      <c r="AI65" s="1">
        <v>270.29755963687239</v>
      </c>
      <c r="AJ65" s="1">
        <f>tblSection6191517[[#This Row],[Net Total]]*0.15</f>
        <v>40.544633945530855</v>
      </c>
      <c r="AK65" s="1"/>
      <c r="AM65" s="44"/>
      <c r="AN65" s="44">
        <v>2020</v>
      </c>
      <c r="AO65" t="s">
        <v>85</v>
      </c>
      <c r="AP65" s="247">
        <v>3455.8353821381588</v>
      </c>
      <c r="AQ65" s="247">
        <v>0</v>
      </c>
      <c r="AR65" s="247">
        <v>0</v>
      </c>
      <c r="AS65" s="247">
        <v>0</v>
      </c>
      <c r="AT65" s="247">
        <v>0</v>
      </c>
      <c r="AU65" s="247">
        <v>0</v>
      </c>
      <c r="AV65" s="247">
        <v>0</v>
      </c>
      <c r="AW65" s="247">
        <v>3455.8353821381588</v>
      </c>
      <c r="AX65" s="1">
        <f>tblSection61114[[#This Row],[Gross Total]]*0.15</f>
        <v>518.37530732072378</v>
      </c>
      <c r="AZ65" s="44">
        <v>2020</v>
      </c>
      <c r="BA65" t="s">
        <v>85</v>
      </c>
      <c r="BB65" s="247">
        <v>270.29755963687239</v>
      </c>
      <c r="BC65" s="247">
        <v>0</v>
      </c>
      <c r="BD65" s="247">
        <v>0</v>
      </c>
      <c r="BE65" s="247">
        <v>0</v>
      </c>
      <c r="BF65" s="247">
        <v>0</v>
      </c>
      <c r="BG65" s="247">
        <v>0</v>
      </c>
      <c r="BH65" s="247">
        <v>270.29755963687239</v>
      </c>
      <c r="BI65" s="1">
        <f>tblSection61915[[#This Row],[Gross Total]]*0.15</f>
        <v>40.544633945530855</v>
      </c>
      <c r="BJ65" s="44"/>
      <c r="BK65" s="246"/>
      <c r="BM65" s="44">
        <v>2020</v>
      </c>
      <c r="BN65" t="s">
        <v>85</v>
      </c>
      <c r="BO65" s="1">
        <v>2436</v>
      </c>
      <c r="BP65" s="1">
        <v>0</v>
      </c>
      <c r="BQ65" s="1">
        <v>0</v>
      </c>
      <c r="BR65" s="1">
        <v>0</v>
      </c>
      <c r="BS65" s="1">
        <v>0</v>
      </c>
      <c r="BT65" s="1">
        <v>0</v>
      </c>
      <c r="BU65" s="1">
        <f>SUM(tblSection611[[#This Row],[LEA/District]:[ECSE]])</f>
        <v>2436</v>
      </c>
      <c r="BV65" s="1">
        <f>tblSection611[[#This Row],[Gross Total]]*0.15</f>
        <v>365.4</v>
      </c>
      <c r="BW65" s="1"/>
      <c r="BY65" s="44">
        <v>2020</v>
      </c>
      <c r="BZ65" t="s">
        <v>85</v>
      </c>
      <c r="CA65" s="1">
        <v>263</v>
      </c>
      <c r="CB65" s="1">
        <v>0</v>
      </c>
      <c r="CC65" s="1">
        <v>0</v>
      </c>
      <c r="CD65" s="1">
        <v>0</v>
      </c>
      <c r="CE65" s="1">
        <v>0</v>
      </c>
      <c r="CF65" s="1">
        <v>0</v>
      </c>
      <c r="CG65" s="1">
        <f>SUM(tblSection619[[#This Row],[LEA/District]:[ECSE]])</f>
        <v>263</v>
      </c>
      <c r="CH65" s="1">
        <f>tblSection619[[#This Row],[Gross Total]]*0.15</f>
        <v>39.449999999999996</v>
      </c>
    </row>
    <row r="66" spans="1:86" x14ac:dyDescent="0.35">
      <c r="A66" t="s">
        <v>86</v>
      </c>
      <c r="B66">
        <v>2245</v>
      </c>
      <c r="C66" t="s">
        <v>1528</v>
      </c>
      <c r="D66" s="44">
        <f>LEN(TblAgencies[[#This Row],[InstNm]])</f>
        <v>14</v>
      </c>
      <c r="E66" s="44" t="s">
        <v>1900</v>
      </c>
      <c r="F66" s="44" t="s">
        <v>1900</v>
      </c>
      <c r="G6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66" s="44"/>
      <c r="I66" s="44"/>
      <c r="J66" s="44"/>
      <c r="K66" s="44"/>
      <c r="M66" s="44"/>
      <c r="N66" s="44">
        <v>2245</v>
      </c>
      <c r="O66" t="s">
        <v>86</v>
      </c>
      <c r="P66" s="1">
        <v>124087.71805066182</v>
      </c>
      <c r="Q66" s="1">
        <v>21225.530719192153</v>
      </c>
      <c r="R66" s="1">
        <v>0</v>
      </c>
      <c r="S66" s="1">
        <v>0</v>
      </c>
      <c r="T66" s="1">
        <v>0</v>
      </c>
      <c r="U66" s="1">
        <v>0</v>
      </c>
      <c r="V66" s="1">
        <v>16327.331322455502</v>
      </c>
      <c r="W66" s="1">
        <v>124087.71805066179</v>
      </c>
      <c r="X66" s="1">
        <f>tblSection6111416[[#This Row],[Net Total]]*0.15</f>
        <v>18613.157707599268</v>
      </c>
      <c r="Y66" s="1"/>
      <c r="AA66" s="44">
        <v>2245</v>
      </c>
      <c r="AB66" t="s">
        <v>86</v>
      </c>
      <c r="AC66" s="1">
        <v>856.02032684218136</v>
      </c>
      <c r="AD66" s="1">
        <v>642.01524513163611</v>
      </c>
      <c r="AE66" s="1">
        <v>0</v>
      </c>
      <c r="AF66" s="1">
        <v>0</v>
      </c>
      <c r="AG66" s="1">
        <v>0</v>
      </c>
      <c r="AH66" s="1">
        <v>2140.0508171054539</v>
      </c>
      <c r="AI66" s="1">
        <v>856.02032684218148</v>
      </c>
      <c r="AJ66" s="1">
        <f>tblSection6191517[[#This Row],[Net Total]]*0.15</f>
        <v>128.40304902632721</v>
      </c>
      <c r="AK66" s="1"/>
      <c r="AM66" s="44"/>
      <c r="AN66" s="44">
        <v>2245</v>
      </c>
      <c r="AO66" t="s">
        <v>86</v>
      </c>
      <c r="AP66" s="247">
        <v>124087.71805066182</v>
      </c>
      <c r="AQ66" s="247">
        <v>21225.530719192153</v>
      </c>
      <c r="AR66" s="247">
        <v>0</v>
      </c>
      <c r="AS66" s="247">
        <v>0</v>
      </c>
      <c r="AT66" s="247">
        <v>0</v>
      </c>
      <c r="AU66" s="247">
        <v>0</v>
      </c>
      <c r="AV66" s="247">
        <v>11429.131925718852</v>
      </c>
      <c r="AW66" s="247">
        <v>156742.38069557282</v>
      </c>
      <c r="AX66" s="1">
        <f>tblSection61114[[#This Row],[Gross Total]]*0.15</f>
        <v>23511.357104335922</v>
      </c>
      <c r="AZ66" s="44">
        <v>2245</v>
      </c>
      <c r="BA66" t="s">
        <v>86</v>
      </c>
      <c r="BB66" s="247">
        <v>856.02032684218136</v>
      </c>
      <c r="BC66" s="247">
        <v>642.01524513163611</v>
      </c>
      <c r="BD66" s="247">
        <v>0</v>
      </c>
      <c r="BE66" s="247">
        <v>0</v>
      </c>
      <c r="BF66" s="247">
        <v>0</v>
      </c>
      <c r="BG66" s="247">
        <v>1498.0355719738177</v>
      </c>
      <c r="BH66" s="247">
        <v>2996.0711439476354</v>
      </c>
      <c r="BI66" s="1">
        <f>tblSection61915[[#This Row],[Gross Total]]*0.15</f>
        <v>449.41067159214532</v>
      </c>
      <c r="BJ66" s="44"/>
      <c r="BK66" s="246"/>
      <c r="BM66" s="44">
        <v>2245</v>
      </c>
      <c r="BN66" t="s">
        <v>86</v>
      </c>
      <c r="BO66" s="1">
        <v>92427</v>
      </c>
      <c r="BP66" s="1">
        <v>12661</v>
      </c>
      <c r="BQ66" s="1">
        <v>0</v>
      </c>
      <c r="BR66" s="1">
        <v>0</v>
      </c>
      <c r="BS66" s="1">
        <v>0</v>
      </c>
      <c r="BT66" s="1">
        <v>7597</v>
      </c>
      <c r="BU66" s="1">
        <f>SUM(tblSection611[[#This Row],[LEA/District]:[ECSE]])</f>
        <v>112685</v>
      </c>
      <c r="BV66" s="1">
        <f>tblSection611[[#This Row],[Gross Total]]*0.15</f>
        <v>16902.75</v>
      </c>
      <c r="BW66" s="1"/>
      <c r="BY66" s="44">
        <v>2245</v>
      </c>
      <c r="BZ66" t="s">
        <v>86</v>
      </c>
      <c r="CA66" s="1">
        <v>1031</v>
      </c>
      <c r="CB66" s="1">
        <v>0</v>
      </c>
      <c r="CC66" s="1">
        <v>0</v>
      </c>
      <c r="CD66" s="1">
        <v>0</v>
      </c>
      <c r="CE66" s="1">
        <v>0</v>
      </c>
      <c r="CF66" s="1">
        <v>1547</v>
      </c>
      <c r="CG66" s="1">
        <f>SUM(tblSection619[[#This Row],[LEA/District]:[ECSE]])</f>
        <v>2578</v>
      </c>
      <c r="CH66" s="1">
        <f>tblSection619[[#This Row],[Gross Total]]*0.15</f>
        <v>386.7</v>
      </c>
    </row>
    <row r="67" spans="1:86" x14ac:dyDescent="0.35">
      <c r="A67" t="s">
        <v>87</v>
      </c>
      <c r="B67">
        <v>2137</v>
      </c>
      <c r="C67" t="s">
        <v>1528</v>
      </c>
      <c r="D67" s="44">
        <f>LEN(TblAgencies[[#This Row],[InstNm]])</f>
        <v>12</v>
      </c>
      <c r="E67" s="44" t="s">
        <v>1900</v>
      </c>
      <c r="F67" s="44" t="s">
        <v>1900</v>
      </c>
      <c r="G6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67" s="44"/>
      <c r="I67" s="44"/>
      <c r="J67" s="44"/>
      <c r="K67" s="44"/>
      <c r="M67" s="44"/>
      <c r="N67" s="44">
        <v>2137</v>
      </c>
      <c r="O67" t="s">
        <v>87</v>
      </c>
      <c r="P67" s="1">
        <v>272712.01799492305</v>
      </c>
      <c r="Q67" s="1">
        <v>35437.154880696224</v>
      </c>
      <c r="R67" s="1">
        <v>0</v>
      </c>
      <c r="S67" s="1">
        <v>0</v>
      </c>
      <c r="T67" s="1">
        <v>0</v>
      </c>
      <c r="U67" s="1">
        <v>0</v>
      </c>
      <c r="V67" s="1">
        <v>12325.966915024772</v>
      </c>
      <c r="W67" s="1">
        <v>272712.01799492305</v>
      </c>
      <c r="X67" s="1">
        <f>tblSection6111416[[#This Row],[Net Total]]*0.15</f>
        <v>40906.802699238455</v>
      </c>
      <c r="Y67" s="1"/>
      <c r="AA67" s="44">
        <v>2137</v>
      </c>
      <c r="AB67" t="s">
        <v>87</v>
      </c>
      <c r="AC67" s="1">
        <v>417.7655269884151</v>
      </c>
      <c r="AD67" s="1">
        <v>835.53105397683021</v>
      </c>
      <c r="AE67" s="1">
        <v>0</v>
      </c>
      <c r="AF67" s="1">
        <v>0</v>
      </c>
      <c r="AG67" s="1">
        <v>0</v>
      </c>
      <c r="AH67" s="1">
        <v>3342.1242159073208</v>
      </c>
      <c r="AI67" s="1">
        <v>417.76552698841442</v>
      </c>
      <c r="AJ67" s="1">
        <f>tblSection6191517[[#This Row],[Net Total]]*0.15</f>
        <v>62.664829048262163</v>
      </c>
      <c r="AK67" s="1"/>
      <c r="AM67" s="44"/>
      <c r="AN67" s="44">
        <v>2137</v>
      </c>
      <c r="AO67" t="s">
        <v>87</v>
      </c>
      <c r="AP67" s="247">
        <v>272712.01799492305</v>
      </c>
      <c r="AQ67" s="247">
        <v>35437.154880696224</v>
      </c>
      <c r="AR67" s="247">
        <v>0</v>
      </c>
      <c r="AS67" s="247">
        <v>0</v>
      </c>
      <c r="AT67" s="247">
        <v>0</v>
      </c>
      <c r="AU67" s="247">
        <v>0</v>
      </c>
      <c r="AV67" s="247">
        <v>9244.4751862685789</v>
      </c>
      <c r="AW67" s="247">
        <v>317393.64806188783</v>
      </c>
      <c r="AX67" s="1">
        <f>tblSection61114[[#This Row],[Gross Total]]*0.15</f>
        <v>47609.04720928317</v>
      </c>
      <c r="AZ67" s="44">
        <v>2137</v>
      </c>
      <c r="BA67" t="s">
        <v>87</v>
      </c>
      <c r="BB67" s="247">
        <v>417.7655269884151</v>
      </c>
      <c r="BC67" s="247">
        <v>835.53105397683021</v>
      </c>
      <c r="BD67" s="247">
        <v>0</v>
      </c>
      <c r="BE67" s="247">
        <v>0</v>
      </c>
      <c r="BF67" s="247">
        <v>0</v>
      </c>
      <c r="BG67" s="247">
        <v>2506.5931619304906</v>
      </c>
      <c r="BH67" s="247">
        <v>3759.8897428957362</v>
      </c>
      <c r="BI67" s="1">
        <f>tblSection61915[[#This Row],[Gross Total]]*0.15</f>
        <v>563.98346143436038</v>
      </c>
      <c r="BJ67" s="44"/>
      <c r="BK67" s="246"/>
      <c r="BM67" s="44">
        <v>2137</v>
      </c>
      <c r="BN67" t="s">
        <v>87</v>
      </c>
      <c r="BO67" s="1">
        <v>307169</v>
      </c>
      <c r="BP67" s="1">
        <v>28084</v>
      </c>
      <c r="BQ67" s="1">
        <v>1755</v>
      </c>
      <c r="BR67" s="1">
        <v>0</v>
      </c>
      <c r="BS67" s="1">
        <v>0</v>
      </c>
      <c r="BT67" s="1">
        <v>10531</v>
      </c>
      <c r="BU67" s="1">
        <f>SUM(tblSection611[[#This Row],[LEA/District]:[ECSE]])</f>
        <v>347539</v>
      </c>
      <c r="BV67" s="1">
        <f>tblSection611[[#This Row],[Gross Total]]*0.15</f>
        <v>52130.85</v>
      </c>
      <c r="BW67" s="1"/>
      <c r="BY67" s="44">
        <v>2137</v>
      </c>
      <c r="BZ67" t="s">
        <v>87</v>
      </c>
      <c r="CA67" s="1">
        <v>1431</v>
      </c>
      <c r="CB67" s="1">
        <v>0</v>
      </c>
      <c r="CC67" s="1">
        <v>0</v>
      </c>
      <c r="CD67" s="1">
        <v>0</v>
      </c>
      <c r="CE67" s="1">
        <v>0</v>
      </c>
      <c r="CF67" s="1">
        <v>2862</v>
      </c>
      <c r="CG67" s="1">
        <f>SUM(tblSection619[[#This Row],[LEA/District]:[ECSE]])</f>
        <v>4293</v>
      </c>
      <c r="CH67" s="1">
        <f>tblSection619[[#This Row],[Gross Total]]*0.15</f>
        <v>643.94999999999993</v>
      </c>
    </row>
    <row r="68" spans="1:86" x14ac:dyDescent="0.35">
      <c r="A68" t="s">
        <v>88</v>
      </c>
      <c r="B68">
        <v>1931</v>
      </c>
      <c r="C68" t="s">
        <v>1528</v>
      </c>
      <c r="D68" s="44">
        <f>LEN(TblAgencies[[#This Row],[InstNm]])</f>
        <v>16</v>
      </c>
      <c r="E68" s="44" t="s">
        <v>1900</v>
      </c>
      <c r="F68" s="44" t="s">
        <v>1900</v>
      </c>
      <c r="G6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68" s="44"/>
      <c r="I68" s="44"/>
      <c r="J68" s="44"/>
      <c r="K68" s="44"/>
      <c r="M68" s="44"/>
      <c r="N68" s="44">
        <v>1931</v>
      </c>
      <c r="O68" t="s">
        <v>88</v>
      </c>
      <c r="P68" s="1">
        <v>365570.19238063553</v>
      </c>
      <c r="Q68" s="1">
        <v>104204.58754775123</v>
      </c>
      <c r="R68" s="1">
        <v>0</v>
      </c>
      <c r="S68" s="1">
        <v>0</v>
      </c>
      <c r="T68" s="1">
        <v>0</v>
      </c>
      <c r="U68" s="1">
        <v>0</v>
      </c>
      <c r="V68" s="1">
        <v>47831.613956344823</v>
      </c>
      <c r="W68" s="1">
        <v>365570.19238063559</v>
      </c>
      <c r="X68" s="1">
        <f>tblSection6111416[[#This Row],[Net Total]]*0.15</f>
        <v>54835.528857095334</v>
      </c>
      <c r="Y68" s="1"/>
      <c r="AA68" s="44">
        <v>1931</v>
      </c>
      <c r="AB68" t="s">
        <v>88</v>
      </c>
      <c r="AC68" s="1">
        <v>1851.0623252127548</v>
      </c>
      <c r="AD68" s="1">
        <v>1851.0623252127548</v>
      </c>
      <c r="AE68" s="1">
        <v>0</v>
      </c>
      <c r="AF68" s="1">
        <v>0</v>
      </c>
      <c r="AG68" s="1">
        <v>0</v>
      </c>
      <c r="AH68" s="1">
        <v>3986.9034696890103</v>
      </c>
      <c r="AI68" s="1">
        <v>1851.0623252127543</v>
      </c>
      <c r="AJ68" s="1">
        <f>tblSection6191517[[#This Row],[Net Total]]*0.15</f>
        <v>277.65934878191314</v>
      </c>
      <c r="AK68" s="1"/>
      <c r="AM68" s="44"/>
      <c r="AN68" s="44">
        <v>1931</v>
      </c>
      <c r="AO68" t="s">
        <v>88</v>
      </c>
      <c r="AP68" s="247">
        <v>365570.19238063553</v>
      </c>
      <c r="AQ68" s="247">
        <v>104204.58754775123</v>
      </c>
      <c r="AR68" s="247">
        <v>0</v>
      </c>
      <c r="AS68" s="247">
        <v>0</v>
      </c>
      <c r="AT68" s="247">
        <v>0</v>
      </c>
      <c r="AU68" s="247">
        <v>0</v>
      </c>
      <c r="AV68" s="247">
        <v>29040.62275920936</v>
      </c>
      <c r="AW68" s="247">
        <v>498815.40268759616</v>
      </c>
      <c r="AX68" s="1">
        <f>tblSection61114[[#This Row],[Gross Total]]*0.15</f>
        <v>74822.310403139418</v>
      </c>
      <c r="AZ68" s="44">
        <v>1931</v>
      </c>
      <c r="BA68" t="s">
        <v>88</v>
      </c>
      <c r="BB68" s="247">
        <v>1851.0623252127548</v>
      </c>
      <c r="BC68" s="247">
        <v>1851.0623252127548</v>
      </c>
      <c r="BD68" s="247">
        <v>0</v>
      </c>
      <c r="BE68" s="247">
        <v>0</v>
      </c>
      <c r="BF68" s="247">
        <v>0</v>
      </c>
      <c r="BG68" s="247">
        <v>2420.6199637397563</v>
      </c>
      <c r="BH68" s="247">
        <v>6122.7446141652654</v>
      </c>
      <c r="BI68" s="1">
        <f>tblSection61915[[#This Row],[Gross Total]]*0.15</f>
        <v>918.41169212478974</v>
      </c>
      <c r="BJ68" s="44"/>
      <c r="BK68" s="246"/>
      <c r="BM68" s="44">
        <v>1931</v>
      </c>
      <c r="BN68" t="s">
        <v>88</v>
      </c>
      <c r="BO68" s="1">
        <v>315551</v>
      </c>
      <c r="BP68" s="1">
        <v>53483</v>
      </c>
      <c r="BQ68" s="1">
        <v>0</v>
      </c>
      <c r="BR68" s="1">
        <v>0</v>
      </c>
      <c r="BS68" s="1">
        <v>0</v>
      </c>
      <c r="BT68" s="1">
        <v>36101</v>
      </c>
      <c r="BU68" s="1">
        <f>SUM(tblSection611[[#This Row],[LEA/District]:[ECSE]])</f>
        <v>405135</v>
      </c>
      <c r="BV68" s="1">
        <f>tblSection611[[#This Row],[Gross Total]]*0.15</f>
        <v>60770.25</v>
      </c>
      <c r="BW68" s="1"/>
      <c r="BY68" s="44">
        <v>1931</v>
      </c>
      <c r="BZ68" t="s">
        <v>88</v>
      </c>
      <c r="CA68" s="1">
        <v>1448</v>
      </c>
      <c r="CB68" s="1">
        <v>132</v>
      </c>
      <c r="CC68" s="1">
        <v>0</v>
      </c>
      <c r="CD68" s="1">
        <v>0</v>
      </c>
      <c r="CE68" s="1">
        <v>0</v>
      </c>
      <c r="CF68" s="1">
        <v>3554</v>
      </c>
      <c r="CG68" s="1">
        <f>SUM(tblSection619[[#This Row],[LEA/District]:[ECSE]])</f>
        <v>5134</v>
      </c>
      <c r="CH68" s="1">
        <f>tblSection619[[#This Row],[Gross Total]]*0.15</f>
        <v>770.1</v>
      </c>
    </row>
    <row r="69" spans="1:86" x14ac:dyDescent="0.35">
      <c r="A69" t="s">
        <v>89</v>
      </c>
      <c r="B69">
        <v>2000</v>
      </c>
      <c r="C69" t="s">
        <v>1528</v>
      </c>
      <c r="D69" s="44">
        <f>LEN(TblAgencies[[#This Row],[InstNm]])</f>
        <v>14</v>
      </c>
      <c r="E69" s="44" t="s">
        <v>1900</v>
      </c>
      <c r="F69" s="44" t="s">
        <v>1900</v>
      </c>
      <c r="G6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69" s="44"/>
      <c r="I69" s="44"/>
      <c r="J69" s="44"/>
      <c r="K69" s="44"/>
      <c r="M69" s="44"/>
      <c r="N69" s="44">
        <v>2000</v>
      </c>
      <c r="O69" t="s">
        <v>89</v>
      </c>
      <c r="P69" s="1">
        <v>76915.012253193359</v>
      </c>
      <c r="Q69" s="1">
        <v>8740.3423014992459</v>
      </c>
      <c r="R69" s="1">
        <v>0</v>
      </c>
      <c r="S69" s="1">
        <v>0</v>
      </c>
      <c r="T69" s="1">
        <v>0</v>
      </c>
      <c r="U69" s="1">
        <v>0</v>
      </c>
      <c r="V69" s="1">
        <v>5244.2053808995479</v>
      </c>
      <c r="W69" s="1">
        <v>76915.012253193345</v>
      </c>
      <c r="X69" s="1">
        <f>tblSection6111416[[#This Row],[Net Total]]*0.15</f>
        <v>11537.251837979002</v>
      </c>
      <c r="Y69" s="1"/>
      <c r="AA69" s="44">
        <v>2000</v>
      </c>
      <c r="AB69" t="s">
        <v>89</v>
      </c>
      <c r="AC69" s="1">
        <v>275.76650996819171</v>
      </c>
      <c r="AD69" s="1">
        <v>0</v>
      </c>
      <c r="AE69" s="1">
        <v>0</v>
      </c>
      <c r="AF69" s="1">
        <v>0</v>
      </c>
      <c r="AG69" s="1">
        <v>0</v>
      </c>
      <c r="AH69" s="1">
        <v>413.64976495228757</v>
      </c>
      <c r="AI69" s="1">
        <v>275.76650996819171</v>
      </c>
      <c r="AJ69" s="1">
        <f>tblSection6191517[[#This Row],[Net Total]]*0.15</f>
        <v>41.364976495228753</v>
      </c>
      <c r="AK69" s="1"/>
      <c r="AM69" s="44"/>
      <c r="AN69" s="44">
        <v>2000</v>
      </c>
      <c r="AO69" t="s">
        <v>89</v>
      </c>
      <c r="AP69" s="247">
        <v>76915.012253193359</v>
      </c>
      <c r="AQ69" s="247">
        <v>8740.3423014992459</v>
      </c>
      <c r="AR69" s="247">
        <v>0</v>
      </c>
      <c r="AS69" s="247">
        <v>0</v>
      </c>
      <c r="AT69" s="247">
        <v>0</v>
      </c>
      <c r="AU69" s="247">
        <v>0</v>
      </c>
      <c r="AV69" s="247">
        <v>5244.2053808995479</v>
      </c>
      <c r="AW69" s="247">
        <v>90899.559935592144</v>
      </c>
      <c r="AX69" s="1">
        <f>tblSection61114[[#This Row],[Gross Total]]*0.15</f>
        <v>13634.933990338821</v>
      </c>
      <c r="AZ69" s="44">
        <v>2000</v>
      </c>
      <c r="BA69" t="s">
        <v>89</v>
      </c>
      <c r="BB69" s="247">
        <v>275.76650996819171</v>
      </c>
      <c r="BC69" s="247">
        <v>0</v>
      </c>
      <c r="BD69" s="247">
        <v>0</v>
      </c>
      <c r="BE69" s="247">
        <v>0</v>
      </c>
      <c r="BF69" s="247">
        <v>0</v>
      </c>
      <c r="BG69" s="247">
        <v>413.64976495228757</v>
      </c>
      <c r="BH69" s="247">
        <v>689.41627492047928</v>
      </c>
      <c r="BI69" s="1">
        <f>tblSection61915[[#This Row],[Gross Total]]*0.15</f>
        <v>103.41244123807189</v>
      </c>
      <c r="BJ69" s="44"/>
      <c r="BK69" s="246"/>
      <c r="BM69" s="44">
        <v>2000</v>
      </c>
      <c r="BN69" t="s">
        <v>89</v>
      </c>
      <c r="BO69" s="1">
        <v>68151</v>
      </c>
      <c r="BP69" s="1">
        <v>4259</v>
      </c>
      <c r="BQ69" s="1">
        <v>0</v>
      </c>
      <c r="BR69" s="1">
        <v>0</v>
      </c>
      <c r="BS69" s="1">
        <v>0</v>
      </c>
      <c r="BT69" s="1">
        <v>5679</v>
      </c>
      <c r="BU69" s="1">
        <f>SUM(tblSection611[[#This Row],[LEA/District]:[ECSE]])</f>
        <v>78089</v>
      </c>
      <c r="BV69" s="1">
        <f>tblSection611[[#This Row],[Gross Total]]*0.15</f>
        <v>11713.35</v>
      </c>
      <c r="BW69" s="1"/>
      <c r="BY69" s="44">
        <v>2000</v>
      </c>
      <c r="BZ69" t="s">
        <v>89</v>
      </c>
      <c r="CA69" s="1">
        <v>217</v>
      </c>
      <c r="CB69" s="1">
        <v>0</v>
      </c>
      <c r="CC69" s="1">
        <v>0</v>
      </c>
      <c r="CD69" s="1">
        <v>0</v>
      </c>
      <c r="CE69" s="1">
        <v>0</v>
      </c>
      <c r="CF69" s="1">
        <v>434</v>
      </c>
      <c r="CG69" s="1">
        <f>SUM(tblSection619[[#This Row],[LEA/District]:[ECSE]])</f>
        <v>651</v>
      </c>
      <c r="CH69" s="1">
        <f>tblSection619[[#This Row],[Gross Total]]*0.15</f>
        <v>97.649999999999991</v>
      </c>
    </row>
    <row r="70" spans="1:86" x14ac:dyDescent="0.35">
      <c r="A70" t="s">
        <v>90</v>
      </c>
      <c r="B70">
        <v>1992</v>
      </c>
      <c r="C70" t="s">
        <v>1528</v>
      </c>
      <c r="D70" s="44">
        <f>LEN(TblAgencies[[#This Row],[InstNm]])</f>
        <v>11</v>
      </c>
      <c r="E70" s="44" t="s">
        <v>1900</v>
      </c>
      <c r="F70" s="44" t="s">
        <v>1900</v>
      </c>
      <c r="G7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70" s="44"/>
      <c r="I70" s="44"/>
      <c r="J70" s="44"/>
      <c r="K70" s="44"/>
      <c r="M70" s="44"/>
      <c r="N70" s="44">
        <v>1992</v>
      </c>
      <c r="O70" t="s">
        <v>90</v>
      </c>
      <c r="P70" s="1">
        <v>200647.74152684241</v>
      </c>
      <c r="Q70" s="1">
        <v>21206.671868690661</v>
      </c>
      <c r="R70" s="1">
        <v>0</v>
      </c>
      <c r="S70" s="1">
        <v>0</v>
      </c>
      <c r="T70" s="1">
        <v>0</v>
      </c>
      <c r="U70" s="1">
        <v>0</v>
      </c>
      <c r="V70" s="1">
        <v>8156.4122571887146</v>
      </c>
      <c r="W70" s="1">
        <v>200647.74152684244</v>
      </c>
      <c r="X70" s="1">
        <f>tblSection6111416[[#This Row],[Net Total]]*0.15</f>
        <v>30097.161229026366</v>
      </c>
      <c r="Y70" s="1"/>
      <c r="AA70" s="44">
        <v>1992</v>
      </c>
      <c r="AB70" t="s">
        <v>90</v>
      </c>
      <c r="AC70" s="1">
        <v>1050.8251093647682</v>
      </c>
      <c r="AD70" s="1">
        <v>1050.8251093647682</v>
      </c>
      <c r="AE70" s="1">
        <v>0</v>
      </c>
      <c r="AF70" s="1">
        <v>0</v>
      </c>
      <c r="AG70" s="1">
        <v>0</v>
      </c>
      <c r="AH70" s="1">
        <v>2627.0627734119207</v>
      </c>
      <c r="AI70" s="1">
        <v>1050.8251093647682</v>
      </c>
      <c r="AJ70" s="1">
        <f>tblSection6191517[[#This Row],[Net Total]]*0.15</f>
        <v>157.62376640471521</v>
      </c>
      <c r="AK70" s="1"/>
      <c r="AM70" s="44"/>
      <c r="AN70" s="44">
        <v>1992</v>
      </c>
      <c r="AO70" t="s">
        <v>90</v>
      </c>
      <c r="AP70" s="247">
        <v>200647.74152684241</v>
      </c>
      <c r="AQ70" s="247">
        <v>21206.671868690661</v>
      </c>
      <c r="AR70" s="247">
        <v>0</v>
      </c>
      <c r="AS70" s="247">
        <v>0</v>
      </c>
      <c r="AT70" s="247">
        <v>0</v>
      </c>
      <c r="AU70" s="247">
        <v>0</v>
      </c>
      <c r="AV70" s="247">
        <v>6525.1298057509721</v>
      </c>
      <c r="AW70" s="247">
        <v>228379.54320128405</v>
      </c>
      <c r="AX70" s="1">
        <f>tblSection61114[[#This Row],[Gross Total]]*0.15</f>
        <v>34256.931480192608</v>
      </c>
      <c r="AZ70" s="44">
        <v>1992</v>
      </c>
      <c r="BA70" t="s">
        <v>90</v>
      </c>
      <c r="BB70" s="247">
        <v>1050.8251093647682</v>
      </c>
      <c r="BC70" s="247">
        <v>1050.8251093647682</v>
      </c>
      <c r="BD70" s="247">
        <v>0</v>
      </c>
      <c r="BE70" s="247">
        <v>0</v>
      </c>
      <c r="BF70" s="247">
        <v>0</v>
      </c>
      <c r="BG70" s="247">
        <v>2101.6502187295364</v>
      </c>
      <c r="BH70" s="247">
        <v>4203.3004374590728</v>
      </c>
      <c r="BI70" s="1">
        <f>tblSection61915[[#This Row],[Gross Total]]*0.15</f>
        <v>630.49506561886085</v>
      </c>
      <c r="BJ70" s="44"/>
      <c r="BK70" s="246"/>
      <c r="BM70" s="44">
        <v>1992</v>
      </c>
      <c r="BN70" t="s">
        <v>90</v>
      </c>
      <c r="BO70" s="1">
        <v>173942</v>
      </c>
      <c r="BP70" s="1">
        <v>25906</v>
      </c>
      <c r="BQ70" s="1">
        <v>0</v>
      </c>
      <c r="BR70" s="1">
        <v>0</v>
      </c>
      <c r="BS70" s="1">
        <v>0</v>
      </c>
      <c r="BT70" s="1">
        <v>7402</v>
      </c>
      <c r="BU70" s="1">
        <f>SUM(tblSection611[[#This Row],[LEA/District]:[ECSE]])</f>
        <v>207250</v>
      </c>
      <c r="BV70" s="1">
        <f>tblSection611[[#This Row],[Gross Total]]*0.15</f>
        <v>31087.5</v>
      </c>
      <c r="BW70" s="1"/>
      <c r="BY70" s="44">
        <v>1992</v>
      </c>
      <c r="BZ70" t="s">
        <v>90</v>
      </c>
      <c r="CA70" s="1">
        <v>2127</v>
      </c>
      <c r="CB70" s="1">
        <v>0</v>
      </c>
      <c r="CC70" s="1">
        <v>0</v>
      </c>
      <c r="CD70" s="1">
        <v>0</v>
      </c>
      <c r="CE70" s="1">
        <v>0</v>
      </c>
      <c r="CF70" s="1">
        <v>2127</v>
      </c>
      <c r="CG70" s="1">
        <f>SUM(tblSection619[[#This Row],[LEA/District]:[ECSE]])</f>
        <v>4254</v>
      </c>
      <c r="CH70" s="1">
        <f>tblSection619[[#This Row],[Gross Total]]*0.15</f>
        <v>638.1</v>
      </c>
    </row>
    <row r="71" spans="1:86" x14ac:dyDescent="0.35">
      <c r="A71" t="s">
        <v>91</v>
      </c>
      <c r="B71">
        <v>2054</v>
      </c>
      <c r="C71" t="s">
        <v>1528</v>
      </c>
      <c r="D71" s="44">
        <f>LEN(TblAgencies[[#This Row],[InstNm]])</f>
        <v>16</v>
      </c>
      <c r="E71" s="44" t="s">
        <v>1900</v>
      </c>
      <c r="F71" s="44" t="s">
        <v>1900</v>
      </c>
      <c r="G7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71" s="44"/>
      <c r="I71" s="44"/>
      <c r="J71" s="44"/>
      <c r="K71" s="44"/>
      <c r="M71" s="44"/>
      <c r="N71" s="44">
        <v>2054</v>
      </c>
      <c r="O71" t="s">
        <v>91</v>
      </c>
      <c r="P71" s="1">
        <v>1027303.1881668991</v>
      </c>
      <c r="Q71" s="1">
        <v>207211.72261320977</v>
      </c>
      <c r="R71" s="1">
        <v>0</v>
      </c>
      <c r="S71" s="1">
        <v>2918.4749663832358</v>
      </c>
      <c r="T71" s="1">
        <v>0</v>
      </c>
      <c r="U71" s="1">
        <v>0</v>
      </c>
      <c r="V71" s="1">
        <v>124035.18607128754</v>
      </c>
      <c r="W71" s="1">
        <v>1027303.1881668994</v>
      </c>
      <c r="X71" s="1">
        <f>tblSection6111416[[#This Row],[Net Total]]*0.15</f>
        <v>154095.47822503489</v>
      </c>
      <c r="Y71" s="1"/>
      <c r="AA71" s="44">
        <v>2054</v>
      </c>
      <c r="AB71" t="s">
        <v>91</v>
      </c>
      <c r="AC71" s="1">
        <v>7487.0806554204255</v>
      </c>
      <c r="AD71" s="1">
        <v>8318.978506022695</v>
      </c>
      <c r="AE71" s="1">
        <v>0</v>
      </c>
      <c r="AF71" s="1">
        <v>0</v>
      </c>
      <c r="AG71" s="1">
        <v>0</v>
      </c>
      <c r="AH71" s="1">
        <v>23570.439100397638</v>
      </c>
      <c r="AI71" s="1">
        <v>7487.0806554204246</v>
      </c>
      <c r="AJ71" s="1">
        <f>tblSection6191517[[#This Row],[Net Total]]*0.15</f>
        <v>1123.0620983130636</v>
      </c>
      <c r="AK71" s="1"/>
      <c r="AM71" s="44"/>
      <c r="AN71" s="44">
        <v>2054</v>
      </c>
      <c r="AO71" t="s">
        <v>91</v>
      </c>
      <c r="AP71" s="247">
        <v>1027303.1881668991</v>
      </c>
      <c r="AQ71" s="247">
        <v>207211.72261320977</v>
      </c>
      <c r="AR71" s="247">
        <v>0</v>
      </c>
      <c r="AS71" s="247">
        <v>2918.4749663832358</v>
      </c>
      <c r="AT71" s="247">
        <v>0</v>
      </c>
      <c r="AU71" s="247">
        <v>0</v>
      </c>
      <c r="AV71" s="247">
        <v>96309.673890646794</v>
      </c>
      <c r="AW71" s="247">
        <v>1333743.0596371391</v>
      </c>
      <c r="AX71" s="1">
        <f>tblSection61114[[#This Row],[Gross Total]]*0.15</f>
        <v>200061.45894557086</v>
      </c>
      <c r="AZ71" s="44">
        <v>2054</v>
      </c>
      <c r="BA71" t="s">
        <v>91</v>
      </c>
      <c r="BB71" s="247">
        <v>7487.0806554204255</v>
      </c>
      <c r="BC71" s="247">
        <v>8318.978506022695</v>
      </c>
      <c r="BD71" s="247">
        <v>0</v>
      </c>
      <c r="BE71" s="247">
        <v>0</v>
      </c>
      <c r="BF71" s="247">
        <v>0</v>
      </c>
      <c r="BG71" s="247">
        <v>18301.752713249931</v>
      </c>
      <c r="BH71" s="247">
        <v>34107.811874693056</v>
      </c>
      <c r="BI71" s="1">
        <f>tblSection61915[[#This Row],[Gross Total]]*0.15</f>
        <v>5116.1717812039578</v>
      </c>
      <c r="BJ71" s="44"/>
      <c r="BK71" s="246"/>
      <c r="BM71" s="44">
        <v>2054</v>
      </c>
      <c r="BN71" t="s">
        <v>91</v>
      </c>
      <c r="BO71" s="1">
        <v>901210</v>
      </c>
      <c r="BP71" s="1">
        <v>193010</v>
      </c>
      <c r="BQ71" s="1">
        <v>0</v>
      </c>
      <c r="BR71" s="1">
        <v>5939</v>
      </c>
      <c r="BS71" s="1">
        <v>0</v>
      </c>
      <c r="BT71" s="1">
        <v>115806</v>
      </c>
      <c r="BU71" s="1">
        <f>SUM(tblSection611[[#This Row],[LEA/District]:[ECSE]])</f>
        <v>1215965</v>
      </c>
      <c r="BV71" s="1">
        <f>tblSection611[[#This Row],[Gross Total]]*0.15</f>
        <v>182394.75</v>
      </c>
      <c r="BW71" s="1"/>
      <c r="BY71" s="44">
        <v>2054</v>
      </c>
      <c r="BZ71" t="s">
        <v>91</v>
      </c>
      <c r="CA71" s="1">
        <v>5602</v>
      </c>
      <c r="CB71" s="1">
        <v>1556</v>
      </c>
      <c r="CC71" s="1">
        <v>0</v>
      </c>
      <c r="CD71" s="1">
        <v>0</v>
      </c>
      <c r="CE71" s="1">
        <v>0</v>
      </c>
      <c r="CF71" s="1">
        <v>24277</v>
      </c>
      <c r="CG71" s="1">
        <f>SUM(tblSection619[[#This Row],[LEA/District]:[ECSE]])</f>
        <v>31435</v>
      </c>
      <c r="CH71" s="1">
        <f>tblSection619[[#This Row],[Gross Total]]*0.15</f>
        <v>4715.25</v>
      </c>
    </row>
    <row r="72" spans="1:86" x14ac:dyDescent="0.35">
      <c r="A72" t="s">
        <v>92</v>
      </c>
      <c r="B72">
        <v>2100</v>
      </c>
      <c r="C72" t="s">
        <v>1528</v>
      </c>
      <c r="D72" s="44">
        <f>LEN(TblAgencies[[#This Row],[InstNm]])</f>
        <v>27</v>
      </c>
      <c r="E72" s="44" t="s">
        <v>1900</v>
      </c>
      <c r="F72" s="44" t="s">
        <v>1900</v>
      </c>
      <c r="G7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72" s="44"/>
      <c r="I72" s="44"/>
      <c r="J72" s="44"/>
      <c r="K72" s="44"/>
      <c r="M72" s="44"/>
      <c r="N72" s="44">
        <v>2100</v>
      </c>
      <c r="O72" t="s">
        <v>92</v>
      </c>
      <c r="P72" s="1">
        <v>1709015.8699543206</v>
      </c>
      <c r="Q72" s="1">
        <v>422018.99898966262</v>
      </c>
      <c r="R72" s="1">
        <v>4832.2786143854501</v>
      </c>
      <c r="S72" s="1">
        <v>0</v>
      </c>
      <c r="T72" s="1">
        <v>0</v>
      </c>
      <c r="U72" s="1">
        <v>0</v>
      </c>
      <c r="V72" s="1">
        <v>230338.6139523731</v>
      </c>
      <c r="W72" s="1">
        <v>1709015.8699543206</v>
      </c>
      <c r="X72" s="1">
        <f>tblSection6111416[[#This Row],[Net Total]]*0.15</f>
        <v>256352.38049314808</v>
      </c>
      <c r="Y72" s="1"/>
      <c r="AA72" s="44">
        <v>2100</v>
      </c>
      <c r="AB72" t="s">
        <v>92</v>
      </c>
      <c r="AC72" s="1">
        <v>14755.761146601038</v>
      </c>
      <c r="AD72" s="1">
        <v>5011.3905780909181</v>
      </c>
      <c r="AE72" s="1">
        <v>0</v>
      </c>
      <c r="AF72" s="1">
        <v>0</v>
      </c>
      <c r="AG72" s="1">
        <v>0</v>
      </c>
      <c r="AH72" s="1">
        <v>39812.714037055637</v>
      </c>
      <c r="AI72" s="1">
        <v>14755.761146601042</v>
      </c>
      <c r="AJ72" s="1">
        <f>tblSection6191517[[#This Row],[Net Total]]*0.15</f>
        <v>2213.3641719901561</v>
      </c>
      <c r="AK72" s="1"/>
      <c r="AM72" s="44"/>
      <c r="AN72" s="44">
        <v>2100</v>
      </c>
      <c r="AO72" t="s">
        <v>92</v>
      </c>
      <c r="AP72" s="247">
        <v>1709015.8699543206</v>
      </c>
      <c r="AQ72" s="247">
        <v>422018.99898966262</v>
      </c>
      <c r="AR72" s="247">
        <v>4832.2786143854501</v>
      </c>
      <c r="AS72" s="247">
        <v>0</v>
      </c>
      <c r="AT72" s="247">
        <v>0</v>
      </c>
      <c r="AU72" s="247">
        <v>0</v>
      </c>
      <c r="AV72" s="247">
        <v>211009.49949483131</v>
      </c>
      <c r="AW72" s="247">
        <v>2346876.6470531998</v>
      </c>
      <c r="AX72" s="1">
        <f>tblSection61114[[#This Row],[Gross Total]]*0.15</f>
        <v>352031.49705797998</v>
      </c>
      <c r="AZ72" s="44">
        <v>2100</v>
      </c>
      <c r="BA72" t="s">
        <v>92</v>
      </c>
      <c r="BB72" s="247">
        <v>14755.761146601038</v>
      </c>
      <c r="BC72" s="247">
        <v>5011.3905780909181</v>
      </c>
      <c r="BD72" s="247">
        <v>0</v>
      </c>
      <c r="BE72" s="247">
        <v>0</v>
      </c>
      <c r="BF72" s="247">
        <v>0</v>
      </c>
      <c r="BG72" s="247">
        <v>36471.786984995022</v>
      </c>
      <c r="BH72" s="247">
        <v>56238.938709686976</v>
      </c>
      <c r="BI72" s="1">
        <f>tblSection61915[[#This Row],[Gross Total]]*0.15</f>
        <v>8435.8408064530468</v>
      </c>
      <c r="BJ72" s="44"/>
      <c r="BK72" s="246"/>
      <c r="BM72" s="44">
        <v>2100</v>
      </c>
      <c r="BN72" t="s">
        <v>92</v>
      </c>
      <c r="BO72" s="1">
        <v>1491395</v>
      </c>
      <c r="BP72" s="1">
        <v>321835</v>
      </c>
      <c r="BQ72" s="1">
        <v>5478</v>
      </c>
      <c r="BR72" s="1">
        <v>0</v>
      </c>
      <c r="BS72" s="1">
        <v>0</v>
      </c>
      <c r="BT72" s="1">
        <v>167080</v>
      </c>
      <c r="BU72" s="1">
        <f>SUM(tblSection611[[#This Row],[LEA/District]:[ECSE]])</f>
        <v>1985788</v>
      </c>
      <c r="BV72" s="1">
        <f>tblSection611[[#This Row],[Gross Total]]*0.15</f>
        <v>297868.2</v>
      </c>
      <c r="BW72" s="1"/>
      <c r="BY72" s="44">
        <v>2100</v>
      </c>
      <c r="BZ72" t="s">
        <v>92</v>
      </c>
      <c r="CA72" s="1">
        <v>10437</v>
      </c>
      <c r="CB72" s="1">
        <v>4175</v>
      </c>
      <c r="CC72" s="1">
        <v>0</v>
      </c>
      <c r="CD72" s="1">
        <v>0</v>
      </c>
      <c r="CE72" s="1">
        <v>0</v>
      </c>
      <c r="CF72" s="1">
        <v>36379</v>
      </c>
      <c r="CG72" s="1">
        <f>SUM(tblSection619[[#This Row],[LEA/District]:[ECSE]])</f>
        <v>50991</v>
      </c>
      <c r="CH72" s="1">
        <f>tblSection619[[#This Row],[Gross Total]]*0.15</f>
        <v>7648.65</v>
      </c>
    </row>
    <row r="73" spans="1:86" x14ac:dyDescent="0.35">
      <c r="A73" t="s">
        <v>93</v>
      </c>
      <c r="B73">
        <v>2183</v>
      </c>
      <c r="C73" t="s">
        <v>1528</v>
      </c>
      <c r="D73" s="44">
        <f>LEN(TblAgencies[[#This Row],[InstNm]])</f>
        <v>21</v>
      </c>
      <c r="E73" s="44" t="s">
        <v>1900</v>
      </c>
      <c r="F73" s="44" t="s">
        <v>1900</v>
      </c>
      <c r="G7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73" s="44"/>
      <c r="I73" s="44"/>
      <c r="J73" s="44"/>
      <c r="K73" s="44"/>
      <c r="M73" s="44"/>
      <c r="N73" s="44">
        <v>2183</v>
      </c>
      <c r="O73" t="s">
        <v>93</v>
      </c>
      <c r="P73" s="1">
        <v>2036024.836959451</v>
      </c>
      <c r="Q73" s="1">
        <v>613202.77442543465</v>
      </c>
      <c r="R73" s="1">
        <v>0</v>
      </c>
      <c r="S73" s="1">
        <v>0</v>
      </c>
      <c r="T73" s="1">
        <v>0</v>
      </c>
      <c r="U73" s="1">
        <v>0</v>
      </c>
      <c r="V73" s="1">
        <v>322570.2094633797</v>
      </c>
      <c r="W73" s="1">
        <v>2036024.836959451</v>
      </c>
      <c r="X73" s="1">
        <f>tblSection6111416[[#This Row],[Net Total]]*0.15</f>
        <v>305403.72554391762</v>
      </c>
      <c r="Y73" s="1"/>
      <c r="AA73" s="44">
        <v>2183</v>
      </c>
      <c r="AB73" t="s">
        <v>93</v>
      </c>
      <c r="AC73" s="1">
        <v>13183.629593706153</v>
      </c>
      <c r="AD73" s="1">
        <v>21240.292123193249</v>
      </c>
      <c r="AE73" s="1">
        <v>0</v>
      </c>
      <c r="AF73" s="1">
        <v>0</v>
      </c>
      <c r="AG73" s="1">
        <v>0</v>
      </c>
      <c r="AH73" s="1">
        <v>49316.540332011908</v>
      </c>
      <c r="AI73" s="1">
        <v>13183.629593706166</v>
      </c>
      <c r="AJ73" s="1">
        <f>tblSection6191517[[#This Row],[Net Total]]*0.15</f>
        <v>1977.5444390559248</v>
      </c>
      <c r="AK73" s="1"/>
      <c r="AM73" s="44"/>
      <c r="AN73" s="44">
        <v>2183</v>
      </c>
      <c r="AO73" t="s">
        <v>93</v>
      </c>
      <c r="AP73" s="247">
        <v>2036024.836959451</v>
      </c>
      <c r="AQ73" s="247">
        <v>613202.77442543465</v>
      </c>
      <c r="AR73" s="247">
        <v>0</v>
      </c>
      <c r="AS73" s="247">
        <v>0</v>
      </c>
      <c r="AT73" s="247">
        <v>0</v>
      </c>
      <c r="AU73" s="247">
        <v>0</v>
      </c>
      <c r="AV73" s="247">
        <v>220369.74705914056</v>
      </c>
      <c r="AW73" s="247">
        <v>2869597.3584440257</v>
      </c>
      <c r="AX73" s="1">
        <f>tblSection61114[[#This Row],[Gross Total]]*0.15</f>
        <v>430439.60376660386</v>
      </c>
      <c r="AZ73" s="44">
        <v>2183</v>
      </c>
      <c r="BA73" t="s">
        <v>93</v>
      </c>
      <c r="BB73" s="247">
        <v>13183.629593706153</v>
      </c>
      <c r="BC73" s="247">
        <v>21240.292123193249</v>
      </c>
      <c r="BD73" s="247">
        <v>0</v>
      </c>
      <c r="BE73" s="247">
        <v>0</v>
      </c>
      <c r="BF73" s="247">
        <v>0</v>
      </c>
      <c r="BG73" s="247">
        <v>33691.497850582396</v>
      </c>
      <c r="BH73" s="247">
        <v>68115.419567481789</v>
      </c>
      <c r="BI73" s="1">
        <f>tblSection61915[[#This Row],[Gross Total]]*0.15</f>
        <v>10217.312935122269</v>
      </c>
      <c r="BJ73" s="44"/>
      <c r="BK73" s="246"/>
      <c r="BM73" s="44">
        <v>2183</v>
      </c>
      <c r="BN73" t="s">
        <v>93</v>
      </c>
      <c r="BO73" s="1">
        <v>1936813</v>
      </c>
      <c r="BP73" s="1">
        <v>430234</v>
      </c>
      <c r="BQ73" s="1">
        <v>0</v>
      </c>
      <c r="BR73" s="1">
        <v>0</v>
      </c>
      <c r="BS73" s="1">
        <v>0</v>
      </c>
      <c r="BT73" s="1">
        <v>223478</v>
      </c>
      <c r="BU73" s="1">
        <f>SUM(tblSection611[[#This Row],[LEA/District]:[ECSE]])</f>
        <v>2590525</v>
      </c>
      <c r="BV73" s="1">
        <f>tblSection611[[#This Row],[Gross Total]]*0.15</f>
        <v>388578.75</v>
      </c>
      <c r="BW73" s="1"/>
      <c r="BY73" s="44">
        <v>2183</v>
      </c>
      <c r="BZ73" t="s">
        <v>93</v>
      </c>
      <c r="CA73" s="1">
        <v>15860</v>
      </c>
      <c r="CB73" s="1">
        <v>3682</v>
      </c>
      <c r="CC73" s="1">
        <v>0</v>
      </c>
      <c r="CD73" s="1">
        <v>0</v>
      </c>
      <c r="CE73" s="1">
        <v>0</v>
      </c>
      <c r="CF73" s="1">
        <v>41633</v>
      </c>
      <c r="CG73" s="1">
        <f>SUM(tblSection619[[#This Row],[LEA/District]:[ECSE]])</f>
        <v>61175</v>
      </c>
      <c r="CH73" s="1">
        <f>tblSection619[[#This Row],[Gross Total]]*0.15</f>
        <v>9176.25</v>
      </c>
    </row>
    <row r="74" spans="1:86" x14ac:dyDescent="0.35">
      <c r="A74" t="s">
        <v>94</v>
      </c>
      <c r="B74">
        <v>2014</v>
      </c>
      <c r="C74" t="s">
        <v>1528</v>
      </c>
      <c r="D74" s="44">
        <f>LEN(TblAgencies[[#This Row],[InstNm]])</f>
        <v>18</v>
      </c>
      <c r="E74" s="44" t="s">
        <v>1900</v>
      </c>
      <c r="F74" s="44" t="s">
        <v>1900</v>
      </c>
      <c r="G7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74" s="44"/>
      <c r="I74" s="44"/>
      <c r="J74" s="44"/>
      <c r="K74" s="44"/>
      <c r="M74" s="44"/>
      <c r="N74" s="44">
        <v>2014</v>
      </c>
      <c r="O74" t="s">
        <v>94</v>
      </c>
      <c r="P74" s="1">
        <v>199744.27419596654</v>
      </c>
      <c r="Q74" s="1">
        <v>21971.870161556319</v>
      </c>
      <c r="R74" s="1">
        <v>0</v>
      </c>
      <c r="S74" s="1">
        <v>0</v>
      </c>
      <c r="T74" s="1">
        <v>0</v>
      </c>
      <c r="U74" s="1">
        <v>0</v>
      </c>
      <c r="V74" s="1">
        <v>39948.8548391933</v>
      </c>
      <c r="W74" s="1">
        <v>199744.27419596654</v>
      </c>
      <c r="X74" s="1">
        <f>tblSection6111416[[#This Row],[Net Total]]*0.15</f>
        <v>29961.641129394979</v>
      </c>
      <c r="Y74" s="1"/>
      <c r="AA74" s="44">
        <v>2014</v>
      </c>
      <c r="AB74" t="s">
        <v>94</v>
      </c>
      <c r="AC74" s="1">
        <v>3286.2033217934709</v>
      </c>
      <c r="AD74" s="1">
        <v>657.24066435869418</v>
      </c>
      <c r="AE74" s="1">
        <v>0</v>
      </c>
      <c r="AF74" s="1">
        <v>0</v>
      </c>
      <c r="AG74" s="1">
        <v>0</v>
      </c>
      <c r="AH74" s="1">
        <v>6572.4066435869418</v>
      </c>
      <c r="AI74" s="1">
        <v>3286.2033217934713</v>
      </c>
      <c r="AJ74" s="1">
        <f>tblSection6191517[[#This Row],[Net Total]]*0.15</f>
        <v>492.93049826902069</v>
      </c>
      <c r="AK74" s="1"/>
      <c r="AM74" s="44"/>
      <c r="AN74" s="44">
        <v>2014</v>
      </c>
      <c r="AO74" t="s">
        <v>94</v>
      </c>
      <c r="AP74" s="247">
        <v>199744.27419596654</v>
      </c>
      <c r="AQ74" s="247">
        <v>21971.870161556319</v>
      </c>
      <c r="AR74" s="247">
        <v>0</v>
      </c>
      <c r="AS74" s="247">
        <v>0</v>
      </c>
      <c r="AT74" s="247">
        <v>0</v>
      </c>
      <c r="AU74" s="247">
        <v>0</v>
      </c>
      <c r="AV74" s="247">
        <v>39948.8548391933</v>
      </c>
      <c r="AW74" s="247">
        <v>261664.99919671618</v>
      </c>
      <c r="AX74" s="1">
        <f>tblSection61114[[#This Row],[Gross Total]]*0.15</f>
        <v>39249.749879507428</v>
      </c>
      <c r="AZ74" s="44">
        <v>2014</v>
      </c>
      <c r="BA74" t="s">
        <v>94</v>
      </c>
      <c r="BB74" s="247">
        <v>3286.2033217934709</v>
      </c>
      <c r="BC74" s="247">
        <v>657.24066435869418</v>
      </c>
      <c r="BD74" s="247">
        <v>0</v>
      </c>
      <c r="BE74" s="247">
        <v>0</v>
      </c>
      <c r="BF74" s="247">
        <v>0</v>
      </c>
      <c r="BG74" s="247">
        <v>6572.4066435869418</v>
      </c>
      <c r="BH74" s="247">
        <v>10515.850629739107</v>
      </c>
      <c r="BI74" s="1">
        <f>tblSection61915[[#This Row],[Gross Total]]*0.15</f>
        <v>1577.377594460866</v>
      </c>
      <c r="BJ74" s="44"/>
      <c r="BK74" s="246"/>
      <c r="BM74" s="44">
        <v>2014</v>
      </c>
      <c r="BN74" t="s">
        <v>94</v>
      </c>
      <c r="BO74" s="1">
        <v>174135</v>
      </c>
      <c r="BP74" s="1">
        <v>17589</v>
      </c>
      <c r="BQ74" s="1">
        <v>0</v>
      </c>
      <c r="BR74" s="1">
        <v>0</v>
      </c>
      <c r="BS74" s="1">
        <v>0</v>
      </c>
      <c r="BT74" s="1">
        <v>35179</v>
      </c>
      <c r="BU74" s="1">
        <f>SUM(tblSection611[[#This Row],[LEA/District]:[ECSE]])</f>
        <v>226903</v>
      </c>
      <c r="BV74" s="1">
        <f>tblSection611[[#This Row],[Gross Total]]*0.15</f>
        <v>34035.449999999997</v>
      </c>
      <c r="BW74" s="1"/>
      <c r="BY74" s="44">
        <v>2014</v>
      </c>
      <c r="BZ74" t="s">
        <v>94</v>
      </c>
      <c r="CA74" s="1">
        <v>2980</v>
      </c>
      <c r="CB74" s="1">
        <v>298</v>
      </c>
      <c r="CC74" s="1">
        <v>0</v>
      </c>
      <c r="CD74" s="1">
        <v>0</v>
      </c>
      <c r="CE74" s="1">
        <v>0</v>
      </c>
      <c r="CF74" s="1">
        <v>5960</v>
      </c>
      <c r="CG74" s="1">
        <f>SUM(tblSection619[[#This Row],[LEA/District]:[ECSE]])</f>
        <v>9238</v>
      </c>
      <c r="CH74" s="1">
        <f>tblSection619[[#This Row],[Gross Total]]*0.15</f>
        <v>1385.7</v>
      </c>
    </row>
    <row r="75" spans="1:86" x14ac:dyDescent="0.35">
      <c r="A75" t="s">
        <v>95</v>
      </c>
      <c r="B75">
        <v>2015</v>
      </c>
      <c r="C75" t="s">
        <v>1528</v>
      </c>
      <c r="D75" s="44">
        <f>LEN(TblAgencies[[#This Row],[InstNm]])</f>
        <v>18</v>
      </c>
      <c r="E75" s="44" t="s">
        <v>1900</v>
      </c>
      <c r="F75" s="44" t="s">
        <v>1900</v>
      </c>
      <c r="G7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75" s="44"/>
      <c r="I75" s="44"/>
      <c r="J75" s="44"/>
      <c r="K75" s="44"/>
      <c r="M75" s="44"/>
      <c r="N75" s="44">
        <v>2015</v>
      </c>
      <c r="O75" t="s">
        <v>95</v>
      </c>
      <c r="P75" s="1">
        <v>110026.61381373159</v>
      </c>
      <c r="Q75" s="1">
        <v>12646.737219969147</v>
      </c>
      <c r="R75" s="1">
        <v>0</v>
      </c>
      <c r="S75" s="1">
        <v>0</v>
      </c>
      <c r="T75" s="1">
        <v>0</v>
      </c>
      <c r="U75" s="1">
        <v>0</v>
      </c>
      <c r="V75" s="1">
        <v>0</v>
      </c>
      <c r="W75" s="1">
        <v>110026.61381373159</v>
      </c>
      <c r="X75" s="1">
        <f>tblSection6111416[[#This Row],[Net Total]]*0.15</f>
        <v>16503.992072059737</v>
      </c>
      <c r="Y75" s="1"/>
      <c r="AA75" s="44">
        <v>2015</v>
      </c>
      <c r="AB75" t="s">
        <v>95</v>
      </c>
      <c r="AC75" s="1">
        <v>353.91272206528276</v>
      </c>
      <c r="AD75" s="1">
        <v>0</v>
      </c>
      <c r="AE75" s="1">
        <v>0</v>
      </c>
      <c r="AF75" s="1">
        <v>0</v>
      </c>
      <c r="AG75" s="1">
        <v>0</v>
      </c>
      <c r="AH75" s="1">
        <v>0</v>
      </c>
      <c r="AI75" s="1">
        <v>353.91272206528276</v>
      </c>
      <c r="AJ75" s="1">
        <f>tblSection6191517[[#This Row],[Net Total]]*0.15</f>
        <v>53.086908309792413</v>
      </c>
      <c r="AK75" s="1"/>
      <c r="AM75" s="44"/>
      <c r="AN75" s="44">
        <v>2015</v>
      </c>
      <c r="AO75" t="s">
        <v>95</v>
      </c>
      <c r="AP75" s="247">
        <v>110026.61381373159</v>
      </c>
      <c r="AQ75" s="247">
        <v>12646.737219969147</v>
      </c>
      <c r="AR75" s="247">
        <v>0</v>
      </c>
      <c r="AS75" s="247">
        <v>0</v>
      </c>
      <c r="AT75" s="247">
        <v>0</v>
      </c>
      <c r="AU75" s="247">
        <v>0</v>
      </c>
      <c r="AV75" s="247">
        <v>0</v>
      </c>
      <c r="AW75" s="247">
        <v>122673.35103370073</v>
      </c>
      <c r="AX75" s="1">
        <f>tblSection61114[[#This Row],[Gross Total]]*0.15</f>
        <v>18401.002655055108</v>
      </c>
      <c r="AZ75" s="44">
        <v>2015</v>
      </c>
      <c r="BA75" t="s">
        <v>95</v>
      </c>
      <c r="BB75" s="247">
        <v>353.91272206528276</v>
      </c>
      <c r="BC75" s="247">
        <v>0</v>
      </c>
      <c r="BD75" s="247">
        <v>0</v>
      </c>
      <c r="BE75" s="247">
        <v>0</v>
      </c>
      <c r="BF75" s="247">
        <v>0</v>
      </c>
      <c r="BG75" s="247">
        <v>0</v>
      </c>
      <c r="BH75" s="247">
        <v>353.91272206528276</v>
      </c>
      <c r="BI75" s="1">
        <f>tblSection61915[[#This Row],[Gross Total]]*0.15</f>
        <v>53.086908309792413</v>
      </c>
      <c r="BJ75" s="44"/>
      <c r="BK75" s="246"/>
      <c r="BM75" s="44">
        <v>2015</v>
      </c>
      <c r="BN75" t="s">
        <v>95</v>
      </c>
      <c r="BO75" s="1">
        <v>96861</v>
      </c>
      <c r="BP75" s="1">
        <v>11007</v>
      </c>
      <c r="BQ75" s="1">
        <v>0</v>
      </c>
      <c r="BR75" s="1">
        <v>0</v>
      </c>
      <c r="BS75" s="1">
        <v>0</v>
      </c>
      <c r="BT75" s="1">
        <v>0</v>
      </c>
      <c r="BU75" s="1">
        <f>SUM(tblSection611[[#This Row],[LEA/District]:[ECSE]])</f>
        <v>107868</v>
      </c>
      <c r="BV75" s="1">
        <f>tblSection611[[#This Row],[Gross Total]]*0.15</f>
        <v>16180.199999999999</v>
      </c>
      <c r="BW75" s="1"/>
      <c r="BY75" s="44">
        <v>2015</v>
      </c>
      <c r="BZ75" t="s">
        <v>95</v>
      </c>
      <c r="CA75" s="1">
        <v>647</v>
      </c>
      <c r="CB75" s="1">
        <v>0</v>
      </c>
      <c r="CC75" s="1">
        <v>0</v>
      </c>
      <c r="CD75" s="1">
        <v>0</v>
      </c>
      <c r="CE75" s="1">
        <v>0</v>
      </c>
      <c r="CF75" s="1">
        <v>0</v>
      </c>
      <c r="CG75" s="1">
        <f>SUM(tblSection619[[#This Row],[LEA/District]:[ECSE]])</f>
        <v>647</v>
      </c>
      <c r="CH75" s="1">
        <f>tblSection619[[#This Row],[Gross Total]]*0.15</f>
        <v>97.05</v>
      </c>
    </row>
    <row r="76" spans="1:86" x14ac:dyDescent="0.35">
      <c r="A76" t="s">
        <v>96</v>
      </c>
      <c r="B76">
        <v>2023</v>
      </c>
      <c r="C76" t="s">
        <v>1528</v>
      </c>
      <c r="D76" s="44">
        <f>LEN(TblAgencies[[#This Row],[InstNm]])</f>
        <v>30</v>
      </c>
      <c r="E76" s="44" t="s">
        <v>1900</v>
      </c>
      <c r="F76" s="44" t="s">
        <v>1900</v>
      </c>
      <c r="G7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76" s="44"/>
      <c r="I76" s="44"/>
      <c r="J76" s="44"/>
      <c r="K76" s="44"/>
      <c r="M76" s="44"/>
      <c r="N76" s="44">
        <v>2023</v>
      </c>
      <c r="O76" t="s">
        <v>96</v>
      </c>
      <c r="P76" s="1">
        <v>90444.660658569133</v>
      </c>
      <c r="Q76" s="1">
        <v>27257.294992993437</v>
      </c>
      <c r="R76" s="1">
        <v>0</v>
      </c>
      <c r="S76" s="1">
        <v>0</v>
      </c>
      <c r="T76" s="1">
        <v>0</v>
      </c>
      <c r="U76" s="1">
        <v>0</v>
      </c>
      <c r="V76" s="1">
        <v>0</v>
      </c>
      <c r="W76" s="1">
        <v>90444.660658569133</v>
      </c>
      <c r="X76" s="1">
        <f>tblSection6111416[[#This Row],[Net Total]]*0.15</f>
        <v>13566.69909878537</v>
      </c>
      <c r="Y76" s="1"/>
      <c r="AA76" s="44">
        <v>2023</v>
      </c>
      <c r="AB76" t="s">
        <v>96</v>
      </c>
      <c r="AC76" s="1">
        <v>41.00093005952381</v>
      </c>
      <c r="AD76" s="1">
        <v>0</v>
      </c>
      <c r="AE76" s="1">
        <v>0</v>
      </c>
      <c r="AF76" s="1">
        <v>0</v>
      </c>
      <c r="AG76" s="1">
        <v>0</v>
      </c>
      <c r="AH76" s="1">
        <v>0</v>
      </c>
      <c r="AI76" s="1">
        <v>41.00093005952381</v>
      </c>
      <c r="AJ76" s="1">
        <f>tblSection6191517[[#This Row],[Net Total]]*0.15</f>
        <v>6.1501395089285715</v>
      </c>
      <c r="AK76" s="1"/>
      <c r="AM76" s="44"/>
      <c r="AN76" s="44">
        <v>2023</v>
      </c>
      <c r="AO76" t="s">
        <v>96</v>
      </c>
      <c r="AP76" s="247">
        <v>90444.660658569133</v>
      </c>
      <c r="AQ76" s="247">
        <v>27257.294992993437</v>
      </c>
      <c r="AR76" s="247">
        <v>0</v>
      </c>
      <c r="AS76" s="247">
        <v>0</v>
      </c>
      <c r="AT76" s="247">
        <v>0</v>
      </c>
      <c r="AU76" s="247">
        <v>0</v>
      </c>
      <c r="AV76" s="247">
        <v>0</v>
      </c>
      <c r="AW76" s="247">
        <v>117701.95565156257</v>
      </c>
      <c r="AX76" s="1">
        <f>tblSection61114[[#This Row],[Gross Total]]*0.15</f>
        <v>17655.293347734387</v>
      </c>
      <c r="AZ76" s="44">
        <v>2023</v>
      </c>
      <c r="BA76" t="s">
        <v>96</v>
      </c>
      <c r="BB76" s="247">
        <v>41.00093005952381</v>
      </c>
      <c r="BC76" s="247">
        <v>0</v>
      </c>
      <c r="BD76" s="247">
        <v>0</v>
      </c>
      <c r="BE76" s="247">
        <v>0</v>
      </c>
      <c r="BF76" s="247">
        <v>0</v>
      </c>
      <c r="BG76" s="247">
        <v>0</v>
      </c>
      <c r="BH76" s="247">
        <v>41.00093005952381</v>
      </c>
      <c r="BI76" s="1">
        <f>tblSection61915[[#This Row],[Gross Total]]*0.15</f>
        <v>6.1501395089285715</v>
      </c>
      <c r="BJ76" s="44"/>
      <c r="BK76" s="246"/>
      <c r="BM76" s="44">
        <v>2023</v>
      </c>
      <c r="BN76" t="s">
        <v>96</v>
      </c>
      <c r="BO76" s="1">
        <v>127008</v>
      </c>
      <c r="BP76" s="1">
        <v>23587</v>
      </c>
      <c r="BQ76" s="1">
        <v>0</v>
      </c>
      <c r="BR76" s="1">
        <v>0</v>
      </c>
      <c r="BS76" s="1">
        <v>0</v>
      </c>
      <c r="BT76" s="1">
        <v>0</v>
      </c>
      <c r="BU76" s="1">
        <f>SUM(tblSection611[[#This Row],[LEA/District]:[ECSE]])</f>
        <v>150595</v>
      </c>
      <c r="BV76" s="1">
        <f>tblSection611[[#This Row],[Gross Total]]*0.15</f>
        <v>22589.25</v>
      </c>
      <c r="BW76" s="1"/>
      <c r="BY76" s="44">
        <v>2023</v>
      </c>
      <c r="BZ76" t="s">
        <v>96</v>
      </c>
      <c r="CA76" s="1">
        <v>1006</v>
      </c>
      <c r="CB76" s="1">
        <v>0</v>
      </c>
      <c r="CC76" s="1">
        <v>0</v>
      </c>
      <c r="CD76" s="1">
        <v>0</v>
      </c>
      <c r="CE76" s="1">
        <v>0</v>
      </c>
      <c r="CF76" s="1">
        <v>0</v>
      </c>
      <c r="CG76" s="1">
        <f>SUM(tblSection619[[#This Row],[LEA/District]:[ECSE]])</f>
        <v>1006</v>
      </c>
      <c r="CH76" s="1">
        <f>tblSection619[[#This Row],[Gross Total]]*0.15</f>
        <v>150.9</v>
      </c>
    </row>
    <row r="77" spans="1:86" x14ac:dyDescent="0.35">
      <c r="A77" t="s">
        <v>97</v>
      </c>
      <c r="B77">
        <v>2114</v>
      </c>
      <c r="C77" t="s">
        <v>1528</v>
      </c>
      <c r="D77" s="44">
        <f>LEN(TblAgencies[[#This Row],[InstNm]])</f>
        <v>12</v>
      </c>
      <c r="E77" s="44" t="s">
        <v>1900</v>
      </c>
      <c r="F77" s="44" t="s">
        <v>1900</v>
      </c>
      <c r="G7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77" s="44"/>
      <c r="I77" s="44"/>
      <c r="J77" s="44"/>
      <c r="K77" s="44"/>
      <c r="M77" s="44"/>
      <c r="N77" s="44">
        <v>2114</v>
      </c>
      <c r="O77" t="s">
        <v>97</v>
      </c>
      <c r="P77" s="1">
        <v>32304.526551296913</v>
      </c>
      <c r="Q77" s="1">
        <v>0</v>
      </c>
      <c r="R77" s="1">
        <v>0</v>
      </c>
      <c r="S77" s="1">
        <v>0</v>
      </c>
      <c r="T77" s="1">
        <v>0</v>
      </c>
      <c r="U77" s="1">
        <v>0</v>
      </c>
      <c r="V77" s="1">
        <v>0</v>
      </c>
      <c r="W77" s="1">
        <v>32304.526551296913</v>
      </c>
      <c r="X77" s="1">
        <f>tblSection6111416[[#This Row],[Net Total]]*0.15</f>
        <v>4845.6789826945369</v>
      </c>
      <c r="Y77" s="1"/>
      <c r="AA77" s="44">
        <v>2114</v>
      </c>
      <c r="AB77" t="s">
        <v>97</v>
      </c>
      <c r="AC77" s="1">
        <v>968.8232492457206</v>
      </c>
      <c r="AD77" s="1">
        <v>0</v>
      </c>
      <c r="AE77" s="1">
        <v>0</v>
      </c>
      <c r="AF77" s="1">
        <v>0</v>
      </c>
      <c r="AG77" s="1">
        <v>0</v>
      </c>
      <c r="AH77" s="1">
        <v>0</v>
      </c>
      <c r="AI77" s="1">
        <v>968.8232492457206</v>
      </c>
      <c r="AJ77" s="1">
        <f>tblSection6191517[[#This Row],[Net Total]]*0.15</f>
        <v>145.32348738685809</v>
      </c>
      <c r="AK77" s="1"/>
      <c r="AM77" s="44"/>
      <c r="AN77" s="44">
        <v>2114</v>
      </c>
      <c r="AO77" t="s">
        <v>97</v>
      </c>
      <c r="AP77" s="247">
        <v>32304.526551296913</v>
      </c>
      <c r="AQ77" s="247">
        <v>0</v>
      </c>
      <c r="AR77" s="247">
        <v>0</v>
      </c>
      <c r="AS77" s="247">
        <v>0</v>
      </c>
      <c r="AT77" s="247">
        <v>0</v>
      </c>
      <c r="AU77" s="247">
        <v>0</v>
      </c>
      <c r="AV77" s="247">
        <v>0</v>
      </c>
      <c r="AW77" s="247">
        <v>32304.526551296913</v>
      </c>
      <c r="AX77" s="1">
        <f>tblSection61114[[#This Row],[Gross Total]]*0.15</f>
        <v>4845.6789826945369</v>
      </c>
      <c r="AZ77" s="44">
        <v>2114</v>
      </c>
      <c r="BA77" t="s">
        <v>97</v>
      </c>
      <c r="BB77" s="247">
        <v>968.8232492457206</v>
      </c>
      <c r="BC77" s="247">
        <v>0</v>
      </c>
      <c r="BD77" s="247">
        <v>0</v>
      </c>
      <c r="BE77" s="247">
        <v>0</v>
      </c>
      <c r="BF77" s="247">
        <v>0</v>
      </c>
      <c r="BG77" s="247">
        <v>0</v>
      </c>
      <c r="BH77" s="247">
        <v>968.8232492457206</v>
      </c>
      <c r="BI77" s="1">
        <f>tblSection61915[[#This Row],[Gross Total]]*0.15</f>
        <v>145.32348738685809</v>
      </c>
      <c r="BJ77" s="44"/>
      <c r="BK77" s="246"/>
      <c r="BM77" s="44">
        <v>2114</v>
      </c>
      <c r="BN77" t="s">
        <v>97</v>
      </c>
      <c r="BO77" s="1">
        <v>36670</v>
      </c>
      <c r="BP77" s="1">
        <v>0</v>
      </c>
      <c r="BQ77" s="1">
        <v>0</v>
      </c>
      <c r="BR77" s="1">
        <v>0</v>
      </c>
      <c r="BS77" s="1">
        <v>0</v>
      </c>
      <c r="BT77" s="1">
        <v>0</v>
      </c>
      <c r="BU77" s="1">
        <f>SUM(tblSection611[[#This Row],[LEA/District]:[ECSE]])</f>
        <v>36670</v>
      </c>
      <c r="BV77" s="1">
        <f>tblSection611[[#This Row],[Gross Total]]*0.15</f>
        <v>5500.5</v>
      </c>
      <c r="BW77" s="1"/>
      <c r="BY77" s="44">
        <v>2114</v>
      </c>
      <c r="BZ77" t="s">
        <v>97</v>
      </c>
      <c r="CA77" s="1">
        <v>1036</v>
      </c>
      <c r="CB77" s="1">
        <v>0</v>
      </c>
      <c r="CC77" s="1">
        <v>0</v>
      </c>
      <c r="CD77" s="1">
        <v>0</v>
      </c>
      <c r="CE77" s="1">
        <v>0</v>
      </c>
      <c r="CF77" s="1">
        <v>0</v>
      </c>
      <c r="CG77" s="1">
        <f>SUM(tblSection619[[#This Row],[LEA/District]:[ECSE]])</f>
        <v>1036</v>
      </c>
      <c r="CH77" s="1">
        <f>tblSection619[[#This Row],[Gross Total]]*0.15</f>
        <v>155.4</v>
      </c>
    </row>
    <row r="78" spans="1:86" x14ac:dyDescent="0.35">
      <c r="A78" t="s">
        <v>98</v>
      </c>
      <c r="B78">
        <v>2099</v>
      </c>
      <c r="C78" t="s">
        <v>1528</v>
      </c>
      <c r="D78" s="44">
        <f>LEN(TblAgencies[[#This Row],[InstNm]])</f>
        <v>16</v>
      </c>
      <c r="E78" s="44" t="s">
        <v>1900</v>
      </c>
      <c r="F78" s="44" t="s">
        <v>1900</v>
      </c>
      <c r="G7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78" s="44"/>
      <c r="I78" s="44"/>
      <c r="J78" s="44"/>
      <c r="K78" s="44"/>
      <c r="M78" s="44"/>
      <c r="N78" s="44">
        <v>2099</v>
      </c>
      <c r="O78" t="s">
        <v>98</v>
      </c>
      <c r="P78" s="1">
        <v>135552.7509460063</v>
      </c>
      <c r="Q78" s="1">
        <v>35428.559906342562</v>
      </c>
      <c r="R78" s="1">
        <v>0</v>
      </c>
      <c r="S78" s="1">
        <v>0</v>
      </c>
      <c r="T78" s="1">
        <v>0</v>
      </c>
      <c r="U78" s="1">
        <v>0</v>
      </c>
      <c r="V78" s="1">
        <v>12322.977358727845</v>
      </c>
      <c r="W78" s="1">
        <v>135552.75094600627</v>
      </c>
      <c r="X78" s="1">
        <f>tblSection6111416[[#This Row],[Net Total]]*0.15</f>
        <v>20332.912641900941</v>
      </c>
      <c r="Y78" s="1"/>
      <c r="AA78" s="44">
        <v>2099</v>
      </c>
      <c r="AB78" t="s">
        <v>98</v>
      </c>
      <c r="AC78" s="1">
        <v>519.33957396091171</v>
      </c>
      <c r="AD78" s="1">
        <v>0</v>
      </c>
      <c r="AE78" s="1">
        <v>0</v>
      </c>
      <c r="AF78" s="1">
        <v>0</v>
      </c>
      <c r="AG78" s="1">
        <v>0</v>
      </c>
      <c r="AH78" s="1">
        <v>1384.9055305624315</v>
      </c>
      <c r="AI78" s="1">
        <v>519.33957396091182</v>
      </c>
      <c r="AJ78" s="1">
        <f>tblSection6191517[[#This Row],[Net Total]]*0.15</f>
        <v>77.900936094136767</v>
      </c>
      <c r="AK78" s="1"/>
      <c r="AM78" s="44"/>
      <c r="AN78" s="44">
        <v>2099</v>
      </c>
      <c r="AO78" t="s">
        <v>98</v>
      </c>
      <c r="AP78" s="247">
        <v>135552.7509460063</v>
      </c>
      <c r="AQ78" s="247">
        <v>35428.559906342562</v>
      </c>
      <c r="AR78" s="247">
        <v>0</v>
      </c>
      <c r="AS78" s="247">
        <v>0</v>
      </c>
      <c r="AT78" s="247">
        <v>0</v>
      </c>
      <c r="AU78" s="247">
        <v>0</v>
      </c>
      <c r="AV78" s="247">
        <v>12322.977358727845</v>
      </c>
      <c r="AW78" s="247">
        <v>183304.2882110767</v>
      </c>
      <c r="AX78" s="1">
        <f>tblSection61114[[#This Row],[Gross Total]]*0.15</f>
        <v>27495.643231661503</v>
      </c>
      <c r="AZ78" s="44">
        <v>2099</v>
      </c>
      <c r="BA78" t="s">
        <v>98</v>
      </c>
      <c r="BB78" s="247">
        <v>519.33957396091171</v>
      </c>
      <c r="BC78" s="247">
        <v>0</v>
      </c>
      <c r="BD78" s="247">
        <v>0</v>
      </c>
      <c r="BE78" s="247">
        <v>0</v>
      </c>
      <c r="BF78" s="247">
        <v>0</v>
      </c>
      <c r="BG78" s="247">
        <v>1384.9055305624315</v>
      </c>
      <c r="BH78" s="247">
        <v>1904.2451045233433</v>
      </c>
      <c r="BI78" s="1">
        <f>tblSection61915[[#This Row],[Gross Total]]*0.15</f>
        <v>285.63676567850149</v>
      </c>
      <c r="BJ78" s="44"/>
      <c r="BK78" s="246"/>
      <c r="BM78" s="44">
        <v>2099</v>
      </c>
      <c r="BN78" t="s">
        <v>98</v>
      </c>
      <c r="BO78" s="1">
        <v>121309</v>
      </c>
      <c r="BP78" s="1">
        <v>29953</v>
      </c>
      <c r="BQ78" s="1">
        <v>0</v>
      </c>
      <c r="BR78" s="1">
        <v>0</v>
      </c>
      <c r="BS78" s="1">
        <v>0</v>
      </c>
      <c r="BT78" s="1">
        <v>7488</v>
      </c>
      <c r="BU78" s="1">
        <f>SUM(tblSection611[[#This Row],[LEA/District]:[ECSE]])</f>
        <v>158750</v>
      </c>
      <c r="BV78" s="1">
        <f>tblSection611[[#This Row],[Gross Total]]*0.15</f>
        <v>23812.5</v>
      </c>
      <c r="BW78" s="1"/>
      <c r="BY78" s="44">
        <v>2099</v>
      </c>
      <c r="BZ78" t="s">
        <v>98</v>
      </c>
      <c r="CA78" s="1">
        <v>459</v>
      </c>
      <c r="CB78" s="1">
        <v>230</v>
      </c>
      <c r="CC78" s="1">
        <v>0</v>
      </c>
      <c r="CD78" s="1">
        <v>0</v>
      </c>
      <c r="CE78" s="1">
        <v>0</v>
      </c>
      <c r="CF78" s="1">
        <v>1148</v>
      </c>
      <c r="CG78" s="1">
        <f>SUM(tblSection619[[#This Row],[LEA/District]:[ECSE]])</f>
        <v>1837</v>
      </c>
      <c r="CH78" s="1">
        <f>tblSection619[[#This Row],[Gross Total]]*0.15</f>
        <v>275.55</v>
      </c>
    </row>
    <row r="79" spans="1:86" x14ac:dyDescent="0.35">
      <c r="A79" t="s">
        <v>99</v>
      </c>
      <c r="B79">
        <v>2201</v>
      </c>
      <c r="C79" t="s">
        <v>1528</v>
      </c>
      <c r="D79" s="44">
        <f>LEN(TblAgencies[[#This Row],[InstNm]])</f>
        <v>10</v>
      </c>
      <c r="E79" s="44" t="s">
        <v>1900</v>
      </c>
      <c r="F79" s="44" t="s">
        <v>1900</v>
      </c>
      <c r="G7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79" s="44"/>
      <c r="I79" s="44"/>
      <c r="J79" s="44"/>
      <c r="K79" s="44"/>
      <c r="M79" s="44"/>
      <c r="N79" s="44">
        <v>2201</v>
      </c>
      <c r="O79" t="s">
        <v>99</v>
      </c>
      <c r="P79" s="1">
        <v>23428.391292399392</v>
      </c>
      <c r="Q79" s="1">
        <v>1464.274455774962</v>
      </c>
      <c r="R79" s="1">
        <v>0</v>
      </c>
      <c r="S79" s="1">
        <v>0</v>
      </c>
      <c r="T79" s="1">
        <v>0</v>
      </c>
      <c r="U79" s="1">
        <v>0</v>
      </c>
      <c r="V79" s="1">
        <v>0</v>
      </c>
      <c r="W79" s="1">
        <v>23428.391292399392</v>
      </c>
      <c r="X79" s="1">
        <f>tblSection6111416[[#This Row],[Net Total]]*0.15</f>
        <v>3514.2586938599088</v>
      </c>
      <c r="Y79" s="1"/>
      <c r="AA79" s="44">
        <v>2201</v>
      </c>
      <c r="AB79" t="s">
        <v>99</v>
      </c>
      <c r="AC79" s="1">
        <v>1009.8241793052445</v>
      </c>
      <c r="AD79" s="1">
        <v>0</v>
      </c>
      <c r="AE79" s="1">
        <v>0</v>
      </c>
      <c r="AF79" s="1">
        <v>0</v>
      </c>
      <c r="AG79" s="1">
        <v>0</v>
      </c>
      <c r="AH79" s="1">
        <v>0</v>
      </c>
      <c r="AI79" s="1">
        <v>1009.8241793052445</v>
      </c>
      <c r="AJ79" s="1">
        <f>tblSection6191517[[#This Row],[Net Total]]*0.15</f>
        <v>151.47362689578665</v>
      </c>
      <c r="AK79" s="1"/>
      <c r="AM79" s="44"/>
      <c r="AN79" s="44">
        <v>2201</v>
      </c>
      <c r="AO79" t="s">
        <v>99</v>
      </c>
      <c r="AP79" s="247">
        <v>23428.391292399392</v>
      </c>
      <c r="AQ79" s="247">
        <v>1464.274455774962</v>
      </c>
      <c r="AR79" s="247">
        <v>0</v>
      </c>
      <c r="AS79" s="247">
        <v>0</v>
      </c>
      <c r="AT79" s="247">
        <v>0</v>
      </c>
      <c r="AU79" s="247">
        <v>0</v>
      </c>
      <c r="AV79" s="247">
        <v>0</v>
      </c>
      <c r="AW79" s="247">
        <v>24892.665748174353</v>
      </c>
      <c r="AX79" s="1">
        <f>tblSection61114[[#This Row],[Gross Total]]*0.15</f>
        <v>3733.8998622261529</v>
      </c>
      <c r="AZ79" s="44">
        <v>2201</v>
      </c>
      <c r="BA79" t="s">
        <v>99</v>
      </c>
      <c r="BB79" s="247">
        <v>1009.8241793052445</v>
      </c>
      <c r="BC79" s="247">
        <v>0</v>
      </c>
      <c r="BD79" s="247">
        <v>0</v>
      </c>
      <c r="BE79" s="247">
        <v>0</v>
      </c>
      <c r="BF79" s="247">
        <v>0</v>
      </c>
      <c r="BG79" s="247">
        <v>0</v>
      </c>
      <c r="BH79" s="247">
        <v>1009.8241793052445</v>
      </c>
      <c r="BI79" s="1">
        <f>tblSection61915[[#This Row],[Gross Total]]*0.15</f>
        <v>151.47362689578665</v>
      </c>
      <c r="BJ79" s="44"/>
      <c r="BK79" s="246"/>
      <c r="BM79" s="44">
        <v>2201</v>
      </c>
      <c r="BN79" t="s">
        <v>99</v>
      </c>
      <c r="BO79" s="1">
        <v>24792</v>
      </c>
      <c r="BP79" s="1">
        <v>1458</v>
      </c>
      <c r="BQ79" s="1">
        <v>0</v>
      </c>
      <c r="BR79" s="1">
        <v>0</v>
      </c>
      <c r="BS79" s="1">
        <v>0</v>
      </c>
      <c r="BT79" s="1">
        <v>0</v>
      </c>
      <c r="BU79" s="1">
        <f>SUM(tblSection611[[#This Row],[LEA/District]:[ECSE]])</f>
        <v>26250</v>
      </c>
      <c r="BV79" s="1">
        <f>tblSection611[[#This Row],[Gross Total]]*0.15</f>
        <v>3937.5</v>
      </c>
      <c r="BW79" s="1"/>
      <c r="BY79" s="44">
        <v>2201</v>
      </c>
      <c r="BZ79" t="s">
        <v>99</v>
      </c>
      <c r="CA79" s="1">
        <v>1006</v>
      </c>
      <c r="CB79" s="1">
        <v>0</v>
      </c>
      <c r="CC79" s="1">
        <v>0</v>
      </c>
      <c r="CD79" s="1">
        <v>0</v>
      </c>
      <c r="CE79" s="1">
        <v>0</v>
      </c>
      <c r="CF79" s="1">
        <v>0</v>
      </c>
      <c r="CG79" s="1">
        <f>SUM(tblSection619[[#This Row],[LEA/District]:[ECSE]])</f>
        <v>1006</v>
      </c>
      <c r="CH79" s="1">
        <f>tblSection619[[#This Row],[Gross Total]]*0.15</f>
        <v>150.9</v>
      </c>
    </row>
    <row r="80" spans="1:86" x14ac:dyDescent="0.35">
      <c r="A80" t="s">
        <v>100</v>
      </c>
      <c r="B80">
        <v>2206</v>
      </c>
      <c r="C80" t="s">
        <v>1528</v>
      </c>
      <c r="D80" s="44">
        <f>LEN(TblAgencies[[#This Row],[InstNm]])</f>
        <v>14</v>
      </c>
      <c r="E80" s="44" t="s">
        <v>1900</v>
      </c>
      <c r="F80" s="44" t="s">
        <v>1900</v>
      </c>
      <c r="G8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80" s="44"/>
      <c r="I80" s="44"/>
      <c r="J80" s="44"/>
      <c r="K80" s="44"/>
      <c r="M80" s="44"/>
      <c r="N80" s="44">
        <v>2206</v>
      </c>
      <c r="O80" t="s">
        <v>100</v>
      </c>
      <c r="P80" s="1">
        <v>864705.7886192333</v>
      </c>
      <c r="Q80" s="1">
        <v>161555.35196622688</v>
      </c>
      <c r="R80" s="1">
        <v>1538.622399678351</v>
      </c>
      <c r="S80" s="1">
        <v>0</v>
      </c>
      <c r="T80" s="1">
        <v>0</v>
      </c>
      <c r="U80" s="1">
        <v>0</v>
      </c>
      <c r="V80" s="1">
        <v>136937.39357137325</v>
      </c>
      <c r="W80" s="1">
        <v>864705.7886192333</v>
      </c>
      <c r="X80" s="1">
        <f>tblSection6111416[[#This Row],[Net Total]]*0.15</f>
        <v>129705.86829288499</v>
      </c>
      <c r="Y80" s="1"/>
      <c r="AA80" s="44">
        <v>2206</v>
      </c>
      <c r="AB80" t="s">
        <v>100</v>
      </c>
      <c r="AC80" s="1">
        <v>4398.9872175333976</v>
      </c>
      <c r="AD80" s="1">
        <v>1293.8197698627639</v>
      </c>
      <c r="AE80" s="1">
        <v>0</v>
      </c>
      <c r="AF80" s="1">
        <v>0</v>
      </c>
      <c r="AG80" s="1">
        <v>0</v>
      </c>
      <c r="AH80" s="1">
        <v>23029.991903557198</v>
      </c>
      <c r="AI80" s="1">
        <v>4398.9872175333985</v>
      </c>
      <c r="AJ80" s="1">
        <f>tblSection6191517[[#This Row],[Net Total]]*0.15</f>
        <v>659.8480826300098</v>
      </c>
      <c r="AK80" s="1"/>
      <c r="AM80" s="44"/>
      <c r="AN80" s="44">
        <v>2206</v>
      </c>
      <c r="AO80" t="s">
        <v>100</v>
      </c>
      <c r="AP80" s="247">
        <v>864705.7886192333</v>
      </c>
      <c r="AQ80" s="247">
        <v>161555.35196622688</v>
      </c>
      <c r="AR80" s="247">
        <v>1538.622399678351</v>
      </c>
      <c r="AS80" s="247">
        <v>0</v>
      </c>
      <c r="AT80" s="247">
        <v>0</v>
      </c>
      <c r="AU80" s="247">
        <v>0</v>
      </c>
      <c r="AV80" s="247">
        <v>133860.14877201655</v>
      </c>
      <c r="AW80" s="247">
        <v>1161659.9117571551</v>
      </c>
      <c r="AX80" s="1">
        <f>tblSection61114[[#This Row],[Gross Total]]*0.15</f>
        <v>174248.98676357325</v>
      </c>
      <c r="AZ80" s="44">
        <v>2206</v>
      </c>
      <c r="BA80" t="s">
        <v>100</v>
      </c>
      <c r="BB80" s="247">
        <v>4398.9872175333976</v>
      </c>
      <c r="BC80" s="247">
        <v>1293.8197698627639</v>
      </c>
      <c r="BD80" s="247">
        <v>0</v>
      </c>
      <c r="BE80" s="247">
        <v>0</v>
      </c>
      <c r="BF80" s="247">
        <v>0</v>
      </c>
      <c r="BG80" s="247">
        <v>22512.463995612092</v>
      </c>
      <c r="BH80" s="247">
        <v>28205.270983008253</v>
      </c>
      <c r="BI80" s="1">
        <f>tblSection61915[[#This Row],[Gross Total]]*0.15</f>
        <v>4230.7906474512374</v>
      </c>
      <c r="BJ80" s="44"/>
      <c r="BK80" s="246"/>
      <c r="BM80" s="44">
        <v>2206</v>
      </c>
      <c r="BN80" t="s">
        <v>100</v>
      </c>
      <c r="BO80" s="1">
        <v>833060</v>
      </c>
      <c r="BP80" s="1">
        <v>141002</v>
      </c>
      <c r="BQ80" s="1">
        <v>1439</v>
      </c>
      <c r="BR80" s="1">
        <v>0</v>
      </c>
      <c r="BS80" s="1">
        <v>0</v>
      </c>
      <c r="BT80" s="1">
        <v>116542</v>
      </c>
      <c r="BU80" s="1">
        <f>SUM(tblSection611[[#This Row],[LEA/District]:[ECSE]])</f>
        <v>1092043</v>
      </c>
      <c r="BV80" s="1">
        <f>tblSection611[[#This Row],[Gross Total]]*0.15</f>
        <v>163806.44999999998</v>
      </c>
      <c r="BW80" s="1"/>
      <c r="BY80" s="44">
        <v>2206</v>
      </c>
      <c r="BZ80" t="s">
        <v>100</v>
      </c>
      <c r="CA80" s="1">
        <v>8107</v>
      </c>
      <c r="CB80" s="1">
        <v>427</v>
      </c>
      <c r="CC80" s="1">
        <v>0</v>
      </c>
      <c r="CD80" s="1">
        <v>0</v>
      </c>
      <c r="CE80" s="1">
        <v>0</v>
      </c>
      <c r="CF80" s="1">
        <v>17280</v>
      </c>
      <c r="CG80" s="1">
        <f>SUM(tblSection619[[#This Row],[LEA/District]:[ECSE]])</f>
        <v>25814</v>
      </c>
      <c r="CH80" s="1">
        <f>tblSection619[[#This Row],[Gross Total]]*0.15</f>
        <v>3872.1</v>
      </c>
    </row>
    <row r="81" spans="1:86" x14ac:dyDescent="0.35">
      <c r="A81" t="s">
        <v>101</v>
      </c>
      <c r="B81">
        <v>2239</v>
      </c>
      <c r="C81" t="s">
        <v>1528</v>
      </c>
      <c r="D81" s="44">
        <f>LEN(TblAgencies[[#This Row],[InstNm]])</f>
        <v>15</v>
      </c>
      <c r="E81" s="44" t="s">
        <v>1900</v>
      </c>
      <c r="F81" s="44" t="s">
        <v>1900</v>
      </c>
      <c r="G8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81" s="44"/>
      <c r="I81" s="44"/>
      <c r="J81" s="44"/>
      <c r="K81" s="44"/>
      <c r="M81" s="44"/>
      <c r="N81" s="44">
        <v>2239</v>
      </c>
      <c r="O81" t="s">
        <v>101</v>
      </c>
      <c r="P81" s="1">
        <v>3338623.2823167131</v>
      </c>
      <c r="Q81" s="1">
        <v>962209.92257682234</v>
      </c>
      <c r="R81" s="1">
        <v>4596.5442161313167</v>
      </c>
      <c r="S81" s="1">
        <v>0</v>
      </c>
      <c r="T81" s="1">
        <v>0</v>
      </c>
      <c r="U81" s="1">
        <v>0</v>
      </c>
      <c r="V81" s="1">
        <v>487233.6869099196</v>
      </c>
      <c r="W81" s="1">
        <v>3338623.2823167122</v>
      </c>
      <c r="X81" s="1">
        <f>tblSection6111416[[#This Row],[Net Total]]*0.15</f>
        <v>500793.49234750681</v>
      </c>
      <c r="Y81" s="1"/>
      <c r="AA81" s="44">
        <v>2239</v>
      </c>
      <c r="AB81" t="s">
        <v>101</v>
      </c>
      <c r="AC81" s="1">
        <v>17162.769348478076</v>
      </c>
      <c r="AD81" s="1">
        <v>14737.595418801826</v>
      </c>
      <c r="AE81" s="1">
        <v>0</v>
      </c>
      <c r="AF81" s="1">
        <v>0</v>
      </c>
      <c r="AG81" s="1">
        <v>0</v>
      </c>
      <c r="AH81" s="1">
        <v>59323.48535669595</v>
      </c>
      <c r="AI81" s="1">
        <v>17162.769348478076</v>
      </c>
      <c r="AJ81" s="1">
        <f>tblSection6191517[[#This Row],[Net Total]]*0.15</f>
        <v>2574.4154022717112</v>
      </c>
      <c r="AK81" s="1"/>
      <c r="AM81" s="44"/>
      <c r="AN81" s="44">
        <v>2239</v>
      </c>
      <c r="AO81" t="s">
        <v>101</v>
      </c>
      <c r="AP81" s="247">
        <v>3338623.2823167131</v>
      </c>
      <c r="AQ81" s="247">
        <v>962209.92257682234</v>
      </c>
      <c r="AR81" s="247">
        <v>4596.5442161313167</v>
      </c>
      <c r="AS81" s="247">
        <v>0</v>
      </c>
      <c r="AT81" s="247">
        <v>0</v>
      </c>
      <c r="AU81" s="247">
        <v>0</v>
      </c>
      <c r="AV81" s="247">
        <v>390706.25837116194</v>
      </c>
      <c r="AW81" s="247">
        <v>4696136.0074808281</v>
      </c>
      <c r="AX81" s="1">
        <f>tblSection61114[[#This Row],[Gross Total]]*0.15</f>
        <v>704420.40112212417</v>
      </c>
      <c r="AZ81" s="44">
        <v>2239</v>
      </c>
      <c r="BA81" t="s">
        <v>101</v>
      </c>
      <c r="BB81" s="247">
        <v>17162.769348478076</v>
      </c>
      <c r="BC81" s="247">
        <v>14737.595418801826</v>
      </c>
      <c r="BD81" s="247">
        <v>0</v>
      </c>
      <c r="BE81" s="247">
        <v>0</v>
      </c>
      <c r="BF81" s="247">
        <v>0</v>
      </c>
      <c r="BG81" s="247">
        <v>47570.719389803358</v>
      </c>
      <c r="BH81" s="247">
        <v>79471.084157083256</v>
      </c>
      <c r="BI81" s="1">
        <f>tblSection61915[[#This Row],[Gross Total]]*0.15</f>
        <v>11920.662623562488</v>
      </c>
      <c r="BJ81" s="44"/>
      <c r="BK81" s="246"/>
      <c r="BM81" s="44">
        <v>2239</v>
      </c>
      <c r="BN81" t="s">
        <v>101</v>
      </c>
      <c r="BO81" s="1">
        <v>2978422</v>
      </c>
      <c r="BP81" s="1">
        <v>647429</v>
      </c>
      <c r="BQ81" s="1">
        <v>4999</v>
      </c>
      <c r="BR81" s="1">
        <v>0</v>
      </c>
      <c r="BS81" s="1">
        <v>0</v>
      </c>
      <c r="BT81" s="1">
        <v>341212</v>
      </c>
      <c r="BU81" s="1">
        <f>SUM(tblSection611[[#This Row],[LEA/District]:[ECSE]])</f>
        <v>3972062</v>
      </c>
      <c r="BV81" s="1">
        <f>tblSection611[[#This Row],[Gross Total]]*0.15</f>
        <v>595809.29999999993</v>
      </c>
      <c r="BW81" s="1"/>
      <c r="BY81" s="44">
        <v>2239</v>
      </c>
      <c r="BZ81" t="s">
        <v>101</v>
      </c>
      <c r="CA81" s="1">
        <v>15050</v>
      </c>
      <c r="CB81" s="1">
        <v>5621</v>
      </c>
      <c r="CC81" s="1">
        <v>181</v>
      </c>
      <c r="CD81" s="1">
        <v>0</v>
      </c>
      <c r="CE81" s="1">
        <v>0</v>
      </c>
      <c r="CF81" s="1">
        <v>49501</v>
      </c>
      <c r="CG81" s="1">
        <f>SUM(tblSection619[[#This Row],[LEA/District]:[ECSE]])</f>
        <v>70353</v>
      </c>
      <c r="CH81" s="1">
        <f>tblSection619[[#This Row],[Gross Total]]*0.15</f>
        <v>10552.949999999999</v>
      </c>
    </row>
    <row r="82" spans="1:86" x14ac:dyDescent="0.35">
      <c r="A82" t="s">
        <v>102</v>
      </c>
      <c r="B82">
        <v>2024</v>
      </c>
      <c r="C82" t="s">
        <v>1527</v>
      </c>
      <c r="D82" s="44">
        <f>LEN(TblAgencies[[#This Row],[InstNm]])</f>
        <v>20</v>
      </c>
      <c r="E82" s="44" t="s">
        <v>1900</v>
      </c>
      <c r="F82" s="44" t="s">
        <v>1900</v>
      </c>
      <c r="G8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82" s="44"/>
      <c r="I82" s="44"/>
      <c r="J82" s="44"/>
      <c r="K82" s="44"/>
      <c r="M82" s="44"/>
      <c r="N82" s="44">
        <v>2024</v>
      </c>
      <c r="O82" t="s">
        <v>102</v>
      </c>
      <c r="P82" s="1">
        <v>739188.65160198999</v>
      </c>
      <c r="Q82" s="1">
        <v>111902.75962418184</v>
      </c>
      <c r="R82" s="1">
        <v>0</v>
      </c>
      <c r="S82" s="1">
        <v>3152.1904119487849</v>
      </c>
      <c r="T82" s="1">
        <v>0</v>
      </c>
      <c r="U82" s="1">
        <v>0</v>
      </c>
      <c r="V82" s="1">
        <v>111902.75962418187</v>
      </c>
      <c r="W82" s="1">
        <v>739188.65160198999</v>
      </c>
      <c r="X82" s="1">
        <f>tblSection6111416[[#This Row],[Net Total]]*0.15</f>
        <v>110878.2977402985</v>
      </c>
      <c r="Y82" s="1"/>
      <c r="AA82" s="44">
        <v>2024</v>
      </c>
      <c r="AB82" t="s">
        <v>102</v>
      </c>
      <c r="AC82" s="1">
        <v>7477.5433762964876</v>
      </c>
      <c r="AD82" s="1">
        <v>2199.2774636166141</v>
      </c>
      <c r="AE82" s="1">
        <v>0</v>
      </c>
      <c r="AF82" s="1">
        <v>0</v>
      </c>
      <c r="AG82" s="1">
        <v>0</v>
      </c>
      <c r="AH82" s="1">
        <v>15614.869991677961</v>
      </c>
      <c r="AI82" s="1">
        <v>7477.5433762964894</v>
      </c>
      <c r="AJ82" s="1">
        <f>tblSection6191517[[#This Row],[Net Total]]*0.15</f>
        <v>1121.6315064444734</v>
      </c>
      <c r="AK82" s="1"/>
      <c r="AM82" s="44"/>
      <c r="AN82" s="44">
        <v>2024</v>
      </c>
      <c r="AO82" t="s">
        <v>102</v>
      </c>
      <c r="AP82" s="247">
        <v>739188.65160198999</v>
      </c>
      <c r="AQ82" s="247">
        <v>111902.75962418184</v>
      </c>
      <c r="AR82" s="247">
        <v>0</v>
      </c>
      <c r="AS82" s="247">
        <v>3152.1904119487849</v>
      </c>
      <c r="AT82" s="247">
        <v>0</v>
      </c>
      <c r="AU82" s="247">
        <v>0</v>
      </c>
      <c r="AV82" s="247">
        <v>105598.37880028429</v>
      </c>
      <c r="AW82" s="247">
        <v>959841.98043840495</v>
      </c>
      <c r="AX82" s="1">
        <f>tblSection61114[[#This Row],[Gross Total]]*0.15</f>
        <v>143976.29706576074</v>
      </c>
      <c r="AZ82" s="44">
        <v>2024</v>
      </c>
      <c r="BA82" t="s">
        <v>102</v>
      </c>
      <c r="BB82" s="247">
        <v>7477.5433762964876</v>
      </c>
      <c r="BC82" s="247">
        <v>2199.2774636166141</v>
      </c>
      <c r="BD82" s="247">
        <v>0</v>
      </c>
      <c r="BE82" s="247">
        <v>0</v>
      </c>
      <c r="BF82" s="247">
        <v>0</v>
      </c>
      <c r="BG82" s="247">
        <v>14735.159006231315</v>
      </c>
      <c r="BH82" s="247">
        <v>24411.979846144415</v>
      </c>
      <c r="BI82" s="1">
        <f>tblSection61915[[#This Row],[Gross Total]]*0.15</f>
        <v>3661.796976921662</v>
      </c>
      <c r="BJ82" s="44"/>
      <c r="BK82" s="246"/>
      <c r="BM82" s="44">
        <v>2024</v>
      </c>
      <c r="BN82" t="s">
        <v>102</v>
      </c>
      <c r="BO82" s="1">
        <v>651166</v>
      </c>
      <c r="BP82" s="1">
        <v>85948</v>
      </c>
      <c r="BQ82" s="1">
        <v>0</v>
      </c>
      <c r="BR82" s="1">
        <v>1457</v>
      </c>
      <c r="BS82" s="1">
        <v>0</v>
      </c>
      <c r="BT82" s="1">
        <v>94688</v>
      </c>
      <c r="BU82" s="1">
        <f>SUM(tblSection611[[#This Row],[LEA/District]:[ECSE]])</f>
        <v>833259</v>
      </c>
      <c r="BV82" s="1">
        <f>tblSection611[[#This Row],[Gross Total]]*0.15</f>
        <v>124988.84999999999</v>
      </c>
      <c r="BW82" s="1"/>
      <c r="BY82" s="44">
        <v>2024</v>
      </c>
      <c r="BZ82" t="s">
        <v>102</v>
      </c>
      <c r="CA82" s="1">
        <v>5691</v>
      </c>
      <c r="CB82" s="1">
        <v>1313</v>
      </c>
      <c r="CC82" s="1">
        <v>0</v>
      </c>
      <c r="CD82" s="1">
        <v>0</v>
      </c>
      <c r="CE82" s="1">
        <v>0</v>
      </c>
      <c r="CF82" s="1">
        <v>14227</v>
      </c>
      <c r="CG82" s="1">
        <f>SUM(tblSection619[[#This Row],[LEA/District]:[ECSE]])</f>
        <v>21231</v>
      </c>
      <c r="CH82" s="1">
        <f>tblSection619[[#This Row],[Gross Total]]*0.15</f>
        <v>3184.65</v>
      </c>
    </row>
    <row r="83" spans="1:86" x14ac:dyDescent="0.35">
      <c r="A83" t="s">
        <v>103</v>
      </c>
      <c r="B83">
        <v>1895</v>
      </c>
      <c r="C83" t="s">
        <v>1528</v>
      </c>
      <c r="D83" s="44">
        <f>LEN(TblAgencies[[#This Row],[InstNm]])</f>
        <v>17</v>
      </c>
      <c r="E83" s="44" t="s">
        <v>1900</v>
      </c>
      <c r="F83" s="44" t="s">
        <v>1900</v>
      </c>
      <c r="G8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83" s="44"/>
      <c r="I83" s="44"/>
      <c r="J83" s="44"/>
      <c r="K83" s="44"/>
      <c r="M83" s="44"/>
      <c r="N83" s="44">
        <v>1895</v>
      </c>
      <c r="O83" t="s">
        <v>103</v>
      </c>
      <c r="P83" s="1">
        <v>16257.241528552637</v>
      </c>
      <c r="Q83" s="1">
        <v>0</v>
      </c>
      <c r="R83" s="1">
        <v>0</v>
      </c>
      <c r="S83" s="1">
        <v>0</v>
      </c>
      <c r="T83" s="1">
        <v>0</v>
      </c>
      <c r="U83" s="1">
        <v>0</v>
      </c>
      <c r="V83" s="1">
        <v>0</v>
      </c>
      <c r="W83" s="1">
        <v>16257.241528552637</v>
      </c>
      <c r="X83" s="1">
        <f>tblSection6111416[[#This Row],[Net Total]]*0.15</f>
        <v>2438.5862292828956</v>
      </c>
      <c r="Y83" s="1"/>
      <c r="AA83" s="44">
        <v>1895</v>
      </c>
      <c r="AB83" t="s">
        <v>103</v>
      </c>
      <c r="AC83" s="1">
        <v>484.41008786813916</v>
      </c>
      <c r="AD83" s="1">
        <v>0</v>
      </c>
      <c r="AE83" s="1">
        <v>0</v>
      </c>
      <c r="AF83" s="1">
        <v>0</v>
      </c>
      <c r="AG83" s="1">
        <v>0</v>
      </c>
      <c r="AH83" s="1">
        <v>0</v>
      </c>
      <c r="AI83" s="1">
        <v>484.41008786813916</v>
      </c>
      <c r="AJ83" s="1">
        <f>tblSection6191517[[#This Row],[Net Total]]*0.15</f>
        <v>72.661513180220865</v>
      </c>
      <c r="AK83" s="1"/>
      <c r="AM83" s="44"/>
      <c r="AN83" s="44">
        <v>1895</v>
      </c>
      <c r="AO83" t="s">
        <v>103</v>
      </c>
      <c r="AP83" s="247">
        <v>16257.241528552637</v>
      </c>
      <c r="AQ83" s="247">
        <v>0</v>
      </c>
      <c r="AR83" s="247">
        <v>0</v>
      </c>
      <c r="AS83" s="247">
        <v>0</v>
      </c>
      <c r="AT83" s="247">
        <v>0</v>
      </c>
      <c r="AU83" s="247">
        <v>0</v>
      </c>
      <c r="AV83" s="247">
        <v>0</v>
      </c>
      <c r="AW83" s="247">
        <v>16257.241528552637</v>
      </c>
      <c r="AX83" s="1">
        <f>tblSection61114[[#This Row],[Gross Total]]*0.15</f>
        <v>2438.5862292828956</v>
      </c>
      <c r="AZ83" s="44">
        <v>1895</v>
      </c>
      <c r="BA83" t="s">
        <v>103</v>
      </c>
      <c r="BB83" s="247">
        <v>484.41008786813916</v>
      </c>
      <c r="BC83" s="247">
        <v>0</v>
      </c>
      <c r="BD83" s="247">
        <v>0</v>
      </c>
      <c r="BE83" s="247">
        <v>0</v>
      </c>
      <c r="BF83" s="247">
        <v>0</v>
      </c>
      <c r="BG83" s="247">
        <v>0</v>
      </c>
      <c r="BH83" s="247">
        <v>484.41008786813916</v>
      </c>
      <c r="BI83" s="1">
        <f>tblSection61915[[#This Row],[Gross Total]]*0.15</f>
        <v>72.661513180220865</v>
      </c>
      <c r="BJ83" s="44"/>
      <c r="BK83" s="246"/>
      <c r="BM83" s="44">
        <v>1895</v>
      </c>
      <c r="BN83" t="s">
        <v>103</v>
      </c>
      <c r="BO83" s="1">
        <v>21076</v>
      </c>
      <c r="BP83" s="1">
        <v>0</v>
      </c>
      <c r="BQ83" s="1">
        <v>0</v>
      </c>
      <c r="BR83" s="1">
        <v>0</v>
      </c>
      <c r="BS83" s="1">
        <v>0</v>
      </c>
      <c r="BT83" s="1">
        <v>0</v>
      </c>
      <c r="BU83" s="1">
        <f>SUM(tblSection611[[#This Row],[LEA/District]:[ECSE]])</f>
        <v>21076</v>
      </c>
      <c r="BV83" s="1">
        <f>tblSection611[[#This Row],[Gross Total]]*0.15</f>
        <v>3161.4</v>
      </c>
      <c r="BW83" s="1"/>
      <c r="BY83" s="44">
        <v>1895</v>
      </c>
      <c r="BZ83" t="s">
        <v>103</v>
      </c>
      <c r="CA83" s="1">
        <v>517</v>
      </c>
      <c r="CB83" s="1">
        <v>0</v>
      </c>
      <c r="CC83" s="1">
        <v>0</v>
      </c>
      <c r="CD83" s="1">
        <v>0</v>
      </c>
      <c r="CE83" s="1">
        <v>0</v>
      </c>
      <c r="CF83" s="1">
        <v>0</v>
      </c>
      <c r="CG83" s="1">
        <f>SUM(tblSection619[[#This Row],[LEA/District]:[ECSE]])</f>
        <v>517</v>
      </c>
      <c r="CH83" s="1">
        <f>tblSection619[[#This Row],[Gross Total]]*0.15</f>
        <v>77.55</v>
      </c>
    </row>
    <row r="84" spans="1:86" x14ac:dyDescent="0.35">
      <c r="A84" t="s">
        <v>104</v>
      </c>
      <c r="B84">
        <v>2215</v>
      </c>
      <c r="C84" t="s">
        <v>1528</v>
      </c>
      <c r="D84" s="44">
        <f>LEN(TblAgencies[[#This Row],[InstNm]])</f>
        <v>12</v>
      </c>
      <c r="E84" s="44" t="s">
        <v>1900</v>
      </c>
      <c r="F84" s="44" t="s">
        <v>1900</v>
      </c>
      <c r="G8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84" s="44"/>
      <c r="I84" s="44"/>
      <c r="J84" s="44"/>
      <c r="K84" s="44"/>
      <c r="M84" s="44"/>
      <c r="N84" s="44">
        <v>2215</v>
      </c>
      <c r="O84" t="s">
        <v>104</v>
      </c>
      <c r="P84" s="1">
        <v>66633.343962049446</v>
      </c>
      <c r="Q84" s="1">
        <v>7688.4627648518581</v>
      </c>
      <c r="R84" s="1">
        <v>0</v>
      </c>
      <c r="S84" s="1">
        <v>0</v>
      </c>
      <c r="T84" s="1">
        <v>0</v>
      </c>
      <c r="U84" s="1">
        <v>0</v>
      </c>
      <c r="V84" s="1">
        <v>2562.8209216172863</v>
      </c>
      <c r="W84" s="1">
        <v>66633.343962049432</v>
      </c>
      <c r="X84" s="1">
        <f>tblSection6111416[[#This Row],[Net Total]]*0.15</f>
        <v>9995.0015943074141</v>
      </c>
      <c r="Y84" s="1"/>
      <c r="AA84" s="44">
        <v>2215</v>
      </c>
      <c r="AB84" t="s">
        <v>104</v>
      </c>
      <c r="AC84" s="1">
        <v>0</v>
      </c>
      <c r="AD84" s="1">
        <v>283.20674237095398</v>
      </c>
      <c r="AE84" s="1">
        <v>0</v>
      </c>
      <c r="AF84" s="1">
        <v>0</v>
      </c>
      <c r="AG84" s="1">
        <v>0</v>
      </c>
      <c r="AH84" s="1">
        <v>283.20674237095398</v>
      </c>
      <c r="AI84" s="1">
        <v>0</v>
      </c>
      <c r="AJ84" s="1">
        <f>tblSection6191517[[#This Row],[Net Total]]*0.15</f>
        <v>0</v>
      </c>
      <c r="AK84" s="1"/>
      <c r="AM84" s="44"/>
      <c r="AN84" s="44">
        <v>2215</v>
      </c>
      <c r="AO84" t="s">
        <v>104</v>
      </c>
      <c r="AP84" s="247">
        <v>66633.343962049446</v>
      </c>
      <c r="AQ84" s="247">
        <v>7688.4627648518581</v>
      </c>
      <c r="AR84" s="247">
        <v>0</v>
      </c>
      <c r="AS84" s="247">
        <v>0</v>
      </c>
      <c r="AT84" s="247">
        <v>0</v>
      </c>
      <c r="AU84" s="247">
        <v>0</v>
      </c>
      <c r="AV84" s="247">
        <v>2562.8209216172863</v>
      </c>
      <c r="AW84" s="247">
        <v>76884.627648518581</v>
      </c>
      <c r="AX84" s="1">
        <f>tblSection61114[[#This Row],[Gross Total]]*0.15</f>
        <v>11532.694147277787</v>
      </c>
      <c r="AZ84" s="44">
        <v>2215</v>
      </c>
      <c r="BA84" t="s">
        <v>104</v>
      </c>
      <c r="BB84" s="247">
        <v>0</v>
      </c>
      <c r="BC84" s="247">
        <v>283.20674237095398</v>
      </c>
      <c r="BD84" s="247">
        <v>0</v>
      </c>
      <c r="BE84" s="247">
        <v>0</v>
      </c>
      <c r="BF84" s="247">
        <v>0</v>
      </c>
      <c r="BG84" s="247">
        <v>283.20674237095398</v>
      </c>
      <c r="BH84" s="247">
        <v>566.41348474190795</v>
      </c>
      <c r="BI84" s="1">
        <f>tblSection61915[[#This Row],[Gross Total]]*0.15</f>
        <v>84.962022711286195</v>
      </c>
      <c r="BJ84" s="44"/>
      <c r="BK84" s="246"/>
      <c r="BM84" s="44">
        <v>2215</v>
      </c>
      <c r="BN84" t="s">
        <v>104</v>
      </c>
      <c r="BO84" s="1">
        <v>65454</v>
      </c>
      <c r="BP84" s="1">
        <v>10473</v>
      </c>
      <c r="BQ84" s="1">
        <v>0</v>
      </c>
      <c r="BR84" s="1">
        <v>0</v>
      </c>
      <c r="BS84" s="1">
        <v>0</v>
      </c>
      <c r="BT84" s="1">
        <v>5236</v>
      </c>
      <c r="BU84" s="1">
        <f>SUM(tblSection611[[#This Row],[LEA/District]:[ECSE]])</f>
        <v>81163</v>
      </c>
      <c r="BV84" s="1">
        <f>tblSection611[[#This Row],[Gross Total]]*0.15</f>
        <v>12174.449999999999</v>
      </c>
      <c r="BW84" s="1"/>
      <c r="BY84" s="44">
        <v>2215</v>
      </c>
      <c r="BZ84" t="s">
        <v>104</v>
      </c>
      <c r="CA84" s="1">
        <v>0</v>
      </c>
      <c r="CB84" s="1">
        <v>0</v>
      </c>
      <c r="CC84" s="1">
        <v>0</v>
      </c>
      <c r="CD84" s="1">
        <v>0</v>
      </c>
      <c r="CE84" s="1">
        <v>0</v>
      </c>
      <c r="CF84" s="1">
        <v>616</v>
      </c>
      <c r="CG84" s="1">
        <f>SUM(tblSection619[[#This Row],[LEA/District]:[ECSE]])</f>
        <v>616</v>
      </c>
      <c r="CH84" s="1">
        <f>tblSection619[[#This Row],[Gross Total]]*0.15</f>
        <v>92.399999999999991</v>
      </c>
    </row>
    <row r="85" spans="1:86" x14ac:dyDescent="0.35">
      <c r="A85" t="s">
        <v>105</v>
      </c>
      <c r="B85">
        <v>3997</v>
      </c>
      <c r="C85" t="s">
        <v>1528</v>
      </c>
      <c r="D85" s="44">
        <f>LEN(TblAgencies[[#This Row],[InstNm]])</f>
        <v>10</v>
      </c>
      <c r="E85" s="44" t="s">
        <v>1900</v>
      </c>
      <c r="F85" s="44" t="s">
        <v>1900</v>
      </c>
      <c r="G8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85" s="44"/>
      <c r="I85" s="44"/>
      <c r="J85" s="44"/>
      <c r="K85" s="44"/>
      <c r="M85" s="44"/>
      <c r="N85" s="44">
        <v>3997</v>
      </c>
      <c r="O85" t="s">
        <v>105</v>
      </c>
      <c r="P85" s="1">
        <v>27951.226497392177</v>
      </c>
      <c r="Q85" s="1">
        <v>6576.7591758569833</v>
      </c>
      <c r="R85" s="1">
        <v>0</v>
      </c>
      <c r="S85" s="1">
        <v>0</v>
      </c>
      <c r="T85" s="1">
        <v>0</v>
      </c>
      <c r="U85" s="1">
        <v>0</v>
      </c>
      <c r="V85" s="1">
        <v>0</v>
      </c>
      <c r="W85" s="1">
        <v>27951.226497392177</v>
      </c>
      <c r="X85" s="1">
        <f>tblSection6111416[[#This Row],[Net Total]]*0.15</f>
        <v>4192.6839746088262</v>
      </c>
      <c r="Y85" s="1"/>
      <c r="AA85" s="44">
        <v>3997</v>
      </c>
      <c r="AB85" t="s">
        <v>105</v>
      </c>
      <c r="AC85" s="1">
        <v>525.4125546823841</v>
      </c>
      <c r="AD85" s="1">
        <v>0</v>
      </c>
      <c r="AE85" s="1">
        <v>0</v>
      </c>
      <c r="AF85" s="1">
        <v>0</v>
      </c>
      <c r="AG85" s="1">
        <v>0</v>
      </c>
      <c r="AH85" s="1">
        <v>0</v>
      </c>
      <c r="AI85" s="1">
        <v>525.4125546823841</v>
      </c>
      <c r="AJ85" s="1">
        <f>tblSection6191517[[#This Row],[Net Total]]*0.15</f>
        <v>78.811883202357606</v>
      </c>
      <c r="AK85" s="1"/>
      <c r="AM85" s="44"/>
      <c r="AN85" s="44">
        <v>3997</v>
      </c>
      <c r="AO85" t="s">
        <v>105</v>
      </c>
      <c r="AP85" s="247">
        <v>27951.226497392177</v>
      </c>
      <c r="AQ85" s="247">
        <v>6576.7591758569833</v>
      </c>
      <c r="AR85" s="247">
        <v>0</v>
      </c>
      <c r="AS85" s="247">
        <v>0</v>
      </c>
      <c r="AT85" s="247">
        <v>0</v>
      </c>
      <c r="AU85" s="247">
        <v>0</v>
      </c>
      <c r="AV85" s="247">
        <v>0</v>
      </c>
      <c r="AW85" s="247">
        <v>34527.985673249161</v>
      </c>
      <c r="AX85" s="1">
        <f>tblSection61114[[#This Row],[Gross Total]]*0.15</f>
        <v>5179.1978509873743</v>
      </c>
      <c r="AZ85" s="44">
        <v>3997</v>
      </c>
      <c r="BA85" t="s">
        <v>105</v>
      </c>
      <c r="BB85" s="247">
        <v>525.4125546823841</v>
      </c>
      <c r="BC85" s="247">
        <v>0</v>
      </c>
      <c r="BD85" s="247">
        <v>0</v>
      </c>
      <c r="BE85" s="247">
        <v>0</v>
      </c>
      <c r="BF85" s="247">
        <v>0</v>
      </c>
      <c r="BG85" s="247">
        <v>0</v>
      </c>
      <c r="BH85" s="247">
        <v>525.4125546823841</v>
      </c>
      <c r="BI85" s="1">
        <f>tblSection61915[[#This Row],[Gross Total]]*0.15</f>
        <v>78.811883202357606</v>
      </c>
      <c r="BJ85" s="44"/>
      <c r="BK85" s="246"/>
      <c r="BM85" s="44">
        <v>3997</v>
      </c>
      <c r="BN85" t="s">
        <v>105</v>
      </c>
      <c r="BO85" s="1">
        <v>22060</v>
      </c>
      <c r="BP85" s="1">
        <v>6488</v>
      </c>
      <c r="BQ85" s="1">
        <v>0</v>
      </c>
      <c r="BR85" s="1">
        <v>0</v>
      </c>
      <c r="BS85" s="1">
        <v>0</v>
      </c>
      <c r="BT85" s="1">
        <v>1298</v>
      </c>
      <c r="BU85" s="1">
        <f>SUM(tblSection611[[#This Row],[LEA/District]:[ECSE]])</f>
        <v>29846</v>
      </c>
      <c r="BV85" s="1">
        <f>tblSection611[[#This Row],[Gross Total]]*0.15</f>
        <v>4476.8999999999996</v>
      </c>
      <c r="BW85" s="1"/>
      <c r="BY85" s="44">
        <v>3997</v>
      </c>
      <c r="BZ85" t="s">
        <v>105</v>
      </c>
      <c r="CA85" s="1">
        <v>0</v>
      </c>
      <c r="CB85" s="1">
        <v>0</v>
      </c>
      <c r="CC85" s="1">
        <v>0</v>
      </c>
      <c r="CD85" s="1">
        <v>0</v>
      </c>
      <c r="CE85" s="1">
        <v>0</v>
      </c>
      <c r="CF85" s="1">
        <v>540</v>
      </c>
      <c r="CG85" s="1">
        <f>SUM(tblSection619[[#This Row],[LEA/District]:[ECSE]])</f>
        <v>540</v>
      </c>
      <c r="CH85" s="1">
        <f>tblSection619[[#This Row],[Gross Total]]*0.15</f>
        <v>81</v>
      </c>
    </row>
    <row r="86" spans="1:86" x14ac:dyDescent="0.35">
      <c r="A86" t="s">
        <v>106</v>
      </c>
      <c r="B86">
        <v>2053</v>
      </c>
      <c r="C86" t="s">
        <v>1528</v>
      </c>
      <c r="D86" s="44">
        <f>LEN(TblAgencies[[#This Row],[InstNm]])</f>
        <v>24</v>
      </c>
      <c r="E86" s="44" t="s">
        <v>1900</v>
      </c>
      <c r="F86" s="44" t="s">
        <v>1900</v>
      </c>
      <c r="G8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86" s="44"/>
      <c r="I86" s="44"/>
      <c r="J86" s="44"/>
      <c r="K86" s="44"/>
      <c r="M86" s="44"/>
      <c r="N86" s="44">
        <v>2053</v>
      </c>
      <c r="O86" t="s">
        <v>106</v>
      </c>
      <c r="P86" s="1">
        <v>680211.00701540243</v>
      </c>
      <c r="Q86" s="1">
        <v>106132.21386055925</v>
      </c>
      <c r="R86" s="1">
        <v>1608.0638463721098</v>
      </c>
      <c r="S86" s="1">
        <v>0</v>
      </c>
      <c r="T86" s="1">
        <v>0</v>
      </c>
      <c r="U86" s="1">
        <v>0</v>
      </c>
      <c r="V86" s="1">
        <v>80403.192318605492</v>
      </c>
      <c r="W86" s="1">
        <v>680211.00701540243</v>
      </c>
      <c r="X86" s="1">
        <f>tblSection6111416[[#This Row],[Net Total]]*0.15</f>
        <v>102031.65105231036</v>
      </c>
      <c r="Y86" s="1"/>
      <c r="AA86" s="44">
        <v>2053</v>
      </c>
      <c r="AB86" t="s">
        <v>106</v>
      </c>
      <c r="AC86" s="1">
        <v>11699.300620666439</v>
      </c>
      <c r="AD86" s="1">
        <v>8508.5822695755924</v>
      </c>
      <c r="AE86" s="1">
        <v>0</v>
      </c>
      <c r="AF86" s="1">
        <v>0</v>
      </c>
      <c r="AG86" s="1">
        <v>0</v>
      </c>
      <c r="AH86" s="1">
        <v>26589.319592423726</v>
      </c>
      <c r="AI86" s="1">
        <v>11699.300620666443</v>
      </c>
      <c r="AJ86" s="1">
        <f>tblSection6191517[[#This Row],[Net Total]]*0.15</f>
        <v>1754.8950930999665</v>
      </c>
      <c r="AK86" s="1"/>
      <c r="AM86" s="44"/>
      <c r="AN86" s="44">
        <v>2053</v>
      </c>
      <c r="AO86" t="s">
        <v>106</v>
      </c>
      <c r="AP86" s="247">
        <v>680211.00701540243</v>
      </c>
      <c r="AQ86" s="247">
        <v>106132.21386055925</v>
      </c>
      <c r="AR86" s="247">
        <v>1608.0638463721098</v>
      </c>
      <c r="AS86" s="247">
        <v>0</v>
      </c>
      <c r="AT86" s="247">
        <v>0</v>
      </c>
      <c r="AU86" s="247">
        <v>0</v>
      </c>
      <c r="AV86" s="247">
        <v>61106.426162140182</v>
      </c>
      <c r="AW86" s="247">
        <v>849057.71088447399</v>
      </c>
      <c r="AX86" s="1">
        <f>tblSection61114[[#This Row],[Gross Total]]*0.15</f>
        <v>127358.65663267109</v>
      </c>
      <c r="AZ86" s="44">
        <v>2053</v>
      </c>
      <c r="BA86" t="s">
        <v>106</v>
      </c>
      <c r="BB86" s="247">
        <v>11699.300620666439</v>
      </c>
      <c r="BC86" s="247">
        <v>8508.5822695755924</v>
      </c>
      <c r="BD86" s="247">
        <v>0</v>
      </c>
      <c r="BE86" s="247">
        <v>0</v>
      </c>
      <c r="BF86" s="247">
        <v>0</v>
      </c>
      <c r="BG86" s="247">
        <v>20207.882890242032</v>
      </c>
      <c r="BH86" s="247">
        <v>40415.765780484064</v>
      </c>
      <c r="BI86" s="1">
        <f>tblSection61915[[#This Row],[Gross Total]]*0.15</f>
        <v>6062.3648670726097</v>
      </c>
      <c r="BJ86" s="44"/>
      <c r="BK86" s="246"/>
      <c r="BM86" s="44">
        <v>2053</v>
      </c>
      <c r="BN86" t="s">
        <v>106</v>
      </c>
      <c r="BO86" s="1">
        <v>550878</v>
      </c>
      <c r="BP86" s="1">
        <v>62712</v>
      </c>
      <c r="BQ86" s="1">
        <v>1230</v>
      </c>
      <c r="BR86" s="1">
        <v>0</v>
      </c>
      <c r="BS86" s="1">
        <v>0</v>
      </c>
      <c r="BT86" s="1">
        <v>59023</v>
      </c>
      <c r="BU86" s="1">
        <f>SUM(tblSection611[[#This Row],[LEA/District]:[ECSE]])</f>
        <v>673843</v>
      </c>
      <c r="BV86" s="1">
        <f>tblSection611[[#This Row],[Gross Total]]*0.15</f>
        <v>101076.45</v>
      </c>
      <c r="BW86" s="1"/>
      <c r="BY86" s="44">
        <v>2053</v>
      </c>
      <c r="BZ86" t="s">
        <v>106</v>
      </c>
      <c r="CA86" s="1">
        <v>13642</v>
      </c>
      <c r="CB86" s="1">
        <v>1819</v>
      </c>
      <c r="CC86" s="1">
        <v>0</v>
      </c>
      <c r="CD86" s="1">
        <v>0</v>
      </c>
      <c r="CE86" s="1">
        <v>0</v>
      </c>
      <c r="CF86" s="1">
        <v>21828</v>
      </c>
      <c r="CG86" s="1">
        <f>SUM(tblSection619[[#This Row],[LEA/District]:[ECSE]])</f>
        <v>37289</v>
      </c>
      <c r="CH86" s="1">
        <f>tblSection619[[#This Row],[Gross Total]]*0.15</f>
        <v>5593.3499999999995</v>
      </c>
    </row>
    <row r="87" spans="1:86" x14ac:dyDescent="0.35">
      <c r="A87" t="s">
        <v>107</v>
      </c>
      <c r="B87">
        <v>2140</v>
      </c>
      <c r="C87" t="s">
        <v>1528</v>
      </c>
      <c r="D87" s="44">
        <f>LEN(TblAgencies[[#This Row],[InstNm]])</f>
        <v>16</v>
      </c>
      <c r="E87" s="44" t="s">
        <v>1900</v>
      </c>
      <c r="F87" s="44" t="s">
        <v>1900</v>
      </c>
      <c r="G8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87" s="44"/>
      <c r="I87" s="44"/>
      <c r="J87" s="44"/>
      <c r="K87" s="44"/>
      <c r="M87" s="44"/>
      <c r="N87" s="44">
        <v>2140</v>
      </c>
      <c r="O87" t="s">
        <v>107</v>
      </c>
      <c r="P87" s="1">
        <v>153666.85662300992</v>
      </c>
      <c r="Q87" s="1">
        <v>47689.714124382386</v>
      </c>
      <c r="R87" s="1">
        <v>0</v>
      </c>
      <c r="S87" s="1">
        <v>0</v>
      </c>
      <c r="T87" s="1">
        <v>0</v>
      </c>
      <c r="U87" s="1">
        <v>0</v>
      </c>
      <c r="V87" s="1">
        <v>7065.1428332418363</v>
      </c>
      <c r="W87" s="1">
        <v>153666.85662300992</v>
      </c>
      <c r="X87" s="1">
        <f>tblSection6111416[[#This Row],[Net Total]]*0.15</f>
        <v>23050.028493451489</v>
      </c>
      <c r="Y87" s="1"/>
      <c r="AA87" s="44">
        <v>2140</v>
      </c>
      <c r="AB87" t="s">
        <v>107</v>
      </c>
      <c r="AC87" s="1">
        <v>0</v>
      </c>
      <c r="AD87" s="1">
        <v>1293.0309216761987</v>
      </c>
      <c r="AE87" s="1">
        <v>0</v>
      </c>
      <c r="AF87" s="1">
        <v>0</v>
      </c>
      <c r="AG87" s="1">
        <v>0</v>
      </c>
      <c r="AH87" s="1">
        <v>2586.0618433523973</v>
      </c>
      <c r="AI87" s="1">
        <v>0</v>
      </c>
      <c r="AJ87" s="1">
        <f>tblSection6191517[[#This Row],[Net Total]]*0.15</f>
        <v>0</v>
      </c>
      <c r="AK87" s="1"/>
      <c r="AM87" s="44"/>
      <c r="AN87" s="44">
        <v>2140</v>
      </c>
      <c r="AO87" t="s">
        <v>107</v>
      </c>
      <c r="AP87" s="247">
        <v>153666.85662300992</v>
      </c>
      <c r="AQ87" s="247">
        <v>47689.714124382386</v>
      </c>
      <c r="AR87" s="247">
        <v>0</v>
      </c>
      <c r="AS87" s="247">
        <v>0</v>
      </c>
      <c r="AT87" s="247">
        <v>0</v>
      </c>
      <c r="AU87" s="247">
        <v>0</v>
      </c>
      <c r="AV87" s="247">
        <v>3532.5714166209182</v>
      </c>
      <c r="AW87" s="247">
        <v>204889.14216401323</v>
      </c>
      <c r="AX87" s="1">
        <f>tblSection61114[[#This Row],[Gross Total]]*0.15</f>
        <v>30733.371324601983</v>
      </c>
      <c r="AZ87" s="44">
        <v>2140</v>
      </c>
      <c r="BA87" t="s">
        <v>107</v>
      </c>
      <c r="BB87" s="247">
        <v>0</v>
      </c>
      <c r="BC87" s="247">
        <v>1293.0309216761987</v>
      </c>
      <c r="BD87" s="247">
        <v>0</v>
      </c>
      <c r="BE87" s="247">
        <v>0</v>
      </c>
      <c r="BF87" s="247">
        <v>0</v>
      </c>
      <c r="BG87" s="247">
        <v>1293.0309216761987</v>
      </c>
      <c r="BH87" s="247">
        <v>2586.0618433523973</v>
      </c>
      <c r="BI87" s="1">
        <f>tblSection61915[[#This Row],[Gross Total]]*0.15</f>
        <v>387.9092765028596</v>
      </c>
      <c r="BJ87" s="44"/>
      <c r="BK87" s="246"/>
      <c r="BM87" s="44">
        <v>2140</v>
      </c>
      <c r="BN87" t="s">
        <v>107</v>
      </c>
      <c r="BO87" s="1">
        <v>127377</v>
      </c>
      <c r="BP87" s="1">
        <v>44582</v>
      </c>
      <c r="BQ87" s="1">
        <v>0</v>
      </c>
      <c r="BR87" s="1">
        <v>0</v>
      </c>
      <c r="BS87" s="1">
        <v>0</v>
      </c>
      <c r="BT87" s="1">
        <v>9553</v>
      </c>
      <c r="BU87" s="1">
        <f>SUM(tblSection611[[#This Row],[LEA/District]:[ECSE]])</f>
        <v>181512</v>
      </c>
      <c r="BV87" s="1">
        <f>tblSection611[[#This Row],[Gross Total]]*0.15</f>
        <v>27226.799999999999</v>
      </c>
      <c r="BW87" s="1"/>
      <c r="BY87" s="44">
        <v>2140</v>
      </c>
      <c r="BZ87" t="s">
        <v>107</v>
      </c>
      <c r="CA87" s="1">
        <v>393</v>
      </c>
      <c r="CB87" s="1">
        <v>0</v>
      </c>
      <c r="CC87" s="1">
        <v>0</v>
      </c>
      <c r="CD87" s="1">
        <v>0</v>
      </c>
      <c r="CE87" s="1">
        <v>0</v>
      </c>
      <c r="CF87" s="1">
        <v>2357</v>
      </c>
      <c r="CG87" s="1">
        <f>SUM(tblSection619[[#This Row],[LEA/District]:[ECSE]])</f>
        <v>2750</v>
      </c>
      <c r="CH87" s="1">
        <f>tblSection619[[#This Row],[Gross Total]]*0.15</f>
        <v>412.5</v>
      </c>
    </row>
    <row r="88" spans="1:86" x14ac:dyDescent="0.35">
      <c r="A88" t="s">
        <v>108</v>
      </c>
      <c r="B88">
        <v>1934</v>
      </c>
      <c r="C88" t="s">
        <v>1528</v>
      </c>
      <c r="D88" s="44">
        <f>LEN(TblAgencies[[#This Row],[InstNm]])</f>
        <v>11</v>
      </c>
      <c r="E88" s="44" t="s">
        <v>1900</v>
      </c>
      <c r="F88" s="44" t="s">
        <v>1900</v>
      </c>
      <c r="G8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88" s="44"/>
      <c r="I88" s="44"/>
      <c r="J88" s="44"/>
      <c r="K88" s="44"/>
      <c r="M88" s="44"/>
      <c r="N88" s="44">
        <v>1934</v>
      </c>
      <c r="O88" t="s">
        <v>108</v>
      </c>
      <c r="P88" s="1">
        <v>31082.719312450674</v>
      </c>
      <c r="Q88" s="1">
        <v>5920.5179642763196</v>
      </c>
      <c r="R88" s="1">
        <v>0</v>
      </c>
      <c r="S88" s="1">
        <v>0</v>
      </c>
      <c r="T88" s="1">
        <v>0</v>
      </c>
      <c r="U88" s="1">
        <v>0</v>
      </c>
      <c r="V88" s="1">
        <v>0</v>
      </c>
      <c r="W88" s="1">
        <v>31082.719312450674</v>
      </c>
      <c r="X88" s="1">
        <f>tblSection6111416[[#This Row],[Net Total]]*0.15</f>
        <v>4662.4078968676013</v>
      </c>
      <c r="Y88" s="1"/>
      <c r="AA88" s="44">
        <v>1934</v>
      </c>
      <c r="AB88" t="s">
        <v>108</v>
      </c>
      <c r="AC88" s="1">
        <v>968.8232492457206</v>
      </c>
      <c r="AD88" s="1">
        <v>0</v>
      </c>
      <c r="AE88" s="1">
        <v>0</v>
      </c>
      <c r="AF88" s="1">
        <v>0</v>
      </c>
      <c r="AG88" s="1">
        <v>0</v>
      </c>
      <c r="AH88" s="1">
        <v>0</v>
      </c>
      <c r="AI88" s="1">
        <v>968.8232492457206</v>
      </c>
      <c r="AJ88" s="1">
        <f>tblSection6191517[[#This Row],[Net Total]]*0.15</f>
        <v>145.32348738685809</v>
      </c>
      <c r="AK88" s="1"/>
      <c r="AM88" s="44"/>
      <c r="AN88" s="44">
        <v>1934</v>
      </c>
      <c r="AO88" t="s">
        <v>108</v>
      </c>
      <c r="AP88" s="247">
        <v>31082.719312450674</v>
      </c>
      <c r="AQ88" s="247">
        <v>5920.5179642763196</v>
      </c>
      <c r="AR88" s="247">
        <v>0</v>
      </c>
      <c r="AS88" s="247">
        <v>0</v>
      </c>
      <c r="AT88" s="247">
        <v>0</v>
      </c>
      <c r="AU88" s="247">
        <v>0</v>
      </c>
      <c r="AV88" s="247">
        <v>0</v>
      </c>
      <c r="AW88" s="247">
        <v>37003.237276726992</v>
      </c>
      <c r="AX88" s="1">
        <f>tblSection61114[[#This Row],[Gross Total]]*0.15</f>
        <v>5550.4855915090484</v>
      </c>
      <c r="AZ88" s="44">
        <v>1934</v>
      </c>
      <c r="BA88" t="s">
        <v>108</v>
      </c>
      <c r="BB88" s="247">
        <v>968.8232492457206</v>
      </c>
      <c r="BC88" s="247">
        <v>0</v>
      </c>
      <c r="BD88" s="247">
        <v>0</v>
      </c>
      <c r="BE88" s="247">
        <v>0</v>
      </c>
      <c r="BF88" s="247">
        <v>0</v>
      </c>
      <c r="BG88" s="247">
        <v>0</v>
      </c>
      <c r="BH88" s="247">
        <v>968.8232492457206</v>
      </c>
      <c r="BI88" s="1">
        <f>tblSection61915[[#This Row],[Gross Total]]*0.15</f>
        <v>145.32348738685809</v>
      </c>
      <c r="BJ88" s="44"/>
      <c r="BK88" s="246"/>
      <c r="BM88" s="44">
        <v>1934</v>
      </c>
      <c r="BN88" t="s">
        <v>108</v>
      </c>
      <c r="BO88" s="1">
        <v>22181</v>
      </c>
      <c r="BP88" s="1">
        <v>3025</v>
      </c>
      <c r="BQ88" s="1">
        <v>0</v>
      </c>
      <c r="BR88" s="1">
        <v>0</v>
      </c>
      <c r="BS88" s="1">
        <v>0</v>
      </c>
      <c r="BT88" s="1">
        <v>0</v>
      </c>
      <c r="BU88" s="1">
        <f>SUM(tblSection611[[#This Row],[LEA/District]:[ECSE]])</f>
        <v>25206</v>
      </c>
      <c r="BV88" s="1">
        <f>tblSection611[[#This Row],[Gross Total]]*0.15</f>
        <v>3780.8999999999996</v>
      </c>
      <c r="BW88" s="1"/>
      <c r="BY88" s="44">
        <v>1934</v>
      </c>
      <c r="BZ88" t="s">
        <v>108</v>
      </c>
      <c r="CA88" s="1">
        <v>992</v>
      </c>
      <c r="CB88" s="1">
        <v>0</v>
      </c>
      <c r="CC88" s="1">
        <v>0</v>
      </c>
      <c r="CD88" s="1">
        <v>0</v>
      </c>
      <c r="CE88" s="1">
        <v>0</v>
      </c>
      <c r="CF88" s="1">
        <v>0</v>
      </c>
      <c r="CG88" s="1">
        <f>SUM(tblSection619[[#This Row],[LEA/District]:[ECSE]])</f>
        <v>992</v>
      </c>
      <c r="CH88" s="1">
        <f>tblSection619[[#This Row],[Gross Total]]*0.15</f>
        <v>148.79999999999998</v>
      </c>
    </row>
    <row r="89" spans="1:86" x14ac:dyDescent="0.35">
      <c r="A89" t="s">
        <v>109</v>
      </c>
      <c r="B89">
        <v>2008</v>
      </c>
      <c r="C89" t="s">
        <v>1528</v>
      </c>
      <c r="D89" s="44">
        <f>LEN(TblAgencies[[#This Row],[InstNm]])</f>
        <v>13</v>
      </c>
      <c r="E89" s="44" t="s">
        <v>1900</v>
      </c>
      <c r="F89" s="44" t="s">
        <v>1900</v>
      </c>
      <c r="G8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89" s="44"/>
      <c r="I89" s="44"/>
      <c r="J89" s="44"/>
      <c r="K89" s="44"/>
      <c r="M89" s="44"/>
      <c r="N89" s="44">
        <v>2008</v>
      </c>
      <c r="O89" t="s">
        <v>109</v>
      </c>
      <c r="P89" s="1">
        <v>144539.54316207243</v>
      </c>
      <c r="Q89" s="1">
        <v>25644.11249649672</v>
      </c>
      <c r="R89" s="1">
        <v>0</v>
      </c>
      <c r="S89" s="1">
        <v>0</v>
      </c>
      <c r="T89" s="1">
        <v>0</v>
      </c>
      <c r="U89" s="1">
        <v>0</v>
      </c>
      <c r="V89" s="1">
        <v>9325.1318169078968</v>
      </c>
      <c r="W89" s="1">
        <v>144539.54316207243</v>
      </c>
      <c r="X89" s="1">
        <f>tblSection6111416[[#This Row],[Net Total]]*0.15</f>
        <v>21680.931474310863</v>
      </c>
      <c r="Y89" s="1"/>
      <c r="AA89" s="44">
        <v>2008</v>
      </c>
      <c r="AB89" t="s">
        <v>109</v>
      </c>
      <c r="AC89" s="1">
        <v>2121.2007417478703</v>
      </c>
      <c r="AD89" s="1">
        <v>1414.1338278319135</v>
      </c>
      <c r="AE89" s="1">
        <v>0</v>
      </c>
      <c r="AF89" s="1">
        <v>0</v>
      </c>
      <c r="AG89" s="1">
        <v>0</v>
      </c>
      <c r="AH89" s="1">
        <v>2828.2676556638271</v>
      </c>
      <c r="AI89" s="1">
        <v>2121.2007417478699</v>
      </c>
      <c r="AJ89" s="1">
        <f>tblSection6191517[[#This Row],[Net Total]]*0.15</f>
        <v>318.18011126218045</v>
      </c>
      <c r="AK89" s="1"/>
      <c r="AM89" s="44"/>
      <c r="AN89" s="44">
        <v>2008</v>
      </c>
      <c r="AO89" t="s">
        <v>109</v>
      </c>
      <c r="AP89" s="247">
        <v>144539.54316207243</v>
      </c>
      <c r="AQ89" s="247">
        <v>25644.11249649672</v>
      </c>
      <c r="AR89" s="247">
        <v>0</v>
      </c>
      <c r="AS89" s="247">
        <v>0</v>
      </c>
      <c r="AT89" s="247">
        <v>0</v>
      </c>
      <c r="AU89" s="247">
        <v>0</v>
      </c>
      <c r="AV89" s="247">
        <v>6993.848862680923</v>
      </c>
      <c r="AW89" s="247">
        <v>177177.50452125008</v>
      </c>
      <c r="AX89" s="1">
        <f>tblSection61114[[#This Row],[Gross Total]]*0.15</f>
        <v>26576.625678187513</v>
      </c>
      <c r="AZ89" s="44">
        <v>2008</v>
      </c>
      <c r="BA89" t="s">
        <v>109</v>
      </c>
      <c r="BB89" s="247">
        <v>2121.2007417478703</v>
      </c>
      <c r="BC89" s="247">
        <v>1414.1338278319135</v>
      </c>
      <c r="BD89" s="247">
        <v>0</v>
      </c>
      <c r="BE89" s="247">
        <v>0</v>
      </c>
      <c r="BF89" s="247">
        <v>0</v>
      </c>
      <c r="BG89" s="247">
        <v>2121.2007417478703</v>
      </c>
      <c r="BH89" s="247">
        <v>5656.5353113276542</v>
      </c>
      <c r="BI89" s="1">
        <f>tblSection61915[[#This Row],[Gross Total]]*0.15</f>
        <v>848.48029669914808</v>
      </c>
      <c r="BJ89" s="44"/>
      <c r="BK89" s="246"/>
      <c r="BM89" s="44">
        <v>2008</v>
      </c>
      <c r="BN89" t="s">
        <v>109</v>
      </c>
      <c r="BO89" s="1">
        <v>145277</v>
      </c>
      <c r="BP89" s="1">
        <v>22195</v>
      </c>
      <c r="BQ89" s="1">
        <v>0</v>
      </c>
      <c r="BR89" s="1">
        <v>0</v>
      </c>
      <c r="BS89" s="1">
        <v>0</v>
      </c>
      <c r="BT89" s="1">
        <v>10089</v>
      </c>
      <c r="BU89" s="1">
        <f>SUM(tblSection611[[#This Row],[LEA/District]:[ECSE]])</f>
        <v>177561</v>
      </c>
      <c r="BV89" s="1">
        <f>tblSection611[[#This Row],[Gross Total]]*0.15</f>
        <v>26634.149999999998</v>
      </c>
      <c r="BW89" s="1"/>
      <c r="BY89" s="44">
        <v>2008</v>
      </c>
      <c r="BZ89" t="s">
        <v>109</v>
      </c>
      <c r="CA89" s="1">
        <v>905</v>
      </c>
      <c r="CB89" s="1">
        <v>0</v>
      </c>
      <c r="CC89" s="1">
        <v>0</v>
      </c>
      <c r="CD89" s="1">
        <v>0</v>
      </c>
      <c r="CE89" s="1">
        <v>0</v>
      </c>
      <c r="CF89" s="1">
        <v>4523</v>
      </c>
      <c r="CG89" s="1">
        <f>SUM(tblSection619[[#This Row],[LEA/District]:[ECSE]])</f>
        <v>5428</v>
      </c>
      <c r="CH89" s="1">
        <f>tblSection619[[#This Row],[Gross Total]]*0.15</f>
        <v>814.19999999999993</v>
      </c>
    </row>
    <row r="90" spans="1:86" x14ac:dyDescent="0.35">
      <c r="A90" t="s">
        <v>110</v>
      </c>
      <c r="B90">
        <v>2107</v>
      </c>
      <c r="C90" t="s">
        <v>1528</v>
      </c>
      <c r="D90" s="44">
        <f>LEN(TblAgencies[[#This Row],[InstNm]])</f>
        <v>18</v>
      </c>
      <c r="E90" s="44" t="s">
        <v>1900</v>
      </c>
      <c r="F90" s="44" t="s">
        <v>1900</v>
      </c>
      <c r="G9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90" s="44"/>
      <c r="I90" s="44"/>
      <c r="J90" s="44"/>
      <c r="K90" s="44"/>
      <c r="M90" s="44"/>
      <c r="N90" s="44">
        <v>2107</v>
      </c>
      <c r="O90" t="s">
        <v>110</v>
      </c>
      <c r="P90" s="1">
        <v>13571.120764276318</v>
      </c>
      <c r="Q90" s="1">
        <v>0</v>
      </c>
      <c r="R90" s="1">
        <v>0</v>
      </c>
      <c r="S90" s="1">
        <v>0</v>
      </c>
      <c r="T90" s="1">
        <v>0</v>
      </c>
      <c r="U90" s="1">
        <v>0</v>
      </c>
      <c r="V90" s="1">
        <v>0</v>
      </c>
      <c r="W90" s="1">
        <v>13571.120764276318</v>
      </c>
      <c r="X90" s="1">
        <f>tblSection6111416[[#This Row],[Net Total]]*0.15</f>
        <v>2035.6681146414476</v>
      </c>
      <c r="Y90" s="1"/>
      <c r="AA90" s="44">
        <v>2107</v>
      </c>
      <c r="AB90" t="s">
        <v>110</v>
      </c>
      <c r="AC90" s="1">
        <v>484.4116246228603</v>
      </c>
      <c r="AD90" s="1">
        <v>0</v>
      </c>
      <c r="AE90" s="1">
        <v>0</v>
      </c>
      <c r="AF90" s="1">
        <v>0</v>
      </c>
      <c r="AG90" s="1">
        <v>0</v>
      </c>
      <c r="AH90" s="1">
        <v>0</v>
      </c>
      <c r="AI90" s="1">
        <v>484.4116246228603</v>
      </c>
      <c r="AJ90" s="1">
        <f>tblSection6191517[[#This Row],[Net Total]]*0.15</f>
        <v>72.661743693429045</v>
      </c>
      <c r="AK90" s="1"/>
      <c r="AM90" s="44"/>
      <c r="AN90" s="44">
        <v>2107</v>
      </c>
      <c r="AO90" t="s">
        <v>110</v>
      </c>
      <c r="AP90" s="247">
        <v>13571.120764276318</v>
      </c>
      <c r="AQ90" s="247">
        <v>0</v>
      </c>
      <c r="AR90" s="247">
        <v>0</v>
      </c>
      <c r="AS90" s="247">
        <v>0</v>
      </c>
      <c r="AT90" s="247">
        <v>0</v>
      </c>
      <c r="AU90" s="247">
        <v>0</v>
      </c>
      <c r="AV90" s="247">
        <v>0</v>
      </c>
      <c r="AW90" s="247">
        <v>13571.120764276318</v>
      </c>
      <c r="AX90" s="1">
        <f>tblSection61114[[#This Row],[Gross Total]]*0.15</f>
        <v>2035.6681146414476</v>
      </c>
      <c r="AZ90" s="44">
        <v>2107</v>
      </c>
      <c r="BA90" t="s">
        <v>110</v>
      </c>
      <c r="BB90" s="247">
        <v>484.4116246228603</v>
      </c>
      <c r="BC90" s="247">
        <v>0</v>
      </c>
      <c r="BD90" s="247">
        <v>0</v>
      </c>
      <c r="BE90" s="247">
        <v>0</v>
      </c>
      <c r="BF90" s="247">
        <v>0</v>
      </c>
      <c r="BG90" s="247">
        <v>0</v>
      </c>
      <c r="BH90" s="247">
        <v>484.4116246228603</v>
      </c>
      <c r="BI90" s="1">
        <f>tblSection61915[[#This Row],[Gross Total]]*0.15</f>
        <v>72.661743693429045</v>
      </c>
      <c r="BJ90" s="44"/>
      <c r="BK90" s="246"/>
      <c r="BM90" s="44">
        <v>2107</v>
      </c>
      <c r="BN90" t="s">
        <v>110</v>
      </c>
      <c r="BO90" s="1">
        <v>17551</v>
      </c>
      <c r="BP90" s="1">
        <v>0</v>
      </c>
      <c r="BQ90" s="1">
        <v>0</v>
      </c>
      <c r="BR90" s="1">
        <v>0</v>
      </c>
      <c r="BS90" s="1">
        <v>0</v>
      </c>
      <c r="BT90" s="1">
        <v>0</v>
      </c>
      <c r="BU90" s="1">
        <f>SUM(tblSection611[[#This Row],[LEA/District]:[ECSE]])</f>
        <v>17551</v>
      </c>
      <c r="BV90" s="1">
        <f>tblSection611[[#This Row],[Gross Total]]*0.15</f>
        <v>2632.65</v>
      </c>
      <c r="BW90" s="1"/>
      <c r="BY90" s="44">
        <v>2107</v>
      </c>
      <c r="BZ90" t="s">
        <v>110</v>
      </c>
      <c r="CA90" s="1">
        <v>495</v>
      </c>
      <c r="CB90" s="1">
        <v>0</v>
      </c>
      <c r="CC90" s="1">
        <v>0</v>
      </c>
      <c r="CD90" s="1">
        <v>0</v>
      </c>
      <c r="CE90" s="1">
        <v>0</v>
      </c>
      <c r="CF90" s="1">
        <v>0</v>
      </c>
      <c r="CG90" s="1">
        <f>SUM(tblSection619[[#This Row],[LEA/District]:[ECSE]])</f>
        <v>495</v>
      </c>
      <c r="CH90" s="1">
        <f>tblSection619[[#This Row],[Gross Total]]*0.15</f>
        <v>74.25</v>
      </c>
    </row>
    <row r="91" spans="1:86" x14ac:dyDescent="0.35">
      <c r="A91" t="s">
        <v>111</v>
      </c>
      <c r="B91">
        <v>2219</v>
      </c>
      <c r="C91" t="s">
        <v>1528</v>
      </c>
      <c r="D91" s="44">
        <f>LEN(TblAgencies[[#This Row],[InstNm]])</f>
        <v>11</v>
      </c>
      <c r="E91" s="44" t="s">
        <v>1900</v>
      </c>
      <c r="F91" s="44" t="s">
        <v>1900</v>
      </c>
      <c r="G9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91" s="44"/>
      <c r="I91" s="44"/>
      <c r="J91" s="44"/>
      <c r="K91" s="44"/>
      <c r="M91" s="44"/>
      <c r="N91" s="44">
        <v>2219</v>
      </c>
      <c r="O91" t="s">
        <v>111</v>
      </c>
      <c r="P91" s="1">
        <v>55620.214835657913</v>
      </c>
      <c r="Q91" s="1">
        <v>6952.5268544572391</v>
      </c>
      <c r="R91" s="1">
        <v>0</v>
      </c>
      <c r="S91" s="1">
        <v>0</v>
      </c>
      <c r="T91" s="1">
        <v>0</v>
      </c>
      <c r="U91" s="1">
        <v>0</v>
      </c>
      <c r="V91" s="1">
        <v>6952.5268544572391</v>
      </c>
      <c r="W91" s="1">
        <v>55620.214835657913</v>
      </c>
      <c r="X91" s="1">
        <f>tblSection6111416[[#This Row],[Net Total]]*0.15</f>
        <v>8343.0322253486866</v>
      </c>
      <c r="Y91" s="1"/>
      <c r="AA91" s="44">
        <v>2219</v>
      </c>
      <c r="AB91" t="s">
        <v>111</v>
      </c>
      <c r="AC91" s="1">
        <v>646.51546083809933</v>
      </c>
      <c r="AD91" s="1">
        <v>0</v>
      </c>
      <c r="AE91" s="1">
        <v>0</v>
      </c>
      <c r="AF91" s="1">
        <v>0</v>
      </c>
      <c r="AG91" s="1">
        <v>0</v>
      </c>
      <c r="AH91" s="1">
        <v>1939.5463825142976</v>
      </c>
      <c r="AI91" s="1">
        <v>646.51546083809922</v>
      </c>
      <c r="AJ91" s="1">
        <f>tblSection6191517[[#This Row],[Net Total]]*0.15</f>
        <v>96.977319125714885</v>
      </c>
      <c r="AK91" s="1"/>
      <c r="AM91" s="44"/>
      <c r="AN91" s="44">
        <v>2219</v>
      </c>
      <c r="AO91" t="s">
        <v>111</v>
      </c>
      <c r="AP91" s="247">
        <v>55620.214835657913</v>
      </c>
      <c r="AQ91" s="247">
        <v>6952.5268544572391</v>
      </c>
      <c r="AR91" s="247">
        <v>0</v>
      </c>
      <c r="AS91" s="247">
        <v>0</v>
      </c>
      <c r="AT91" s="247">
        <v>0</v>
      </c>
      <c r="AU91" s="247">
        <v>0</v>
      </c>
      <c r="AV91" s="247">
        <v>6952.5268544572391</v>
      </c>
      <c r="AW91" s="247">
        <v>69525.268544572391</v>
      </c>
      <c r="AX91" s="1">
        <f>tblSection61114[[#This Row],[Gross Total]]*0.15</f>
        <v>10428.790281685859</v>
      </c>
      <c r="AZ91" s="44">
        <v>2219</v>
      </c>
      <c r="BA91" t="s">
        <v>111</v>
      </c>
      <c r="BB91" s="247">
        <v>646.51546083809933</v>
      </c>
      <c r="BC91" s="247">
        <v>0</v>
      </c>
      <c r="BD91" s="247">
        <v>0</v>
      </c>
      <c r="BE91" s="247">
        <v>0</v>
      </c>
      <c r="BF91" s="247">
        <v>0</v>
      </c>
      <c r="BG91" s="247">
        <v>1939.5463825142976</v>
      </c>
      <c r="BH91" s="247">
        <v>2586.0618433523969</v>
      </c>
      <c r="BI91" s="1">
        <f>tblSection61915[[#This Row],[Gross Total]]*0.15</f>
        <v>387.90927650285954</v>
      </c>
      <c r="BJ91" s="44"/>
      <c r="BK91" s="246"/>
      <c r="BM91" s="44">
        <v>2219</v>
      </c>
      <c r="BN91" t="s">
        <v>111</v>
      </c>
      <c r="BO91" s="1">
        <v>60881</v>
      </c>
      <c r="BP91" s="1">
        <v>7856</v>
      </c>
      <c r="BQ91" s="1">
        <v>0</v>
      </c>
      <c r="BR91" s="1">
        <v>0</v>
      </c>
      <c r="BS91" s="1">
        <v>0</v>
      </c>
      <c r="BT91" s="1">
        <v>5892</v>
      </c>
      <c r="BU91" s="1">
        <f>SUM(tblSection611[[#This Row],[LEA/District]:[ECSE]])</f>
        <v>74629</v>
      </c>
      <c r="BV91" s="1">
        <f>tblSection611[[#This Row],[Gross Total]]*0.15</f>
        <v>11194.35</v>
      </c>
      <c r="BW91" s="1"/>
      <c r="BY91" s="44">
        <v>2219</v>
      </c>
      <c r="BZ91" t="s">
        <v>111</v>
      </c>
      <c r="CA91" s="1">
        <v>616</v>
      </c>
      <c r="CB91" s="1">
        <v>0</v>
      </c>
      <c r="CC91" s="1">
        <v>0</v>
      </c>
      <c r="CD91" s="1">
        <v>0</v>
      </c>
      <c r="CE91" s="1">
        <v>0</v>
      </c>
      <c r="CF91" s="1">
        <v>1849</v>
      </c>
      <c r="CG91" s="1">
        <f>SUM(tblSection619[[#This Row],[LEA/District]:[ECSE]])</f>
        <v>2465</v>
      </c>
      <c r="CH91" s="1">
        <f>tblSection619[[#This Row],[Gross Total]]*0.15</f>
        <v>369.75</v>
      </c>
    </row>
    <row r="92" spans="1:86" x14ac:dyDescent="0.35">
      <c r="A92" t="s">
        <v>112</v>
      </c>
      <c r="B92">
        <v>2091</v>
      </c>
      <c r="C92" t="s">
        <v>1528</v>
      </c>
      <c r="D92" s="44">
        <f>LEN(TblAgencies[[#This Row],[InstNm]])</f>
        <v>19</v>
      </c>
      <c r="E92" s="44" t="s">
        <v>1900</v>
      </c>
      <c r="F92" s="44" t="s">
        <v>1900</v>
      </c>
      <c r="G9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92" s="44"/>
      <c r="I92" s="44"/>
      <c r="J92" s="44"/>
      <c r="K92" s="44"/>
      <c r="M92" s="44"/>
      <c r="N92" s="44">
        <v>2091</v>
      </c>
      <c r="O92" t="s">
        <v>112</v>
      </c>
      <c r="P92" s="1">
        <v>444539.19608535559</v>
      </c>
      <c r="Q92" s="1">
        <v>28954.660281421631</v>
      </c>
      <c r="R92" s="1">
        <v>0</v>
      </c>
      <c r="S92" s="1">
        <v>0</v>
      </c>
      <c r="T92" s="1">
        <v>0</v>
      </c>
      <c r="U92" s="1">
        <v>0</v>
      </c>
      <c r="V92" s="1">
        <v>63018.966494858832</v>
      </c>
      <c r="W92" s="1">
        <v>444539.19608535559</v>
      </c>
      <c r="X92" s="1">
        <f>tblSection6111416[[#This Row],[Net Total]]*0.15</f>
        <v>66680.879412803333</v>
      </c>
      <c r="Y92" s="1"/>
      <c r="AA92" s="44">
        <v>2091</v>
      </c>
      <c r="AB92" t="s">
        <v>112</v>
      </c>
      <c r="AC92" s="1">
        <v>4967.0145762060065</v>
      </c>
      <c r="AD92" s="1">
        <v>0</v>
      </c>
      <c r="AE92" s="1">
        <v>0</v>
      </c>
      <c r="AF92" s="1">
        <v>0</v>
      </c>
      <c r="AG92" s="1">
        <v>0</v>
      </c>
      <c r="AH92" s="1">
        <v>10810.561136448368</v>
      </c>
      <c r="AI92" s="1">
        <v>4967.0145762060074</v>
      </c>
      <c r="AJ92" s="1">
        <f>tblSection6191517[[#This Row],[Net Total]]*0.15</f>
        <v>745.05218643090109</v>
      </c>
      <c r="AK92" s="1"/>
      <c r="AM92" s="44"/>
      <c r="AN92" s="44">
        <v>2091</v>
      </c>
      <c r="AO92" t="s">
        <v>112</v>
      </c>
      <c r="AP92" s="247">
        <v>444539.19608535559</v>
      </c>
      <c r="AQ92" s="247">
        <v>28954.660281421631</v>
      </c>
      <c r="AR92" s="247">
        <v>0</v>
      </c>
      <c r="AS92" s="247">
        <v>0</v>
      </c>
      <c r="AT92" s="247">
        <v>0</v>
      </c>
      <c r="AU92" s="247">
        <v>0</v>
      </c>
      <c r="AV92" s="247">
        <v>63018.966494858832</v>
      </c>
      <c r="AW92" s="247">
        <v>536512.82286163606</v>
      </c>
      <c r="AX92" s="1">
        <f>tblSection61114[[#This Row],[Gross Total]]*0.15</f>
        <v>80476.923429245406</v>
      </c>
      <c r="AZ92" s="44">
        <v>2091</v>
      </c>
      <c r="BA92" t="s">
        <v>112</v>
      </c>
      <c r="BB92" s="247">
        <v>4967.0145762060065</v>
      </c>
      <c r="BC92" s="247">
        <v>0</v>
      </c>
      <c r="BD92" s="247">
        <v>0</v>
      </c>
      <c r="BE92" s="247">
        <v>0</v>
      </c>
      <c r="BF92" s="247">
        <v>0</v>
      </c>
      <c r="BG92" s="247">
        <v>10810.561136448368</v>
      </c>
      <c r="BH92" s="247">
        <v>15777.575712654376</v>
      </c>
      <c r="BI92" s="1">
        <f>tblSection61915[[#This Row],[Gross Total]]*0.15</f>
        <v>2366.6363568981565</v>
      </c>
      <c r="BJ92" s="44"/>
      <c r="BK92" s="246"/>
      <c r="BM92" s="44">
        <v>2091</v>
      </c>
      <c r="BN92" t="s">
        <v>112</v>
      </c>
      <c r="BO92" s="1">
        <v>315206</v>
      </c>
      <c r="BP92" s="1">
        <v>32510</v>
      </c>
      <c r="BQ92" s="1">
        <v>0</v>
      </c>
      <c r="BR92" s="1">
        <v>0</v>
      </c>
      <c r="BS92" s="1">
        <v>0</v>
      </c>
      <c r="BT92" s="1">
        <v>59366</v>
      </c>
      <c r="BU92" s="1">
        <f>SUM(tblSection611[[#This Row],[LEA/District]:[ECSE]])</f>
        <v>407082</v>
      </c>
      <c r="BV92" s="1">
        <f>tblSection611[[#This Row],[Gross Total]]*0.15</f>
        <v>61062.299999999996</v>
      </c>
      <c r="BW92" s="1"/>
      <c r="BY92" s="44">
        <v>2091</v>
      </c>
      <c r="BZ92" t="s">
        <v>112</v>
      </c>
      <c r="CA92" s="1">
        <v>2667</v>
      </c>
      <c r="CB92" s="1">
        <v>0</v>
      </c>
      <c r="CC92" s="1">
        <v>0</v>
      </c>
      <c r="CD92" s="1">
        <v>0</v>
      </c>
      <c r="CE92" s="1">
        <v>0</v>
      </c>
      <c r="CF92" s="1">
        <v>11203</v>
      </c>
      <c r="CG92" s="1">
        <f>SUM(tblSection619[[#This Row],[LEA/District]:[ECSE]])</f>
        <v>13870</v>
      </c>
      <c r="CH92" s="1">
        <f>tblSection619[[#This Row],[Gross Total]]*0.15</f>
        <v>2080.5</v>
      </c>
    </row>
    <row r="93" spans="1:86" x14ac:dyDescent="0.35">
      <c r="A93" t="s">
        <v>113</v>
      </c>
      <c r="B93">
        <v>2109</v>
      </c>
      <c r="C93" t="s">
        <v>1528</v>
      </c>
      <c r="D93" s="44">
        <f>LEN(TblAgencies[[#This Row],[InstNm]])</f>
        <v>13</v>
      </c>
      <c r="E93" s="44" t="s">
        <v>1900</v>
      </c>
      <c r="F93" s="44" t="s">
        <v>1900</v>
      </c>
      <c r="G9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93" s="44"/>
      <c r="I93" s="44"/>
      <c r="J93" s="44"/>
      <c r="K93" s="44"/>
      <c r="M93" s="44"/>
      <c r="N93" s="44">
        <v>2109</v>
      </c>
      <c r="O93" t="s">
        <v>113</v>
      </c>
      <c r="P93" s="1">
        <v>898.44666666666672</v>
      </c>
      <c r="Q93" s="1">
        <v>0</v>
      </c>
      <c r="R93" s="1">
        <v>0</v>
      </c>
      <c r="S93" s="1">
        <v>0</v>
      </c>
      <c r="T93" s="1">
        <v>0</v>
      </c>
      <c r="U93" s="1">
        <v>0</v>
      </c>
      <c r="V93" s="1">
        <v>0</v>
      </c>
      <c r="W93" s="1">
        <v>898.44666666666672</v>
      </c>
      <c r="X93" s="1">
        <f>tblSection6111416[[#This Row],[Net Total]]*0.15</f>
        <v>134.767</v>
      </c>
      <c r="Y93" s="1"/>
      <c r="AA93" s="44">
        <v>2109</v>
      </c>
      <c r="AB93" t="s">
        <v>113</v>
      </c>
      <c r="AC93" s="1">
        <v>0</v>
      </c>
      <c r="AD93" s="1">
        <v>0</v>
      </c>
      <c r="AE93" s="1">
        <v>0</v>
      </c>
      <c r="AF93" s="1">
        <v>0</v>
      </c>
      <c r="AG93" s="1">
        <v>0</v>
      </c>
      <c r="AH93" s="1">
        <v>0</v>
      </c>
      <c r="AI93" s="1">
        <v>0</v>
      </c>
      <c r="AJ93" s="1">
        <f>tblSection6191517[[#This Row],[Net Total]]*0.15</f>
        <v>0</v>
      </c>
      <c r="AK93" s="1"/>
      <c r="AM93" s="44"/>
      <c r="AN93" s="44">
        <v>2109</v>
      </c>
      <c r="AO93" t="s">
        <v>113</v>
      </c>
      <c r="AP93" s="247">
        <v>898.44666666666672</v>
      </c>
      <c r="AQ93" s="247">
        <v>0</v>
      </c>
      <c r="AR93" s="247">
        <v>0</v>
      </c>
      <c r="AS93" s="247">
        <v>0</v>
      </c>
      <c r="AT93" s="247">
        <v>0</v>
      </c>
      <c r="AU93" s="247">
        <v>0</v>
      </c>
      <c r="AV93" s="247">
        <v>0</v>
      </c>
      <c r="AW93" s="247">
        <v>898.44666666666672</v>
      </c>
      <c r="AX93" s="1">
        <f>tblSection61114[[#This Row],[Gross Total]]*0.15</f>
        <v>134.767</v>
      </c>
      <c r="AZ93" s="44">
        <v>2109</v>
      </c>
      <c r="BA93" t="s">
        <v>113</v>
      </c>
      <c r="BB93" s="247">
        <v>0</v>
      </c>
      <c r="BC93" s="247">
        <v>0</v>
      </c>
      <c r="BD93" s="247">
        <v>0</v>
      </c>
      <c r="BE93" s="247">
        <v>0</v>
      </c>
      <c r="BF93" s="247">
        <v>0</v>
      </c>
      <c r="BG93" s="247">
        <v>0</v>
      </c>
      <c r="BH93" s="247">
        <v>0</v>
      </c>
      <c r="BI93" s="1">
        <f>tblSection61915[[#This Row],[Gross Total]]*0.15</f>
        <v>0</v>
      </c>
      <c r="BJ93" s="44"/>
      <c r="BK93" s="246"/>
      <c r="BM93" s="44">
        <v>2109</v>
      </c>
      <c r="BN93" t="s">
        <v>113</v>
      </c>
      <c r="BO93" s="1">
        <v>1884</v>
      </c>
      <c r="BP93" s="1">
        <v>0</v>
      </c>
      <c r="BQ93" s="1">
        <v>0</v>
      </c>
      <c r="BR93" s="1">
        <v>0</v>
      </c>
      <c r="BS93" s="1">
        <v>0</v>
      </c>
      <c r="BT93" s="1">
        <v>0</v>
      </c>
      <c r="BU93" s="1">
        <f>SUM(tblSection611[[#This Row],[LEA/District]:[ECSE]])</f>
        <v>1884</v>
      </c>
      <c r="BV93" s="1">
        <f>tblSection611[[#This Row],[Gross Total]]*0.15</f>
        <v>282.59999999999997</v>
      </c>
      <c r="BW93" s="1"/>
      <c r="BY93" s="44">
        <v>2109</v>
      </c>
      <c r="BZ93" t="s">
        <v>113</v>
      </c>
      <c r="CA93" s="1">
        <v>4</v>
      </c>
      <c r="CB93" s="1">
        <v>0</v>
      </c>
      <c r="CC93" s="1">
        <v>0</v>
      </c>
      <c r="CD93" s="1">
        <v>0</v>
      </c>
      <c r="CE93" s="1">
        <v>0</v>
      </c>
      <c r="CF93" s="1">
        <v>0</v>
      </c>
      <c r="CG93" s="1">
        <f>SUM(tblSection619[[#This Row],[LEA/District]:[ECSE]])</f>
        <v>4</v>
      </c>
      <c r="CH93" s="1">
        <f>tblSection619[[#This Row],[Gross Total]]*0.15</f>
        <v>0.6</v>
      </c>
    </row>
    <row r="94" spans="1:86" x14ac:dyDescent="0.35">
      <c r="A94" t="s">
        <v>114</v>
      </c>
      <c r="B94">
        <v>2057</v>
      </c>
      <c r="C94" t="s">
        <v>1528</v>
      </c>
      <c r="D94" s="44">
        <f>LEN(TblAgencies[[#This Row],[InstNm]])</f>
        <v>17</v>
      </c>
      <c r="E94" s="44" t="s">
        <v>1900</v>
      </c>
      <c r="F94" s="44" t="s">
        <v>1900</v>
      </c>
      <c r="G9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94" s="44"/>
      <c r="I94" s="44"/>
      <c r="J94" s="44"/>
      <c r="K94" s="44"/>
      <c r="M94" s="44"/>
      <c r="N94" s="44">
        <v>2057</v>
      </c>
      <c r="O94" t="s">
        <v>114</v>
      </c>
      <c r="P94" s="1">
        <v>1592696.5289047342</v>
      </c>
      <c r="Q94" s="1">
        <v>240194.11215263701</v>
      </c>
      <c r="R94" s="1">
        <v>0</v>
      </c>
      <c r="S94" s="1">
        <v>0</v>
      </c>
      <c r="T94" s="1">
        <v>0</v>
      </c>
      <c r="U94" s="1">
        <v>0</v>
      </c>
      <c r="V94" s="1">
        <v>145083.6919042774</v>
      </c>
      <c r="W94" s="1">
        <v>1592696.5289047342</v>
      </c>
      <c r="X94" s="1">
        <f>tblSection6111416[[#This Row],[Net Total]]*0.15</f>
        <v>238904.47933571012</v>
      </c>
      <c r="Y94" s="1"/>
      <c r="AA94" s="44">
        <v>2057</v>
      </c>
      <c r="AB94" t="s">
        <v>114</v>
      </c>
      <c r="AC94" s="1">
        <v>10975.092384466123</v>
      </c>
      <c r="AD94" s="1">
        <v>3658.3641281553751</v>
      </c>
      <c r="AE94" s="1">
        <v>0</v>
      </c>
      <c r="AF94" s="1">
        <v>0</v>
      </c>
      <c r="AG94" s="1">
        <v>0</v>
      </c>
      <c r="AH94" s="1">
        <v>25327.136271844905</v>
      </c>
      <c r="AI94" s="1">
        <v>10975.092384466123</v>
      </c>
      <c r="AJ94" s="1">
        <f>tblSection6191517[[#This Row],[Net Total]]*0.15</f>
        <v>1646.2638576699185</v>
      </c>
      <c r="AK94" s="1"/>
      <c r="AM94" s="44"/>
      <c r="AN94" s="44">
        <v>2057</v>
      </c>
      <c r="AO94" t="s">
        <v>114</v>
      </c>
      <c r="AP94" s="247">
        <v>1592696.5289047342</v>
      </c>
      <c r="AQ94" s="247">
        <v>240194.11215263701</v>
      </c>
      <c r="AR94" s="247">
        <v>0</v>
      </c>
      <c r="AS94" s="247">
        <v>0</v>
      </c>
      <c r="AT94" s="247">
        <v>0</v>
      </c>
      <c r="AU94" s="247">
        <v>0</v>
      </c>
      <c r="AV94" s="247">
        <v>133799.40475616694</v>
      </c>
      <c r="AW94" s="247">
        <v>1966690.0458135381</v>
      </c>
      <c r="AX94" s="1">
        <f>tblSection61114[[#This Row],[Gross Total]]*0.15</f>
        <v>295003.50687203073</v>
      </c>
      <c r="AZ94" s="44">
        <v>2057</v>
      </c>
      <c r="BA94" t="s">
        <v>114</v>
      </c>
      <c r="BB94" s="247">
        <v>10975.092384466123</v>
      </c>
      <c r="BC94" s="247">
        <v>3658.3641281553751</v>
      </c>
      <c r="BD94" s="247">
        <v>0</v>
      </c>
      <c r="BE94" s="247">
        <v>0</v>
      </c>
      <c r="BF94" s="247">
        <v>0</v>
      </c>
      <c r="BG94" s="247">
        <v>23357.247895145858</v>
      </c>
      <c r="BH94" s="247">
        <v>37990.704407767356</v>
      </c>
      <c r="BI94" s="1">
        <f>tblSection61915[[#This Row],[Gross Total]]*0.15</f>
        <v>5698.6056611651029</v>
      </c>
      <c r="BJ94" s="44"/>
      <c r="BK94" s="246"/>
      <c r="BM94" s="44">
        <v>2057</v>
      </c>
      <c r="BN94" t="s">
        <v>114</v>
      </c>
      <c r="BO94" s="1">
        <v>1387103</v>
      </c>
      <c r="BP94" s="1">
        <v>186004</v>
      </c>
      <c r="BQ94" s="1">
        <v>1442</v>
      </c>
      <c r="BR94" s="1">
        <v>0</v>
      </c>
      <c r="BS94" s="1">
        <v>0</v>
      </c>
      <c r="BT94" s="1">
        <v>124003</v>
      </c>
      <c r="BU94" s="1">
        <f>SUM(tblSection611[[#This Row],[LEA/District]:[ECSE]])</f>
        <v>1698552</v>
      </c>
      <c r="BV94" s="1">
        <f>tblSection611[[#This Row],[Gross Total]]*0.15</f>
        <v>254782.8</v>
      </c>
      <c r="BW94" s="1"/>
      <c r="BY94" s="44">
        <v>2057</v>
      </c>
      <c r="BZ94" t="s">
        <v>114</v>
      </c>
      <c r="CA94" s="1">
        <v>14054</v>
      </c>
      <c r="CB94" s="1">
        <v>953</v>
      </c>
      <c r="CC94" s="1">
        <v>0</v>
      </c>
      <c r="CD94" s="1">
        <v>0</v>
      </c>
      <c r="CE94" s="1">
        <v>0</v>
      </c>
      <c r="CF94" s="1">
        <v>20485</v>
      </c>
      <c r="CG94" s="1">
        <f>SUM(tblSection619[[#This Row],[LEA/District]:[ECSE]])</f>
        <v>35492</v>
      </c>
      <c r="CH94" s="1">
        <f>tblSection619[[#This Row],[Gross Total]]*0.15</f>
        <v>5323.8</v>
      </c>
    </row>
    <row r="95" spans="1:86" x14ac:dyDescent="0.35">
      <c r="A95" t="s">
        <v>115</v>
      </c>
      <c r="B95">
        <v>2056</v>
      </c>
      <c r="C95" t="s">
        <v>1528</v>
      </c>
      <c r="D95" s="44">
        <f>LEN(TblAgencies[[#This Row],[InstNm]])</f>
        <v>26</v>
      </c>
      <c r="E95" s="44" t="s">
        <v>1900</v>
      </c>
      <c r="F95" s="44" t="s">
        <v>1900</v>
      </c>
      <c r="G9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95" s="44"/>
      <c r="I95" s="44"/>
      <c r="J95" s="44"/>
      <c r="K95" s="44"/>
      <c r="M95" s="44"/>
      <c r="N95" s="44">
        <v>2056</v>
      </c>
      <c r="O95" t="s">
        <v>115</v>
      </c>
      <c r="P95" s="1">
        <v>654850.17112808966</v>
      </c>
      <c r="Q95" s="1">
        <v>165119.81392341515</v>
      </c>
      <c r="R95" s="1">
        <v>0</v>
      </c>
      <c r="S95" s="1">
        <v>18763.615218569903</v>
      </c>
      <c r="T95" s="1">
        <v>0</v>
      </c>
      <c r="U95" s="1">
        <v>0</v>
      </c>
      <c r="V95" s="1">
        <v>131345.30652998935</v>
      </c>
      <c r="W95" s="1">
        <v>654850.17112808966</v>
      </c>
      <c r="X95" s="1">
        <f>tblSection6111416[[#This Row],[Net Total]]*0.15</f>
        <v>98227.525669213443</v>
      </c>
      <c r="Y95" s="1"/>
      <c r="AA95" s="44">
        <v>2056</v>
      </c>
      <c r="AB95" t="s">
        <v>115</v>
      </c>
      <c r="AC95" s="1">
        <v>5734.9212153494473</v>
      </c>
      <c r="AD95" s="1">
        <v>2112.8657109182172</v>
      </c>
      <c r="AE95" s="1">
        <v>0</v>
      </c>
      <c r="AF95" s="1">
        <v>0</v>
      </c>
      <c r="AG95" s="1">
        <v>0</v>
      </c>
      <c r="AH95" s="1">
        <v>21128.657109182175</v>
      </c>
      <c r="AI95" s="1">
        <v>5734.9212153494482</v>
      </c>
      <c r="AJ95" s="1">
        <f>tblSection6191517[[#This Row],[Net Total]]*0.15</f>
        <v>860.23818230241716</v>
      </c>
      <c r="AK95" s="1"/>
      <c r="AM95" s="44"/>
      <c r="AN95" s="44">
        <v>2056</v>
      </c>
      <c r="AO95" t="s">
        <v>115</v>
      </c>
      <c r="AP95" s="247">
        <v>654850.17112808966</v>
      </c>
      <c r="AQ95" s="247">
        <v>165119.81392341515</v>
      </c>
      <c r="AR95" s="247">
        <v>0</v>
      </c>
      <c r="AS95" s="247">
        <v>18763.615218569903</v>
      </c>
      <c r="AT95" s="247">
        <v>0</v>
      </c>
      <c r="AU95" s="247">
        <v>0</v>
      </c>
      <c r="AV95" s="247">
        <v>121963.49892070438</v>
      </c>
      <c r="AW95" s="247">
        <v>960697.09919077903</v>
      </c>
      <c r="AX95" s="1">
        <f>tblSection61114[[#This Row],[Gross Total]]*0.15</f>
        <v>144104.56487861686</v>
      </c>
      <c r="AZ95" s="44">
        <v>2056</v>
      </c>
      <c r="BA95" t="s">
        <v>115</v>
      </c>
      <c r="BB95" s="247">
        <v>5734.9212153494473</v>
      </c>
      <c r="BC95" s="247">
        <v>2112.8657109182172</v>
      </c>
      <c r="BD95" s="247">
        <v>0</v>
      </c>
      <c r="BE95" s="247">
        <v>0</v>
      </c>
      <c r="BF95" s="247">
        <v>0</v>
      </c>
      <c r="BG95" s="247">
        <v>19619.467315669164</v>
      </c>
      <c r="BH95" s="247">
        <v>27467.254241936829</v>
      </c>
      <c r="BI95" s="1">
        <f>tblSection61915[[#This Row],[Gross Total]]*0.15</f>
        <v>4120.0881362905238</v>
      </c>
      <c r="BJ95" s="44"/>
      <c r="BK95" s="246"/>
      <c r="BM95" s="44">
        <v>2056</v>
      </c>
      <c r="BN95" t="s">
        <v>115</v>
      </c>
      <c r="BO95" s="1">
        <v>594369</v>
      </c>
      <c r="BP95" s="1">
        <v>129650</v>
      </c>
      <c r="BQ95" s="1">
        <v>0</v>
      </c>
      <c r="BR95" s="1">
        <v>23573</v>
      </c>
      <c r="BS95" s="1">
        <v>0</v>
      </c>
      <c r="BT95" s="1">
        <v>111129</v>
      </c>
      <c r="BU95" s="1">
        <f>SUM(tblSection611[[#This Row],[LEA/District]:[ECSE]])</f>
        <v>858721</v>
      </c>
      <c r="BV95" s="1">
        <f>tblSection611[[#This Row],[Gross Total]]*0.15</f>
        <v>128808.15</v>
      </c>
      <c r="BW95" s="1"/>
      <c r="BY95" s="44">
        <v>2056</v>
      </c>
      <c r="BZ95" t="s">
        <v>115</v>
      </c>
      <c r="CA95" s="1">
        <v>4196</v>
      </c>
      <c r="CB95" s="1">
        <v>599</v>
      </c>
      <c r="CC95" s="1">
        <v>0</v>
      </c>
      <c r="CD95" s="1">
        <v>0</v>
      </c>
      <c r="CE95" s="1">
        <v>0</v>
      </c>
      <c r="CF95" s="1">
        <v>19780</v>
      </c>
      <c r="CG95" s="1">
        <f>SUM(tblSection619[[#This Row],[LEA/District]:[ECSE]])</f>
        <v>24575</v>
      </c>
      <c r="CH95" s="1">
        <f>tblSection619[[#This Row],[Gross Total]]*0.15</f>
        <v>3686.25</v>
      </c>
    </row>
    <row r="96" spans="1:86" x14ac:dyDescent="0.35">
      <c r="A96" t="s">
        <v>116</v>
      </c>
      <c r="B96">
        <v>2262</v>
      </c>
      <c r="C96" t="s">
        <v>1528</v>
      </c>
      <c r="D96" s="44">
        <f>LEN(TblAgencies[[#This Row],[InstNm]])</f>
        <v>11</v>
      </c>
      <c r="E96" s="44" t="s">
        <v>1900</v>
      </c>
      <c r="F96" s="44" t="s">
        <v>1900</v>
      </c>
      <c r="G9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96" s="44"/>
      <c r="I96" s="44"/>
      <c r="J96" s="44"/>
      <c r="K96" s="44"/>
      <c r="M96" s="44"/>
      <c r="N96" s="44">
        <v>2262</v>
      </c>
      <c r="O96" t="s">
        <v>116</v>
      </c>
      <c r="P96" s="1">
        <v>126371.76101359904</v>
      </c>
      <c r="Q96" s="1">
        <v>22300.89900239983</v>
      </c>
      <c r="R96" s="1">
        <v>0</v>
      </c>
      <c r="S96" s="1">
        <v>0</v>
      </c>
      <c r="T96" s="1">
        <v>0</v>
      </c>
      <c r="U96" s="1">
        <v>0</v>
      </c>
      <c r="V96" s="1">
        <v>16353.992601759877</v>
      </c>
      <c r="W96" s="1">
        <v>126371.76101359904</v>
      </c>
      <c r="X96" s="1">
        <f>tblSection6111416[[#This Row],[Net Total]]*0.15</f>
        <v>18955.764152039854</v>
      </c>
      <c r="Y96" s="1"/>
      <c r="AA96" s="44">
        <v>2262</v>
      </c>
      <c r="AB96" t="s">
        <v>116</v>
      </c>
      <c r="AC96" s="1">
        <v>801.17906465057592</v>
      </c>
      <c r="AD96" s="1">
        <v>534.11937643371721</v>
      </c>
      <c r="AE96" s="1">
        <v>0</v>
      </c>
      <c r="AF96" s="1">
        <v>0</v>
      </c>
      <c r="AG96" s="1">
        <v>0</v>
      </c>
      <c r="AH96" s="1">
        <v>2937.6565703854449</v>
      </c>
      <c r="AI96" s="1">
        <v>801.17906465057558</v>
      </c>
      <c r="AJ96" s="1">
        <f>tblSection6191517[[#This Row],[Net Total]]*0.15</f>
        <v>120.17685969758634</v>
      </c>
      <c r="AK96" s="1"/>
      <c r="AM96" s="44"/>
      <c r="AN96" s="44">
        <v>2262</v>
      </c>
      <c r="AO96" t="s">
        <v>116</v>
      </c>
      <c r="AP96" s="247">
        <v>126371.76101359904</v>
      </c>
      <c r="AQ96" s="247">
        <v>22300.89900239983</v>
      </c>
      <c r="AR96" s="247">
        <v>0</v>
      </c>
      <c r="AS96" s="247">
        <v>0</v>
      </c>
      <c r="AT96" s="247">
        <v>0</v>
      </c>
      <c r="AU96" s="247">
        <v>0</v>
      </c>
      <c r="AV96" s="247">
        <v>14867.266001599888</v>
      </c>
      <c r="AW96" s="247">
        <v>163539.92601759877</v>
      </c>
      <c r="AX96" s="1">
        <f>tblSection61114[[#This Row],[Gross Total]]*0.15</f>
        <v>24530.988902639816</v>
      </c>
      <c r="AZ96" s="44">
        <v>2262</v>
      </c>
      <c r="BA96" t="s">
        <v>116</v>
      </c>
      <c r="BB96" s="247">
        <v>801.17906465057592</v>
      </c>
      <c r="BC96" s="247">
        <v>534.11937643371721</v>
      </c>
      <c r="BD96" s="247">
        <v>0</v>
      </c>
      <c r="BE96" s="247">
        <v>0</v>
      </c>
      <c r="BF96" s="247">
        <v>0</v>
      </c>
      <c r="BG96" s="247">
        <v>2670.596882168586</v>
      </c>
      <c r="BH96" s="247">
        <v>4005.8953232528793</v>
      </c>
      <c r="BI96" s="1">
        <f>tblSection61915[[#This Row],[Gross Total]]*0.15</f>
        <v>600.88429848793191</v>
      </c>
      <c r="BJ96" s="44"/>
      <c r="BK96" s="246"/>
      <c r="BM96" s="44">
        <v>2262</v>
      </c>
      <c r="BN96" t="s">
        <v>116</v>
      </c>
      <c r="BO96" s="1">
        <v>81409</v>
      </c>
      <c r="BP96" s="1">
        <v>10977</v>
      </c>
      <c r="BQ96" s="1">
        <v>0</v>
      </c>
      <c r="BR96" s="1">
        <v>0</v>
      </c>
      <c r="BS96" s="1">
        <v>0</v>
      </c>
      <c r="BT96" s="1">
        <v>10977</v>
      </c>
      <c r="BU96" s="1">
        <f>SUM(tblSection611[[#This Row],[LEA/District]:[ECSE]])</f>
        <v>103363</v>
      </c>
      <c r="BV96" s="1">
        <f>tblSection611[[#This Row],[Gross Total]]*0.15</f>
        <v>15504.449999999999</v>
      </c>
      <c r="BW96" s="1"/>
      <c r="BY96" s="44">
        <v>2262</v>
      </c>
      <c r="BZ96" t="s">
        <v>116</v>
      </c>
      <c r="CA96" s="1">
        <v>1031</v>
      </c>
      <c r="CB96" s="1">
        <v>0</v>
      </c>
      <c r="CC96" s="1">
        <v>0</v>
      </c>
      <c r="CD96" s="1">
        <v>0</v>
      </c>
      <c r="CE96" s="1">
        <v>0</v>
      </c>
      <c r="CF96" s="1">
        <v>2473</v>
      </c>
      <c r="CG96" s="1">
        <f>SUM(tblSection619[[#This Row],[LEA/District]:[ECSE]])</f>
        <v>3504</v>
      </c>
      <c r="CH96" s="1">
        <f>tblSection619[[#This Row],[Gross Total]]*0.15</f>
        <v>525.6</v>
      </c>
    </row>
    <row r="97" spans="1:86" x14ac:dyDescent="0.35">
      <c r="A97" t="s">
        <v>117</v>
      </c>
      <c r="B97">
        <v>2212</v>
      </c>
      <c r="C97" t="s">
        <v>1528</v>
      </c>
      <c r="D97" s="44">
        <f>LEN(TblAgencies[[#This Row],[InstNm]])</f>
        <v>14</v>
      </c>
      <c r="E97" s="44" t="s">
        <v>1900</v>
      </c>
      <c r="F97" s="44" t="s">
        <v>1900</v>
      </c>
      <c r="G9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97" s="44"/>
      <c r="I97" s="44"/>
      <c r="J97" s="44"/>
      <c r="K97" s="44"/>
      <c r="M97" s="44"/>
      <c r="N97" s="44">
        <v>2212</v>
      </c>
      <c r="O97" t="s">
        <v>117</v>
      </c>
      <c r="P97" s="1">
        <v>576912.02979282616</v>
      </c>
      <c r="Q97" s="1">
        <v>82176.422848396745</v>
      </c>
      <c r="R97" s="1">
        <v>0</v>
      </c>
      <c r="S97" s="1">
        <v>10062.419124293479</v>
      </c>
      <c r="T97" s="1">
        <v>0</v>
      </c>
      <c r="U97" s="1">
        <v>0</v>
      </c>
      <c r="V97" s="1">
        <v>45280.886059320655</v>
      </c>
      <c r="W97" s="1">
        <v>576912.02979282616</v>
      </c>
      <c r="X97" s="1">
        <f>tblSection6111416[[#This Row],[Net Total]]*0.15</f>
        <v>86536.804468923918</v>
      </c>
      <c r="Y97" s="1"/>
      <c r="AA97" s="44">
        <v>2212</v>
      </c>
      <c r="AB97" t="s">
        <v>117</v>
      </c>
      <c r="AC97" s="1">
        <v>3763.6282402919637</v>
      </c>
      <c r="AD97" s="1">
        <v>752.72564805839272</v>
      </c>
      <c r="AE97" s="1">
        <v>0</v>
      </c>
      <c r="AF97" s="1">
        <v>0</v>
      </c>
      <c r="AG97" s="1">
        <v>0</v>
      </c>
      <c r="AH97" s="1">
        <v>10161.796248788303</v>
      </c>
      <c r="AI97" s="1">
        <v>3763.6282402919624</v>
      </c>
      <c r="AJ97" s="1">
        <f>tblSection6191517[[#This Row],[Net Total]]*0.15</f>
        <v>564.54423604379429</v>
      </c>
      <c r="AK97" s="1"/>
      <c r="AM97" s="44"/>
      <c r="AN97" s="44">
        <v>2212</v>
      </c>
      <c r="AO97" t="s">
        <v>117</v>
      </c>
      <c r="AP97" s="247">
        <v>576912.02979282616</v>
      </c>
      <c r="AQ97" s="247">
        <v>82176.422848396745</v>
      </c>
      <c r="AR97" s="247">
        <v>0</v>
      </c>
      <c r="AS97" s="247">
        <v>10062.419124293479</v>
      </c>
      <c r="AT97" s="247">
        <v>0</v>
      </c>
      <c r="AU97" s="247">
        <v>0</v>
      </c>
      <c r="AV97" s="247">
        <v>45280.886059320655</v>
      </c>
      <c r="AW97" s="247">
        <v>714431.757824837</v>
      </c>
      <c r="AX97" s="1">
        <f>tblSection61114[[#This Row],[Gross Total]]*0.15</f>
        <v>107164.76367372555</v>
      </c>
      <c r="AZ97" s="44">
        <v>2212</v>
      </c>
      <c r="BA97" t="s">
        <v>117</v>
      </c>
      <c r="BB97" s="247">
        <v>3763.6282402919637</v>
      </c>
      <c r="BC97" s="247">
        <v>752.72564805839272</v>
      </c>
      <c r="BD97" s="247">
        <v>0</v>
      </c>
      <c r="BE97" s="247">
        <v>0</v>
      </c>
      <c r="BF97" s="247">
        <v>0</v>
      </c>
      <c r="BG97" s="247">
        <v>10161.796248788303</v>
      </c>
      <c r="BH97" s="247">
        <v>14678.150137138658</v>
      </c>
      <c r="BI97" s="1">
        <f>tblSection61915[[#This Row],[Gross Total]]*0.15</f>
        <v>2201.7225205707987</v>
      </c>
      <c r="BJ97" s="44"/>
      <c r="BK97" s="246"/>
      <c r="BM97" s="44">
        <v>2212</v>
      </c>
      <c r="BN97" t="s">
        <v>117</v>
      </c>
      <c r="BO97" s="1">
        <v>489351</v>
      </c>
      <c r="BP97" s="1">
        <v>56464</v>
      </c>
      <c r="BQ97" s="1">
        <v>0</v>
      </c>
      <c r="BR97" s="1">
        <v>10134</v>
      </c>
      <c r="BS97" s="1">
        <v>0</v>
      </c>
      <c r="BT97" s="1">
        <v>31851</v>
      </c>
      <c r="BU97" s="1">
        <f>SUM(tblSection611[[#This Row],[LEA/District]:[ECSE]])</f>
        <v>587800</v>
      </c>
      <c r="BV97" s="1">
        <f>tblSection611[[#This Row],[Gross Total]]*0.15</f>
        <v>88170</v>
      </c>
      <c r="BW97" s="1"/>
      <c r="BY97" s="44">
        <v>2212</v>
      </c>
      <c r="BZ97" t="s">
        <v>117</v>
      </c>
      <c r="CA97" s="1">
        <v>4353</v>
      </c>
      <c r="CB97" s="1">
        <v>0</v>
      </c>
      <c r="CC97" s="1">
        <v>0</v>
      </c>
      <c r="CD97" s="1">
        <v>0</v>
      </c>
      <c r="CE97" s="1">
        <v>0</v>
      </c>
      <c r="CF97" s="1">
        <v>9577</v>
      </c>
      <c r="CG97" s="1">
        <f>SUM(tblSection619[[#This Row],[LEA/District]:[ECSE]])</f>
        <v>13930</v>
      </c>
      <c r="CH97" s="1">
        <f>tblSection619[[#This Row],[Gross Total]]*0.15</f>
        <v>2089.5</v>
      </c>
    </row>
    <row r="98" spans="1:86" x14ac:dyDescent="0.35">
      <c r="A98" t="s">
        <v>118</v>
      </c>
      <c r="B98">
        <v>2059</v>
      </c>
      <c r="C98" t="s">
        <v>1528</v>
      </c>
      <c r="D98" s="44">
        <f>LEN(TblAgencies[[#This Row],[InstNm]])</f>
        <v>16</v>
      </c>
      <c r="E98" s="44" t="s">
        <v>1900</v>
      </c>
      <c r="F98" s="44" t="s">
        <v>1900</v>
      </c>
      <c r="G9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98" s="44"/>
      <c r="I98" s="44"/>
      <c r="J98" s="44"/>
      <c r="K98" s="44"/>
      <c r="M98" s="44"/>
      <c r="N98" s="44">
        <v>2059</v>
      </c>
      <c r="O98" t="s">
        <v>118</v>
      </c>
      <c r="P98" s="1">
        <v>167248.68406688463</v>
      </c>
      <c r="Q98" s="1">
        <v>19871.130780223917</v>
      </c>
      <c r="R98" s="1">
        <v>0</v>
      </c>
      <c r="S98" s="1">
        <v>0</v>
      </c>
      <c r="T98" s="1">
        <v>0</v>
      </c>
      <c r="U98" s="1">
        <v>0</v>
      </c>
      <c r="V98" s="1">
        <v>9935.5653901119585</v>
      </c>
      <c r="W98" s="1">
        <v>167248.68406688466</v>
      </c>
      <c r="X98" s="1">
        <f>tblSection6111416[[#This Row],[Net Total]]*0.15</f>
        <v>25087.302610032697</v>
      </c>
      <c r="Y98" s="1"/>
      <c r="AA98" s="44">
        <v>2059</v>
      </c>
      <c r="AB98" t="s">
        <v>118</v>
      </c>
      <c r="AC98" s="1">
        <v>2847.249875513221</v>
      </c>
      <c r="AD98" s="1">
        <v>0</v>
      </c>
      <c r="AE98" s="1">
        <v>0</v>
      </c>
      <c r="AF98" s="1">
        <v>0</v>
      </c>
      <c r="AG98" s="1">
        <v>0</v>
      </c>
      <c r="AH98" s="1">
        <v>3416.6998506158652</v>
      </c>
      <c r="AI98" s="1">
        <v>2847.249875513221</v>
      </c>
      <c r="AJ98" s="1">
        <f>tblSection6191517[[#This Row],[Net Total]]*0.15</f>
        <v>427.08748132698315</v>
      </c>
      <c r="AK98" s="1"/>
      <c r="AM98" s="44"/>
      <c r="AN98" s="44">
        <v>2059</v>
      </c>
      <c r="AO98" t="s">
        <v>118</v>
      </c>
      <c r="AP98" s="247">
        <v>167248.68406688463</v>
      </c>
      <c r="AQ98" s="247">
        <v>19871.130780223917</v>
      </c>
      <c r="AR98" s="247">
        <v>0</v>
      </c>
      <c r="AS98" s="247">
        <v>0</v>
      </c>
      <c r="AT98" s="247">
        <v>0</v>
      </c>
      <c r="AU98" s="247">
        <v>0</v>
      </c>
      <c r="AV98" s="247">
        <v>9935.5653901119585</v>
      </c>
      <c r="AW98" s="247">
        <v>197055.38023722052</v>
      </c>
      <c r="AX98" s="1">
        <f>tblSection61114[[#This Row],[Gross Total]]*0.15</f>
        <v>29558.307035583079</v>
      </c>
      <c r="AZ98" s="44">
        <v>2059</v>
      </c>
      <c r="BA98" t="s">
        <v>118</v>
      </c>
      <c r="BB98" s="247">
        <v>2847.249875513221</v>
      </c>
      <c r="BC98" s="247">
        <v>0</v>
      </c>
      <c r="BD98" s="247">
        <v>0</v>
      </c>
      <c r="BE98" s="247">
        <v>0</v>
      </c>
      <c r="BF98" s="247">
        <v>0</v>
      </c>
      <c r="BG98" s="247">
        <v>3416.6998506158652</v>
      </c>
      <c r="BH98" s="247">
        <v>6263.9497261290862</v>
      </c>
      <c r="BI98" s="1">
        <f>tblSection61915[[#This Row],[Gross Total]]*0.15</f>
        <v>939.59245891936291</v>
      </c>
      <c r="BJ98" s="44"/>
      <c r="BK98" s="246"/>
      <c r="BM98" s="44">
        <v>2059</v>
      </c>
      <c r="BN98" t="s">
        <v>118</v>
      </c>
      <c r="BO98" s="1">
        <v>139281</v>
      </c>
      <c r="BP98" s="1">
        <v>16127</v>
      </c>
      <c r="BQ98" s="1">
        <v>0</v>
      </c>
      <c r="BR98" s="1">
        <v>0</v>
      </c>
      <c r="BS98" s="1">
        <v>0</v>
      </c>
      <c r="BT98" s="1">
        <v>11729</v>
      </c>
      <c r="BU98" s="1">
        <f>SUM(tblSection611[[#This Row],[LEA/District]:[ECSE]])</f>
        <v>167137</v>
      </c>
      <c r="BV98" s="1">
        <f>tblSection611[[#This Row],[Gross Total]]*0.15</f>
        <v>25070.55</v>
      </c>
      <c r="BW98" s="1"/>
      <c r="BY98" s="44">
        <v>2059</v>
      </c>
      <c r="BZ98" t="s">
        <v>118</v>
      </c>
      <c r="CA98" s="1">
        <v>0</v>
      </c>
      <c r="CB98" s="1">
        <v>0</v>
      </c>
      <c r="CC98" s="1">
        <v>0</v>
      </c>
      <c r="CD98" s="1">
        <v>0</v>
      </c>
      <c r="CE98" s="1">
        <v>0</v>
      </c>
      <c r="CF98" s="1">
        <v>5970</v>
      </c>
      <c r="CG98" s="1">
        <f>SUM(tblSection619[[#This Row],[LEA/District]:[ECSE]])</f>
        <v>5970</v>
      </c>
      <c r="CH98" s="1">
        <f>tblSection619[[#This Row],[Gross Total]]*0.15</f>
        <v>895.5</v>
      </c>
    </row>
    <row r="99" spans="1:86" x14ac:dyDescent="0.35">
      <c r="A99" t="s">
        <v>119</v>
      </c>
      <c r="B99">
        <v>1923</v>
      </c>
      <c r="C99" t="s">
        <v>1528</v>
      </c>
      <c r="D99" s="44">
        <f>LEN(TblAgencies[[#This Row],[InstNm]])</f>
        <v>17</v>
      </c>
      <c r="E99" s="44" t="s">
        <v>1900</v>
      </c>
      <c r="F99" s="44" t="s">
        <v>1900</v>
      </c>
      <c r="G9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99" s="44"/>
      <c r="I99" s="44"/>
      <c r="J99" s="44"/>
      <c r="K99" s="44"/>
      <c r="M99" s="44"/>
      <c r="N99" s="44">
        <v>1923</v>
      </c>
      <c r="O99" t="s">
        <v>119</v>
      </c>
      <c r="P99" s="1">
        <v>1008938.5184406165</v>
      </c>
      <c r="Q99" s="1">
        <v>333433.4487312311</v>
      </c>
      <c r="R99" s="1">
        <v>0</v>
      </c>
      <c r="S99" s="1">
        <v>0</v>
      </c>
      <c r="T99" s="1">
        <v>0</v>
      </c>
      <c r="U99" s="1">
        <v>0</v>
      </c>
      <c r="V99" s="1">
        <v>86381.722469230852</v>
      </c>
      <c r="W99" s="1">
        <v>1008938.5184406165</v>
      </c>
      <c r="X99" s="1">
        <f>tblSection6111416[[#This Row],[Net Total]]*0.15</f>
        <v>151340.77776609248</v>
      </c>
      <c r="Y99" s="1"/>
      <c r="AA99" s="44">
        <v>1923</v>
      </c>
      <c r="AB99" t="s">
        <v>119</v>
      </c>
      <c r="AC99" s="1">
        <v>2514.2598510083812</v>
      </c>
      <c r="AD99" s="1">
        <v>4190.4330850139695</v>
      </c>
      <c r="AE99" s="1">
        <v>0</v>
      </c>
      <c r="AF99" s="1">
        <v>0</v>
      </c>
      <c r="AG99" s="1">
        <v>0</v>
      </c>
      <c r="AH99" s="1">
        <v>13968.1102833799</v>
      </c>
      <c r="AI99" s="1">
        <v>2514.2598510083844</v>
      </c>
      <c r="AJ99" s="1">
        <f>tblSection6191517[[#This Row],[Net Total]]*0.15</f>
        <v>377.13897765125768</v>
      </c>
      <c r="AK99" s="1"/>
      <c r="AM99" s="44"/>
      <c r="AN99" s="44">
        <v>1923</v>
      </c>
      <c r="AO99" t="s">
        <v>119</v>
      </c>
      <c r="AP99" s="247">
        <v>1008938.5184406165</v>
      </c>
      <c r="AQ99" s="247">
        <v>333433.4487312311</v>
      </c>
      <c r="AR99" s="247">
        <v>0</v>
      </c>
      <c r="AS99" s="247">
        <v>0</v>
      </c>
      <c r="AT99" s="247">
        <v>0</v>
      </c>
      <c r="AU99" s="247">
        <v>0</v>
      </c>
      <c r="AV99" s="247">
        <v>67377.743526000064</v>
      </c>
      <c r="AW99" s="247">
        <v>1409749.7106978477</v>
      </c>
      <c r="AX99" s="1">
        <f>tblSection61114[[#This Row],[Gross Total]]*0.15</f>
        <v>211462.45660467714</v>
      </c>
      <c r="AZ99" s="44">
        <v>1923</v>
      </c>
      <c r="BA99" t="s">
        <v>119</v>
      </c>
      <c r="BB99" s="247">
        <v>2514.2598510083812</v>
      </c>
      <c r="BC99" s="247">
        <v>4190.4330850139695</v>
      </c>
      <c r="BD99" s="247">
        <v>0</v>
      </c>
      <c r="BE99" s="247">
        <v>0</v>
      </c>
      <c r="BF99" s="247">
        <v>0</v>
      </c>
      <c r="BG99" s="247">
        <v>10895.126021036322</v>
      </c>
      <c r="BH99" s="247">
        <v>17599.818957058673</v>
      </c>
      <c r="BI99" s="1">
        <f>tblSection61915[[#This Row],[Gross Total]]*0.15</f>
        <v>2639.9728435588008</v>
      </c>
      <c r="BJ99" s="44"/>
      <c r="BK99" s="246"/>
      <c r="BM99" s="44">
        <v>1923</v>
      </c>
      <c r="BN99" t="s">
        <v>119</v>
      </c>
      <c r="BO99" s="1">
        <v>1152220</v>
      </c>
      <c r="BP99" s="1">
        <v>320498</v>
      </c>
      <c r="BQ99" s="1">
        <v>0</v>
      </c>
      <c r="BR99" s="1">
        <v>0</v>
      </c>
      <c r="BS99" s="1">
        <v>0</v>
      </c>
      <c r="BT99" s="1">
        <v>70785</v>
      </c>
      <c r="BU99" s="1">
        <f>SUM(tblSection611[[#This Row],[LEA/District]:[ECSE]])</f>
        <v>1543503</v>
      </c>
      <c r="BV99" s="1">
        <f>tblSection611[[#This Row],[Gross Total]]*0.15</f>
        <v>231525.44999999998</v>
      </c>
      <c r="BW99" s="1"/>
      <c r="BY99" s="44">
        <v>1923</v>
      </c>
      <c r="BZ99" t="s">
        <v>119</v>
      </c>
      <c r="CA99" s="1">
        <v>5479</v>
      </c>
      <c r="CB99" s="1">
        <v>2131</v>
      </c>
      <c r="CC99" s="1">
        <v>0</v>
      </c>
      <c r="CD99" s="1">
        <v>0</v>
      </c>
      <c r="CE99" s="1">
        <v>0</v>
      </c>
      <c r="CF99" s="1">
        <v>10958</v>
      </c>
      <c r="CG99" s="1">
        <f>SUM(tblSection619[[#This Row],[LEA/District]:[ECSE]])</f>
        <v>18568</v>
      </c>
      <c r="CH99" s="1">
        <f>tblSection619[[#This Row],[Gross Total]]*0.15</f>
        <v>2785.2</v>
      </c>
    </row>
    <row r="100" spans="1:86" x14ac:dyDescent="0.35">
      <c r="A100" t="s">
        <v>120</v>
      </c>
      <c r="B100">
        <v>2101</v>
      </c>
      <c r="C100" t="s">
        <v>1528</v>
      </c>
      <c r="D100" s="44">
        <f>LEN(TblAgencies[[#This Row],[InstNm]])</f>
        <v>22</v>
      </c>
      <c r="E100" s="44" t="s">
        <v>1900</v>
      </c>
      <c r="F100" s="44" t="s">
        <v>1900</v>
      </c>
      <c r="G10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00" s="44"/>
      <c r="I100" s="44"/>
      <c r="J100" s="44"/>
      <c r="K100" s="44"/>
      <c r="M100" s="44"/>
      <c r="N100" s="44">
        <v>2101</v>
      </c>
      <c r="O100" t="s">
        <v>120</v>
      </c>
      <c r="P100" s="1">
        <v>1024850.9345851687</v>
      </c>
      <c r="Q100" s="1">
        <v>125491.95117369412</v>
      </c>
      <c r="R100" s="1">
        <v>3217.7423377870286</v>
      </c>
      <c r="S100" s="1">
        <v>0</v>
      </c>
      <c r="T100" s="1">
        <v>0</v>
      </c>
      <c r="U100" s="1">
        <v>0</v>
      </c>
      <c r="V100" s="1">
        <v>131927.43584926816</v>
      </c>
      <c r="W100" s="1">
        <v>1024850.9345851687</v>
      </c>
      <c r="X100" s="1">
        <f>tblSection6111416[[#This Row],[Net Total]]*0.15</f>
        <v>153727.64018777531</v>
      </c>
      <c r="Y100" s="1"/>
      <c r="AA100" s="44">
        <v>2101</v>
      </c>
      <c r="AB100" t="s">
        <v>120</v>
      </c>
      <c r="AC100" s="1">
        <v>3678.2051065962387</v>
      </c>
      <c r="AD100" s="1">
        <v>3678.2051065962387</v>
      </c>
      <c r="AE100" s="1">
        <v>0</v>
      </c>
      <c r="AF100" s="1">
        <v>0</v>
      </c>
      <c r="AG100" s="1">
        <v>0</v>
      </c>
      <c r="AH100" s="1">
        <v>20107.521249392776</v>
      </c>
      <c r="AI100" s="1">
        <v>3678.2051065962405</v>
      </c>
      <c r="AJ100" s="1">
        <f>tblSection6191517[[#This Row],[Net Total]]*0.15</f>
        <v>551.73076598943601</v>
      </c>
      <c r="AK100" s="1"/>
      <c r="AM100" s="44"/>
      <c r="AN100" s="44">
        <v>2101</v>
      </c>
      <c r="AO100" t="s">
        <v>120</v>
      </c>
      <c r="AP100" s="247">
        <v>1024850.9345851687</v>
      </c>
      <c r="AQ100" s="247">
        <v>125491.95117369412</v>
      </c>
      <c r="AR100" s="247">
        <v>3217.7423377870286</v>
      </c>
      <c r="AS100" s="247">
        <v>0</v>
      </c>
      <c r="AT100" s="247">
        <v>0</v>
      </c>
      <c r="AU100" s="247">
        <v>0</v>
      </c>
      <c r="AV100" s="247">
        <v>115838.72416033303</v>
      </c>
      <c r="AW100" s="247">
        <v>1269399.3522569828</v>
      </c>
      <c r="AX100" s="1">
        <f>tblSection61114[[#This Row],[Gross Total]]*0.15</f>
        <v>190409.90283854742</v>
      </c>
      <c r="AZ100" s="44">
        <v>2101</v>
      </c>
      <c r="BA100" t="s">
        <v>120</v>
      </c>
      <c r="BB100" s="247">
        <v>3678.2051065962387</v>
      </c>
      <c r="BC100" s="247">
        <v>3678.2051065962387</v>
      </c>
      <c r="BD100" s="247">
        <v>0</v>
      </c>
      <c r="BE100" s="247">
        <v>0</v>
      </c>
      <c r="BF100" s="247">
        <v>0</v>
      </c>
      <c r="BG100" s="247">
        <v>17655.384511661949</v>
      </c>
      <c r="BH100" s="247">
        <v>25011.794724854426</v>
      </c>
      <c r="BI100" s="1">
        <f>tblSection61915[[#This Row],[Gross Total]]*0.15</f>
        <v>3751.7692087281639</v>
      </c>
      <c r="BJ100" s="44"/>
      <c r="BK100" s="246"/>
      <c r="BM100" s="44">
        <v>2101</v>
      </c>
      <c r="BN100" t="s">
        <v>120</v>
      </c>
      <c r="BO100" s="1">
        <v>795803</v>
      </c>
      <c r="BP100" s="1">
        <v>79320</v>
      </c>
      <c r="BQ100" s="1">
        <v>2601</v>
      </c>
      <c r="BR100" s="1">
        <v>0</v>
      </c>
      <c r="BS100" s="1">
        <v>0</v>
      </c>
      <c r="BT100" s="1">
        <v>68918</v>
      </c>
      <c r="BU100" s="1">
        <f>SUM(tblSection611[[#This Row],[LEA/District]:[ECSE]])</f>
        <v>946642</v>
      </c>
      <c r="BV100" s="1">
        <f>tblSection611[[#This Row],[Gross Total]]*0.15</f>
        <v>141996.29999999999</v>
      </c>
      <c r="BW100" s="1"/>
      <c r="BY100" s="44">
        <v>2101</v>
      </c>
      <c r="BZ100" t="s">
        <v>120</v>
      </c>
      <c r="CA100" s="1">
        <v>5926</v>
      </c>
      <c r="CB100" s="1">
        <v>593</v>
      </c>
      <c r="CC100" s="1">
        <v>0</v>
      </c>
      <c r="CD100" s="1">
        <v>0</v>
      </c>
      <c r="CE100" s="1">
        <v>0</v>
      </c>
      <c r="CF100" s="1">
        <v>15705</v>
      </c>
      <c r="CG100" s="1">
        <f>SUM(tblSection619[[#This Row],[LEA/District]:[ECSE]])</f>
        <v>22224</v>
      </c>
      <c r="CH100" s="1">
        <f>tblSection619[[#This Row],[Gross Total]]*0.15</f>
        <v>3333.6</v>
      </c>
    </row>
    <row r="101" spans="1:86" x14ac:dyDescent="0.35">
      <c r="A101" t="s">
        <v>121</v>
      </c>
      <c r="B101">
        <v>2097</v>
      </c>
      <c r="C101" t="s">
        <v>1528</v>
      </c>
      <c r="D101" s="44">
        <f>LEN(TblAgencies[[#This Row],[InstNm]])</f>
        <v>17</v>
      </c>
      <c r="E101" s="44" t="s">
        <v>1900</v>
      </c>
      <c r="F101" s="44" t="s">
        <v>1900</v>
      </c>
      <c r="G10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01" s="44"/>
      <c r="I101" s="44"/>
      <c r="J101" s="44"/>
      <c r="K101" s="44"/>
      <c r="M101" s="44"/>
      <c r="N101" s="44">
        <v>2097</v>
      </c>
      <c r="O101" t="s">
        <v>121</v>
      </c>
      <c r="P101" s="1">
        <v>1047988.9193333873</v>
      </c>
      <c r="Q101" s="1">
        <v>323176.61861796078</v>
      </c>
      <c r="R101" s="1">
        <v>3736.145879976425</v>
      </c>
      <c r="S101" s="1">
        <v>3736.145879976425</v>
      </c>
      <c r="T101" s="1">
        <v>0</v>
      </c>
      <c r="U101" s="1">
        <v>0</v>
      </c>
      <c r="V101" s="1">
        <v>134501.25167915132</v>
      </c>
      <c r="W101" s="1">
        <v>1047988.9193333874</v>
      </c>
      <c r="X101" s="1">
        <f>tblSection6111416[[#This Row],[Net Total]]*0.15</f>
        <v>157198.3379000081</v>
      </c>
      <c r="Y101" s="1"/>
      <c r="AA101" s="44">
        <v>2097</v>
      </c>
      <c r="AB101" t="s">
        <v>121</v>
      </c>
      <c r="AC101" s="1">
        <v>15762.376640471522</v>
      </c>
      <c r="AD101" s="1">
        <v>11559.07620301245</v>
      </c>
      <c r="AE101" s="1">
        <v>0</v>
      </c>
      <c r="AF101" s="1">
        <v>0</v>
      </c>
      <c r="AG101" s="1">
        <v>0</v>
      </c>
      <c r="AH101" s="1">
        <v>37829.703937131657</v>
      </c>
      <c r="AI101" s="1">
        <v>15762.376640471521</v>
      </c>
      <c r="AJ101" s="1">
        <f>tblSection6191517[[#This Row],[Net Total]]*0.15</f>
        <v>2364.3564960707281</v>
      </c>
      <c r="AK101" s="1"/>
      <c r="AM101" s="44"/>
      <c r="AN101" s="44">
        <v>2097</v>
      </c>
      <c r="AO101" t="s">
        <v>121</v>
      </c>
      <c r="AP101" s="247">
        <v>1047988.9193333873</v>
      </c>
      <c r="AQ101" s="247">
        <v>323176.61861796078</v>
      </c>
      <c r="AR101" s="247">
        <v>3736.145879976425</v>
      </c>
      <c r="AS101" s="247">
        <v>3736.145879976425</v>
      </c>
      <c r="AT101" s="247">
        <v>0</v>
      </c>
      <c r="AU101" s="247">
        <v>0</v>
      </c>
      <c r="AV101" s="247">
        <v>99007.865819375264</v>
      </c>
      <c r="AW101" s="247">
        <v>1477645.6955306763</v>
      </c>
      <c r="AX101" s="1">
        <f>tblSection61114[[#This Row],[Gross Total]]*0.15</f>
        <v>221646.85432960142</v>
      </c>
      <c r="AZ101" s="44">
        <v>2097</v>
      </c>
      <c r="BA101" t="s">
        <v>121</v>
      </c>
      <c r="BB101" s="247">
        <v>15762.376640471522</v>
      </c>
      <c r="BC101" s="247">
        <v>11559.07620301245</v>
      </c>
      <c r="BD101" s="247">
        <v>0</v>
      </c>
      <c r="BE101" s="247">
        <v>0</v>
      </c>
      <c r="BF101" s="247">
        <v>0</v>
      </c>
      <c r="BG101" s="247">
        <v>27846.865398166359</v>
      </c>
      <c r="BH101" s="247">
        <v>55168.318241650333</v>
      </c>
      <c r="BI101" s="1">
        <f>tblSection61915[[#This Row],[Gross Total]]*0.15</f>
        <v>8275.2477362475493</v>
      </c>
      <c r="BJ101" s="44"/>
      <c r="BK101" s="246"/>
      <c r="BM101" s="44">
        <v>2097</v>
      </c>
      <c r="BN101" t="s">
        <v>121</v>
      </c>
      <c r="BO101" s="1">
        <v>1011052</v>
      </c>
      <c r="BP101" s="1">
        <v>285847</v>
      </c>
      <c r="BQ101" s="1">
        <v>3529</v>
      </c>
      <c r="BR101" s="1">
        <v>1764</v>
      </c>
      <c r="BS101" s="1">
        <v>0</v>
      </c>
      <c r="BT101" s="1">
        <v>109398</v>
      </c>
      <c r="BU101" s="1">
        <f>SUM(tblSection611[[#This Row],[LEA/District]:[ECSE]])</f>
        <v>1411590</v>
      </c>
      <c r="BV101" s="1">
        <f>tblSection611[[#This Row],[Gross Total]]*0.15</f>
        <v>211738.5</v>
      </c>
      <c r="BW101" s="1"/>
      <c r="BY101" s="44">
        <v>2097</v>
      </c>
      <c r="BZ101" t="s">
        <v>121</v>
      </c>
      <c r="CA101" s="1">
        <v>12815</v>
      </c>
      <c r="CB101" s="1">
        <v>2912</v>
      </c>
      <c r="CC101" s="1">
        <v>0</v>
      </c>
      <c r="CD101" s="1">
        <v>0</v>
      </c>
      <c r="CE101" s="1">
        <v>0</v>
      </c>
      <c r="CF101" s="1">
        <v>36115</v>
      </c>
      <c r="CG101" s="1">
        <f>SUM(tblSection619[[#This Row],[LEA/District]:[ECSE]])</f>
        <v>51842</v>
      </c>
      <c r="CH101" s="1">
        <f>tblSection619[[#This Row],[Gross Total]]*0.15</f>
        <v>7776.2999999999993</v>
      </c>
    </row>
    <row r="102" spans="1:86" x14ac:dyDescent="0.35">
      <c r="A102" t="s">
        <v>122</v>
      </c>
      <c r="B102">
        <v>2012</v>
      </c>
      <c r="C102" t="s">
        <v>1528</v>
      </c>
      <c r="D102" s="44">
        <f>LEN(TblAgencies[[#This Row],[InstNm]])</f>
        <v>16</v>
      </c>
      <c r="E102" s="44" t="s">
        <v>1900</v>
      </c>
      <c r="F102" s="44" t="s">
        <v>1900</v>
      </c>
      <c r="G10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02" s="44"/>
      <c r="I102" s="44"/>
      <c r="J102" s="44"/>
      <c r="K102" s="44"/>
      <c r="M102" s="44"/>
      <c r="N102" s="44">
        <v>2012</v>
      </c>
      <c r="O102" t="s">
        <v>122</v>
      </c>
      <c r="P102" s="1">
        <v>4818.2026910690802</v>
      </c>
      <c r="Q102" s="1">
        <v>0</v>
      </c>
      <c r="R102" s="1">
        <v>0</v>
      </c>
      <c r="S102" s="1">
        <v>0</v>
      </c>
      <c r="T102" s="1">
        <v>0</v>
      </c>
      <c r="U102" s="1">
        <v>0</v>
      </c>
      <c r="V102" s="1">
        <v>0</v>
      </c>
      <c r="W102" s="1">
        <v>4818.2026910690802</v>
      </c>
      <c r="X102" s="1">
        <f>tblSection6111416[[#This Row],[Net Total]]*0.15</f>
        <v>722.73040366036196</v>
      </c>
      <c r="Y102" s="1"/>
      <c r="AA102" s="44">
        <v>2012</v>
      </c>
      <c r="AB102" t="s">
        <v>122</v>
      </c>
      <c r="AC102" s="1">
        <v>482.85214896063189</v>
      </c>
      <c r="AD102" s="1">
        <v>0</v>
      </c>
      <c r="AE102" s="1">
        <v>0</v>
      </c>
      <c r="AF102" s="1">
        <v>0</v>
      </c>
      <c r="AG102" s="1">
        <v>0</v>
      </c>
      <c r="AH102" s="1">
        <v>0</v>
      </c>
      <c r="AI102" s="1">
        <v>482.85214896063189</v>
      </c>
      <c r="AJ102" s="1">
        <f>tblSection6191517[[#This Row],[Net Total]]*0.15</f>
        <v>72.427822344094778</v>
      </c>
      <c r="AK102" s="1"/>
      <c r="AM102" s="44"/>
      <c r="AN102" s="44">
        <v>2012</v>
      </c>
      <c r="AO102" t="s">
        <v>122</v>
      </c>
      <c r="AP102" s="247">
        <v>4818.2026910690802</v>
      </c>
      <c r="AQ102" s="247">
        <v>0</v>
      </c>
      <c r="AR102" s="247">
        <v>0</v>
      </c>
      <c r="AS102" s="247">
        <v>0</v>
      </c>
      <c r="AT102" s="247">
        <v>0</v>
      </c>
      <c r="AU102" s="247">
        <v>0</v>
      </c>
      <c r="AV102" s="247">
        <v>0</v>
      </c>
      <c r="AW102" s="247">
        <v>4818.2026910690802</v>
      </c>
      <c r="AX102" s="1">
        <f>tblSection61114[[#This Row],[Gross Total]]*0.15</f>
        <v>722.73040366036196</v>
      </c>
      <c r="AZ102" s="44">
        <v>2012</v>
      </c>
      <c r="BA102" t="s">
        <v>122</v>
      </c>
      <c r="BB102" s="247">
        <v>482.85214896063189</v>
      </c>
      <c r="BC102" s="247">
        <v>0</v>
      </c>
      <c r="BD102" s="247">
        <v>0</v>
      </c>
      <c r="BE102" s="247">
        <v>0</v>
      </c>
      <c r="BF102" s="247">
        <v>0</v>
      </c>
      <c r="BG102" s="247">
        <v>0</v>
      </c>
      <c r="BH102" s="247">
        <v>482.85214896063189</v>
      </c>
      <c r="BI102" s="1">
        <f>tblSection61915[[#This Row],[Gross Total]]*0.15</f>
        <v>72.427822344094778</v>
      </c>
      <c r="BJ102" s="44"/>
      <c r="BK102" s="246"/>
      <c r="BM102" s="44">
        <v>2012</v>
      </c>
      <c r="BN102" t="s">
        <v>122</v>
      </c>
      <c r="BO102" s="1">
        <v>5440</v>
      </c>
      <c r="BP102" s="1">
        <v>0</v>
      </c>
      <c r="BQ102" s="1">
        <v>0</v>
      </c>
      <c r="BR102" s="1">
        <v>0</v>
      </c>
      <c r="BS102" s="1">
        <v>0</v>
      </c>
      <c r="BT102" s="1">
        <v>5440</v>
      </c>
      <c r="BU102" s="1">
        <f>SUM(tblSection611[[#This Row],[LEA/District]:[ECSE]])</f>
        <v>10880</v>
      </c>
      <c r="BV102" s="1">
        <f>tblSection611[[#This Row],[Gross Total]]*0.15</f>
        <v>1632</v>
      </c>
      <c r="BW102" s="1"/>
      <c r="BY102" s="44">
        <v>2012</v>
      </c>
      <c r="BZ102" t="s">
        <v>122</v>
      </c>
      <c r="CA102" s="1">
        <v>0</v>
      </c>
      <c r="CB102" s="1">
        <v>0</v>
      </c>
      <c r="CC102" s="1">
        <v>0</v>
      </c>
      <c r="CD102" s="1">
        <v>0</v>
      </c>
      <c r="CE102" s="1">
        <v>0</v>
      </c>
      <c r="CF102" s="1">
        <v>488</v>
      </c>
      <c r="CG102" s="1">
        <f>SUM(tblSection619[[#This Row],[LEA/District]:[ECSE]])</f>
        <v>488</v>
      </c>
      <c r="CH102" s="1">
        <f>tblSection619[[#This Row],[Gross Total]]*0.15</f>
        <v>73.2</v>
      </c>
    </row>
    <row r="103" spans="1:86" x14ac:dyDescent="0.35">
      <c r="A103" t="s">
        <v>123</v>
      </c>
      <c r="B103">
        <v>2092</v>
      </c>
      <c r="C103" t="s">
        <v>1528</v>
      </c>
      <c r="D103" s="44">
        <f>LEN(TblAgencies[[#This Row],[InstNm]])</f>
        <v>12</v>
      </c>
      <c r="E103" s="44" t="s">
        <v>1900</v>
      </c>
      <c r="F103" s="44" t="s">
        <v>1900</v>
      </c>
      <c r="G10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03" s="44"/>
      <c r="I103" s="44"/>
      <c r="J103" s="44"/>
      <c r="K103" s="44"/>
      <c r="M103" s="44"/>
      <c r="N103" s="44">
        <v>2092</v>
      </c>
      <c r="O103" t="s">
        <v>123</v>
      </c>
      <c r="P103" s="1">
        <v>176548.04887517262</v>
      </c>
      <c r="Q103" s="1">
        <v>1459.0747840923357</v>
      </c>
      <c r="R103" s="1">
        <v>0</v>
      </c>
      <c r="S103" s="1">
        <v>1459.0747840923357</v>
      </c>
      <c r="T103" s="1">
        <v>0</v>
      </c>
      <c r="U103" s="1">
        <v>0</v>
      </c>
      <c r="V103" s="1">
        <v>10213.52348864635</v>
      </c>
      <c r="W103" s="1">
        <v>176548.04887517262</v>
      </c>
      <c r="X103" s="1">
        <f>tblSection6111416[[#This Row],[Net Total]]*0.15</f>
        <v>26482.207331275891</v>
      </c>
      <c r="Y103" s="1"/>
      <c r="AA103" s="44">
        <v>2092</v>
      </c>
      <c r="AB103" t="s">
        <v>123</v>
      </c>
      <c r="AC103" s="1">
        <v>1186.4529870867912</v>
      </c>
      <c r="AD103" s="1">
        <v>131.82810967631013</v>
      </c>
      <c r="AE103" s="1">
        <v>0</v>
      </c>
      <c r="AF103" s="1">
        <v>0</v>
      </c>
      <c r="AG103" s="1">
        <v>0</v>
      </c>
      <c r="AH103" s="1">
        <v>922.796767734171</v>
      </c>
      <c r="AI103" s="1">
        <v>1186.4529870867914</v>
      </c>
      <c r="AJ103" s="1">
        <f>tblSection6191517[[#This Row],[Net Total]]*0.15</f>
        <v>177.9679480630187</v>
      </c>
      <c r="AK103" s="1"/>
      <c r="AM103" s="44"/>
      <c r="AN103" s="44">
        <v>2092</v>
      </c>
      <c r="AO103" t="s">
        <v>123</v>
      </c>
      <c r="AP103" s="247">
        <v>176548.04887517262</v>
      </c>
      <c r="AQ103" s="247">
        <v>1459.0747840923357</v>
      </c>
      <c r="AR103" s="247">
        <v>0</v>
      </c>
      <c r="AS103" s="247">
        <v>1459.0747840923357</v>
      </c>
      <c r="AT103" s="247">
        <v>0</v>
      </c>
      <c r="AU103" s="247">
        <v>0</v>
      </c>
      <c r="AV103" s="247">
        <v>8754.4487045540136</v>
      </c>
      <c r="AW103" s="247">
        <v>188220.64714791131</v>
      </c>
      <c r="AX103" s="1">
        <f>tblSection61114[[#This Row],[Gross Total]]*0.15</f>
        <v>28233.097072186694</v>
      </c>
      <c r="AZ103" s="44">
        <v>2092</v>
      </c>
      <c r="BA103" t="s">
        <v>123</v>
      </c>
      <c r="BB103" s="247">
        <v>1186.4529870867912</v>
      </c>
      <c r="BC103" s="247">
        <v>131.82810967631013</v>
      </c>
      <c r="BD103" s="247">
        <v>0</v>
      </c>
      <c r="BE103" s="247">
        <v>0</v>
      </c>
      <c r="BF103" s="247">
        <v>0</v>
      </c>
      <c r="BG103" s="247">
        <v>790.96865805786081</v>
      </c>
      <c r="BH103" s="247">
        <v>2109.2497548209622</v>
      </c>
      <c r="BI103" s="1">
        <f>tblSection61915[[#This Row],[Gross Total]]*0.15</f>
        <v>316.38746322314432</v>
      </c>
      <c r="BJ103" s="44"/>
      <c r="BK103" s="246"/>
      <c r="BM103" s="44">
        <v>2092</v>
      </c>
      <c r="BN103" t="s">
        <v>123</v>
      </c>
      <c r="BO103" s="1">
        <v>199266</v>
      </c>
      <c r="BP103" s="1">
        <v>0</v>
      </c>
      <c r="BQ103" s="1">
        <v>0</v>
      </c>
      <c r="BR103" s="1">
        <v>8035</v>
      </c>
      <c r="BS103" s="1">
        <v>0</v>
      </c>
      <c r="BT103" s="1">
        <v>14463</v>
      </c>
      <c r="BU103" s="1">
        <f>SUM(tblSection611[[#This Row],[LEA/District]:[ECSE]])</f>
        <v>221764</v>
      </c>
      <c r="BV103" s="1">
        <f>tblSection611[[#This Row],[Gross Total]]*0.15</f>
        <v>33264.6</v>
      </c>
      <c r="BW103" s="1"/>
      <c r="BY103" s="44">
        <v>2092</v>
      </c>
      <c r="BZ103" t="s">
        <v>123</v>
      </c>
      <c r="CA103" s="1">
        <v>648</v>
      </c>
      <c r="CB103" s="1">
        <v>0</v>
      </c>
      <c r="CC103" s="1">
        <v>0</v>
      </c>
      <c r="CD103" s="1">
        <v>0</v>
      </c>
      <c r="CE103" s="1">
        <v>0</v>
      </c>
      <c r="CF103" s="1">
        <v>1458</v>
      </c>
      <c r="CG103" s="1">
        <f>SUM(tblSection619[[#This Row],[LEA/District]:[ECSE]])</f>
        <v>2106</v>
      </c>
      <c r="CH103" s="1">
        <f>tblSection619[[#This Row],[Gross Total]]*0.15</f>
        <v>315.89999999999998</v>
      </c>
    </row>
    <row r="104" spans="1:86" x14ac:dyDescent="0.35">
      <c r="A104" t="s">
        <v>124</v>
      </c>
      <c r="B104">
        <v>2112</v>
      </c>
      <c r="C104" t="s">
        <v>1528</v>
      </c>
      <c r="D104" s="44">
        <f>LEN(TblAgencies[[#This Row],[InstNm]])</f>
        <v>20</v>
      </c>
      <c r="E104" s="44" t="s">
        <v>1900</v>
      </c>
      <c r="F104" s="44" t="s">
        <v>1900</v>
      </c>
      <c r="G10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04" s="44"/>
      <c r="I104" s="44"/>
      <c r="J104" s="44"/>
      <c r="K104" s="44"/>
      <c r="M104" s="44"/>
      <c r="N104" s="44">
        <v>2112</v>
      </c>
      <c r="O104" t="s">
        <v>124</v>
      </c>
      <c r="P104" s="1">
        <v>0</v>
      </c>
      <c r="Q104" s="1">
        <v>0</v>
      </c>
      <c r="R104" s="1">
        <v>0</v>
      </c>
      <c r="S104" s="1">
        <v>0</v>
      </c>
      <c r="T104" s="1">
        <v>0</v>
      </c>
      <c r="U104" s="1">
        <v>0</v>
      </c>
      <c r="V104" s="1">
        <v>0</v>
      </c>
      <c r="W104" s="1">
        <v>0</v>
      </c>
      <c r="X104" s="1">
        <f>tblSection6111416[[#This Row],[Net Total]]*0.15</f>
        <v>0</v>
      </c>
      <c r="Y104" s="1"/>
      <c r="AA104" s="44">
        <v>2112</v>
      </c>
      <c r="AB104" t="s">
        <v>124</v>
      </c>
      <c r="AC104" s="1">
        <v>0</v>
      </c>
      <c r="AD104" s="1">
        <v>0</v>
      </c>
      <c r="AE104" s="1">
        <v>0</v>
      </c>
      <c r="AF104" s="1">
        <v>0</v>
      </c>
      <c r="AG104" s="1">
        <v>0</v>
      </c>
      <c r="AH104" s="1">
        <v>0</v>
      </c>
      <c r="AI104" s="1">
        <v>0</v>
      </c>
      <c r="AJ104" s="1">
        <f>tblSection6191517[[#This Row],[Net Total]]*0.15</f>
        <v>0</v>
      </c>
      <c r="AK104" s="1"/>
      <c r="AM104" s="44"/>
      <c r="AN104" s="44">
        <v>2112</v>
      </c>
      <c r="AO104" t="s">
        <v>124</v>
      </c>
      <c r="AP104" s="247">
        <v>0</v>
      </c>
      <c r="AQ104" s="247">
        <v>0</v>
      </c>
      <c r="AR104" s="247">
        <v>0</v>
      </c>
      <c r="AS104" s="247">
        <v>0</v>
      </c>
      <c r="AT104" s="247">
        <v>0</v>
      </c>
      <c r="AU104" s="247">
        <v>0</v>
      </c>
      <c r="AV104" s="247">
        <v>0</v>
      </c>
      <c r="AW104" s="247">
        <v>0</v>
      </c>
      <c r="AX104" s="1">
        <f>tblSection61114[[#This Row],[Gross Total]]*0.15</f>
        <v>0</v>
      </c>
      <c r="AZ104" s="44">
        <v>2112</v>
      </c>
      <c r="BA104" t="s">
        <v>124</v>
      </c>
      <c r="BB104" s="247">
        <v>0</v>
      </c>
      <c r="BC104" s="247">
        <v>0</v>
      </c>
      <c r="BD104" s="247">
        <v>0</v>
      </c>
      <c r="BE104" s="247">
        <v>0</v>
      </c>
      <c r="BF104" s="247">
        <v>0</v>
      </c>
      <c r="BG104" s="247">
        <v>0</v>
      </c>
      <c r="BH104" s="247">
        <v>0</v>
      </c>
      <c r="BI104" s="1">
        <f>tblSection61915[[#This Row],[Gross Total]]*0.15</f>
        <v>0</v>
      </c>
      <c r="BJ104" s="44"/>
      <c r="BK104" s="246"/>
      <c r="BM104" s="44">
        <v>2112</v>
      </c>
      <c r="BN104" t="s">
        <v>124</v>
      </c>
      <c r="BO104" s="1">
        <v>41</v>
      </c>
      <c r="BP104" s="1">
        <v>0</v>
      </c>
      <c r="BQ104" s="1">
        <v>0</v>
      </c>
      <c r="BR104" s="1">
        <v>0</v>
      </c>
      <c r="BS104" s="1">
        <v>0</v>
      </c>
      <c r="BT104" s="1">
        <v>0</v>
      </c>
      <c r="BU104" s="1">
        <f>SUM(tblSection611[[#This Row],[LEA/District]:[ECSE]])</f>
        <v>41</v>
      </c>
      <c r="BV104" s="1">
        <f>tblSection611[[#This Row],[Gross Total]]*0.15</f>
        <v>6.1499999999999995</v>
      </c>
      <c r="BW104" s="1"/>
      <c r="BY104" s="44">
        <v>2112</v>
      </c>
      <c r="BZ104" t="s">
        <v>124</v>
      </c>
      <c r="CA104" s="1">
        <v>0</v>
      </c>
      <c r="CB104" s="1">
        <v>0</v>
      </c>
      <c r="CC104" s="1">
        <v>0</v>
      </c>
      <c r="CD104" s="1">
        <v>0</v>
      </c>
      <c r="CE104" s="1">
        <v>0</v>
      </c>
      <c r="CF104" s="1">
        <v>0</v>
      </c>
      <c r="CG104" s="1">
        <f>SUM(tblSection619[[#This Row],[LEA/District]:[ECSE]])</f>
        <v>0</v>
      </c>
      <c r="CH104" s="1">
        <f>tblSection619[[#This Row],[Gross Total]]*0.15</f>
        <v>0</v>
      </c>
    </row>
    <row r="105" spans="1:86" x14ac:dyDescent="0.35">
      <c r="A105" t="s">
        <v>125</v>
      </c>
      <c r="B105">
        <v>2085</v>
      </c>
      <c r="C105" t="s">
        <v>1528</v>
      </c>
      <c r="D105" s="44">
        <f>LEN(TblAgencies[[#This Row],[InstNm]])</f>
        <v>14</v>
      </c>
      <c r="E105" s="44" t="s">
        <v>1900</v>
      </c>
      <c r="F105" s="44" t="s">
        <v>1900</v>
      </c>
      <c r="G10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05" s="44"/>
      <c r="I105" s="44"/>
      <c r="J105" s="44"/>
      <c r="K105" s="44"/>
      <c r="M105" s="44"/>
      <c r="N105" s="44">
        <v>2085</v>
      </c>
      <c r="O105" t="s">
        <v>125</v>
      </c>
      <c r="P105" s="1">
        <v>61680.10559279607</v>
      </c>
      <c r="Q105" s="1">
        <v>0</v>
      </c>
      <c r="R105" s="1">
        <v>0</v>
      </c>
      <c r="S105" s="1">
        <v>0</v>
      </c>
      <c r="T105" s="1">
        <v>0</v>
      </c>
      <c r="U105" s="1">
        <v>0</v>
      </c>
      <c r="V105" s="1">
        <v>14233.870521414479</v>
      </c>
      <c r="W105" s="1">
        <v>61680.105592796077</v>
      </c>
      <c r="X105" s="1">
        <f>tblSection6111416[[#This Row],[Net Total]]*0.15</f>
        <v>9252.0158389194112</v>
      </c>
      <c r="Y105" s="1"/>
      <c r="AA105" s="44">
        <v>2085</v>
      </c>
      <c r="AB105" t="s">
        <v>125</v>
      </c>
      <c r="AC105" s="1">
        <v>445.31057858619295</v>
      </c>
      <c r="AD105" s="1">
        <v>0</v>
      </c>
      <c r="AE105" s="1">
        <v>0</v>
      </c>
      <c r="AF105" s="1">
        <v>0</v>
      </c>
      <c r="AG105" s="1">
        <v>0</v>
      </c>
      <c r="AH105" s="1">
        <v>1335.9317357585787</v>
      </c>
      <c r="AI105" s="1">
        <v>445.31057858619306</v>
      </c>
      <c r="AJ105" s="1">
        <f>tblSection6191517[[#This Row],[Net Total]]*0.15</f>
        <v>66.796586787928959</v>
      </c>
      <c r="AK105" s="1"/>
      <c r="AM105" s="44"/>
      <c r="AN105" s="44">
        <v>2085</v>
      </c>
      <c r="AO105" t="s">
        <v>125</v>
      </c>
      <c r="AP105" s="247">
        <v>61680.10559279607</v>
      </c>
      <c r="AQ105" s="247">
        <v>0</v>
      </c>
      <c r="AR105" s="247">
        <v>0</v>
      </c>
      <c r="AS105" s="247">
        <v>0</v>
      </c>
      <c r="AT105" s="247">
        <v>0</v>
      </c>
      <c r="AU105" s="247">
        <v>0</v>
      </c>
      <c r="AV105" s="247">
        <v>14233.870521414479</v>
      </c>
      <c r="AW105" s="247">
        <v>75913.976114210556</v>
      </c>
      <c r="AX105" s="1">
        <f>tblSection61114[[#This Row],[Gross Total]]*0.15</f>
        <v>11387.096417131583</v>
      </c>
      <c r="AZ105" s="44">
        <v>2085</v>
      </c>
      <c r="BA105" t="s">
        <v>125</v>
      </c>
      <c r="BB105" s="247">
        <v>445.31057858619295</v>
      </c>
      <c r="BC105" s="247">
        <v>0</v>
      </c>
      <c r="BD105" s="247">
        <v>0</v>
      </c>
      <c r="BE105" s="247">
        <v>0</v>
      </c>
      <c r="BF105" s="247">
        <v>0</v>
      </c>
      <c r="BG105" s="247">
        <v>1335.9317357585787</v>
      </c>
      <c r="BH105" s="247">
        <v>1781.2423143447718</v>
      </c>
      <c r="BI105" s="1">
        <f>tblSection61915[[#This Row],[Gross Total]]*0.15</f>
        <v>267.18634715171578</v>
      </c>
      <c r="BJ105" s="44"/>
      <c r="BK105" s="246"/>
      <c r="BM105" s="44">
        <v>2085</v>
      </c>
      <c r="BN105" t="s">
        <v>125</v>
      </c>
      <c r="BO105" s="1">
        <v>52663</v>
      </c>
      <c r="BP105" s="1">
        <v>0</v>
      </c>
      <c r="BQ105" s="1">
        <v>0</v>
      </c>
      <c r="BR105" s="1">
        <v>0</v>
      </c>
      <c r="BS105" s="1">
        <v>0</v>
      </c>
      <c r="BT105" s="1">
        <v>8777</v>
      </c>
      <c r="BU105" s="1">
        <f>SUM(tblSection611[[#This Row],[LEA/District]:[ECSE]])</f>
        <v>61440</v>
      </c>
      <c r="BV105" s="1">
        <f>tblSection611[[#This Row],[Gross Total]]*0.15</f>
        <v>9216</v>
      </c>
      <c r="BW105" s="1"/>
      <c r="BY105" s="44">
        <v>2085</v>
      </c>
      <c r="BZ105" t="s">
        <v>125</v>
      </c>
      <c r="CA105" s="1">
        <v>0</v>
      </c>
      <c r="CB105" s="1">
        <v>0</v>
      </c>
      <c r="CC105" s="1">
        <v>0</v>
      </c>
      <c r="CD105" s="1">
        <v>0</v>
      </c>
      <c r="CE105" s="1">
        <v>0</v>
      </c>
      <c r="CF105" s="1">
        <v>1476</v>
      </c>
      <c r="CG105" s="1">
        <f>SUM(tblSection619[[#This Row],[LEA/District]:[ECSE]])</f>
        <v>1476</v>
      </c>
      <c r="CH105" s="1">
        <f>tblSection619[[#This Row],[Gross Total]]*0.15</f>
        <v>221.4</v>
      </c>
    </row>
    <row r="106" spans="1:86" x14ac:dyDescent="0.35">
      <c r="A106" t="s">
        <v>126</v>
      </c>
      <c r="B106">
        <v>2094</v>
      </c>
      <c r="C106" t="s">
        <v>1528</v>
      </c>
      <c r="D106" s="44">
        <f>LEN(TblAgencies[[#This Row],[InstNm]])</f>
        <v>14</v>
      </c>
      <c r="E106" s="44" t="s">
        <v>1900</v>
      </c>
      <c r="F106" s="44" t="s">
        <v>1900</v>
      </c>
      <c r="G10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06" s="44"/>
      <c r="I106" s="44"/>
      <c r="J106" s="44"/>
      <c r="K106" s="44"/>
      <c r="M106" s="44"/>
      <c r="N106" s="44">
        <v>2094</v>
      </c>
      <c r="O106" t="s">
        <v>126</v>
      </c>
      <c r="P106" s="1">
        <v>135485.16127732518</v>
      </c>
      <c r="Q106" s="1">
        <v>5765.3260118010712</v>
      </c>
      <c r="R106" s="1">
        <v>0</v>
      </c>
      <c r="S106" s="1">
        <v>0</v>
      </c>
      <c r="T106" s="1">
        <v>0</v>
      </c>
      <c r="U106" s="1">
        <v>0</v>
      </c>
      <c r="V106" s="1">
        <v>5765.3260118010712</v>
      </c>
      <c r="W106" s="1">
        <v>135485.16127732521</v>
      </c>
      <c r="X106" s="1">
        <f>tblSection6111416[[#This Row],[Net Total]]*0.15</f>
        <v>20322.774191598783</v>
      </c>
      <c r="Y106" s="1"/>
      <c r="AA106" s="44">
        <v>2094</v>
      </c>
      <c r="AB106" t="s">
        <v>126</v>
      </c>
      <c r="AC106" s="1">
        <v>234.76557990866792</v>
      </c>
      <c r="AD106" s="1">
        <v>234.76557990866792</v>
      </c>
      <c r="AE106" s="1">
        <v>0</v>
      </c>
      <c r="AF106" s="1">
        <v>0</v>
      </c>
      <c r="AG106" s="1">
        <v>0</v>
      </c>
      <c r="AH106" s="1">
        <v>939.06231963467167</v>
      </c>
      <c r="AI106" s="1">
        <v>234.76557990866809</v>
      </c>
      <c r="AJ106" s="1">
        <f>tblSection6191517[[#This Row],[Net Total]]*0.15</f>
        <v>35.214836986300213</v>
      </c>
      <c r="AK106" s="1"/>
      <c r="AM106" s="44"/>
      <c r="AN106" s="44">
        <v>2094</v>
      </c>
      <c r="AO106" t="s">
        <v>126</v>
      </c>
      <c r="AP106" s="247">
        <v>135485.16127732518</v>
      </c>
      <c r="AQ106" s="247">
        <v>5765.3260118010712</v>
      </c>
      <c r="AR106" s="247">
        <v>0</v>
      </c>
      <c r="AS106" s="247">
        <v>0</v>
      </c>
      <c r="AT106" s="247">
        <v>0</v>
      </c>
      <c r="AU106" s="247">
        <v>0</v>
      </c>
      <c r="AV106" s="247">
        <v>4323.994508850803</v>
      </c>
      <c r="AW106" s="247">
        <v>145574.48179797706</v>
      </c>
      <c r="AX106" s="1">
        <f>tblSection61114[[#This Row],[Gross Total]]*0.15</f>
        <v>21836.172269696559</v>
      </c>
      <c r="AZ106" s="44">
        <v>2094</v>
      </c>
      <c r="BA106" t="s">
        <v>126</v>
      </c>
      <c r="BB106" s="247">
        <v>234.76557990866792</v>
      </c>
      <c r="BC106" s="247">
        <v>234.76557990866792</v>
      </c>
      <c r="BD106" s="247">
        <v>0</v>
      </c>
      <c r="BE106" s="247">
        <v>0</v>
      </c>
      <c r="BF106" s="247">
        <v>0</v>
      </c>
      <c r="BG106" s="247">
        <v>704.29673972600381</v>
      </c>
      <c r="BH106" s="247">
        <v>1173.8278995433398</v>
      </c>
      <c r="BI106" s="1">
        <f>tblSection61915[[#This Row],[Gross Total]]*0.15</f>
        <v>176.07418493150095</v>
      </c>
      <c r="BJ106" s="44"/>
      <c r="BK106" s="246"/>
      <c r="BM106" s="44">
        <v>2094</v>
      </c>
      <c r="BN106" t="s">
        <v>126</v>
      </c>
      <c r="BO106" s="1">
        <v>113396</v>
      </c>
      <c r="BP106" s="1">
        <v>4361</v>
      </c>
      <c r="BQ106" s="1">
        <v>0</v>
      </c>
      <c r="BR106" s="1">
        <v>0</v>
      </c>
      <c r="BS106" s="1">
        <v>0</v>
      </c>
      <c r="BT106" s="1">
        <v>7269</v>
      </c>
      <c r="BU106" s="1">
        <f>SUM(tblSection611[[#This Row],[LEA/District]:[ECSE]])</f>
        <v>125026</v>
      </c>
      <c r="BV106" s="1">
        <f>tblSection611[[#This Row],[Gross Total]]*0.15</f>
        <v>18753.899999999998</v>
      </c>
      <c r="BW106" s="1"/>
      <c r="BY106" s="44">
        <v>2094</v>
      </c>
      <c r="BZ106" t="s">
        <v>126</v>
      </c>
      <c r="CA106" s="1">
        <v>0</v>
      </c>
      <c r="CB106" s="1">
        <v>0</v>
      </c>
      <c r="CC106" s="1">
        <v>0</v>
      </c>
      <c r="CD106" s="1">
        <v>0</v>
      </c>
      <c r="CE106" s="1">
        <v>0</v>
      </c>
      <c r="CF106" s="1">
        <v>1307</v>
      </c>
      <c r="CG106" s="1">
        <f>SUM(tblSection619[[#This Row],[LEA/District]:[ECSE]])</f>
        <v>1307</v>
      </c>
      <c r="CH106" s="1">
        <f>tblSection619[[#This Row],[Gross Total]]*0.15</f>
        <v>196.04999999999998</v>
      </c>
    </row>
    <row r="107" spans="1:86" x14ac:dyDescent="0.35">
      <c r="A107" t="s">
        <v>127</v>
      </c>
      <c r="B107">
        <v>2090</v>
      </c>
      <c r="C107" t="s">
        <v>1528</v>
      </c>
      <c r="D107" s="44">
        <f>LEN(TblAgencies[[#This Row],[InstNm]])</f>
        <v>14</v>
      </c>
      <c r="E107" s="44" t="s">
        <v>1900</v>
      </c>
      <c r="F107" s="44" t="s">
        <v>1900</v>
      </c>
      <c r="G10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07" s="44"/>
      <c r="I107" s="44"/>
      <c r="J107" s="44"/>
      <c r="K107" s="44"/>
      <c r="M107" s="44"/>
      <c r="N107" s="44">
        <v>2090</v>
      </c>
      <c r="O107" t="s">
        <v>127</v>
      </c>
      <c r="P107" s="1">
        <v>62467.784937739954</v>
      </c>
      <c r="Q107" s="1">
        <v>1952.1182793043736</v>
      </c>
      <c r="R107" s="1">
        <v>0</v>
      </c>
      <c r="S107" s="1">
        <v>0</v>
      </c>
      <c r="T107" s="1">
        <v>0</v>
      </c>
      <c r="U107" s="1">
        <v>0</v>
      </c>
      <c r="V107" s="1">
        <v>1952.1182793043736</v>
      </c>
      <c r="W107" s="1">
        <v>62467.784937739947</v>
      </c>
      <c r="X107" s="1">
        <f>tblSection6111416[[#This Row],[Net Total]]*0.15</f>
        <v>9370.1677406609924</v>
      </c>
      <c r="Y107" s="1"/>
      <c r="AA107" s="44">
        <v>2090</v>
      </c>
      <c r="AB107" t="s">
        <v>127</v>
      </c>
      <c r="AC107" s="1">
        <v>283.20674237095398</v>
      </c>
      <c r="AD107" s="1">
        <v>0</v>
      </c>
      <c r="AE107" s="1">
        <v>0</v>
      </c>
      <c r="AF107" s="1">
        <v>0</v>
      </c>
      <c r="AG107" s="1">
        <v>0</v>
      </c>
      <c r="AH107" s="1">
        <v>283.20674237095398</v>
      </c>
      <c r="AI107" s="1">
        <v>283.20674237095398</v>
      </c>
      <c r="AJ107" s="1">
        <f>tblSection6191517[[#This Row],[Net Total]]*0.15</f>
        <v>42.481011355643098</v>
      </c>
      <c r="AK107" s="1"/>
      <c r="AM107" s="44"/>
      <c r="AN107" s="44">
        <v>2090</v>
      </c>
      <c r="AO107" t="s">
        <v>127</v>
      </c>
      <c r="AP107" s="247">
        <v>62467.784937739954</v>
      </c>
      <c r="AQ107" s="247">
        <v>1952.1182793043736</v>
      </c>
      <c r="AR107" s="247">
        <v>0</v>
      </c>
      <c r="AS107" s="247">
        <v>0</v>
      </c>
      <c r="AT107" s="247">
        <v>0</v>
      </c>
      <c r="AU107" s="247">
        <v>0</v>
      </c>
      <c r="AV107" s="247">
        <v>1952.1182793043736</v>
      </c>
      <c r="AW107" s="247">
        <v>66372.021496348694</v>
      </c>
      <c r="AX107" s="1">
        <f>tblSection61114[[#This Row],[Gross Total]]*0.15</f>
        <v>9955.8032244523038</v>
      </c>
      <c r="AZ107" s="44">
        <v>2090</v>
      </c>
      <c r="BA107" t="s">
        <v>127</v>
      </c>
      <c r="BB107" s="247">
        <v>283.20674237095398</v>
      </c>
      <c r="BC107" s="247">
        <v>0</v>
      </c>
      <c r="BD107" s="247">
        <v>0</v>
      </c>
      <c r="BE107" s="247">
        <v>0</v>
      </c>
      <c r="BF107" s="247">
        <v>0</v>
      </c>
      <c r="BG107" s="247">
        <v>283.20674237095398</v>
      </c>
      <c r="BH107" s="247">
        <v>566.41348474190795</v>
      </c>
      <c r="BI107" s="1">
        <f>tblSection61915[[#This Row],[Gross Total]]*0.15</f>
        <v>84.962022711286195</v>
      </c>
      <c r="BJ107" s="44"/>
      <c r="BK107" s="246"/>
      <c r="BM107" s="44">
        <v>2090</v>
      </c>
      <c r="BN107" t="s">
        <v>127</v>
      </c>
      <c r="BO107" s="1">
        <v>46721</v>
      </c>
      <c r="BP107" s="1">
        <v>1869</v>
      </c>
      <c r="BQ107" s="1">
        <v>0</v>
      </c>
      <c r="BR107" s="1">
        <v>0</v>
      </c>
      <c r="BS107" s="1">
        <v>0</v>
      </c>
      <c r="BT107" s="1">
        <v>7475</v>
      </c>
      <c r="BU107" s="1">
        <f>SUM(tblSection611[[#This Row],[LEA/District]:[ECSE]])</f>
        <v>56065</v>
      </c>
      <c r="BV107" s="1">
        <f>tblSection611[[#This Row],[Gross Total]]*0.15</f>
        <v>8409.75</v>
      </c>
      <c r="BW107" s="1"/>
      <c r="BY107" s="44">
        <v>2090</v>
      </c>
      <c r="BZ107" t="s">
        <v>127</v>
      </c>
      <c r="CA107" s="1">
        <v>116</v>
      </c>
      <c r="CB107" s="1">
        <v>0</v>
      </c>
      <c r="CC107" s="1">
        <v>0</v>
      </c>
      <c r="CD107" s="1">
        <v>0</v>
      </c>
      <c r="CE107" s="1">
        <v>0</v>
      </c>
      <c r="CF107" s="1">
        <v>462</v>
      </c>
      <c r="CG107" s="1">
        <f>SUM(tblSection619[[#This Row],[LEA/District]:[ECSE]])</f>
        <v>578</v>
      </c>
      <c r="CH107" s="1">
        <f>tblSection619[[#This Row],[Gross Total]]*0.15</f>
        <v>86.7</v>
      </c>
    </row>
    <row r="108" spans="1:86" x14ac:dyDescent="0.35">
      <c r="A108" t="s">
        <v>128</v>
      </c>
      <c r="B108">
        <v>2256</v>
      </c>
      <c r="C108" t="s">
        <v>1528</v>
      </c>
      <c r="D108" s="44">
        <f>LEN(TblAgencies[[#This Row],[InstNm]])</f>
        <v>17</v>
      </c>
      <c r="E108" s="44" t="s">
        <v>1900</v>
      </c>
      <c r="F108" s="44" t="s">
        <v>1900</v>
      </c>
      <c r="G10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08" s="44"/>
      <c r="I108" s="44"/>
      <c r="J108" s="44"/>
      <c r="K108" s="44"/>
      <c r="M108" s="44"/>
      <c r="N108" s="44">
        <v>2256</v>
      </c>
      <c r="O108" t="s">
        <v>128</v>
      </c>
      <c r="P108" s="1">
        <v>1196315.3118282463</v>
      </c>
      <c r="Q108" s="1">
        <v>229642.88735483849</v>
      </c>
      <c r="R108" s="1">
        <v>0</v>
      </c>
      <c r="S108" s="1">
        <v>0</v>
      </c>
      <c r="T108" s="1">
        <v>0</v>
      </c>
      <c r="U108" s="1">
        <v>0</v>
      </c>
      <c r="V108" s="1">
        <v>105511.59689276361</v>
      </c>
      <c r="W108" s="1">
        <v>1196315.3118282463</v>
      </c>
      <c r="X108" s="1">
        <f>tblSection6111416[[#This Row],[Net Total]]*0.15</f>
        <v>179447.29677423695</v>
      </c>
      <c r="Y108" s="1"/>
      <c r="AA108" s="44">
        <v>2256</v>
      </c>
      <c r="AB108" t="s">
        <v>128</v>
      </c>
      <c r="AC108" s="1">
        <v>9064.8716677202756</v>
      </c>
      <c r="AD108" s="1">
        <v>8240.7924252002504</v>
      </c>
      <c r="AE108" s="1">
        <v>0</v>
      </c>
      <c r="AF108" s="1">
        <v>0</v>
      </c>
      <c r="AG108" s="1">
        <v>0</v>
      </c>
      <c r="AH108" s="1">
        <v>28018.694245680854</v>
      </c>
      <c r="AI108" s="1">
        <v>9064.8716677202756</v>
      </c>
      <c r="AJ108" s="1">
        <f>tblSection6191517[[#This Row],[Net Total]]*0.15</f>
        <v>1359.7307501580412</v>
      </c>
      <c r="AK108" s="1"/>
      <c r="AM108" s="44"/>
      <c r="AN108" s="44">
        <v>2256</v>
      </c>
      <c r="AO108" t="s">
        <v>128</v>
      </c>
      <c r="AP108" s="247">
        <v>1196315.3118282463</v>
      </c>
      <c r="AQ108" s="247">
        <v>229642.88735483849</v>
      </c>
      <c r="AR108" s="247">
        <v>0</v>
      </c>
      <c r="AS108" s="247">
        <v>0</v>
      </c>
      <c r="AT108" s="247">
        <v>0</v>
      </c>
      <c r="AU108" s="247">
        <v>0</v>
      </c>
      <c r="AV108" s="247">
        <v>80685.338800348647</v>
      </c>
      <c r="AW108" s="247">
        <v>1506643.5379834333</v>
      </c>
      <c r="AX108" s="1">
        <f>tblSection61114[[#This Row],[Gross Total]]*0.15</f>
        <v>225996.530697515</v>
      </c>
      <c r="AZ108" s="44">
        <v>2256</v>
      </c>
      <c r="BA108" t="s">
        <v>128</v>
      </c>
      <c r="BB108" s="247">
        <v>9064.8716677202756</v>
      </c>
      <c r="BC108" s="247">
        <v>8240.7924252002504</v>
      </c>
      <c r="BD108" s="247">
        <v>0</v>
      </c>
      <c r="BE108" s="247">
        <v>0</v>
      </c>
      <c r="BF108" s="247">
        <v>0</v>
      </c>
      <c r="BG108" s="247">
        <v>21426.060305520652</v>
      </c>
      <c r="BH108" s="247">
        <v>38731.724398441176</v>
      </c>
      <c r="BI108" s="1">
        <f>tblSection61915[[#This Row],[Gross Total]]*0.15</f>
        <v>5809.7586597661766</v>
      </c>
      <c r="BJ108" s="44"/>
      <c r="BK108" s="246"/>
      <c r="BM108" s="44">
        <v>2256</v>
      </c>
      <c r="BN108" t="s">
        <v>128</v>
      </c>
      <c r="BO108" s="1">
        <v>1072474</v>
      </c>
      <c r="BP108" s="1">
        <v>141042</v>
      </c>
      <c r="BQ108" s="1">
        <v>0</v>
      </c>
      <c r="BR108" s="1">
        <v>0</v>
      </c>
      <c r="BS108" s="1">
        <v>0</v>
      </c>
      <c r="BT108" s="1">
        <v>97752</v>
      </c>
      <c r="BU108" s="1">
        <f>SUM(tblSection611[[#This Row],[LEA/District]:[ECSE]])</f>
        <v>1311268</v>
      </c>
      <c r="BV108" s="1">
        <f>tblSection611[[#This Row],[Gross Total]]*0.15</f>
        <v>196690.19999999998</v>
      </c>
      <c r="BW108" s="1"/>
      <c r="BY108" s="44">
        <v>2256</v>
      </c>
      <c r="BZ108" t="s">
        <v>128</v>
      </c>
      <c r="CA108" s="1">
        <v>10971</v>
      </c>
      <c r="CB108" s="1">
        <v>366</v>
      </c>
      <c r="CC108" s="1">
        <v>0</v>
      </c>
      <c r="CD108" s="1">
        <v>0</v>
      </c>
      <c r="CE108" s="1">
        <v>0</v>
      </c>
      <c r="CF108" s="1">
        <v>25599</v>
      </c>
      <c r="CG108" s="1">
        <f>SUM(tblSection619[[#This Row],[LEA/District]:[ECSE]])</f>
        <v>36936</v>
      </c>
      <c r="CH108" s="1">
        <f>tblSection619[[#This Row],[Gross Total]]*0.15</f>
        <v>5540.4</v>
      </c>
    </row>
    <row r="109" spans="1:86" x14ac:dyDescent="0.35">
      <c r="A109" t="s">
        <v>129</v>
      </c>
      <c r="B109">
        <v>2048</v>
      </c>
      <c r="C109" t="s">
        <v>1528</v>
      </c>
      <c r="D109" s="44">
        <f>LEN(TblAgencies[[#This Row],[InstNm]])</f>
        <v>15</v>
      </c>
      <c r="E109" s="44" t="s">
        <v>1900</v>
      </c>
      <c r="F109" s="44" t="s">
        <v>1900</v>
      </c>
      <c r="G10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09" s="44"/>
      <c r="I109" s="44"/>
      <c r="J109" s="44"/>
      <c r="K109" s="44"/>
      <c r="M109" s="44"/>
      <c r="N109" s="44">
        <v>2048</v>
      </c>
      <c r="O109" t="s">
        <v>129</v>
      </c>
      <c r="P109" s="1">
        <v>2400547.7789293146</v>
      </c>
      <c r="Q109" s="1">
        <v>933123.51837899163</v>
      </c>
      <c r="R109" s="1">
        <v>1522.2243366704593</v>
      </c>
      <c r="S109" s="1">
        <v>3044.4486733409185</v>
      </c>
      <c r="T109" s="1">
        <v>0</v>
      </c>
      <c r="U109" s="1">
        <v>0</v>
      </c>
      <c r="V109" s="1">
        <v>269433.70759067137</v>
      </c>
      <c r="W109" s="1">
        <v>2400547.7789293141</v>
      </c>
      <c r="X109" s="1">
        <f>tblSection6111416[[#This Row],[Net Total]]*0.15</f>
        <v>360082.1668393971</v>
      </c>
      <c r="Y109" s="1"/>
      <c r="AA109" s="44">
        <v>2048</v>
      </c>
      <c r="AB109" t="s">
        <v>129</v>
      </c>
      <c r="AC109" s="1">
        <v>20693.438392741595</v>
      </c>
      <c r="AD109" s="1">
        <v>31566.261955029557</v>
      </c>
      <c r="AE109" s="1">
        <v>0</v>
      </c>
      <c r="AF109" s="1">
        <v>0</v>
      </c>
      <c r="AG109" s="1">
        <v>0</v>
      </c>
      <c r="AH109" s="1">
        <v>62080.315178224781</v>
      </c>
      <c r="AI109" s="1">
        <v>20693.438392741591</v>
      </c>
      <c r="AJ109" s="1">
        <f>tblSection6191517[[#This Row],[Net Total]]*0.15</f>
        <v>3104.0157589112387</v>
      </c>
      <c r="AK109" s="1"/>
      <c r="AM109" s="44"/>
      <c r="AN109" s="44">
        <v>2048</v>
      </c>
      <c r="AO109" t="s">
        <v>129</v>
      </c>
      <c r="AP109" s="247">
        <v>2400547.7789293146</v>
      </c>
      <c r="AQ109" s="247">
        <v>933123.51837899163</v>
      </c>
      <c r="AR109" s="247">
        <v>1522.2243366704593</v>
      </c>
      <c r="AS109" s="247">
        <v>3044.4486733409185</v>
      </c>
      <c r="AT109" s="247">
        <v>0</v>
      </c>
      <c r="AU109" s="247">
        <v>0</v>
      </c>
      <c r="AV109" s="247">
        <v>182666.92040045516</v>
      </c>
      <c r="AW109" s="247">
        <v>3520904.8907187725</v>
      </c>
      <c r="AX109" s="1">
        <f>tblSection61114[[#This Row],[Gross Total]]*0.15</f>
        <v>528135.73360781581</v>
      </c>
      <c r="AZ109" s="44">
        <v>2048</v>
      </c>
      <c r="BA109" t="s">
        <v>129</v>
      </c>
      <c r="BB109" s="247">
        <v>20693.438392741595</v>
      </c>
      <c r="BC109" s="247">
        <v>31566.261955029557</v>
      </c>
      <c r="BD109" s="247">
        <v>0</v>
      </c>
      <c r="BE109" s="247">
        <v>0</v>
      </c>
      <c r="BF109" s="247">
        <v>0</v>
      </c>
      <c r="BG109" s="247">
        <v>42088.349273372733</v>
      </c>
      <c r="BH109" s="247">
        <v>94348.049621143888</v>
      </c>
      <c r="BI109" s="1">
        <f>tblSection61915[[#This Row],[Gross Total]]*0.15</f>
        <v>14152.207443171583</v>
      </c>
      <c r="BJ109" s="44"/>
      <c r="BK109" s="246"/>
      <c r="BM109" s="44">
        <v>2048</v>
      </c>
      <c r="BN109" t="s">
        <v>129</v>
      </c>
      <c r="BO109" s="1">
        <v>2125993</v>
      </c>
      <c r="BP109" s="1">
        <v>654945</v>
      </c>
      <c r="BQ109" s="1">
        <v>1289</v>
      </c>
      <c r="BR109" s="1">
        <v>1289</v>
      </c>
      <c r="BS109" s="1">
        <v>0</v>
      </c>
      <c r="BT109" s="1">
        <v>224332</v>
      </c>
      <c r="BU109" s="1">
        <f>SUM(tblSection611[[#This Row],[LEA/District]:[ECSE]])</f>
        <v>3007848</v>
      </c>
      <c r="BV109" s="1">
        <f>tblSection611[[#This Row],[Gross Total]]*0.15</f>
        <v>451177.2</v>
      </c>
      <c r="BW109" s="1"/>
      <c r="BY109" s="44">
        <v>2048</v>
      </c>
      <c r="BZ109" t="s">
        <v>129</v>
      </c>
      <c r="CA109" s="1">
        <v>22268</v>
      </c>
      <c r="CB109" s="1">
        <v>5219</v>
      </c>
      <c r="CC109" s="1">
        <v>0</v>
      </c>
      <c r="CD109" s="1">
        <v>0</v>
      </c>
      <c r="CE109" s="1">
        <v>0</v>
      </c>
      <c r="CF109" s="1">
        <v>60541</v>
      </c>
      <c r="CG109" s="1">
        <f>SUM(tblSection619[[#This Row],[LEA/District]:[ECSE]])</f>
        <v>88028</v>
      </c>
      <c r="CH109" s="1">
        <f>tblSection619[[#This Row],[Gross Total]]*0.15</f>
        <v>13204.199999999999</v>
      </c>
    </row>
    <row r="110" spans="1:86" x14ac:dyDescent="0.35">
      <c r="A110" t="s">
        <v>130</v>
      </c>
      <c r="B110">
        <v>2205</v>
      </c>
      <c r="C110" t="s">
        <v>1528</v>
      </c>
      <c r="D110" s="44">
        <f>LEN(TblAgencies[[#This Row],[InstNm]])</f>
        <v>29</v>
      </c>
      <c r="E110" s="44" t="s">
        <v>1900</v>
      </c>
      <c r="F110" s="44" t="s">
        <v>1900</v>
      </c>
      <c r="G11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10" s="44"/>
      <c r="I110" s="44"/>
      <c r="J110" s="44"/>
      <c r="K110" s="44"/>
      <c r="M110" s="44"/>
      <c r="N110" s="44">
        <v>2205</v>
      </c>
      <c r="O110" t="s">
        <v>130</v>
      </c>
      <c r="P110" s="1">
        <v>307332.32545559847</v>
      </c>
      <c r="Q110" s="1">
        <v>70065.400622001718</v>
      </c>
      <c r="R110" s="1">
        <v>0</v>
      </c>
      <c r="S110" s="1">
        <v>0</v>
      </c>
      <c r="T110" s="1">
        <v>0</v>
      </c>
      <c r="U110" s="1">
        <v>0</v>
      </c>
      <c r="V110" s="1">
        <v>35032.700311000859</v>
      </c>
      <c r="W110" s="1">
        <v>307332.32545559853</v>
      </c>
      <c r="X110" s="1">
        <f>tblSection6111416[[#This Row],[Net Total]]*0.15</f>
        <v>46099.848818339779</v>
      </c>
      <c r="Y110" s="1"/>
      <c r="AA110" s="44">
        <v>2205</v>
      </c>
      <c r="AB110" t="s">
        <v>130</v>
      </c>
      <c r="AC110" s="1">
        <v>2173.4149038588489</v>
      </c>
      <c r="AD110" s="1">
        <v>543.35372596471223</v>
      </c>
      <c r="AE110" s="1">
        <v>0</v>
      </c>
      <c r="AF110" s="1">
        <v>0</v>
      </c>
      <c r="AG110" s="1">
        <v>0</v>
      </c>
      <c r="AH110" s="1">
        <v>11953.781971223669</v>
      </c>
      <c r="AI110" s="1">
        <v>2173.4149038588494</v>
      </c>
      <c r="AJ110" s="1">
        <f>tblSection6191517[[#This Row],[Net Total]]*0.15</f>
        <v>326.01223557882741</v>
      </c>
      <c r="AK110" s="1"/>
      <c r="AM110" s="44"/>
      <c r="AN110" s="44">
        <v>2205</v>
      </c>
      <c r="AO110" t="s">
        <v>130</v>
      </c>
      <c r="AP110" s="247">
        <v>307332.32545559847</v>
      </c>
      <c r="AQ110" s="247">
        <v>70065.400622001718</v>
      </c>
      <c r="AR110" s="247">
        <v>0</v>
      </c>
      <c r="AS110" s="247">
        <v>0</v>
      </c>
      <c r="AT110" s="247">
        <v>0</v>
      </c>
      <c r="AU110" s="247">
        <v>0</v>
      </c>
      <c r="AV110" s="247">
        <v>35032.700311000859</v>
      </c>
      <c r="AW110" s="247">
        <v>412430.42638860107</v>
      </c>
      <c r="AX110" s="1">
        <f>tblSection61114[[#This Row],[Gross Total]]*0.15</f>
        <v>61864.563958290157</v>
      </c>
      <c r="AZ110" s="44">
        <v>2205</v>
      </c>
      <c r="BA110" t="s">
        <v>130</v>
      </c>
      <c r="BB110" s="247">
        <v>2173.4149038588489</v>
      </c>
      <c r="BC110" s="247">
        <v>543.35372596471223</v>
      </c>
      <c r="BD110" s="247">
        <v>0</v>
      </c>
      <c r="BE110" s="247">
        <v>0</v>
      </c>
      <c r="BF110" s="247">
        <v>0</v>
      </c>
      <c r="BG110" s="247">
        <v>11953.781971223669</v>
      </c>
      <c r="BH110" s="247">
        <v>14670.550601047231</v>
      </c>
      <c r="BI110" s="1">
        <f>tblSection61915[[#This Row],[Gross Total]]*0.15</f>
        <v>2200.5825901570847</v>
      </c>
      <c r="BJ110" s="44"/>
      <c r="BK110" s="246"/>
      <c r="BM110" s="44">
        <v>2205</v>
      </c>
      <c r="BN110" t="s">
        <v>130</v>
      </c>
      <c r="BO110" s="1">
        <v>278651</v>
      </c>
      <c r="BP110" s="1">
        <v>49257</v>
      </c>
      <c r="BQ110" s="1">
        <v>0</v>
      </c>
      <c r="BR110" s="1">
        <v>0</v>
      </c>
      <c r="BS110" s="1">
        <v>0</v>
      </c>
      <c r="BT110" s="1">
        <v>30961</v>
      </c>
      <c r="BU110" s="1">
        <f>SUM(tblSection611[[#This Row],[LEA/District]:[ECSE]])</f>
        <v>358869</v>
      </c>
      <c r="BV110" s="1">
        <f>tblSection611[[#This Row],[Gross Total]]*0.15</f>
        <v>53830.35</v>
      </c>
      <c r="BW110" s="1"/>
      <c r="BY110" s="44">
        <v>2205</v>
      </c>
      <c r="BZ110" t="s">
        <v>130</v>
      </c>
      <c r="CA110" s="1">
        <v>4768</v>
      </c>
      <c r="CB110" s="1">
        <v>397</v>
      </c>
      <c r="CC110" s="1">
        <v>0</v>
      </c>
      <c r="CD110" s="1">
        <v>0</v>
      </c>
      <c r="CE110" s="1">
        <v>0</v>
      </c>
      <c r="CF110" s="1">
        <v>8741</v>
      </c>
      <c r="CG110" s="1">
        <f>SUM(tblSection619[[#This Row],[LEA/District]:[ECSE]])</f>
        <v>13906</v>
      </c>
      <c r="CH110" s="1">
        <f>tblSection619[[#This Row],[Gross Total]]*0.15</f>
        <v>2085.9</v>
      </c>
    </row>
    <row r="111" spans="1:86" x14ac:dyDescent="0.35">
      <c r="A111" t="s">
        <v>131</v>
      </c>
      <c r="B111">
        <v>2249</v>
      </c>
      <c r="C111" t="s">
        <v>1528</v>
      </c>
      <c r="D111" s="44">
        <f>LEN(TblAgencies[[#This Row],[InstNm]])</f>
        <v>14</v>
      </c>
      <c r="E111" s="44" t="s">
        <v>1900</v>
      </c>
      <c r="F111" s="44" t="s">
        <v>1900</v>
      </c>
      <c r="G11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11" s="44"/>
      <c r="I111" s="44"/>
      <c r="J111" s="44"/>
      <c r="K111" s="44"/>
      <c r="M111" s="44"/>
      <c r="N111" s="44">
        <v>2249</v>
      </c>
      <c r="O111" t="s">
        <v>131</v>
      </c>
      <c r="P111" s="1">
        <v>195529.16597477946</v>
      </c>
      <c r="Q111" s="1">
        <v>1222.0572873423714</v>
      </c>
      <c r="R111" s="1">
        <v>0</v>
      </c>
      <c r="S111" s="1">
        <v>0</v>
      </c>
      <c r="T111" s="1">
        <v>0</v>
      </c>
      <c r="U111" s="1">
        <v>0</v>
      </c>
      <c r="V111" s="1">
        <v>1222.0572873423714</v>
      </c>
      <c r="W111" s="1">
        <v>195529.16597477949</v>
      </c>
      <c r="X111" s="1">
        <f>tblSection6111416[[#This Row],[Net Total]]*0.15</f>
        <v>29329.374896216923</v>
      </c>
      <c r="Y111" s="1"/>
      <c r="AA111" s="44">
        <v>2249</v>
      </c>
      <c r="AB111" t="s">
        <v>131</v>
      </c>
      <c r="AC111" s="1">
        <v>176.14970987795999</v>
      </c>
      <c r="AD111" s="1">
        <v>176.14970987795999</v>
      </c>
      <c r="AE111" s="1">
        <v>0</v>
      </c>
      <c r="AF111" s="1">
        <v>0</v>
      </c>
      <c r="AG111" s="1">
        <v>0</v>
      </c>
      <c r="AH111" s="1">
        <v>176.14970987795999</v>
      </c>
      <c r="AI111" s="1">
        <v>176.14970987795994</v>
      </c>
      <c r="AJ111" s="1">
        <f>tblSection6191517[[#This Row],[Net Total]]*0.15</f>
        <v>26.422456481693988</v>
      </c>
      <c r="AK111" s="1"/>
      <c r="AM111" s="44"/>
      <c r="AN111" s="44">
        <v>2249</v>
      </c>
      <c r="AO111" t="s">
        <v>131</v>
      </c>
      <c r="AP111" s="247">
        <v>195529.16597477946</v>
      </c>
      <c r="AQ111" s="247">
        <v>1222.0572873423714</v>
      </c>
      <c r="AR111" s="247">
        <v>0</v>
      </c>
      <c r="AS111" s="247">
        <v>0</v>
      </c>
      <c r="AT111" s="247">
        <v>0</v>
      </c>
      <c r="AU111" s="247">
        <v>0</v>
      </c>
      <c r="AV111" s="247">
        <v>0</v>
      </c>
      <c r="AW111" s="247">
        <v>196751.22326212184</v>
      </c>
      <c r="AX111" s="1">
        <f>tblSection61114[[#This Row],[Gross Total]]*0.15</f>
        <v>29512.683489318275</v>
      </c>
      <c r="AZ111" s="44">
        <v>2249</v>
      </c>
      <c r="BA111" t="s">
        <v>131</v>
      </c>
      <c r="BB111" s="247">
        <v>176.14970987795999</v>
      </c>
      <c r="BC111" s="247">
        <v>176.14970987795999</v>
      </c>
      <c r="BD111" s="247">
        <v>0</v>
      </c>
      <c r="BE111" s="247">
        <v>0</v>
      </c>
      <c r="BF111" s="247">
        <v>0</v>
      </c>
      <c r="BG111" s="247">
        <v>0</v>
      </c>
      <c r="BH111" s="247">
        <v>352.29941975591998</v>
      </c>
      <c r="BI111" s="1">
        <f>tblSection61915[[#This Row],[Gross Total]]*0.15</f>
        <v>52.844912963387998</v>
      </c>
      <c r="BJ111" s="44"/>
      <c r="BK111" s="246"/>
      <c r="BM111" s="44">
        <v>2249</v>
      </c>
      <c r="BN111" t="s">
        <v>131</v>
      </c>
      <c r="BO111" s="1">
        <v>162554</v>
      </c>
      <c r="BP111" s="1">
        <v>36376</v>
      </c>
      <c r="BQ111" s="1">
        <v>0</v>
      </c>
      <c r="BR111" s="1">
        <v>0</v>
      </c>
      <c r="BS111" s="1">
        <v>0</v>
      </c>
      <c r="BT111" s="1">
        <v>2273</v>
      </c>
      <c r="BU111" s="1">
        <f>SUM(tblSection611[[#This Row],[LEA/District]:[ECSE]])</f>
        <v>201203</v>
      </c>
      <c r="BV111" s="1">
        <f>tblSection611[[#This Row],[Gross Total]]*0.15</f>
        <v>30180.449999999997</v>
      </c>
      <c r="BW111" s="1"/>
      <c r="BY111" s="44">
        <v>2249</v>
      </c>
      <c r="BZ111" t="s">
        <v>131</v>
      </c>
      <c r="CA111" s="1">
        <v>507</v>
      </c>
      <c r="CB111" s="1">
        <v>169</v>
      </c>
      <c r="CC111" s="1">
        <v>0</v>
      </c>
      <c r="CD111" s="1">
        <v>0</v>
      </c>
      <c r="CE111" s="1">
        <v>0</v>
      </c>
      <c r="CF111" s="1">
        <v>338</v>
      </c>
      <c r="CG111" s="1">
        <f>SUM(tblSection619[[#This Row],[LEA/District]:[ECSE]])</f>
        <v>1014</v>
      </c>
      <c r="CH111" s="1">
        <f>tblSection619[[#This Row],[Gross Total]]*0.15</f>
        <v>152.1</v>
      </c>
    </row>
    <row r="112" spans="1:86" x14ac:dyDescent="0.35">
      <c r="A112" t="s">
        <v>132</v>
      </c>
      <c r="B112">
        <v>1925</v>
      </c>
      <c r="C112" t="s">
        <v>1528</v>
      </c>
      <c r="D112" s="44">
        <f>LEN(TblAgencies[[#This Row],[InstNm]])</f>
        <v>19</v>
      </c>
      <c r="E112" s="44" t="s">
        <v>1900</v>
      </c>
      <c r="F112" s="44" t="s">
        <v>1900</v>
      </c>
      <c r="G11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12" s="44"/>
      <c r="I112" s="44"/>
      <c r="J112" s="44"/>
      <c r="K112" s="44"/>
      <c r="M112" s="44"/>
      <c r="N112" s="44">
        <v>1925</v>
      </c>
      <c r="O112" t="s">
        <v>132</v>
      </c>
      <c r="P112" s="1">
        <v>579020.669675824</v>
      </c>
      <c r="Q112" s="1">
        <v>122149.56593161219</v>
      </c>
      <c r="R112" s="1">
        <v>0</v>
      </c>
      <c r="S112" s="1">
        <v>0</v>
      </c>
      <c r="T112" s="1">
        <v>0</v>
      </c>
      <c r="U112" s="1">
        <v>0</v>
      </c>
      <c r="V112" s="1">
        <v>77731.541956480491</v>
      </c>
      <c r="W112" s="1">
        <v>579020.669675824</v>
      </c>
      <c r="X112" s="1">
        <f>tblSection6111416[[#This Row],[Net Total]]*0.15</f>
        <v>86853.100451373597</v>
      </c>
      <c r="Y112" s="1"/>
      <c r="AA112" s="44">
        <v>1925</v>
      </c>
      <c r="AB112" t="s">
        <v>132</v>
      </c>
      <c r="AC112" s="1">
        <v>3013.7867744484583</v>
      </c>
      <c r="AD112" s="1">
        <v>3709.2760300904101</v>
      </c>
      <c r="AE112" s="1">
        <v>0</v>
      </c>
      <c r="AF112" s="1">
        <v>0</v>
      </c>
      <c r="AG112" s="1">
        <v>0</v>
      </c>
      <c r="AH112" s="1">
        <v>11359.657842151881</v>
      </c>
      <c r="AI112" s="1">
        <v>3013.7867744484574</v>
      </c>
      <c r="AJ112" s="1">
        <f>tblSection6191517[[#This Row],[Net Total]]*0.15</f>
        <v>452.06801616726858</v>
      </c>
      <c r="AK112" s="1"/>
      <c r="AM112" s="44"/>
      <c r="AN112" s="44">
        <v>1925</v>
      </c>
      <c r="AO112" t="s">
        <v>132</v>
      </c>
      <c r="AP112" s="247">
        <v>579020.669675824</v>
      </c>
      <c r="AQ112" s="247">
        <v>122149.56593161219</v>
      </c>
      <c r="AR112" s="247">
        <v>0</v>
      </c>
      <c r="AS112" s="247">
        <v>0</v>
      </c>
      <c r="AT112" s="247">
        <v>0</v>
      </c>
      <c r="AU112" s="247">
        <v>0</v>
      </c>
      <c r="AV112" s="247">
        <v>58695.245967138326</v>
      </c>
      <c r="AW112" s="247">
        <v>759865.48157457449</v>
      </c>
      <c r="AX112" s="1">
        <f>tblSection61114[[#This Row],[Gross Total]]*0.15</f>
        <v>113979.82223618617</v>
      </c>
      <c r="AZ112" s="44">
        <v>1925</v>
      </c>
      <c r="BA112" t="s">
        <v>132</v>
      </c>
      <c r="BB112" s="247">
        <v>3013.7867744484583</v>
      </c>
      <c r="BC112" s="247">
        <v>3709.2760300904101</v>
      </c>
      <c r="BD112" s="247">
        <v>0</v>
      </c>
      <c r="BE112" s="247">
        <v>0</v>
      </c>
      <c r="BF112" s="247">
        <v>0</v>
      </c>
      <c r="BG112" s="247">
        <v>8577.7008195840735</v>
      </c>
      <c r="BH112" s="247">
        <v>15300.763624122941</v>
      </c>
      <c r="BI112" s="1">
        <f>tblSection61915[[#This Row],[Gross Total]]*0.15</f>
        <v>2295.1145436184411</v>
      </c>
      <c r="BJ112" s="44"/>
      <c r="BK112" s="246"/>
      <c r="BM112" s="44">
        <v>1925</v>
      </c>
      <c r="BN112" t="s">
        <v>132</v>
      </c>
      <c r="BO112" s="1">
        <v>469378</v>
      </c>
      <c r="BP112" s="1">
        <v>85845</v>
      </c>
      <c r="BQ112" s="1">
        <v>0</v>
      </c>
      <c r="BR112" s="1">
        <v>0</v>
      </c>
      <c r="BS112" s="1">
        <v>0</v>
      </c>
      <c r="BT112" s="1">
        <v>49845</v>
      </c>
      <c r="BU112" s="1">
        <f>SUM(tblSection611[[#This Row],[LEA/District]:[ECSE]])</f>
        <v>605068</v>
      </c>
      <c r="BV112" s="1">
        <f>tblSection611[[#This Row],[Gross Total]]*0.15</f>
        <v>90760.2</v>
      </c>
      <c r="BW112" s="1"/>
      <c r="BY112" s="44">
        <v>1925</v>
      </c>
      <c r="BZ112" t="s">
        <v>132</v>
      </c>
      <c r="CA112" s="1">
        <v>2877</v>
      </c>
      <c r="CB112" s="1">
        <v>1308</v>
      </c>
      <c r="CC112" s="1">
        <v>0</v>
      </c>
      <c r="CD112" s="1">
        <v>0</v>
      </c>
      <c r="CE112" s="1">
        <v>0</v>
      </c>
      <c r="CF112" s="1">
        <v>9417</v>
      </c>
      <c r="CG112" s="1">
        <f>SUM(tblSection619[[#This Row],[LEA/District]:[ECSE]])</f>
        <v>13602</v>
      </c>
      <c r="CH112" s="1">
        <f>tblSection619[[#This Row],[Gross Total]]*0.15</f>
        <v>2040.3</v>
      </c>
    </row>
    <row r="113" spans="1:86" x14ac:dyDescent="0.35">
      <c r="A113" t="s">
        <v>133</v>
      </c>
      <c r="B113">
        <v>1898</v>
      </c>
      <c r="C113" t="s">
        <v>1528</v>
      </c>
      <c r="D113" s="44">
        <f>LEN(TblAgencies[[#This Row],[InstNm]])</f>
        <v>12</v>
      </c>
      <c r="E113" s="44" t="s">
        <v>1900</v>
      </c>
      <c r="F113" s="44" t="s">
        <v>1900</v>
      </c>
      <c r="G11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13" s="44"/>
      <c r="I113" s="44"/>
      <c r="J113" s="44"/>
      <c r="K113" s="44"/>
      <c r="M113" s="44"/>
      <c r="N113" s="44">
        <v>1898</v>
      </c>
      <c r="O113" t="s">
        <v>133</v>
      </c>
      <c r="P113" s="1">
        <v>71423.636149969971</v>
      </c>
      <c r="Q113" s="1">
        <v>21976.503430759989</v>
      </c>
      <c r="R113" s="1">
        <v>0</v>
      </c>
      <c r="S113" s="1">
        <v>0</v>
      </c>
      <c r="T113" s="1">
        <v>0</v>
      </c>
      <c r="U113" s="1">
        <v>0</v>
      </c>
      <c r="V113" s="1">
        <v>14651.002287173327</v>
      </c>
      <c r="W113" s="1">
        <v>71423.636149969971</v>
      </c>
      <c r="X113" s="1">
        <f>tblSection6111416[[#This Row],[Net Total]]*0.15</f>
        <v>10713.545422495496</v>
      </c>
      <c r="Y113" s="1"/>
      <c r="AA113" s="44">
        <v>1898</v>
      </c>
      <c r="AB113" t="s">
        <v>133</v>
      </c>
      <c r="AC113" s="1">
        <v>324.20767243047777</v>
      </c>
      <c r="AD113" s="1">
        <v>486.31150864571669</v>
      </c>
      <c r="AE113" s="1">
        <v>0</v>
      </c>
      <c r="AF113" s="1">
        <v>0</v>
      </c>
      <c r="AG113" s="1">
        <v>0</v>
      </c>
      <c r="AH113" s="1">
        <v>1296.8306897219113</v>
      </c>
      <c r="AI113" s="1">
        <v>324.20767243047771</v>
      </c>
      <c r="AJ113" s="1">
        <f>tblSection6191517[[#This Row],[Net Total]]*0.15</f>
        <v>48.631150864571659</v>
      </c>
      <c r="AK113" s="1"/>
      <c r="AM113" s="44"/>
      <c r="AN113" s="44">
        <v>1898</v>
      </c>
      <c r="AO113" t="s">
        <v>133</v>
      </c>
      <c r="AP113" s="247">
        <v>71423.636149969971</v>
      </c>
      <c r="AQ113" s="247">
        <v>21976.503430759989</v>
      </c>
      <c r="AR113" s="247">
        <v>0</v>
      </c>
      <c r="AS113" s="247">
        <v>0</v>
      </c>
      <c r="AT113" s="247">
        <v>0</v>
      </c>
      <c r="AU113" s="247">
        <v>0</v>
      </c>
      <c r="AV113" s="247">
        <v>12819.627001276662</v>
      </c>
      <c r="AW113" s="247">
        <v>106219.76658200662</v>
      </c>
      <c r="AX113" s="1">
        <f>tblSection61114[[#This Row],[Gross Total]]*0.15</f>
        <v>15932.964987300991</v>
      </c>
      <c r="AZ113" s="44">
        <v>1898</v>
      </c>
      <c r="BA113" t="s">
        <v>133</v>
      </c>
      <c r="BB113" s="247">
        <v>324.20767243047777</v>
      </c>
      <c r="BC113" s="247">
        <v>486.31150864571669</v>
      </c>
      <c r="BD113" s="247">
        <v>0</v>
      </c>
      <c r="BE113" s="247">
        <v>0</v>
      </c>
      <c r="BF113" s="247">
        <v>0</v>
      </c>
      <c r="BG113" s="247">
        <v>1134.7268535066723</v>
      </c>
      <c r="BH113" s="247">
        <v>1945.2460345828667</v>
      </c>
      <c r="BI113" s="1">
        <f>tblSection61915[[#This Row],[Gross Total]]*0.15</f>
        <v>291.78690518743002</v>
      </c>
      <c r="BJ113" s="44"/>
      <c r="BK113" s="246"/>
      <c r="BM113" s="44">
        <v>1898</v>
      </c>
      <c r="BN113" t="s">
        <v>133</v>
      </c>
      <c r="BO113" s="1">
        <v>62100</v>
      </c>
      <c r="BP113" s="1">
        <v>17466</v>
      </c>
      <c r="BQ113" s="1">
        <v>0</v>
      </c>
      <c r="BR113" s="1">
        <v>0</v>
      </c>
      <c r="BS113" s="1">
        <v>0</v>
      </c>
      <c r="BT113" s="1">
        <v>11644</v>
      </c>
      <c r="BU113" s="1">
        <f>SUM(tblSection611[[#This Row],[LEA/District]:[ECSE]])</f>
        <v>91210</v>
      </c>
      <c r="BV113" s="1">
        <f>tblSection611[[#This Row],[Gross Total]]*0.15</f>
        <v>13681.5</v>
      </c>
      <c r="BW113" s="1"/>
      <c r="BY113" s="44">
        <v>1898</v>
      </c>
      <c r="BZ113" t="s">
        <v>133</v>
      </c>
      <c r="CA113" s="1">
        <v>0</v>
      </c>
      <c r="CB113" s="1">
        <v>228</v>
      </c>
      <c r="CC113" s="1">
        <v>0</v>
      </c>
      <c r="CD113" s="1">
        <v>0</v>
      </c>
      <c r="CE113" s="1">
        <v>0</v>
      </c>
      <c r="CF113" s="1">
        <v>1366</v>
      </c>
      <c r="CG113" s="1">
        <f>SUM(tblSection619[[#This Row],[LEA/District]:[ECSE]])</f>
        <v>1594</v>
      </c>
      <c r="CH113" s="1">
        <f>tblSection619[[#This Row],[Gross Total]]*0.15</f>
        <v>239.1</v>
      </c>
    </row>
    <row r="114" spans="1:86" x14ac:dyDescent="0.35">
      <c r="A114" t="s">
        <v>134</v>
      </c>
      <c r="B114">
        <v>2010</v>
      </c>
      <c r="C114" t="s">
        <v>1528</v>
      </c>
      <c r="D114" s="44">
        <f>LEN(TblAgencies[[#This Row],[InstNm]])</f>
        <v>13</v>
      </c>
      <c r="E114" s="44" t="s">
        <v>1900</v>
      </c>
      <c r="F114" s="44" t="s">
        <v>1900</v>
      </c>
      <c r="G11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14" s="44"/>
      <c r="I114" s="44"/>
      <c r="J114" s="44"/>
      <c r="K114" s="44"/>
      <c r="M114" s="44"/>
      <c r="N114" s="44">
        <v>2010</v>
      </c>
      <c r="O114" t="s">
        <v>134</v>
      </c>
      <c r="P114" s="1">
        <v>10940.289479747811</v>
      </c>
      <c r="Q114" s="1">
        <v>5470.1447398739056</v>
      </c>
      <c r="R114" s="1">
        <v>0</v>
      </c>
      <c r="S114" s="1">
        <v>0</v>
      </c>
      <c r="T114" s="1">
        <v>0</v>
      </c>
      <c r="U114" s="1">
        <v>0</v>
      </c>
      <c r="V114" s="1">
        <v>0</v>
      </c>
      <c r="W114" s="1">
        <v>10940.289479747813</v>
      </c>
      <c r="X114" s="1">
        <f>tblSection6111416[[#This Row],[Net Total]]*0.15</f>
        <v>1641.0434219621718</v>
      </c>
      <c r="Y114" s="1"/>
      <c r="AA114" s="44">
        <v>2010</v>
      </c>
      <c r="AB114" t="s">
        <v>134</v>
      </c>
      <c r="AC114" s="1">
        <v>767.61836699381445</v>
      </c>
      <c r="AD114" s="1">
        <v>767.61836699381445</v>
      </c>
      <c r="AE114" s="1">
        <v>0</v>
      </c>
      <c r="AF114" s="1">
        <v>0</v>
      </c>
      <c r="AG114" s="1">
        <v>0</v>
      </c>
      <c r="AH114" s="1">
        <v>0</v>
      </c>
      <c r="AI114" s="1">
        <v>767.61836699381445</v>
      </c>
      <c r="AJ114" s="1">
        <f>tblSection6191517[[#This Row],[Net Total]]*0.15</f>
        <v>115.14275504907216</v>
      </c>
      <c r="AK114" s="1"/>
      <c r="AM114" s="44"/>
      <c r="AN114" s="44">
        <v>2010</v>
      </c>
      <c r="AO114" t="s">
        <v>134</v>
      </c>
      <c r="AP114" s="247">
        <v>10940.289479747811</v>
      </c>
      <c r="AQ114" s="247">
        <v>5470.1447398739056</v>
      </c>
      <c r="AR114" s="247">
        <v>0</v>
      </c>
      <c r="AS114" s="247">
        <v>0</v>
      </c>
      <c r="AT114" s="247">
        <v>0</v>
      </c>
      <c r="AU114" s="247">
        <v>0</v>
      </c>
      <c r="AV114" s="247">
        <v>0</v>
      </c>
      <c r="AW114" s="247">
        <v>16410.434219621719</v>
      </c>
      <c r="AX114" s="1">
        <f>tblSection61114[[#This Row],[Gross Total]]*0.15</f>
        <v>2461.5651329432576</v>
      </c>
      <c r="AZ114" s="44">
        <v>2010</v>
      </c>
      <c r="BA114" t="s">
        <v>134</v>
      </c>
      <c r="BB114" s="247">
        <v>767.61836699381445</v>
      </c>
      <c r="BC114" s="247">
        <v>767.61836699381445</v>
      </c>
      <c r="BD114" s="247">
        <v>0</v>
      </c>
      <c r="BE114" s="247">
        <v>0</v>
      </c>
      <c r="BF114" s="247">
        <v>0</v>
      </c>
      <c r="BG114" s="247">
        <v>0</v>
      </c>
      <c r="BH114" s="247">
        <v>1535.2367339876289</v>
      </c>
      <c r="BI114" s="1">
        <f>tblSection61915[[#This Row],[Gross Total]]*0.15</f>
        <v>230.28551009814433</v>
      </c>
      <c r="BJ114" s="44"/>
      <c r="BK114" s="246"/>
      <c r="BM114" s="44">
        <v>2010</v>
      </c>
      <c r="BN114" t="s">
        <v>134</v>
      </c>
      <c r="BO114" s="1">
        <v>8431</v>
      </c>
      <c r="BP114" s="1">
        <v>4215</v>
      </c>
      <c r="BQ114" s="1">
        <v>0</v>
      </c>
      <c r="BR114" s="1">
        <v>0</v>
      </c>
      <c r="BS114" s="1">
        <v>0</v>
      </c>
      <c r="BT114" s="1">
        <v>0</v>
      </c>
      <c r="BU114" s="1">
        <f>SUM(tblSection611[[#This Row],[LEA/District]:[ECSE]])</f>
        <v>12646</v>
      </c>
      <c r="BV114" s="1">
        <f>tblSection611[[#This Row],[Gross Total]]*0.15</f>
        <v>1896.8999999999999</v>
      </c>
      <c r="BW114" s="1"/>
      <c r="BY114" s="44">
        <v>2010</v>
      </c>
      <c r="BZ114" t="s">
        <v>134</v>
      </c>
      <c r="CA114" s="1">
        <v>1411</v>
      </c>
      <c r="CB114" s="1">
        <v>0</v>
      </c>
      <c r="CC114" s="1">
        <v>0</v>
      </c>
      <c r="CD114" s="1">
        <v>0</v>
      </c>
      <c r="CE114" s="1">
        <v>0</v>
      </c>
      <c r="CF114" s="1">
        <v>0</v>
      </c>
      <c r="CG114" s="1">
        <f>SUM(tblSection619[[#This Row],[LEA/District]:[ECSE]])</f>
        <v>1411</v>
      </c>
      <c r="CH114" s="1">
        <f>tblSection619[[#This Row],[Gross Total]]*0.15</f>
        <v>211.65</v>
      </c>
    </row>
    <row r="115" spans="1:86" x14ac:dyDescent="0.35">
      <c r="A115" t="s">
        <v>135</v>
      </c>
      <c r="B115">
        <v>2147</v>
      </c>
      <c r="C115" t="s">
        <v>1527</v>
      </c>
      <c r="D115" s="44">
        <f>LEN(TblAgencies[[#This Row],[InstNm]])</f>
        <v>11</v>
      </c>
      <c r="E115" s="44" t="s">
        <v>1900</v>
      </c>
      <c r="F115" s="44" t="s">
        <v>1900</v>
      </c>
      <c r="G11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15" s="44"/>
      <c r="I115" s="44"/>
      <c r="J115" s="44"/>
      <c r="K115" s="44"/>
      <c r="M115" s="44"/>
      <c r="N115" s="44">
        <v>2147</v>
      </c>
      <c r="O115" t="s">
        <v>135</v>
      </c>
      <c r="P115" s="1">
        <v>465755.064076023</v>
      </c>
      <c r="Q115" s="1">
        <v>78117.146822877272</v>
      </c>
      <c r="R115" s="1">
        <v>0</v>
      </c>
      <c r="S115" s="1">
        <v>0</v>
      </c>
      <c r="T115" s="1">
        <v>0</v>
      </c>
      <c r="U115" s="1">
        <v>0</v>
      </c>
      <c r="V115" s="1">
        <v>51586.7950717114</v>
      </c>
      <c r="W115" s="1">
        <v>465755.06407602306</v>
      </c>
      <c r="X115" s="1">
        <f>tblSection6111416[[#This Row],[Net Total]]*0.15</f>
        <v>69863.259611403453</v>
      </c>
      <c r="Y115" s="1"/>
      <c r="AA115" s="44">
        <v>2147</v>
      </c>
      <c r="AB115" t="s">
        <v>135</v>
      </c>
      <c r="AC115" s="1">
        <v>1368.1073463203636</v>
      </c>
      <c r="AD115" s="1">
        <v>608.04770947571717</v>
      </c>
      <c r="AE115" s="1">
        <v>0</v>
      </c>
      <c r="AF115" s="1">
        <v>0</v>
      </c>
      <c r="AG115" s="1">
        <v>0</v>
      </c>
      <c r="AH115" s="1">
        <v>5320.4174579125247</v>
      </c>
      <c r="AI115" s="1">
        <v>1368.1073463203638</v>
      </c>
      <c r="AJ115" s="1">
        <f>tblSection6191517[[#This Row],[Net Total]]*0.15</f>
        <v>205.21610194805456</v>
      </c>
      <c r="AK115" s="1"/>
      <c r="AM115" s="44"/>
      <c r="AN115" s="44">
        <v>2147</v>
      </c>
      <c r="AO115" t="s">
        <v>135</v>
      </c>
      <c r="AP115" s="247">
        <v>465755.064076023</v>
      </c>
      <c r="AQ115" s="247">
        <v>78117.146822877272</v>
      </c>
      <c r="AR115" s="247">
        <v>0</v>
      </c>
      <c r="AS115" s="247">
        <v>0</v>
      </c>
      <c r="AT115" s="247">
        <v>0</v>
      </c>
      <c r="AU115" s="247">
        <v>0</v>
      </c>
      <c r="AV115" s="247">
        <v>51586.7950717114</v>
      </c>
      <c r="AW115" s="247">
        <v>595459.0059706117</v>
      </c>
      <c r="AX115" s="1">
        <f>tblSection61114[[#This Row],[Gross Total]]*0.15</f>
        <v>89318.85089559175</v>
      </c>
      <c r="AZ115" s="44">
        <v>2147</v>
      </c>
      <c r="BA115" t="s">
        <v>135</v>
      </c>
      <c r="BB115" s="247">
        <v>1368.1073463203636</v>
      </c>
      <c r="BC115" s="247">
        <v>608.04770947571717</v>
      </c>
      <c r="BD115" s="247">
        <v>0</v>
      </c>
      <c r="BE115" s="247">
        <v>0</v>
      </c>
      <c r="BF115" s="247">
        <v>0</v>
      </c>
      <c r="BG115" s="247">
        <v>5320.4174579125247</v>
      </c>
      <c r="BH115" s="247">
        <v>7296.5725137086056</v>
      </c>
      <c r="BI115" s="1">
        <f>tblSection61915[[#This Row],[Gross Total]]*0.15</f>
        <v>1094.4858770562907</v>
      </c>
      <c r="BJ115" s="44"/>
      <c r="BK115" s="246"/>
      <c r="BM115" s="44">
        <v>2147</v>
      </c>
      <c r="BN115" t="s">
        <v>135</v>
      </c>
      <c r="BO115" s="1">
        <v>374929</v>
      </c>
      <c r="BP115" s="1">
        <v>41917</v>
      </c>
      <c r="BQ115" s="1">
        <v>0</v>
      </c>
      <c r="BR115" s="1">
        <v>0</v>
      </c>
      <c r="BS115" s="1">
        <v>0</v>
      </c>
      <c r="BT115" s="1">
        <v>39589</v>
      </c>
      <c r="BU115" s="1">
        <f>SUM(tblSection611[[#This Row],[LEA/District]:[ECSE]])</f>
        <v>456435</v>
      </c>
      <c r="BV115" s="1">
        <f>tblSection611[[#This Row],[Gross Total]]*0.15</f>
        <v>68465.25</v>
      </c>
      <c r="BW115" s="1"/>
      <c r="BY115" s="44">
        <v>2147</v>
      </c>
      <c r="BZ115" t="s">
        <v>135</v>
      </c>
      <c r="CA115" s="1">
        <v>1865</v>
      </c>
      <c r="CB115" s="1">
        <v>0</v>
      </c>
      <c r="CC115" s="1">
        <v>0</v>
      </c>
      <c r="CD115" s="1">
        <v>0</v>
      </c>
      <c r="CE115" s="1">
        <v>0</v>
      </c>
      <c r="CF115" s="1">
        <v>4530</v>
      </c>
      <c r="CG115" s="1">
        <f>SUM(tblSection619[[#This Row],[LEA/District]:[ECSE]])</f>
        <v>6395</v>
      </c>
      <c r="CH115" s="1">
        <f>tblSection619[[#This Row],[Gross Total]]*0.15</f>
        <v>959.25</v>
      </c>
    </row>
    <row r="116" spans="1:86" x14ac:dyDescent="0.35">
      <c r="A116" t="s">
        <v>136</v>
      </c>
      <c r="B116">
        <v>2145</v>
      </c>
      <c r="C116" t="s">
        <v>1528</v>
      </c>
      <c r="D116" s="44">
        <f>LEN(TblAgencies[[#This Row],[InstNm]])</f>
        <v>14</v>
      </c>
      <c r="E116" s="44" t="s">
        <v>1900</v>
      </c>
      <c r="F116" s="44" t="s">
        <v>1900</v>
      </c>
      <c r="G11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16" s="44"/>
      <c r="I116" s="44"/>
      <c r="J116" s="44"/>
      <c r="K116" s="44"/>
      <c r="M116" s="44"/>
      <c r="N116" s="44">
        <v>2145</v>
      </c>
      <c r="O116" t="s">
        <v>136</v>
      </c>
      <c r="P116" s="1">
        <v>154334.34751037223</v>
      </c>
      <c r="Q116" s="1">
        <v>23329.610670172544</v>
      </c>
      <c r="R116" s="1">
        <v>0</v>
      </c>
      <c r="S116" s="1">
        <v>0</v>
      </c>
      <c r="T116" s="1">
        <v>0</v>
      </c>
      <c r="U116" s="1">
        <v>0</v>
      </c>
      <c r="V116" s="1">
        <v>12562.098053169833</v>
      </c>
      <c r="W116" s="1">
        <v>154334.34751037223</v>
      </c>
      <c r="X116" s="1">
        <f>tblSection6111416[[#This Row],[Net Total]]*0.15</f>
        <v>23150.152126555833</v>
      </c>
      <c r="Y116" s="1"/>
      <c r="AA116" s="44">
        <v>2145</v>
      </c>
      <c r="AB116" t="s">
        <v>136</v>
      </c>
      <c r="AC116" s="1">
        <v>380.08906729552604</v>
      </c>
      <c r="AD116" s="1">
        <v>2280.5344037731556</v>
      </c>
      <c r="AE116" s="1">
        <v>0</v>
      </c>
      <c r="AF116" s="1">
        <v>0</v>
      </c>
      <c r="AG116" s="1">
        <v>0</v>
      </c>
      <c r="AH116" s="1">
        <v>2660.6234710686822</v>
      </c>
      <c r="AI116" s="1">
        <v>380.08906729552655</v>
      </c>
      <c r="AJ116" s="1">
        <f>tblSection6191517[[#This Row],[Net Total]]*0.15</f>
        <v>57.013360094328981</v>
      </c>
      <c r="AK116" s="1"/>
      <c r="AM116" s="44"/>
      <c r="AN116" s="44">
        <v>2145</v>
      </c>
      <c r="AO116" t="s">
        <v>136</v>
      </c>
      <c r="AP116" s="247">
        <v>154334.34751037223</v>
      </c>
      <c r="AQ116" s="247">
        <v>23329.610670172544</v>
      </c>
      <c r="AR116" s="247">
        <v>0</v>
      </c>
      <c r="AS116" s="247">
        <v>0</v>
      </c>
      <c r="AT116" s="247">
        <v>0</v>
      </c>
      <c r="AU116" s="247">
        <v>0</v>
      </c>
      <c r="AV116" s="247">
        <v>5383.7563085013571</v>
      </c>
      <c r="AW116" s="247">
        <v>183047.71448904613</v>
      </c>
      <c r="AX116" s="1">
        <f>tblSection61114[[#This Row],[Gross Total]]*0.15</f>
        <v>27457.157173356918</v>
      </c>
      <c r="AZ116" s="44">
        <v>2145</v>
      </c>
      <c r="BA116" t="s">
        <v>136</v>
      </c>
      <c r="BB116" s="247">
        <v>380.08906729552604</v>
      </c>
      <c r="BC116" s="247">
        <v>2280.5344037731556</v>
      </c>
      <c r="BD116" s="247">
        <v>0</v>
      </c>
      <c r="BE116" s="247">
        <v>0</v>
      </c>
      <c r="BF116" s="247">
        <v>0</v>
      </c>
      <c r="BG116" s="247">
        <v>1140.2672018865778</v>
      </c>
      <c r="BH116" s="247">
        <v>3800.8906729552596</v>
      </c>
      <c r="BI116" s="1">
        <f>tblSection61915[[#This Row],[Gross Total]]*0.15</f>
        <v>570.13360094328891</v>
      </c>
      <c r="BJ116" s="44"/>
      <c r="BK116" s="246"/>
      <c r="BM116" s="44">
        <v>2145</v>
      </c>
      <c r="BN116" t="s">
        <v>136</v>
      </c>
      <c r="BO116" s="1">
        <v>138109</v>
      </c>
      <c r="BP116" s="1">
        <v>8968</v>
      </c>
      <c r="BQ116" s="1">
        <v>0</v>
      </c>
      <c r="BR116" s="1">
        <v>0</v>
      </c>
      <c r="BS116" s="1">
        <v>0</v>
      </c>
      <c r="BT116" s="1">
        <v>7174</v>
      </c>
      <c r="BU116" s="1">
        <f>SUM(tblSection611[[#This Row],[LEA/District]:[ECSE]])</f>
        <v>154251</v>
      </c>
      <c r="BV116" s="1">
        <f>tblSection611[[#This Row],[Gross Total]]*0.15</f>
        <v>23137.649999999998</v>
      </c>
      <c r="BW116" s="1"/>
      <c r="BY116" s="44">
        <v>2145</v>
      </c>
      <c r="BZ116" t="s">
        <v>136</v>
      </c>
      <c r="CA116" s="1">
        <v>0</v>
      </c>
      <c r="CB116" s="1">
        <v>0</v>
      </c>
      <c r="CC116" s="1">
        <v>0</v>
      </c>
      <c r="CD116" s="1">
        <v>0</v>
      </c>
      <c r="CE116" s="1">
        <v>0</v>
      </c>
      <c r="CF116" s="1">
        <v>3588</v>
      </c>
      <c r="CG116" s="1">
        <f>SUM(tblSection619[[#This Row],[LEA/District]:[ECSE]])</f>
        <v>3588</v>
      </c>
      <c r="CH116" s="1">
        <f>tblSection619[[#This Row],[Gross Total]]*0.15</f>
        <v>538.19999999999993</v>
      </c>
    </row>
    <row r="117" spans="1:86" x14ac:dyDescent="0.35">
      <c r="A117" t="s">
        <v>137</v>
      </c>
      <c r="B117">
        <v>1968</v>
      </c>
      <c r="C117" t="s">
        <v>1528</v>
      </c>
      <c r="D117" s="44">
        <f>LEN(TblAgencies[[#This Row],[InstNm]])</f>
        <v>18</v>
      </c>
      <c r="E117" s="44" t="s">
        <v>1900</v>
      </c>
      <c r="F117" s="44" t="s">
        <v>1900</v>
      </c>
      <c r="G11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17" s="44"/>
      <c r="I117" s="44"/>
      <c r="J117" s="44"/>
      <c r="K117" s="44"/>
      <c r="M117" s="44"/>
      <c r="N117" s="44">
        <v>1968</v>
      </c>
      <c r="O117" t="s">
        <v>137</v>
      </c>
      <c r="P117" s="1">
        <v>159672.12241841626</v>
      </c>
      <c r="Q117" s="1">
        <v>12773.769793473302</v>
      </c>
      <c r="R117" s="1">
        <v>0</v>
      </c>
      <c r="S117" s="1">
        <v>0</v>
      </c>
      <c r="T117" s="1">
        <v>0</v>
      </c>
      <c r="U117" s="1">
        <v>0</v>
      </c>
      <c r="V117" s="1">
        <v>8515.8465289822016</v>
      </c>
      <c r="W117" s="1">
        <v>159672.12241841626</v>
      </c>
      <c r="X117" s="1">
        <f>tblSection6111416[[#This Row],[Net Total]]*0.15</f>
        <v>23950.818362762438</v>
      </c>
      <c r="Y117" s="1"/>
      <c r="AA117" s="44">
        <v>1968</v>
      </c>
      <c r="AB117" t="s">
        <v>137</v>
      </c>
      <c r="AC117" s="1">
        <v>2302.8551009814432</v>
      </c>
      <c r="AD117" s="1">
        <v>767.61836699381445</v>
      </c>
      <c r="AE117" s="1">
        <v>0</v>
      </c>
      <c r="AF117" s="1">
        <v>0</v>
      </c>
      <c r="AG117" s="1">
        <v>0</v>
      </c>
      <c r="AH117" s="1">
        <v>3070.4734679752578</v>
      </c>
      <c r="AI117" s="1">
        <v>2302.8551009814432</v>
      </c>
      <c r="AJ117" s="1">
        <f>tblSection6191517[[#This Row],[Net Total]]*0.15</f>
        <v>345.42826514721645</v>
      </c>
      <c r="AK117" s="1"/>
      <c r="AM117" s="44"/>
      <c r="AN117" s="44">
        <v>1968</v>
      </c>
      <c r="AO117" t="s">
        <v>137</v>
      </c>
      <c r="AP117" s="247">
        <v>159672.12241841626</v>
      </c>
      <c r="AQ117" s="247">
        <v>12773.769793473302</v>
      </c>
      <c r="AR117" s="247">
        <v>0</v>
      </c>
      <c r="AS117" s="247">
        <v>0</v>
      </c>
      <c r="AT117" s="247">
        <v>0</v>
      </c>
      <c r="AU117" s="247">
        <v>0</v>
      </c>
      <c r="AV117" s="247">
        <v>8515.8465289822016</v>
      </c>
      <c r="AW117" s="247">
        <v>180961.73874087175</v>
      </c>
      <c r="AX117" s="1">
        <f>tblSection61114[[#This Row],[Gross Total]]*0.15</f>
        <v>27144.26081113076</v>
      </c>
      <c r="AZ117" s="44">
        <v>1968</v>
      </c>
      <c r="BA117" t="s">
        <v>137</v>
      </c>
      <c r="BB117" s="247">
        <v>2302.8551009814432</v>
      </c>
      <c r="BC117" s="247">
        <v>767.61836699381445</v>
      </c>
      <c r="BD117" s="247">
        <v>0</v>
      </c>
      <c r="BE117" s="247">
        <v>0</v>
      </c>
      <c r="BF117" s="247">
        <v>0</v>
      </c>
      <c r="BG117" s="247">
        <v>3070.4734679752578</v>
      </c>
      <c r="BH117" s="247">
        <v>6140.9469359505156</v>
      </c>
      <c r="BI117" s="1">
        <f>tblSection61915[[#This Row],[Gross Total]]*0.15</f>
        <v>921.14204039257731</v>
      </c>
      <c r="BJ117" s="44"/>
      <c r="BK117" s="246"/>
      <c r="BM117" s="44">
        <v>1968</v>
      </c>
      <c r="BN117" t="s">
        <v>137</v>
      </c>
      <c r="BO117" s="1">
        <v>133234</v>
      </c>
      <c r="BP117" s="1">
        <v>10409</v>
      </c>
      <c r="BQ117" s="1">
        <v>0</v>
      </c>
      <c r="BR117" s="1">
        <v>0</v>
      </c>
      <c r="BS117" s="1">
        <v>0</v>
      </c>
      <c r="BT117" s="1">
        <v>12491</v>
      </c>
      <c r="BU117" s="1">
        <f>SUM(tblSection611[[#This Row],[LEA/District]:[ECSE]])</f>
        <v>156134</v>
      </c>
      <c r="BV117" s="1">
        <f>tblSection611[[#This Row],[Gross Total]]*0.15</f>
        <v>23420.1</v>
      </c>
      <c r="BW117" s="1"/>
      <c r="BY117" s="44">
        <v>1968</v>
      </c>
      <c r="BZ117" t="s">
        <v>137</v>
      </c>
      <c r="CA117" s="1">
        <v>2651</v>
      </c>
      <c r="CB117" s="1">
        <v>0</v>
      </c>
      <c r="CC117" s="1">
        <v>0</v>
      </c>
      <c r="CD117" s="1">
        <v>0</v>
      </c>
      <c r="CE117" s="1">
        <v>0</v>
      </c>
      <c r="CF117" s="1">
        <v>3182</v>
      </c>
      <c r="CG117" s="1">
        <f>SUM(tblSection619[[#This Row],[LEA/District]:[ECSE]])</f>
        <v>5833</v>
      </c>
      <c r="CH117" s="1">
        <f>tblSection619[[#This Row],[Gross Total]]*0.15</f>
        <v>874.94999999999993</v>
      </c>
    </row>
    <row r="118" spans="1:86" x14ac:dyDescent="0.35">
      <c r="A118" t="s">
        <v>138</v>
      </c>
      <c r="B118">
        <v>2198</v>
      </c>
      <c r="C118" t="s">
        <v>1528</v>
      </c>
      <c r="D118" s="44">
        <f>LEN(TblAgencies[[#This Row],[InstNm]])</f>
        <v>18</v>
      </c>
      <c r="E118" s="44" t="s">
        <v>1900</v>
      </c>
      <c r="F118" s="44" t="s">
        <v>1900</v>
      </c>
      <c r="G11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18" s="44"/>
      <c r="I118" s="44"/>
      <c r="J118" s="44"/>
      <c r="K118" s="44"/>
      <c r="M118" s="44"/>
      <c r="N118" s="44">
        <v>2198</v>
      </c>
      <c r="O118" t="s">
        <v>138</v>
      </c>
      <c r="P118" s="1">
        <v>150644.40223111806</v>
      </c>
      <c r="Q118" s="1">
        <v>29436.26250493111</v>
      </c>
      <c r="R118" s="1">
        <v>0</v>
      </c>
      <c r="S118" s="1">
        <v>0</v>
      </c>
      <c r="T118" s="1">
        <v>0</v>
      </c>
      <c r="U118" s="1">
        <v>0</v>
      </c>
      <c r="V118" s="1">
        <v>13852.358825849935</v>
      </c>
      <c r="W118" s="1">
        <v>150644.40223111803</v>
      </c>
      <c r="X118" s="1">
        <f>tblSection6111416[[#This Row],[Net Total]]*0.15</f>
        <v>22596.660334667704</v>
      </c>
      <c r="Y118" s="1"/>
      <c r="AA118" s="44">
        <v>2198</v>
      </c>
      <c r="AB118" t="s">
        <v>138</v>
      </c>
      <c r="AC118" s="1">
        <v>1244.5897592139127</v>
      </c>
      <c r="AD118" s="1">
        <v>622.29487960695633</v>
      </c>
      <c r="AE118" s="1">
        <v>0</v>
      </c>
      <c r="AF118" s="1">
        <v>0</v>
      </c>
      <c r="AG118" s="1">
        <v>0</v>
      </c>
      <c r="AH118" s="1">
        <v>4978.3590368556506</v>
      </c>
      <c r="AI118" s="1">
        <v>1244.5897592139136</v>
      </c>
      <c r="AJ118" s="1">
        <f>tblSection6191517[[#This Row],[Net Total]]*0.15</f>
        <v>186.68846388208704</v>
      </c>
      <c r="AK118" s="1"/>
      <c r="AM118" s="44"/>
      <c r="AN118" s="44">
        <v>2198</v>
      </c>
      <c r="AO118" t="s">
        <v>138</v>
      </c>
      <c r="AP118" s="247">
        <v>150644.40223111806</v>
      </c>
      <c r="AQ118" s="247">
        <v>29436.26250493111</v>
      </c>
      <c r="AR118" s="247">
        <v>0</v>
      </c>
      <c r="AS118" s="247">
        <v>0</v>
      </c>
      <c r="AT118" s="247">
        <v>0</v>
      </c>
      <c r="AU118" s="247">
        <v>0</v>
      </c>
      <c r="AV118" s="247">
        <v>12120.813972618693</v>
      </c>
      <c r="AW118" s="247">
        <v>192201.47870866786</v>
      </c>
      <c r="AX118" s="1">
        <f>tblSection61114[[#This Row],[Gross Total]]*0.15</f>
        <v>28830.221806300178</v>
      </c>
      <c r="AZ118" s="44">
        <v>2198</v>
      </c>
      <c r="BA118" t="s">
        <v>138</v>
      </c>
      <c r="BB118" s="247">
        <v>1244.5897592139127</v>
      </c>
      <c r="BC118" s="247">
        <v>622.29487960695633</v>
      </c>
      <c r="BD118" s="247">
        <v>0</v>
      </c>
      <c r="BE118" s="247">
        <v>0</v>
      </c>
      <c r="BF118" s="247">
        <v>0</v>
      </c>
      <c r="BG118" s="247">
        <v>4356.0641572486938</v>
      </c>
      <c r="BH118" s="247">
        <v>6222.9487960695624</v>
      </c>
      <c r="BI118" s="1">
        <f>tblSection61915[[#This Row],[Gross Total]]*0.15</f>
        <v>933.44231941043427</v>
      </c>
      <c r="BJ118" s="44"/>
      <c r="BK118" s="246"/>
      <c r="BM118" s="44">
        <v>2198</v>
      </c>
      <c r="BN118" t="s">
        <v>138</v>
      </c>
      <c r="BO118" s="1">
        <v>125671</v>
      </c>
      <c r="BP118" s="1">
        <v>33406</v>
      </c>
      <c r="BQ118" s="1">
        <v>0</v>
      </c>
      <c r="BR118" s="1">
        <v>0</v>
      </c>
      <c r="BS118" s="1">
        <v>0</v>
      </c>
      <c r="BT118" s="1">
        <v>7954</v>
      </c>
      <c r="BU118" s="1">
        <f>SUM(tblSection611[[#This Row],[LEA/District]:[ECSE]])</f>
        <v>167031</v>
      </c>
      <c r="BV118" s="1">
        <f>tblSection611[[#This Row],[Gross Total]]*0.15</f>
        <v>25054.649999999998</v>
      </c>
      <c r="BW118" s="1"/>
      <c r="BY118" s="44">
        <v>2198</v>
      </c>
      <c r="BZ118" t="s">
        <v>138</v>
      </c>
      <c r="CA118" s="1">
        <v>2232</v>
      </c>
      <c r="CB118" s="1">
        <v>0</v>
      </c>
      <c r="CC118" s="1">
        <v>0</v>
      </c>
      <c r="CD118" s="1">
        <v>0</v>
      </c>
      <c r="CE118" s="1">
        <v>0</v>
      </c>
      <c r="CF118" s="1">
        <v>3720</v>
      </c>
      <c r="CG118" s="1">
        <f>SUM(tblSection619[[#This Row],[LEA/District]:[ECSE]])</f>
        <v>5952</v>
      </c>
      <c r="CH118" s="1">
        <f>tblSection619[[#This Row],[Gross Total]]*0.15</f>
        <v>892.8</v>
      </c>
    </row>
    <row r="119" spans="1:86" x14ac:dyDescent="0.35">
      <c r="A119" t="s">
        <v>139</v>
      </c>
      <c r="B119">
        <v>2199</v>
      </c>
      <c r="C119" t="s">
        <v>1528</v>
      </c>
      <c r="D119" s="44">
        <f>LEN(TblAgencies[[#This Row],[InstNm]])</f>
        <v>23</v>
      </c>
      <c r="E119" s="44" t="s">
        <v>1900</v>
      </c>
      <c r="F119" s="44" t="s">
        <v>1900</v>
      </c>
      <c r="G11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19" s="44"/>
      <c r="I119" s="44"/>
      <c r="J119" s="44"/>
      <c r="K119" s="44"/>
      <c r="M119" s="44"/>
      <c r="N119" s="44">
        <v>2199</v>
      </c>
      <c r="O119" t="s">
        <v>139</v>
      </c>
      <c r="P119" s="1">
        <v>122458.48035239695</v>
      </c>
      <c r="Q119" s="1">
        <v>16060.128570806159</v>
      </c>
      <c r="R119" s="1">
        <v>2007.5160713507698</v>
      </c>
      <c r="S119" s="1">
        <v>0</v>
      </c>
      <c r="T119" s="1">
        <v>0</v>
      </c>
      <c r="U119" s="1">
        <v>0</v>
      </c>
      <c r="V119" s="1">
        <v>2007.5160713507698</v>
      </c>
      <c r="W119" s="1">
        <v>122458.48035239697</v>
      </c>
      <c r="X119" s="1">
        <f>tblSection6111416[[#This Row],[Net Total]]*0.15</f>
        <v>18368.772052859546</v>
      </c>
      <c r="Y119" s="1"/>
      <c r="AA119" s="44">
        <v>2199</v>
      </c>
      <c r="AB119" t="s">
        <v>139</v>
      </c>
      <c r="AC119" s="1">
        <v>0</v>
      </c>
      <c r="AD119" s="1">
        <v>0</v>
      </c>
      <c r="AE119" s="1">
        <v>0</v>
      </c>
      <c r="AF119" s="1">
        <v>0</v>
      </c>
      <c r="AG119" s="1">
        <v>0</v>
      </c>
      <c r="AH119" s="1">
        <v>3916.2939270424063</v>
      </c>
      <c r="AI119" s="1">
        <v>0</v>
      </c>
      <c r="AJ119" s="1">
        <f>tblSection6191517[[#This Row],[Net Total]]*0.15</f>
        <v>0</v>
      </c>
      <c r="AK119" s="1"/>
      <c r="AM119" s="44"/>
      <c r="AN119" s="44">
        <v>2199</v>
      </c>
      <c r="AO119" t="s">
        <v>139</v>
      </c>
      <c r="AP119" s="247">
        <v>122458.48035239695</v>
      </c>
      <c r="AQ119" s="247">
        <v>16060.128570806159</v>
      </c>
      <c r="AR119" s="247">
        <v>2007.5160713507698</v>
      </c>
      <c r="AS119" s="247">
        <v>0</v>
      </c>
      <c r="AT119" s="247">
        <v>0</v>
      </c>
      <c r="AU119" s="247">
        <v>0</v>
      </c>
      <c r="AV119" s="247">
        <v>2007.5160713507698</v>
      </c>
      <c r="AW119" s="247">
        <v>142533.64106590467</v>
      </c>
      <c r="AX119" s="1">
        <f>tblSection61114[[#This Row],[Gross Total]]*0.15</f>
        <v>21380.0461598857</v>
      </c>
      <c r="AZ119" s="44">
        <v>2199</v>
      </c>
      <c r="BA119" t="s">
        <v>139</v>
      </c>
      <c r="BB119" s="247">
        <v>0</v>
      </c>
      <c r="BC119" s="247">
        <v>0</v>
      </c>
      <c r="BD119" s="247">
        <v>0</v>
      </c>
      <c r="BE119" s="247">
        <v>0</v>
      </c>
      <c r="BF119" s="247">
        <v>0</v>
      </c>
      <c r="BG119" s="247">
        <v>3916.2939270424063</v>
      </c>
      <c r="BH119" s="247">
        <v>3916.2939270424063</v>
      </c>
      <c r="BI119" s="1">
        <f>tblSection61915[[#This Row],[Gross Total]]*0.15</f>
        <v>587.44408905636089</v>
      </c>
      <c r="BJ119" s="44"/>
      <c r="BK119" s="246"/>
      <c r="BM119" s="44">
        <v>2199</v>
      </c>
      <c r="BN119" t="s">
        <v>139</v>
      </c>
      <c r="BO119" s="1">
        <v>102615</v>
      </c>
      <c r="BP119" s="1">
        <v>16551</v>
      </c>
      <c r="BQ119" s="1">
        <v>0</v>
      </c>
      <c r="BR119" s="1">
        <v>0</v>
      </c>
      <c r="BS119" s="1">
        <v>0</v>
      </c>
      <c r="BT119" s="1">
        <v>13241</v>
      </c>
      <c r="BU119" s="1">
        <f>SUM(tblSection611[[#This Row],[LEA/District]:[ECSE]])</f>
        <v>132407</v>
      </c>
      <c r="BV119" s="1">
        <f>tblSection611[[#This Row],[Gross Total]]*0.15</f>
        <v>19861.05</v>
      </c>
      <c r="BW119" s="1"/>
      <c r="BY119" s="44">
        <v>2199</v>
      </c>
      <c r="BZ119" t="s">
        <v>139</v>
      </c>
      <c r="CA119" s="1">
        <v>796</v>
      </c>
      <c r="CB119" s="1">
        <v>0</v>
      </c>
      <c r="CC119" s="1">
        <v>0</v>
      </c>
      <c r="CD119" s="1">
        <v>0</v>
      </c>
      <c r="CE119" s="1">
        <v>0</v>
      </c>
      <c r="CF119" s="1">
        <v>3184</v>
      </c>
      <c r="CG119" s="1">
        <f>SUM(tblSection619[[#This Row],[LEA/District]:[ECSE]])</f>
        <v>3980</v>
      </c>
      <c r="CH119" s="1">
        <f>tblSection619[[#This Row],[Gross Total]]*0.15</f>
        <v>597</v>
      </c>
    </row>
    <row r="120" spans="1:86" x14ac:dyDescent="0.35">
      <c r="A120" t="s">
        <v>140</v>
      </c>
      <c r="B120">
        <v>2254</v>
      </c>
      <c r="C120" t="s">
        <v>1528</v>
      </c>
      <c r="D120" s="44">
        <f>LEN(TblAgencies[[#This Row],[InstNm]])</f>
        <v>14</v>
      </c>
      <c r="E120" s="44" t="s">
        <v>1900</v>
      </c>
      <c r="F120" s="44" t="s">
        <v>1900</v>
      </c>
      <c r="G12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20" s="44"/>
      <c r="I120" s="44"/>
      <c r="J120" s="44"/>
      <c r="K120" s="44"/>
      <c r="M120" s="44"/>
      <c r="N120" s="44">
        <v>2254</v>
      </c>
      <c r="O120" t="s">
        <v>140</v>
      </c>
      <c r="P120" s="1">
        <v>878827.04989144136</v>
      </c>
      <c r="Q120" s="1">
        <v>220962.22968699102</v>
      </c>
      <c r="R120" s="1">
        <v>1673.9562855075076</v>
      </c>
      <c r="S120" s="1">
        <v>0</v>
      </c>
      <c r="T120" s="1">
        <v>0</v>
      </c>
      <c r="U120" s="1">
        <v>0</v>
      </c>
      <c r="V120" s="1">
        <v>80349.901704360353</v>
      </c>
      <c r="W120" s="1">
        <v>878827.04989144125</v>
      </c>
      <c r="X120" s="1">
        <f>tblSection6111416[[#This Row],[Net Total]]*0.15</f>
        <v>131824.05748371617</v>
      </c>
      <c r="Y120" s="1"/>
      <c r="AA120" s="44">
        <v>2254</v>
      </c>
      <c r="AB120" t="s">
        <v>140</v>
      </c>
      <c r="AC120" s="1">
        <v>7370.791025787772</v>
      </c>
      <c r="AD120" s="1">
        <v>5768.4451506165169</v>
      </c>
      <c r="AE120" s="1">
        <v>0</v>
      </c>
      <c r="AF120" s="1">
        <v>0</v>
      </c>
      <c r="AG120" s="1">
        <v>0</v>
      </c>
      <c r="AH120" s="1">
        <v>15382.520401644046</v>
      </c>
      <c r="AI120" s="1">
        <v>7370.7910257877738</v>
      </c>
      <c r="AJ120" s="1">
        <f>tblSection6191517[[#This Row],[Net Total]]*0.15</f>
        <v>1105.6186538681661</v>
      </c>
      <c r="AK120" s="1"/>
      <c r="AM120" s="44"/>
      <c r="AN120" s="44">
        <v>2254</v>
      </c>
      <c r="AO120" t="s">
        <v>140</v>
      </c>
      <c r="AP120" s="247">
        <v>878827.04989144136</v>
      </c>
      <c r="AQ120" s="247">
        <v>220962.22968699102</v>
      </c>
      <c r="AR120" s="247">
        <v>1673.9562855075076</v>
      </c>
      <c r="AS120" s="247">
        <v>0</v>
      </c>
      <c r="AT120" s="247">
        <v>0</v>
      </c>
      <c r="AU120" s="247">
        <v>0</v>
      </c>
      <c r="AV120" s="247">
        <v>61936.382563777777</v>
      </c>
      <c r="AW120" s="247">
        <v>1163399.6184277176</v>
      </c>
      <c r="AX120" s="1">
        <f>tblSection61114[[#This Row],[Gross Total]]*0.15</f>
        <v>174509.94276415763</v>
      </c>
      <c r="AZ120" s="44">
        <v>2254</v>
      </c>
      <c r="BA120" t="s">
        <v>140</v>
      </c>
      <c r="BB120" s="247">
        <v>7370.791025787772</v>
      </c>
      <c r="BC120" s="247">
        <v>5768.4451506165169</v>
      </c>
      <c r="BD120" s="247">
        <v>0</v>
      </c>
      <c r="BE120" s="247">
        <v>0</v>
      </c>
      <c r="BF120" s="247">
        <v>0</v>
      </c>
      <c r="BG120" s="247">
        <v>11857.359476267286</v>
      </c>
      <c r="BH120" s="247">
        <v>24996.595652671574</v>
      </c>
      <c r="BI120" s="1">
        <f>tblSection61915[[#This Row],[Gross Total]]*0.15</f>
        <v>3749.489347900736</v>
      </c>
      <c r="BJ120" s="44"/>
      <c r="BK120" s="246"/>
      <c r="BM120" s="44">
        <v>2254</v>
      </c>
      <c r="BN120" t="s">
        <v>140</v>
      </c>
      <c r="BO120" s="1">
        <v>775679</v>
      </c>
      <c r="BP120" s="1">
        <v>162318</v>
      </c>
      <c r="BQ120" s="1">
        <v>1436</v>
      </c>
      <c r="BR120" s="1">
        <v>0</v>
      </c>
      <c r="BS120" s="1">
        <v>0</v>
      </c>
      <c r="BT120" s="1">
        <v>74695</v>
      </c>
      <c r="BU120" s="1">
        <f>SUM(tblSection611[[#This Row],[LEA/District]:[ECSE]])</f>
        <v>1014128</v>
      </c>
      <c r="BV120" s="1">
        <f>tblSection611[[#This Row],[Gross Total]]*0.15</f>
        <v>152119.19999999998</v>
      </c>
      <c r="BW120" s="1"/>
      <c r="BY120" s="44">
        <v>2254</v>
      </c>
      <c r="BZ120" t="s">
        <v>140</v>
      </c>
      <c r="CA120" s="1">
        <v>7592</v>
      </c>
      <c r="CB120" s="1">
        <v>0</v>
      </c>
      <c r="CC120" s="1">
        <v>0</v>
      </c>
      <c r="CD120" s="1">
        <v>0</v>
      </c>
      <c r="CE120" s="1">
        <v>0</v>
      </c>
      <c r="CF120" s="1">
        <v>15792</v>
      </c>
      <c r="CG120" s="1">
        <f>SUM(tblSection619[[#This Row],[LEA/District]:[ECSE]])</f>
        <v>23384</v>
      </c>
      <c r="CH120" s="1">
        <f>tblSection619[[#This Row],[Gross Total]]*0.15</f>
        <v>3507.6</v>
      </c>
    </row>
    <row r="121" spans="1:86" x14ac:dyDescent="0.35">
      <c r="A121" t="s">
        <v>141</v>
      </c>
      <c r="B121">
        <v>1966</v>
      </c>
      <c r="C121" t="s">
        <v>1528</v>
      </c>
      <c r="D121" s="44">
        <f>LEN(TblAgencies[[#This Row],[InstNm]])</f>
        <v>16</v>
      </c>
      <c r="E121" s="44" t="s">
        <v>1900</v>
      </c>
      <c r="F121" s="44" t="s">
        <v>1900</v>
      </c>
      <c r="G12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21" s="44"/>
      <c r="I121" s="44"/>
      <c r="J121" s="44"/>
      <c r="K121" s="44"/>
      <c r="M121" s="44"/>
      <c r="N121" s="44">
        <v>1966</v>
      </c>
      <c r="O121" t="s">
        <v>141</v>
      </c>
      <c r="P121" s="1">
        <v>744292.69307222415</v>
      </c>
      <c r="Q121" s="1">
        <v>148858.53861444478</v>
      </c>
      <c r="R121" s="1">
        <v>0</v>
      </c>
      <c r="S121" s="1">
        <v>7918.0073731087668</v>
      </c>
      <c r="T121" s="1">
        <v>0</v>
      </c>
      <c r="U121" s="1">
        <v>0</v>
      </c>
      <c r="V121" s="1">
        <v>41173.638340165584</v>
      </c>
      <c r="W121" s="1">
        <v>744292.69307222415</v>
      </c>
      <c r="X121" s="1">
        <f>tblSection6111416[[#This Row],[Net Total]]*0.15</f>
        <v>111643.90396083362</v>
      </c>
      <c r="Y121" s="1"/>
      <c r="AA121" s="44">
        <v>1966</v>
      </c>
      <c r="AB121" t="s">
        <v>141</v>
      </c>
      <c r="AC121" s="1">
        <v>4285.3022975781205</v>
      </c>
      <c r="AD121" s="1">
        <v>2999.711608304684</v>
      </c>
      <c r="AE121" s="1">
        <v>0</v>
      </c>
      <c r="AF121" s="1">
        <v>0</v>
      </c>
      <c r="AG121" s="1">
        <v>0</v>
      </c>
      <c r="AH121" s="1">
        <v>11141.785973703112</v>
      </c>
      <c r="AI121" s="1">
        <v>4285.3022975781205</v>
      </c>
      <c r="AJ121" s="1">
        <f>tblSection6191517[[#This Row],[Net Total]]*0.15</f>
        <v>642.79534463671803</v>
      </c>
      <c r="AK121" s="1"/>
      <c r="AM121" s="44"/>
      <c r="AN121" s="44">
        <v>1966</v>
      </c>
      <c r="AO121" t="s">
        <v>141</v>
      </c>
      <c r="AP121" s="247">
        <v>744292.69307222415</v>
      </c>
      <c r="AQ121" s="247">
        <v>148858.53861444478</v>
      </c>
      <c r="AR121" s="247">
        <v>0</v>
      </c>
      <c r="AS121" s="247">
        <v>7918.0073731087668</v>
      </c>
      <c r="AT121" s="247">
        <v>0</v>
      </c>
      <c r="AU121" s="247">
        <v>0</v>
      </c>
      <c r="AV121" s="247">
        <v>36422.833916300326</v>
      </c>
      <c r="AW121" s="247">
        <v>937492.07297607802</v>
      </c>
      <c r="AX121" s="1">
        <f>tblSection61114[[#This Row],[Gross Total]]*0.15</f>
        <v>140623.81094641169</v>
      </c>
      <c r="AZ121" s="44">
        <v>1966</v>
      </c>
      <c r="BA121" t="s">
        <v>141</v>
      </c>
      <c r="BB121" s="247">
        <v>4285.3022975781205</v>
      </c>
      <c r="BC121" s="247">
        <v>2999.711608304684</v>
      </c>
      <c r="BD121" s="247">
        <v>0</v>
      </c>
      <c r="BE121" s="247">
        <v>0</v>
      </c>
      <c r="BF121" s="247">
        <v>0</v>
      </c>
      <c r="BG121" s="247">
        <v>9856.1952844296757</v>
      </c>
      <c r="BH121" s="247">
        <v>17141.209190312482</v>
      </c>
      <c r="BI121" s="1">
        <f>tblSection61915[[#This Row],[Gross Total]]*0.15</f>
        <v>2571.1813785468721</v>
      </c>
      <c r="BJ121" s="44"/>
      <c r="BK121" s="246"/>
      <c r="BM121" s="44">
        <v>1966</v>
      </c>
      <c r="BN121" t="s">
        <v>141</v>
      </c>
      <c r="BO121" s="1">
        <v>776538</v>
      </c>
      <c r="BP121" s="1">
        <v>144436</v>
      </c>
      <c r="BQ121" s="1">
        <v>0</v>
      </c>
      <c r="BR121" s="1">
        <v>4659</v>
      </c>
      <c r="BS121" s="1">
        <v>0</v>
      </c>
      <c r="BT121" s="1">
        <v>43486</v>
      </c>
      <c r="BU121" s="1">
        <f>SUM(tblSection611[[#This Row],[LEA/District]:[ECSE]])</f>
        <v>969119</v>
      </c>
      <c r="BV121" s="1">
        <f>tblSection611[[#This Row],[Gross Total]]*0.15</f>
        <v>145367.85</v>
      </c>
      <c r="BW121" s="1"/>
      <c r="BY121" s="44">
        <v>1966</v>
      </c>
      <c r="BZ121" t="s">
        <v>141</v>
      </c>
      <c r="CA121" s="1">
        <v>6261</v>
      </c>
      <c r="CB121" s="1">
        <v>391</v>
      </c>
      <c r="CC121" s="1">
        <v>0</v>
      </c>
      <c r="CD121" s="1">
        <v>0</v>
      </c>
      <c r="CE121" s="1">
        <v>0</v>
      </c>
      <c r="CF121" s="1">
        <v>10957</v>
      </c>
      <c r="CG121" s="1">
        <f>SUM(tblSection619[[#This Row],[LEA/District]:[ECSE]])</f>
        <v>17609</v>
      </c>
      <c r="CH121" s="1">
        <f>tblSection619[[#This Row],[Gross Total]]*0.15</f>
        <v>2641.35</v>
      </c>
    </row>
    <row r="122" spans="1:86" x14ac:dyDescent="0.35">
      <c r="A122" t="s">
        <v>142</v>
      </c>
      <c r="B122">
        <v>1924</v>
      </c>
      <c r="C122" t="s">
        <v>1528</v>
      </c>
      <c r="D122" s="44">
        <f>LEN(TblAgencies[[#This Row],[InstNm]])</f>
        <v>21</v>
      </c>
      <c r="E122" s="44" t="s">
        <v>1900</v>
      </c>
      <c r="F122" s="44" t="s">
        <v>1900</v>
      </c>
      <c r="G12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22" s="44"/>
      <c r="I122" s="44"/>
      <c r="J122" s="44"/>
      <c r="K122" s="44"/>
      <c r="M122" s="44"/>
      <c r="N122" s="44">
        <v>1924</v>
      </c>
      <c r="O122" t="s">
        <v>142</v>
      </c>
      <c r="P122" s="1">
        <v>3410708.0881791371</v>
      </c>
      <c r="Q122" s="1">
        <v>827240.48312516045</v>
      </c>
      <c r="R122" s="1">
        <v>2949.1639327100193</v>
      </c>
      <c r="S122" s="1">
        <v>0</v>
      </c>
      <c r="T122" s="1">
        <v>0</v>
      </c>
      <c r="U122" s="1">
        <v>0</v>
      </c>
      <c r="V122" s="1">
        <v>445323.75383921288</v>
      </c>
      <c r="W122" s="1">
        <v>3410708.0881791362</v>
      </c>
      <c r="X122" s="1">
        <f>tblSection6111416[[#This Row],[Net Total]]*0.15</f>
        <v>511606.2132268704</v>
      </c>
      <c r="Y122" s="1"/>
      <c r="AA122" s="44">
        <v>1924</v>
      </c>
      <c r="AB122" t="s">
        <v>142</v>
      </c>
      <c r="AC122" s="1">
        <v>16022.781062201551</v>
      </c>
      <c r="AD122" s="1">
        <v>20126.176212277562</v>
      </c>
      <c r="AE122" s="1">
        <v>0</v>
      </c>
      <c r="AF122" s="1">
        <v>0</v>
      </c>
      <c r="AG122" s="1">
        <v>0</v>
      </c>
      <c r="AH122" s="1">
        <v>59010.730253474001</v>
      </c>
      <c r="AI122" s="1">
        <v>16022.781062201568</v>
      </c>
      <c r="AJ122" s="1">
        <f>tblSection6191517[[#This Row],[Net Total]]*0.15</f>
        <v>2403.4171593302349</v>
      </c>
      <c r="AK122" s="1"/>
      <c r="AM122" s="44"/>
      <c r="AN122" s="44">
        <v>1924</v>
      </c>
      <c r="AO122" t="s">
        <v>142</v>
      </c>
      <c r="AP122" s="247">
        <v>3410708.0881791371</v>
      </c>
      <c r="AQ122" s="247">
        <v>827240.48312516045</v>
      </c>
      <c r="AR122" s="247">
        <v>2949.1639327100193</v>
      </c>
      <c r="AS122" s="247">
        <v>0</v>
      </c>
      <c r="AT122" s="247">
        <v>0</v>
      </c>
      <c r="AU122" s="247">
        <v>0</v>
      </c>
      <c r="AV122" s="247">
        <v>333255.52439623215</v>
      </c>
      <c r="AW122" s="247">
        <v>4574153.2596332394</v>
      </c>
      <c r="AX122" s="1">
        <f>tblSection61114[[#This Row],[Gross Total]]*0.15</f>
        <v>686122.9889449859</v>
      </c>
      <c r="AZ122" s="44">
        <v>1924</v>
      </c>
      <c r="BA122" t="s">
        <v>142</v>
      </c>
      <c r="BB122" s="247">
        <v>16022.781062201551</v>
      </c>
      <c r="BC122" s="247">
        <v>20126.176212277562</v>
      </c>
      <c r="BD122" s="247">
        <v>0</v>
      </c>
      <c r="BE122" s="247">
        <v>0</v>
      </c>
      <c r="BF122" s="247">
        <v>0</v>
      </c>
      <c r="BG122" s="247">
        <v>44160.347805579884</v>
      </c>
      <c r="BH122" s="247">
        <v>80309.305080058999</v>
      </c>
      <c r="BI122" s="1">
        <f>tblSection61915[[#This Row],[Gross Total]]*0.15</f>
        <v>12046.395762008849</v>
      </c>
      <c r="BJ122" s="44"/>
      <c r="BK122" s="246"/>
      <c r="BM122" s="44">
        <v>1924</v>
      </c>
      <c r="BN122" t="s">
        <v>142</v>
      </c>
      <c r="BO122" s="1">
        <v>2562520</v>
      </c>
      <c r="BP122" s="1">
        <v>518901</v>
      </c>
      <c r="BQ122" s="1">
        <v>1185</v>
      </c>
      <c r="BR122" s="1">
        <v>0</v>
      </c>
      <c r="BS122" s="1">
        <v>0</v>
      </c>
      <c r="BT122" s="1">
        <v>291438</v>
      </c>
      <c r="BU122" s="1">
        <f>SUM(tblSection611[[#This Row],[LEA/District]:[ECSE]])</f>
        <v>3374044</v>
      </c>
      <c r="BV122" s="1">
        <f>tblSection611[[#This Row],[Gross Total]]*0.15</f>
        <v>506106.6</v>
      </c>
      <c r="BW122" s="1"/>
      <c r="BY122" s="44">
        <v>1924</v>
      </c>
      <c r="BZ122" t="s">
        <v>142</v>
      </c>
      <c r="CA122" s="1">
        <v>13802</v>
      </c>
      <c r="CB122" s="1">
        <v>4034</v>
      </c>
      <c r="CC122" s="1">
        <v>0</v>
      </c>
      <c r="CD122" s="1">
        <v>0</v>
      </c>
      <c r="CE122" s="1">
        <v>0</v>
      </c>
      <c r="CF122" s="1">
        <v>52235</v>
      </c>
      <c r="CG122" s="1">
        <f>SUM(tblSection619[[#This Row],[LEA/District]:[ECSE]])</f>
        <v>70071</v>
      </c>
      <c r="CH122" s="1">
        <f>tblSection619[[#This Row],[Gross Total]]*0.15</f>
        <v>10510.65</v>
      </c>
    </row>
    <row r="123" spans="1:86" x14ac:dyDescent="0.35">
      <c r="A123" t="s">
        <v>143</v>
      </c>
      <c r="B123">
        <v>1996</v>
      </c>
      <c r="C123" t="s">
        <v>1528</v>
      </c>
      <c r="D123" s="44">
        <f>LEN(TblAgencies[[#This Row],[InstNm]])</f>
        <v>19</v>
      </c>
      <c r="E123" s="44" t="s">
        <v>1900</v>
      </c>
      <c r="F123" s="44" t="s">
        <v>1900</v>
      </c>
      <c r="G12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23" s="44"/>
      <c r="I123" s="44"/>
      <c r="J123" s="44"/>
      <c r="K123" s="44"/>
      <c r="M123" s="44"/>
      <c r="N123" s="44">
        <v>1996</v>
      </c>
      <c r="O123" t="s">
        <v>143</v>
      </c>
      <c r="P123" s="1">
        <v>95106.922135821049</v>
      </c>
      <c r="Q123" s="1">
        <v>13168.650757267527</v>
      </c>
      <c r="R123" s="1">
        <v>0</v>
      </c>
      <c r="S123" s="1">
        <v>0</v>
      </c>
      <c r="T123" s="1">
        <v>0</v>
      </c>
      <c r="U123" s="1">
        <v>0</v>
      </c>
      <c r="V123" s="1">
        <v>11705.46733979336</v>
      </c>
      <c r="W123" s="1">
        <v>95106.922135821063</v>
      </c>
      <c r="X123" s="1">
        <f>tblSection6111416[[#This Row],[Net Total]]*0.15</f>
        <v>14266.03832037316</v>
      </c>
      <c r="Y123" s="1"/>
      <c r="AA123" s="44">
        <v>1996</v>
      </c>
      <c r="AB123" t="s">
        <v>143</v>
      </c>
      <c r="AC123" s="1">
        <v>275.76650996819171</v>
      </c>
      <c r="AD123" s="1">
        <v>0</v>
      </c>
      <c r="AE123" s="1">
        <v>0</v>
      </c>
      <c r="AF123" s="1">
        <v>0</v>
      </c>
      <c r="AG123" s="1">
        <v>0</v>
      </c>
      <c r="AH123" s="1">
        <v>1103.0660398727669</v>
      </c>
      <c r="AI123" s="1">
        <v>275.76650996819171</v>
      </c>
      <c r="AJ123" s="1">
        <f>tblSection6191517[[#This Row],[Net Total]]*0.15</f>
        <v>41.364976495228753</v>
      </c>
      <c r="AK123" s="1"/>
      <c r="AM123" s="44"/>
      <c r="AN123" s="44">
        <v>1996</v>
      </c>
      <c r="AO123" t="s">
        <v>143</v>
      </c>
      <c r="AP123" s="247">
        <v>95106.922135821049</v>
      </c>
      <c r="AQ123" s="247">
        <v>13168.650757267527</v>
      </c>
      <c r="AR123" s="247">
        <v>0</v>
      </c>
      <c r="AS123" s="247">
        <v>0</v>
      </c>
      <c r="AT123" s="247">
        <v>0</v>
      </c>
      <c r="AU123" s="247">
        <v>0</v>
      </c>
      <c r="AV123" s="247">
        <v>11705.46733979336</v>
      </c>
      <c r="AW123" s="247">
        <v>119981.04023288195</v>
      </c>
      <c r="AX123" s="1">
        <f>tblSection61114[[#This Row],[Gross Total]]*0.15</f>
        <v>17997.15603493229</v>
      </c>
      <c r="AZ123" s="44">
        <v>1996</v>
      </c>
      <c r="BA123" t="s">
        <v>143</v>
      </c>
      <c r="BB123" s="247">
        <v>275.76650996819171</v>
      </c>
      <c r="BC123" s="247">
        <v>0</v>
      </c>
      <c r="BD123" s="247">
        <v>0</v>
      </c>
      <c r="BE123" s="247">
        <v>0</v>
      </c>
      <c r="BF123" s="247">
        <v>0</v>
      </c>
      <c r="BG123" s="247">
        <v>1103.0660398727669</v>
      </c>
      <c r="BH123" s="247">
        <v>1378.8325498409586</v>
      </c>
      <c r="BI123" s="1">
        <f>tblSection61915[[#This Row],[Gross Total]]*0.15</f>
        <v>206.82488247614378</v>
      </c>
      <c r="BJ123" s="44"/>
      <c r="BK123" s="246"/>
      <c r="BM123" s="44">
        <v>1996</v>
      </c>
      <c r="BN123" t="s">
        <v>143</v>
      </c>
      <c r="BO123" s="1">
        <v>59247</v>
      </c>
      <c r="BP123" s="1">
        <v>11592</v>
      </c>
      <c r="BQ123" s="1">
        <v>0</v>
      </c>
      <c r="BR123" s="1">
        <v>0</v>
      </c>
      <c r="BS123" s="1">
        <v>0</v>
      </c>
      <c r="BT123" s="1">
        <v>3864</v>
      </c>
      <c r="BU123" s="1">
        <f>SUM(tblSection611[[#This Row],[LEA/District]:[ECSE]])</f>
        <v>74703</v>
      </c>
      <c r="BV123" s="1">
        <f>tblSection611[[#This Row],[Gross Total]]*0.15</f>
        <v>11205.449999999999</v>
      </c>
      <c r="BW123" s="1"/>
      <c r="BY123" s="44">
        <v>1996</v>
      </c>
      <c r="BZ123" t="s">
        <v>143</v>
      </c>
      <c r="CA123" s="1">
        <v>0</v>
      </c>
      <c r="CB123" s="1">
        <v>281</v>
      </c>
      <c r="CC123" s="1">
        <v>0</v>
      </c>
      <c r="CD123" s="1">
        <v>0</v>
      </c>
      <c r="CE123" s="1">
        <v>0</v>
      </c>
      <c r="CF123" s="1">
        <v>844</v>
      </c>
      <c r="CG123" s="1">
        <f>SUM(tblSection619[[#This Row],[LEA/District]:[ECSE]])</f>
        <v>1125</v>
      </c>
      <c r="CH123" s="1">
        <f>tblSection619[[#This Row],[Gross Total]]*0.15</f>
        <v>168.75</v>
      </c>
    </row>
    <row r="124" spans="1:86" x14ac:dyDescent="0.35">
      <c r="A124" t="s">
        <v>144</v>
      </c>
      <c r="B124">
        <v>2061</v>
      </c>
      <c r="C124" t="s">
        <v>1528</v>
      </c>
      <c r="D124" s="44">
        <f>LEN(TblAgencies[[#This Row],[InstNm]])</f>
        <v>16</v>
      </c>
      <c r="E124" s="44" t="s">
        <v>1900</v>
      </c>
      <c r="F124" s="44" t="s">
        <v>1900</v>
      </c>
      <c r="G12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24" s="44"/>
      <c r="I124" s="44"/>
      <c r="J124" s="44"/>
      <c r="K124" s="44"/>
      <c r="M124" s="44"/>
      <c r="N124" s="44">
        <v>2061</v>
      </c>
      <c r="O124" t="s">
        <v>144</v>
      </c>
      <c r="P124" s="1">
        <v>62296.340370035912</v>
      </c>
      <c r="Q124" s="1">
        <v>15574.085092508978</v>
      </c>
      <c r="R124" s="1">
        <v>0</v>
      </c>
      <c r="S124" s="1">
        <v>0</v>
      </c>
      <c r="T124" s="1">
        <v>0</v>
      </c>
      <c r="U124" s="1">
        <v>0</v>
      </c>
      <c r="V124" s="1">
        <v>7787.042546254489</v>
      </c>
      <c r="W124" s="1">
        <v>62296.340370035919</v>
      </c>
      <c r="X124" s="1">
        <f>tblSection6111416[[#This Row],[Net Total]]*0.15</f>
        <v>9344.4510555053876</v>
      </c>
      <c r="Y124" s="1"/>
      <c r="AA124" s="44">
        <v>2061</v>
      </c>
      <c r="AB124" t="s">
        <v>144</v>
      </c>
      <c r="AC124" s="1">
        <v>0</v>
      </c>
      <c r="AD124" s="1">
        <v>0</v>
      </c>
      <c r="AE124" s="1">
        <v>0</v>
      </c>
      <c r="AF124" s="1">
        <v>0</v>
      </c>
      <c r="AG124" s="1">
        <v>0</v>
      </c>
      <c r="AH124" s="1">
        <v>2627.0627734119207</v>
      </c>
      <c r="AI124" s="1">
        <v>0</v>
      </c>
      <c r="AJ124" s="1">
        <f>tblSection6191517[[#This Row],[Net Total]]*0.15</f>
        <v>0</v>
      </c>
      <c r="AK124" s="1"/>
      <c r="AM124" s="44"/>
      <c r="AN124" s="44">
        <v>2061</v>
      </c>
      <c r="AO124" t="s">
        <v>144</v>
      </c>
      <c r="AP124" s="247">
        <v>62296.340370035912</v>
      </c>
      <c r="AQ124" s="247">
        <v>15574.085092508978</v>
      </c>
      <c r="AR124" s="247">
        <v>0</v>
      </c>
      <c r="AS124" s="247">
        <v>0</v>
      </c>
      <c r="AT124" s="247">
        <v>0</v>
      </c>
      <c r="AU124" s="247">
        <v>0</v>
      </c>
      <c r="AV124" s="247">
        <v>7787.042546254489</v>
      </c>
      <c r="AW124" s="247">
        <v>85657.468008799391</v>
      </c>
      <c r="AX124" s="1">
        <f>tblSection61114[[#This Row],[Gross Total]]*0.15</f>
        <v>12848.620201319909</v>
      </c>
      <c r="AZ124" s="44">
        <v>2061</v>
      </c>
      <c r="BA124" t="s">
        <v>144</v>
      </c>
      <c r="BB124" s="247">
        <v>0</v>
      </c>
      <c r="BC124" s="247">
        <v>0</v>
      </c>
      <c r="BD124" s="247">
        <v>0</v>
      </c>
      <c r="BE124" s="247">
        <v>0</v>
      </c>
      <c r="BF124" s="247">
        <v>0</v>
      </c>
      <c r="BG124" s="247">
        <v>2627.0627734119207</v>
      </c>
      <c r="BH124" s="247">
        <v>2627.0627734119207</v>
      </c>
      <c r="BI124" s="1">
        <f>tblSection61915[[#This Row],[Gross Total]]*0.15</f>
        <v>394.05941601178807</v>
      </c>
      <c r="BJ124" s="44"/>
      <c r="BK124" s="246"/>
      <c r="BM124" s="44">
        <v>2061</v>
      </c>
      <c r="BN124" t="s">
        <v>144</v>
      </c>
      <c r="BO124" s="1">
        <v>51645</v>
      </c>
      <c r="BP124" s="1">
        <v>8451</v>
      </c>
      <c r="BQ124" s="1">
        <v>0</v>
      </c>
      <c r="BR124" s="1">
        <v>0</v>
      </c>
      <c r="BS124" s="1">
        <v>0</v>
      </c>
      <c r="BT124" s="1">
        <v>4695</v>
      </c>
      <c r="BU124" s="1">
        <f>SUM(tblSection611[[#This Row],[LEA/District]:[ECSE]])</f>
        <v>64791</v>
      </c>
      <c r="BV124" s="1">
        <f>tblSection611[[#This Row],[Gross Total]]*0.15</f>
        <v>9718.65</v>
      </c>
      <c r="BW124" s="1"/>
      <c r="BY124" s="44">
        <v>2061</v>
      </c>
      <c r="BZ124" t="s">
        <v>144</v>
      </c>
      <c r="CA124" s="1">
        <v>413</v>
      </c>
      <c r="CB124" s="1">
        <v>0</v>
      </c>
      <c r="CC124" s="1">
        <v>0</v>
      </c>
      <c r="CD124" s="1">
        <v>0</v>
      </c>
      <c r="CE124" s="1">
        <v>0</v>
      </c>
      <c r="CF124" s="1">
        <v>2067</v>
      </c>
      <c r="CG124" s="1">
        <f>SUM(tblSection619[[#This Row],[LEA/District]:[ECSE]])</f>
        <v>2480</v>
      </c>
      <c r="CH124" s="1">
        <f>tblSection619[[#This Row],[Gross Total]]*0.15</f>
        <v>372</v>
      </c>
    </row>
    <row r="125" spans="1:86" x14ac:dyDescent="0.35">
      <c r="A125" t="s">
        <v>145</v>
      </c>
      <c r="B125">
        <v>2141</v>
      </c>
      <c r="C125" t="s">
        <v>1528</v>
      </c>
      <c r="D125" s="44">
        <f>LEN(TblAgencies[[#This Row],[InstNm]])</f>
        <v>18</v>
      </c>
      <c r="E125" s="44" t="s">
        <v>1900</v>
      </c>
      <c r="F125" s="44" t="s">
        <v>1900</v>
      </c>
      <c r="G12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25" s="44"/>
      <c r="I125" s="44"/>
      <c r="J125" s="44"/>
      <c r="K125" s="44"/>
      <c r="M125" s="44"/>
      <c r="N125" s="44">
        <v>2141</v>
      </c>
      <c r="O125" t="s">
        <v>145</v>
      </c>
      <c r="P125" s="1">
        <v>335837.75140472042</v>
      </c>
      <c r="Q125" s="1">
        <v>94843.068683740494</v>
      </c>
      <c r="R125" s="1">
        <v>3109.6088093029666</v>
      </c>
      <c r="S125" s="1">
        <v>0</v>
      </c>
      <c r="T125" s="1">
        <v>0</v>
      </c>
      <c r="U125" s="1">
        <v>0</v>
      </c>
      <c r="V125" s="1">
        <v>9328.8264279088999</v>
      </c>
      <c r="W125" s="1">
        <v>335837.75140472042</v>
      </c>
      <c r="X125" s="1">
        <f>tblSection6111416[[#This Row],[Net Total]]*0.15</f>
        <v>50375.662710708064</v>
      </c>
      <c r="Y125" s="1"/>
      <c r="AA125" s="44">
        <v>2141</v>
      </c>
      <c r="AB125" t="s">
        <v>145</v>
      </c>
      <c r="AC125" s="1">
        <v>3567.6852920567558</v>
      </c>
      <c r="AD125" s="1">
        <v>2378.4568613711708</v>
      </c>
      <c r="AE125" s="1">
        <v>0</v>
      </c>
      <c r="AF125" s="1">
        <v>0</v>
      </c>
      <c r="AG125" s="1">
        <v>0</v>
      </c>
      <c r="AH125" s="1">
        <v>3567.6852920567562</v>
      </c>
      <c r="AI125" s="1">
        <v>3567.6852920567562</v>
      </c>
      <c r="AJ125" s="1">
        <f>tblSection6191517[[#This Row],[Net Total]]*0.15</f>
        <v>535.15279380851337</v>
      </c>
      <c r="AK125" s="1"/>
      <c r="AM125" s="44"/>
      <c r="AN125" s="44">
        <v>2141</v>
      </c>
      <c r="AO125" t="s">
        <v>145</v>
      </c>
      <c r="AP125" s="247">
        <v>335837.75140472042</v>
      </c>
      <c r="AQ125" s="247">
        <v>94843.068683740494</v>
      </c>
      <c r="AR125" s="247">
        <v>3109.6088093029666</v>
      </c>
      <c r="AS125" s="247">
        <v>0</v>
      </c>
      <c r="AT125" s="247">
        <v>0</v>
      </c>
      <c r="AU125" s="247">
        <v>0</v>
      </c>
      <c r="AV125" s="247">
        <v>6219.2176186059332</v>
      </c>
      <c r="AW125" s="247">
        <v>440009.64651636983</v>
      </c>
      <c r="AX125" s="1">
        <f>tblSection61114[[#This Row],[Gross Total]]*0.15</f>
        <v>66001.446977455475</v>
      </c>
      <c r="AZ125" s="44">
        <v>2141</v>
      </c>
      <c r="BA125" t="s">
        <v>145</v>
      </c>
      <c r="BB125" s="247">
        <v>3567.6852920567558</v>
      </c>
      <c r="BC125" s="247">
        <v>2378.4568613711708</v>
      </c>
      <c r="BD125" s="247">
        <v>0</v>
      </c>
      <c r="BE125" s="247">
        <v>0</v>
      </c>
      <c r="BF125" s="247">
        <v>0</v>
      </c>
      <c r="BG125" s="247">
        <v>2378.4568613711708</v>
      </c>
      <c r="BH125" s="247">
        <v>8324.5990147990979</v>
      </c>
      <c r="BI125" s="1">
        <f>tblSection61915[[#This Row],[Gross Total]]*0.15</f>
        <v>1248.6898522198646</v>
      </c>
      <c r="BJ125" s="44"/>
      <c r="BK125" s="246"/>
      <c r="BM125" s="44">
        <v>2141</v>
      </c>
      <c r="BN125" t="s">
        <v>145</v>
      </c>
      <c r="BO125" s="1">
        <v>276379</v>
      </c>
      <c r="BP125" s="1">
        <v>75166</v>
      </c>
      <c r="BQ125" s="1">
        <v>1156</v>
      </c>
      <c r="BR125" s="1">
        <v>0</v>
      </c>
      <c r="BS125" s="1">
        <v>0</v>
      </c>
      <c r="BT125" s="1">
        <v>13877</v>
      </c>
      <c r="BU125" s="1">
        <f>SUM(tblSection611[[#This Row],[LEA/District]:[ECSE]])</f>
        <v>366578</v>
      </c>
      <c r="BV125" s="1">
        <f>tblSection611[[#This Row],[Gross Total]]*0.15</f>
        <v>54986.7</v>
      </c>
      <c r="BW125" s="1"/>
      <c r="BY125" s="44">
        <v>2141</v>
      </c>
      <c r="BZ125" t="s">
        <v>145</v>
      </c>
      <c r="CA125" s="1">
        <v>1909</v>
      </c>
      <c r="CB125" s="1">
        <v>1909</v>
      </c>
      <c r="CC125" s="1">
        <v>0</v>
      </c>
      <c r="CD125" s="1">
        <v>0</v>
      </c>
      <c r="CE125" s="1">
        <v>0</v>
      </c>
      <c r="CF125" s="1">
        <v>4582</v>
      </c>
      <c r="CG125" s="1">
        <f>SUM(tblSection619[[#This Row],[LEA/District]:[ECSE]])</f>
        <v>8400</v>
      </c>
      <c r="CH125" s="1">
        <f>tblSection619[[#This Row],[Gross Total]]*0.15</f>
        <v>1260</v>
      </c>
    </row>
    <row r="126" spans="1:86" x14ac:dyDescent="0.35">
      <c r="A126" t="s">
        <v>146</v>
      </c>
      <c r="B126">
        <v>2214</v>
      </c>
      <c r="C126" t="s">
        <v>1528</v>
      </c>
      <c r="D126" s="44">
        <f>LEN(TblAgencies[[#This Row],[InstNm]])</f>
        <v>18</v>
      </c>
      <c r="E126" s="44" t="s">
        <v>1900</v>
      </c>
      <c r="F126" s="44" t="s">
        <v>1900</v>
      </c>
      <c r="G12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26" s="44"/>
      <c r="I126" s="44"/>
      <c r="J126" s="44"/>
      <c r="K126" s="44"/>
      <c r="M126" s="44"/>
      <c r="N126" s="44">
        <v>2214</v>
      </c>
      <c r="O126" t="s">
        <v>146</v>
      </c>
      <c r="P126" s="1">
        <v>60882.106775268461</v>
      </c>
      <c r="Q126" s="1">
        <v>3581.3003985452037</v>
      </c>
      <c r="R126" s="1">
        <v>0</v>
      </c>
      <c r="S126" s="1">
        <v>0</v>
      </c>
      <c r="T126" s="1">
        <v>0</v>
      </c>
      <c r="U126" s="1">
        <v>0</v>
      </c>
      <c r="V126" s="1">
        <v>1790.6501992726019</v>
      </c>
      <c r="W126" s="1">
        <v>60882.106775268461</v>
      </c>
      <c r="X126" s="1">
        <f>tblSection6111416[[#This Row],[Net Total]]*0.15</f>
        <v>9132.3160162902695</v>
      </c>
      <c r="Y126" s="1"/>
      <c r="AA126" s="44">
        <v>2214</v>
      </c>
      <c r="AB126" t="s">
        <v>146</v>
      </c>
      <c r="AC126" s="1">
        <v>0</v>
      </c>
      <c r="AD126" s="1">
        <v>0</v>
      </c>
      <c r="AE126" s="1">
        <v>0</v>
      </c>
      <c r="AF126" s="1">
        <v>0</v>
      </c>
      <c r="AG126" s="1">
        <v>0</v>
      </c>
      <c r="AH126" s="1">
        <v>525.4125546823841</v>
      </c>
      <c r="AI126" s="1">
        <v>0</v>
      </c>
      <c r="AJ126" s="1">
        <f>tblSection6191517[[#This Row],[Net Total]]*0.15</f>
        <v>0</v>
      </c>
      <c r="AK126" s="1"/>
      <c r="AM126" s="44"/>
      <c r="AN126" s="44">
        <v>2214</v>
      </c>
      <c r="AO126" t="s">
        <v>146</v>
      </c>
      <c r="AP126" s="247">
        <v>60882.106775268461</v>
      </c>
      <c r="AQ126" s="247">
        <v>3581.3003985452037</v>
      </c>
      <c r="AR126" s="247">
        <v>0</v>
      </c>
      <c r="AS126" s="247">
        <v>0</v>
      </c>
      <c r="AT126" s="247">
        <v>0</v>
      </c>
      <c r="AU126" s="247">
        <v>0</v>
      </c>
      <c r="AV126" s="247">
        <v>1790.6501992726019</v>
      </c>
      <c r="AW126" s="247">
        <v>66254.057373086267</v>
      </c>
      <c r="AX126" s="1">
        <f>tblSection61114[[#This Row],[Gross Total]]*0.15</f>
        <v>9938.1086059629397</v>
      </c>
      <c r="AZ126" s="44">
        <v>2214</v>
      </c>
      <c r="BA126" t="s">
        <v>146</v>
      </c>
      <c r="BB126" s="247">
        <v>0</v>
      </c>
      <c r="BC126" s="247">
        <v>0</v>
      </c>
      <c r="BD126" s="247">
        <v>0</v>
      </c>
      <c r="BE126" s="247">
        <v>0</v>
      </c>
      <c r="BF126" s="247">
        <v>0</v>
      </c>
      <c r="BG126" s="247">
        <v>525.4125546823841</v>
      </c>
      <c r="BH126" s="247">
        <v>525.4125546823841</v>
      </c>
      <c r="BI126" s="1">
        <f>tblSection61915[[#This Row],[Gross Total]]*0.15</f>
        <v>78.811883202357606</v>
      </c>
      <c r="BJ126" s="44"/>
      <c r="BK126" s="246"/>
      <c r="BM126" s="44">
        <v>2214</v>
      </c>
      <c r="BN126" t="s">
        <v>146</v>
      </c>
      <c r="BO126" s="1">
        <v>56383</v>
      </c>
      <c r="BP126" s="1">
        <v>5126</v>
      </c>
      <c r="BQ126" s="1">
        <v>0</v>
      </c>
      <c r="BR126" s="1">
        <v>0</v>
      </c>
      <c r="BS126" s="1">
        <v>0</v>
      </c>
      <c r="BT126" s="1">
        <v>1709</v>
      </c>
      <c r="BU126" s="1">
        <f>SUM(tblSection611[[#This Row],[LEA/District]:[ECSE]])</f>
        <v>63218</v>
      </c>
      <c r="BV126" s="1">
        <f>tblSection611[[#This Row],[Gross Total]]*0.15</f>
        <v>9482.6999999999989</v>
      </c>
      <c r="BW126" s="1"/>
      <c r="BY126" s="44">
        <v>2214</v>
      </c>
      <c r="BZ126" t="s">
        <v>146</v>
      </c>
      <c r="CA126" s="1">
        <v>0</v>
      </c>
      <c r="CB126" s="1">
        <v>310</v>
      </c>
      <c r="CC126" s="1">
        <v>0</v>
      </c>
      <c r="CD126" s="1">
        <v>0</v>
      </c>
      <c r="CE126" s="1">
        <v>0</v>
      </c>
      <c r="CF126" s="1">
        <v>310</v>
      </c>
      <c r="CG126" s="1">
        <f>SUM(tblSection619[[#This Row],[LEA/District]:[ECSE]])</f>
        <v>620</v>
      </c>
      <c r="CH126" s="1">
        <f>tblSection619[[#This Row],[Gross Total]]*0.15</f>
        <v>93</v>
      </c>
    </row>
    <row r="127" spans="1:86" x14ac:dyDescent="0.35">
      <c r="A127" t="s">
        <v>147</v>
      </c>
      <c r="B127">
        <v>2143</v>
      </c>
      <c r="C127" t="s">
        <v>1528</v>
      </c>
      <c r="D127" s="44">
        <f>LEN(TblAgencies[[#This Row],[InstNm]])</f>
        <v>20</v>
      </c>
      <c r="E127" s="44" t="s">
        <v>1900</v>
      </c>
      <c r="F127" s="44" t="s">
        <v>1900</v>
      </c>
      <c r="G12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27" s="44"/>
      <c r="I127" s="44"/>
      <c r="J127" s="44"/>
      <c r="K127" s="44"/>
      <c r="M127" s="44"/>
      <c r="N127" s="44">
        <v>2143</v>
      </c>
      <c r="O127" t="s">
        <v>147</v>
      </c>
      <c r="P127" s="1">
        <v>531944.48858673812</v>
      </c>
      <c r="Q127" s="1">
        <v>84627.53227516287</v>
      </c>
      <c r="R127" s="1">
        <v>0</v>
      </c>
      <c r="S127" s="1">
        <v>0</v>
      </c>
      <c r="T127" s="1">
        <v>0</v>
      </c>
      <c r="U127" s="1">
        <v>0</v>
      </c>
      <c r="V127" s="1">
        <v>18998.01744952636</v>
      </c>
      <c r="W127" s="1">
        <v>531944.48858673812</v>
      </c>
      <c r="X127" s="1">
        <f>tblSection6111416[[#This Row],[Net Total]]*0.15</f>
        <v>79791.673288010716</v>
      </c>
      <c r="Y127" s="1"/>
      <c r="AA127" s="44">
        <v>2143</v>
      </c>
      <c r="AB127" t="s">
        <v>147</v>
      </c>
      <c r="AC127" s="1">
        <v>1778.7091356476296</v>
      </c>
      <c r="AD127" s="1">
        <v>2223.3864195595374</v>
      </c>
      <c r="AE127" s="1">
        <v>0</v>
      </c>
      <c r="AF127" s="1">
        <v>0</v>
      </c>
      <c r="AG127" s="1">
        <v>0</v>
      </c>
      <c r="AH127" s="1">
        <v>4891.4501230309816</v>
      </c>
      <c r="AI127" s="1">
        <v>1778.7091356476285</v>
      </c>
      <c r="AJ127" s="1">
        <f>tblSection6191517[[#This Row],[Net Total]]*0.15</f>
        <v>266.80637034714425</v>
      </c>
      <c r="AK127" s="1"/>
      <c r="AM127" s="44"/>
      <c r="AN127" s="44">
        <v>2143</v>
      </c>
      <c r="AO127" t="s">
        <v>147</v>
      </c>
      <c r="AP127" s="247">
        <v>531944.48858673812</v>
      </c>
      <c r="AQ127" s="247">
        <v>84627.53227516287</v>
      </c>
      <c r="AR127" s="247">
        <v>0</v>
      </c>
      <c r="AS127" s="247">
        <v>0</v>
      </c>
      <c r="AT127" s="247">
        <v>0</v>
      </c>
      <c r="AU127" s="247">
        <v>0</v>
      </c>
      <c r="AV127" s="247">
        <v>15543.832458703386</v>
      </c>
      <c r="AW127" s="247">
        <v>632115.85332060442</v>
      </c>
      <c r="AX127" s="1">
        <f>tblSection61114[[#This Row],[Gross Total]]*0.15</f>
        <v>94817.377998090655</v>
      </c>
      <c r="AZ127" s="44">
        <v>2143</v>
      </c>
      <c r="BA127" t="s">
        <v>147</v>
      </c>
      <c r="BB127" s="247">
        <v>1778.7091356476296</v>
      </c>
      <c r="BC127" s="247">
        <v>2223.3864195595374</v>
      </c>
      <c r="BD127" s="247">
        <v>0</v>
      </c>
      <c r="BE127" s="247">
        <v>0</v>
      </c>
      <c r="BF127" s="247">
        <v>0</v>
      </c>
      <c r="BG127" s="247">
        <v>4002.0955552071669</v>
      </c>
      <c r="BH127" s="247">
        <v>8004.1911104143346</v>
      </c>
      <c r="BI127" s="1">
        <f>tblSection61915[[#This Row],[Gross Total]]*0.15</f>
        <v>1200.6286665621501</v>
      </c>
      <c r="BJ127" s="44"/>
      <c r="BK127" s="246"/>
      <c r="BM127" s="44">
        <v>2143</v>
      </c>
      <c r="BN127" t="s">
        <v>147</v>
      </c>
      <c r="BO127" s="1">
        <v>539068</v>
      </c>
      <c r="BP127" s="1">
        <v>55289</v>
      </c>
      <c r="BQ127" s="1">
        <v>0</v>
      </c>
      <c r="BR127" s="1">
        <v>0</v>
      </c>
      <c r="BS127" s="1">
        <v>0</v>
      </c>
      <c r="BT127" s="1">
        <v>10367</v>
      </c>
      <c r="BU127" s="1">
        <f>SUM(tblSection611[[#This Row],[LEA/District]:[ECSE]])</f>
        <v>604724</v>
      </c>
      <c r="BV127" s="1">
        <f>tblSection611[[#This Row],[Gross Total]]*0.15</f>
        <v>90708.599999999991</v>
      </c>
      <c r="BW127" s="1"/>
      <c r="BY127" s="44">
        <v>2143</v>
      </c>
      <c r="BZ127" t="s">
        <v>147</v>
      </c>
      <c r="CA127" s="1">
        <v>4721</v>
      </c>
      <c r="CB127" s="1">
        <v>944</v>
      </c>
      <c r="CC127" s="1">
        <v>0</v>
      </c>
      <c r="CD127" s="1">
        <v>0</v>
      </c>
      <c r="CE127" s="1">
        <v>0</v>
      </c>
      <c r="CF127" s="1">
        <v>2833</v>
      </c>
      <c r="CG127" s="1">
        <f>SUM(tblSection619[[#This Row],[LEA/District]:[ECSE]])</f>
        <v>8498</v>
      </c>
      <c r="CH127" s="1">
        <f>tblSection619[[#This Row],[Gross Total]]*0.15</f>
        <v>1274.7</v>
      </c>
    </row>
    <row r="128" spans="1:86" x14ac:dyDescent="0.35">
      <c r="A128" t="s">
        <v>148</v>
      </c>
      <c r="B128">
        <v>4131</v>
      </c>
      <c r="C128" t="s">
        <v>1528</v>
      </c>
      <c r="D128" s="44">
        <f>LEN(TblAgencies[[#This Row],[InstNm]])</f>
        <v>24</v>
      </c>
      <c r="E128" s="44" t="s">
        <v>1900</v>
      </c>
      <c r="F128" s="44" t="s">
        <v>1900</v>
      </c>
      <c r="G12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28" s="44"/>
      <c r="I128" s="44"/>
      <c r="J128" s="44"/>
      <c r="K128" s="44"/>
      <c r="M128" s="44"/>
      <c r="N128" s="44">
        <v>4131</v>
      </c>
      <c r="O128" t="s">
        <v>148</v>
      </c>
      <c r="P128" s="1">
        <v>658179.95106895175</v>
      </c>
      <c r="Q128" s="1">
        <v>103309.25814246837</v>
      </c>
      <c r="R128" s="1">
        <v>0</v>
      </c>
      <c r="S128" s="1">
        <v>4998.8350714097587</v>
      </c>
      <c r="T128" s="1">
        <v>0</v>
      </c>
      <c r="U128" s="1">
        <v>0</v>
      </c>
      <c r="V128" s="1">
        <v>101642.97978533176</v>
      </c>
      <c r="W128" s="1">
        <v>658179.95106895175</v>
      </c>
      <c r="X128" s="1">
        <f>tblSection6111416[[#This Row],[Net Total]]*0.15</f>
        <v>98726.992660342759</v>
      </c>
      <c r="Y128" s="1"/>
      <c r="AA128" s="44">
        <v>4131</v>
      </c>
      <c r="AB128" t="s">
        <v>148</v>
      </c>
      <c r="AC128" s="1">
        <v>8262.9968902301152</v>
      </c>
      <c r="AD128" s="1">
        <v>1906.8454362069501</v>
      </c>
      <c r="AE128" s="1">
        <v>0</v>
      </c>
      <c r="AF128" s="1">
        <v>0</v>
      </c>
      <c r="AG128" s="1">
        <v>0</v>
      </c>
      <c r="AH128" s="1">
        <v>19386.26193477066</v>
      </c>
      <c r="AI128" s="1">
        <v>8262.9968902301152</v>
      </c>
      <c r="AJ128" s="1">
        <f>tblSection6191517[[#This Row],[Net Total]]*0.15</f>
        <v>1239.4495335345173</v>
      </c>
      <c r="AK128" s="1"/>
      <c r="AM128" s="44"/>
      <c r="AN128" s="44">
        <v>4131</v>
      </c>
      <c r="AO128" t="s">
        <v>148</v>
      </c>
      <c r="AP128" s="247">
        <v>658179.95106895175</v>
      </c>
      <c r="AQ128" s="247">
        <v>103309.25814246837</v>
      </c>
      <c r="AR128" s="247">
        <v>0</v>
      </c>
      <c r="AS128" s="247">
        <v>4998.8350714097587</v>
      </c>
      <c r="AT128" s="247">
        <v>0</v>
      </c>
      <c r="AU128" s="247">
        <v>0</v>
      </c>
      <c r="AV128" s="247">
        <v>98310.423071058583</v>
      </c>
      <c r="AW128" s="247">
        <v>864798.46735388844</v>
      </c>
      <c r="AX128" s="1">
        <f>tblSection61114[[#This Row],[Gross Total]]*0.15</f>
        <v>129719.77010308325</v>
      </c>
      <c r="AZ128" s="44">
        <v>4131</v>
      </c>
      <c r="BA128" t="s">
        <v>148</v>
      </c>
      <c r="BB128" s="247">
        <v>8262.9968902301152</v>
      </c>
      <c r="BC128" s="247">
        <v>1906.8454362069501</v>
      </c>
      <c r="BD128" s="247">
        <v>0</v>
      </c>
      <c r="BE128" s="247">
        <v>0</v>
      </c>
      <c r="BF128" s="247">
        <v>0</v>
      </c>
      <c r="BG128" s="247">
        <v>18750.646789368344</v>
      </c>
      <c r="BH128" s="247">
        <v>28920.489115805409</v>
      </c>
      <c r="BI128" s="1">
        <f>tblSection61915[[#This Row],[Gross Total]]*0.15</f>
        <v>4338.073367370811</v>
      </c>
      <c r="BJ128" s="44"/>
      <c r="BK128" s="246"/>
      <c r="BM128" s="44">
        <v>4131</v>
      </c>
      <c r="BN128" t="s">
        <v>148</v>
      </c>
      <c r="BO128" s="1">
        <v>563789</v>
      </c>
      <c r="BP128" s="1">
        <v>73084</v>
      </c>
      <c r="BQ128" s="1">
        <v>0</v>
      </c>
      <c r="BR128" s="1">
        <v>4475</v>
      </c>
      <c r="BS128" s="1">
        <v>0</v>
      </c>
      <c r="BT128" s="1">
        <v>79050</v>
      </c>
      <c r="BU128" s="1">
        <f>SUM(tblSection611[[#This Row],[LEA/District]:[ECSE]])</f>
        <v>720398</v>
      </c>
      <c r="BV128" s="1">
        <f>tblSection611[[#This Row],[Gross Total]]*0.15</f>
        <v>108059.7</v>
      </c>
      <c r="BW128" s="1"/>
      <c r="BY128" s="44">
        <v>4131</v>
      </c>
      <c r="BZ128" t="s">
        <v>148</v>
      </c>
      <c r="CA128" s="1">
        <v>6980</v>
      </c>
      <c r="CB128" s="1">
        <v>349</v>
      </c>
      <c r="CC128" s="1">
        <v>0</v>
      </c>
      <c r="CD128" s="1">
        <v>0</v>
      </c>
      <c r="CE128" s="1">
        <v>0</v>
      </c>
      <c r="CF128" s="1">
        <v>18498</v>
      </c>
      <c r="CG128" s="1">
        <f>SUM(tblSection619[[#This Row],[LEA/District]:[ECSE]])</f>
        <v>25827</v>
      </c>
      <c r="CH128" s="1">
        <f>tblSection619[[#This Row],[Gross Total]]*0.15</f>
        <v>3874.0499999999997</v>
      </c>
    </row>
    <row r="129" spans="1:86" x14ac:dyDescent="0.35">
      <c r="A129" t="s">
        <v>149</v>
      </c>
      <c r="B129">
        <v>2110</v>
      </c>
      <c r="C129" t="s">
        <v>1528</v>
      </c>
      <c r="D129" s="44">
        <f>LEN(TblAgencies[[#This Row],[InstNm]])</f>
        <v>11</v>
      </c>
      <c r="E129" s="44" t="s">
        <v>1900</v>
      </c>
      <c r="F129" s="44" t="s">
        <v>1900</v>
      </c>
      <c r="G12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29" s="44"/>
      <c r="I129" s="44"/>
      <c r="J129" s="44"/>
      <c r="K129" s="44"/>
      <c r="M129" s="44"/>
      <c r="N129" s="44">
        <v>2110</v>
      </c>
      <c r="O129" t="s">
        <v>149</v>
      </c>
      <c r="P129" s="1">
        <v>259205.87161155712</v>
      </c>
      <c r="Q129" s="1">
        <v>3502.7820488048255</v>
      </c>
      <c r="R129" s="1">
        <v>0</v>
      </c>
      <c r="S129" s="1">
        <v>0</v>
      </c>
      <c r="T129" s="1">
        <v>0</v>
      </c>
      <c r="U129" s="1">
        <v>0</v>
      </c>
      <c r="V129" s="1">
        <v>31525.038439243432</v>
      </c>
      <c r="W129" s="1">
        <v>259205.87161155714</v>
      </c>
      <c r="X129" s="1">
        <f>tblSection6111416[[#This Row],[Net Total]]*0.15</f>
        <v>38880.88074173357</v>
      </c>
      <c r="Y129" s="1"/>
      <c r="AA129" s="44">
        <v>2110</v>
      </c>
      <c r="AB129" t="s">
        <v>149</v>
      </c>
      <c r="AC129" s="1">
        <v>1967.0466654544318</v>
      </c>
      <c r="AD129" s="1">
        <v>0</v>
      </c>
      <c r="AE129" s="1">
        <v>0</v>
      </c>
      <c r="AF129" s="1">
        <v>0</v>
      </c>
      <c r="AG129" s="1">
        <v>0</v>
      </c>
      <c r="AH129" s="1">
        <v>3540.6839978179773</v>
      </c>
      <c r="AI129" s="1">
        <v>1967.0466654544321</v>
      </c>
      <c r="AJ129" s="1">
        <f>tblSection6191517[[#This Row],[Net Total]]*0.15</f>
        <v>295.0569998181648</v>
      </c>
      <c r="AK129" s="1"/>
      <c r="AM129" s="44"/>
      <c r="AN129" s="44">
        <v>2110</v>
      </c>
      <c r="AO129" t="s">
        <v>149</v>
      </c>
      <c r="AP129" s="247">
        <v>259205.87161155712</v>
      </c>
      <c r="AQ129" s="247">
        <v>3502.7820488048255</v>
      </c>
      <c r="AR129" s="247">
        <v>0</v>
      </c>
      <c r="AS129" s="247">
        <v>0</v>
      </c>
      <c r="AT129" s="247">
        <v>0</v>
      </c>
      <c r="AU129" s="247">
        <v>0</v>
      </c>
      <c r="AV129" s="247">
        <v>31525.038439243432</v>
      </c>
      <c r="AW129" s="247">
        <v>294233.6920996054</v>
      </c>
      <c r="AX129" s="1">
        <f>tblSection61114[[#This Row],[Gross Total]]*0.15</f>
        <v>44135.053814940809</v>
      </c>
      <c r="AZ129" s="44">
        <v>2110</v>
      </c>
      <c r="BA129" t="s">
        <v>149</v>
      </c>
      <c r="BB129" s="247">
        <v>1967.0466654544318</v>
      </c>
      <c r="BC129" s="247">
        <v>0</v>
      </c>
      <c r="BD129" s="247">
        <v>0</v>
      </c>
      <c r="BE129" s="247">
        <v>0</v>
      </c>
      <c r="BF129" s="247">
        <v>0</v>
      </c>
      <c r="BG129" s="247">
        <v>3540.6839978179773</v>
      </c>
      <c r="BH129" s="247">
        <v>5507.7306632724094</v>
      </c>
      <c r="BI129" s="1">
        <f>tblSection61915[[#This Row],[Gross Total]]*0.15</f>
        <v>826.15959949086141</v>
      </c>
      <c r="BJ129" s="44"/>
      <c r="BK129" s="246"/>
      <c r="BM129" s="44">
        <v>2110</v>
      </c>
      <c r="BN129" t="s">
        <v>149</v>
      </c>
      <c r="BO129" s="1">
        <v>255239</v>
      </c>
      <c r="BP129" s="1">
        <v>3496</v>
      </c>
      <c r="BQ129" s="1">
        <v>0</v>
      </c>
      <c r="BR129" s="1">
        <v>0</v>
      </c>
      <c r="BS129" s="1">
        <v>0</v>
      </c>
      <c r="BT129" s="1">
        <v>27971</v>
      </c>
      <c r="BU129" s="1">
        <f>SUM(tblSection611[[#This Row],[LEA/District]:[ECSE]])</f>
        <v>286706</v>
      </c>
      <c r="BV129" s="1">
        <f>tblSection611[[#This Row],[Gross Total]]*0.15</f>
        <v>43005.9</v>
      </c>
      <c r="BW129" s="1"/>
      <c r="BY129" s="44">
        <v>2110</v>
      </c>
      <c r="BZ129" t="s">
        <v>149</v>
      </c>
      <c r="CA129" s="1">
        <v>1883</v>
      </c>
      <c r="CB129" s="1">
        <v>0</v>
      </c>
      <c r="CC129" s="1">
        <v>0</v>
      </c>
      <c r="CD129" s="1">
        <v>0</v>
      </c>
      <c r="CE129" s="1">
        <v>0</v>
      </c>
      <c r="CF129" s="1">
        <v>3013</v>
      </c>
      <c r="CG129" s="1">
        <f>SUM(tblSection619[[#This Row],[LEA/District]:[ECSE]])</f>
        <v>4896</v>
      </c>
      <c r="CH129" s="1">
        <f>tblSection619[[#This Row],[Gross Total]]*0.15</f>
        <v>734.4</v>
      </c>
    </row>
    <row r="130" spans="1:86" x14ac:dyDescent="0.35">
      <c r="A130" t="s">
        <v>150</v>
      </c>
      <c r="B130">
        <v>1990</v>
      </c>
      <c r="C130" t="s">
        <v>1528</v>
      </c>
      <c r="D130" s="44">
        <f>LEN(TblAgencies[[#This Row],[InstNm]])</f>
        <v>12</v>
      </c>
      <c r="E130" s="44" t="s">
        <v>1900</v>
      </c>
      <c r="F130" s="44" t="s">
        <v>1900</v>
      </c>
      <c r="G13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30" s="44"/>
      <c r="I130" s="44"/>
      <c r="J130" s="44"/>
      <c r="K130" s="44"/>
      <c r="M130" s="44"/>
      <c r="N130" s="44">
        <v>1990</v>
      </c>
      <c r="O130" t="s">
        <v>150</v>
      </c>
      <c r="P130" s="1">
        <v>163097.0571379399</v>
      </c>
      <c r="Q130" s="1">
        <v>15242.715620368213</v>
      </c>
      <c r="R130" s="1">
        <v>0</v>
      </c>
      <c r="S130" s="1">
        <v>0</v>
      </c>
      <c r="T130" s="1">
        <v>0</v>
      </c>
      <c r="U130" s="1">
        <v>0</v>
      </c>
      <c r="V130" s="1">
        <v>12194.172496294572</v>
      </c>
      <c r="W130" s="1">
        <v>163097.0571379399</v>
      </c>
      <c r="X130" s="1">
        <f>tblSection6111416[[#This Row],[Net Total]]*0.15</f>
        <v>24464.558570690984</v>
      </c>
      <c r="Y130" s="1"/>
      <c r="AA130" s="44">
        <v>1990</v>
      </c>
      <c r="AB130" t="s">
        <v>150</v>
      </c>
      <c r="AC130" s="1">
        <v>1505.4512961167852</v>
      </c>
      <c r="AD130" s="1">
        <v>752.72564805839261</v>
      </c>
      <c r="AE130" s="1">
        <v>0</v>
      </c>
      <c r="AF130" s="1">
        <v>0</v>
      </c>
      <c r="AG130" s="1">
        <v>0</v>
      </c>
      <c r="AH130" s="1">
        <v>3010.9025922335704</v>
      </c>
      <c r="AI130" s="1">
        <v>1505.4512961167848</v>
      </c>
      <c r="AJ130" s="1">
        <f>tblSection6191517[[#This Row],[Net Total]]*0.15</f>
        <v>225.81769441751771</v>
      </c>
      <c r="AK130" s="1"/>
      <c r="AM130" s="44"/>
      <c r="AN130" s="44">
        <v>1990</v>
      </c>
      <c r="AO130" t="s">
        <v>150</v>
      </c>
      <c r="AP130" s="247">
        <v>163097.0571379399</v>
      </c>
      <c r="AQ130" s="247">
        <v>15242.715620368213</v>
      </c>
      <c r="AR130" s="247">
        <v>0</v>
      </c>
      <c r="AS130" s="247">
        <v>0</v>
      </c>
      <c r="AT130" s="247">
        <v>0</v>
      </c>
      <c r="AU130" s="247">
        <v>0</v>
      </c>
      <c r="AV130" s="247">
        <v>10669.90093425775</v>
      </c>
      <c r="AW130" s="247">
        <v>189009.67369256588</v>
      </c>
      <c r="AX130" s="1">
        <f>tblSection61114[[#This Row],[Gross Total]]*0.15</f>
        <v>28351.451053884881</v>
      </c>
      <c r="AZ130" s="44">
        <v>1990</v>
      </c>
      <c r="BA130" t="s">
        <v>150</v>
      </c>
      <c r="BB130" s="247">
        <v>1505.4512961167852</v>
      </c>
      <c r="BC130" s="247">
        <v>752.72564805839261</v>
      </c>
      <c r="BD130" s="247">
        <v>0</v>
      </c>
      <c r="BE130" s="247">
        <v>0</v>
      </c>
      <c r="BF130" s="247">
        <v>0</v>
      </c>
      <c r="BG130" s="247">
        <v>2634.539768204374</v>
      </c>
      <c r="BH130" s="247">
        <v>4892.7167123795516</v>
      </c>
      <c r="BI130" s="1">
        <f>tblSection61915[[#This Row],[Gross Total]]*0.15</f>
        <v>733.90750685693274</v>
      </c>
      <c r="BJ130" s="44"/>
      <c r="BK130" s="246"/>
      <c r="BM130" s="44">
        <v>1990</v>
      </c>
      <c r="BN130" t="s">
        <v>150</v>
      </c>
      <c r="BO130" s="1">
        <v>104833</v>
      </c>
      <c r="BP130" s="1">
        <v>11100</v>
      </c>
      <c r="BQ130" s="1">
        <v>0</v>
      </c>
      <c r="BR130" s="1">
        <v>0</v>
      </c>
      <c r="BS130" s="1">
        <v>0</v>
      </c>
      <c r="BT130" s="1">
        <v>11100</v>
      </c>
      <c r="BU130" s="1">
        <f>SUM(tblSection611[[#This Row],[LEA/District]:[ECSE]])</f>
        <v>127033</v>
      </c>
      <c r="BV130" s="1">
        <f>tblSection611[[#This Row],[Gross Total]]*0.15</f>
        <v>19054.95</v>
      </c>
      <c r="BW130" s="1"/>
      <c r="BY130" s="44">
        <v>1990</v>
      </c>
      <c r="BZ130" t="s">
        <v>150</v>
      </c>
      <c r="CA130" s="1">
        <v>1962</v>
      </c>
      <c r="CB130" s="1">
        <v>0</v>
      </c>
      <c r="CC130" s="1">
        <v>0</v>
      </c>
      <c r="CD130" s="1">
        <v>0</v>
      </c>
      <c r="CE130" s="1">
        <v>0</v>
      </c>
      <c r="CF130" s="1">
        <v>2522</v>
      </c>
      <c r="CG130" s="1">
        <f>SUM(tblSection619[[#This Row],[LEA/District]:[ECSE]])</f>
        <v>4484</v>
      </c>
      <c r="CH130" s="1">
        <f>tblSection619[[#This Row],[Gross Total]]*0.15</f>
        <v>672.6</v>
      </c>
    </row>
    <row r="131" spans="1:86" x14ac:dyDescent="0.35">
      <c r="A131" t="s">
        <v>151</v>
      </c>
      <c r="B131">
        <v>2093</v>
      </c>
      <c r="C131" t="s">
        <v>1528</v>
      </c>
      <c r="D131" s="44">
        <f>LEN(TblAgencies[[#This Row],[InstNm]])</f>
        <v>14</v>
      </c>
      <c r="E131" s="44" t="s">
        <v>1900</v>
      </c>
      <c r="F131" s="44" t="s">
        <v>1900</v>
      </c>
      <c r="G13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31" s="44"/>
      <c r="I131" s="44"/>
      <c r="J131" s="44"/>
      <c r="K131" s="44"/>
      <c r="M131" s="44"/>
      <c r="N131" s="44">
        <v>2093</v>
      </c>
      <c r="O131" t="s">
        <v>151</v>
      </c>
      <c r="P131" s="1">
        <v>169679.88489645242</v>
      </c>
      <c r="Q131" s="1">
        <v>15252.124485074379</v>
      </c>
      <c r="R131" s="1">
        <v>0</v>
      </c>
      <c r="S131" s="1">
        <v>0</v>
      </c>
      <c r="T131" s="1">
        <v>0</v>
      </c>
      <c r="U131" s="1">
        <v>0</v>
      </c>
      <c r="V131" s="1">
        <v>34317.280091417349</v>
      </c>
      <c r="W131" s="1">
        <v>169679.88489645242</v>
      </c>
      <c r="X131" s="1">
        <f>tblSection6111416[[#This Row],[Net Total]]*0.15</f>
        <v>25451.982734467863</v>
      </c>
      <c r="Y131" s="1"/>
      <c r="AA131" s="44">
        <v>2093</v>
      </c>
      <c r="AB131" t="s">
        <v>151</v>
      </c>
      <c r="AC131" s="1">
        <v>2013.5753778890164</v>
      </c>
      <c r="AD131" s="1">
        <v>0</v>
      </c>
      <c r="AE131" s="1">
        <v>0</v>
      </c>
      <c r="AF131" s="1">
        <v>0</v>
      </c>
      <c r="AG131" s="1">
        <v>0</v>
      </c>
      <c r="AH131" s="1">
        <v>9061.0892005005753</v>
      </c>
      <c r="AI131" s="1">
        <v>2013.5753778890157</v>
      </c>
      <c r="AJ131" s="1">
        <f>tblSection6191517[[#This Row],[Net Total]]*0.15</f>
        <v>302.03630668335234</v>
      </c>
      <c r="AK131" s="1"/>
      <c r="AM131" s="44"/>
      <c r="AN131" s="44">
        <v>2093</v>
      </c>
      <c r="AO131" t="s">
        <v>151</v>
      </c>
      <c r="AP131" s="247">
        <v>169679.88489645242</v>
      </c>
      <c r="AQ131" s="247">
        <v>15252.124485074379</v>
      </c>
      <c r="AR131" s="247">
        <v>0</v>
      </c>
      <c r="AS131" s="247">
        <v>0</v>
      </c>
      <c r="AT131" s="247">
        <v>0</v>
      </c>
      <c r="AU131" s="247">
        <v>0</v>
      </c>
      <c r="AV131" s="247">
        <v>34317.280091417349</v>
      </c>
      <c r="AW131" s="247">
        <v>219249.28947294413</v>
      </c>
      <c r="AX131" s="1">
        <f>tblSection61114[[#This Row],[Gross Total]]*0.15</f>
        <v>32887.393420941618</v>
      </c>
      <c r="AZ131" s="44">
        <v>2093</v>
      </c>
      <c r="BA131" t="s">
        <v>151</v>
      </c>
      <c r="BB131" s="247">
        <v>2013.5753778890164</v>
      </c>
      <c r="BC131" s="247">
        <v>0</v>
      </c>
      <c r="BD131" s="247">
        <v>0</v>
      </c>
      <c r="BE131" s="247">
        <v>0</v>
      </c>
      <c r="BF131" s="247">
        <v>0</v>
      </c>
      <c r="BG131" s="247">
        <v>9061.0892005005753</v>
      </c>
      <c r="BH131" s="247">
        <v>11074.664578389591</v>
      </c>
      <c r="BI131" s="1">
        <f>tblSection61915[[#This Row],[Gross Total]]*0.15</f>
        <v>1661.1996867584387</v>
      </c>
      <c r="BJ131" s="44"/>
      <c r="BK131" s="246"/>
      <c r="BM131" s="44">
        <v>2093</v>
      </c>
      <c r="BN131" t="s">
        <v>151</v>
      </c>
      <c r="BO131" s="1">
        <v>140498</v>
      </c>
      <c r="BP131" s="1">
        <v>16928</v>
      </c>
      <c r="BQ131" s="1">
        <v>0</v>
      </c>
      <c r="BR131" s="1">
        <v>0</v>
      </c>
      <c r="BS131" s="1">
        <v>0</v>
      </c>
      <c r="BT131" s="1">
        <v>28777</v>
      </c>
      <c r="BU131" s="1">
        <f>SUM(tblSection611[[#This Row],[LEA/District]:[ECSE]])</f>
        <v>186203</v>
      </c>
      <c r="BV131" s="1">
        <f>tblSection611[[#This Row],[Gross Total]]*0.15</f>
        <v>27930.45</v>
      </c>
      <c r="BW131" s="1"/>
      <c r="BY131" s="44">
        <v>2093</v>
      </c>
      <c r="BZ131" t="s">
        <v>151</v>
      </c>
      <c r="CA131" s="1">
        <v>1063</v>
      </c>
      <c r="CB131" s="1">
        <v>0</v>
      </c>
      <c r="CC131" s="1">
        <v>0</v>
      </c>
      <c r="CD131" s="1">
        <v>0</v>
      </c>
      <c r="CE131" s="1">
        <v>0</v>
      </c>
      <c r="CF131" s="1">
        <v>9031</v>
      </c>
      <c r="CG131" s="1">
        <f>SUM(tblSection619[[#This Row],[LEA/District]:[ECSE]])</f>
        <v>10094</v>
      </c>
      <c r="CH131" s="1">
        <f>tblSection619[[#This Row],[Gross Total]]*0.15</f>
        <v>1514.1</v>
      </c>
    </row>
    <row r="132" spans="1:86" x14ac:dyDescent="0.35">
      <c r="A132" t="s">
        <v>152</v>
      </c>
      <c r="B132">
        <v>2108</v>
      </c>
      <c r="C132" t="s">
        <v>1528</v>
      </c>
      <c r="D132" s="44">
        <f>LEN(TblAgencies[[#This Row],[InstNm]])</f>
        <v>13</v>
      </c>
      <c r="E132" s="44" t="s">
        <v>1900</v>
      </c>
      <c r="F132" s="44" t="s">
        <v>1900</v>
      </c>
      <c r="G13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32" s="44"/>
      <c r="I132" s="44"/>
      <c r="J132" s="44"/>
      <c r="K132" s="44"/>
      <c r="M132" s="44"/>
      <c r="N132" s="44">
        <v>2108</v>
      </c>
      <c r="O132" t="s">
        <v>152</v>
      </c>
      <c r="P132" s="1">
        <v>574323.20460974204</v>
      </c>
      <c r="Q132" s="1">
        <v>9598.7165115834323</v>
      </c>
      <c r="R132" s="1">
        <v>0</v>
      </c>
      <c r="S132" s="1">
        <v>0</v>
      </c>
      <c r="T132" s="1">
        <v>0</v>
      </c>
      <c r="U132" s="1">
        <v>0</v>
      </c>
      <c r="V132" s="1">
        <v>67191.015581084022</v>
      </c>
      <c r="W132" s="1">
        <v>574323.20460974204</v>
      </c>
      <c r="X132" s="1">
        <f>tblSection6111416[[#This Row],[Net Total]]*0.15</f>
        <v>86148.4806914613</v>
      </c>
      <c r="Y132" s="1"/>
      <c r="AA132" s="44">
        <v>2108</v>
      </c>
      <c r="AB132" t="s">
        <v>152</v>
      </c>
      <c r="AC132" s="1">
        <v>5285.9986062639518</v>
      </c>
      <c r="AD132" s="1">
        <v>251.71421934590245</v>
      </c>
      <c r="AE132" s="1">
        <v>0</v>
      </c>
      <c r="AF132" s="1">
        <v>0</v>
      </c>
      <c r="AG132" s="1">
        <v>0</v>
      </c>
      <c r="AH132" s="1">
        <v>10571.997212527904</v>
      </c>
      <c r="AI132" s="1">
        <v>5285.9986062639509</v>
      </c>
      <c r="AJ132" s="1">
        <f>tblSection6191517[[#This Row],[Net Total]]*0.15</f>
        <v>792.89979093959266</v>
      </c>
      <c r="AK132" s="1"/>
      <c r="AM132" s="44"/>
      <c r="AN132" s="44">
        <v>2108</v>
      </c>
      <c r="AO132" t="s">
        <v>152</v>
      </c>
      <c r="AP132" s="247">
        <v>574323.20460974204</v>
      </c>
      <c r="AQ132" s="247">
        <v>9598.7165115834323</v>
      </c>
      <c r="AR132" s="247">
        <v>0</v>
      </c>
      <c r="AS132" s="247">
        <v>0</v>
      </c>
      <c r="AT132" s="247">
        <v>0</v>
      </c>
      <c r="AU132" s="247">
        <v>0</v>
      </c>
      <c r="AV132" s="247">
        <v>65591.229495820124</v>
      </c>
      <c r="AW132" s="247">
        <v>649513.15061714558</v>
      </c>
      <c r="AX132" s="1">
        <f>tblSection61114[[#This Row],[Gross Total]]*0.15</f>
        <v>97426.972592571838</v>
      </c>
      <c r="AZ132" s="44">
        <v>2108</v>
      </c>
      <c r="BA132" t="s">
        <v>152</v>
      </c>
      <c r="BB132" s="247">
        <v>5285.9986062639518</v>
      </c>
      <c r="BC132" s="247">
        <v>251.71421934590245</v>
      </c>
      <c r="BD132" s="247">
        <v>0</v>
      </c>
      <c r="BE132" s="247">
        <v>0</v>
      </c>
      <c r="BF132" s="247">
        <v>0</v>
      </c>
      <c r="BG132" s="247">
        <v>10320.282993182002</v>
      </c>
      <c r="BH132" s="247">
        <v>15857.995818791856</v>
      </c>
      <c r="BI132" s="1">
        <f>tblSection61915[[#This Row],[Gross Total]]*0.15</f>
        <v>2378.6993728187786</v>
      </c>
      <c r="BJ132" s="44"/>
      <c r="BK132" s="246"/>
      <c r="BM132" s="44">
        <v>2108</v>
      </c>
      <c r="BN132" t="s">
        <v>152</v>
      </c>
      <c r="BO132" s="1">
        <v>538959</v>
      </c>
      <c r="BP132" s="1">
        <v>13954</v>
      </c>
      <c r="BQ132" s="1">
        <v>0</v>
      </c>
      <c r="BR132" s="1">
        <v>0</v>
      </c>
      <c r="BS132" s="1">
        <v>0</v>
      </c>
      <c r="BT132" s="1">
        <v>80233</v>
      </c>
      <c r="BU132" s="1">
        <f>SUM(tblSection611[[#This Row],[LEA/District]:[ECSE]])</f>
        <v>633146</v>
      </c>
      <c r="BV132" s="1">
        <f>tblSection611[[#This Row],[Gross Total]]*0.15</f>
        <v>94971.9</v>
      </c>
      <c r="BW132" s="1"/>
      <c r="BY132" s="44">
        <v>2108</v>
      </c>
      <c r="BZ132" t="s">
        <v>152</v>
      </c>
      <c r="CA132" s="1">
        <v>4064</v>
      </c>
      <c r="CB132" s="1">
        <v>0</v>
      </c>
      <c r="CC132" s="1">
        <v>0</v>
      </c>
      <c r="CD132" s="1">
        <v>0</v>
      </c>
      <c r="CE132" s="1">
        <v>0</v>
      </c>
      <c r="CF132" s="1">
        <v>10387</v>
      </c>
      <c r="CG132" s="1">
        <f>SUM(tblSection619[[#This Row],[LEA/District]:[ECSE]])</f>
        <v>14451</v>
      </c>
      <c r="CH132" s="1">
        <f>tblSection619[[#This Row],[Gross Total]]*0.15</f>
        <v>2167.65</v>
      </c>
    </row>
    <row r="133" spans="1:86" x14ac:dyDescent="0.35">
      <c r="A133" t="s">
        <v>153</v>
      </c>
      <c r="B133">
        <v>1928</v>
      </c>
      <c r="C133" t="s">
        <v>1528</v>
      </c>
      <c r="D133" s="44">
        <f>LEN(TblAgencies[[#This Row],[InstNm]])</f>
        <v>17</v>
      </c>
      <c r="E133" s="44" t="s">
        <v>1900</v>
      </c>
      <c r="F133" s="44" t="s">
        <v>1900</v>
      </c>
      <c r="G13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33" s="44"/>
      <c r="I133" s="44"/>
      <c r="J133" s="44"/>
      <c r="K133" s="44"/>
      <c r="M133" s="44"/>
      <c r="N133" s="44">
        <v>1928</v>
      </c>
      <c r="O133" t="s">
        <v>153</v>
      </c>
      <c r="P133" s="1">
        <v>1495209.5279253516</v>
      </c>
      <c r="Q133" s="1">
        <v>370942.6916273823</v>
      </c>
      <c r="R133" s="1">
        <v>0</v>
      </c>
      <c r="S133" s="1">
        <v>0</v>
      </c>
      <c r="T133" s="1">
        <v>4902.3263210667265</v>
      </c>
      <c r="U133" s="1">
        <v>0</v>
      </c>
      <c r="V133" s="1">
        <v>215702.35812693596</v>
      </c>
      <c r="W133" s="1">
        <v>1495209.5279253519</v>
      </c>
      <c r="X133" s="1">
        <f>tblSection6111416[[#This Row],[Net Total]]*0.15</f>
        <v>224281.42918880278</v>
      </c>
      <c r="Y133" s="1"/>
      <c r="AA133" s="44">
        <v>1928</v>
      </c>
      <c r="AB133" t="s">
        <v>153</v>
      </c>
      <c r="AC133" s="1">
        <v>10783.98697054281</v>
      </c>
      <c r="AD133" s="1">
        <v>8357.5899021706773</v>
      </c>
      <c r="AE133" s="1">
        <v>0</v>
      </c>
      <c r="AF133" s="1">
        <v>0</v>
      </c>
      <c r="AG133" s="1">
        <v>0</v>
      </c>
      <c r="AH133" s="1">
        <v>35587.157002791275</v>
      </c>
      <c r="AI133" s="1">
        <v>10783.986970542806</v>
      </c>
      <c r="AJ133" s="1">
        <f>tblSection6191517[[#This Row],[Net Total]]*0.15</f>
        <v>1617.5980455814208</v>
      </c>
      <c r="AK133" s="1"/>
      <c r="AM133" s="44"/>
      <c r="AN133" s="44">
        <v>1928</v>
      </c>
      <c r="AO133" t="s">
        <v>153</v>
      </c>
      <c r="AP133" s="247">
        <v>1495209.5279253516</v>
      </c>
      <c r="AQ133" s="247">
        <v>370942.6916273823</v>
      </c>
      <c r="AR133" s="247">
        <v>0</v>
      </c>
      <c r="AS133" s="247">
        <v>0</v>
      </c>
      <c r="AT133" s="247">
        <v>4902.3263210667265</v>
      </c>
      <c r="AU133" s="247">
        <v>0</v>
      </c>
      <c r="AV133" s="247">
        <v>174849.63878471323</v>
      </c>
      <c r="AW133" s="247">
        <v>2045904.1846585139</v>
      </c>
      <c r="AX133" s="1">
        <f>tblSection61114[[#This Row],[Gross Total]]*0.15</f>
        <v>306885.62769877707</v>
      </c>
      <c r="AZ133" s="44">
        <v>1928</v>
      </c>
      <c r="BA133" t="s">
        <v>153</v>
      </c>
      <c r="BB133" s="247">
        <v>10783.98697054281</v>
      </c>
      <c r="BC133" s="247">
        <v>8357.5899021706773</v>
      </c>
      <c r="BD133" s="247">
        <v>0</v>
      </c>
      <c r="BE133" s="247">
        <v>0</v>
      </c>
      <c r="BF133" s="247">
        <v>0</v>
      </c>
      <c r="BG133" s="247">
        <v>28847.165146202016</v>
      </c>
      <c r="BH133" s="247">
        <v>47988.742018915502</v>
      </c>
      <c r="BI133" s="1">
        <f>tblSection61915[[#This Row],[Gross Total]]*0.15</f>
        <v>7198.3113028373255</v>
      </c>
      <c r="BJ133" s="44"/>
      <c r="BK133" s="246"/>
      <c r="BM133" s="44">
        <v>1928</v>
      </c>
      <c r="BN133" t="s">
        <v>153</v>
      </c>
      <c r="BO133" s="1">
        <v>1305259</v>
      </c>
      <c r="BP133" s="1">
        <v>252313</v>
      </c>
      <c r="BQ133" s="1">
        <v>0</v>
      </c>
      <c r="BR133" s="1">
        <v>0</v>
      </c>
      <c r="BS133" s="1">
        <v>5638</v>
      </c>
      <c r="BT133" s="1">
        <v>149414</v>
      </c>
      <c r="BU133" s="1">
        <f>SUM(tblSection611[[#This Row],[LEA/District]:[ECSE]])</f>
        <v>1712624</v>
      </c>
      <c r="BV133" s="1">
        <f>tblSection611[[#This Row],[Gross Total]]*0.15</f>
        <v>256893.59999999998</v>
      </c>
      <c r="BW133" s="1"/>
      <c r="BY133" s="44">
        <v>1928</v>
      </c>
      <c r="BZ133" t="s">
        <v>153</v>
      </c>
      <c r="CA133" s="1">
        <v>6358</v>
      </c>
      <c r="CB133" s="1">
        <v>3179</v>
      </c>
      <c r="CC133" s="1">
        <v>0</v>
      </c>
      <c r="CD133" s="1">
        <v>0</v>
      </c>
      <c r="CE133" s="1">
        <v>0</v>
      </c>
      <c r="CF133" s="1">
        <v>33695</v>
      </c>
      <c r="CG133" s="1">
        <f>SUM(tblSection619[[#This Row],[LEA/District]:[ECSE]])</f>
        <v>43232</v>
      </c>
      <c r="CH133" s="1">
        <f>tblSection619[[#This Row],[Gross Total]]*0.15</f>
        <v>6484.8</v>
      </c>
    </row>
    <row r="134" spans="1:86" x14ac:dyDescent="0.35">
      <c r="A134" t="s">
        <v>154</v>
      </c>
      <c r="B134">
        <v>1926</v>
      </c>
      <c r="C134" t="s">
        <v>1528</v>
      </c>
      <c r="D134" s="44">
        <f>LEN(TblAgencies[[#This Row],[InstNm]])</f>
        <v>18</v>
      </c>
      <c r="E134" s="44" t="s">
        <v>1900</v>
      </c>
      <c r="F134" s="44" t="s">
        <v>1900</v>
      </c>
      <c r="G13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34" s="44"/>
      <c r="I134" s="44"/>
      <c r="J134" s="44"/>
      <c r="K134" s="44"/>
      <c r="M134" s="44"/>
      <c r="N134" s="44">
        <v>1926</v>
      </c>
      <c r="O134" t="s">
        <v>154</v>
      </c>
      <c r="P134" s="1">
        <v>780819.89348272723</v>
      </c>
      <c r="Q134" s="1">
        <v>205308.75046026162</v>
      </c>
      <c r="R134" s="1">
        <v>4849.8130029983058</v>
      </c>
      <c r="S134" s="1">
        <v>0</v>
      </c>
      <c r="T134" s="1">
        <v>0</v>
      </c>
      <c r="U134" s="1">
        <v>0</v>
      </c>
      <c r="V134" s="1">
        <v>88913.238388302285</v>
      </c>
      <c r="W134" s="1">
        <v>780819.89348272723</v>
      </c>
      <c r="X134" s="1">
        <f>tblSection6111416[[#This Row],[Net Total]]*0.15</f>
        <v>117122.98402240909</v>
      </c>
      <c r="Y134" s="1"/>
      <c r="AA134" s="44">
        <v>1926</v>
      </c>
      <c r="AB134" t="s">
        <v>154</v>
      </c>
      <c r="AC134" s="1">
        <v>6082.7621773400697</v>
      </c>
      <c r="AD134" s="1">
        <v>6995.1765039410802</v>
      </c>
      <c r="AE134" s="1">
        <v>0</v>
      </c>
      <c r="AF134" s="1">
        <v>0</v>
      </c>
      <c r="AG134" s="1">
        <v>0</v>
      </c>
      <c r="AH134" s="1">
        <v>16727.595987685192</v>
      </c>
      <c r="AI134" s="1">
        <v>6082.7621773400679</v>
      </c>
      <c r="AJ134" s="1">
        <f>tblSection6191517[[#This Row],[Net Total]]*0.15</f>
        <v>912.4143266010102</v>
      </c>
      <c r="AK134" s="1"/>
      <c r="AM134" s="44"/>
      <c r="AN134" s="44">
        <v>1926</v>
      </c>
      <c r="AO134" t="s">
        <v>154</v>
      </c>
      <c r="AP134" s="247">
        <v>780819.89348272723</v>
      </c>
      <c r="AQ134" s="247">
        <v>205308.75046026162</v>
      </c>
      <c r="AR134" s="247">
        <v>4849.8130029983058</v>
      </c>
      <c r="AS134" s="247">
        <v>0</v>
      </c>
      <c r="AT134" s="247">
        <v>0</v>
      </c>
      <c r="AU134" s="247">
        <v>0</v>
      </c>
      <c r="AV134" s="247">
        <v>61430.964704645216</v>
      </c>
      <c r="AW134" s="247">
        <v>1052409.4216506323</v>
      </c>
      <c r="AX134" s="1">
        <f>tblSection61114[[#This Row],[Gross Total]]*0.15</f>
        <v>157861.41324759484</v>
      </c>
      <c r="AZ134" s="44">
        <v>1926</v>
      </c>
      <c r="BA134" t="s">
        <v>154</v>
      </c>
      <c r="BB134" s="247">
        <v>6082.7621773400697</v>
      </c>
      <c r="BC134" s="247">
        <v>6995.1765039410802</v>
      </c>
      <c r="BD134" s="247">
        <v>0</v>
      </c>
      <c r="BE134" s="247">
        <v>0</v>
      </c>
      <c r="BF134" s="247">
        <v>0</v>
      </c>
      <c r="BG134" s="247">
        <v>11557.248136946131</v>
      </c>
      <c r="BH134" s="247">
        <v>24635.186818227281</v>
      </c>
      <c r="BI134" s="1">
        <f>tblSection61915[[#This Row],[Gross Total]]*0.15</f>
        <v>3695.2780227340918</v>
      </c>
      <c r="BJ134" s="44"/>
      <c r="BK134" s="246"/>
      <c r="BM134" s="44">
        <v>1926</v>
      </c>
      <c r="BN134" t="s">
        <v>154</v>
      </c>
      <c r="BO134" s="1">
        <v>683606</v>
      </c>
      <c r="BP134" s="1">
        <v>152892</v>
      </c>
      <c r="BQ134" s="1">
        <v>2940</v>
      </c>
      <c r="BR134" s="1">
        <v>0</v>
      </c>
      <c r="BS134" s="1">
        <v>0</v>
      </c>
      <c r="BT134" s="1">
        <v>73506</v>
      </c>
      <c r="BU134" s="1">
        <f>SUM(tblSection611[[#This Row],[LEA/District]:[ECSE]])</f>
        <v>912944</v>
      </c>
      <c r="BV134" s="1">
        <f>tblSection611[[#This Row],[Gross Total]]*0.15</f>
        <v>136941.6</v>
      </c>
      <c r="BW134" s="1"/>
      <c r="BY134" s="44">
        <v>1926</v>
      </c>
      <c r="BZ134" t="s">
        <v>154</v>
      </c>
      <c r="CA134" s="1">
        <v>3501</v>
      </c>
      <c r="CB134" s="1">
        <v>1751</v>
      </c>
      <c r="CC134" s="1">
        <v>0</v>
      </c>
      <c r="CD134" s="1">
        <v>0</v>
      </c>
      <c r="CE134" s="1">
        <v>0</v>
      </c>
      <c r="CF134" s="1">
        <v>17506</v>
      </c>
      <c r="CG134" s="1">
        <f>SUM(tblSection619[[#This Row],[LEA/District]:[ECSE]])</f>
        <v>22758</v>
      </c>
      <c r="CH134" s="1">
        <f>tblSection619[[#This Row],[Gross Total]]*0.15</f>
        <v>3413.7</v>
      </c>
    </row>
    <row r="135" spans="1:86" x14ac:dyDescent="0.35">
      <c r="A135" t="s">
        <v>155</v>
      </c>
      <c r="B135">
        <v>2060</v>
      </c>
      <c r="C135" t="s">
        <v>1528</v>
      </c>
      <c r="D135" s="44">
        <f>LEN(TblAgencies[[#This Row],[InstNm]])</f>
        <v>13</v>
      </c>
      <c r="E135" s="44" t="s">
        <v>1900</v>
      </c>
      <c r="F135" s="44" t="s">
        <v>1900</v>
      </c>
      <c r="G13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35" s="44"/>
      <c r="I135" s="44"/>
      <c r="J135" s="44"/>
      <c r="K135" s="44"/>
      <c r="M135" s="44"/>
      <c r="N135" s="44">
        <v>2060</v>
      </c>
      <c r="O135" t="s">
        <v>155</v>
      </c>
      <c r="P135" s="1">
        <v>35995.115978056085</v>
      </c>
      <c r="Q135" s="1">
        <v>4695.0151275725329</v>
      </c>
      <c r="R135" s="1">
        <v>0</v>
      </c>
      <c r="S135" s="1">
        <v>0</v>
      </c>
      <c r="T135" s="1">
        <v>0</v>
      </c>
      <c r="U135" s="1">
        <v>0</v>
      </c>
      <c r="V135" s="1">
        <v>0</v>
      </c>
      <c r="W135" s="1">
        <v>35995.115978056085</v>
      </c>
      <c r="X135" s="1">
        <f>tblSection6111416[[#This Row],[Net Total]]*0.15</f>
        <v>5399.2673967084129</v>
      </c>
      <c r="Y135" s="1"/>
      <c r="AA135" s="44">
        <v>2060</v>
      </c>
      <c r="AB135" t="s">
        <v>155</v>
      </c>
      <c r="AC135" s="1">
        <v>484.4116246228603</v>
      </c>
      <c r="AD135" s="1">
        <v>0</v>
      </c>
      <c r="AE135" s="1">
        <v>0</v>
      </c>
      <c r="AF135" s="1">
        <v>0</v>
      </c>
      <c r="AG135" s="1">
        <v>0</v>
      </c>
      <c r="AH135" s="1">
        <v>0</v>
      </c>
      <c r="AI135" s="1">
        <v>484.4116246228603</v>
      </c>
      <c r="AJ135" s="1">
        <f>tblSection6191517[[#This Row],[Net Total]]*0.15</f>
        <v>72.661743693429045</v>
      </c>
      <c r="AK135" s="1"/>
      <c r="AM135" s="44"/>
      <c r="AN135" s="44">
        <v>2060</v>
      </c>
      <c r="AO135" t="s">
        <v>155</v>
      </c>
      <c r="AP135" s="247">
        <v>35995.115978056085</v>
      </c>
      <c r="AQ135" s="247">
        <v>4695.0151275725329</v>
      </c>
      <c r="AR135" s="247">
        <v>0</v>
      </c>
      <c r="AS135" s="247">
        <v>0</v>
      </c>
      <c r="AT135" s="247">
        <v>0</v>
      </c>
      <c r="AU135" s="247">
        <v>0</v>
      </c>
      <c r="AV135" s="247">
        <v>0</v>
      </c>
      <c r="AW135" s="247">
        <v>40690.131105628621</v>
      </c>
      <c r="AX135" s="1">
        <f>tblSection61114[[#This Row],[Gross Total]]*0.15</f>
        <v>6103.5196658442928</v>
      </c>
      <c r="AZ135" s="44">
        <v>2060</v>
      </c>
      <c r="BA135" t="s">
        <v>155</v>
      </c>
      <c r="BB135" s="247">
        <v>484.4116246228603</v>
      </c>
      <c r="BC135" s="247">
        <v>0</v>
      </c>
      <c r="BD135" s="247">
        <v>0</v>
      </c>
      <c r="BE135" s="247">
        <v>0</v>
      </c>
      <c r="BF135" s="247">
        <v>0</v>
      </c>
      <c r="BG135" s="247">
        <v>0</v>
      </c>
      <c r="BH135" s="247">
        <v>484.4116246228603</v>
      </c>
      <c r="BI135" s="1">
        <f>tblSection61915[[#This Row],[Gross Total]]*0.15</f>
        <v>72.661743693429045</v>
      </c>
      <c r="BJ135" s="44"/>
      <c r="BK135" s="246"/>
      <c r="BM135" s="44">
        <v>2060</v>
      </c>
      <c r="BN135" t="s">
        <v>155</v>
      </c>
      <c r="BO135" s="1">
        <v>32669</v>
      </c>
      <c r="BP135" s="1">
        <v>3063</v>
      </c>
      <c r="BQ135" s="1">
        <v>0</v>
      </c>
      <c r="BR135" s="1">
        <v>0</v>
      </c>
      <c r="BS135" s="1">
        <v>0</v>
      </c>
      <c r="BT135" s="1">
        <v>0</v>
      </c>
      <c r="BU135" s="1">
        <f>SUM(tblSection611[[#This Row],[LEA/District]:[ECSE]])</f>
        <v>35732</v>
      </c>
      <c r="BV135" s="1">
        <f>tblSection611[[#This Row],[Gross Total]]*0.15</f>
        <v>5359.8</v>
      </c>
      <c r="BW135" s="1"/>
      <c r="BY135" s="44">
        <v>2060</v>
      </c>
      <c r="BZ135" t="s">
        <v>155</v>
      </c>
      <c r="CA135" s="1">
        <v>562</v>
      </c>
      <c r="CB135" s="1">
        <v>0</v>
      </c>
      <c r="CC135" s="1">
        <v>0</v>
      </c>
      <c r="CD135" s="1">
        <v>0</v>
      </c>
      <c r="CE135" s="1">
        <v>0</v>
      </c>
      <c r="CF135" s="1">
        <v>0</v>
      </c>
      <c r="CG135" s="1">
        <f>SUM(tblSection619[[#This Row],[LEA/District]:[ECSE]])</f>
        <v>562</v>
      </c>
      <c r="CH135" s="1">
        <f>tblSection619[[#This Row],[Gross Total]]*0.15</f>
        <v>84.3</v>
      </c>
    </row>
    <row r="136" spans="1:86" x14ac:dyDescent="0.35">
      <c r="A136" t="s">
        <v>156</v>
      </c>
      <c r="B136">
        <v>2181</v>
      </c>
      <c r="C136" t="s">
        <v>1528</v>
      </c>
      <c r="D136" s="44">
        <f>LEN(TblAgencies[[#This Row],[InstNm]])</f>
        <v>13</v>
      </c>
      <c r="E136" s="44" t="s">
        <v>1900</v>
      </c>
      <c r="F136" s="44" t="s">
        <v>1900</v>
      </c>
      <c r="G13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36" s="44"/>
      <c r="I136" s="44"/>
      <c r="J136" s="44"/>
      <c r="K136" s="44"/>
      <c r="M136" s="44"/>
      <c r="N136" s="44">
        <v>2181</v>
      </c>
      <c r="O136" t="s">
        <v>156</v>
      </c>
      <c r="P136" s="1">
        <v>514084.78958676779</v>
      </c>
      <c r="Q136" s="1">
        <v>180177.62721851349</v>
      </c>
      <c r="R136" s="1">
        <v>0</v>
      </c>
      <c r="S136" s="1">
        <v>4959.0172628948667</v>
      </c>
      <c r="T136" s="1">
        <v>0</v>
      </c>
      <c r="U136" s="1">
        <v>0</v>
      </c>
      <c r="V136" s="1">
        <v>89262.31073210761</v>
      </c>
      <c r="W136" s="1">
        <v>514084.78958676785</v>
      </c>
      <c r="X136" s="1">
        <f>tblSection6111416[[#This Row],[Net Total]]*0.15</f>
        <v>77112.718438015174</v>
      </c>
      <c r="Y136" s="1"/>
      <c r="AA136" s="44">
        <v>2181</v>
      </c>
      <c r="AB136" t="s">
        <v>156</v>
      </c>
      <c r="AC136" s="1">
        <v>2064.4490567157254</v>
      </c>
      <c r="AD136" s="1">
        <v>4128.8981134314508</v>
      </c>
      <c r="AE136" s="1">
        <v>0</v>
      </c>
      <c r="AF136" s="1">
        <v>0</v>
      </c>
      <c r="AG136" s="1">
        <v>0</v>
      </c>
      <c r="AH136" s="1">
        <v>12386.694340294351</v>
      </c>
      <c r="AI136" s="1">
        <v>2064.4490567157227</v>
      </c>
      <c r="AJ136" s="1">
        <f>tblSection6191517[[#This Row],[Net Total]]*0.15</f>
        <v>309.66735850735841</v>
      </c>
      <c r="AK136" s="1"/>
      <c r="AM136" s="44"/>
      <c r="AN136" s="44">
        <v>2181</v>
      </c>
      <c r="AO136" t="s">
        <v>156</v>
      </c>
      <c r="AP136" s="247">
        <v>514084.78958676779</v>
      </c>
      <c r="AQ136" s="247">
        <v>180177.62721851349</v>
      </c>
      <c r="AR136" s="247">
        <v>0</v>
      </c>
      <c r="AS136" s="247">
        <v>4959.0172628948667</v>
      </c>
      <c r="AT136" s="247">
        <v>0</v>
      </c>
      <c r="AU136" s="247">
        <v>0</v>
      </c>
      <c r="AV136" s="247">
        <v>74385.258943423003</v>
      </c>
      <c r="AW136" s="247">
        <v>773606.69301159924</v>
      </c>
      <c r="AX136" s="1">
        <f>tblSection61114[[#This Row],[Gross Total]]*0.15</f>
        <v>116041.00395173988</v>
      </c>
      <c r="AZ136" s="44">
        <v>2181</v>
      </c>
      <c r="BA136" t="s">
        <v>156</v>
      </c>
      <c r="BB136" s="247">
        <v>2064.4490567157254</v>
      </c>
      <c r="BC136" s="247">
        <v>4128.8981134314508</v>
      </c>
      <c r="BD136" s="247">
        <v>0</v>
      </c>
      <c r="BE136" s="247">
        <v>0</v>
      </c>
      <c r="BF136" s="247">
        <v>0</v>
      </c>
      <c r="BG136" s="247">
        <v>10322.245283578626</v>
      </c>
      <c r="BH136" s="247">
        <v>16515.592453725803</v>
      </c>
      <c r="BI136" s="1">
        <f>tblSection61915[[#This Row],[Gross Total]]*0.15</f>
        <v>2477.3388680588705</v>
      </c>
      <c r="BJ136" s="44"/>
      <c r="BK136" s="246"/>
      <c r="BM136" s="44">
        <v>2181</v>
      </c>
      <c r="BN136" t="s">
        <v>156</v>
      </c>
      <c r="BO136" s="1">
        <v>512364</v>
      </c>
      <c r="BP136" s="1">
        <v>137829</v>
      </c>
      <c r="BQ136" s="1">
        <v>0</v>
      </c>
      <c r="BR136" s="1">
        <v>2996</v>
      </c>
      <c r="BS136" s="1">
        <v>0</v>
      </c>
      <c r="BT136" s="1">
        <v>65918</v>
      </c>
      <c r="BU136" s="1">
        <f>SUM(tblSection611[[#This Row],[LEA/District]:[ECSE]])</f>
        <v>719107</v>
      </c>
      <c r="BV136" s="1">
        <f>tblSection611[[#This Row],[Gross Total]]*0.15</f>
        <v>107866.05</v>
      </c>
      <c r="BW136" s="1"/>
      <c r="BY136" s="44">
        <v>2181</v>
      </c>
      <c r="BZ136" t="s">
        <v>156</v>
      </c>
      <c r="CA136" s="1">
        <v>3201</v>
      </c>
      <c r="CB136" s="1">
        <v>1601</v>
      </c>
      <c r="CC136" s="1">
        <v>0</v>
      </c>
      <c r="CD136" s="1">
        <v>0</v>
      </c>
      <c r="CE136" s="1">
        <v>0</v>
      </c>
      <c r="CF136" s="1">
        <v>10061</v>
      </c>
      <c r="CG136" s="1">
        <f>SUM(tblSection619[[#This Row],[LEA/District]:[ECSE]])</f>
        <v>14863</v>
      </c>
      <c r="CH136" s="1">
        <f>tblSection619[[#This Row],[Gross Total]]*0.15</f>
        <v>2229.4499999999998</v>
      </c>
    </row>
    <row r="137" spans="1:86" x14ac:dyDescent="0.35">
      <c r="A137" t="s">
        <v>157</v>
      </c>
      <c r="B137">
        <v>2207</v>
      </c>
      <c r="C137" t="s">
        <v>1528</v>
      </c>
      <c r="D137" s="44">
        <f>LEN(TblAgencies[[#This Row],[InstNm]])</f>
        <v>15</v>
      </c>
      <c r="E137" s="44" t="s">
        <v>1900</v>
      </c>
      <c r="F137" s="44" t="s">
        <v>1900</v>
      </c>
      <c r="G13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37" s="44"/>
      <c r="I137" s="44"/>
      <c r="J137" s="44"/>
      <c r="K137" s="44"/>
      <c r="M137" s="44"/>
      <c r="N137" s="44">
        <v>2207</v>
      </c>
      <c r="O137" t="s">
        <v>157</v>
      </c>
      <c r="P137" s="1">
        <v>678959.38797079597</v>
      </c>
      <c r="Q137" s="1">
        <v>113450.79747583995</v>
      </c>
      <c r="R137" s="1">
        <v>0</v>
      </c>
      <c r="S137" s="1">
        <v>6981.5875369747664</v>
      </c>
      <c r="T137" s="1">
        <v>0</v>
      </c>
      <c r="U137" s="1">
        <v>0</v>
      </c>
      <c r="V137" s="1">
        <v>97742.22551764673</v>
      </c>
      <c r="W137" s="1">
        <v>678959.38797079609</v>
      </c>
      <c r="X137" s="1">
        <f>tblSection6111416[[#This Row],[Net Total]]*0.15</f>
        <v>101843.90819561941</v>
      </c>
      <c r="Y137" s="1"/>
      <c r="AA137" s="44">
        <v>2207</v>
      </c>
      <c r="AB137" t="s">
        <v>157</v>
      </c>
      <c r="AC137" s="1">
        <v>3093.8237590393037</v>
      </c>
      <c r="AD137" s="1">
        <v>2406.3073681416804</v>
      </c>
      <c r="AE137" s="1">
        <v>0</v>
      </c>
      <c r="AF137" s="1">
        <v>0</v>
      </c>
      <c r="AG137" s="1">
        <v>0</v>
      </c>
      <c r="AH137" s="1">
        <v>19250.458945133443</v>
      </c>
      <c r="AI137" s="1">
        <v>3093.8237590393073</v>
      </c>
      <c r="AJ137" s="1">
        <f>tblSection6191517[[#This Row],[Net Total]]*0.15</f>
        <v>464.07356385589605</v>
      </c>
      <c r="AK137" s="1"/>
      <c r="AM137" s="44"/>
      <c r="AN137" s="44">
        <v>2207</v>
      </c>
      <c r="AO137" t="s">
        <v>157</v>
      </c>
      <c r="AP137" s="247">
        <v>678959.38797079597</v>
      </c>
      <c r="AQ137" s="247">
        <v>113450.79747583995</v>
      </c>
      <c r="AR137" s="247">
        <v>0</v>
      </c>
      <c r="AS137" s="247">
        <v>6981.5875369747664</v>
      </c>
      <c r="AT137" s="247">
        <v>0</v>
      </c>
      <c r="AU137" s="247">
        <v>0</v>
      </c>
      <c r="AV137" s="247">
        <v>97742.22551764673</v>
      </c>
      <c r="AW137" s="247">
        <v>897133.99850125751</v>
      </c>
      <c r="AX137" s="1">
        <f>tblSection61114[[#This Row],[Gross Total]]*0.15</f>
        <v>134570.09977518863</v>
      </c>
      <c r="AZ137" s="44">
        <v>2207</v>
      </c>
      <c r="BA137" t="s">
        <v>157</v>
      </c>
      <c r="BB137" s="247">
        <v>3093.8237590393037</v>
      </c>
      <c r="BC137" s="247">
        <v>2406.3073681416804</v>
      </c>
      <c r="BD137" s="247">
        <v>0</v>
      </c>
      <c r="BE137" s="247">
        <v>0</v>
      </c>
      <c r="BF137" s="247">
        <v>0</v>
      </c>
      <c r="BG137" s="247">
        <v>19250.458945133443</v>
      </c>
      <c r="BH137" s="247">
        <v>24750.59007231443</v>
      </c>
      <c r="BI137" s="1">
        <f>tblSection61915[[#This Row],[Gross Total]]*0.15</f>
        <v>3712.5885108471643</v>
      </c>
      <c r="BJ137" s="44"/>
      <c r="BK137" s="246"/>
      <c r="BM137" s="44">
        <v>2207</v>
      </c>
      <c r="BN137" t="s">
        <v>157</v>
      </c>
      <c r="BO137" s="1">
        <v>575132</v>
      </c>
      <c r="BP137" s="1">
        <v>83961</v>
      </c>
      <c r="BQ137" s="1">
        <v>1399</v>
      </c>
      <c r="BR137" s="1">
        <v>11195</v>
      </c>
      <c r="BS137" s="1">
        <v>0</v>
      </c>
      <c r="BT137" s="1">
        <v>62971</v>
      </c>
      <c r="BU137" s="1">
        <f>SUM(tblSection611[[#This Row],[LEA/District]:[ECSE]])</f>
        <v>734658</v>
      </c>
      <c r="BV137" s="1">
        <f>tblSection611[[#This Row],[Gross Total]]*0.15</f>
        <v>110198.7</v>
      </c>
      <c r="BW137" s="1"/>
      <c r="BY137" s="44">
        <v>2207</v>
      </c>
      <c r="BZ137" t="s">
        <v>157</v>
      </c>
      <c r="CA137" s="1">
        <v>6288</v>
      </c>
      <c r="CB137" s="1">
        <v>1324</v>
      </c>
      <c r="CC137" s="1">
        <v>0</v>
      </c>
      <c r="CD137" s="1">
        <v>0</v>
      </c>
      <c r="CE137" s="1">
        <v>0</v>
      </c>
      <c r="CF137" s="1">
        <v>14892</v>
      </c>
      <c r="CG137" s="1">
        <f>SUM(tblSection619[[#This Row],[LEA/District]:[ECSE]])</f>
        <v>22504</v>
      </c>
      <c r="CH137" s="1">
        <f>tblSection619[[#This Row],[Gross Total]]*0.15</f>
        <v>3375.6</v>
      </c>
    </row>
    <row r="138" spans="1:86" x14ac:dyDescent="0.35">
      <c r="A138" t="s">
        <v>158</v>
      </c>
      <c r="B138">
        <v>2192</v>
      </c>
      <c r="C138" t="s">
        <v>1528</v>
      </c>
      <c r="D138" s="44">
        <f>LEN(TblAgencies[[#This Row],[InstNm]])</f>
        <v>15</v>
      </c>
      <c r="E138" s="44" t="s">
        <v>1900</v>
      </c>
      <c r="F138" s="44" t="s">
        <v>1900</v>
      </c>
      <c r="G13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38" s="44"/>
      <c r="I138" s="44"/>
      <c r="J138" s="44"/>
      <c r="K138" s="44"/>
      <c r="M138" s="44"/>
      <c r="N138" s="44">
        <v>2192</v>
      </c>
      <c r="O138" t="s">
        <v>158</v>
      </c>
      <c r="P138" s="1">
        <v>31878.653203519749</v>
      </c>
      <c r="Q138" s="1">
        <v>11592.237528552636</v>
      </c>
      <c r="R138" s="1">
        <v>0</v>
      </c>
      <c r="S138" s="1">
        <v>0</v>
      </c>
      <c r="T138" s="1">
        <v>0</v>
      </c>
      <c r="U138" s="1">
        <v>0</v>
      </c>
      <c r="V138" s="1">
        <v>0</v>
      </c>
      <c r="W138" s="1">
        <v>31878.653203519745</v>
      </c>
      <c r="X138" s="1">
        <f>tblSection6111416[[#This Row],[Net Total]]*0.15</f>
        <v>4781.797980527962</v>
      </c>
      <c r="Y138" s="1"/>
      <c r="AA138" s="44">
        <v>2192</v>
      </c>
      <c r="AB138" t="s">
        <v>158</v>
      </c>
      <c r="AC138" s="1">
        <v>1009.8241793052445</v>
      </c>
      <c r="AD138" s="1">
        <v>0</v>
      </c>
      <c r="AE138" s="1">
        <v>0</v>
      </c>
      <c r="AF138" s="1">
        <v>0</v>
      </c>
      <c r="AG138" s="1">
        <v>0</v>
      </c>
      <c r="AH138" s="1">
        <v>0</v>
      </c>
      <c r="AI138" s="1">
        <v>1009.8241793052445</v>
      </c>
      <c r="AJ138" s="1">
        <f>tblSection6191517[[#This Row],[Net Total]]*0.15</f>
        <v>151.47362689578665</v>
      </c>
      <c r="AK138" s="1"/>
      <c r="AM138" s="44"/>
      <c r="AN138" s="44">
        <v>2192</v>
      </c>
      <c r="AO138" t="s">
        <v>158</v>
      </c>
      <c r="AP138" s="247">
        <v>31878.653203519749</v>
      </c>
      <c r="AQ138" s="247">
        <v>11592.237528552636</v>
      </c>
      <c r="AR138" s="247">
        <v>0</v>
      </c>
      <c r="AS138" s="247">
        <v>0</v>
      </c>
      <c r="AT138" s="247">
        <v>0</v>
      </c>
      <c r="AU138" s="247">
        <v>0</v>
      </c>
      <c r="AV138" s="247">
        <v>0</v>
      </c>
      <c r="AW138" s="247">
        <v>43470.890732072381</v>
      </c>
      <c r="AX138" s="1">
        <f>tblSection61114[[#This Row],[Gross Total]]*0.15</f>
        <v>6520.6336098108568</v>
      </c>
      <c r="AZ138" s="44">
        <v>2192</v>
      </c>
      <c r="BA138" t="s">
        <v>158</v>
      </c>
      <c r="BB138" s="247">
        <v>1009.8241793052445</v>
      </c>
      <c r="BC138" s="247">
        <v>0</v>
      </c>
      <c r="BD138" s="247">
        <v>0</v>
      </c>
      <c r="BE138" s="247">
        <v>0</v>
      </c>
      <c r="BF138" s="247">
        <v>0</v>
      </c>
      <c r="BG138" s="247">
        <v>0</v>
      </c>
      <c r="BH138" s="247">
        <v>1009.8241793052445</v>
      </c>
      <c r="BI138" s="1">
        <f>tblSection61915[[#This Row],[Gross Total]]*0.15</f>
        <v>151.47362689578665</v>
      </c>
      <c r="BJ138" s="44"/>
      <c r="BK138" s="246"/>
      <c r="BM138" s="44">
        <v>2192</v>
      </c>
      <c r="BN138" t="s">
        <v>158</v>
      </c>
      <c r="BO138" s="1">
        <v>34438</v>
      </c>
      <c r="BP138" s="1">
        <v>13392</v>
      </c>
      <c r="BQ138" s="1">
        <v>0</v>
      </c>
      <c r="BR138" s="1">
        <v>0</v>
      </c>
      <c r="BS138" s="1">
        <v>0</v>
      </c>
      <c r="BT138" s="1">
        <v>0</v>
      </c>
      <c r="BU138" s="1">
        <f>SUM(tblSection611[[#This Row],[LEA/District]:[ECSE]])</f>
        <v>47830</v>
      </c>
      <c r="BV138" s="1">
        <f>tblSection611[[#This Row],[Gross Total]]*0.15</f>
        <v>7174.5</v>
      </c>
      <c r="BW138" s="1"/>
      <c r="BY138" s="44">
        <v>2192</v>
      </c>
      <c r="BZ138" t="s">
        <v>158</v>
      </c>
      <c r="CA138" s="1">
        <v>1078</v>
      </c>
      <c r="CB138" s="1">
        <v>0</v>
      </c>
      <c r="CC138" s="1">
        <v>0</v>
      </c>
      <c r="CD138" s="1">
        <v>0</v>
      </c>
      <c r="CE138" s="1">
        <v>0</v>
      </c>
      <c r="CF138" s="1">
        <v>0</v>
      </c>
      <c r="CG138" s="1">
        <f>SUM(tblSection619[[#This Row],[LEA/District]:[ECSE]])</f>
        <v>1078</v>
      </c>
      <c r="CH138" s="1">
        <f>tblSection619[[#This Row],[Gross Total]]*0.15</f>
        <v>161.69999999999999</v>
      </c>
    </row>
    <row r="139" spans="1:86" x14ac:dyDescent="0.35">
      <c r="A139" t="s">
        <v>160</v>
      </c>
      <c r="B139">
        <v>1900</v>
      </c>
      <c r="C139" t="s">
        <v>1528</v>
      </c>
      <c r="D139" s="44">
        <f>LEN(TblAgencies[[#This Row],[InstNm]])</f>
        <v>16</v>
      </c>
      <c r="E139" s="44" t="s">
        <v>1900</v>
      </c>
      <c r="F139" s="44" t="s">
        <v>1900</v>
      </c>
      <c r="G13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39" s="44"/>
      <c r="I139" s="44"/>
      <c r="J139" s="44"/>
      <c r="K139" s="44"/>
      <c r="M139" s="44"/>
      <c r="N139" s="44">
        <v>1900</v>
      </c>
      <c r="O139" t="s">
        <v>160</v>
      </c>
      <c r="P139" s="1">
        <v>267344.98909689207</v>
      </c>
      <c r="Q139" s="1">
        <v>62496.231217455279</v>
      </c>
      <c r="R139" s="1">
        <v>0</v>
      </c>
      <c r="S139" s="1">
        <v>0</v>
      </c>
      <c r="T139" s="1">
        <v>0</v>
      </c>
      <c r="U139" s="1">
        <v>0</v>
      </c>
      <c r="V139" s="1">
        <v>15624.05780436382</v>
      </c>
      <c r="W139" s="1">
        <v>267344.98909689207</v>
      </c>
      <c r="X139" s="1">
        <f>tblSection6111416[[#This Row],[Net Total]]*0.15</f>
        <v>40101.748364533807</v>
      </c>
      <c r="Y139" s="1"/>
      <c r="AA139" s="44">
        <v>1900</v>
      </c>
      <c r="AB139" t="s">
        <v>160</v>
      </c>
      <c r="AC139" s="1">
        <v>5797.1887405017042</v>
      </c>
      <c r="AD139" s="1">
        <v>0</v>
      </c>
      <c r="AE139" s="1">
        <v>0</v>
      </c>
      <c r="AF139" s="1">
        <v>0</v>
      </c>
      <c r="AG139" s="1">
        <v>0</v>
      </c>
      <c r="AH139" s="1">
        <v>7453.5283806450479</v>
      </c>
      <c r="AI139" s="1">
        <v>5797.1887405017042</v>
      </c>
      <c r="AJ139" s="1">
        <f>tblSection6191517[[#This Row],[Net Total]]*0.15</f>
        <v>869.57831107525556</v>
      </c>
      <c r="AK139" s="1"/>
      <c r="AM139" s="44"/>
      <c r="AN139" s="44">
        <v>1900</v>
      </c>
      <c r="AO139" t="s">
        <v>160</v>
      </c>
      <c r="AP139" s="247">
        <v>267344.98909689207</v>
      </c>
      <c r="AQ139" s="247">
        <v>62496.231217455279</v>
      </c>
      <c r="AR139" s="247">
        <v>0</v>
      </c>
      <c r="AS139" s="247">
        <v>0</v>
      </c>
      <c r="AT139" s="247">
        <v>0</v>
      </c>
      <c r="AU139" s="247">
        <v>0</v>
      </c>
      <c r="AV139" s="247">
        <v>15624.05780436382</v>
      </c>
      <c r="AW139" s="247">
        <v>345465.2781187112</v>
      </c>
      <c r="AX139" s="1">
        <f>tblSection61114[[#This Row],[Gross Total]]*0.15</f>
        <v>51819.791717806678</v>
      </c>
      <c r="AZ139" s="44">
        <v>1900</v>
      </c>
      <c r="BA139" t="s">
        <v>160</v>
      </c>
      <c r="BB139" s="247">
        <v>5797.1887405017042</v>
      </c>
      <c r="BC139" s="247">
        <v>0</v>
      </c>
      <c r="BD139" s="247">
        <v>0</v>
      </c>
      <c r="BE139" s="247">
        <v>0</v>
      </c>
      <c r="BF139" s="247">
        <v>0</v>
      </c>
      <c r="BG139" s="247">
        <v>7453.5283806450479</v>
      </c>
      <c r="BH139" s="247">
        <v>13250.717121146752</v>
      </c>
      <c r="BI139" s="1">
        <f>tblSection61915[[#This Row],[Gross Total]]*0.15</f>
        <v>1987.6075681720126</v>
      </c>
      <c r="BJ139" s="44"/>
      <c r="BK139" s="246"/>
      <c r="BM139" s="44">
        <v>1900</v>
      </c>
      <c r="BN139" t="s">
        <v>160</v>
      </c>
      <c r="BO139" s="1">
        <v>249082</v>
      </c>
      <c r="BP139" s="1">
        <v>63765</v>
      </c>
      <c r="BQ139" s="1">
        <v>0</v>
      </c>
      <c r="BR139" s="1">
        <v>0</v>
      </c>
      <c r="BS139" s="1">
        <v>0</v>
      </c>
      <c r="BT139" s="1">
        <v>17934</v>
      </c>
      <c r="BU139" s="1">
        <f>SUM(tblSection611[[#This Row],[LEA/District]:[ECSE]])</f>
        <v>330781</v>
      </c>
      <c r="BV139" s="1">
        <f>tblSection611[[#This Row],[Gross Total]]*0.15</f>
        <v>49617.15</v>
      </c>
      <c r="BW139" s="1"/>
      <c r="BY139" s="44">
        <v>1900</v>
      </c>
      <c r="BZ139" t="s">
        <v>160</v>
      </c>
      <c r="CA139" s="1">
        <v>3214</v>
      </c>
      <c r="CB139" s="1">
        <v>0</v>
      </c>
      <c r="CC139" s="1">
        <v>0</v>
      </c>
      <c r="CD139" s="1">
        <v>0</v>
      </c>
      <c r="CE139" s="1">
        <v>0</v>
      </c>
      <c r="CF139" s="1">
        <v>9643</v>
      </c>
      <c r="CG139" s="1">
        <f>SUM(tblSection619[[#This Row],[LEA/District]:[ECSE]])</f>
        <v>12857</v>
      </c>
      <c r="CH139" s="1">
        <f>tblSection619[[#This Row],[Gross Total]]*0.15</f>
        <v>1928.55</v>
      </c>
    </row>
    <row r="140" spans="1:86" x14ac:dyDescent="0.35">
      <c r="A140" t="s">
        <v>161</v>
      </c>
      <c r="B140">
        <v>2039</v>
      </c>
      <c r="C140" t="s">
        <v>1528</v>
      </c>
      <c r="D140" s="44">
        <f>LEN(TblAgencies[[#This Row],[InstNm]])</f>
        <v>19</v>
      </c>
      <c r="E140" s="44" t="s">
        <v>1900</v>
      </c>
      <c r="F140" s="44" t="s">
        <v>1900</v>
      </c>
      <c r="G14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40" s="44"/>
      <c r="I140" s="44"/>
      <c r="J140" s="44"/>
      <c r="K140" s="44"/>
      <c r="M140" s="44"/>
      <c r="N140" s="44">
        <v>2039</v>
      </c>
      <c r="O140" t="s">
        <v>161</v>
      </c>
      <c r="P140" s="1">
        <v>552210.54102738888</v>
      </c>
      <c r="Q140" s="1">
        <v>46688.354780741327</v>
      </c>
      <c r="R140" s="1">
        <v>0</v>
      </c>
      <c r="S140" s="1">
        <v>0</v>
      </c>
      <c r="T140" s="1">
        <v>0</v>
      </c>
      <c r="U140" s="1">
        <v>0</v>
      </c>
      <c r="V140" s="1">
        <v>53128.127853947037</v>
      </c>
      <c r="W140" s="1">
        <v>552210.54102738888</v>
      </c>
      <c r="X140" s="1">
        <f>tblSection6111416[[#This Row],[Net Total]]*0.15</f>
        <v>82831.581154108324</v>
      </c>
      <c r="Y140" s="1"/>
      <c r="AA140" s="44">
        <v>2039</v>
      </c>
      <c r="AB140" t="s">
        <v>161</v>
      </c>
      <c r="AC140" s="1">
        <v>7321.5188357629395</v>
      </c>
      <c r="AD140" s="1">
        <v>4118.3543451166533</v>
      </c>
      <c r="AE140" s="1">
        <v>0</v>
      </c>
      <c r="AF140" s="1">
        <v>0</v>
      </c>
      <c r="AG140" s="1">
        <v>0</v>
      </c>
      <c r="AH140" s="1">
        <v>15100.632598761062</v>
      </c>
      <c r="AI140" s="1">
        <v>7321.5188357629377</v>
      </c>
      <c r="AJ140" s="1">
        <f>tblSection6191517[[#This Row],[Net Total]]*0.15</f>
        <v>1098.2278253644406</v>
      </c>
      <c r="AK140" s="1"/>
      <c r="AM140" s="44"/>
      <c r="AN140" s="44">
        <v>2039</v>
      </c>
      <c r="AO140" t="s">
        <v>161</v>
      </c>
      <c r="AP140" s="247">
        <v>552210.54102738888</v>
      </c>
      <c r="AQ140" s="247">
        <v>46688.354780741327</v>
      </c>
      <c r="AR140" s="247">
        <v>0</v>
      </c>
      <c r="AS140" s="247">
        <v>0</v>
      </c>
      <c r="AT140" s="247">
        <v>0</v>
      </c>
      <c r="AU140" s="247">
        <v>0</v>
      </c>
      <c r="AV140" s="247">
        <v>40248.581707535632</v>
      </c>
      <c r="AW140" s="247">
        <v>639147.47751566593</v>
      </c>
      <c r="AX140" s="1">
        <f>tblSection61114[[#This Row],[Gross Total]]*0.15</f>
        <v>95872.121627349887</v>
      </c>
      <c r="AZ140" s="44">
        <v>2039</v>
      </c>
      <c r="BA140" t="s">
        <v>161</v>
      </c>
      <c r="BB140" s="247">
        <v>7321.5188357629395</v>
      </c>
      <c r="BC140" s="247">
        <v>4118.3543451166533</v>
      </c>
      <c r="BD140" s="247">
        <v>0</v>
      </c>
      <c r="BE140" s="247">
        <v>0</v>
      </c>
      <c r="BF140" s="247">
        <v>0</v>
      </c>
      <c r="BG140" s="247">
        <v>11439.873180879593</v>
      </c>
      <c r="BH140" s="247">
        <v>22879.746361759186</v>
      </c>
      <c r="BI140" s="1">
        <f>tblSection61915[[#This Row],[Gross Total]]*0.15</f>
        <v>3431.9619542638779</v>
      </c>
      <c r="BJ140" s="44"/>
      <c r="BK140" s="246"/>
      <c r="BM140" s="44">
        <v>2039</v>
      </c>
      <c r="BN140" t="s">
        <v>161</v>
      </c>
      <c r="BO140" s="1">
        <v>542821</v>
      </c>
      <c r="BP140" s="1">
        <v>29052</v>
      </c>
      <c r="BQ140" s="1">
        <v>0</v>
      </c>
      <c r="BR140" s="1">
        <v>0</v>
      </c>
      <c r="BS140" s="1">
        <v>0</v>
      </c>
      <c r="BT140" s="1">
        <v>38227</v>
      </c>
      <c r="BU140" s="1">
        <f>SUM(tblSection611[[#This Row],[LEA/District]:[ECSE]])</f>
        <v>610100</v>
      </c>
      <c r="BV140" s="1">
        <f>tblSection611[[#This Row],[Gross Total]]*0.15</f>
        <v>91515</v>
      </c>
      <c r="BW140" s="1"/>
      <c r="BY140" s="44">
        <v>2039</v>
      </c>
      <c r="BZ140" t="s">
        <v>161</v>
      </c>
      <c r="CA140" s="1">
        <v>9581</v>
      </c>
      <c r="CB140" s="1">
        <v>0</v>
      </c>
      <c r="CC140" s="1">
        <v>0</v>
      </c>
      <c r="CD140" s="1">
        <v>0</v>
      </c>
      <c r="CE140" s="1">
        <v>0</v>
      </c>
      <c r="CF140" s="1">
        <v>11977</v>
      </c>
      <c r="CG140" s="1">
        <f>SUM(tblSection619[[#This Row],[LEA/District]:[ECSE]])</f>
        <v>21558</v>
      </c>
      <c r="CH140" s="1">
        <f>tblSection619[[#This Row],[Gross Total]]*0.15</f>
        <v>3233.7</v>
      </c>
    </row>
    <row r="141" spans="1:86" x14ac:dyDescent="0.35">
      <c r="A141" t="s">
        <v>162</v>
      </c>
      <c r="B141">
        <v>2202</v>
      </c>
      <c r="C141" t="s">
        <v>1528</v>
      </c>
      <c r="D141" s="44">
        <f>LEN(TblAgencies[[#This Row],[InstNm]])</f>
        <v>15</v>
      </c>
      <c r="E141" s="44" t="s">
        <v>1900</v>
      </c>
      <c r="F141" s="44" t="s">
        <v>1900</v>
      </c>
      <c r="G14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41" s="44"/>
      <c r="I141" s="44"/>
      <c r="J141" s="44"/>
      <c r="K141" s="44"/>
      <c r="M141" s="44"/>
      <c r="N141" s="44">
        <v>2202</v>
      </c>
      <c r="O141" t="s">
        <v>162</v>
      </c>
      <c r="P141" s="1">
        <v>87204.838481927873</v>
      </c>
      <c r="Q141" s="1">
        <v>6084.0584987391539</v>
      </c>
      <c r="R141" s="1">
        <v>0</v>
      </c>
      <c r="S141" s="1">
        <v>0</v>
      </c>
      <c r="T141" s="1">
        <v>0</v>
      </c>
      <c r="U141" s="1">
        <v>0</v>
      </c>
      <c r="V141" s="1">
        <v>2028.0194995797183</v>
      </c>
      <c r="W141" s="1">
        <v>87204.838481927873</v>
      </c>
      <c r="X141" s="1">
        <f>tblSection6111416[[#This Row],[Net Total]]*0.15</f>
        <v>13080.725772289181</v>
      </c>
      <c r="Y141" s="1"/>
      <c r="AA141" s="44">
        <v>2202</v>
      </c>
      <c r="AB141" t="s">
        <v>162</v>
      </c>
      <c r="AC141" s="1">
        <v>525.41255468238421</v>
      </c>
      <c r="AD141" s="1">
        <v>525.41255468238421</v>
      </c>
      <c r="AE141" s="1">
        <v>0</v>
      </c>
      <c r="AF141" s="1">
        <v>0</v>
      </c>
      <c r="AG141" s="1">
        <v>0</v>
      </c>
      <c r="AH141" s="1">
        <v>525.41255468238421</v>
      </c>
      <c r="AI141" s="1">
        <v>525.4125546823841</v>
      </c>
      <c r="AJ141" s="1">
        <f>tblSection6191517[[#This Row],[Net Total]]*0.15</f>
        <v>78.811883202357606</v>
      </c>
      <c r="AK141" s="1"/>
      <c r="AM141" s="44"/>
      <c r="AN141" s="44">
        <v>2202</v>
      </c>
      <c r="AO141" t="s">
        <v>162</v>
      </c>
      <c r="AP141" s="247">
        <v>87204.838481927873</v>
      </c>
      <c r="AQ141" s="247">
        <v>6084.0584987391539</v>
      </c>
      <c r="AR141" s="247">
        <v>0</v>
      </c>
      <c r="AS141" s="247">
        <v>0</v>
      </c>
      <c r="AT141" s="247">
        <v>0</v>
      </c>
      <c r="AU141" s="247">
        <v>0</v>
      </c>
      <c r="AV141" s="247">
        <v>2028.0194995797183</v>
      </c>
      <c r="AW141" s="247">
        <v>95316.916480246742</v>
      </c>
      <c r="AX141" s="1">
        <f>tblSection61114[[#This Row],[Gross Total]]*0.15</f>
        <v>14297.537472037011</v>
      </c>
      <c r="AZ141" s="44">
        <v>2202</v>
      </c>
      <c r="BA141" t="s">
        <v>162</v>
      </c>
      <c r="BB141" s="247">
        <v>525.41255468238421</v>
      </c>
      <c r="BC141" s="247">
        <v>525.41255468238421</v>
      </c>
      <c r="BD141" s="247">
        <v>0</v>
      </c>
      <c r="BE141" s="247">
        <v>0</v>
      </c>
      <c r="BF141" s="247">
        <v>0</v>
      </c>
      <c r="BG141" s="247">
        <v>525.41255468238421</v>
      </c>
      <c r="BH141" s="247">
        <v>1576.2376640471525</v>
      </c>
      <c r="BI141" s="1">
        <f>tblSection61915[[#This Row],[Gross Total]]*0.15</f>
        <v>236.43564960707286</v>
      </c>
      <c r="BJ141" s="44"/>
      <c r="BK141" s="246"/>
      <c r="BM141" s="44">
        <v>2202</v>
      </c>
      <c r="BN141" t="s">
        <v>162</v>
      </c>
      <c r="BO141" s="1">
        <v>74523</v>
      </c>
      <c r="BP141" s="1">
        <v>1818</v>
      </c>
      <c r="BQ141" s="1">
        <v>0</v>
      </c>
      <c r="BR141" s="1">
        <v>0</v>
      </c>
      <c r="BS141" s="1">
        <v>0</v>
      </c>
      <c r="BT141" s="1">
        <v>3635</v>
      </c>
      <c r="BU141" s="1">
        <f>SUM(tblSection611[[#This Row],[LEA/District]:[ECSE]])</f>
        <v>79976</v>
      </c>
      <c r="BV141" s="1">
        <f>tblSection611[[#This Row],[Gross Total]]*0.15</f>
        <v>11996.4</v>
      </c>
      <c r="BW141" s="1"/>
      <c r="BY141" s="44">
        <v>2202</v>
      </c>
      <c r="BZ141" t="s">
        <v>162</v>
      </c>
      <c r="CA141" s="1">
        <v>514</v>
      </c>
      <c r="CB141" s="1">
        <v>0</v>
      </c>
      <c r="CC141" s="1">
        <v>0</v>
      </c>
      <c r="CD141" s="1">
        <v>0</v>
      </c>
      <c r="CE141" s="1">
        <v>0</v>
      </c>
      <c r="CF141" s="1">
        <v>1028</v>
      </c>
      <c r="CG141" s="1">
        <f>SUM(tblSection619[[#This Row],[LEA/District]:[ECSE]])</f>
        <v>1542</v>
      </c>
      <c r="CH141" s="1">
        <f>tblSection619[[#This Row],[Gross Total]]*0.15</f>
        <v>231.29999999999998</v>
      </c>
    </row>
    <row r="142" spans="1:86" x14ac:dyDescent="0.35">
      <c r="A142" t="s">
        <v>163</v>
      </c>
      <c r="B142">
        <v>2016</v>
      </c>
      <c r="C142" t="s">
        <v>1528</v>
      </c>
      <c r="D142" s="44">
        <f>LEN(TblAgencies[[#This Row],[InstNm]])</f>
        <v>15</v>
      </c>
      <c r="E142" s="44" t="s">
        <v>1900</v>
      </c>
      <c r="F142" s="44" t="s">
        <v>1900</v>
      </c>
      <c r="G14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42" s="44"/>
      <c r="I142" s="44"/>
      <c r="J142" s="44"/>
      <c r="K142" s="44"/>
      <c r="M142" s="44"/>
      <c r="N142" s="44">
        <v>2016</v>
      </c>
      <c r="O142" t="s">
        <v>163</v>
      </c>
      <c r="P142" s="1">
        <v>1143.1400000000001</v>
      </c>
      <c r="Q142" s="1">
        <v>0</v>
      </c>
      <c r="R142" s="1">
        <v>0</v>
      </c>
      <c r="S142" s="1">
        <v>0</v>
      </c>
      <c r="T142" s="1">
        <v>0</v>
      </c>
      <c r="U142" s="1">
        <v>0</v>
      </c>
      <c r="V142" s="1">
        <v>0</v>
      </c>
      <c r="W142" s="1">
        <v>1143.1400000000001</v>
      </c>
      <c r="X142" s="1">
        <f>tblSection6111416[[#This Row],[Net Total]]*0.15</f>
        <v>171.471</v>
      </c>
      <c r="Y142" s="1"/>
      <c r="AA142" s="44">
        <v>2016</v>
      </c>
      <c r="AB142" t="s">
        <v>163</v>
      </c>
      <c r="AC142" s="1">
        <v>271.91143699563565</v>
      </c>
      <c r="AD142" s="1">
        <v>0</v>
      </c>
      <c r="AE142" s="1">
        <v>0</v>
      </c>
      <c r="AF142" s="1">
        <v>0</v>
      </c>
      <c r="AG142" s="1">
        <v>0</v>
      </c>
      <c r="AH142" s="1">
        <v>0</v>
      </c>
      <c r="AI142" s="1">
        <v>271.91143699563565</v>
      </c>
      <c r="AJ142" s="1">
        <f>tblSection6191517[[#This Row],[Net Total]]*0.15</f>
        <v>40.786715549345345</v>
      </c>
      <c r="AK142" s="1"/>
      <c r="AM142" s="44"/>
      <c r="AN142" s="44">
        <v>2016</v>
      </c>
      <c r="AO142" t="s">
        <v>163</v>
      </c>
      <c r="AP142" s="247">
        <v>1143.1400000000001</v>
      </c>
      <c r="AQ142" s="247">
        <v>0</v>
      </c>
      <c r="AR142" s="247">
        <v>0</v>
      </c>
      <c r="AS142" s="247">
        <v>0</v>
      </c>
      <c r="AT142" s="247">
        <v>0</v>
      </c>
      <c r="AU142" s="247">
        <v>0</v>
      </c>
      <c r="AV142" s="247">
        <v>0</v>
      </c>
      <c r="AW142" s="247">
        <v>1143.1400000000001</v>
      </c>
      <c r="AX142" s="1">
        <f>tblSection61114[[#This Row],[Gross Total]]*0.15</f>
        <v>171.471</v>
      </c>
      <c r="AZ142" s="44">
        <v>2016</v>
      </c>
      <c r="BA142" t="s">
        <v>163</v>
      </c>
      <c r="BB142" s="247">
        <v>271.91143699563565</v>
      </c>
      <c r="BC142" s="247">
        <v>0</v>
      </c>
      <c r="BD142" s="247">
        <v>0</v>
      </c>
      <c r="BE142" s="247">
        <v>0</v>
      </c>
      <c r="BF142" s="247">
        <v>0</v>
      </c>
      <c r="BG142" s="247">
        <v>0</v>
      </c>
      <c r="BH142" s="247">
        <v>271.91143699563565</v>
      </c>
      <c r="BI142" s="1">
        <f>tblSection61915[[#This Row],[Gross Total]]*0.15</f>
        <v>40.786715549345345</v>
      </c>
      <c r="BJ142" s="44"/>
      <c r="BK142" s="246"/>
      <c r="BM142" s="44">
        <v>2016</v>
      </c>
      <c r="BN142" t="s">
        <v>163</v>
      </c>
      <c r="BO142" s="1">
        <v>1857</v>
      </c>
      <c r="BP142" s="1">
        <v>0</v>
      </c>
      <c r="BQ142" s="1">
        <v>0</v>
      </c>
      <c r="BR142" s="1">
        <v>0</v>
      </c>
      <c r="BS142" s="1">
        <v>0</v>
      </c>
      <c r="BT142" s="1">
        <v>0</v>
      </c>
      <c r="BU142" s="1">
        <f>SUM(tblSection611[[#This Row],[LEA/District]:[ECSE]])</f>
        <v>1857</v>
      </c>
      <c r="BV142" s="1">
        <f>tblSection611[[#This Row],[Gross Total]]*0.15</f>
        <v>278.55</v>
      </c>
      <c r="BW142" s="1"/>
      <c r="BY142" s="44">
        <v>2016</v>
      </c>
      <c r="BZ142" t="s">
        <v>163</v>
      </c>
      <c r="CA142" s="1">
        <v>262</v>
      </c>
      <c r="CB142" s="1">
        <v>0</v>
      </c>
      <c r="CC142" s="1">
        <v>0</v>
      </c>
      <c r="CD142" s="1">
        <v>0</v>
      </c>
      <c r="CE142" s="1">
        <v>0</v>
      </c>
      <c r="CF142" s="1">
        <v>0</v>
      </c>
      <c r="CG142" s="1">
        <f>SUM(tblSection619[[#This Row],[LEA/District]:[ECSE]])</f>
        <v>262</v>
      </c>
      <c r="CH142" s="1">
        <f>tblSection619[[#This Row],[Gross Total]]*0.15</f>
        <v>39.299999999999997</v>
      </c>
    </row>
    <row r="143" spans="1:86" x14ac:dyDescent="0.35">
      <c r="A143" t="s">
        <v>164</v>
      </c>
      <c r="B143">
        <v>1897</v>
      </c>
      <c r="C143" t="s">
        <v>1528</v>
      </c>
      <c r="D143" s="44">
        <f>LEN(TblAgencies[[#This Row],[InstNm]])</f>
        <v>16</v>
      </c>
      <c r="E143" s="44" t="s">
        <v>1900</v>
      </c>
      <c r="F143" s="44" t="s">
        <v>1900</v>
      </c>
      <c r="G14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43" s="44"/>
      <c r="I143" s="44"/>
      <c r="J143" s="44"/>
      <c r="K143" s="44"/>
      <c r="M143" s="44"/>
      <c r="N143" s="44">
        <v>1897</v>
      </c>
      <c r="O143" t="s">
        <v>164</v>
      </c>
      <c r="P143" s="1">
        <v>54470.051317422287</v>
      </c>
      <c r="Q143" s="1">
        <v>3112.5743609955589</v>
      </c>
      <c r="R143" s="1">
        <v>0</v>
      </c>
      <c r="S143" s="1">
        <v>0</v>
      </c>
      <c r="T143" s="1">
        <v>0</v>
      </c>
      <c r="U143" s="1">
        <v>0</v>
      </c>
      <c r="V143" s="1">
        <v>1556.2871804977794</v>
      </c>
      <c r="W143" s="1">
        <v>54470.051317422287</v>
      </c>
      <c r="X143" s="1">
        <f>tblSection6111416[[#This Row],[Net Total]]*0.15</f>
        <v>8170.5076976133423</v>
      </c>
      <c r="Y143" s="1"/>
      <c r="AA143" s="44">
        <v>1897</v>
      </c>
      <c r="AB143" t="s">
        <v>164</v>
      </c>
      <c r="AC143" s="1">
        <v>444.55044277989509</v>
      </c>
      <c r="AD143" s="1">
        <v>0</v>
      </c>
      <c r="AE143" s="1">
        <v>0</v>
      </c>
      <c r="AF143" s="1">
        <v>0</v>
      </c>
      <c r="AG143" s="1">
        <v>0</v>
      </c>
      <c r="AH143" s="1">
        <v>222.27522138994755</v>
      </c>
      <c r="AI143" s="1">
        <v>444.55044277989509</v>
      </c>
      <c r="AJ143" s="1">
        <f>tblSection6191517[[#This Row],[Net Total]]*0.15</f>
        <v>66.682566416984258</v>
      </c>
      <c r="AK143" s="1"/>
      <c r="AM143" s="44"/>
      <c r="AN143" s="44">
        <v>1897</v>
      </c>
      <c r="AO143" t="s">
        <v>164</v>
      </c>
      <c r="AP143" s="247">
        <v>54470.051317422287</v>
      </c>
      <c r="AQ143" s="247">
        <v>3112.5743609955589</v>
      </c>
      <c r="AR143" s="247">
        <v>0</v>
      </c>
      <c r="AS143" s="247">
        <v>0</v>
      </c>
      <c r="AT143" s="247">
        <v>0</v>
      </c>
      <c r="AU143" s="247">
        <v>0</v>
      </c>
      <c r="AV143" s="247">
        <v>1556.2871804977794</v>
      </c>
      <c r="AW143" s="247">
        <v>59138.912858915624</v>
      </c>
      <c r="AX143" s="1">
        <f>tblSection61114[[#This Row],[Gross Total]]*0.15</f>
        <v>8870.8369288373433</v>
      </c>
      <c r="AZ143" s="44">
        <v>1897</v>
      </c>
      <c r="BA143" t="s">
        <v>164</v>
      </c>
      <c r="BB143" s="247">
        <v>444.55044277989509</v>
      </c>
      <c r="BC143" s="247">
        <v>0</v>
      </c>
      <c r="BD143" s="247">
        <v>0</v>
      </c>
      <c r="BE143" s="247">
        <v>0</v>
      </c>
      <c r="BF143" s="247">
        <v>0</v>
      </c>
      <c r="BG143" s="247">
        <v>222.27522138994755</v>
      </c>
      <c r="BH143" s="247">
        <v>666.82566416984264</v>
      </c>
      <c r="BI143" s="1">
        <f>tblSection61915[[#This Row],[Gross Total]]*0.15</f>
        <v>100.02384962547639</v>
      </c>
      <c r="BJ143" s="44"/>
      <c r="BK143" s="246"/>
      <c r="BM143" s="44">
        <v>1897</v>
      </c>
      <c r="BN143" t="s">
        <v>164</v>
      </c>
      <c r="BO143" s="1">
        <v>41043</v>
      </c>
      <c r="BP143" s="1">
        <v>3848</v>
      </c>
      <c r="BQ143" s="1">
        <v>0</v>
      </c>
      <c r="BR143" s="1">
        <v>0</v>
      </c>
      <c r="BS143" s="1">
        <v>0</v>
      </c>
      <c r="BT143" s="1">
        <v>2565</v>
      </c>
      <c r="BU143" s="1">
        <f>SUM(tblSection611[[#This Row],[LEA/District]:[ECSE]])</f>
        <v>47456</v>
      </c>
      <c r="BV143" s="1">
        <f>tblSection611[[#This Row],[Gross Total]]*0.15</f>
        <v>7118.4</v>
      </c>
      <c r="BW143" s="1"/>
      <c r="BY143" s="44">
        <v>1897</v>
      </c>
      <c r="BZ143" t="s">
        <v>164</v>
      </c>
      <c r="CA143" s="1">
        <v>194</v>
      </c>
      <c r="CB143" s="1">
        <v>0</v>
      </c>
      <c r="CC143" s="1">
        <v>0</v>
      </c>
      <c r="CD143" s="1">
        <v>0</v>
      </c>
      <c r="CE143" s="1">
        <v>0</v>
      </c>
      <c r="CF143" s="1">
        <v>194</v>
      </c>
      <c r="CG143" s="1">
        <f>SUM(tblSection619[[#This Row],[LEA/District]:[ECSE]])</f>
        <v>388</v>
      </c>
      <c r="CH143" s="1">
        <f>tblSection619[[#This Row],[Gross Total]]*0.15</f>
        <v>58.199999999999996</v>
      </c>
    </row>
    <row r="144" spans="1:86" x14ac:dyDescent="0.35">
      <c r="A144" t="s">
        <v>165</v>
      </c>
      <c r="B144">
        <v>2047</v>
      </c>
      <c r="C144" t="s">
        <v>1528</v>
      </c>
      <c r="D144" s="44">
        <f>LEN(TblAgencies[[#This Row],[InstNm]])</f>
        <v>15</v>
      </c>
      <c r="E144" s="44" t="s">
        <v>1900</v>
      </c>
      <c r="F144" s="44" t="s">
        <v>1900</v>
      </c>
      <c r="G14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44" s="44"/>
      <c r="I144" s="44"/>
      <c r="J144" s="44"/>
      <c r="K144" s="44"/>
      <c r="M144" s="44"/>
      <c r="N144" s="44">
        <v>2047</v>
      </c>
      <c r="O144" t="s">
        <v>165</v>
      </c>
      <c r="P144" s="1">
        <v>6526.4053821381594</v>
      </c>
      <c r="Q144" s="1">
        <v>0</v>
      </c>
      <c r="R144" s="1">
        <v>0</v>
      </c>
      <c r="S144" s="1">
        <v>0</v>
      </c>
      <c r="T144" s="1">
        <v>0</v>
      </c>
      <c r="U144" s="1">
        <v>0</v>
      </c>
      <c r="V144" s="1">
        <v>0</v>
      </c>
      <c r="W144" s="1">
        <v>6526.4053821381594</v>
      </c>
      <c r="X144" s="1">
        <f>tblSection6111416[[#This Row],[Net Total]]*0.15</f>
        <v>978.96080732072392</v>
      </c>
      <c r="Y144" s="1"/>
      <c r="AA144" s="44">
        <v>2047</v>
      </c>
      <c r="AB144" t="s">
        <v>165</v>
      </c>
      <c r="AC144" s="1">
        <v>968.8232492457206</v>
      </c>
      <c r="AD144" s="1">
        <v>0</v>
      </c>
      <c r="AE144" s="1">
        <v>0</v>
      </c>
      <c r="AF144" s="1">
        <v>0</v>
      </c>
      <c r="AG144" s="1">
        <v>0</v>
      </c>
      <c r="AH144" s="1">
        <v>0</v>
      </c>
      <c r="AI144" s="1">
        <v>968.8232492457206</v>
      </c>
      <c r="AJ144" s="1">
        <f>tblSection6191517[[#This Row],[Net Total]]*0.15</f>
        <v>145.32348738685809</v>
      </c>
      <c r="AK144" s="1"/>
      <c r="AM144" s="44"/>
      <c r="AN144" s="44">
        <v>2047</v>
      </c>
      <c r="AO144" t="s">
        <v>165</v>
      </c>
      <c r="AP144" s="247">
        <v>6526.4053821381594</v>
      </c>
      <c r="AQ144" s="247">
        <v>0</v>
      </c>
      <c r="AR144" s="247">
        <v>0</v>
      </c>
      <c r="AS144" s="247">
        <v>0</v>
      </c>
      <c r="AT144" s="247">
        <v>0</v>
      </c>
      <c r="AU144" s="247">
        <v>0</v>
      </c>
      <c r="AV144" s="247">
        <v>0</v>
      </c>
      <c r="AW144" s="247">
        <v>6526.4053821381594</v>
      </c>
      <c r="AX144" s="1">
        <f>tblSection61114[[#This Row],[Gross Total]]*0.15</f>
        <v>978.96080732072392</v>
      </c>
      <c r="AZ144" s="44">
        <v>2047</v>
      </c>
      <c r="BA144" t="s">
        <v>165</v>
      </c>
      <c r="BB144" s="247">
        <v>968.8232492457206</v>
      </c>
      <c r="BC144" s="247">
        <v>0</v>
      </c>
      <c r="BD144" s="247">
        <v>0</v>
      </c>
      <c r="BE144" s="247">
        <v>0</v>
      </c>
      <c r="BF144" s="247">
        <v>0</v>
      </c>
      <c r="BG144" s="247">
        <v>0</v>
      </c>
      <c r="BH144" s="247">
        <v>968.8232492457206</v>
      </c>
      <c r="BI144" s="1">
        <f>tblSection61915[[#This Row],[Gross Total]]*0.15</f>
        <v>145.32348738685809</v>
      </c>
      <c r="BJ144" s="44"/>
      <c r="BK144" s="246"/>
      <c r="BM144" s="44">
        <v>2047</v>
      </c>
      <c r="BN144" t="s">
        <v>165</v>
      </c>
      <c r="BO144" s="1">
        <v>7613</v>
      </c>
      <c r="BP144" s="1">
        <v>0</v>
      </c>
      <c r="BQ144" s="1">
        <v>0</v>
      </c>
      <c r="BR144" s="1">
        <v>0</v>
      </c>
      <c r="BS144" s="1">
        <v>0</v>
      </c>
      <c r="BT144" s="1">
        <v>0</v>
      </c>
      <c r="BU144" s="1">
        <f>SUM(tblSection611[[#This Row],[LEA/District]:[ECSE]])</f>
        <v>7613</v>
      </c>
      <c r="BV144" s="1">
        <f>tblSection611[[#This Row],[Gross Total]]*0.15</f>
        <v>1141.95</v>
      </c>
      <c r="BW144" s="1"/>
      <c r="BY144" s="44">
        <v>2047</v>
      </c>
      <c r="BZ144" t="s">
        <v>165</v>
      </c>
      <c r="CA144" s="1">
        <v>937</v>
      </c>
      <c r="CB144" s="1">
        <v>0</v>
      </c>
      <c r="CC144" s="1">
        <v>0</v>
      </c>
      <c r="CD144" s="1">
        <v>0</v>
      </c>
      <c r="CE144" s="1">
        <v>0</v>
      </c>
      <c r="CF144" s="1">
        <v>0</v>
      </c>
      <c r="CG144" s="1">
        <f>SUM(tblSection619[[#This Row],[LEA/District]:[ECSE]])</f>
        <v>937</v>
      </c>
      <c r="CH144" s="1">
        <f>tblSection619[[#This Row],[Gross Total]]*0.15</f>
        <v>140.54999999999998</v>
      </c>
    </row>
    <row r="145" spans="1:86" x14ac:dyDescent="0.35">
      <c r="A145" t="s">
        <v>166</v>
      </c>
      <c r="B145">
        <v>2081</v>
      </c>
      <c r="C145" t="s">
        <v>1528</v>
      </c>
      <c r="D145" s="44">
        <f>LEN(TblAgencies[[#This Row],[InstNm]])</f>
        <v>18</v>
      </c>
      <c r="E145" s="44" t="s">
        <v>1900</v>
      </c>
      <c r="F145" s="44" t="s">
        <v>1900</v>
      </c>
      <c r="G14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45" s="44"/>
      <c r="I145" s="44"/>
      <c r="J145" s="44"/>
      <c r="K145" s="44"/>
      <c r="M145" s="44"/>
      <c r="N145" s="44">
        <v>2081</v>
      </c>
      <c r="O145" t="s">
        <v>166</v>
      </c>
      <c r="P145" s="1">
        <v>225891.17221277981</v>
      </c>
      <c r="Q145" s="1">
        <v>26772.287077070199</v>
      </c>
      <c r="R145" s="1">
        <v>0</v>
      </c>
      <c r="S145" s="1">
        <v>0</v>
      </c>
      <c r="T145" s="1">
        <v>0</v>
      </c>
      <c r="U145" s="1">
        <v>0</v>
      </c>
      <c r="V145" s="1">
        <v>18405.947365485765</v>
      </c>
      <c r="W145" s="1">
        <v>225891.17221277984</v>
      </c>
      <c r="X145" s="1">
        <f>tblSection6111416[[#This Row],[Net Total]]*0.15</f>
        <v>33883.675831916975</v>
      </c>
      <c r="Y145" s="1"/>
      <c r="AA145" s="44">
        <v>2081</v>
      </c>
      <c r="AB145" t="s">
        <v>166</v>
      </c>
      <c r="AC145" s="1">
        <v>497.21182408149934</v>
      </c>
      <c r="AD145" s="1">
        <v>497.21182408149934</v>
      </c>
      <c r="AE145" s="1">
        <v>0</v>
      </c>
      <c r="AF145" s="1">
        <v>0</v>
      </c>
      <c r="AG145" s="1">
        <v>0</v>
      </c>
      <c r="AH145" s="1">
        <v>2734.6650324482471</v>
      </c>
      <c r="AI145" s="1">
        <v>497.21182408149934</v>
      </c>
      <c r="AJ145" s="1">
        <f>tblSection6191517[[#This Row],[Net Total]]*0.15</f>
        <v>74.581773612224893</v>
      </c>
      <c r="AK145" s="1"/>
      <c r="AM145" s="44"/>
      <c r="AN145" s="44">
        <v>2081</v>
      </c>
      <c r="AO145" t="s">
        <v>166</v>
      </c>
      <c r="AP145" s="247">
        <v>225891.17221277981</v>
      </c>
      <c r="AQ145" s="247">
        <v>26772.287077070199</v>
      </c>
      <c r="AR145" s="247">
        <v>0</v>
      </c>
      <c r="AS145" s="247">
        <v>0</v>
      </c>
      <c r="AT145" s="247">
        <v>0</v>
      </c>
      <c r="AU145" s="247">
        <v>0</v>
      </c>
      <c r="AV145" s="247">
        <v>16732.679423168876</v>
      </c>
      <c r="AW145" s="247">
        <v>269396.13871301891</v>
      </c>
      <c r="AX145" s="1">
        <f>tblSection61114[[#This Row],[Gross Total]]*0.15</f>
        <v>40409.420806952832</v>
      </c>
      <c r="AZ145" s="44">
        <v>2081</v>
      </c>
      <c r="BA145" t="s">
        <v>166</v>
      </c>
      <c r="BB145" s="247">
        <v>497.21182408149934</v>
      </c>
      <c r="BC145" s="247">
        <v>497.21182408149934</v>
      </c>
      <c r="BD145" s="247">
        <v>0</v>
      </c>
      <c r="BE145" s="247">
        <v>0</v>
      </c>
      <c r="BF145" s="247">
        <v>0</v>
      </c>
      <c r="BG145" s="247">
        <v>2486.0591204074972</v>
      </c>
      <c r="BH145" s="247">
        <v>3480.4827685704959</v>
      </c>
      <c r="BI145" s="1">
        <f>tblSection61915[[#This Row],[Gross Total]]*0.15</f>
        <v>522.07241528557438</v>
      </c>
      <c r="BJ145" s="44"/>
      <c r="BK145" s="246"/>
      <c r="BM145" s="44">
        <v>2081</v>
      </c>
      <c r="BN145" t="s">
        <v>166</v>
      </c>
      <c r="BO145" s="1">
        <v>201410</v>
      </c>
      <c r="BP145" s="1">
        <v>15613</v>
      </c>
      <c r="BQ145" s="1">
        <v>0</v>
      </c>
      <c r="BR145" s="1">
        <v>0</v>
      </c>
      <c r="BS145" s="1">
        <v>0</v>
      </c>
      <c r="BT145" s="1">
        <v>18736</v>
      </c>
      <c r="BU145" s="1">
        <f>SUM(tblSection611[[#This Row],[LEA/District]:[ECSE]])</f>
        <v>235759</v>
      </c>
      <c r="BV145" s="1">
        <f>tblSection611[[#This Row],[Gross Total]]*0.15</f>
        <v>35363.85</v>
      </c>
      <c r="BW145" s="1"/>
      <c r="BY145" s="44">
        <v>2081</v>
      </c>
      <c r="BZ145" t="s">
        <v>166</v>
      </c>
      <c r="CA145" s="1">
        <v>1245</v>
      </c>
      <c r="CB145" s="1">
        <v>0</v>
      </c>
      <c r="CC145" s="1">
        <v>0</v>
      </c>
      <c r="CD145" s="1">
        <v>0</v>
      </c>
      <c r="CE145" s="1">
        <v>0</v>
      </c>
      <c r="CF145" s="1">
        <v>2134</v>
      </c>
      <c r="CG145" s="1">
        <f>SUM(tblSection619[[#This Row],[LEA/District]:[ECSE]])</f>
        <v>3379</v>
      </c>
      <c r="CH145" s="1">
        <f>tblSection619[[#This Row],[Gross Total]]*0.15</f>
        <v>506.84999999999997</v>
      </c>
    </row>
    <row r="146" spans="1:86" x14ac:dyDescent="0.35">
      <c r="A146" t="s">
        <v>167</v>
      </c>
      <c r="B146">
        <v>2062</v>
      </c>
      <c r="C146" t="s">
        <v>1528</v>
      </c>
      <c r="D146" s="44">
        <f>LEN(TblAgencies[[#This Row],[InstNm]])</f>
        <v>11</v>
      </c>
      <c r="E146" s="44" t="s">
        <v>1900</v>
      </c>
      <c r="F146" s="44" t="s">
        <v>1900</v>
      </c>
      <c r="G14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46" s="44"/>
      <c r="I146" s="44"/>
      <c r="J146" s="44"/>
      <c r="K146" s="44"/>
      <c r="M146" s="44"/>
      <c r="N146" s="44">
        <v>2062</v>
      </c>
      <c r="O146" t="s">
        <v>167</v>
      </c>
      <c r="P146" s="1">
        <v>3263.2026910690797</v>
      </c>
      <c r="Q146" s="1">
        <v>0</v>
      </c>
      <c r="R146" s="1">
        <v>0</v>
      </c>
      <c r="S146" s="1">
        <v>0</v>
      </c>
      <c r="T146" s="1">
        <v>0</v>
      </c>
      <c r="U146" s="1">
        <v>0</v>
      </c>
      <c r="V146" s="1">
        <v>0</v>
      </c>
      <c r="W146" s="1">
        <v>3263.2026910690797</v>
      </c>
      <c r="X146" s="1">
        <f>tblSection6111416[[#This Row],[Net Total]]*0.15</f>
        <v>489.48040366036196</v>
      </c>
      <c r="Y146" s="1"/>
      <c r="AA146" s="44">
        <v>2062</v>
      </c>
      <c r="AB146" t="s">
        <v>167</v>
      </c>
      <c r="AC146" s="1">
        <v>0</v>
      </c>
      <c r="AD146" s="1">
        <v>0</v>
      </c>
      <c r="AE146" s="1">
        <v>0</v>
      </c>
      <c r="AF146" s="1">
        <v>0</v>
      </c>
      <c r="AG146" s="1">
        <v>0</v>
      </c>
      <c r="AH146" s="1">
        <v>0</v>
      </c>
      <c r="AI146" s="1">
        <v>0</v>
      </c>
      <c r="AJ146" s="1">
        <f>tblSection6191517[[#This Row],[Net Total]]*0.15</f>
        <v>0</v>
      </c>
      <c r="AK146" s="1"/>
      <c r="AM146" s="44"/>
      <c r="AN146" s="44">
        <v>2062</v>
      </c>
      <c r="AO146" t="s">
        <v>167</v>
      </c>
      <c r="AP146" s="247">
        <v>3263.2026910690797</v>
      </c>
      <c r="AQ146" s="247">
        <v>0</v>
      </c>
      <c r="AR146" s="247">
        <v>0</v>
      </c>
      <c r="AS146" s="247">
        <v>0</v>
      </c>
      <c r="AT146" s="247">
        <v>0</v>
      </c>
      <c r="AU146" s="247">
        <v>0</v>
      </c>
      <c r="AV146" s="247">
        <v>0</v>
      </c>
      <c r="AW146" s="247">
        <v>3263.2026910690797</v>
      </c>
      <c r="AX146" s="1">
        <f>tblSection61114[[#This Row],[Gross Total]]*0.15</f>
        <v>489.48040366036196</v>
      </c>
      <c r="AZ146" s="44">
        <v>2062</v>
      </c>
      <c r="BA146" t="s">
        <v>167</v>
      </c>
      <c r="BB146" s="247">
        <v>0</v>
      </c>
      <c r="BC146" s="247">
        <v>0</v>
      </c>
      <c r="BD146" s="247">
        <v>0</v>
      </c>
      <c r="BE146" s="247">
        <v>0</v>
      </c>
      <c r="BF146" s="247">
        <v>0</v>
      </c>
      <c r="BG146" s="247">
        <v>0</v>
      </c>
      <c r="BH146" s="247">
        <v>0</v>
      </c>
      <c r="BI146" s="1">
        <f>tblSection61915[[#This Row],[Gross Total]]*0.15</f>
        <v>0</v>
      </c>
      <c r="BJ146" s="44"/>
      <c r="BK146" s="246"/>
      <c r="BM146" s="44">
        <v>2062</v>
      </c>
      <c r="BN146" t="s">
        <v>167</v>
      </c>
      <c r="BO146" s="1">
        <v>3697</v>
      </c>
      <c r="BP146" s="1">
        <v>0</v>
      </c>
      <c r="BQ146" s="1">
        <v>0</v>
      </c>
      <c r="BR146" s="1">
        <v>0</v>
      </c>
      <c r="BS146" s="1">
        <v>0</v>
      </c>
      <c r="BT146" s="1">
        <v>0</v>
      </c>
      <c r="BU146" s="1">
        <f>SUM(tblSection611[[#This Row],[LEA/District]:[ECSE]])</f>
        <v>3697</v>
      </c>
      <c r="BV146" s="1">
        <f>tblSection611[[#This Row],[Gross Total]]*0.15</f>
        <v>554.54999999999995</v>
      </c>
      <c r="BW146" s="1"/>
      <c r="BY146" s="44">
        <v>2062</v>
      </c>
      <c r="BZ146" t="s">
        <v>167</v>
      </c>
      <c r="CA146" s="1">
        <v>6</v>
      </c>
      <c r="CB146" s="1">
        <v>0</v>
      </c>
      <c r="CC146" s="1">
        <v>0</v>
      </c>
      <c r="CD146" s="1">
        <v>0</v>
      </c>
      <c r="CE146" s="1">
        <v>0</v>
      </c>
      <c r="CF146" s="1">
        <v>0</v>
      </c>
      <c r="CG146" s="1">
        <f>SUM(tblSection619[[#This Row],[LEA/District]:[ECSE]])</f>
        <v>6</v>
      </c>
      <c r="CH146" s="1">
        <f>tblSection619[[#This Row],[Gross Total]]*0.15</f>
        <v>0.89999999999999991</v>
      </c>
    </row>
    <row r="147" spans="1:86" x14ac:dyDescent="0.35">
      <c r="A147" t="s">
        <v>168</v>
      </c>
      <c r="B147">
        <v>1973</v>
      </c>
      <c r="C147" t="s">
        <v>1528</v>
      </c>
      <c r="D147" s="44">
        <f>LEN(TblAgencies[[#This Row],[InstNm]])</f>
        <v>27</v>
      </c>
      <c r="E147" s="44" t="s">
        <v>1900</v>
      </c>
      <c r="F147" s="44" t="s">
        <v>1900</v>
      </c>
      <c r="G14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47" s="44"/>
      <c r="I147" s="44"/>
      <c r="J147" s="44"/>
      <c r="K147" s="44"/>
      <c r="M147" s="44"/>
      <c r="N147" s="44">
        <v>1973</v>
      </c>
      <c r="O147" t="s">
        <v>168</v>
      </c>
      <c r="P147" s="1">
        <v>63198.789967796067</v>
      </c>
      <c r="Q147" s="1">
        <v>17015.058837483557</v>
      </c>
      <c r="R147" s="1">
        <v>0</v>
      </c>
      <c r="S147" s="1">
        <v>0</v>
      </c>
      <c r="T147" s="1">
        <v>0</v>
      </c>
      <c r="U147" s="1">
        <v>0</v>
      </c>
      <c r="V147" s="1">
        <v>0</v>
      </c>
      <c r="W147" s="1">
        <v>63198.789967796059</v>
      </c>
      <c r="X147" s="1">
        <f>tblSection6111416[[#This Row],[Net Total]]*0.15</f>
        <v>9479.8184951694093</v>
      </c>
      <c r="Y147" s="1"/>
      <c r="AA147" s="44">
        <v>1973</v>
      </c>
      <c r="AB147" t="s">
        <v>168</v>
      </c>
      <c r="AC147" s="1">
        <v>0</v>
      </c>
      <c r="AD147" s="1">
        <v>2463.0590531738258</v>
      </c>
      <c r="AE147" s="1">
        <v>0</v>
      </c>
      <c r="AF147" s="1">
        <v>0</v>
      </c>
      <c r="AG147" s="1">
        <v>0</v>
      </c>
      <c r="AH147" s="1">
        <v>0</v>
      </c>
      <c r="AI147" s="1">
        <v>0</v>
      </c>
      <c r="AJ147" s="1">
        <f>tblSection6191517[[#This Row],[Net Total]]*0.15</f>
        <v>0</v>
      </c>
      <c r="AK147" s="1"/>
      <c r="AM147" s="44"/>
      <c r="AN147" s="44">
        <v>1973</v>
      </c>
      <c r="AO147" t="s">
        <v>168</v>
      </c>
      <c r="AP147" s="247">
        <v>63198.789967796067</v>
      </c>
      <c r="AQ147" s="247">
        <v>17015.058837483557</v>
      </c>
      <c r="AR147" s="247">
        <v>0</v>
      </c>
      <c r="AS147" s="247">
        <v>0</v>
      </c>
      <c r="AT147" s="247">
        <v>0</v>
      </c>
      <c r="AU147" s="247">
        <v>0</v>
      </c>
      <c r="AV147" s="247">
        <v>0</v>
      </c>
      <c r="AW147" s="247">
        <v>80213.848805279616</v>
      </c>
      <c r="AX147" s="1">
        <f>tblSection61114[[#This Row],[Gross Total]]*0.15</f>
        <v>12032.077320791943</v>
      </c>
      <c r="AZ147" s="44">
        <v>1973</v>
      </c>
      <c r="BA147" t="s">
        <v>168</v>
      </c>
      <c r="BB147" s="247">
        <v>0</v>
      </c>
      <c r="BC147" s="247">
        <v>2463.0590531738258</v>
      </c>
      <c r="BD147" s="247">
        <v>0</v>
      </c>
      <c r="BE147" s="247">
        <v>0</v>
      </c>
      <c r="BF147" s="247">
        <v>0</v>
      </c>
      <c r="BG147" s="247">
        <v>0</v>
      </c>
      <c r="BH147" s="247">
        <v>2463.0590531738258</v>
      </c>
      <c r="BI147" s="1">
        <f>tblSection61915[[#This Row],[Gross Total]]*0.15</f>
        <v>369.45885797607383</v>
      </c>
      <c r="BJ147" s="44"/>
      <c r="BK147" s="246"/>
      <c r="BM147" s="44">
        <v>1973</v>
      </c>
      <c r="BN147" t="s">
        <v>168</v>
      </c>
      <c r="BO147" s="1">
        <v>55208</v>
      </c>
      <c r="BP147" s="1">
        <v>15336</v>
      </c>
      <c r="BQ147" s="1">
        <v>0</v>
      </c>
      <c r="BR147" s="1">
        <v>0</v>
      </c>
      <c r="BS147" s="1">
        <v>0</v>
      </c>
      <c r="BT147" s="1">
        <v>6134</v>
      </c>
      <c r="BU147" s="1">
        <f>SUM(tblSection611[[#This Row],[LEA/District]:[ECSE]])</f>
        <v>76678</v>
      </c>
      <c r="BV147" s="1">
        <f>tblSection611[[#This Row],[Gross Total]]*0.15</f>
        <v>11501.699999999999</v>
      </c>
      <c r="BW147" s="1"/>
      <c r="BY147" s="44">
        <v>1973</v>
      </c>
      <c r="BZ147" t="s">
        <v>168</v>
      </c>
      <c r="CA147" s="1">
        <v>0</v>
      </c>
      <c r="CB147" s="1">
        <v>1223</v>
      </c>
      <c r="CC147" s="1">
        <v>0</v>
      </c>
      <c r="CD147" s="1">
        <v>0</v>
      </c>
      <c r="CE147" s="1">
        <v>0</v>
      </c>
      <c r="CF147" s="1">
        <v>1223</v>
      </c>
      <c r="CG147" s="1">
        <f>SUM(tblSection619[[#This Row],[LEA/District]:[ECSE]])</f>
        <v>2446</v>
      </c>
      <c r="CH147" s="1">
        <f>tblSection619[[#This Row],[Gross Total]]*0.15</f>
        <v>366.9</v>
      </c>
    </row>
    <row r="148" spans="1:86" x14ac:dyDescent="0.35">
      <c r="A148" t="s">
        <v>169</v>
      </c>
      <c r="B148">
        <v>2180</v>
      </c>
      <c r="C148" t="s">
        <v>1527</v>
      </c>
      <c r="D148" s="44">
        <f>LEN(TblAgencies[[#This Row],[InstNm]])</f>
        <v>14</v>
      </c>
      <c r="E148" s="44" t="s">
        <v>1900</v>
      </c>
      <c r="F148" s="44" t="s">
        <v>1900</v>
      </c>
      <c r="G14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48" s="44"/>
      <c r="I148" s="44"/>
      <c r="J148" s="44"/>
      <c r="K148" s="44"/>
      <c r="M148" s="44"/>
      <c r="N148" s="44">
        <v>2180</v>
      </c>
      <c r="O148" t="s">
        <v>169</v>
      </c>
      <c r="P148" s="1">
        <v>9750507.9914116599</v>
      </c>
      <c r="Q148" s="1">
        <v>2228090.0128865121</v>
      </c>
      <c r="R148" s="1">
        <v>8043.6462559079846</v>
      </c>
      <c r="S148" s="1">
        <v>48261.877535447908</v>
      </c>
      <c r="T148" s="1">
        <v>4826.1877535447911</v>
      </c>
      <c r="U148" s="1">
        <v>0</v>
      </c>
      <c r="V148" s="1">
        <v>1090718.4323011227</v>
      </c>
      <c r="W148" s="1">
        <v>9750507.9914116617</v>
      </c>
      <c r="X148" s="1">
        <f>tblSection6111416[[#This Row],[Net Total]]*0.15</f>
        <v>1462576.1987117492</v>
      </c>
      <c r="Y148" s="1"/>
      <c r="AA148" s="44">
        <v>2180</v>
      </c>
      <c r="AB148" t="s">
        <v>169</v>
      </c>
      <c r="AC148" s="1">
        <v>83483.686867470562</v>
      </c>
      <c r="AD148" s="1">
        <v>73434.72455934911</v>
      </c>
      <c r="AE148" s="1">
        <v>0</v>
      </c>
      <c r="AF148" s="1">
        <v>0</v>
      </c>
      <c r="AG148" s="1">
        <v>0</v>
      </c>
      <c r="AH148" s="1">
        <v>262046.0171117826</v>
      </c>
      <c r="AI148" s="1">
        <v>83483.68686747062</v>
      </c>
      <c r="AJ148" s="1">
        <f>tblSection6191517[[#This Row],[Net Total]]*0.15</f>
        <v>12522.553030120593</v>
      </c>
      <c r="AK148" s="1"/>
      <c r="AM148" s="44"/>
      <c r="AN148" s="44">
        <v>2180</v>
      </c>
      <c r="AO148" t="s">
        <v>169</v>
      </c>
      <c r="AP148" s="247">
        <v>9750507.9914116599</v>
      </c>
      <c r="AQ148" s="247">
        <v>2228090.0128865121</v>
      </c>
      <c r="AR148" s="247">
        <v>8043.6462559079846</v>
      </c>
      <c r="AS148" s="247">
        <v>48261.877535447908</v>
      </c>
      <c r="AT148" s="247">
        <v>4826.1877535447911</v>
      </c>
      <c r="AU148" s="247">
        <v>0</v>
      </c>
      <c r="AV148" s="247">
        <v>865496.33713569923</v>
      </c>
      <c r="AW148" s="247">
        <v>12905226.052978773</v>
      </c>
      <c r="AX148" s="1">
        <f>tblSection61114[[#This Row],[Gross Total]]*0.15</f>
        <v>1935783.9079468157</v>
      </c>
      <c r="AZ148" s="44">
        <v>2180</v>
      </c>
      <c r="BA148" t="s">
        <v>169</v>
      </c>
      <c r="BB148" s="247">
        <v>83483.686867470562</v>
      </c>
      <c r="BC148" s="247">
        <v>73434.72455934911</v>
      </c>
      <c r="BD148" s="247">
        <v>0</v>
      </c>
      <c r="BE148" s="247">
        <v>0</v>
      </c>
      <c r="BF148" s="247">
        <v>0</v>
      </c>
      <c r="BG148" s="247">
        <v>207936.22006805168</v>
      </c>
      <c r="BH148" s="247">
        <v>364854.63149487134</v>
      </c>
      <c r="BI148" s="1">
        <f>tblSection61915[[#This Row],[Gross Total]]*0.15</f>
        <v>54728.1947242307</v>
      </c>
      <c r="BJ148" s="44"/>
      <c r="BK148" s="246"/>
      <c r="BM148" s="44">
        <v>2180</v>
      </c>
      <c r="BN148" t="s">
        <v>169</v>
      </c>
      <c r="BO148" s="1">
        <v>8515155</v>
      </c>
      <c r="BP148" s="1">
        <v>1657106</v>
      </c>
      <c r="BQ148" s="1">
        <v>7313</v>
      </c>
      <c r="BR148" s="1">
        <v>45340</v>
      </c>
      <c r="BS148" s="1">
        <v>5851</v>
      </c>
      <c r="BT148" s="1">
        <v>893638</v>
      </c>
      <c r="BU148" s="1">
        <f>SUM(tblSection611[[#This Row],[LEA/District]:[ECSE]])</f>
        <v>11124403</v>
      </c>
      <c r="BV148" s="1">
        <f>tblSection611[[#This Row],[Gross Total]]*0.15</f>
        <v>1668660.45</v>
      </c>
      <c r="BW148" s="1"/>
      <c r="BY148" s="44">
        <v>2180</v>
      </c>
      <c r="BZ148" t="s">
        <v>169</v>
      </c>
      <c r="CA148" s="1">
        <v>72357</v>
      </c>
      <c r="CB148" s="1">
        <v>25444</v>
      </c>
      <c r="CC148" s="1">
        <v>0</v>
      </c>
      <c r="CD148" s="1">
        <v>0</v>
      </c>
      <c r="CE148" s="1">
        <v>0</v>
      </c>
      <c r="CF148" s="1">
        <v>242913</v>
      </c>
      <c r="CG148" s="1">
        <f>SUM(tblSection619[[#This Row],[LEA/District]:[ECSE]])</f>
        <v>340714</v>
      </c>
      <c r="CH148" s="1">
        <f>tblSection619[[#This Row],[Gross Total]]*0.15</f>
        <v>51107.1</v>
      </c>
    </row>
    <row r="149" spans="1:86" x14ac:dyDescent="0.35">
      <c r="A149" t="s">
        <v>170</v>
      </c>
      <c r="B149">
        <v>1967</v>
      </c>
      <c r="C149" t="s">
        <v>1528</v>
      </c>
      <c r="D149" s="44">
        <f>LEN(TblAgencies[[#This Row],[InstNm]])</f>
        <v>12</v>
      </c>
      <c r="E149" s="44" t="s">
        <v>1900</v>
      </c>
      <c r="F149" s="44" t="s">
        <v>1900</v>
      </c>
      <c r="G14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49" s="44"/>
      <c r="I149" s="44"/>
      <c r="J149" s="44"/>
      <c r="K149" s="44"/>
      <c r="M149" s="44"/>
      <c r="N149" s="44">
        <v>1967</v>
      </c>
      <c r="O149" t="s">
        <v>170</v>
      </c>
      <c r="P149" s="1">
        <v>32080.402724957719</v>
      </c>
      <c r="Q149" s="1">
        <v>3564.4891916619686</v>
      </c>
      <c r="R149" s="1">
        <v>0</v>
      </c>
      <c r="S149" s="1">
        <v>0</v>
      </c>
      <c r="T149" s="1">
        <v>0</v>
      </c>
      <c r="U149" s="1">
        <v>0</v>
      </c>
      <c r="V149" s="1">
        <v>3564.4891916619686</v>
      </c>
      <c r="W149" s="1">
        <v>32080.402724957716</v>
      </c>
      <c r="X149" s="1">
        <f>tblSection6111416[[#This Row],[Net Total]]*0.15</f>
        <v>4812.0604087436568</v>
      </c>
      <c r="Y149" s="1"/>
      <c r="AA149" s="44">
        <v>1967</v>
      </c>
      <c r="AB149" t="s">
        <v>170</v>
      </c>
      <c r="AC149" s="1">
        <v>0</v>
      </c>
      <c r="AD149" s="1">
        <v>206.41078948201908</v>
      </c>
      <c r="AE149" s="1">
        <v>0</v>
      </c>
      <c r="AF149" s="1">
        <v>0</v>
      </c>
      <c r="AG149" s="1">
        <v>0</v>
      </c>
      <c r="AH149" s="1">
        <v>412.82157896403817</v>
      </c>
      <c r="AI149" s="1">
        <v>0</v>
      </c>
      <c r="AJ149" s="1">
        <f>tblSection6191517[[#This Row],[Net Total]]*0.15</f>
        <v>0</v>
      </c>
      <c r="AK149" s="1"/>
      <c r="AM149" s="44"/>
      <c r="AN149" s="44">
        <v>1967</v>
      </c>
      <c r="AO149" t="s">
        <v>170</v>
      </c>
      <c r="AP149" s="247">
        <v>32080.402724957719</v>
      </c>
      <c r="AQ149" s="247">
        <v>3564.4891916619686</v>
      </c>
      <c r="AR149" s="247">
        <v>0</v>
      </c>
      <c r="AS149" s="247">
        <v>0</v>
      </c>
      <c r="AT149" s="247">
        <v>0</v>
      </c>
      <c r="AU149" s="247">
        <v>0</v>
      </c>
      <c r="AV149" s="247">
        <v>1782.2445958309843</v>
      </c>
      <c r="AW149" s="247">
        <v>37427.13651245067</v>
      </c>
      <c r="AX149" s="1">
        <f>tblSection61114[[#This Row],[Gross Total]]*0.15</f>
        <v>5614.0704768676005</v>
      </c>
      <c r="AZ149" s="44">
        <v>1967</v>
      </c>
      <c r="BA149" t="s">
        <v>170</v>
      </c>
      <c r="BB149" s="247">
        <v>0</v>
      </c>
      <c r="BC149" s="247">
        <v>206.41078948201908</v>
      </c>
      <c r="BD149" s="247">
        <v>0</v>
      </c>
      <c r="BE149" s="247">
        <v>0</v>
      </c>
      <c r="BF149" s="247">
        <v>0</v>
      </c>
      <c r="BG149" s="247">
        <v>206.41078948201908</v>
      </c>
      <c r="BH149" s="247">
        <v>412.82157896403817</v>
      </c>
      <c r="BI149" s="1">
        <f>tblSection61915[[#This Row],[Gross Total]]*0.15</f>
        <v>61.923236844605725</v>
      </c>
      <c r="BJ149" s="44"/>
      <c r="BK149" s="246"/>
      <c r="BM149" s="44">
        <v>1967</v>
      </c>
      <c r="BN149" t="s">
        <v>170</v>
      </c>
      <c r="BO149" s="1">
        <v>35116</v>
      </c>
      <c r="BP149" s="1">
        <v>0</v>
      </c>
      <c r="BQ149" s="1">
        <v>0</v>
      </c>
      <c r="BR149" s="1">
        <v>0</v>
      </c>
      <c r="BS149" s="1">
        <v>0</v>
      </c>
      <c r="BT149" s="1">
        <v>0</v>
      </c>
      <c r="BU149" s="1">
        <f>SUM(tblSection611[[#This Row],[LEA/District]:[ECSE]])</f>
        <v>35116</v>
      </c>
      <c r="BV149" s="1">
        <f>tblSection611[[#This Row],[Gross Total]]*0.15</f>
        <v>5267.4</v>
      </c>
      <c r="BW149" s="1"/>
      <c r="BY149" s="44">
        <v>1967</v>
      </c>
      <c r="BZ149" t="s">
        <v>170</v>
      </c>
      <c r="CA149" s="1">
        <v>662</v>
      </c>
      <c r="CB149" s="1">
        <v>0</v>
      </c>
      <c r="CC149" s="1">
        <v>0</v>
      </c>
      <c r="CD149" s="1">
        <v>0</v>
      </c>
      <c r="CE149" s="1">
        <v>0</v>
      </c>
      <c r="CF149" s="1">
        <v>0</v>
      </c>
      <c r="CG149" s="1">
        <f>SUM(tblSection619[[#This Row],[LEA/District]:[ECSE]])</f>
        <v>662</v>
      </c>
      <c r="CH149" s="1">
        <f>tblSection619[[#This Row],[Gross Total]]*0.15</f>
        <v>99.3</v>
      </c>
    </row>
    <row r="150" spans="1:86" x14ac:dyDescent="0.35">
      <c r="A150" t="s">
        <v>171</v>
      </c>
      <c r="B150">
        <v>2009</v>
      </c>
      <c r="C150" t="s">
        <v>1528</v>
      </c>
      <c r="D150" s="44">
        <f>LEN(TblAgencies[[#This Row],[InstNm]])</f>
        <v>17</v>
      </c>
      <c r="E150" s="44" t="s">
        <v>1900</v>
      </c>
      <c r="F150" s="44" t="s">
        <v>1900</v>
      </c>
      <c r="G15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50" s="44"/>
      <c r="I150" s="44"/>
      <c r="J150" s="44"/>
      <c r="K150" s="44"/>
      <c r="M150" s="44"/>
      <c r="N150" s="44">
        <v>2009</v>
      </c>
      <c r="O150" t="s">
        <v>171</v>
      </c>
      <c r="P150" s="1">
        <v>184541.87322823319</v>
      </c>
      <c r="Q150" s="1">
        <v>2563.0815726143496</v>
      </c>
      <c r="R150" s="1">
        <v>0</v>
      </c>
      <c r="S150" s="1">
        <v>0</v>
      </c>
      <c r="T150" s="1">
        <v>0</v>
      </c>
      <c r="U150" s="1">
        <v>0</v>
      </c>
      <c r="V150" s="1">
        <v>1281.5407863071748</v>
      </c>
      <c r="W150" s="1">
        <v>184541.87322823319</v>
      </c>
      <c r="X150" s="1">
        <f>tblSection6111416[[#This Row],[Net Total]]*0.15</f>
        <v>27681.280984234978</v>
      </c>
      <c r="Y150" s="1"/>
      <c r="AA150" s="44">
        <v>2009</v>
      </c>
      <c r="AB150" t="s">
        <v>171</v>
      </c>
      <c r="AC150" s="1">
        <v>1009.8241793052445</v>
      </c>
      <c r="AD150" s="1">
        <v>0</v>
      </c>
      <c r="AE150" s="1">
        <v>0</v>
      </c>
      <c r="AF150" s="1">
        <v>0</v>
      </c>
      <c r="AG150" s="1">
        <v>0</v>
      </c>
      <c r="AH150" s="1">
        <v>1009.8241793052445</v>
      </c>
      <c r="AI150" s="1">
        <v>1009.8241793052445</v>
      </c>
      <c r="AJ150" s="1">
        <f>tblSection6191517[[#This Row],[Net Total]]*0.15</f>
        <v>151.47362689578665</v>
      </c>
      <c r="AK150" s="1"/>
      <c r="AM150" s="44"/>
      <c r="AN150" s="44">
        <v>2009</v>
      </c>
      <c r="AO150" t="s">
        <v>171</v>
      </c>
      <c r="AP150" s="247">
        <v>184541.87322823319</v>
      </c>
      <c r="AQ150" s="247">
        <v>2563.0815726143496</v>
      </c>
      <c r="AR150" s="247">
        <v>0</v>
      </c>
      <c r="AS150" s="247">
        <v>0</v>
      </c>
      <c r="AT150" s="247">
        <v>0</v>
      </c>
      <c r="AU150" s="247">
        <v>0</v>
      </c>
      <c r="AV150" s="247">
        <v>1281.5407863071748</v>
      </c>
      <c r="AW150" s="247">
        <v>188386.49558715473</v>
      </c>
      <c r="AX150" s="1">
        <f>tblSection61114[[#This Row],[Gross Total]]*0.15</f>
        <v>28257.974338073207</v>
      </c>
      <c r="AZ150" s="44">
        <v>2009</v>
      </c>
      <c r="BA150" t="s">
        <v>171</v>
      </c>
      <c r="BB150" s="247">
        <v>1009.8241793052445</v>
      </c>
      <c r="BC150" s="247">
        <v>0</v>
      </c>
      <c r="BD150" s="247">
        <v>0</v>
      </c>
      <c r="BE150" s="247">
        <v>0</v>
      </c>
      <c r="BF150" s="247">
        <v>0</v>
      </c>
      <c r="BG150" s="247">
        <v>1009.8241793052445</v>
      </c>
      <c r="BH150" s="247">
        <v>2019.6483586104889</v>
      </c>
      <c r="BI150" s="1">
        <f>tblSection61915[[#This Row],[Gross Total]]*0.15</f>
        <v>302.9472537915733</v>
      </c>
      <c r="BJ150" s="44"/>
      <c r="BK150" s="246"/>
      <c r="BM150" s="44">
        <v>2009</v>
      </c>
      <c r="BN150" t="s">
        <v>171</v>
      </c>
      <c r="BO150" s="1">
        <v>47429</v>
      </c>
      <c r="BP150" s="1">
        <v>0</v>
      </c>
      <c r="BQ150" s="1">
        <v>0</v>
      </c>
      <c r="BR150" s="1">
        <v>0</v>
      </c>
      <c r="BS150" s="1">
        <v>0</v>
      </c>
      <c r="BT150" s="1">
        <v>435</v>
      </c>
      <c r="BU150" s="1">
        <f>SUM(tblSection611[[#This Row],[LEA/District]:[ECSE]])</f>
        <v>47864</v>
      </c>
      <c r="BV150" s="1">
        <f>tblSection611[[#This Row],[Gross Total]]*0.15</f>
        <v>7179.5999999999995</v>
      </c>
      <c r="BW150" s="1"/>
      <c r="BY150" s="44">
        <v>2009</v>
      </c>
      <c r="BZ150" t="s">
        <v>171</v>
      </c>
      <c r="CA150" s="1">
        <v>1319</v>
      </c>
      <c r="CB150" s="1">
        <v>0</v>
      </c>
      <c r="CC150" s="1">
        <v>0</v>
      </c>
      <c r="CD150" s="1">
        <v>0</v>
      </c>
      <c r="CE150" s="1">
        <v>0</v>
      </c>
      <c r="CF150" s="1">
        <v>660</v>
      </c>
      <c r="CG150" s="1">
        <f>SUM(tblSection619[[#This Row],[LEA/District]:[ECSE]])</f>
        <v>1979</v>
      </c>
      <c r="CH150" s="1">
        <f>tblSection619[[#This Row],[Gross Total]]*0.15</f>
        <v>296.84999999999997</v>
      </c>
    </row>
    <row r="151" spans="1:86" x14ac:dyDescent="0.35">
      <c r="A151" t="s">
        <v>172</v>
      </c>
      <c r="B151">
        <v>2045</v>
      </c>
      <c r="C151" t="s">
        <v>1528</v>
      </c>
      <c r="D151" s="44">
        <f>LEN(TblAgencies[[#This Row],[InstNm]])</f>
        <v>14</v>
      </c>
      <c r="E151" s="44" t="s">
        <v>1900</v>
      </c>
      <c r="F151" s="44" t="s">
        <v>1900</v>
      </c>
      <c r="G15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51" s="44"/>
      <c r="I151" s="44"/>
      <c r="J151" s="44"/>
      <c r="K151" s="44"/>
      <c r="M151" s="44"/>
      <c r="N151" s="44">
        <v>2045</v>
      </c>
      <c r="O151" t="s">
        <v>172</v>
      </c>
      <c r="P151" s="1">
        <v>33869.576137013079</v>
      </c>
      <c r="Q151" s="1">
        <v>14725.902668266554</v>
      </c>
      <c r="R151" s="1">
        <v>0</v>
      </c>
      <c r="S151" s="1">
        <v>0</v>
      </c>
      <c r="T151" s="1">
        <v>0</v>
      </c>
      <c r="U151" s="1">
        <v>0</v>
      </c>
      <c r="V151" s="1">
        <v>1472.5902668266554</v>
      </c>
      <c r="W151" s="1">
        <v>33869.576137013086</v>
      </c>
      <c r="X151" s="1">
        <f>tblSection6111416[[#This Row],[Net Total]]*0.15</f>
        <v>5080.4364205519623</v>
      </c>
      <c r="Y151" s="1"/>
      <c r="AA151" s="44">
        <v>2045</v>
      </c>
      <c r="AB151" t="s">
        <v>172</v>
      </c>
      <c r="AC151" s="1">
        <v>0</v>
      </c>
      <c r="AD151" s="1">
        <v>1009.8241793052445</v>
      </c>
      <c r="AE151" s="1">
        <v>0</v>
      </c>
      <c r="AF151" s="1">
        <v>0</v>
      </c>
      <c r="AG151" s="1">
        <v>0</v>
      </c>
      <c r="AH151" s="1">
        <v>1009.8241793052445</v>
      </c>
      <c r="AI151" s="1">
        <v>0</v>
      </c>
      <c r="AJ151" s="1">
        <f>tblSection6191517[[#This Row],[Net Total]]*0.15</f>
        <v>0</v>
      </c>
      <c r="AK151" s="1"/>
      <c r="AM151" s="44"/>
      <c r="AN151" s="44">
        <v>2045</v>
      </c>
      <c r="AO151" t="s">
        <v>172</v>
      </c>
      <c r="AP151" s="247">
        <v>33869.576137013079</v>
      </c>
      <c r="AQ151" s="247">
        <v>14725.902668266554</v>
      </c>
      <c r="AR151" s="247">
        <v>0</v>
      </c>
      <c r="AS151" s="247">
        <v>0</v>
      </c>
      <c r="AT151" s="247">
        <v>0</v>
      </c>
      <c r="AU151" s="247">
        <v>0</v>
      </c>
      <c r="AV151" s="247">
        <v>0</v>
      </c>
      <c r="AW151" s="247">
        <v>48595.478805279636</v>
      </c>
      <c r="AX151" s="1">
        <f>tblSection61114[[#This Row],[Gross Total]]*0.15</f>
        <v>7289.3218207919454</v>
      </c>
      <c r="AZ151" s="44">
        <v>2045</v>
      </c>
      <c r="BA151" t="s">
        <v>172</v>
      </c>
      <c r="BB151" s="247">
        <v>0</v>
      </c>
      <c r="BC151" s="247">
        <v>1009.8241793052445</v>
      </c>
      <c r="BD151" s="247">
        <v>0</v>
      </c>
      <c r="BE151" s="247">
        <v>0</v>
      </c>
      <c r="BF151" s="247">
        <v>0</v>
      </c>
      <c r="BG151" s="247">
        <v>0</v>
      </c>
      <c r="BH151" s="247">
        <v>1009.8241793052445</v>
      </c>
      <c r="BI151" s="1">
        <f>tblSection61915[[#This Row],[Gross Total]]*0.15</f>
        <v>151.47362689578665</v>
      </c>
      <c r="BJ151" s="44"/>
      <c r="BK151" s="246"/>
      <c r="BM151" s="44">
        <v>2045</v>
      </c>
      <c r="BN151" t="s">
        <v>172</v>
      </c>
      <c r="BO151" s="1">
        <v>34105</v>
      </c>
      <c r="BP151" s="1">
        <v>4093</v>
      </c>
      <c r="BQ151" s="1">
        <v>0</v>
      </c>
      <c r="BR151" s="1">
        <v>0</v>
      </c>
      <c r="BS151" s="1">
        <v>0</v>
      </c>
      <c r="BT151" s="1">
        <v>2728</v>
      </c>
      <c r="BU151" s="1">
        <f>SUM(tblSection611[[#This Row],[LEA/District]:[ECSE]])</f>
        <v>40926</v>
      </c>
      <c r="BV151" s="1">
        <f>tblSection611[[#This Row],[Gross Total]]*0.15</f>
        <v>6138.9</v>
      </c>
      <c r="BW151" s="1"/>
      <c r="BY151" s="44">
        <v>2045</v>
      </c>
      <c r="BZ151" t="s">
        <v>172</v>
      </c>
      <c r="CA151" s="1">
        <v>0</v>
      </c>
      <c r="CB151" s="1">
        <v>0</v>
      </c>
      <c r="CC151" s="1">
        <v>0</v>
      </c>
      <c r="CD151" s="1">
        <v>0</v>
      </c>
      <c r="CE151" s="1">
        <v>0</v>
      </c>
      <c r="CF151" s="1">
        <v>1045</v>
      </c>
      <c r="CG151" s="1">
        <f>SUM(tblSection619[[#This Row],[LEA/District]:[ECSE]])</f>
        <v>1045</v>
      </c>
      <c r="CH151" s="1">
        <f>tblSection619[[#This Row],[Gross Total]]*0.15</f>
        <v>156.75</v>
      </c>
    </row>
    <row r="152" spans="1:86" x14ac:dyDescent="0.35">
      <c r="A152" t="s">
        <v>173</v>
      </c>
      <c r="B152">
        <v>1946</v>
      </c>
      <c r="C152" t="s">
        <v>1528</v>
      </c>
      <c r="D152" s="44">
        <f>LEN(TblAgencies[[#This Row],[InstNm]])</f>
        <v>13</v>
      </c>
      <c r="E152" s="44" t="s">
        <v>1900</v>
      </c>
      <c r="F152" s="44" t="s">
        <v>1900</v>
      </c>
      <c r="G15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52" s="44"/>
      <c r="I152" s="44"/>
      <c r="J152" s="44"/>
      <c r="K152" s="44"/>
      <c r="M152" s="44"/>
      <c r="N152" s="44">
        <v>1946</v>
      </c>
      <c r="O152" t="s">
        <v>173</v>
      </c>
      <c r="P152" s="1">
        <v>254758.54899571463</v>
      </c>
      <c r="Q152" s="1">
        <v>25117.040041831024</v>
      </c>
      <c r="R152" s="1">
        <v>0</v>
      </c>
      <c r="S152" s="1">
        <v>0</v>
      </c>
      <c r="T152" s="1">
        <v>0</v>
      </c>
      <c r="U152" s="1">
        <v>0</v>
      </c>
      <c r="V152" s="1">
        <v>23322.965753128807</v>
      </c>
      <c r="W152" s="1">
        <v>254758.54899571463</v>
      </c>
      <c r="X152" s="1">
        <f>tblSection6111416[[#This Row],[Net Total]]*0.15</f>
        <v>38213.782349357192</v>
      </c>
      <c r="Y152" s="1"/>
      <c r="AA152" s="44">
        <v>1946</v>
      </c>
      <c r="AB152" t="s">
        <v>173</v>
      </c>
      <c r="AC152" s="1">
        <v>977.84683363067802</v>
      </c>
      <c r="AD152" s="1">
        <v>325.94894454355932</v>
      </c>
      <c r="AE152" s="1">
        <v>0</v>
      </c>
      <c r="AF152" s="1">
        <v>0</v>
      </c>
      <c r="AG152" s="1">
        <v>0</v>
      </c>
      <c r="AH152" s="1">
        <v>4237.3362790662713</v>
      </c>
      <c r="AI152" s="1">
        <v>977.84683363067779</v>
      </c>
      <c r="AJ152" s="1">
        <f>tblSection6191517[[#This Row],[Net Total]]*0.15</f>
        <v>146.67702504460166</v>
      </c>
      <c r="AK152" s="1"/>
      <c r="AM152" s="44"/>
      <c r="AN152" s="44">
        <v>1946</v>
      </c>
      <c r="AO152" t="s">
        <v>173</v>
      </c>
      <c r="AP152" s="247">
        <v>254758.54899571463</v>
      </c>
      <c r="AQ152" s="247">
        <v>25117.040041831024</v>
      </c>
      <c r="AR152" s="247">
        <v>0</v>
      </c>
      <c r="AS152" s="247">
        <v>0</v>
      </c>
      <c r="AT152" s="247">
        <v>0</v>
      </c>
      <c r="AU152" s="247">
        <v>0</v>
      </c>
      <c r="AV152" s="247">
        <v>23322.965753128807</v>
      </c>
      <c r="AW152" s="247">
        <v>303198.55479067448</v>
      </c>
      <c r="AX152" s="1">
        <f>tblSection61114[[#This Row],[Gross Total]]*0.15</f>
        <v>45479.783218601173</v>
      </c>
      <c r="AZ152" s="44">
        <v>1946</v>
      </c>
      <c r="BA152" t="s">
        <v>173</v>
      </c>
      <c r="BB152" s="247">
        <v>977.84683363067802</v>
      </c>
      <c r="BC152" s="247">
        <v>325.94894454355932</v>
      </c>
      <c r="BD152" s="247">
        <v>0</v>
      </c>
      <c r="BE152" s="247">
        <v>0</v>
      </c>
      <c r="BF152" s="247">
        <v>0</v>
      </c>
      <c r="BG152" s="247">
        <v>4237.3362790662713</v>
      </c>
      <c r="BH152" s="247">
        <v>5541.1320572405084</v>
      </c>
      <c r="BI152" s="1">
        <f>tblSection61915[[#This Row],[Gross Total]]*0.15</f>
        <v>831.16980858607621</v>
      </c>
      <c r="BJ152" s="44"/>
      <c r="BK152" s="246"/>
      <c r="BM152" s="44">
        <v>1946</v>
      </c>
      <c r="BN152" t="s">
        <v>173</v>
      </c>
      <c r="BO152" s="1">
        <v>176006</v>
      </c>
      <c r="BP152" s="1">
        <v>8325</v>
      </c>
      <c r="BQ152" s="1">
        <v>0</v>
      </c>
      <c r="BR152" s="1">
        <v>0</v>
      </c>
      <c r="BS152" s="1">
        <v>0</v>
      </c>
      <c r="BT152" s="1">
        <v>19028</v>
      </c>
      <c r="BU152" s="1">
        <f>SUM(tblSection611[[#This Row],[LEA/District]:[ECSE]])</f>
        <v>203359</v>
      </c>
      <c r="BV152" s="1">
        <f>tblSection611[[#This Row],[Gross Total]]*0.15</f>
        <v>30503.85</v>
      </c>
      <c r="BW152" s="1"/>
      <c r="BY152" s="44">
        <v>1946</v>
      </c>
      <c r="BZ152" t="s">
        <v>173</v>
      </c>
      <c r="CA152" s="1">
        <v>1733</v>
      </c>
      <c r="CB152" s="1">
        <v>193</v>
      </c>
      <c r="CC152" s="1">
        <v>0</v>
      </c>
      <c r="CD152" s="1">
        <v>0</v>
      </c>
      <c r="CE152" s="1">
        <v>0</v>
      </c>
      <c r="CF152" s="1">
        <v>3081</v>
      </c>
      <c r="CG152" s="1">
        <f>SUM(tblSection619[[#This Row],[LEA/District]:[ECSE]])</f>
        <v>5007</v>
      </c>
      <c r="CH152" s="1">
        <f>tblSection619[[#This Row],[Gross Total]]*0.15</f>
        <v>751.05</v>
      </c>
    </row>
    <row r="153" spans="1:86" x14ac:dyDescent="0.35">
      <c r="A153" t="s">
        <v>174</v>
      </c>
      <c r="B153">
        <v>1977</v>
      </c>
      <c r="C153" t="s">
        <v>1528</v>
      </c>
      <c r="D153" s="44">
        <f>LEN(TblAgencies[[#This Row],[InstNm]])</f>
        <v>13</v>
      </c>
      <c r="E153" s="44" t="s">
        <v>1900</v>
      </c>
      <c r="F153" s="44" t="s">
        <v>1900</v>
      </c>
      <c r="G15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53" s="44"/>
      <c r="I153" s="44"/>
      <c r="J153" s="44"/>
      <c r="K153" s="44"/>
      <c r="M153" s="44"/>
      <c r="N153" s="44">
        <v>1977</v>
      </c>
      <c r="O153" t="s">
        <v>174</v>
      </c>
      <c r="P153" s="1">
        <v>1111857.9792300179</v>
      </c>
      <c r="Q153" s="1">
        <v>240727.03203897545</v>
      </c>
      <c r="R153" s="1">
        <v>3009.0879004871931</v>
      </c>
      <c r="S153" s="1">
        <v>6018.1758009743862</v>
      </c>
      <c r="T153" s="1">
        <v>0</v>
      </c>
      <c r="U153" s="1">
        <v>0</v>
      </c>
      <c r="V153" s="1">
        <v>168508.92242728281</v>
      </c>
      <c r="W153" s="1">
        <v>1111857.9792300181</v>
      </c>
      <c r="X153" s="1">
        <f>tblSection6111416[[#This Row],[Net Total]]*0.15</f>
        <v>166778.69688450271</v>
      </c>
      <c r="Y153" s="1"/>
      <c r="AA153" s="44">
        <v>1977</v>
      </c>
      <c r="AB153" t="s">
        <v>174</v>
      </c>
      <c r="AC153" s="1">
        <v>4905.489184011557</v>
      </c>
      <c r="AD153" s="1">
        <v>5431.0773108699377</v>
      </c>
      <c r="AE153" s="1">
        <v>0</v>
      </c>
      <c r="AF153" s="1">
        <v>0</v>
      </c>
      <c r="AG153" s="1">
        <v>0</v>
      </c>
      <c r="AH153" s="1">
        <v>19621.956736046224</v>
      </c>
      <c r="AI153" s="1">
        <v>4905.4891840115597</v>
      </c>
      <c r="AJ153" s="1">
        <f>tblSection6191517[[#This Row],[Net Total]]*0.15</f>
        <v>735.82337760173391</v>
      </c>
      <c r="AK153" s="1"/>
      <c r="AM153" s="44"/>
      <c r="AN153" s="44">
        <v>1977</v>
      </c>
      <c r="AO153" t="s">
        <v>174</v>
      </c>
      <c r="AP153" s="247">
        <v>1111857.9792300179</v>
      </c>
      <c r="AQ153" s="247">
        <v>240727.03203897545</v>
      </c>
      <c r="AR153" s="247">
        <v>3009.0879004871931</v>
      </c>
      <c r="AS153" s="247">
        <v>6018.1758009743862</v>
      </c>
      <c r="AT153" s="247">
        <v>0</v>
      </c>
      <c r="AU153" s="247">
        <v>0</v>
      </c>
      <c r="AV153" s="247">
        <v>133904.4115716801</v>
      </c>
      <c r="AW153" s="247">
        <v>1495516.6865421352</v>
      </c>
      <c r="AX153" s="1">
        <f>tblSection61114[[#This Row],[Gross Total]]*0.15</f>
        <v>224327.50298132029</v>
      </c>
      <c r="AZ153" s="44">
        <v>1977</v>
      </c>
      <c r="BA153" t="s">
        <v>174</v>
      </c>
      <c r="BB153" s="247">
        <v>4905.489184011557</v>
      </c>
      <c r="BC153" s="247">
        <v>5431.0773108699377</v>
      </c>
      <c r="BD153" s="247">
        <v>0</v>
      </c>
      <c r="BE153" s="247">
        <v>0</v>
      </c>
      <c r="BF153" s="247">
        <v>0</v>
      </c>
      <c r="BG153" s="247">
        <v>15592.447763465303</v>
      </c>
      <c r="BH153" s="247">
        <v>25929.014258346797</v>
      </c>
      <c r="BI153" s="1">
        <f>tblSection61915[[#This Row],[Gross Total]]*0.15</f>
        <v>3889.3521387520195</v>
      </c>
      <c r="BJ153" s="44"/>
      <c r="BK153" s="246"/>
      <c r="BM153" s="44">
        <v>1977</v>
      </c>
      <c r="BN153" t="s">
        <v>174</v>
      </c>
      <c r="BO153" s="1">
        <v>1067596</v>
      </c>
      <c r="BP153" s="1">
        <v>194108</v>
      </c>
      <c r="BQ153" s="1">
        <v>1427</v>
      </c>
      <c r="BR153" s="1">
        <v>8564</v>
      </c>
      <c r="BS153" s="1">
        <v>0</v>
      </c>
      <c r="BT153" s="1">
        <v>132736</v>
      </c>
      <c r="BU153" s="1">
        <f>SUM(tblSection611[[#This Row],[LEA/District]:[ECSE]])</f>
        <v>1404431</v>
      </c>
      <c r="BV153" s="1">
        <f>tblSection611[[#This Row],[Gross Total]]*0.15</f>
        <v>210664.65</v>
      </c>
      <c r="BW153" s="1"/>
      <c r="BY153" s="44">
        <v>1977</v>
      </c>
      <c r="BZ153" t="s">
        <v>174</v>
      </c>
      <c r="CA153" s="1">
        <v>4472</v>
      </c>
      <c r="CB153" s="1">
        <v>583</v>
      </c>
      <c r="CC153" s="1">
        <v>0</v>
      </c>
      <c r="CD153" s="1">
        <v>0</v>
      </c>
      <c r="CE153" s="1">
        <v>0</v>
      </c>
      <c r="CF153" s="1">
        <v>18080</v>
      </c>
      <c r="CG153" s="1">
        <f>SUM(tblSection619[[#This Row],[LEA/District]:[ECSE]])</f>
        <v>23135</v>
      </c>
      <c r="CH153" s="1">
        <f>tblSection619[[#This Row],[Gross Total]]*0.15</f>
        <v>3470.25</v>
      </c>
    </row>
    <row r="154" spans="1:86" x14ac:dyDescent="0.35">
      <c r="A154" t="s">
        <v>175</v>
      </c>
      <c r="B154">
        <v>2001</v>
      </c>
      <c r="C154" t="s">
        <v>1528</v>
      </c>
      <c r="D154" s="44">
        <f>LEN(TblAgencies[[#This Row],[InstNm]])</f>
        <v>16</v>
      </c>
      <c r="E154" s="44" t="s">
        <v>1900</v>
      </c>
      <c r="F154" s="44" t="s">
        <v>1900</v>
      </c>
      <c r="G15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54" s="44"/>
      <c r="I154" s="44"/>
      <c r="J154" s="44"/>
      <c r="K154" s="44"/>
      <c r="M154" s="44"/>
      <c r="N154" s="44">
        <v>2001</v>
      </c>
      <c r="O154" t="s">
        <v>175</v>
      </c>
      <c r="P154" s="1">
        <v>185753.92106727595</v>
      </c>
      <c r="Q154" s="1">
        <v>22781.141262967802</v>
      </c>
      <c r="R154" s="1">
        <v>0</v>
      </c>
      <c r="S154" s="1">
        <v>0</v>
      </c>
      <c r="T154" s="1">
        <v>0</v>
      </c>
      <c r="U154" s="1">
        <v>0</v>
      </c>
      <c r="V154" s="1">
        <v>17523.954817667542</v>
      </c>
      <c r="W154" s="1">
        <v>185753.92106727598</v>
      </c>
      <c r="X154" s="1">
        <f>tblSection6111416[[#This Row],[Net Total]]*0.15</f>
        <v>27863.088160091396</v>
      </c>
      <c r="Y154" s="1"/>
      <c r="AA154" s="44">
        <v>2001</v>
      </c>
      <c r="AB154" t="s">
        <v>175</v>
      </c>
      <c r="AC154" s="1">
        <v>3866.2701812411342</v>
      </c>
      <c r="AD154" s="1">
        <v>552.32431160587635</v>
      </c>
      <c r="AE154" s="1">
        <v>0</v>
      </c>
      <c r="AF154" s="1">
        <v>0</v>
      </c>
      <c r="AG154" s="1">
        <v>0</v>
      </c>
      <c r="AH154" s="1">
        <v>5523.2431160587639</v>
      </c>
      <c r="AI154" s="1">
        <v>3866.2701812411342</v>
      </c>
      <c r="AJ154" s="1">
        <f>tblSection6191517[[#This Row],[Net Total]]*0.15</f>
        <v>579.94052718617013</v>
      </c>
      <c r="AK154" s="1"/>
      <c r="AM154" s="44"/>
      <c r="AN154" s="44">
        <v>2001</v>
      </c>
      <c r="AO154" t="s">
        <v>175</v>
      </c>
      <c r="AP154" s="247">
        <v>185753.92106727595</v>
      </c>
      <c r="AQ154" s="247">
        <v>22781.141262967802</v>
      </c>
      <c r="AR154" s="247">
        <v>0</v>
      </c>
      <c r="AS154" s="247">
        <v>0</v>
      </c>
      <c r="AT154" s="247">
        <v>0</v>
      </c>
      <c r="AU154" s="247">
        <v>0</v>
      </c>
      <c r="AV154" s="247">
        <v>17523.954817667542</v>
      </c>
      <c r="AW154" s="247">
        <v>226059.01714791131</v>
      </c>
      <c r="AX154" s="1">
        <f>tblSection61114[[#This Row],[Gross Total]]*0.15</f>
        <v>33908.852572186697</v>
      </c>
      <c r="AZ154" s="44">
        <v>2001</v>
      </c>
      <c r="BA154" t="s">
        <v>175</v>
      </c>
      <c r="BB154" s="247">
        <v>3866.2701812411342</v>
      </c>
      <c r="BC154" s="247">
        <v>552.32431160587635</v>
      </c>
      <c r="BD154" s="247">
        <v>0</v>
      </c>
      <c r="BE154" s="247">
        <v>0</v>
      </c>
      <c r="BF154" s="247">
        <v>0</v>
      </c>
      <c r="BG154" s="247">
        <v>5523.2431160587639</v>
      </c>
      <c r="BH154" s="247">
        <v>9941.8376089057747</v>
      </c>
      <c r="BI154" s="1">
        <f>tblSection61915[[#This Row],[Gross Total]]*0.15</f>
        <v>1491.2756413358661</v>
      </c>
      <c r="BJ154" s="44"/>
      <c r="BK154" s="246"/>
      <c r="BM154" s="44">
        <v>2001</v>
      </c>
      <c r="BN154" t="s">
        <v>175</v>
      </c>
      <c r="BO154" s="1">
        <v>128353</v>
      </c>
      <c r="BP154" s="1">
        <v>19747</v>
      </c>
      <c r="BQ154" s="1">
        <v>0</v>
      </c>
      <c r="BR154" s="1">
        <v>0</v>
      </c>
      <c r="BS154" s="1">
        <v>0</v>
      </c>
      <c r="BT154" s="1">
        <v>21157</v>
      </c>
      <c r="BU154" s="1">
        <f>SUM(tblSection611[[#This Row],[LEA/District]:[ECSE]])</f>
        <v>169257</v>
      </c>
      <c r="BV154" s="1">
        <f>tblSection611[[#This Row],[Gross Total]]*0.15</f>
        <v>25388.55</v>
      </c>
      <c r="BW154" s="1"/>
      <c r="BY154" s="44">
        <v>2001</v>
      </c>
      <c r="BZ154" t="s">
        <v>175</v>
      </c>
      <c r="CA154" s="1">
        <v>571</v>
      </c>
      <c r="CB154" s="1">
        <v>0</v>
      </c>
      <c r="CC154" s="1">
        <v>0</v>
      </c>
      <c r="CD154" s="1">
        <v>0</v>
      </c>
      <c r="CE154" s="1">
        <v>0</v>
      </c>
      <c r="CF154" s="1">
        <v>8572</v>
      </c>
      <c r="CG154" s="1">
        <f>SUM(tblSection619[[#This Row],[LEA/District]:[ECSE]])</f>
        <v>9143</v>
      </c>
      <c r="CH154" s="1">
        <f>tblSection619[[#This Row],[Gross Total]]*0.15</f>
        <v>1371.45</v>
      </c>
    </row>
    <row r="155" spans="1:86" x14ac:dyDescent="0.35">
      <c r="A155" t="s">
        <v>176</v>
      </c>
      <c r="B155">
        <v>2182</v>
      </c>
      <c r="C155" t="s">
        <v>1528</v>
      </c>
      <c r="D155" s="44">
        <f>LEN(TblAgencies[[#This Row],[InstNm]])</f>
        <v>13</v>
      </c>
      <c r="E155" s="44" t="s">
        <v>1900</v>
      </c>
      <c r="F155" s="44" t="s">
        <v>1900</v>
      </c>
      <c r="G15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55" s="44"/>
      <c r="I155" s="44"/>
      <c r="J155" s="44"/>
      <c r="K155" s="44"/>
      <c r="M155" s="44"/>
      <c r="N155" s="44">
        <v>2182</v>
      </c>
      <c r="O155" t="s">
        <v>176</v>
      </c>
      <c r="P155" s="1">
        <v>1933515.9923016105</v>
      </c>
      <c r="Q155" s="1">
        <v>571581.22162860364</v>
      </c>
      <c r="R155" s="1">
        <v>4621.9505792070377</v>
      </c>
      <c r="S155" s="1">
        <v>0</v>
      </c>
      <c r="T155" s="1">
        <v>0</v>
      </c>
      <c r="U155" s="1">
        <v>0</v>
      </c>
      <c r="V155" s="1">
        <v>357430.8447920109</v>
      </c>
      <c r="W155" s="1">
        <v>1933515.9923016103</v>
      </c>
      <c r="X155" s="1">
        <f>tblSection6111416[[#This Row],[Net Total]]*0.15</f>
        <v>290027.39884524152</v>
      </c>
      <c r="Y155" s="1"/>
      <c r="AA155" s="44">
        <v>2182</v>
      </c>
      <c r="AB155" t="s">
        <v>176</v>
      </c>
      <c r="AC155" s="1">
        <v>9742.6935285161271</v>
      </c>
      <c r="AD155" s="1">
        <v>12526.320250949306</v>
      </c>
      <c r="AE155" s="1">
        <v>0</v>
      </c>
      <c r="AF155" s="1">
        <v>0</v>
      </c>
      <c r="AG155" s="1">
        <v>0</v>
      </c>
      <c r="AH155" s="1">
        <v>40362.5874752811</v>
      </c>
      <c r="AI155" s="1">
        <v>9742.6935285161308</v>
      </c>
      <c r="AJ155" s="1">
        <f>tblSection6191517[[#This Row],[Net Total]]*0.15</f>
        <v>1461.4040292774196</v>
      </c>
      <c r="AK155" s="1"/>
      <c r="AM155" s="44"/>
      <c r="AN155" s="44">
        <v>2182</v>
      </c>
      <c r="AO155" t="s">
        <v>176</v>
      </c>
      <c r="AP155" s="247">
        <v>1933515.9923016105</v>
      </c>
      <c r="AQ155" s="247">
        <v>571581.22162860364</v>
      </c>
      <c r="AR155" s="247">
        <v>4621.9505792070377</v>
      </c>
      <c r="AS155" s="247">
        <v>0</v>
      </c>
      <c r="AT155" s="247">
        <v>0</v>
      </c>
      <c r="AU155" s="247">
        <v>0</v>
      </c>
      <c r="AV155" s="247">
        <v>274235.73436628422</v>
      </c>
      <c r="AW155" s="247">
        <v>2783954.8988757054</v>
      </c>
      <c r="AX155" s="1">
        <f>tblSection61114[[#This Row],[Gross Total]]*0.15</f>
        <v>417593.2348313558</v>
      </c>
      <c r="AZ155" s="44">
        <v>2182</v>
      </c>
      <c r="BA155" t="s">
        <v>176</v>
      </c>
      <c r="BB155" s="247">
        <v>9742.6935285161271</v>
      </c>
      <c r="BC155" s="247">
        <v>12526.320250949306</v>
      </c>
      <c r="BD155" s="247">
        <v>0</v>
      </c>
      <c r="BE155" s="247">
        <v>0</v>
      </c>
      <c r="BF155" s="247">
        <v>0</v>
      </c>
      <c r="BG155" s="247">
        <v>30967.847287069118</v>
      </c>
      <c r="BH155" s="247">
        <v>53236.861066534548</v>
      </c>
      <c r="BI155" s="1">
        <f>tblSection61915[[#This Row],[Gross Total]]*0.15</f>
        <v>7985.5291599801822</v>
      </c>
      <c r="BJ155" s="44"/>
      <c r="BK155" s="246"/>
      <c r="BM155" s="44">
        <v>2182</v>
      </c>
      <c r="BN155" t="s">
        <v>176</v>
      </c>
      <c r="BO155" s="1">
        <v>1705031</v>
      </c>
      <c r="BP155" s="1">
        <v>386474</v>
      </c>
      <c r="BQ155" s="1">
        <v>1337</v>
      </c>
      <c r="BR155" s="1">
        <v>1337</v>
      </c>
      <c r="BS155" s="1">
        <v>0</v>
      </c>
      <c r="BT155" s="1">
        <v>221988</v>
      </c>
      <c r="BU155" s="1">
        <f>SUM(tblSection611[[#This Row],[LEA/District]:[ECSE]])</f>
        <v>2316167</v>
      </c>
      <c r="BV155" s="1">
        <f>tblSection611[[#This Row],[Gross Total]]*0.15</f>
        <v>347425.05</v>
      </c>
      <c r="BW155" s="1"/>
      <c r="BY155" s="44">
        <v>2182</v>
      </c>
      <c r="BZ155" t="s">
        <v>176</v>
      </c>
      <c r="CA155" s="1">
        <v>10549</v>
      </c>
      <c r="CB155" s="1">
        <v>2877</v>
      </c>
      <c r="CC155" s="1">
        <v>0</v>
      </c>
      <c r="CD155" s="1">
        <v>0</v>
      </c>
      <c r="CE155" s="1">
        <v>0</v>
      </c>
      <c r="CF155" s="1">
        <v>31838</v>
      </c>
      <c r="CG155" s="1">
        <f>SUM(tblSection619[[#This Row],[LEA/District]:[ECSE]])</f>
        <v>45264</v>
      </c>
      <c r="CH155" s="1">
        <f>tblSection619[[#This Row],[Gross Total]]*0.15</f>
        <v>6789.5999999999995</v>
      </c>
    </row>
    <row r="156" spans="1:86" x14ac:dyDescent="0.35">
      <c r="A156" t="s">
        <v>177</v>
      </c>
      <c r="B156">
        <v>1999</v>
      </c>
      <c r="C156" t="s">
        <v>1528</v>
      </c>
      <c r="D156" s="44">
        <f>LEN(TblAgencies[[#This Row],[InstNm]])</f>
        <v>12</v>
      </c>
      <c r="E156" s="44" t="s">
        <v>1900</v>
      </c>
      <c r="F156" s="44" t="s">
        <v>1900</v>
      </c>
      <c r="G15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56" s="44"/>
      <c r="I156" s="44"/>
      <c r="J156" s="44"/>
      <c r="K156" s="44"/>
      <c r="M156" s="44"/>
      <c r="N156" s="44">
        <v>1999</v>
      </c>
      <c r="O156" t="s">
        <v>177</v>
      </c>
      <c r="P156" s="1">
        <v>105559.48753544682</v>
      </c>
      <c r="Q156" s="1">
        <v>12604.117914680217</v>
      </c>
      <c r="R156" s="1">
        <v>0</v>
      </c>
      <c r="S156" s="1">
        <v>0</v>
      </c>
      <c r="T156" s="1">
        <v>0</v>
      </c>
      <c r="U156" s="1">
        <v>0</v>
      </c>
      <c r="V156" s="1">
        <v>9453.0884360101627</v>
      </c>
      <c r="W156" s="1">
        <v>105559.48753544682</v>
      </c>
      <c r="X156" s="1">
        <f>tblSection6111416[[#This Row],[Net Total]]*0.15</f>
        <v>15833.923130317024</v>
      </c>
      <c r="Y156" s="1"/>
      <c r="AA156" s="44">
        <v>1999</v>
      </c>
      <c r="AB156" t="s">
        <v>177</v>
      </c>
      <c r="AC156" s="1">
        <v>189.64888781301656</v>
      </c>
      <c r="AD156" s="1">
        <v>94.824443906508279</v>
      </c>
      <c r="AE156" s="1">
        <v>0</v>
      </c>
      <c r="AF156" s="1">
        <v>0</v>
      </c>
      <c r="AG156" s="1">
        <v>0</v>
      </c>
      <c r="AH156" s="1">
        <v>568.94666343904964</v>
      </c>
      <c r="AI156" s="1">
        <v>189.64888781301659</v>
      </c>
      <c r="AJ156" s="1">
        <f>tblSection6191517[[#This Row],[Net Total]]*0.15</f>
        <v>28.447333171952486</v>
      </c>
      <c r="AK156" s="1"/>
      <c r="AM156" s="44"/>
      <c r="AN156" s="44">
        <v>1999</v>
      </c>
      <c r="AO156" t="s">
        <v>177</v>
      </c>
      <c r="AP156" s="247">
        <v>105559.48753544682</v>
      </c>
      <c r="AQ156" s="247">
        <v>12604.117914680217</v>
      </c>
      <c r="AR156" s="247">
        <v>0</v>
      </c>
      <c r="AS156" s="247">
        <v>0</v>
      </c>
      <c r="AT156" s="247">
        <v>0</v>
      </c>
      <c r="AU156" s="247">
        <v>0</v>
      </c>
      <c r="AV156" s="247">
        <v>9453.0884360101627</v>
      </c>
      <c r="AW156" s="247">
        <v>127616.6938861372</v>
      </c>
      <c r="AX156" s="1">
        <f>tblSection61114[[#This Row],[Gross Total]]*0.15</f>
        <v>19142.504082920579</v>
      </c>
      <c r="AZ156" s="44">
        <v>1999</v>
      </c>
      <c r="BA156" t="s">
        <v>177</v>
      </c>
      <c r="BB156" s="247">
        <v>189.64888781301656</v>
      </c>
      <c r="BC156" s="247">
        <v>94.824443906508279</v>
      </c>
      <c r="BD156" s="247">
        <v>0</v>
      </c>
      <c r="BE156" s="247">
        <v>0</v>
      </c>
      <c r="BF156" s="247">
        <v>0</v>
      </c>
      <c r="BG156" s="247">
        <v>568.94666343904964</v>
      </c>
      <c r="BH156" s="247">
        <v>853.41999515857447</v>
      </c>
      <c r="BI156" s="1">
        <f>tblSection61915[[#This Row],[Gross Total]]*0.15</f>
        <v>128.01299927378616</v>
      </c>
      <c r="BJ156" s="44"/>
      <c r="BK156" s="246"/>
      <c r="BM156" s="44">
        <v>1999</v>
      </c>
      <c r="BN156" t="s">
        <v>177</v>
      </c>
      <c r="BO156" s="1">
        <v>77980</v>
      </c>
      <c r="BP156" s="1">
        <v>10756</v>
      </c>
      <c r="BQ156" s="1">
        <v>0</v>
      </c>
      <c r="BR156" s="1">
        <v>0</v>
      </c>
      <c r="BS156" s="1">
        <v>0</v>
      </c>
      <c r="BT156" s="1">
        <v>10756</v>
      </c>
      <c r="BU156" s="1">
        <f>SUM(tblSection611[[#This Row],[LEA/District]:[ECSE]])</f>
        <v>99492</v>
      </c>
      <c r="BV156" s="1">
        <f>tblSection611[[#This Row],[Gross Total]]*0.15</f>
        <v>14923.8</v>
      </c>
      <c r="BW156" s="1"/>
      <c r="BY156" s="44">
        <v>1999</v>
      </c>
      <c r="BZ156" t="s">
        <v>177</v>
      </c>
      <c r="CA156" s="1">
        <v>81</v>
      </c>
      <c r="CB156" s="1">
        <v>0</v>
      </c>
      <c r="CC156" s="1">
        <v>0</v>
      </c>
      <c r="CD156" s="1">
        <v>0</v>
      </c>
      <c r="CE156" s="1">
        <v>0</v>
      </c>
      <c r="CF156" s="1">
        <v>644</v>
      </c>
      <c r="CG156" s="1">
        <f>SUM(tblSection619[[#This Row],[LEA/District]:[ECSE]])</f>
        <v>725</v>
      </c>
      <c r="CH156" s="1">
        <f>tblSection619[[#This Row],[Gross Total]]*0.15</f>
        <v>108.75</v>
      </c>
    </row>
    <row r="157" spans="1:86" x14ac:dyDescent="0.35">
      <c r="A157" t="s">
        <v>178</v>
      </c>
      <c r="B157">
        <v>2188</v>
      </c>
      <c r="C157" t="s">
        <v>1528</v>
      </c>
      <c r="D157" s="44">
        <f>LEN(TblAgencies[[#This Row],[InstNm]])</f>
        <v>16</v>
      </c>
      <c r="E157" s="44" t="s">
        <v>1900</v>
      </c>
      <c r="F157" s="44" t="s">
        <v>1900</v>
      </c>
      <c r="G15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57" s="44"/>
      <c r="I157" s="44"/>
      <c r="J157" s="44"/>
      <c r="K157" s="44"/>
      <c r="M157" s="44"/>
      <c r="N157" s="44">
        <v>2188</v>
      </c>
      <c r="O157" t="s">
        <v>178</v>
      </c>
      <c r="P157" s="1">
        <v>88037.193390937537</v>
      </c>
      <c r="Q157" s="1">
        <v>0</v>
      </c>
      <c r="R157" s="1">
        <v>0</v>
      </c>
      <c r="S157" s="1">
        <v>0</v>
      </c>
      <c r="T157" s="1">
        <v>0</v>
      </c>
      <c r="U157" s="1">
        <v>0</v>
      </c>
      <c r="V157" s="1">
        <v>0</v>
      </c>
      <c r="W157" s="1">
        <v>88037.193390937537</v>
      </c>
      <c r="X157" s="1">
        <f>tblSection6111416[[#This Row],[Net Total]]*0.15</f>
        <v>13205.57900864063</v>
      </c>
      <c r="Y157" s="1"/>
      <c r="AA157" s="44">
        <v>2188</v>
      </c>
      <c r="AB157" t="s">
        <v>178</v>
      </c>
      <c r="AC157" s="1">
        <v>566.41348474190795</v>
      </c>
      <c r="AD157" s="1">
        <v>0</v>
      </c>
      <c r="AE157" s="1">
        <v>0</v>
      </c>
      <c r="AF157" s="1">
        <v>0</v>
      </c>
      <c r="AG157" s="1">
        <v>0</v>
      </c>
      <c r="AH157" s="1">
        <v>0</v>
      </c>
      <c r="AI157" s="1">
        <v>566.41348474190795</v>
      </c>
      <c r="AJ157" s="1">
        <f>tblSection6191517[[#This Row],[Net Total]]*0.15</f>
        <v>84.962022711286195</v>
      </c>
      <c r="AK157" s="1"/>
      <c r="AM157" s="44"/>
      <c r="AN157" s="44">
        <v>2188</v>
      </c>
      <c r="AO157" t="s">
        <v>178</v>
      </c>
      <c r="AP157" s="247">
        <v>88037.193390937537</v>
      </c>
      <c r="AQ157" s="247">
        <v>0</v>
      </c>
      <c r="AR157" s="247">
        <v>0</v>
      </c>
      <c r="AS157" s="247">
        <v>0</v>
      </c>
      <c r="AT157" s="247">
        <v>0</v>
      </c>
      <c r="AU157" s="247">
        <v>0</v>
      </c>
      <c r="AV157" s="247">
        <v>0</v>
      </c>
      <c r="AW157" s="247">
        <v>88037.193390937537</v>
      </c>
      <c r="AX157" s="1">
        <f>tblSection61114[[#This Row],[Gross Total]]*0.15</f>
        <v>13205.57900864063</v>
      </c>
      <c r="AZ157" s="44">
        <v>2188</v>
      </c>
      <c r="BA157" t="s">
        <v>178</v>
      </c>
      <c r="BB157" s="247">
        <v>566.41348474190795</v>
      </c>
      <c r="BC157" s="247">
        <v>0</v>
      </c>
      <c r="BD157" s="247">
        <v>0</v>
      </c>
      <c r="BE157" s="247">
        <v>0</v>
      </c>
      <c r="BF157" s="247">
        <v>0</v>
      </c>
      <c r="BG157" s="247">
        <v>0</v>
      </c>
      <c r="BH157" s="247">
        <v>566.41348474190795</v>
      </c>
      <c r="BI157" s="1">
        <f>tblSection61915[[#This Row],[Gross Total]]*0.15</f>
        <v>84.962022711286195</v>
      </c>
      <c r="BJ157" s="44"/>
      <c r="BK157" s="246"/>
      <c r="BM157" s="44">
        <v>2188</v>
      </c>
      <c r="BN157" t="s">
        <v>178</v>
      </c>
      <c r="BO157" s="1">
        <v>86728</v>
      </c>
      <c r="BP157" s="1">
        <v>0</v>
      </c>
      <c r="BQ157" s="1">
        <v>0</v>
      </c>
      <c r="BR157" s="1">
        <v>0</v>
      </c>
      <c r="BS157" s="1">
        <v>0</v>
      </c>
      <c r="BT157" s="1">
        <v>2891</v>
      </c>
      <c r="BU157" s="1">
        <f>SUM(tblSection611[[#This Row],[LEA/District]:[ECSE]])</f>
        <v>89619</v>
      </c>
      <c r="BV157" s="1">
        <f>tblSection611[[#This Row],[Gross Total]]*0.15</f>
        <v>13442.85</v>
      </c>
      <c r="BW157" s="1"/>
      <c r="BY157" s="44">
        <v>2188</v>
      </c>
      <c r="BZ157" t="s">
        <v>178</v>
      </c>
      <c r="CA157" s="1">
        <v>0</v>
      </c>
      <c r="CB157" s="1">
        <v>0</v>
      </c>
      <c r="CC157" s="1">
        <v>0</v>
      </c>
      <c r="CD157" s="1">
        <v>0</v>
      </c>
      <c r="CE157" s="1">
        <v>0</v>
      </c>
      <c r="CF157" s="1">
        <v>729</v>
      </c>
      <c r="CG157" s="1">
        <f>SUM(tblSection619[[#This Row],[LEA/District]:[ECSE]])</f>
        <v>729</v>
      </c>
      <c r="CH157" s="1">
        <f>tblSection619[[#This Row],[Gross Total]]*0.15</f>
        <v>109.35</v>
      </c>
    </row>
    <row r="158" spans="1:86" x14ac:dyDescent="0.35">
      <c r="A158" t="s">
        <v>179</v>
      </c>
      <c r="B158">
        <v>2044</v>
      </c>
      <c r="C158" t="s">
        <v>1528</v>
      </c>
      <c r="D158" s="44">
        <f>LEN(TblAgencies[[#This Row],[InstNm]])</f>
        <v>17</v>
      </c>
      <c r="E158" s="44" t="s">
        <v>1900</v>
      </c>
      <c r="F158" s="44" t="s">
        <v>1900</v>
      </c>
      <c r="G15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58" s="44"/>
      <c r="I158" s="44"/>
      <c r="J158" s="44"/>
      <c r="K158" s="44"/>
      <c r="M158" s="44"/>
      <c r="N158" s="44">
        <v>2044</v>
      </c>
      <c r="O158" t="s">
        <v>179</v>
      </c>
      <c r="P158" s="1">
        <v>215927.03408852051</v>
      </c>
      <c r="Q158" s="1">
        <v>46867.883368050963</v>
      </c>
      <c r="R158" s="1">
        <v>0</v>
      </c>
      <c r="S158" s="1">
        <v>0</v>
      </c>
      <c r="T158" s="1">
        <v>0</v>
      </c>
      <c r="U158" s="1">
        <v>0</v>
      </c>
      <c r="V158" s="1">
        <v>10043.117864582349</v>
      </c>
      <c r="W158" s="1">
        <v>215927.03408852051</v>
      </c>
      <c r="X158" s="1">
        <f>tblSection6111416[[#This Row],[Net Total]]*0.15</f>
        <v>32389.055113278075</v>
      </c>
      <c r="Y158" s="1"/>
      <c r="AA158" s="44">
        <v>2044</v>
      </c>
      <c r="AB158" t="s">
        <v>179</v>
      </c>
      <c r="AC158" s="1">
        <v>2982.3986271347371</v>
      </c>
      <c r="AD158" s="1">
        <v>1491.1993135673686</v>
      </c>
      <c r="AE158" s="1">
        <v>0</v>
      </c>
      <c r="AF158" s="1">
        <v>0</v>
      </c>
      <c r="AG158" s="1">
        <v>0</v>
      </c>
      <c r="AH158" s="1">
        <v>4473.5979407021059</v>
      </c>
      <c r="AI158" s="1">
        <v>2982.3986271347376</v>
      </c>
      <c r="AJ158" s="1">
        <f>tblSection6191517[[#This Row],[Net Total]]*0.15</f>
        <v>447.35979407021063</v>
      </c>
      <c r="AK158" s="1"/>
      <c r="AM158" s="44"/>
      <c r="AN158" s="44">
        <v>2044</v>
      </c>
      <c r="AO158" t="s">
        <v>179</v>
      </c>
      <c r="AP158" s="247">
        <v>215927.03408852051</v>
      </c>
      <c r="AQ158" s="247">
        <v>46867.883368050963</v>
      </c>
      <c r="AR158" s="247">
        <v>0</v>
      </c>
      <c r="AS158" s="247">
        <v>0</v>
      </c>
      <c r="AT158" s="247">
        <v>0</v>
      </c>
      <c r="AU158" s="247">
        <v>0</v>
      </c>
      <c r="AV158" s="247">
        <v>8369.2648871519577</v>
      </c>
      <c r="AW158" s="247">
        <v>271164.18234372343</v>
      </c>
      <c r="AX158" s="1">
        <f>tblSection61114[[#This Row],[Gross Total]]*0.15</f>
        <v>40674.627351558513</v>
      </c>
      <c r="AZ158" s="44">
        <v>2044</v>
      </c>
      <c r="BA158" t="s">
        <v>179</v>
      </c>
      <c r="BB158" s="247">
        <v>2982.3986271347371</v>
      </c>
      <c r="BC158" s="247">
        <v>1491.1993135673686</v>
      </c>
      <c r="BD158" s="247">
        <v>0</v>
      </c>
      <c r="BE158" s="247">
        <v>0</v>
      </c>
      <c r="BF158" s="247">
        <v>0</v>
      </c>
      <c r="BG158" s="247">
        <v>3727.9982839184213</v>
      </c>
      <c r="BH158" s="247">
        <v>8201.5962246205272</v>
      </c>
      <c r="BI158" s="1">
        <f>tblSection61915[[#This Row],[Gross Total]]*0.15</f>
        <v>1230.239433693079</v>
      </c>
      <c r="BJ158" s="44"/>
      <c r="BK158" s="246"/>
      <c r="BM158" s="44">
        <v>2044</v>
      </c>
      <c r="BN158" t="s">
        <v>179</v>
      </c>
      <c r="BO158" s="1">
        <v>187344</v>
      </c>
      <c r="BP158" s="1">
        <v>41804</v>
      </c>
      <c r="BQ158" s="1">
        <v>0</v>
      </c>
      <c r="BR158" s="1">
        <v>0</v>
      </c>
      <c r="BS158" s="1">
        <v>0</v>
      </c>
      <c r="BT158" s="1">
        <v>18580</v>
      </c>
      <c r="BU158" s="1">
        <f>SUM(tblSection611[[#This Row],[LEA/District]:[ECSE]])</f>
        <v>247728</v>
      </c>
      <c r="BV158" s="1">
        <f>tblSection611[[#This Row],[Gross Total]]*0.15</f>
        <v>37159.199999999997</v>
      </c>
      <c r="BW158" s="1"/>
      <c r="BY158" s="44">
        <v>2044</v>
      </c>
      <c r="BZ158" t="s">
        <v>179</v>
      </c>
      <c r="CA158" s="1">
        <v>1507</v>
      </c>
      <c r="CB158" s="1">
        <v>502</v>
      </c>
      <c r="CC158" s="1">
        <v>0</v>
      </c>
      <c r="CD158" s="1">
        <v>0</v>
      </c>
      <c r="CE158" s="1">
        <v>0</v>
      </c>
      <c r="CF158" s="1">
        <v>6029</v>
      </c>
      <c r="CG158" s="1">
        <f>SUM(tblSection619[[#This Row],[LEA/District]:[ECSE]])</f>
        <v>8038</v>
      </c>
      <c r="CH158" s="1">
        <f>tblSection619[[#This Row],[Gross Total]]*0.15</f>
        <v>1205.7</v>
      </c>
    </row>
    <row r="159" spans="1:86" x14ac:dyDescent="0.35">
      <c r="A159" t="s">
        <v>180</v>
      </c>
      <c r="B159">
        <v>2142</v>
      </c>
      <c r="C159" t="s">
        <v>1528</v>
      </c>
      <c r="D159" s="44">
        <f>LEN(TblAgencies[[#This Row],[InstNm]])</f>
        <v>19</v>
      </c>
      <c r="E159" s="44" t="s">
        <v>1900</v>
      </c>
      <c r="F159" s="44" t="s">
        <v>1900</v>
      </c>
      <c r="G15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59" s="44"/>
      <c r="I159" s="44"/>
      <c r="J159" s="44"/>
      <c r="K159" s="44"/>
      <c r="M159" s="44"/>
      <c r="N159" s="44">
        <v>2142</v>
      </c>
      <c r="O159" t="s">
        <v>180</v>
      </c>
      <c r="P159" s="1">
        <v>9538076.8020233512</v>
      </c>
      <c r="Q159" s="1">
        <v>461591.43201974331</v>
      </c>
      <c r="R159" s="1">
        <v>31068.654078251955</v>
      </c>
      <c r="S159" s="1">
        <v>0</v>
      </c>
      <c r="T159" s="1">
        <v>2958.9194360239953</v>
      </c>
      <c r="U159" s="1">
        <v>0</v>
      </c>
      <c r="V159" s="1">
        <v>501536.84440606728</v>
      </c>
      <c r="W159" s="1">
        <v>9538076.8020233531</v>
      </c>
      <c r="X159" s="1">
        <f>tblSection6111416[[#This Row],[Net Total]]*0.15</f>
        <v>1430711.5203035029</v>
      </c>
      <c r="Y159" s="1"/>
      <c r="AA159" s="44">
        <v>2142</v>
      </c>
      <c r="AB159" t="s">
        <v>180</v>
      </c>
      <c r="AC159" s="1">
        <v>47889.290978760386</v>
      </c>
      <c r="AD159" s="1">
        <v>30361.184476730439</v>
      </c>
      <c r="AE159" s="1">
        <v>626.00380364392652</v>
      </c>
      <c r="AF159" s="1">
        <v>0</v>
      </c>
      <c r="AG159" s="1">
        <v>0</v>
      </c>
      <c r="AH159" s="1">
        <v>106107.64471764555</v>
      </c>
      <c r="AI159" s="1">
        <v>47889.290978760371</v>
      </c>
      <c r="AJ159" s="1">
        <f>tblSection6191517[[#This Row],[Net Total]]*0.15</f>
        <v>7183.3936468140555</v>
      </c>
      <c r="AK159" s="1"/>
      <c r="AM159" s="44"/>
      <c r="AN159" s="44">
        <v>2142</v>
      </c>
      <c r="AO159" t="s">
        <v>180</v>
      </c>
      <c r="AP159" s="247">
        <v>9538076.8020233512</v>
      </c>
      <c r="AQ159" s="247">
        <v>461591.43201974331</v>
      </c>
      <c r="AR159" s="247">
        <v>31068.654078251955</v>
      </c>
      <c r="AS159" s="247">
        <v>0</v>
      </c>
      <c r="AT159" s="247">
        <v>2958.9194360239953</v>
      </c>
      <c r="AU159" s="247">
        <v>0</v>
      </c>
      <c r="AV159" s="247">
        <v>372823.84893902345</v>
      </c>
      <c r="AW159" s="247">
        <v>10406519.656496396</v>
      </c>
      <c r="AX159" s="1">
        <f>tblSection61114[[#This Row],[Gross Total]]*0.15</f>
        <v>1560977.9484744594</v>
      </c>
      <c r="AZ159" s="44">
        <v>2142</v>
      </c>
      <c r="BA159" t="s">
        <v>180</v>
      </c>
      <c r="BB159" s="247">
        <v>47889.290978760386</v>
      </c>
      <c r="BC159" s="247">
        <v>30361.184476730439</v>
      </c>
      <c r="BD159" s="247">
        <v>626.00380364392652</v>
      </c>
      <c r="BE159" s="247">
        <v>0</v>
      </c>
      <c r="BF159" s="247">
        <v>0</v>
      </c>
      <c r="BG159" s="247">
        <v>78876.47925913475</v>
      </c>
      <c r="BH159" s="247">
        <v>157752.9585182695</v>
      </c>
      <c r="BI159" s="1">
        <f>tblSection61915[[#This Row],[Gross Total]]*0.15</f>
        <v>23662.943777740424</v>
      </c>
      <c r="BJ159" s="44"/>
      <c r="BK159" s="246"/>
      <c r="BM159" s="44">
        <v>2142</v>
      </c>
      <c r="BN159" t="s">
        <v>180</v>
      </c>
      <c r="BO159" s="1">
        <v>8115842</v>
      </c>
      <c r="BP159" s="1">
        <v>280554</v>
      </c>
      <c r="BQ159" s="1">
        <v>29066</v>
      </c>
      <c r="BR159" s="1">
        <v>0</v>
      </c>
      <c r="BS159" s="1">
        <v>3791</v>
      </c>
      <c r="BT159" s="1">
        <v>390501</v>
      </c>
      <c r="BU159" s="1">
        <f>SUM(tblSection611[[#This Row],[LEA/District]:[ECSE]])</f>
        <v>8819754</v>
      </c>
      <c r="BV159" s="1">
        <f>tblSection611[[#This Row],[Gross Total]]*0.15</f>
        <v>1322963.0999999999</v>
      </c>
      <c r="BW159" s="1"/>
      <c r="BY159" s="44">
        <v>2142</v>
      </c>
      <c r="BZ159" t="s">
        <v>180</v>
      </c>
      <c r="CA159" s="1">
        <v>55286</v>
      </c>
      <c r="CB159" s="1">
        <v>4373</v>
      </c>
      <c r="CC159" s="1">
        <v>625</v>
      </c>
      <c r="CD159" s="1">
        <v>0</v>
      </c>
      <c r="CE159" s="1">
        <v>0</v>
      </c>
      <c r="CF159" s="1">
        <v>96516</v>
      </c>
      <c r="CG159" s="1">
        <f>SUM(tblSection619[[#This Row],[LEA/District]:[ECSE]])</f>
        <v>156800</v>
      </c>
      <c r="CH159" s="1">
        <f>tblSection619[[#This Row],[Gross Total]]*0.15</f>
        <v>23520</v>
      </c>
    </row>
    <row r="160" spans="1:86" x14ac:dyDescent="0.35">
      <c r="A160" t="s">
        <v>181</v>
      </c>
      <c r="B160">
        <v>2104</v>
      </c>
      <c r="C160" t="s">
        <v>1528</v>
      </c>
      <c r="D160" s="44">
        <f>LEN(TblAgencies[[#This Row],[InstNm]])</f>
        <v>22</v>
      </c>
      <c r="E160" s="44" t="s">
        <v>1900</v>
      </c>
      <c r="F160" s="44" t="s">
        <v>1900</v>
      </c>
      <c r="G16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60" s="44"/>
      <c r="I160" s="44"/>
      <c r="J160" s="44"/>
      <c r="K160" s="44"/>
      <c r="M160" s="44"/>
      <c r="N160" s="44">
        <v>2104</v>
      </c>
      <c r="O160" t="s">
        <v>181</v>
      </c>
      <c r="P160" s="1">
        <v>601508.59946600161</v>
      </c>
      <c r="Q160" s="1">
        <v>108979.20507972264</v>
      </c>
      <c r="R160" s="1">
        <v>0</v>
      </c>
      <c r="S160" s="1">
        <v>0</v>
      </c>
      <c r="T160" s="1">
        <v>0</v>
      </c>
      <c r="U160" s="1">
        <v>0</v>
      </c>
      <c r="V160" s="1">
        <v>1415.3143516847094</v>
      </c>
      <c r="W160" s="1">
        <v>601508.59946600173</v>
      </c>
      <c r="X160" s="1">
        <f>tblSection6111416[[#This Row],[Net Total]]*0.15</f>
        <v>90226.289919900257</v>
      </c>
      <c r="Y160" s="1"/>
      <c r="AA160" s="44">
        <v>2104</v>
      </c>
      <c r="AB160" t="s">
        <v>181</v>
      </c>
      <c r="AC160" s="1">
        <v>646.51546083809933</v>
      </c>
      <c r="AD160" s="1">
        <v>1293.0309216761987</v>
      </c>
      <c r="AE160" s="1">
        <v>0</v>
      </c>
      <c r="AF160" s="1">
        <v>0</v>
      </c>
      <c r="AG160" s="1">
        <v>0</v>
      </c>
      <c r="AH160" s="1">
        <v>646.51546083809933</v>
      </c>
      <c r="AI160" s="1">
        <v>646.51546083809944</v>
      </c>
      <c r="AJ160" s="1">
        <f>tblSection6191517[[#This Row],[Net Total]]*0.15</f>
        <v>96.977319125714914</v>
      </c>
      <c r="AK160" s="1"/>
      <c r="AM160" s="44"/>
      <c r="AN160" s="44">
        <v>2104</v>
      </c>
      <c r="AO160" t="s">
        <v>181</v>
      </c>
      <c r="AP160" s="247">
        <v>601508.59946600161</v>
      </c>
      <c r="AQ160" s="247">
        <v>108979.20507972264</v>
      </c>
      <c r="AR160" s="247">
        <v>0</v>
      </c>
      <c r="AS160" s="247">
        <v>0</v>
      </c>
      <c r="AT160" s="247">
        <v>0</v>
      </c>
      <c r="AU160" s="247">
        <v>0</v>
      </c>
      <c r="AV160" s="247">
        <v>1415.3143516847094</v>
      </c>
      <c r="AW160" s="247">
        <v>711903.11889740906</v>
      </c>
      <c r="AX160" s="1">
        <f>tblSection61114[[#This Row],[Gross Total]]*0.15</f>
        <v>106785.46783461135</v>
      </c>
      <c r="AZ160" s="44">
        <v>2104</v>
      </c>
      <c r="BA160" t="s">
        <v>181</v>
      </c>
      <c r="BB160" s="247">
        <v>646.51546083809933</v>
      </c>
      <c r="BC160" s="247">
        <v>1293.0309216761987</v>
      </c>
      <c r="BD160" s="247">
        <v>0</v>
      </c>
      <c r="BE160" s="247">
        <v>0</v>
      </c>
      <c r="BF160" s="247">
        <v>0</v>
      </c>
      <c r="BG160" s="247">
        <v>646.51546083809933</v>
      </c>
      <c r="BH160" s="247">
        <v>2586.0618433523973</v>
      </c>
      <c r="BI160" s="1">
        <f>tblSection61915[[#This Row],[Gross Total]]*0.15</f>
        <v>387.9092765028596</v>
      </c>
      <c r="BJ160" s="44"/>
      <c r="BK160" s="246"/>
      <c r="BM160" s="44">
        <v>2104</v>
      </c>
      <c r="BN160" t="s">
        <v>181</v>
      </c>
      <c r="BO160" s="1">
        <v>633353</v>
      </c>
      <c r="BP160" s="1">
        <v>83576</v>
      </c>
      <c r="BQ160" s="1">
        <v>0</v>
      </c>
      <c r="BR160" s="1">
        <v>0</v>
      </c>
      <c r="BS160" s="1">
        <v>0</v>
      </c>
      <c r="BT160" s="1">
        <v>1306</v>
      </c>
      <c r="BU160" s="1">
        <f>SUM(tblSection611[[#This Row],[LEA/District]:[ECSE]])</f>
        <v>718235</v>
      </c>
      <c r="BV160" s="1">
        <f>tblSection611[[#This Row],[Gross Total]]*0.15</f>
        <v>107735.25</v>
      </c>
      <c r="BW160" s="1"/>
      <c r="BY160" s="44">
        <v>2104</v>
      </c>
      <c r="BZ160" t="s">
        <v>181</v>
      </c>
      <c r="CA160" s="1">
        <v>3145</v>
      </c>
      <c r="CB160" s="1">
        <v>0</v>
      </c>
      <c r="CC160" s="1">
        <v>0</v>
      </c>
      <c r="CD160" s="1">
        <v>0</v>
      </c>
      <c r="CE160" s="1">
        <v>0</v>
      </c>
      <c r="CF160" s="1">
        <v>1572</v>
      </c>
      <c r="CG160" s="1">
        <f>SUM(tblSection619[[#This Row],[LEA/District]:[ECSE]])</f>
        <v>4717</v>
      </c>
      <c r="CH160" s="1">
        <f>tblSection619[[#This Row],[Gross Total]]*0.15</f>
        <v>707.55</v>
      </c>
    </row>
    <row r="161" spans="1:86" x14ac:dyDescent="0.35">
      <c r="A161" t="s">
        <v>182</v>
      </c>
      <c r="B161">
        <v>1944</v>
      </c>
      <c r="C161" t="s">
        <v>1528</v>
      </c>
      <c r="D161" s="44">
        <f>LEN(TblAgencies[[#This Row],[InstNm]])</f>
        <v>15</v>
      </c>
      <c r="E161" s="44" t="s">
        <v>1900</v>
      </c>
      <c r="F161" s="44" t="s">
        <v>1900</v>
      </c>
      <c r="G16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61" s="44"/>
      <c r="I161" s="44"/>
      <c r="J161" s="44"/>
      <c r="K161" s="44"/>
      <c r="M161" s="44"/>
      <c r="N161" s="44">
        <v>1944</v>
      </c>
      <c r="O161" t="s">
        <v>182</v>
      </c>
      <c r="P161" s="1">
        <v>489133.02832354722</v>
      </c>
      <c r="Q161" s="1">
        <v>56667.850842362168</v>
      </c>
      <c r="R161" s="1">
        <v>1491.2592326937415</v>
      </c>
      <c r="S161" s="1">
        <v>0</v>
      </c>
      <c r="T161" s="1">
        <v>0</v>
      </c>
      <c r="U161" s="1">
        <v>0</v>
      </c>
      <c r="V161" s="1">
        <v>55176.591609668438</v>
      </c>
      <c r="W161" s="1">
        <v>489133.02832354716</v>
      </c>
      <c r="X161" s="1">
        <f>tblSection6111416[[#This Row],[Net Total]]*0.15</f>
        <v>73369.954248532071</v>
      </c>
      <c r="Y161" s="1"/>
      <c r="AA161" s="44">
        <v>1944</v>
      </c>
      <c r="AB161" t="s">
        <v>182</v>
      </c>
      <c r="AC161" s="1">
        <v>2269.4537070133447</v>
      </c>
      <c r="AD161" s="1">
        <v>648.41534486095566</v>
      </c>
      <c r="AE161" s="1">
        <v>0</v>
      </c>
      <c r="AF161" s="1">
        <v>0</v>
      </c>
      <c r="AG161" s="1">
        <v>0</v>
      </c>
      <c r="AH161" s="1">
        <v>5997.8419399638387</v>
      </c>
      <c r="AI161" s="1">
        <v>2269.4537070133447</v>
      </c>
      <c r="AJ161" s="1">
        <f>tblSection6191517[[#This Row],[Net Total]]*0.15</f>
        <v>340.4180560520017</v>
      </c>
      <c r="AK161" s="1"/>
      <c r="AM161" s="44"/>
      <c r="AN161" s="44">
        <v>1944</v>
      </c>
      <c r="AO161" t="s">
        <v>182</v>
      </c>
      <c r="AP161" s="247">
        <v>489133.02832354722</v>
      </c>
      <c r="AQ161" s="247">
        <v>56667.850842362168</v>
      </c>
      <c r="AR161" s="247">
        <v>1491.2592326937415</v>
      </c>
      <c r="AS161" s="247">
        <v>0</v>
      </c>
      <c r="AT161" s="247">
        <v>0</v>
      </c>
      <c r="AU161" s="247">
        <v>0</v>
      </c>
      <c r="AV161" s="247">
        <v>50702.813911587211</v>
      </c>
      <c r="AW161" s="247">
        <v>597994.9523101903</v>
      </c>
      <c r="AX161" s="1">
        <f>tblSection61114[[#This Row],[Gross Total]]*0.15</f>
        <v>89699.242846528548</v>
      </c>
      <c r="AZ161" s="44">
        <v>1944</v>
      </c>
      <c r="BA161" t="s">
        <v>182</v>
      </c>
      <c r="BB161" s="247">
        <v>2269.4537070133447</v>
      </c>
      <c r="BC161" s="247">
        <v>648.41534486095566</v>
      </c>
      <c r="BD161" s="247">
        <v>0</v>
      </c>
      <c r="BE161" s="247">
        <v>0</v>
      </c>
      <c r="BF161" s="247">
        <v>0</v>
      </c>
      <c r="BG161" s="247">
        <v>5511.5304313181223</v>
      </c>
      <c r="BH161" s="247">
        <v>8429.3994831924228</v>
      </c>
      <c r="BI161" s="1">
        <f>tblSection61915[[#This Row],[Gross Total]]*0.15</f>
        <v>1264.4099224788633</v>
      </c>
      <c r="BJ161" s="44"/>
      <c r="BK161" s="246"/>
      <c r="BM161" s="44">
        <v>1944</v>
      </c>
      <c r="BN161" t="s">
        <v>182</v>
      </c>
      <c r="BO161" s="1">
        <v>365879</v>
      </c>
      <c r="BP161" s="1">
        <v>48235</v>
      </c>
      <c r="BQ161" s="1">
        <v>1177</v>
      </c>
      <c r="BR161" s="1">
        <v>0</v>
      </c>
      <c r="BS161" s="1">
        <v>0</v>
      </c>
      <c r="BT161" s="1">
        <v>40000</v>
      </c>
      <c r="BU161" s="1">
        <f>SUM(tblSection611[[#This Row],[LEA/District]:[ECSE]])</f>
        <v>455291</v>
      </c>
      <c r="BV161" s="1">
        <f>tblSection611[[#This Row],[Gross Total]]*0.15</f>
        <v>68293.649999999994</v>
      </c>
      <c r="BW161" s="1"/>
      <c r="BY161" s="44">
        <v>1944</v>
      </c>
      <c r="BZ161" t="s">
        <v>182</v>
      </c>
      <c r="CA161" s="1">
        <v>2016</v>
      </c>
      <c r="CB161" s="1">
        <v>0</v>
      </c>
      <c r="CC161" s="1">
        <v>0</v>
      </c>
      <c r="CD161" s="1">
        <v>0</v>
      </c>
      <c r="CE161" s="1">
        <v>0</v>
      </c>
      <c r="CF161" s="1">
        <v>5274</v>
      </c>
      <c r="CG161" s="1">
        <f>SUM(tblSection619[[#This Row],[LEA/District]:[ECSE]])</f>
        <v>7290</v>
      </c>
      <c r="CH161" s="1">
        <f>tblSection619[[#This Row],[Gross Total]]*0.15</f>
        <v>1093.5</v>
      </c>
    </row>
    <row r="162" spans="1:86" x14ac:dyDescent="0.35">
      <c r="A162" t="s">
        <v>183</v>
      </c>
      <c r="B162">
        <v>2103</v>
      </c>
      <c r="C162" t="s">
        <v>1528</v>
      </c>
      <c r="D162" s="44">
        <f>LEN(TblAgencies[[#This Row],[InstNm]])</f>
        <v>10</v>
      </c>
      <c r="E162" s="44" t="s">
        <v>1900</v>
      </c>
      <c r="F162" s="44" t="s">
        <v>1900</v>
      </c>
      <c r="G16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62" s="44"/>
      <c r="I162" s="44"/>
      <c r="J162" s="44"/>
      <c r="K162" s="44"/>
      <c r="M162" s="44"/>
      <c r="N162" s="44">
        <v>2103</v>
      </c>
      <c r="O162" t="s">
        <v>183</v>
      </c>
      <c r="P162" s="1">
        <v>301329.69125765242</v>
      </c>
      <c r="Q162" s="1">
        <v>11252.976022070008</v>
      </c>
      <c r="R162" s="1">
        <v>0</v>
      </c>
      <c r="S162" s="1">
        <v>0</v>
      </c>
      <c r="T162" s="1">
        <v>0</v>
      </c>
      <c r="U162" s="1">
        <v>0</v>
      </c>
      <c r="V162" s="1">
        <v>3750.9920073566686</v>
      </c>
      <c r="W162" s="1">
        <v>301329.69125765236</v>
      </c>
      <c r="X162" s="1">
        <f>tblSection6111416[[#This Row],[Net Total]]*0.15</f>
        <v>45199.453688647853</v>
      </c>
      <c r="Y162" s="1"/>
      <c r="AA162" s="44">
        <v>2103</v>
      </c>
      <c r="AB162" t="s">
        <v>183</v>
      </c>
      <c r="AC162" s="1">
        <v>1091.826039424292</v>
      </c>
      <c r="AD162" s="1">
        <v>0</v>
      </c>
      <c r="AE162" s="1">
        <v>0</v>
      </c>
      <c r="AF162" s="1">
        <v>0</v>
      </c>
      <c r="AG162" s="1">
        <v>0</v>
      </c>
      <c r="AH162" s="1">
        <v>1091.826039424292</v>
      </c>
      <c r="AI162" s="1">
        <v>1091.826039424292</v>
      </c>
      <c r="AJ162" s="1">
        <f>tblSection6191517[[#This Row],[Net Total]]*0.15</f>
        <v>163.7739059136438</v>
      </c>
      <c r="AK162" s="1"/>
      <c r="AM162" s="44"/>
      <c r="AN162" s="44">
        <v>2103</v>
      </c>
      <c r="AO162" t="s">
        <v>183</v>
      </c>
      <c r="AP162" s="247">
        <v>301329.69125765242</v>
      </c>
      <c r="AQ162" s="247">
        <v>11252.976022070008</v>
      </c>
      <c r="AR162" s="247">
        <v>0</v>
      </c>
      <c r="AS162" s="247">
        <v>0</v>
      </c>
      <c r="AT162" s="247">
        <v>0</v>
      </c>
      <c r="AU162" s="247">
        <v>0</v>
      </c>
      <c r="AV162" s="247">
        <v>3750.9920073566686</v>
      </c>
      <c r="AW162" s="247">
        <v>316333.65928707906</v>
      </c>
      <c r="AX162" s="1">
        <f>tblSection61114[[#This Row],[Gross Total]]*0.15</f>
        <v>47450.048893061859</v>
      </c>
      <c r="AZ162" s="44">
        <v>2103</v>
      </c>
      <c r="BA162" t="s">
        <v>183</v>
      </c>
      <c r="BB162" s="247">
        <v>1091.826039424292</v>
      </c>
      <c r="BC162" s="247">
        <v>0</v>
      </c>
      <c r="BD162" s="247">
        <v>0</v>
      </c>
      <c r="BE162" s="247">
        <v>0</v>
      </c>
      <c r="BF162" s="247">
        <v>0</v>
      </c>
      <c r="BG162" s="247">
        <v>1091.826039424292</v>
      </c>
      <c r="BH162" s="247">
        <v>2183.6520788485841</v>
      </c>
      <c r="BI162" s="1">
        <f>tblSection61915[[#This Row],[Gross Total]]*0.15</f>
        <v>327.5478118272876</v>
      </c>
      <c r="BJ162" s="44"/>
      <c r="BK162" s="246"/>
      <c r="BM162" s="44">
        <v>2103</v>
      </c>
      <c r="BN162" t="s">
        <v>183</v>
      </c>
      <c r="BO162" s="1">
        <v>364921</v>
      </c>
      <c r="BP162" s="1">
        <v>15205</v>
      </c>
      <c r="BQ162" s="1">
        <v>0</v>
      </c>
      <c r="BR162" s="1">
        <v>0</v>
      </c>
      <c r="BS162" s="1">
        <v>0</v>
      </c>
      <c r="BT162" s="1">
        <v>2765</v>
      </c>
      <c r="BU162" s="1">
        <f>SUM(tblSection611[[#This Row],[LEA/District]:[ECSE]])</f>
        <v>382891</v>
      </c>
      <c r="BV162" s="1">
        <f>tblSection611[[#This Row],[Gross Total]]*0.15</f>
        <v>57433.65</v>
      </c>
      <c r="BW162" s="1"/>
      <c r="BY162" s="44">
        <v>2103</v>
      </c>
      <c r="BZ162" t="s">
        <v>183</v>
      </c>
      <c r="CA162" s="1">
        <v>2124</v>
      </c>
      <c r="CB162" s="1">
        <v>0</v>
      </c>
      <c r="CC162" s="1">
        <v>0</v>
      </c>
      <c r="CD162" s="1">
        <v>0</v>
      </c>
      <c r="CE162" s="1">
        <v>0</v>
      </c>
      <c r="CF162" s="1">
        <v>1062</v>
      </c>
      <c r="CG162" s="1">
        <f>SUM(tblSection619[[#This Row],[LEA/District]:[ECSE]])</f>
        <v>3186</v>
      </c>
      <c r="CH162" s="1">
        <f>tblSection619[[#This Row],[Gross Total]]*0.15</f>
        <v>477.9</v>
      </c>
    </row>
    <row r="163" spans="1:86" x14ac:dyDescent="0.35">
      <c r="A163" t="s">
        <v>184</v>
      </c>
      <c r="B163">
        <v>1935</v>
      </c>
      <c r="C163" t="s">
        <v>1528</v>
      </c>
      <c r="D163" s="44">
        <f>LEN(TblAgencies[[#This Row],[InstNm]])</f>
        <v>13</v>
      </c>
      <c r="E163" s="44" t="s">
        <v>1900</v>
      </c>
      <c r="F163" s="44" t="s">
        <v>1900</v>
      </c>
      <c r="G16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63" s="44"/>
      <c r="I163" s="44"/>
      <c r="J163" s="44"/>
      <c r="K163" s="44"/>
      <c r="M163" s="44"/>
      <c r="N163" s="44">
        <v>1935</v>
      </c>
      <c r="O163" t="s">
        <v>184</v>
      </c>
      <c r="P163" s="1">
        <v>294974.03517281258</v>
      </c>
      <c r="Q163" s="1">
        <v>51749.830732072398</v>
      </c>
      <c r="R163" s="1">
        <v>0</v>
      </c>
      <c r="S163" s="1">
        <v>0</v>
      </c>
      <c r="T163" s="1">
        <v>0</v>
      </c>
      <c r="U163" s="1">
        <v>0</v>
      </c>
      <c r="V163" s="1">
        <v>27599.909723771947</v>
      </c>
      <c r="W163" s="1">
        <v>294974.03517281264</v>
      </c>
      <c r="X163" s="1">
        <f>tblSection6111416[[#This Row],[Net Total]]*0.15</f>
        <v>44246.105275921895</v>
      </c>
      <c r="Y163" s="1"/>
      <c r="AA163" s="44">
        <v>1935</v>
      </c>
      <c r="AB163" t="s">
        <v>184</v>
      </c>
      <c r="AC163" s="1">
        <v>3483.0831002541026</v>
      </c>
      <c r="AD163" s="1">
        <v>1548.0369334462675</v>
      </c>
      <c r="AE163" s="1">
        <v>0</v>
      </c>
      <c r="AF163" s="1">
        <v>0</v>
      </c>
      <c r="AG163" s="1">
        <v>0</v>
      </c>
      <c r="AH163" s="1">
        <v>6192.1477337850702</v>
      </c>
      <c r="AI163" s="1">
        <v>3483.0831002541026</v>
      </c>
      <c r="AJ163" s="1">
        <f>tblSection6191517[[#This Row],[Net Total]]*0.15</f>
        <v>522.4624650381154</v>
      </c>
      <c r="AK163" s="1"/>
      <c r="AM163" s="44"/>
      <c r="AN163" s="44">
        <v>1935</v>
      </c>
      <c r="AO163" t="s">
        <v>184</v>
      </c>
      <c r="AP163" s="247">
        <v>294974.03517281258</v>
      </c>
      <c r="AQ163" s="247">
        <v>51749.830732072398</v>
      </c>
      <c r="AR163" s="247">
        <v>0</v>
      </c>
      <c r="AS163" s="247">
        <v>0</v>
      </c>
      <c r="AT163" s="247">
        <v>0</v>
      </c>
      <c r="AU163" s="247">
        <v>0</v>
      </c>
      <c r="AV163" s="247">
        <v>25874.915366036199</v>
      </c>
      <c r="AW163" s="247">
        <v>372598.78127092117</v>
      </c>
      <c r="AX163" s="1">
        <f>tblSection61114[[#This Row],[Gross Total]]*0.15</f>
        <v>55889.817190638176</v>
      </c>
      <c r="AZ163" s="44">
        <v>1935</v>
      </c>
      <c r="BA163" t="s">
        <v>184</v>
      </c>
      <c r="BB163" s="247">
        <v>3483.0831002541026</v>
      </c>
      <c r="BC163" s="247">
        <v>1548.0369334462675</v>
      </c>
      <c r="BD163" s="247">
        <v>0</v>
      </c>
      <c r="BE163" s="247">
        <v>0</v>
      </c>
      <c r="BF163" s="247">
        <v>0</v>
      </c>
      <c r="BG163" s="247">
        <v>5805.1385004235035</v>
      </c>
      <c r="BH163" s="247">
        <v>10836.258534123874</v>
      </c>
      <c r="BI163" s="1">
        <f>tblSection61915[[#This Row],[Gross Total]]*0.15</f>
        <v>1625.438780118581</v>
      </c>
      <c r="BJ163" s="44"/>
      <c r="BK163" s="246"/>
      <c r="BM163" s="44">
        <v>1935</v>
      </c>
      <c r="BN163" t="s">
        <v>184</v>
      </c>
      <c r="BO163" s="1">
        <v>292735</v>
      </c>
      <c r="BP163" s="1">
        <v>15862</v>
      </c>
      <c r="BQ163" s="1">
        <v>0</v>
      </c>
      <c r="BR163" s="1">
        <v>0</v>
      </c>
      <c r="BS163" s="1">
        <v>0</v>
      </c>
      <c r="BT163" s="1">
        <v>34609</v>
      </c>
      <c r="BU163" s="1">
        <f>SUM(tblSection611[[#This Row],[LEA/District]:[ECSE]])</f>
        <v>343206</v>
      </c>
      <c r="BV163" s="1">
        <f>tblSection611[[#This Row],[Gross Total]]*0.15</f>
        <v>51480.9</v>
      </c>
      <c r="BW163" s="1"/>
      <c r="BY163" s="44">
        <v>1935</v>
      </c>
      <c r="BZ163" t="s">
        <v>184</v>
      </c>
      <c r="CA163" s="1">
        <v>2757</v>
      </c>
      <c r="CB163" s="1">
        <v>0</v>
      </c>
      <c r="CC163" s="1">
        <v>0</v>
      </c>
      <c r="CD163" s="1">
        <v>0</v>
      </c>
      <c r="CE163" s="1">
        <v>0</v>
      </c>
      <c r="CF163" s="1">
        <v>7352</v>
      </c>
      <c r="CG163" s="1">
        <f>SUM(tblSection619[[#This Row],[LEA/District]:[ECSE]])</f>
        <v>10109</v>
      </c>
      <c r="CH163" s="1">
        <f>tblSection619[[#This Row],[Gross Total]]*0.15</f>
        <v>1516.35</v>
      </c>
    </row>
    <row r="164" spans="1:86" x14ac:dyDescent="0.35">
      <c r="A164" t="s">
        <v>185</v>
      </c>
      <c r="B164">
        <v>2257</v>
      </c>
      <c r="C164" t="s">
        <v>1528</v>
      </c>
      <c r="D164" s="44">
        <f>LEN(TblAgencies[[#This Row],[InstNm]])</f>
        <v>15</v>
      </c>
      <c r="E164" s="44" t="s">
        <v>1900</v>
      </c>
      <c r="F164" s="44" t="s">
        <v>1900</v>
      </c>
      <c r="G16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64" s="44"/>
      <c r="I164" s="44"/>
      <c r="J164" s="44"/>
      <c r="K164" s="44"/>
      <c r="M164" s="44"/>
      <c r="N164" s="44">
        <v>2257</v>
      </c>
      <c r="O164" t="s">
        <v>185</v>
      </c>
      <c r="P164" s="1">
        <v>180158.07746892772</v>
      </c>
      <c r="Q164" s="1">
        <v>51712.040754969988</v>
      </c>
      <c r="R164" s="1">
        <v>0</v>
      </c>
      <c r="S164" s="1">
        <v>0</v>
      </c>
      <c r="T164" s="1">
        <v>0</v>
      </c>
      <c r="U164" s="1">
        <v>0</v>
      </c>
      <c r="V164" s="1">
        <v>8340.6517346725796</v>
      </c>
      <c r="W164" s="1">
        <v>180158.07746892772</v>
      </c>
      <c r="X164" s="1">
        <f>tblSection6111416[[#This Row],[Net Total]]*0.15</f>
        <v>27023.711620339156</v>
      </c>
      <c r="Y164" s="1"/>
      <c r="AA164" s="44">
        <v>2257</v>
      </c>
      <c r="AB164" t="s">
        <v>185</v>
      </c>
      <c r="AC164" s="1">
        <v>1742.8417159688547</v>
      </c>
      <c r="AD164" s="1">
        <v>871.42085798442736</v>
      </c>
      <c r="AE164" s="1">
        <v>0</v>
      </c>
      <c r="AF164" s="1">
        <v>0</v>
      </c>
      <c r="AG164" s="1">
        <v>0</v>
      </c>
      <c r="AH164" s="1">
        <v>4357.1042899221366</v>
      </c>
      <c r="AI164" s="1">
        <v>1742.8417159688552</v>
      </c>
      <c r="AJ164" s="1">
        <f>tblSection6191517[[#This Row],[Net Total]]*0.15</f>
        <v>261.42625739532826</v>
      </c>
      <c r="AK164" s="1"/>
      <c r="AM164" s="44"/>
      <c r="AN164" s="44">
        <v>2257</v>
      </c>
      <c r="AO164" t="s">
        <v>185</v>
      </c>
      <c r="AP164" s="247">
        <v>180158.07746892772</v>
      </c>
      <c r="AQ164" s="247">
        <v>51712.040754969988</v>
      </c>
      <c r="AR164" s="247">
        <v>0</v>
      </c>
      <c r="AS164" s="247">
        <v>0</v>
      </c>
      <c r="AT164" s="247">
        <v>0</v>
      </c>
      <c r="AU164" s="247">
        <v>0</v>
      </c>
      <c r="AV164" s="247">
        <v>6672.5213877380638</v>
      </c>
      <c r="AW164" s="247">
        <v>238542.63961163576</v>
      </c>
      <c r="AX164" s="1">
        <f>tblSection61114[[#This Row],[Gross Total]]*0.15</f>
        <v>35781.395941745366</v>
      </c>
      <c r="AZ164" s="44">
        <v>2257</v>
      </c>
      <c r="BA164" t="s">
        <v>185</v>
      </c>
      <c r="BB164" s="247">
        <v>1742.8417159688547</v>
      </c>
      <c r="BC164" s="247">
        <v>871.42085798442736</v>
      </c>
      <c r="BD164" s="247">
        <v>0</v>
      </c>
      <c r="BE164" s="247">
        <v>0</v>
      </c>
      <c r="BF164" s="247">
        <v>0</v>
      </c>
      <c r="BG164" s="247">
        <v>3485.6834319377094</v>
      </c>
      <c r="BH164" s="247">
        <v>6099.9460058909917</v>
      </c>
      <c r="BI164" s="1">
        <f>tblSection61915[[#This Row],[Gross Total]]*0.15</f>
        <v>914.99190088364878</v>
      </c>
      <c r="BJ164" s="44"/>
      <c r="BK164" s="246"/>
      <c r="BM164" s="44">
        <v>2257</v>
      </c>
      <c r="BN164" t="s">
        <v>185</v>
      </c>
      <c r="BO164" s="1">
        <v>165546</v>
      </c>
      <c r="BP164" s="1">
        <v>37624</v>
      </c>
      <c r="BQ164" s="1">
        <v>0</v>
      </c>
      <c r="BR164" s="1">
        <v>0</v>
      </c>
      <c r="BS164" s="1">
        <v>0</v>
      </c>
      <c r="BT164" s="1">
        <v>3010</v>
      </c>
      <c r="BU164" s="1">
        <f>SUM(tblSection611[[#This Row],[LEA/District]:[ECSE]])</f>
        <v>206180</v>
      </c>
      <c r="BV164" s="1">
        <f>tblSection611[[#This Row],[Gross Total]]*0.15</f>
        <v>30927</v>
      </c>
      <c r="BW164" s="1"/>
      <c r="BY164" s="44">
        <v>2257</v>
      </c>
      <c r="BZ164" t="s">
        <v>185</v>
      </c>
      <c r="CA164" s="1">
        <v>4047</v>
      </c>
      <c r="CB164" s="1">
        <v>0</v>
      </c>
      <c r="CC164" s="1">
        <v>0</v>
      </c>
      <c r="CD164" s="1">
        <v>0</v>
      </c>
      <c r="CE164" s="1">
        <v>0</v>
      </c>
      <c r="CF164" s="1">
        <v>2023</v>
      </c>
      <c r="CG164" s="1">
        <f>SUM(tblSection619[[#This Row],[LEA/District]:[ECSE]])</f>
        <v>6070</v>
      </c>
      <c r="CH164" s="1">
        <f>tblSection619[[#This Row],[Gross Total]]*0.15</f>
        <v>910.5</v>
      </c>
    </row>
    <row r="165" spans="1:86" x14ac:dyDescent="0.35">
      <c r="A165" t="s">
        <v>186</v>
      </c>
      <c r="B165">
        <v>2195</v>
      </c>
      <c r="C165" t="s">
        <v>1528</v>
      </c>
      <c r="D165" s="44">
        <f>LEN(TblAgencies[[#This Row],[InstNm]])</f>
        <v>17</v>
      </c>
      <c r="E165" s="44" t="s">
        <v>1900</v>
      </c>
      <c r="F165" s="44" t="s">
        <v>1900</v>
      </c>
      <c r="G16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65" s="44"/>
      <c r="I165" s="44"/>
      <c r="J165" s="44"/>
      <c r="K165" s="44"/>
      <c r="M165" s="44"/>
      <c r="N165" s="44">
        <v>2195</v>
      </c>
      <c r="O165" t="s">
        <v>186</v>
      </c>
      <c r="P165" s="1">
        <v>70307.820512860402</v>
      </c>
      <c r="Q165" s="1">
        <v>0</v>
      </c>
      <c r="R165" s="1">
        <v>0</v>
      </c>
      <c r="S165" s="1">
        <v>0</v>
      </c>
      <c r="T165" s="1">
        <v>0</v>
      </c>
      <c r="U165" s="1">
        <v>0</v>
      </c>
      <c r="V165" s="1">
        <v>17148.248905575707</v>
      </c>
      <c r="W165" s="1">
        <v>70307.820512860402</v>
      </c>
      <c r="X165" s="1">
        <f>tblSection6111416[[#This Row],[Net Total]]*0.15</f>
        <v>10546.173076929061</v>
      </c>
      <c r="Y165" s="1"/>
      <c r="AA165" s="44">
        <v>2195</v>
      </c>
      <c r="AB165" t="s">
        <v>186</v>
      </c>
      <c r="AC165" s="1">
        <v>162.73713088952434</v>
      </c>
      <c r="AD165" s="1">
        <v>0</v>
      </c>
      <c r="AE165" s="1">
        <v>0</v>
      </c>
      <c r="AF165" s="1">
        <v>0</v>
      </c>
      <c r="AG165" s="1">
        <v>0</v>
      </c>
      <c r="AH165" s="1">
        <v>813.68565444762169</v>
      </c>
      <c r="AI165" s="1">
        <v>162.73713088952434</v>
      </c>
      <c r="AJ165" s="1">
        <f>tblSection6191517[[#This Row],[Net Total]]*0.15</f>
        <v>24.410569633428651</v>
      </c>
      <c r="AK165" s="1"/>
      <c r="AM165" s="44"/>
      <c r="AN165" s="44">
        <v>2195</v>
      </c>
      <c r="AO165" t="s">
        <v>186</v>
      </c>
      <c r="AP165" s="247">
        <v>70307.820512860402</v>
      </c>
      <c r="AQ165" s="247">
        <v>0</v>
      </c>
      <c r="AR165" s="247">
        <v>0</v>
      </c>
      <c r="AS165" s="247">
        <v>0</v>
      </c>
      <c r="AT165" s="247">
        <v>0</v>
      </c>
      <c r="AU165" s="247">
        <v>0</v>
      </c>
      <c r="AV165" s="247">
        <v>17148.248905575707</v>
      </c>
      <c r="AW165" s="247">
        <v>87456.069418436105</v>
      </c>
      <c r="AX165" s="1">
        <f>tblSection61114[[#This Row],[Gross Total]]*0.15</f>
        <v>13118.410412765415</v>
      </c>
      <c r="AZ165" s="44">
        <v>2195</v>
      </c>
      <c r="BA165" t="s">
        <v>186</v>
      </c>
      <c r="BB165" s="247">
        <v>162.73713088952434</v>
      </c>
      <c r="BC165" s="247">
        <v>0</v>
      </c>
      <c r="BD165" s="247">
        <v>0</v>
      </c>
      <c r="BE165" s="247">
        <v>0</v>
      </c>
      <c r="BF165" s="247">
        <v>0</v>
      </c>
      <c r="BG165" s="247">
        <v>813.68565444762169</v>
      </c>
      <c r="BH165" s="247">
        <v>976.42278533714602</v>
      </c>
      <c r="BI165" s="1">
        <f>tblSection61915[[#This Row],[Gross Total]]*0.15</f>
        <v>146.4634178005719</v>
      </c>
      <c r="BJ165" s="44"/>
      <c r="BK165" s="246"/>
      <c r="BM165" s="44">
        <v>2195</v>
      </c>
      <c r="BN165" t="s">
        <v>186</v>
      </c>
      <c r="BO165" s="1">
        <v>42171</v>
      </c>
      <c r="BP165" s="1">
        <v>11861</v>
      </c>
      <c r="BQ165" s="1">
        <v>0</v>
      </c>
      <c r="BR165" s="1">
        <v>0</v>
      </c>
      <c r="BS165" s="1">
        <v>0</v>
      </c>
      <c r="BT165" s="1">
        <v>10543</v>
      </c>
      <c r="BU165" s="1">
        <f>SUM(tblSection611[[#This Row],[LEA/District]:[ECSE]])</f>
        <v>64575</v>
      </c>
      <c r="BV165" s="1">
        <f>tblSection611[[#This Row],[Gross Total]]*0.15</f>
        <v>9686.25</v>
      </c>
      <c r="BW165" s="1"/>
      <c r="BY165" s="44">
        <v>2195</v>
      </c>
      <c r="BZ165" t="s">
        <v>186</v>
      </c>
      <c r="CA165" s="1">
        <v>122</v>
      </c>
      <c r="CB165" s="1">
        <v>0</v>
      </c>
      <c r="CC165" s="1">
        <v>0</v>
      </c>
      <c r="CD165" s="1">
        <v>0</v>
      </c>
      <c r="CE165" s="1">
        <v>0</v>
      </c>
      <c r="CF165" s="1">
        <v>486</v>
      </c>
      <c r="CG165" s="1">
        <f>SUM(tblSection619[[#This Row],[LEA/District]:[ECSE]])</f>
        <v>608</v>
      </c>
      <c r="CH165" s="1">
        <f>tblSection619[[#This Row],[Gross Total]]*0.15</f>
        <v>91.2</v>
      </c>
    </row>
    <row r="166" spans="1:86" x14ac:dyDescent="0.35">
      <c r="A166" t="s">
        <v>187</v>
      </c>
      <c r="B166">
        <v>2244</v>
      </c>
      <c r="C166" t="s">
        <v>1528</v>
      </c>
      <c r="D166" s="44">
        <f>LEN(TblAgencies[[#This Row],[InstNm]])</f>
        <v>15</v>
      </c>
      <c r="E166" s="44" t="s">
        <v>1900</v>
      </c>
      <c r="F166" s="44" t="s">
        <v>1900</v>
      </c>
      <c r="G16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66" s="44"/>
      <c r="I166" s="44"/>
      <c r="J166" s="44"/>
      <c r="K166" s="44"/>
      <c r="M166" s="44"/>
      <c r="N166" s="44">
        <v>2244</v>
      </c>
      <c r="O166" t="s">
        <v>187</v>
      </c>
      <c r="P166" s="1">
        <v>639016.89038757468</v>
      </c>
      <c r="Q166" s="1">
        <v>158327.84560942143</v>
      </c>
      <c r="R166" s="1">
        <v>2852.7539749445295</v>
      </c>
      <c r="S166" s="1">
        <v>0</v>
      </c>
      <c r="T166" s="1">
        <v>0</v>
      </c>
      <c r="U166" s="1">
        <v>0</v>
      </c>
      <c r="V166" s="1">
        <v>55628.702511418327</v>
      </c>
      <c r="W166" s="1">
        <v>639016.89038757468</v>
      </c>
      <c r="X166" s="1">
        <f>tblSection6111416[[#This Row],[Net Total]]*0.15</f>
        <v>95852.533558136201</v>
      </c>
      <c r="Y166" s="1"/>
      <c r="AA166" s="44">
        <v>2244</v>
      </c>
      <c r="AB166" t="s">
        <v>187</v>
      </c>
      <c r="AC166" s="1">
        <v>1685.1456147940517</v>
      </c>
      <c r="AD166" s="1">
        <v>2059.6224180816189</v>
      </c>
      <c r="AE166" s="1">
        <v>0</v>
      </c>
      <c r="AF166" s="1">
        <v>0</v>
      </c>
      <c r="AG166" s="1">
        <v>0</v>
      </c>
      <c r="AH166" s="1">
        <v>7302.2976641075575</v>
      </c>
      <c r="AI166" s="1">
        <v>1685.1456147940517</v>
      </c>
      <c r="AJ166" s="1">
        <f>tblSection6191517[[#This Row],[Net Total]]*0.15</f>
        <v>252.77184221910773</v>
      </c>
      <c r="AK166" s="1"/>
      <c r="AM166" s="44"/>
      <c r="AN166" s="44">
        <v>2244</v>
      </c>
      <c r="AO166" t="s">
        <v>187</v>
      </c>
      <c r="AP166" s="247">
        <v>639016.89038757468</v>
      </c>
      <c r="AQ166" s="247">
        <v>158327.84560942143</v>
      </c>
      <c r="AR166" s="247">
        <v>2852.7539749445295</v>
      </c>
      <c r="AS166" s="247">
        <v>0</v>
      </c>
      <c r="AT166" s="247">
        <v>0</v>
      </c>
      <c r="AU166" s="247">
        <v>0</v>
      </c>
      <c r="AV166" s="247">
        <v>47070.440586584737</v>
      </c>
      <c r="AW166" s="247">
        <v>847267.93055852538</v>
      </c>
      <c r="AX166" s="1">
        <f>tblSection61114[[#This Row],[Gross Total]]*0.15</f>
        <v>127090.1895837788</v>
      </c>
      <c r="AZ166" s="44">
        <v>2244</v>
      </c>
      <c r="BA166" t="s">
        <v>187</v>
      </c>
      <c r="BB166" s="247">
        <v>1685.1456147940517</v>
      </c>
      <c r="BC166" s="247">
        <v>2059.6224180816189</v>
      </c>
      <c r="BD166" s="247">
        <v>0</v>
      </c>
      <c r="BE166" s="247">
        <v>0</v>
      </c>
      <c r="BF166" s="247">
        <v>0</v>
      </c>
      <c r="BG166" s="247">
        <v>6178.8672542448567</v>
      </c>
      <c r="BH166" s="247">
        <v>9923.6352871205272</v>
      </c>
      <c r="BI166" s="1">
        <f>tblSection61915[[#This Row],[Gross Total]]*0.15</f>
        <v>1488.545293068079</v>
      </c>
      <c r="BJ166" s="44"/>
      <c r="BK166" s="246"/>
      <c r="BM166" s="44">
        <v>2244</v>
      </c>
      <c r="BN166" t="s">
        <v>187</v>
      </c>
      <c r="BO166" s="1">
        <v>663006</v>
      </c>
      <c r="BP166" s="1">
        <v>143475</v>
      </c>
      <c r="BQ166" s="1">
        <v>3021</v>
      </c>
      <c r="BR166" s="1">
        <v>0</v>
      </c>
      <c r="BS166" s="1">
        <v>0</v>
      </c>
      <c r="BT166" s="1">
        <v>37757</v>
      </c>
      <c r="BU166" s="1">
        <f>SUM(tblSection611[[#This Row],[LEA/District]:[ECSE]])</f>
        <v>847259</v>
      </c>
      <c r="BV166" s="1">
        <f>tblSection611[[#This Row],[Gross Total]]*0.15</f>
        <v>127088.84999999999</v>
      </c>
      <c r="BW166" s="1"/>
      <c r="BY166" s="44">
        <v>2244</v>
      </c>
      <c r="BZ166" t="s">
        <v>187</v>
      </c>
      <c r="CA166" s="1">
        <v>3516</v>
      </c>
      <c r="CB166" s="1">
        <v>1099</v>
      </c>
      <c r="CC166" s="1">
        <v>0</v>
      </c>
      <c r="CD166" s="1">
        <v>0</v>
      </c>
      <c r="CE166" s="1">
        <v>0</v>
      </c>
      <c r="CF166" s="1">
        <v>5494</v>
      </c>
      <c r="CG166" s="1">
        <f>SUM(tblSection619[[#This Row],[LEA/District]:[ECSE]])</f>
        <v>10109</v>
      </c>
      <c r="CH166" s="1">
        <f>tblSection619[[#This Row],[Gross Total]]*0.15</f>
        <v>1516.35</v>
      </c>
    </row>
    <row r="167" spans="1:86" x14ac:dyDescent="0.35">
      <c r="A167" t="s">
        <v>188</v>
      </c>
      <c r="B167">
        <v>2138</v>
      </c>
      <c r="C167" t="s">
        <v>1528</v>
      </c>
      <c r="D167" s="44">
        <f>LEN(TblAgencies[[#This Row],[InstNm]])</f>
        <v>18</v>
      </c>
      <c r="E167" s="44" t="s">
        <v>1900</v>
      </c>
      <c r="F167" s="44" t="s">
        <v>1900</v>
      </c>
      <c r="G16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67" s="44"/>
      <c r="I167" s="44"/>
      <c r="J167" s="44"/>
      <c r="K167" s="44"/>
      <c r="M167" s="44"/>
      <c r="N167" s="44">
        <v>2138</v>
      </c>
      <c r="O167" t="s">
        <v>188</v>
      </c>
      <c r="P167" s="1">
        <v>665925.12258916162</v>
      </c>
      <c r="Q167" s="1">
        <v>102815.04268003683</v>
      </c>
      <c r="R167" s="1">
        <v>0</v>
      </c>
      <c r="S167" s="1">
        <v>0</v>
      </c>
      <c r="T167" s="1">
        <v>0</v>
      </c>
      <c r="U167" s="1">
        <v>0</v>
      </c>
      <c r="V167" s="1">
        <v>23726.548310777725</v>
      </c>
      <c r="W167" s="1">
        <v>665925.12258916162</v>
      </c>
      <c r="X167" s="1">
        <f>tblSection6111416[[#This Row],[Net Total]]*0.15</f>
        <v>99888.768388374243</v>
      </c>
      <c r="Y167" s="1"/>
      <c r="AA167" s="44">
        <v>2138</v>
      </c>
      <c r="AB167" t="s">
        <v>188</v>
      </c>
      <c r="AC167" s="1">
        <v>5074.7138340005604</v>
      </c>
      <c r="AD167" s="1">
        <v>4059.7710672004482</v>
      </c>
      <c r="AE167" s="1">
        <v>0</v>
      </c>
      <c r="AF167" s="1">
        <v>0</v>
      </c>
      <c r="AG167" s="1">
        <v>0</v>
      </c>
      <c r="AH167" s="1">
        <v>7612.0707510008406</v>
      </c>
      <c r="AI167" s="1">
        <v>5074.7138340005604</v>
      </c>
      <c r="AJ167" s="1">
        <f>tblSection6191517[[#This Row],[Net Total]]*0.15</f>
        <v>761.20707510008401</v>
      </c>
      <c r="AK167" s="1"/>
      <c r="AM167" s="44"/>
      <c r="AN167" s="44">
        <v>2138</v>
      </c>
      <c r="AO167" t="s">
        <v>188</v>
      </c>
      <c r="AP167" s="247">
        <v>665925.12258916162</v>
      </c>
      <c r="AQ167" s="247">
        <v>102815.04268003683</v>
      </c>
      <c r="AR167" s="247">
        <v>0</v>
      </c>
      <c r="AS167" s="247">
        <v>0</v>
      </c>
      <c r="AT167" s="247">
        <v>0</v>
      </c>
      <c r="AU167" s="247">
        <v>0</v>
      </c>
      <c r="AV167" s="247">
        <v>14235.928986466635</v>
      </c>
      <c r="AW167" s="247">
        <v>782976.09425566508</v>
      </c>
      <c r="AX167" s="1">
        <f>tblSection61114[[#This Row],[Gross Total]]*0.15</f>
        <v>117446.41413834976</v>
      </c>
      <c r="AZ167" s="44">
        <v>2138</v>
      </c>
      <c r="BA167" t="s">
        <v>188</v>
      </c>
      <c r="BB167" s="247">
        <v>5074.7138340005604</v>
      </c>
      <c r="BC167" s="247">
        <v>4059.7710672004482</v>
      </c>
      <c r="BD167" s="247">
        <v>0</v>
      </c>
      <c r="BE167" s="247">
        <v>0</v>
      </c>
      <c r="BF167" s="247">
        <v>0</v>
      </c>
      <c r="BG167" s="247">
        <v>4567.2424506005045</v>
      </c>
      <c r="BH167" s="247">
        <v>13701.727351801514</v>
      </c>
      <c r="BI167" s="1">
        <f>tblSection61915[[#This Row],[Gross Total]]*0.15</f>
        <v>2055.2591027702269</v>
      </c>
      <c r="BJ167" s="44"/>
      <c r="BK167" s="246"/>
      <c r="BM167" s="44">
        <v>2138</v>
      </c>
      <c r="BN167" t="s">
        <v>188</v>
      </c>
      <c r="BO167" s="1">
        <v>609273</v>
      </c>
      <c r="BP167" s="1">
        <v>73352</v>
      </c>
      <c r="BQ167" s="1">
        <v>0</v>
      </c>
      <c r="BR167" s="1">
        <v>0</v>
      </c>
      <c r="BS167" s="1">
        <v>0</v>
      </c>
      <c r="BT167" s="1">
        <v>23952</v>
      </c>
      <c r="BU167" s="1">
        <f>SUM(tblSection611[[#This Row],[LEA/District]:[ECSE]])</f>
        <v>706577</v>
      </c>
      <c r="BV167" s="1">
        <f>tblSection611[[#This Row],[Gross Total]]*0.15</f>
        <v>105986.55</v>
      </c>
      <c r="BW167" s="1"/>
      <c r="BY167" s="44">
        <v>2138</v>
      </c>
      <c r="BZ167" t="s">
        <v>188</v>
      </c>
      <c r="CA167" s="1">
        <v>3646</v>
      </c>
      <c r="CB167" s="1">
        <v>608</v>
      </c>
      <c r="CC167" s="1">
        <v>0</v>
      </c>
      <c r="CD167" s="1">
        <v>0</v>
      </c>
      <c r="CE167" s="1">
        <v>0</v>
      </c>
      <c r="CF167" s="1">
        <v>9724</v>
      </c>
      <c r="CG167" s="1">
        <f>SUM(tblSection619[[#This Row],[LEA/District]:[ECSE]])</f>
        <v>13978</v>
      </c>
      <c r="CH167" s="1">
        <f>tblSection619[[#This Row],[Gross Total]]*0.15</f>
        <v>2096.6999999999998</v>
      </c>
    </row>
    <row r="168" spans="1:86" x14ac:dyDescent="0.35">
      <c r="A168" t="s">
        <v>189</v>
      </c>
      <c r="B168">
        <v>1978</v>
      </c>
      <c r="C168" t="s">
        <v>1528</v>
      </c>
      <c r="D168" s="44">
        <f>LEN(TblAgencies[[#This Row],[InstNm]])</f>
        <v>12</v>
      </c>
      <c r="E168" s="44" t="s">
        <v>1900</v>
      </c>
      <c r="F168" s="44" t="s">
        <v>1900</v>
      </c>
      <c r="G16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68" s="44"/>
      <c r="I168" s="44"/>
      <c r="J168" s="44"/>
      <c r="K168" s="44"/>
      <c r="M168" s="44"/>
      <c r="N168" s="44">
        <v>1978</v>
      </c>
      <c r="O168" t="s">
        <v>189</v>
      </c>
      <c r="P168" s="1">
        <v>205548.84280079126</v>
      </c>
      <c r="Q168" s="1">
        <v>35328.707356385996</v>
      </c>
      <c r="R168" s="1">
        <v>0</v>
      </c>
      <c r="S168" s="1">
        <v>0</v>
      </c>
      <c r="T168" s="1">
        <v>0</v>
      </c>
      <c r="U168" s="1">
        <v>0</v>
      </c>
      <c r="V168" s="1">
        <v>16058.503343811813</v>
      </c>
      <c r="W168" s="1">
        <v>205548.84280079126</v>
      </c>
      <c r="X168" s="1">
        <f>tblSection6111416[[#This Row],[Net Total]]*0.15</f>
        <v>30832.326420118687</v>
      </c>
      <c r="Y168" s="1"/>
      <c r="AA168" s="44">
        <v>1978</v>
      </c>
      <c r="AB168" t="s">
        <v>189</v>
      </c>
      <c r="AC168" s="1">
        <v>227.31309337600857</v>
      </c>
      <c r="AD168" s="1">
        <v>1136.565466880043</v>
      </c>
      <c r="AE168" s="1">
        <v>0</v>
      </c>
      <c r="AF168" s="1">
        <v>0</v>
      </c>
      <c r="AG168" s="1">
        <v>0</v>
      </c>
      <c r="AH168" s="1">
        <v>2273.130933760086</v>
      </c>
      <c r="AI168" s="1">
        <v>227.31309337600851</v>
      </c>
      <c r="AJ168" s="1">
        <f>tblSection6191517[[#This Row],[Net Total]]*0.15</f>
        <v>34.096964006401272</v>
      </c>
      <c r="AK168" s="1"/>
      <c r="AM168" s="44"/>
      <c r="AN168" s="44">
        <v>1978</v>
      </c>
      <c r="AO168" t="s">
        <v>189</v>
      </c>
      <c r="AP168" s="247">
        <v>205548.84280079126</v>
      </c>
      <c r="AQ168" s="247">
        <v>35328.707356385996</v>
      </c>
      <c r="AR168" s="247">
        <v>0</v>
      </c>
      <c r="AS168" s="247">
        <v>0</v>
      </c>
      <c r="AT168" s="247">
        <v>0</v>
      </c>
      <c r="AU168" s="247">
        <v>0</v>
      </c>
      <c r="AV168" s="247">
        <v>11240.952340668269</v>
      </c>
      <c r="AW168" s="247">
        <v>252118.50249784553</v>
      </c>
      <c r="AX168" s="1">
        <f>tblSection61114[[#This Row],[Gross Total]]*0.15</f>
        <v>37817.775374676829</v>
      </c>
      <c r="AZ168" s="44">
        <v>1978</v>
      </c>
      <c r="BA168" t="s">
        <v>189</v>
      </c>
      <c r="BB168" s="247">
        <v>227.31309337600857</v>
      </c>
      <c r="BC168" s="247">
        <v>1136.565466880043</v>
      </c>
      <c r="BD168" s="247">
        <v>0</v>
      </c>
      <c r="BE168" s="247">
        <v>0</v>
      </c>
      <c r="BF168" s="247">
        <v>0</v>
      </c>
      <c r="BG168" s="247">
        <v>1591.19165363206</v>
      </c>
      <c r="BH168" s="247">
        <v>2955.0702138881115</v>
      </c>
      <c r="BI168" s="1">
        <f>tblSection61915[[#This Row],[Gross Total]]*0.15</f>
        <v>443.26053208321673</v>
      </c>
      <c r="BJ168" s="44"/>
      <c r="BK168" s="246"/>
      <c r="BM168" s="44">
        <v>1978</v>
      </c>
      <c r="BN168" t="s">
        <v>189</v>
      </c>
      <c r="BO168" s="1">
        <v>194560</v>
      </c>
      <c r="BP168" s="1">
        <v>11349</v>
      </c>
      <c r="BQ168" s="1">
        <v>0</v>
      </c>
      <c r="BR168" s="1">
        <v>0</v>
      </c>
      <c r="BS168" s="1">
        <v>0</v>
      </c>
      <c r="BT168" s="1">
        <v>16213</v>
      </c>
      <c r="BU168" s="1">
        <f>SUM(tblSection611[[#This Row],[LEA/District]:[ECSE]])</f>
        <v>222122</v>
      </c>
      <c r="BV168" s="1">
        <f>tblSection611[[#This Row],[Gross Total]]*0.15</f>
        <v>33318.299999999996</v>
      </c>
      <c r="BW168" s="1"/>
      <c r="BY168" s="44">
        <v>1978</v>
      </c>
      <c r="BZ168" t="s">
        <v>189</v>
      </c>
      <c r="CA168" s="1">
        <v>485</v>
      </c>
      <c r="CB168" s="1">
        <v>0</v>
      </c>
      <c r="CC168" s="1">
        <v>0</v>
      </c>
      <c r="CD168" s="1">
        <v>0</v>
      </c>
      <c r="CE168" s="1">
        <v>0</v>
      </c>
      <c r="CF168" s="1">
        <v>2427</v>
      </c>
      <c r="CG168" s="1">
        <f>SUM(tblSection619[[#This Row],[LEA/District]:[ECSE]])</f>
        <v>2912</v>
      </c>
      <c r="CH168" s="1">
        <f>tblSection619[[#This Row],[Gross Total]]*0.15</f>
        <v>436.8</v>
      </c>
    </row>
    <row r="169" spans="1:86" x14ac:dyDescent="0.35">
      <c r="A169" t="s">
        <v>190</v>
      </c>
      <c r="B169">
        <v>2096</v>
      </c>
      <c r="C169" t="s">
        <v>1528</v>
      </c>
      <c r="D169" s="44">
        <f>LEN(TblAgencies[[#This Row],[InstNm]])</f>
        <v>14</v>
      </c>
      <c r="E169" s="44" t="s">
        <v>1900</v>
      </c>
      <c r="F169" s="44" t="s">
        <v>1900</v>
      </c>
      <c r="G16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69" s="44"/>
      <c r="I169" s="44"/>
      <c r="J169" s="44"/>
      <c r="K169" s="44"/>
      <c r="M169" s="44"/>
      <c r="N169" s="44">
        <v>2096</v>
      </c>
      <c r="O169" t="s">
        <v>190</v>
      </c>
      <c r="P169" s="1">
        <v>309010.87998984067</v>
      </c>
      <c r="Q169" s="1">
        <v>3185.6791751529972</v>
      </c>
      <c r="R169" s="1">
        <v>0</v>
      </c>
      <c r="S169" s="1">
        <v>0</v>
      </c>
      <c r="T169" s="1">
        <v>0</v>
      </c>
      <c r="U169" s="1">
        <v>0</v>
      </c>
      <c r="V169" s="1">
        <v>35042.470926682974</v>
      </c>
      <c r="W169" s="1">
        <v>309010.87998984073</v>
      </c>
      <c r="X169" s="1">
        <f>tblSection6111416[[#This Row],[Net Total]]*0.15</f>
        <v>46351.631998476107</v>
      </c>
      <c r="Y169" s="1"/>
      <c r="AA169" s="44">
        <v>2096</v>
      </c>
      <c r="AB169" t="s">
        <v>190</v>
      </c>
      <c r="AC169" s="1">
        <v>2944.870346113079</v>
      </c>
      <c r="AD169" s="1">
        <v>0</v>
      </c>
      <c r="AE169" s="1">
        <v>0</v>
      </c>
      <c r="AF169" s="1">
        <v>0</v>
      </c>
      <c r="AG169" s="1">
        <v>0</v>
      </c>
      <c r="AH169" s="1">
        <v>10797.857935747958</v>
      </c>
      <c r="AI169" s="1">
        <v>2944.870346113079</v>
      </c>
      <c r="AJ169" s="1">
        <f>tblSection6191517[[#This Row],[Net Total]]*0.15</f>
        <v>441.73055191696182</v>
      </c>
      <c r="AK169" s="1"/>
      <c r="AM169" s="44"/>
      <c r="AN169" s="44">
        <v>2096</v>
      </c>
      <c r="AO169" t="s">
        <v>190</v>
      </c>
      <c r="AP169" s="247">
        <v>309010.87998984067</v>
      </c>
      <c r="AQ169" s="247">
        <v>3185.6791751529972</v>
      </c>
      <c r="AR169" s="247">
        <v>0</v>
      </c>
      <c r="AS169" s="247">
        <v>0</v>
      </c>
      <c r="AT169" s="247">
        <v>0</v>
      </c>
      <c r="AU169" s="247">
        <v>0</v>
      </c>
      <c r="AV169" s="247">
        <v>35042.470926682974</v>
      </c>
      <c r="AW169" s="247">
        <v>347239.03009167669</v>
      </c>
      <c r="AX169" s="1">
        <f>tblSection61114[[#This Row],[Gross Total]]*0.15</f>
        <v>52085.854513751503</v>
      </c>
      <c r="AZ169" s="44">
        <v>2096</v>
      </c>
      <c r="BA169" t="s">
        <v>190</v>
      </c>
      <c r="BB169" s="247">
        <v>2944.870346113079</v>
      </c>
      <c r="BC169" s="247">
        <v>0</v>
      </c>
      <c r="BD169" s="247">
        <v>0</v>
      </c>
      <c r="BE169" s="247">
        <v>0</v>
      </c>
      <c r="BF169" s="247">
        <v>0</v>
      </c>
      <c r="BG169" s="247">
        <v>10797.857935747958</v>
      </c>
      <c r="BH169" s="247">
        <v>13742.728281861037</v>
      </c>
      <c r="BI169" s="1">
        <f>tblSection61915[[#This Row],[Gross Total]]*0.15</f>
        <v>2061.4092422791555</v>
      </c>
      <c r="BJ169" s="44"/>
      <c r="BK169" s="246"/>
      <c r="BM169" s="44">
        <v>2096</v>
      </c>
      <c r="BN169" t="s">
        <v>190</v>
      </c>
      <c r="BO169" s="1">
        <v>265752</v>
      </c>
      <c r="BP169" s="1">
        <v>0</v>
      </c>
      <c r="BQ169" s="1">
        <v>0</v>
      </c>
      <c r="BR169" s="1">
        <v>0</v>
      </c>
      <c r="BS169" s="1">
        <v>0</v>
      </c>
      <c r="BT169" s="1">
        <v>33795</v>
      </c>
      <c r="BU169" s="1">
        <f>SUM(tblSection611[[#This Row],[LEA/District]:[ECSE]])</f>
        <v>299547</v>
      </c>
      <c r="BV169" s="1">
        <f>tblSection611[[#This Row],[Gross Total]]*0.15</f>
        <v>44932.049999999996</v>
      </c>
      <c r="BW169" s="1"/>
      <c r="BY169" s="44">
        <v>2096</v>
      </c>
      <c r="BZ169" t="s">
        <v>190</v>
      </c>
      <c r="CA169" s="1">
        <v>3418</v>
      </c>
      <c r="CB169" s="1">
        <v>0</v>
      </c>
      <c r="CC169" s="1">
        <v>0</v>
      </c>
      <c r="CD169" s="1">
        <v>0</v>
      </c>
      <c r="CE169" s="1">
        <v>0</v>
      </c>
      <c r="CF169" s="1">
        <v>9400</v>
      </c>
      <c r="CG169" s="1">
        <f>SUM(tblSection619[[#This Row],[LEA/District]:[ECSE]])</f>
        <v>12818</v>
      </c>
      <c r="CH169" s="1">
        <f>tblSection619[[#This Row],[Gross Total]]*0.15</f>
        <v>1922.6999999999998</v>
      </c>
    </row>
    <row r="170" spans="1:86" x14ac:dyDescent="0.35">
      <c r="A170" t="s">
        <v>191</v>
      </c>
      <c r="B170">
        <v>2022</v>
      </c>
      <c r="C170" t="s">
        <v>1528</v>
      </c>
      <c r="D170" s="44">
        <f>LEN(TblAgencies[[#This Row],[InstNm]])</f>
        <v>18</v>
      </c>
      <c r="E170" s="44" t="s">
        <v>1900</v>
      </c>
      <c r="F170" s="44" t="s">
        <v>1900</v>
      </c>
      <c r="G17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70" s="44"/>
      <c r="I170" s="44"/>
      <c r="J170" s="44"/>
      <c r="K170" s="44"/>
      <c r="M170" s="44"/>
      <c r="N170" s="44">
        <v>2022</v>
      </c>
      <c r="O170" t="s">
        <v>191</v>
      </c>
      <c r="P170" s="1">
        <v>2744.8626910690796</v>
      </c>
      <c r="Q170" s="1">
        <v>0</v>
      </c>
      <c r="R170" s="1">
        <v>0</v>
      </c>
      <c r="S170" s="1">
        <v>0</v>
      </c>
      <c r="T170" s="1">
        <v>0</v>
      </c>
      <c r="U170" s="1">
        <v>0</v>
      </c>
      <c r="V170" s="1">
        <v>0</v>
      </c>
      <c r="W170" s="1">
        <v>2744.8626910690796</v>
      </c>
      <c r="X170" s="1">
        <f>tblSection6111416[[#This Row],[Net Total]]*0.15</f>
        <v>411.72940366036192</v>
      </c>
      <c r="Y170" s="1"/>
      <c r="AA170" s="44">
        <v>2022</v>
      </c>
      <c r="AB170" t="s">
        <v>191</v>
      </c>
      <c r="AC170" s="1">
        <v>271.91201204503614</v>
      </c>
      <c r="AD170" s="1">
        <v>0</v>
      </c>
      <c r="AE170" s="1">
        <v>0</v>
      </c>
      <c r="AF170" s="1">
        <v>0</v>
      </c>
      <c r="AG170" s="1">
        <v>0</v>
      </c>
      <c r="AH170" s="1">
        <v>0</v>
      </c>
      <c r="AI170" s="1">
        <v>271.91201204503614</v>
      </c>
      <c r="AJ170" s="1">
        <f>tblSection6191517[[#This Row],[Net Total]]*0.15</f>
        <v>40.78680180675542</v>
      </c>
      <c r="AK170" s="1"/>
      <c r="AM170" s="44"/>
      <c r="AN170" s="44">
        <v>2022</v>
      </c>
      <c r="AO170" t="s">
        <v>191</v>
      </c>
      <c r="AP170" s="247">
        <v>2744.8626910690796</v>
      </c>
      <c r="AQ170" s="247">
        <v>0</v>
      </c>
      <c r="AR170" s="247">
        <v>0</v>
      </c>
      <c r="AS170" s="247">
        <v>0</v>
      </c>
      <c r="AT170" s="247">
        <v>0</v>
      </c>
      <c r="AU170" s="247">
        <v>0</v>
      </c>
      <c r="AV170" s="247">
        <v>0</v>
      </c>
      <c r="AW170" s="247">
        <v>2744.8626910690796</v>
      </c>
      <c r="AX170" s="1">
        <f>tblSection61114[[#This Row],[Gross Total]]*0.15</f>
        <v>411.72940366036192</v>
      </c>
      <c r="AZ170" s="44">
        <v>2022</v>
      </c>
      <c r="BA170" t="s">
        <v>191</v>
      </c>
      <c r="BB170" s="247">
        <v>271.91201204503614</v>
      </c>
      <c r="BC170" s="247">
        <v>0</v>
      </c>
      <c r="BD170" s="247">
        <v>0</v>
      </c>
      <c r="BE170" s="247">
        <v>0</v>
      </c>
      <c r="BF170" s="247">
        <v>0</v>
      </c>
      <c r="BG170" s="247">
        <v>0</v>
      </c>
      <c r="BH170" s="247">
        <v>271.91201204503614</v>
      </c>
      <c r="BI170" s="1">
        <f>tblSection61915[[#This Row],[Gross Total]]*0.15</f>
        <v>40.78680180675542</v>
      </c>
      <c r="BJ170" s="44"/>
      <c r="BK170" s="246"/>
      <c r="BM170" s="44">
        <v>2022</v>
      </c>
      <c r="BN170" t="s">
        <v>191</v>
      </c>
      <c r="BO170" s="1">
        <v>3792</v>
      </c>
      <c r="BP170" s="1">
        <v>0</v>
      </c>
      <c r="BQ170" s="1">
        <v>0</v>
      </c>
      <c r="BR170" s="1">
        <v>0</v>
      </c>
      <c r="BS170" s="1">
        <v>0</v>
      </c>
      <c r="BT170" s="1">
        <v>0</v>
      </c>
      <c r="BU170" s="1">
        <f>SUM(tblSection611[[#This Row],[LEA/District]:[ECSE]])</f>
        <v>3792</v>
      </c>
      <c r="BV170" s="1">
        <f>tblSection611[[#This Row],[Gross Total]]*0.15</f>
        <v>568.79999999999995</v>
      </c>
      <c r="BW170" s="1"/>
      <c r="BY170" s="44">
        <v>2022</v>
      </c>
      <c r="BZ170" t="s">
        <v>191</v>
      </c>
      <c r="CA170" s="1">
        <v>268</v>
      </c>
      <c r="CB170" s="1">
        <v>0</v>
      </c>
      <c r="CC170" s="1">
        <v>0</v>
      </c>
      <c r="CD170" s="1">
        <v>0</v>
      </c>
      <c r="CE170" s="1">
        <v>0</v>
      </c>
      <c r="CF170" s="1">
        <v>0</v>
      </c>
      <c r="CG170" s="1">
        <f>SUM(tblSection619[[#This Row],[LEA/District]:[ECSE]])</f>
        <v>268</v>
      </c>
      <c r="CH170" s="1">
        <f>tblSection619[[#This Row],[Gross Total]]*0.15</f>
        <v>40.199999999999996</v>
      </c>
    </row>
    <row r="171" spans="1:86" x14ac:dyDescent="0.35">
      <c r="A171" t="s">
        <v>192</v>
      </c>
      <c r="B171">
        <v>2087</v>
      </c>
      <c r="C171" t="s">
        <v>1528</v>
      </c>
      <c r="D171" s="44">
        <f>LEN(TblAgencies[[#This Row],[InstNm]])</f>
        <v>18</v>
      </c>
      <c r="E171" s="44" t="s">
        <v>1900</v>
      </c>
      <c r="F171" s="44" t="s">
        <v>1900</v>
      </c>
      <c r="G17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71" s="44"/>
      <c r="I171" s="44"/>
      <c r="J171" s="44"/>
      <c r="K171" s="44"/>
      <c r="M171" s="44"/>
      <c r="N171" s="44">
        <v>2087</v>
      </c>
      <c r="O171" t="s">
        <v>192</v>
      </c>
      <c r="P171" s="1">
        <v>807025.71772035689</v>
      </c>
      <c r="Q171" s="1">
        <v>0</v>
      </c>
      <c r="R171" s="1">
        <v>0</v>
      </c>
      <c r="S171" s="1">
        <v>0</v>
      </c>
      <c r="T171" s="1">
        <v>0</v>
      </c>
      <c r="U171" s="1">
        <v>0</v>
      </c>
      <c r="V171" s="1">
        <v>87374.831642952049</v>
      </c>
      <c r="W171" s="1">
        <v>807025.71772035689</v>
      </c>
      <c r="X171" s="1">
        <f>tblSection6111416[[#This Row],[Net Total]]*0.15</f>
        <v>121053.85765805353</v>
      </c>
      <c r="Y171" s="1"/>
      <c r="AA171" s="44">
        <v>2087</v>
      </c>
      <c r="AB171" t="s">
        <v>192</v>
      </c>
      <c r="AC171" s="1">
        <v>6041.7090171799618</v>
      </c>
      <c r="AD171" s="1">
        <v>0</v>
      </c>
      <c r="AE171" s="1">
        <v>0</v>
      </c>
      <c r="AF171" s="1">
        <v>0</v>
      </c>
      <c r="AG171" s="1">
        <v>0</v>
      </c>
      <c r="AH171" s="1">
        <v>12780.538305572996</v>
      </c>
      <c r="AI171" s="1">
        <v>6041.7090171799628</v>
      </c>
      <c r="AJ171" s="1">
        <f>tblSection6191517[[#This Row],[Net Total]]*0.15</f>
        <v>906.25635257699435</v>
      </c>
      <c r="AK171" s="1"/>
      <c r="AM171" s="44"/>
      <c r="AN171" s="44">
        <v>2087</v>
      </c>
      <c r="AO171" t="s">
        <v>192</v>
      </c>
      <c r="AP171" s="247">
        <v>807025.71772035689</v>
      </c>
      <c r="AQ171" s="247">
        <v>0</v>
      </c>
      <c r="AR171" s="247">
        <v>0</v>
      </c>
      <c r="AS171" s="247">
        <v>0</v>
      </c>
      <c r="AT171" s="247">
        <v>0</v>
      </c>
      <c r="AU171" s="247">
        <v>0</v>
      </c>
      <c r="AV171" s="247">
        <v>87374.831642952049</v>
      </c>
      <c r="AW171" s="247">
        <v>894400.54936330894</v>
      </c>
      <c r="AX171" s="1">
        <f>tblSection61114[[#This Row],[Gross Total]]*0.15</f>
        <v>134160.08240449632</v>
      </c>
      <c r="AZ171" s="44">
        <v>2087</v>
      </c>
      <c r="BA171" t="s">
        <v>192</v>
      </c>
      <c r="BB171" s="247">
        <v>6041.7090171799618</v>
      </c>
      <c r="BC171" s="247">
        <v>0</v>
      </c>
      <c r="BD171" s="247">
        <v>0</v>
      </c>
      <c r="BE171" s="247">
        <v>0</v>
      </c>
      <c r="BF171" s="247">
        <v>0</v>
      </c>
      <c r="BG171" s="247">
        <v>12780.538305572996</v>
      </c>
      <c r="BH171" s="247">
        <v>18822.247322752959</v>
      </c>
      <c r="BI171" s="1">
        <f>tblSection61915[[#This Row],[Gross Total]]*0.15</f>
        <v>2823.3370984129438</v>
      </c>
      <c r="BJ171" s="44"/>
      <c r="BK171" s="246"/>
      <c r="BM171" s="44">
        <v>2087</v>
      </c>
      <c r="BN171" t="s">
        <v>192</v>
      </c>
      <c r="BO171" s="1">
        <v>580287</v>
      </c>
      <c r="BP171" s="1">
        <v>0</v>
      </c>
      <c r="BQ171" s="1">
        <v>0</v>
      </c>
      <c r="BR171" s="1">
        <v>0</v>
      </c>
      <c r="BS171" s="1">
        <v>0</v>
      </c>
      <c r="BT171" s="1">
        <v>65002</v>
      </c>
      <c r="BU171" s="1">
        <f>SUM(tblSection611[[#This Row],[LEA/District]:[ECSE]])</f>
        <v>645289</v>
      </c>
      <c r="BV171" s="1">
        <f>tblSection611[[#This Row],[Gross Total]]*0.15</f>
        <v>96793.349999999991</v>
      </c>
      <c r="BW171" s="1"/>
      <c r="BY171" s="44">
        <v>2087</v>
      </c>
      <c r="BZ171" t="s">
        <v>192</v>
      </c>
      <c r="CA171" s="1">
        <v>4209</v>
      </c>
      <c r="CB171" s="1">
        <v>0</v>
      </c>
      <c r="CC171" s="1">
        <v>0</v>
      </c>
      <c r="CD171" s="1">
        <v>0</v>
      </c>
      <c r="CE171" s="1">
        <v>0</v>
      </c>
      <c r="CF171" s="1">
        <v>12185</v>
      </c>
      <c r="CG171" s="1">
        <f>SUM(tblSection619[[#This Row],[LEA/District]:[ECSE]])</f>
        <v>16394</v>
      </c>
      <c r="CH171" s="1">
        <f>tblSection619[[#This Row],[Gross Total]]*0.15</f>
        <v>2459.1</v>
      </c>
    </row>
    <row r="172" spans="1:86" x14ac:dyDescent="0.35">
      <c r="A172" t="s">
        <v>193</v>
      </c>
      <c r="B172">
        <v>1994</v>
      </c>
      <c r="C172" t="s">
        <v>1528</v>
      </c>
      <c r="D172" s="44">
        <f>LEN(TblAgencies[[#This Row],[InstNm]])</f>
        <v>18</v>
      </c>
      <c r="E172" s="44" t="s">
        <v>1900</v>
      </c>
      <c r="F172" s="44" t="s">
        <v>1900</v>
      </c>
      <c r="G17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72" s="44"/>
      <c r="I172" s="44"/>
      <c r="J172" s="44"/>
      <c r="K172" s="44"/>
      <c r="M172" s="44"/>
      <c r="N172" s="44">
        <v>1994</v>
      </c>
      <c r="O172" t="s">
        <v>193</v>
      </c>
      <c r="P172" s="1">
        <v>356950.65780346491</v>
      </c>
      <c r="Q172" s="1">
        <v>55886.214100542493</v>
      </c>
      <c r="R172" s="1">
        <v>0</v>
      </c>
      <c r="S172" s="1">
        <v>0</v>
      </c>
      <c r="T172" s="1">
        <v>0</v>
      </c>
      <c r="U172" s="1">
        <v>0</v>
      </c>
      <c r="V172" s="1">
        <v>45069.527500437485</v>
      </c>
      <c r="W172" s="1">
        <v>356950.65780346486</v>
      </c>
      <c r="X172" s="1">
        <f>tblSection6111416[[#This Row],[Net Total]]*0.15</f>
        <v>53542.598670519728</v>
      </c>
      <c r="Y172" s="1"/>
      <c r="AA172" s="44">
        <v>1994</v>
      </c>
      <c r="AB172" t="s">
        <v>193</v>
      </c>
      <c r="AC172" s="1">
        <v>3758.4846157016354</v>
      </c>
      <c r="AD172" s="1">
        <v>1445.5710060390904</v>
      </c>
      <c r="AE172" s="1">
        <v>0</v>
      </c>
      <c r="AF172" s="1">
        <v>0</v>
      </c>
      <c r="AG172" s="1">
        <v>0</v>
      </c>
      <c r="AH172" s="1">
        <v>7227.8550301954529</v>
      </c>
      <c r="AI172" s="1">
        <v>3758.4846157016345</v>
      </c>
      <c r="AJ172" s="1">
        <f>tblSection6191517[[#This Row],[Net Total]]*0.15</f>
        <v>563.77269235524511</v>
      </c>
      <c r="AK172" s="1"/>
      <c r="AM172" s="44"/>
      <c r="AN172" s="44">
        <v>1994</v>
      </c>
      <c r="AO172" t="s">
        <v>193</v>
      </c>
      <c r="AP172" s="247">
        <v>356950.65780346491</v>
      </c>
      <c r="AQ172" s="247">
        <v>55886.214100542493</v>
      </c>
      <c r="AR172" s="247">
        <v>0</v>
      </c>
      <c r="AS172" s="247">
        <v>0</v>
      </c>
      <c r="AT172" s="247">
        <v>0</v>
      </c>
      <c r="AU172" s="247">
        <v>0</v>
      </c>
      <c r="AV172" s="247">
        <v>41463.965300402488</v>
      </c>
      <c r="AW172" s="247">
        <v>454300.83720440988</v>
      </c>
      <c r="AX172" s="1">
        <f>tblSection61114[[#This Row],[Gross Total]]*0.15</f>
        <v>68145.125580661479</v>
      </c>
      <c r="AZ172" s="44">
        <v>1994</v>
      </c>
      <c r="BA172" t="s">
        <v>193</v>
      </c>
      <c r="BB172" s="247">
        <v>3758.4846157016354</v>
      </c>
      <c r="BC172" s="247">
        <v>1445.5710060390904</v>
      </c>
      <c r="BD172" s="247">
        <v>0</v>
      </c>
      <c r="BE172" s="247">
        <v>0</v>
      </c>
      <c r="BF172" s="247">
        <v>0</v>
      </c>
      <c r="BG172" s="247">
        <v>6649.6266277798168</v>
      </c>
      <c r="BH172" s="247">
        <v>11853.682249520542</v>
      </c>
      <c r="BI172" s="1">
        <f>tblSection61915[[#This Row],[Gross Total]]*0.15</f>
        <v>1778.0523374280813</v>
      </c>
      <c r="BJ172" s="44"/>
      <c r="BK172" s="246"/>
      <c r="BM172" s="44">
        <v>1994</v>
      </c>
      <c r="BN172" t="s">
        <v>193</v>
      </c>
      <c r="BO172" s="1">
        <v>310627</v>
      </c>
      <c r="BP172" s="1">
        <v>36119</v>
      </c>
      <c r="BQ172" s="1">
        <v>0</v>
      </c>
      <c r="BR172" s="1">
        <v>0</v>
      </c>
      <c r="BS172" s="1">
        <v>0</v>
      </c>
      <c r="BT172" s="1">
        <v>33230</v>
      </c>
      <c r="BU172" s="1">
        <f>SUM(tblSection611[[#This Row],[LEA/District]:[ECSE]])</f>
        <v>379976</v>
      </c>
      <c r="BV172" s="1">
        <f>tblSection611[[#This Row],[Gross Total]]*0.15</f>
        <v>56996.4</v>
      </c>
      <c r="BW172" s="1"/>
      <c r="BY172" s="44">
        <v>1994</v>
      </c>
      <c r="BZ172" t="s">
        <v>193</v>
      </c>
      <c r="CA172" s="1">
        <v>3201</v>
      </c>
      <c r="CB172" s="1">
        <v>0</v>
      </c>
      <c r="CC172" s="1">
        <v>0</v>
      </c>
      <c r="CD172" s="1">
        <v>0</v>
      </c>
      <c r="CE172" s="1">
        <v>0</v>
      </c>
      <c r="CF172" s="1">
        <v>7362</v>
      </c>
      <c r="CG172" s="1">
        <f>SUM(tblSection619[[#This Row],[LEA/District]:[ECSE]])</f>
        <v>10563</v>
      </c>
      <c r="CH172" s="1">
        <f>tblSection619[[#This Row],[Gross Total]]*0.15</f>
        <v>1584.45</v>
      </c>
    </row>
    <row r="173" spans="1:86" x14ac:dyDescent="0.35">
      <c r="A173" t="s">
        <v>194</v>
      </c>
      <c r="B173">
        <v>2225</v>
      </c>
      <c r="C173" t="s">
        <v>1528</v>
      </c>
      <c r="D173" s="44">
        <f>LEN(TblAgencies[[#This Row],[InstNm]])</f>
        <v>23</v>
      </c>
      <c r="E173" s="44" t="s">
        <v>1900</v>
      </c>
      <c r="F173" s="44" t="s">
        <v>1900</v>
      </c>
      <c r="G17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73" s="44"/>
      <c r="I173" s="44"/>
      <c r="J173" s="44"/>
      <c r="K173" s="44"/>
      <c r="M173" s="44"/>
      <c r="N173" s="44">
        <v>2225</v>
      </c>
      <c r="O173" t="s">
        <v>194</v>
      </c>
      <c r="P173" s="1">
        <v>66656.356452954948</v>
      </c>
      <c r="Q173" s="1">
        <v>16664.089113238737</v>
      </c>
      <c r="R173" s="1">
        <v>0</v>
      </c>
      <c r="S173" s="1">
        <v>0</v>
      </c>
      <c r="T173" s="1">
        <v>0</v>
      </c>
      <c r="U173" s="1">
        <v>0</v>
      </c>
      <c r="V173" s="1">
        <v>3703.1309140530529</v>
      </c>
      <c r="W173" s="1">
        <v>66656.356452954933</v>
      </c>
      <c r="X173" s="1">
        <f>tblSection6111416[[#This Row],[Net Total]]*0.15</f>
        <v>9998.45346794324</v>
      </c>
      <c r="Y173" s="1"/>
      <c r="AA173" s="44">
        <v>2225</v>
      </c>
      <c r="AB173" t="s">
        <v>194</v>
      </c>
      <c r="AC173" s="1">
        <v>1494.2358039281046</v>
      </c>
      <c r="AD173" s="1">
        <v>0</v>
      </c>
      <c r="AE173" s="1">
        <v>0</v>
      </c>
      <c r="AF173" s="1">
        <v>0</v>
      </c>
      <c r="AG173" s="1">
        <v>0</v>
      </c>
      <c r="AH173" s="1">
        <v>2988.4716078562092</v>
      </c>
      <c r="AI173" s="1">
        <v>1494.2358039281048</v>
      </c>
      <c r="AJ173" s="1">
        <f>tblSection6191517[[#This Row],[Net Total]]*0.15</f>
        <v>224.13537058921571</v>
      </c>
      <c r="AK173" s="1"/>
      <c r="AM173" s="44"/>
      <c r="AN173" s="44">
        <v>2225</v>
      </c>
      <c r="AO173" t="s">
        <v>194</v>
      </c>
      <c r="AP173" s="247">
        <v>66656.356452954948</v>
      </c>
      <c r="AQ173" s="247">
        <v>16664.089113238737</v>
      </c>
      <c r="AR173" s="247">
        <v>0</v>
      </c>
      <c r="AS173" s="247">
        <v>0</v>
      </c>
      <c r="AT173" s="247">
        <v>0</v>
      </c>
      <c r="AU173" s="247">
        <v>0</v>
      </c>
      <c r="AV173" s="247">
        <v>3703.1309140530529</v>
      </c>
      <c r="AW173" s="247">
        <v>87023.576480246731</v>
      </c>
      <c r="AX173" s="1">
        <f>tblSection61114[[#This Row],[Gross Total]]*0.15</f>
        <v>13053.536472037009</v>
      </c>
      <c r="AZ173" s="44">
        <v>2225</v>
      </c>
      <c r="BA173" t="s">
        <v>194</v>
      </c>
      <c r="BB173" s="247">
        <v>1494.2358039281046</v>
      </c>
      <c r="BC173" s="247">
        <v>0</v>
      </c>
      <c r="BD173" s="247">
        <v>0</v>
      </c>
      <c r="BE173" s="247">
        <v>0</v>
      </c>
      <c r="BF173" s="247">
        <v>0</v>
      </c>
      <c r="BG173" s="247">
        <v>2988.4716078562092</v>
      </c>
      <c r="BH173" s="247">
        <v>4482.707411784314</v>
      </c>
      <c r="BI173" s="1">
        <f>tblSection61915[[#This Row],[Gross Total]]*0.15</f>
        <v>672.40611176764708</v>
      </c>
      <c r="BJ173" s="44"/>
      <c r="BK173" s="246"/>
      <c r="BM173" s="44">
        <v>2225</v>
      </c>
      <c r="BN173" t="s">
        <v>194</v>
      </c>
      <c r="BO173" s="1">
        <v>47096</v>
      </c>
      <c r="BP173" s="1">
        <v>12680</v>
      </c>
      <c r="BQ173" s="1">
        <v>0</v>
      </c>
      <c r="BR173" s="1">
        <v>0</v>
      </c>
      <c r="BS173" s="1">
        <v>0</v>
      </c>
      <c r="BT173" s="1">
        <v>10868</v>
      </c>
      <c r="BU173" s="1">
        <f>SUM(tblSection611[[#This Row],[LEA/District]:[ECSE]])</f>
        <v>70644</v>
      </c>
      <c r="BV173" s="1">
        <f>tblSection611[[#This Row],[Gross Total]]*0.15</f>
        <v>10596.6</v>
      </c>
      <c r="BW173" s="1"/>
      <c r="BY173" s="44">
        <v>2225</v>
      </c>
      <c r="BZ173" t="s">
        <v>194</v>
      </c>
      <c r="CA173" s="1">
        <v>0</v>
      </c>
      <c r="CB173" s="1">
        <v>0</v>
      </c>
      <c r="CC173" s="1">
        <v>0</v>
      </c>
      <c r="CD173" s="1">
        <v>0</v>
      </c>
      <c r="CE173" s="1">
        <v>0</v>
      </c>
      <c r="CF173" s="1">
        <v>4307</v>
      </c>
      <c r="CG173" s="1">
        <f>SUM(tblSection619[[#This Row],[LEA/District]:[ECSE]])</f>
        <v>4307</v>
      </c>
      <c r="CH173" s="1">
        <f>tblSection619[[#This Row],[Gross Total]]*0.15</f>
        <v>646.04999999999995</v>
      </c>
    </row>
    <row r="174" spans="1:86" x14ac:dyDescent="0.35">
      <c r="A174" t="s">
        <v>195</v>
      </c>
      <c r="B174">
        <v>2247</v>
      </c>
      <c r="C174" t="s">
        <v>1528</v>
      </c>
      <c r="D174" s="44">
        <f>LEN(TblAgencies[[#This Row],[InstNm]])</f>
        <v>10</v>
      </c>
      <c r="E174" s="44" t="s">
        <v>1900</v>
      </c>
      <c r="F174" s="44" t="s">
        <v>1900</v>
      </c>
      <c r="G17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74" s="44"/>
      <c r="I174" s="44"/>
      <c r="J174" s="44"/>
      <c r="K174" s="44"/>
      <c r="M174" s="44"/>
      <c r="N174" s="44">
        <v>2247</v>
      </c>
      <c r="O174" t="s">
        <v>195</v>
      </c>
      <c r="P174" s="1">
        <v>9212.5161464144785</v>
      </c>
      <c r="Q174" s="1">
        <v>0</v>
      </c>
      <c r="R174" s="1">
        <v>0</v>
      </c>
      <c r="S174" s="1">
        <v>0</v>
      </c>
      <c r="T174" s="1">
        <v>0</v>
      </c>
      <c r="U174" s="1">
        <v>0</v>
      </c>
      <c r="V174" s="1">
        <v>0</v>
      </c>
      <c r="W174" s="1">
        <v>9212.5161464144785</v>
      </c>
      <c r="X174" s="1">
        <f>tblSection6111416[[#This Row],[Net Total]]*0.15</f>
        <v>1381.8774219621716</v>
      </c>
      <c r="Y174" s="1"/>
      <c r="AA174" s="44">
        <v>2247</v>
      </c>
      <c r="AB174" t="s">
        <v>195</v>
      </c>
      <c r="AC174" s="1">
        <v>584.82380405079516</v>
      </c>
      <c r="AD174" s="1">
        <v>0</v>
      </c>
      <c r="AE174" s="1">
        <v>0</v>
      </c>
      <c r="AF174" s="1">
        <v>0</v>
      </c>
      <c r="AG174" s="1">
        <v>0</v>
      </c>
      <c r="AH174" s="1">
        <v>0</v>
      </c>
      <c r="AI174" s="1">
        <v>584.82380405079516</v>
      </c>
      <c r="AJ174" s="1">
        <f>tblSection6191517[[#This Row],[Net Total]]*0.15</f>
        <v>87.723570607619266</v>
      </c>
      <c r="AK174" s="1"/>
      <c r="AM174" s="44"/>
      <c r="AN174" s="44">
        <v>2247</v>
      </c>
      <c r="AO174" t="s">
        <v>195</v>
      </c>
      <c r="AP174" s="247">
        <v>9212.5161464144785</v>
      </c>
      <c r="AQ174" s="247">
        <v>0</v>
      </c>
      <c r="AR174" s="247">
        <v>0</v>
      </c>
      <c r="AS174" s="247">
        <v>0</v>
      </c>
      <c r="AT174" s="247">
        <v>0</v>
      </c>
      <c r="AU174" s="247">
        <v>0</v>
      </c>
      <c r="AV174" s="247">
        <v>0</v>
      </c>
      <c r="AW174" s="247">
        <v>9212.5161464144785</v>
      </c>
      <c r="AX174" s="1">
        <f>tblSection61114[[#This Row],[Gross Total]]*0.15</f>
        <v>1381.8774219621716</v>
      </c>
      <c r="AZ174" s="44">
        <v>2247</v>
      </c>
      <c r="BA174" t="s">
        <v>195</v>
      </c>
      <c r="BB174" s="247">
        <v>584.82380405079516</v>
      </c>
      <c r="BC174" s="247">
        <v>0</v>
      </c>
      <c r="BD174" s="247">
        <v>0</v>
      </c>
      <c r="BE174" s="247">
        <v>0</v>
      </c>
      <c r="BF174" s="247">
        <v>0</v>
      </c>
      <c r="BG174" s="247">
        <v>0</v>
      </c>
      <c r="BH174" s="247">
        <v>584.82380405079516</v>
      </c>
      <c r="BI174" s="1">
        <f>tblSection61915[[#This Row],[Gross Total]]*0.15</f>
        <v>87.723570607619266</v>
      </c>
      <c r="BJ174" s="44"/>
      <c r="BK174" s="246"/>
      <c r="BM174" s="44">
        <v>2247</v>
      </c>
      <c r="BN174" t="s">
        <v>195</v>
      </c>
      <c r="BO174" s="1">
        <v>5237</v>
      </c>
      <c r="BP174" s="1">
        <v>2618</v>
      </c>
      <c r="BQ174" s="1">
        <v>0</v>
      </c>
      <c r="BR174" s="1">
        <v>0</v>
      </c>
      <c r="BS174" s="1">
        <v>0</v>
      </c>
      <c r="BT174" s="1">
        <v>2618</v>
      </c>
      <c r="BU174" s="1">
        <f>SUM(tblSection611[[#This Row],[LEA/District]:[ECSE]])</f>
        <v>10473</v>
      </c>
      <c r="BV174" s="1">
        <f>tblSection611[[#This Row],[Gross Total]]*0.15</f>
        <v>1570.95</v>
      </c>
      <c r="BW174" s="1"/>
      <c r="BY174" s="44">
        <v>2247</v>
      </c>
      <c r="BZ174" t="s">
        <v>195</v>
      </c>
      <c r="CA174" s="1">
        <v>0</v>
      </c>
      <c r="CB174" s="1">
        <v>0</v>
      </c>
      <c r="CC174" s="1">
        <v>0</v>
      </c>
      <c r="CD174" s="1">
        <v>0</v>
      </c>
      <c r="CE174" s="1">
        <v>0</v>
      </c>
      <c r="CF174" s="1">
        <v>551</v>
      </c>
      <c r="CG174" s="1">
        <f>SUM(tblSection619[[#This Row],[LEA/District]:[ECSE]])</f>
        <v>551</v>
      </c>
      <c r="CH174" s="1">
        <f>tblSection619[[#This Row],[Gross Total]]*0.15</f>
        <v>82.649999999999991</v>
      </c>
    </row>
    <row r="175" spans="1:86" x14ac:dyDescent="0.35">
      <c r="A175" t="s">
        <v>196</v>
      </c>
      <c r="B175">
        <v>2083</v>
      </c>
      <c r="C175" t="s">
        <v>1528</v>
      </c>
      <c r="D175" s="44">
        <f>LEN(TblAgencies[[#This Row],[InstNm]])</f>
        <v>17</v>
      </c>
      <c r="E175" s="44" t="s">
        <v>1900</v>
      </c>
      <c r="F175" s="44" t="s">
        <v>1900</v>
      </c>
      <c r="G17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75" s="44"/>
      <c r="I175" s="44"/>
      <c r="J175" s="44"/>
      <c r="K175" s="44"/>
      <c r="M175" s="44"/>
      <c r="N175" s="44">
        <v>2083</v>
      </c>
      <c r="O175" t="s">
        <v>196</v>
      </c>
      <c r="P175" s="1">
        <v>2558734.1306141601</v>
      </c>
      <c r="Q175" s="1">
        <v>24618.994200905967</v>
      </c>
      <c r="R175" s="1">
        <v>9847.5976803623853</v>
      </c>
      <c r="S175" s="1">
        <v>49237.988401811934</v>
      </c>
      <c r="T175" s="1">
        <v>0</v>
      </c>
      <c r="U175" s="1">
        <v>0</v>
      </c>
      <c r="V175" s="1">
        <v>444783.16189636785</v>
      </c>
      <c r="W175" s="1">
        <v>2558734.1306141601</v>
      </c>
      <c r="X175" s="1">
        <f>tblSection6111416[[#This Row],[Net Total]]*0.15</f>
        <v>383810.11959212401</v>
      </c>
      <c r="Y175" s="1"/>
      <c r="AA175" s="44">
        <v>2083</v>
      </c>
      <c r="AB175" t="s">
        <v>196</v>
      </c>
      <c r="AC175" s="1">
        <v>25888.816528534837</v>
      </c>
      <c r="AD175" s="1">
        <v>1056.6863889197894</v>
      </c>
      <c r="AE175" s="1">
        <v>0</v>
      </c>
      <c r="AF175" s="1">
        <v>0</v>
      </c>
      <c r="AG175" s="1">
        <v>0</v>
      </c>
      <c r="AH175" s="1">
        <v>71590.50284931573</v>
      </c>
      <c r="AI175" s="1">
        <v>25888.816528534837</v>
      </c>
      <c r="AJ175" s="1">
        <f>tblSection6191517[[#This Row],[Net Total]]*0.15</f>
        <v>3883.3224792802253</v>
      </c>
      <c r="AK175" s="1"/>
      <c r="AM175" s="44"/>
      <c r="AN175" s="44">
        <v>2083</v>
      </c>
      <c r="AO175" t="s">
        <v>196</v>
      </c>
      <c r="AP175" s="247">
        <v>2558734.1306141601</v>
      </c>
      <c r="AQ175" s="247">
        <v>24618.994200905967</v>
      </c>
      <c r="AR175" s="247">
        <v>9847.5976803623853</v>
      </c>
      <c r="AS175" s="247">
        <v>49237.988401811934</v>
      </c>
      <c r="AT175" s="247">
        <v>0</v>
      </c>
      <c r="AU175" s="247">
        <v>0</v>
      </c>
      <c r="AV175" s="247">
        <v>438218.09677612624</v>
      </c>
      <c r="AW175" s="247">
        <v>3080656.8076733667</v>
      </c>
      <c r="AX175" s="1">
        <f>tblSection61114[[#This Row],[Gross Total]]*0.15</f>
        <v>462098.521151005</v>
      </c>
      <c r="AZ175" s="44">
        <v>2083</v>
      </c>
      <c r="BA175" t="s">
        <v>196</v>
      </c>
      <c r="BB175" s="247">
        <v>25888.816528534837</v>
      </c>
      <c r="BC175" s="247">
        <v>1056.6863889197894</v>
      </c>
      <c r="BD175" s="247">
        <v>0</v>
      </c>
      <c r="BE175" s="247">
        <v>0</v>
      </c>
      <c r="BF175" s="247">
        <v>0</v>
      </c>
      <c r="BG175" s="247">
        <v>70533.816460395945</v>
      </c>
      <c r="BH175" s="247">
        <v>97479.319377850567</v>
      </c>
      <c r="BI175" s="1">
        <f>tblSection61915[[#This Row],[Gross Total]]*0.15</f>
        <v>14621.897906677585</v>
      </c>
      <c r="BJ175" s="44"/>
      <c r="BK175" s="246"/>
      <c r="BM175" s="44">
        <v>2083</v>
      </c>
      <c r="BN175" t="s">
        <v>196</v>
      </c>
      <c r="BO175" s="1">
        <v>2041937</v>
      </c>
      <c r="BP175" s="1">
        <v>22744</v>
      </c>
      <c r="BQ175" s="1">
        <v>8845</v>
      </c>
      <c r="BR175" s="1">
        <v>36644</v>
      </c>
      <c r="BS175" s="1">
        <v>0</v>
      </c>
      <c r="BT175" s="1">
        <v>283041</v>
      </c>
      <c r="BU175" s="1">
        <f>SUM(tblSection611[[#This Row],[LEA/District]:[ECSE]])</f>
        <v>2393211</v>
      </c>
      <c r="BV175" s="1">
        <f>tblSection611[[#This Row],[Gross Total]]*0.15</f>
        <v>358981.64999999997</v>
      </c>
      <c r="BW175" s="1"/>
      <c r="BY175" s="44">
        <v>2083</v>
      </c>
      <c r="BZ175" t="s">
        <v>196</v>
      </c>
      <c r="CA175" s="1">
        <v>23931</v>
      </c>
      <c r="CB175" s="1">
        <v>0</v>
      </c>
      <c r="CC175" s="1">
        <v>0</v>
      </c>
      <c r="CD175" s="1">
        <v>269</v>
      </c>
      <c r="CE175" s="1">
        <v>0</v>
      </c>
      <c r="CF175" s="1">
        <v>60232</v>
      </c>
      <c r="CG175" s="1">
        <f>SUM(tblSection619[[#This Row],[LEA/District]:[ECSE]])</f>
        <v>84432</v>
      </c>
      <c r="CH175" s="1">
        <f>tblSection619[[#This Row],[Gross Total]]*0.15</f>
        <v>12664.8</v>
      </c>
    </row>
    <row r="176" spans="1:86" x14ac:dyDescent="0.35">
      <c r="A176" t="s">
        <v>197</v>
      </c>
      <c r="B176">
        <v>1948</v>
      </c>
      <c r="C176" t="s">
        <v>1528</v>
      </c>
      <c r="D176" s="44">
        <f>LEN(TblAgencies[[#This Row],[InstNm]])</f>
        <v>16</v>
      </c>
      <c r="E176" s="44" t="s">
        <v>1900</v>
      </c>
      <c r="F176" s="44" t="s">
        <v>1900</v>
      </c>
      <c r="G17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76" s="44"/>
      <c r="I176" s="44"/>
      <c r="J176" s="44"/>
      <c r="K176" s="44"/>
      <c r="M176" s="44"/>
      <c r="N176" s="44">
        <v>1948</v>
      </c>
      <c r="O176" t="s">
        <v>197</v>
      </c>
      <c r="P176" s="1">
        <v>672137.96252788929</v>
      </c>
      <c r="Q176" s="1">
        <v>165144.46253756492</v>
      </c>
      <c r="R176" s="1">
        <v>1651.4446253756491</v>
      </c>
      <c r="S176" s="1">
        <v>0</v>
      </c>
      <c r="T176" s="1">
        <v>0</v>
      </c>
      <c r="U176" s="1">
        <v>0</v>
      </c>
      <c r="V176" s="1">
        <v>90829.454395660694</v>
      </c>
      <c r="W176" s="1">
        <v>672137.96252788929</v>
      </c>
      <c r="X176" s="1">
        <f>tblSection6111416[[#This Row],[Net Total]]*0.15</f>
        <v>100820.69437918339</v>
      </c>
      <c r="Y176" s="1"/>
      <c r="AA176" s="44">
        <v>1948</v>
      </c>
      <c r="AB176" t="s">
        <v>197</v>
      </c>
      <c r="AC176" s="1">
        <v>6068.4444959457487</v>
      </c>
      <c r="AD176" s="1">
        <v>6646.3915907977253</v>
      </c>
      <c r="AE176" s="1">
        <v>0</v>
      </c>
      <c r="AF176" s="1">
        <v>0</v>
      </c>
      <c r="AG176" s="1">
        <v>0</v>
      </c>
      <c r="AH176" s="1">
        <v>15893.545108429342</v>
      </c>
      <c r="AI176" s="1">
        <v>6068.4444959457505</v>
      </c>
      <c r="AJ176" s="1">
        <f>tblSection6191517[[#This Row],[Net Total]]*0.15</f>
        <v>910.26667439186258</v>
      </c>
      <c r="AK176" s="1"/>
      <c r="AM176" s="44"/>
      <c r="AN176" s="44">
        <v>1948</v>
      </c>
      <c r="AO176" t="s">
        <v>197</v>
      </c>
      <c r="AP176" s="247">
        <v>672137.96252788929</v>
      </c>
      <c r="AQ176" s="247">
        <v>165144.46253756492</v>
      </c>
      <c r="AR176" s="247">
        <v>1651.4446253756491</v>
      </c>
      <c r="AS176" s="247">
        <v>0</v>
      </c>
      <c r="AT176" s="247">
        <v>0</v>
      </c>
      <c r="AU176" s="247">
        <v>0</v>
      </c>
      <c r="AV176" s="247">
        <v>66057.785015025962</v>
      </c>
      <c r="AW176" s="247">
        <v>904991.65470585588</v>
      </c>
      <c r="AX176" s="1">
        <f>tblSection61114[[#This Row],[Gross Total]]*0.15</f>
        <v>135748.74820587836</v>
      </c>
      <c r="AZ176" s="44">
        <v>1948</v>
      </c>
      <c r="BA176" t="s">
        <v>197</v>
      </c>
      <c r="BB176" s="247">
        <v>6068.4444959457487</v>
      </c>
      <c r="BC176" s="247">
        <v>6646.3915907977253</v>
      </c>
      <c r="BD176" s="247">
        <v>0</v>
      </c>
      <c r="BE176" s="247">
        <v>0</v>
      </c>
      <c r="BF176" s="247">
        <v>0</v>
      </c>
      <c r="BG176" s="247">
        <v>11558.94189703952</v>
      </c>
      <c r="BH176" s="247">
        <v>24273.777983782995</v>
      </c>
      <c r="BI176" s="1">
        <f>tblSection61915[[#This Row],[Gross Total]]*0.15</f>
        <v>3641.066697567449</v>
      </c>
      <c r="BJ176" s="44"/>
      <c r="BK176" s="246"/>
      <c r="BM176" s="44">
        <v>1948</v>
      </c>
      <c r="BN176" t="s">
        <v>197</v>
      </c>
      <c r="BO176" s="1">
        <v>505293</v>
      </c>
      <c r="BP176" s="1">
        <v>83347</v>
      </c>
      <c r="BQ176" s="1">
        <v>1302</v>
      </c>
      <c r="BR176" s="1">
        <v>0</v>
      </c>
      <c r="BS176" s="1">
        <v>0</v>
      </c>
      <c r="BT176" s="1">
        <v>74231</v>
      </c>
      <c r="BU176" s="1">
        <f>SUM(tblSection611[[#This Row],[LEA/District]:[ECSE]])</f>
        <v>664173</v>
      </c>
      <c r="BV176" s="1">
        <f>tblSection611[[#This Row],[Gross Total]]*0.15</f>
        <v>99625.95</v>
      </c>
      <c r="BW176" s="1"/>
      <c r="BY176" s="44">
        <v>1948</v>
      </c>
      <c r="BZ176" t="s">
        <v>197</v>
      </c>
      <c r="CA176" s="1">
        <v>5548</v>
      </c>
      <c r="CB176" s="1">
        <v>1513</v>
      </c>
      <c r="CC176" s="1">
        <v>0</v>
      </c>
      <c r="CD176" s="1">
        <v>0</v>
      </c>
      <c r="CE176" s="1">
        <v>0</v>
      </c>
      <c r="CF176" s="1">
        <v>14373</v>
      </c>
      <c r="CG176" s="1">
        <f>SUM(tblSection619[[#This Row],[LEA/District]:[ECSE]])</f>
        <v>21434</v>
      </c>
      <c r="CH176" s="1">
        <f>tblSection619[[#This Row],[Gross Total]]*0.15</f>
        <v>3215.1</v>
      </c>
    </row>
    <row r="177" spans="1:86" x14ac:dyDescent="0.35">
      <c r="A177" t="s">
        <v>198</v>
      </c>
      <c r="B177">
        <v>2144</v>
      </c>
      <c r="C177" t="s">
        <v>1528</v>
      </c>
      <c r="D177" s="44">
        <f>LEN(TblAgencies[[#This Row],[InstNm]])</f>
        <v>13</v>
      </c>
      <c r="E177" s="44" t="s">
        <v>1900</v>
      </c>
      <c r="F177" s="44" t="s">
        <v>1900</v>
      </c>
      <c r="G17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77" s="44"/>
      <c r="I177" s="44"/>
      <c r="J177" s="44"/>
      <c r="K177" s="44"/>
      <c r="M177" s="44"/>
      <c r="N177" s="44">
        <v>2144</v>
      </c>
      <c r="O177" t="s">
        <v>198</v>
      </c>
      <c r="P177" s="1">
        <v>43095.552898146168</v>
      </c>
      <c r="Q177" s="1">
        <v>7430.2677410596825</v>
      </c>
      <c r="R177" s="1">
        <v>0</v>
      </c>
      <c r="S177" s="1">
        <v>0</v>
      </c>
      <c r="T177" s="1">
        <v>0</v>
      </c>
      <c r="U177" s="1">
        <v>0</v>
      </c>
      <c r="V177" s="1">
        <v>1486.0535482119367</v>
      </c>
      <c r="W177" s="1">
        <v>43095.552898146168</v>
      </c>
      <c r="X177" s="1">
        <f>tblSection6111416[[#This Row],[Net Total]]*0.15</f>
        <v>6464.3329347219251</v>
      </c>
      <c r="Y177" s="1"/>
      <c r="AA177" s="44">
        <v>2144</v>
      </c>
      <c r="AB177" t="s">
        <v>198</v>
      </c>
      <c r="AC177" s="1">
        <v>0</v>
      </c>
      <c r="AD177" s="1">
        <v>767.61836699381445</v>
      </c>
      <c r="AE177" s="1">
        <v>0</v>
      </c>
      <c r="AF177" s="1">
        <v>0</v>
      </c>
      <c r="AG177" s="1">
        <v>0</v>
      </c>
      <c r="AH177" s="1">
        <v>767.61836699381445</v>
      </c>
      <c r="AI177" s="1">
        <v>0</v>
      </c>
      <c r="AJ177" s="1">
        <f>tblSection6191517[[#This Row],[Net Total]]*0.15</f>
        <v>0</v>
      </c>
      <c r="AK177" s="1"/>
      <c r="AM177" s="44"/>
      <c r="AN177" s="44">
        <v>2144</v>
      </c>
      <c r="AO177" t="s">
        <v>198</v>
      </c>
      <c r="AP177" s="247">
        <v>43095.552898146168</v>
      </c>
      <c r="AQ177" s="247">
        <v>7430.2677410596825</v>
      </c>
      <c r="AR177" s="247">
        <v>0</v>
      </c>
      <c r="AS177" s="247">
        <v>0</v>
      </c>
      <c r="AT177" s="247">
        <v>0</v>
      </c>
      <c r="AU177" s="247">
        <v>0</v>
      </c>
      <c r="AV177" s="247">
        <v>1486.0535482119367</v>
      </c>
      <c r="AW177" s="247">
        <v>52011.874187417787</v>
      </c>
      <c r="AX177" s="1">
        <f>tblSection61114[[#This Row],[Gross Total]]*0.15</f>
        <v>7801.7811281126678</v>
      </c>
      <c r="AZ177" s="44">
        <v>2144</v>
      </c>
      <c r="BA177" t="s">
        <v>198</v>
      </c>
      <c r="BB177" s="247">
        <v>0</v>
      </c>
      <c r="BC177" s="247">
        <v>767.61836699381445</v>
      </c>
      <c r="BD177" s="247">
        <v>0</v>
      </c>
      <c r="BE177" s="247">
        <v>0</v>
      </c>
      <c r="BF177" s="247">
        <v>0</v>
      </c>
      <c r="BG177" s="247">
        <v>767.61836699381445</v>
      </c>
      <c r="BH177" s="247">
        <v>1535.2367339876289</v>
      </c>
      <c r="BI177" s="1">
        <f>tblSection61915[[#This Row],[Gross Total]]*0.15</f>
        <v>230.28551009814433</v>
      </c>
      <c r="BJ177" s="44"/>
      <c r="BK177" s="246"/>
      <c r="BM177" s="44">
        <v>2144</v>
      </c>
      <c r="BN177" t="s">
        <v>198</v>
      </c>
      <c r="BO177" s="1">
        <v>45516</v>
      </c>
      <c r="BP177" s="1">
        <v>11379</v>
      </c>
      <c r="BQ177" s="1">
        <v>0</v>
      </c>
      <c r="BR177" s="1">
        <v>0</v>
      </c>
      <c r="BS177" s="1">
        <v>0</v>
      </c>
      <c r="BT177" s="1">
        <v>2845</v>
      </c>
      <c r="BU177" s="1">
        <f>SUM(tblSection611[[#This Row],[LEA/District]:[ECSE]])</f>
        <v>59740</v>
      </c>
      <c r="BV177" s="1">
        <f>tblSection611[[#This Row],[Gross Total]]*0.15</f>
        <v>8961</v>
      </c>
      <c r="BW177" s="1"/>
      <c r="BY177" s="44">
        <v>2144</v>
      </c>
      <c r="BZ177" t="s">
        <v>198</v>
      </c>
      <c r="CA177" s="1">
        <v>0</v>
      </c>
      <c r="CB177" s="1">
        <v>0</v>
      </c>
      <c r="CC177" s="1">
        <v>0</v>
      </c>
      <c r="CD177" s="1">
        <v>0</v>
      </c>
      <c r="CE177" s="1">
        <v>0</v>
      </c>
      <c r="CF177" s="1">
        <v>1575</v>
      </c>
      <c r="CG177" s="1">
        <f>SUM(tblSection619[[#This Row],[LEA/District]:[ECSE]])</f>
        <v>1575</v>
      </c>
      <c r="CH177" s="1">
        <f>tblSection619[[#This Row],[Gross Total]]*0.15</f>
        <v>236.25</v>
      </c>
    </row>
    <row r="178" spans="1:86" x14ac:dyDescent="0.35">
      <c r="A178" t="s">
        <v>199</v>
      </c>
      <c r="B178">
        <v>2209</v>
      </c>
      <c r="C178" t="s">
        <v>1528</v>
      </c>
      <c r="D178" s="44">
        <f>LEN(TblAgencies[[#This Row],[InstNm]])</f>
        <v>15</v>
      </c>
      <c r="E178" s="44" t="s">
        <v>1900</v>
      </c>
      <c r="F178" s="44" t="s">
        <v>1900</v>
      </c>
      <c r="G17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78" s="44"/>
      <c r="I178" s="44"/>
      <c r="J178" s="44"/>
      <c r="K178" s="44"/>
      <c r="M178" s="44"/>
      <c r="N178" s="44">
        <v>2209</v>
      </c>
      <c r="O178" t="s">
        <v>199</v>
      </c>
      <c r="P178" s="1">
        <v>105521.56089311454</v>
      </c>
      <c r="Q178" s="1">
        <v>17298.616539854844</v>
      </c>
      <c r="R178" s="1">
        <v>0</v>
      </c>
      <c r="S178" s="1">
        <v>0</v>
      </c>
      <c r="T178" s="1">
        <v>0</v>
      </c>
      <c r="U178" s="1">
        <v>0</v>
      </c>
      <c r="V178" s="1">
        <v>5189.5849619564542</v>
      </c>
      <c r="W178" s="1">
        <v>105521.56089311454</v>
      </c>
      <c r="X178" s="1">
        <f>tblSection6111416[[#This Row],[Net Total]]*0.15</f>
        <v>15828.23413396718</v>
      </c>
      <c r="Y178" s="1"/>
      <c r="AA178" s="44">
        <v>2209</v>
      </c>
      <c r="AB178" t="s">
        <v>199</v>
      </c>
      <c r="AC178" s="1">
        <v>622.29487960695633</v>
      </c>
      <c r="AD178" s="1">
        <v>622.29487960695633</v>
      </c>
      <c r="AE178" s="1">
        <v>0</v>
      </c>
      <c r="AF178" s="1">
        <v>0</v>
      </c>
      <c r="AG178" s="1">
        <v>0</v>
      </c>
      <c r="AH178" s="1">
        <v>1866.8846388208688</v>
      </c>
      <c r="AI178" s="1">
        <v>622.29487960695587</v>
      </c>
      <c r="AJ178" s="1">
        <f>tblSection6191517[[#This Row],[Net Total]]*0.15</f>
        <v>93.344231941043375</v>
      </c>
      <c r="AK178" s="1"/>
      <c r="AM178" s="44"/>
      <c r="AN178" s="44">
        <v>2209</v>
      </c>
      <c r="AO178" t="s">
        <v>199</v>
      </c>
      <c r="AP178" s="247">
        <v>105521.56089311454</v>
      </c>
      <c r="AQ178" s="247">
        <v>17298.616539854844</v>
      </c>
      <c r="AR178" s="247">
        <v>0</v>
      </c>
      <c r="AS178" s="247">
        <v>0</v>
      </c>
      <c r="AT178" s="247">
        <v>0</v>
      </c>
      <c r="AU178" s="247">
        <v>0</v>
      </c>
      <c r="AV178" s="247">
        <v>5189.5849619564542</v>
      </c>
      <c r="AW178" s="247">
        <v>128009.76239492584</v>
      </c>
      <c r="AX178" s="1">
        <f>tblSection61114[[#This Row],[Gross Total]]*0.15</f>
        <v>19201.464359238875</v>
      </c>
      <c r="AZ178" s="44">
        <v>2209</v>
      </c>
      <c r="BA178" t="s">
        <v>199</v>
      </c>
      <c r="BB178" s="247">
        <v>622.29487960695633</v>
      </c>
      <c r="BC178" s="247">
        <v>622.29487960695633</v>
      </c>
      <c r="BD178" s="247">
        <v>0</v>
      </c>
      <c r="BE178" s="247">
        <v>0</v>
      </c>
      <c r="BF178" s="247">
        <v>0</v>
      </c>
      <c r="BG178" s="247">
        <v>1866.8846388208688</v>
      </c>
      <c r="BH178" s="247">
        <v>3111.4743980347812</v>
      </c>
      <c r="BI178" s="1">
        <f>tblSection61915[[#This Row],[Gross Total]]*0.15</f>
        <v>466.72115970521713</v>
      </c>
      <c r="BJ178" s="44"/>
      <c r="BK178" s="246"/>
      <c r="BM178" s="44">
        <v>2209</v>
      </c>
      <c r="BN178" t="s">
        <v>199</v>
      </c>
      <c r="BO178" s="1">
        <v>92598</v>
      </c>
      <c r="BP178" s="1">
        <v>12627</v>
      </c>
      <c r="BQ178" s="1">
        <v>0</v>
      </c>
      <c r="BR178" s="1">
        <v>0</v>
      </c>
      <c r="BS178" s="1">
        <v>0</v>
      </c>
      <c r="BT178" s="1">
        <v>4209</v>
      </c>
      <c r="BU178" s="1">
        <f>SUM(tblSection611[[#This Row],[LEA/District]:[ECSE]])</f>
        <v>109434</v>
      </c>
      <c r="BV178" s="1">
        <f>tblSection611[[#This Row],[Gross Total]]*0.15</f>
        <v>16415.099999999999</v>
      </c>
      <c r="BW178" s="1"/>
      <c r="BY178" s="44">
        <v>2209</v>
      </c>
      <c r="BZ178" t="s">
        <v>199</v>
      </c>
      <c r="CA178" s="1">
        <v>1215</v>
      </c>
      <c r="CB178" s="1">
        <v>0</v>
      </c>
      <c r="CC178" s="1">
        <v>0</v>
      </c>
      <c r="CD178" s="1">
        <v>0</v>
      </c>
      <c r="CE178" s="1">
        <v>0</v>
      </c>
      <c r="CF178" s="1">
        <v>1822</v>
      </c>
      <c r="CG178" s="1">
        <f>SUM(tblSection619[[#This Row],[LEA/District]:[ECSE]])</f>
        <v>3037</v>
      </c>
      <c r="CH178" s="1">
        <f>tblSection619[[#This Row],[Gross Total]]*0.15</f>
        <v>455.55</v>
      </c>
    </row>
    <row r="179" spans="1:86" x14ac:dyDescent="0.35">
      <c r="A179" t="s">
        <v>200</v>
      </c>
      <c r="B179">
        <v>2018</v>
      </c>
      <c r="C179" t="s">
        <v>1528</v>
      </c>
      <c r="D179" s="44">
        <f>LEN(TblAgencies[[#This Row],[InstNm]])</f>
        <v>12</v>
      </c>
      <c r="E179" s="44" t="s">
        <v>1900</v>
      </c>
      <c r="F179" s="44" t="s">
        <v>1900</v>
      </c>
      <c r="G17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79" s="44"/>
      <c r="I179" s="44"/>
      <c r="J179" s="44"/>
      <c r="K179" s="44"/>
      <c r="M179" s="44"/>
      <c r="N179" s="44">
        <v>2018</v>
      </c>
      <c r="O179" t="s">
        <v>200</v>
      </c>
      <c r="P179" s="1">
        <v>1036.67</v>
      </c>
      <c r="Q179" s="1">
        <v>0</v>
      </c>
      <c r="R179" s="1">
        <v>0</v>
      </c>
      <c r="S179" s="1">
        <v>0</v>
      </c>
      <c r="T179" s="1">
        <v>0</v>
      </c>
      <c r="U179" s="1">
        <v>0</v>
      </c>
      <c r="V179" s="1">
        <v>0</v>
      </c>
      <c r="W179" s="1">
        <v>1036.67</v>
      </c>
      <c r="X179" s="1">
        <f>tblSection6111416[[#This Row],[Net Total]]*0.15</f>
        <v>155.50050000000002</v>
      </c>
      <c r="Y179" s="1"/>
      <c r="AA179" s="44">
        <v>2018</v>
      </c>
      <c r="AB179" t="s">
        <v>200</v>
      </c>
      <c r="AC179" s="1">
        <v>0</v>
      </c>
      <c r="AD179" s="1">
        <v>0</v>
      </c>
      <c r="AE179" s="1">
        <v>0</v>
      </c>
      <c r="AF179" s="1">
        <v>0</v>
      </c>
      <c r="AG179" s="1">
        <v>0</v>
      </c>
      <c r="AH179" s="1">
        <v>0</v>
      </c>
      <c r="AI179" s="1">
        <v>0</v>
      </c>
      <c r="AJ179" s="1">
        <f>tblSection6191517[[#This Row],[Net Total]]*0.15</f>
        <v>0</v>
      </c>
      <c r="AK179" s="1"/>
      <c r="AM179" s="44"/>
      <c r="AN179" s="44">
        <v>2018</v>
      </c>
      <c r="AO179" t="s">
        <v>200</v>
      </c>
      <c r="AP179" s="247">
        <v>1036.67</v>
      </c>
      <c r="AQ179" s="247">
        <v>0</v>
      </c>
      <c r="AR179" s="247">
        <v>0</v>
      </c>
      <c r="AS179" s="247">
        <v>0</v>
      </c>
      <c r="AT179" s="247">
        <v>0</v>
      </c>
      <c r="AU179" s="247">
        <v>0</v>
      </c>
      <c r="AV179" s="247">
        <v>0</v>
      </c>
      <c r="AW179" s="247">
        <v>1036.67</v>
      </c>
      <c r="AX179" s="1">
        <f>tblSection61114[[#This Row],[Gross Total]]*0.15</f>
        <v>155.50050000000002</v>
      </c>
      <c r="AZ179" s="44">
        <v>2018</v>
      </c>
      <c r="BA179" t="s">
        <v>200</v>
      </c>
      <c r="BB179" s="247">
        <v>0</v>
      </c>
      <c r="BC179" s="247">
        <v>0</v>
      </c>
      <c r="BD179" s="247">
        <v>0</v>
      </c>
      <c r="BE179" s="247">
        <v>0</v>
      </c>
      <c r="BF179" s="247">
        <v>0</v>
      </c>
      <c r="BG179" s="247">
        <v>0</v>
      </c>
      <c r="BH179" s="247">
        <v>0</v>
      </c>
      <c r="BI179" s="1">
        <f>tblSection61915[[#This Row],[Gross Total]]*0.15</f>
        <v>0</v>
      </c>
      <c r="BJ179" s="44"/>
      <c r="BK179" s="246"/>
      <c r="BM179" s="44">
        <v>2018</v>
      </c>
      <c r="BN179" t="s">
        <v>200</v>
      </c>
      <c r="BO179" s="1">
        <v>1401</v>
      </c>
      <c r="BP179" s="1">
        <v>0</v>
      </c>
      <c r="BQ179" s="1">
        <v>0</v>
      </c>
      <c r="BR179" s="1">
        <v>0</v>
      </c>
      <c r="BS179" s="1">
        <v>0</v>
      </c>
      <c r="BT179" s="1">
        <v>0</v>
      </c>
      <c r="BU179" s="1">
        <f>SUM(tblSection611[[#This Row],[LEA/District]:[ECSE]])</f>
        <v>1401</v>
      </c>
      <c r="BV179" s="1">
        <f>tblSection611[[#This Row],[Gross Total]]*0.15</f>
        <v>210.15</v>
      </c>
      <c r="BW179" s="1"/>
      <c r="BY179" s="44">
        <v>2018</v>
      </c>
      <c r="BZ179" t="s">
        <v>200</v>
      </c>
      <c r="CA179" s="1">
        <v>95104</v>
      </c>
      <c r="CB179" s="1">
        <v>0</v>
      </c>
      <c r="CC179" s="1">
        <v>0</v>
      </c>
      <c r="CD179" s="1">
        <v>0</v>
      </c>
      <c r="CE179" s="1">
        <v>0</v>
      </c>
      <c r="CF179" s="1">
        <v>0</v>
      </c>
      <c r="CG179" s="1">
        <f>SUM(tblSection619[[#This Row],[LEA/District]:[ECSE]])</f>
        <v>95104</v>
      </c>
      <c r="CH179" s="1">
        <f>tblSection619[[#This Row],[Gross Total]]*0.15</f>
        <v>14265.6</v>
      </c>
    </row>
    <row r="180" spans="1:86" x14ac:dyDescent="0.35">
      <c r="A180" t="s">
        <v>201</v>
      </c>
      <c r="B180">
        <v>2003</v>
      </c>
      <c r="C180" t="s">
        <v>1528</v>
      </c>
      <c r="D180" s="44">
        <f>LEN(TblAgencies[[#This Row],[InstNm]])</f>
        <v>16</v>
      </c>
      <c r="E180" s="44" t="s">
        <v>1900</v>
      </c>
      <c r="F180" s="44" t="s">
        <v>1900</v>
      </c>
      <c r="G18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80" s="44"/>
      <c r="I180" s="44"/>
      <c r="J180" s="44"/>
      <c r="K180" s="44"/>
      <c r="M180" s="44"/>
      <c r="N180" s="44">
        <v>2003</v>
      </c>
      <c r="O180" t="s">
        <v>201</v>
      </c>
      <c r="P180" s="1">
        <v>317342.42973290518</v>
      </c>
      <c r="Q180" s="1">
        <v>42417.057439546727</v>
      </c>
      <c r="R180" s="1">
        <v>0</v>
      </c>
      <c r="S180" s="1">
        <v>0</v>
      </c>
      <c r="T180" s="1">
        <v>0</v>
      </c>
      <c r="U180" s="1">
        <v>0</v>
      </c>
      <c r="V180" s="1">
        <v>34562.046802593628</v>
      </c>
      <c r="W180" s="1">
        <v>317342.42973290518</v>
      </c>
      <c r="X180" s="1">
        <f>tblSection6111416[[#This Row],[Net Total]]*0.15</f>
        <v>47601.364459935772</v>
      </c>
      <c r="Y180" s="1"/>
      <c r="AA180" s="44">
        <v>2003</v>
      </c>
      <c r="AB180" t="s">
        <v>201</v>
      </c>
      <c r="AC180" s="1">
        <v>2624.4624417283135</v>
      </c>
      <c r="AD180" s="1">
        <v>1312.2312208641567</v>
      </c>
      <c r="AE180" s="1">
        <v>0</v>
      </c>
      <c r="AF180" s="1">
        <v>0</v>
      </c>
      <c r="AG180" s="1">
        <v>0</v>
      </c>
      <c r="AH180" s="1">
        <v>5773.8173718022899</v>
      </c>
      <c r="AI180" s="1">
        <v>2624.462441728313</v>
      </c>
      <c r="AJ180" s="1">
        <f>tblSection6191517[[#This Row],[Net Total]]*0.15</f>
        <v>393.66936625924694</v>
      </c>
      <c r="AK180" s="1"/>
      <c r="AM180" s="44"/>
      <c r="AN180" s="44">
        <v>2003</v>
      </c>
      <c r="AO180" t="s">
        <v>201</v>
      </c>
      <c r="AP180" s="247">
        <v>317342.42973290518</v>
      </c>
      <c r="AQ180" s="247">
        <v>42417.057439546727</v>
      </c>
      <c r="AR180" s="247">
        <v>0</v>
      </c>
      <c r="AS180" s="247">
        <v>0</v>
      </c>
      <c r="AT180" s="247">
        <v>0</v>
      </c>
      <c r="AU180" s="247">
        <v>0</v>
      </c>
      <c r="AV180" s="247">
        <v>31420.042547812391</v>
      </c>
      <c r="AW180" s="247">
        <v>391179.52972026431</v>
      </c>
      <c r="AX180" s="1">
        <f>tblSection61114[[#This Row],[Gross Total]]*0.15</f>
        <v>58676.929458039645</v>
      </c>
      <c r="AZ180" s="44">
        <v>2003</v>
      </c>
      <c r="BA180" t="s">
        <v>201</v>
      </c>
      <c r="BB180" s="247">
        <v>2624.4624417283135</v>
      </c>
      <c r="BC180" s="247">
        <v>1312.2312208641567</v>
      </c>
      <c r="BD180" s="247">
        <v>0</v>
      </c>
      <c r="BE180" s="247">
        <v>0</v>
      </c>
      <c r="BF180" s="247">
        <v>0</v>
      </c>
      <c r="BG180" s="247">
        <v>5248.924883456627</v>
      </c>
      <c r="BH180" s="247">
        <v>9185.618546049096</v>
      </c>
      <c r="BI180" s="1">
        <f>tblSection61915[[#This Row],[Gross Total]]*0.15</f>
        <v>1377.8427819073643</v>
      </c>
      <c r="BJ180" s="44"/>
      <c r="BK180" s="246"/>
      <c r="BM180" s="44">
        <v>2003</v>
      </c>
      <c r="BN180" t="s">
        <v>201</v>
      </c>
      <c r="BO180" s="1">
        <v>230294</v>
      </c>
      <c r="BP180" s="1">
        <v>35045</v>
      </c>
      <c r="BQ180" s="1">
        <v>0</v>
      </c>
      <c r="BR180" s="1">
        <v>0</v>
      </c>
      <c r="BS180" s="1">
        <v>0</v>
      </c>
      <c r="BT180" s="1">
        <v>38800</v>
      </c>
      <c r="BU180" s="1">
        <f>SUM(tblSection611[[#This Row],[LEA/District]:[ECSE]])</f>
        <v>304139</v>
      </c>
      <c r="BV180" s="1">
        <f>tblSection611[[#This Row],[Gross Total]]*0.15</f>
        <v>45620.85</v>
      </c>
      <c r="BW180" s="1"/>
      <c r="BY180" s="44">
        <v>2003</v>
      </c>
      <c r="BZ180" t="s">
        <v>201</v>
      </c>
      <c r="CA180" s="1">
        <v>1821</v>
      </c>
      <c r="CB180" s="1">
        <v>728</v>
      </c>
      <c r="CC180" s="1">
        <v>0</v>
      </c>
      <c r="CD180" s="1">
        <v>0</v>
      </c>
      <c r="CE180" s="1">
        <v>0</v>
      </c>
      <c r="CF180" s="1">
        <v>5644</v>
      </c>
      <c r="CG180" s="1">
        <f>SUM(tblSection619[[#This Row],[LEA/District]:[ECSE]])</f>
        <v>8193</v>
      </c>
      <c r="CH180" s="1">
        <f>tblSection619[[#This Row],[Gross Total]]*0.15</f>
        <v>1228.95</v>
      </c>
    </row>
    <row r="181" spans="1:86" x14ac:dyDescent="0.35">
      <c r="A181" t="s">
        <v>202</v>
      </c>
      <c r="B181">
        <v>2102</v>
      </c>
      <c r="C181" t="s">
        <v>1527</v>
      </c>
      <c r="D181" s="44">
        <f>LEN(TblAgencies[[#This Row],[InstNm]])</f>
        <v>16</v>
      </c>
      <c r="E181" s="44" t="s">
        <v>1900</v>
      </c>
      <c r="F181" s="44" t="s">
        <v>1900</v>
      </c>
      <c r="G18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81" s="44"/>
      <c r="I181" s="44"/>
      <c r="J181" s="44"/>
      <c r="K181" s="44"/>
      <c r="M181" s="44"/>
      <c r="N181" s="44">
        <v>2102</v>
      </c>
      <c r="O181" t="s">
        <v>202</v>
      </c>
      <c r="P181" s="1">
        <v>617644.15456120903</v>
      </c>
      <c r="Q181" s="1">
        <v>100702.85128715364</v>
      </c>
      <c r="R181" s="1">
        <v>0</v>
      </c>
      <c r="S181" s="1">
        <v>0</v>
      </c>
      <c r="T181" s="1">
        <v>0</v>
      </c>
      <c r="U181" s="1">
        <v>0</v>
      </c>
      <c r="V181" s="1">
        <v>41959.521369647344</v>
      </c>
      <c r="W181" s="1">
        <v>617644.15456120903</v>
      </c>
      <c r="X181" s="1">
        <f>tblSection6111416[[#This Row],[Net Total]]*0.15</f>
        <v>92646.623184181357</v>
      </c>
      <c r="Y181" s="1"/>
      <c r="AA181" s="44">
        <v>2102</v>
      </c>
      <c r="AB181" t="s">
        <v>202</v>
      </c>
      <c r="AC181" s="1">
        <v>4916.0670034435998</v>
      </c>
      <c r="AD181" s="1">
        <v>1638.6890011478665</v>
      </c>
      <c r="AE181" s="1">
        <v>0</v>
      </c>
      <c r="AF181" s="1">
        <v>0</v>
      </c>
      <c r="AG181" s="1">
        <v>0</v>
      </c>
      <c r="AH181" s="1">
        <v>6827.8708381161105</v>
      </c>
      <c r="AI181" s="1">
        <v>4916.0670034436007</v>
      </c>
      <c r="AJ181" s="1">
        <f>tblSection6191517[[#This Row],[Net Total]]*0.15</f>
        <v>737.41005051654008</v>
      </c>
      <c r="AK181" s="1"/>
      <c r="AM181" s="44"/>
      <c r="AN181" s="44">
        <v>2102</v>
      </c>
      <c r="AO181" t="s">
        <v>202</v>
      </c>
      <c r="AP181" s="247">
        <v>617644.15456120903</v>
      </c>
      <c r="AQ181" s="247">
        <v>100702.85128715364</v>
      </c>
      <c r="AR181" s="247">
        <v>0</v>
      </c>
      <c r="AS181" s="247">
        <v>0</v>
      </c>
      <c r="AT181" s="247">
        <v>0</v>
      </c>
      <c r="AU181" s="247">
        <v>0</v>
      </c>
      <c r="AV181" s="247">
        <v>40281.14051486145</v>
      </c>
      <c r="AW181" s="247">
        <v>758628.14636322414</v>
      </c>
      <c r="AX181" s="1">
        <f>tblSection61114[[#This Row],[Gross Total]]*0.15</f>
        <v>113794.22195448361</v>
      </c>
      <c r="AZ181" s="44">
        <v>2102</v>
      </c>
      <c r="BA181" t="s">
        <v>202</v>
      </c>
      <c r="BB181" s="247">
        <v>4916.0670034435998</v>
      </c>
      <c r="BC181" s="247">
        <v>1638.6890011478665</v>
      </c>
      <c r="BD181" s="247">
        <v>0</v>
      </c>
      <c r="BE181" s="247">
        <v>0</v>
      </c>
      <c r="BF181" s="247">
        <v>0</v>
      </c>
      <c r="BG181" s="247">
        <v>6554.7560045914661</v>
      </c>
      <c r="BH181" s="247">
        <v>13109.512009182932</v>
      </c>
      <c r="BI181" s="1">
        <f>tblSection61915[[#This Row],[Gross Total]]*0.15</f>
        <v>1966.4268013774397</v>
      </c>
      <c r="BJ181" s="44"/>
      <c r="BK181" s="246"/>
      <c r="BM181" s="44">
        <v>2102</v>
      </c>
      <c r="BN181" t="s">
        <v>202</v>
      </c>
      <c r="BO181" s="1">
        <v>452306</v>
      </c>
      <c r="BP181" s="1">
        <v>69191</v>
      </c>
      <c r="BQ181" s="1">
        <v>0</v>
      </c>
      <c r="BR181" s="1">
        <v>0</v>
      </c>
      <c r="BS181" s="1">
        <v>0</v>
      </c>
      <c r="BT181" s="1">
        <v>33314</v>
      </c>
      <c r="BU181" s="1">
        <f>SUM(tblSection611[[#This Row],[LEA/District]:[ECSE]])</f>
        <v>554811</v>
      </c>
      <c r="BV181" s="1">
        <f>tblSection611[[#This Row],[Gross Total]]*0.15</f>
        <v>83221.649999999994</v>
      </c>
      <c r="BW181" s="1"/>
      <c r="BY181" s="44">
        <v>2102</v>
      </c>
      <c r="BZ181" t="s">
        <v>202</v>
      </c>
      <c r="CA181" s="1">
        <v>3599</v>
      </c>
      <c r="CB181" s="1">
        <v>1107</v>
      </c>
      <c r="CC181" s="1">
        <v>0</v>
      </c>
      <c r="CD181" s="1">
        <v>0</v>
      </c>
      <c r="CE181" s="1">
        <v>0</v>
      </c>
      <c r="CF181" s="1">
        <v>7198</v>
      </c>
      <c r="CG181" s="1">
        <f>SUM(tblSection619[[#This Row],[LEA/District]:[ECSE]])</f>
        <v>11904</v>
      </c>
      <c r="CH181" s="1">
        <f>tblSection619[[#This Row],[Gross Total]]*0.15</f>
        <v>1785.6</v>
      </c>
    </row>
    <row r="182" spans="1:86" x14ac:dyDescent="0.35">
      <c r="A182" t="s">
        <v>203</v>
      </c>
      <c r="B182">
        <v>2055</v>
      </c>
      <c r="C182" t="s">
        <v>1528</v>
      </c>
      <c r="D182" s="44">
        <f>LEN(TblAgencies[[#This Row],[InstNm]])</f>
        <v>32</v>
      </c>
      <c r="E182" s="44" t="s">
        <v>1900</v>
      </c>
      <c r="F182" s="44" t="s">
        <v>1900</v>
      </c>
      <c r="G18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82" s="44"/>
      <c r="I182" s="44"/>
      <c r="J182" s="44"/>
      <c r="K182" s="44"/>
      <c r="M182" s="44"/>
      <c r="N182" s="44">
        <v>2055</v>
      </c>
      <c r="O182" t="s">
        <v>203</v>
      </c>
      <c r="P182" s="1">
        <v>906989.50722453673</v>
      </c>
      <c r="Q182" s="1">
        <v>229457.50481576924</v>
      </c>
      <c r="R182" s="1">
        <v>3613.5040128467599</v>
      </c>
      <c r="S182" s="1">
        <v>0</v>
      </c>
      <c r="T182" s="1">
        <v>0</v>
      </c>
      <c r="U182" s="1">
        <v>0</v>
      </c>
      <c r="V182" s="1">
        <v>104791.61637255605</v>
      </c>
      <c r="W182" s="1">
        <v>906989.50722453662</v>
      </c>
      <c r="X182" s="1">
        <f>tblSection6111416[[#This Row],[Net Total]]*0.15</f>
        <v>136048.42608368048</v>
      </c>
      <c r="Y182" s="1"/>
      <c r="AA182" s="44">
        <v>2055</v>
      </c>
      <c r="AB182" t="s">
        <v>203</v>
      </c>
      <c r="AC182" s="1">
        <v>7340.895300747854</v>
      </c>
      <c r="AD182" s="1">
        <v>8717.3131696380769</v>
      </c>
      <c r="AE182" s="1">
        <v>0</v>
      </c>
      <c r="AF182" s="1">
        <v>0</v>
      </c>
      <c r="AG182" s="1">
        <v>0</v>
      </c>
      <c r="AH182" s="1">
        <v>26610.74546521097</v>
      </c>
      <c r="AI182" s="1">
        <v>7340.8953007478558</v>
      </c>
      <c r="AJ182" s="1">
        <f>tblSection6191517[[#This Row],[Net Total]]*0.15</f>
        <v>1101.1342951121783</v>
      </c>
      <c r="AK182" s="1"/>
      <c r="AM182" s="44"/>
      <c r="AN182" s="44">
        <v>2055</v>
      </c>
      <c r="AO182" t="s">
        <v>203</v>
      </c>
      <c r="AP182" s="247">
        <v>906989.50722453673</v>
      </c>
      <c r="AQ182" s="247">
        <v>229457.50481576924</v>
      </c>
      <c r="AR182" s="247">
        <v>3613.5040128467599</v>
      </c>
      <c r="AS182" s="247">
        <v>0</v>
      </c>
      <c r="AT182" s="247">
        <v>0</v>
      </c>
      <c r="AU182" s="247">
        <v>0</v>
      </c>
      <c r="AV182" s="247">
        <v>81303.84028905211</v>
      </c>
      <c r="AW182" s="247">
        <v>1221364.3563422048</v>
      </c>
      <c r="AX182" s="1">
        <f>tblSection61114[[#This Row],[Gross Total]]*0.15</f>
        <v>183204.65345133073</v>
      </c>
      <c r="AZ182" s="44">
        <v>2055</v>
      </c>
      <c r="BA182" t="s">
        <v>203</v>
      </c>
      <c r="BB182" s="247">
        <v>7340.895300747854</v>
      </c>
      <c r="BC182" s="247">
        <v>8717.3131696380769</v>
      </c>
      <c r="BD182" s="247">
        <v>0</v>
      </c>
      <c r="BE182" s="247">
        <v>0</v>
      </c>
      <c r="BF182" s="247">
        <v>0</v>
      </c>
      <c r="BG182" s="247">
        <v>20646.268033353339</v>
      </c>
      <c r="BH182" s="247">
        <v>36704.476503739272</v>
      </c>
      <c r="BI182" s="1">
        <f>tblSection61915[[#This Row],[Gross Total]]*0.15</f>
        <v>5505.6714755608909</v>
      </c>
      <c r="BJ182" s="44"/>
      <c r="BK182" s="246"/>
      <c r="BM182" s="44">
        <v>2055</v>
      </c>
      <c r="BN182" t="s">
        <v>203</v>
      </c>
      <c r="BO182" s="1">
        <v>901323</v>
      </c>
      <c r="BP182" s="1">
        <v>228113</v>
      </c>
      <c r="BQ182" s="1">
        <v>3709</v>
      </c>
      <c r="BR182" s="1">
        <v>0</v>
      </c>
      <c r="BS182" s="1">
        <v>0</v>
      </c>
      <c r="BT182" s="1">
        <v>87165</v>
      </c>
      <c r="BU182" s="1">
        <f>SUM(tblSection611[[#This Row],[LEA/District]:[ECSE]])</f>
        <v>1220310</v>
      </c>
      <c r="BV182" s="1">
        <f>tblSection611[[#This Row],[Gross Total]]*0.15</f>
        <v>183046.5</v>
      </c>
      <c r="BW182" s="1"/>
      <c r="BY182" s="44">
        <v>2055</v>
      </c>
      <c r="BZ182" t="s">
        <v>203</v>
      </c>
      <c r="CA182" s="1">
        <v>6140</v>
      </c>
      <c r="CB182" s="1">
        <v>6612</v>
      </c>
      <c r="CC182" s="1">
        <v>0</v>
      </c>
      <c r="CD182" s="1">
        <v>0</v>
      </c>
      <c r="CE182" s="1">
        <v>0</v>
      </c>
      <c r="CF182" s="1">
        <v>22197</v>
      </c>
      <c r="CG182" s="1">
        <f>SUM(tblSection619[[#This Row],[LEA/District]:[ECSE]])</f>
        <v>34949</v>
      </c>
      <c r="CH182" s="1">
        <f>tblSection619[[#This Row],[Gross Total]]*0.15</f>
        <v>5242.3499999999995</v>
      </c>
    </row>
    <row r="183" spans="1:86" x14ac:dyDescent="0.35">
      <c r="A183" t="s">
        <v>204</v>
      </c>
      <c r="B183">
        <v>2242</v>
      </c>
      <c r="C183" t="s">
        <v>1528</v>
      </c>
      <c r="D183" s="44">
        <f>LEN(TblAgencies[[#This Row],[InstNm]])</f>
        <v>22</v>
      </c>
      <c r="E183" s="44" t="s">
        <v>1900</v>
      </c>
      <c r="F183" s="44" t="s">
        <v>1900</v>
      </c>
      <c r="G18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83" s="44"/>
      <c r="I183" s="44"/>
      <c r="J183" s="44"/>
      <c r="K183" s="44"/>
      <c r="M183" s="44"/>
      <c r="N183" s="44">
        <v>2242</v>
      </c>
      <c r="O183" t="s">
        <v>204</v>
      </c>
      <c r="P183" s="1">
        <v>1720613.3505045709</v>
      </c>
      <c r="Q183" s="1">
        <v>552996.37372484326</v>
      </c>
      <c r="R183" s="1">
        <v>4865.0707365821991</v>
      </c>
      <c r="S183" s="1">
        <v>51894.087856876788</v>
      </c>
      <c r="T183" s="1">
        <v>0</v>
      </c>
      <c r="U183" s="1">
        <v>0</v>
      </c>
      <c r="V183" s="1">
        <v>218928.18314619898</v>
      </c>
      <c r="W183" s="1">
        <v>1720613.3505045711</v>
      </c>
      <c r="X183" s="1">
        <f>tblSection6111416[[#This Row],[Net Total]]*0.15</f>
        <v>258092.00257568565</v>
      </c>
      <c r="Y183" s="1"/>
      <c r="AA183" s="44">
        <v>2242</v>
      </c>
      <c r="AB183" t="s">
        <v>204</v>
      </c>
      <c r="AC183" s="1">
        <v>11795.030680465543</v>
      </c>
      <c r="AD183" s="1">
        <v>9650.4796476536249</v>
      </c>
      <c r="AE183" s="1">
        <v>0</v>
      </c>
      <c r="AF183" s="1">
        <v>0</v>
      </c>
      <c r="AG183" s="1">
        <v>0</v>
      </c>
      <c r="AH183" s="1">
        <v>36189.298678701096</v>
      </c>
      <c r="AI183" s="1">
        <v>11795.030680465548</v>
      </c>
      <c r="AJ183" s="1">
        <f>tblSection6191517[[#This Row],[Net Total]]*0.15</f>
        <v>1769.2546020698321</v>
      </c>
      <c r="AK183" s="1"/>
      <c r="AM183" s="44"/>
      <c r="AN183" s="44">
        <v>2242</v>
      </c>
      <c r="AO183" t="s">
        <v>204</v>
      </c>
      <c r="AP183" s="247">
        <v>1720613.3505045709</v>
      </c>
      <c r="AQ183" s="247">
        <v>552996.37372484326</v>
      </c>
      <c r="AR183" s="247">
        <v>4865.0707365821991</v>
      </c>
      <c r="AS183" s="247">
        <v>51894.087856876788</v>
      </c>
      <c r="AT183" s="247">
        <v>0</v>
      </c>
      <c r="AU183" s="247">
        <v>0</v>
      </c>
      <c r="AV183" s="247">
        <v>181629.30749906879</v>
      </c>
      <c r="AW183" s="247">
        <v>2511998.1903219419</v>
      </c>
      <c r="AX183" s="1">
        <f>tblSection61114[[#This Row],[Gross Total]]*0.15</f>
        <v>376799.72854829126</v>
      </c>
      <c r="AZ183" s="44">
        <v>2242</v>
      </c>
      <c r="BA183" t="s">
        <v>204</v>
      </c>
      <c r="BB183" s="247">
        <v>11795.030680465543</v>
      </c>
      <c r="BC183" s="247">
        <v>9650.4796476536249</v>
      </c>
      <c r="BD183" s="247">
        <v>0</v>
      </c>
      <c r="BE183" s="247">
        <v>0</v>
      </c>
      <c r="BF183" s="247">
        <v>0</v>
      </c>
      <c r="BG183" s="247">
        <v>30023.714459366834</v>
      </c>
      <c r="BH183" s="247">
        <v>51469.224787486004</v>
      </c>
      <c r="BI183" s="1">
        <f>tblSection61915[[#This Row],[Gross Total]]*0.15</f>
        <v>7720.3837181229001</v>
      </c>
      <c r="BJ183" s="44"/>
      <c r="BK183" s="246"/>
      <c r="BM183" s="44">
        <v>2242</v>
      </c>
      <c r="BN183" t="s">
        <v>204</v>
      </c>
      <c r="BO183" s="1">
        <v>1677739</v>
      </c>
      <c r="BP183" s="1">
        <v>411376</v>
      </c>
      <c r="BQ183" s="1">
        <v>3070</v>
      </c>
      <c r="BR183" s="1">
        <v>39910</v>
      </c>
      <c r="BS183" s="1">
        <v>0</v>
      </c>
      <c r="BT183" s="1">
        <v>224108</v>
      </c>
      <c r="BU183" s="1">
        <f>SUM(tblSection611[[#This Row],[LEA/District]:[ECSE]])</f>
        <v>2356203</v>
      </c>
      <c r="BV183" s="1">
        <f>tblSection611[[#This Row],[Gross Total]]*0.15</f>
        <v>353430.45</v>
      </c>
      <c r="BW183" s="1"/>
      <c r="BY183" s="44">
        <v>2242</v>
      </c>
      <c r="BZ183" t="s">
        <v>204</v>
      </c>
      <c r="CA183" s="1">
        <v>13760</v>
      </c>
      <c r="CB183" s="1">
        <v>1353</v>
      </c>
      <c r="CC183" s="1">
        <v>0</v>
      </c>
      <c r="CD183" s="1">
        <v>0</v>
      </c>
      <c r="CE183" s="1">
        <v>0</v>
      </c>
      <c r="CF183" s="1">
        <v>32934</v>
      </c>
      <c r="CG183" s="1">
        <f>SUM(tblSection619[[#This Row],[LEA/District]:[ECSE]])</f>
        <v>48047</v>
      </c>
      <c r="CH183" s="1">
        <f>tblSection619[[#This Row],[Gross Total]]*0.15</f>
        <v>7207.05</v>
      </c>
    </row>
    <row r="184" spans="1:86" x14ac:dyDescent="0.35">
      <c r="A184" t="s">
        <v>205</v>
      </c>
      <c r="B184">
        <v>2197</v>
      </c>
      <c r="C184" t="s">
        <v>1528</v>
      </c>
      <c r="D184" s="44">
        <f>LEN(TblAgencies[[#This Row],[InstNm]])</f>
        <v>14</v>
      </c>
      <c r="E184" s="44" t="s">
        <v>1900</v>
      </c>
      <c r="F184" s="44" t="s">
        <v>1900</v>
      </c>
      <c r="G18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84" s="44"/>
      <c r="I184" s="44"/>
      <c r="J184" s="44"/>
      <c r="K184" s="44"/>
      <c r="M184" s="44"/>
      <c r="N184" s="44">
        <v>2197</v>
      </c>
      <c r="O184" t="s">
        <v>205</v>
      </c>
      <c r="P184" s="1">
        <v>468045.84570075397</v>
      </c>
      <c r="Q184" s="1">
        <v>90534.415409269932</v>
      </c>
      <c r="R184" s="1">
        <v>0</v>
      </c>
      <c r="S184" s="1">
        <v>0</v>
      </c>
      <c r="T184" s="1">
        <v>0</v>
      </c>
      <c r="U184" s="1">
        <v>0</v>
      </c>
      <c r="V184" s="1">
        <v>35872.12686027676</v>
      </c>
      <c r="W184" s="1">
        <v>468045.84570075409</v>
      </c>
      <c r="X184" s="1">
        <f>tblSection6111416[[#This Row],[Net Total]]*0.15</f>
        <v>70206.876855113107</v>
      </c>
      <c r="Y184" s="1"/>
      <c r="AA184" s="44">
        <v>2197</v>
      </c>
      <c r="AB184" t="s">
        <v>205</v>
      </c>
      <c r="AC184" s="1">
        <v>2773.6528501473495</v>
      </c>
      <c r="AD184" s="1">
        <v>1981.1806072481068</v>
      </c>
      <c r="AE184" s="1">
        <v>0</v>
      </c>
      <c r="AF184" s="1">
        <v>0</v>
      </c>
      <c r="AG184" s="1">
        <v>0</v>
      </c>
      <c r="AH184" s="1">
        <v>8320.9585504420484</v>
      </c>
      <c r="AI184" s="1">
        <v>2773.6528501473495</v>
      </c>
      <c r="AJ184" s="1">
        <f>tblSection6191517[[#This Row],[Net Total]]*0.15</f>
        <v>416.04792752210238</v>
      </c>
      <c r="AK184" s="1"/>
      <c r="AM184" s="44"/>
      <c r="AN184" s="44">
        <v>2197</v>
      </c>
      <c r="AO184" t="s">
        <v>205</v>
      </c>
      <c r="AP184" s="247">
        <v>468045.84570075397</v>
      </c>
      <c r="AQ184" s="247">
        <v>90534.415409269932</v>
      </c>
      <c r="AR184" s="247">
        <v>0</v>
      </c>
      <c r="AS184" s="247">
        <v>0</v>
      </c>
      <c r="AT184" s="247">
        <v>0</v>
      </c>
      <c r="AU184" s="247">
        <v>0</v>
      </c>
      <c r="AV184" s="247">
        <v>30747.537308808649</v>
      </c>
      <c r="AW184" s="247">
        <v>589327.79841883259</v>
      </c>
      <c r="AX184" s="1">
        <f>tblSection61114[[#This Row],[Gross Total]]*0.15</f>
        <v>88399.16976282488</v>
      </c>
      <c r="AZ184" s="44">
        <v>2197</v>
      </c>
      <c r="BA184" t="s">
        <v>205</v>
      </c>
      <c r="BB184" s="247">
        <v>2773.6528501473495</v>
      </c>
      <c r="BC184" s="247">
        <v>1981.1806072481068</v>
      </c>
      <c r="BD184" s="247">
        <v>0</v>
      </c>
      <c r="BE184" s="247">
        <v>0</v>
      </c>
      <c r="BF184" s="247">
        <v>0</v>
      </c>
      <c r="BG184" s="247">
        <v>7132.2501860931843</v>
      </c>
      <c r="BH184" s="247">
        <v>11887.083643488641</v>
      </c>
      <c r="BI184" s="1">
        <f>tblSection61915[[#This Row],[Gross Total]]*0.15</f>
        <v>1783.0625465232961</v>
      </c>
      <c r="BJ184" s="44"/>
      <c r="BK184" s="246"/>
      <c r="BM184" s="44">
        <v>2197</v>
      </c>
      <c r="BN184" t="s">
        <v>205</v>
      </c>
      <c r="BO184" s="1">
        <v>401115</v>
      </c>
      <c r="BP184" s="1">
        <v>72442</v>
      </c>
      <c r="BQ184" s="1">
        <v>0</v>
      </c>
      <c r="BR184" s="1">
        <v>0</v>
      </c>
      <c r="BS184" s="1">
        <v>0</v>
      </c>
      <c r="BT184" s="1">
        <v>30855</v>
      </c>
      <c r="BU184" s="1">
        <f>SUM(tblSection611[[#This Row],[LEA/District]:[ECSE]])</f>
        <v>504412</v>
      </c>
      <c r="BV184" s="1">
        <f>tblSection611[[#This Row],[Gross Total]]*0.15</f>
        <v>75661.8</v>
      </c>
      <c r="BW184" s="1"/>
      <c r="BY184" s="44">
        <v>2197</v>
      </c>
      <c r="BZ184" t="s">
        <v>205</v>
      </c>
      <c r="CA184" s="1">
        <v>4777</v>
      </c>
      <c r="CB184" s="1">
        <v>531</v>
      </c>
      <c r="CC184" s="1">
        <v>0</v>
      </c>
      <c r="CD184" s="1">
        <v>0</v>
      </c>
      <c r="CE184" s="1">
        <v>0</v>
      </c>
      <c r="CF184" s="1">
        <v>6103</v>
      </c>
      <c r="CG184" s="1">
        <f>SUM(tblSection619[[#This Row],[LEA/District]:[ECSE]])</f>
        <v>11411</v>
      </c>
      <c r="CH184" s="1">
        <f>tblSection619[[#This Row],[Gross Total]]*0.15</f>
        <v>1711.6499999999999</v>
      </c>
    </row>
    <row r="185" spans="1:86" x14ac:dyDescent="0.35">
      <c r="A185" t="s">
        <v>206</v>
      </c>
      <c r="B185">
        <v>2222</v>
      </c>
      <c r="C185" t="s">
        <v>1528</v>
      </c>
      <c r="D185" s="44">
        <f>LEN(TblAgencies[[#This Row],[InstNm]])</f>
        <v>10</v>
      </c>
      <c r="E185" s="44" t="s">
        <v>1900</v>
      </c>
      <c r="F185" s="44" t="s">
        <v>1900</v>
      </c>
      <c r="G18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85" s="44"/>
      <c r="I185" s="44"/>
      <c r="J185" s="44"/>
      <c r="K185" s="44"/>
      <c r="M185" s="44"/>
      <c r="N185" s="44">
        <v>2222</v>
      </c>
      <c r="O185" t="s">
        <v>206</v>
      </c>
      <c r="P185" s="1">
        <v>3263.2026910690797</v>
      </c>
      <c r="Q185" s="1">
        <v>0</v>
      </c>
      <c r="R185" s="1">
        <v>0</v>
      </c>
      <c r="S185" s="1">
        <v>0</v>
      </c>
      <c r="T185" s="1">
        <v>0</v>
      </c>
      <c r="U185" s="1">
        <v>0</v>
      </c>
      <c r="V185" s="1">
        <v>0</v>
      </c>
      <c r="W185" s="1">
        <v>3263.2026910690797</v>
      </c>
      <c r="X185" s="1">
        <f>tblSection6111416[[#This Row],[Net Total]]*0.15</f>
        <v>489.48040366036196</v>
      </c>
      <c r="Y185" s="1"/>
      <c r="AA185" s="44">
        <v>2222</v>
      </c>
      <c r="AB185" t="s">
        <v>206</v>
      </c>
      <c r="AC185" s="1">
        <v>0</v>
      </c>
      <c r="AD185" s="1">
        <v>0</v>
      </c>
      <c r="AE185" s="1">
        <v>0</v>
      </c>
      <c r="AF185" s="1">
        <v>0</v>
      </c>
      <c r="AG185" s="1">
        <v>0</v>
      </c>
      <c r="AH185" s="1">
        <v>0</v>
      </c>
      <c r="AI185" s="1">
        <v>0</v>
      </c>
      <c r="AJ185" s="1">
        <f>tblSection6191517[[#This Row],[Net Total]]*0.15</f>
        <v>0</v>
      </c>
      <c r="AK185" s="1"/>
      <c r="AM185" s="44"/>
      <c r="AN185" s="44">
        <v>2222</v>
      </c>
      <c r="AO185" t="s">
        <v>206</v>
      </c>
      <c r="AP185" s="247">
        <v>3263.2026910690797</v>
      </c>
      <c r="AQ185" s="247">
        <v>0</v>
      </c>
      <c r="AR185" s="247">
        <v>0</v>
      </c>
      <c r="AS185" s="247">
        <v>0</v>
      </c>
      <c r="AT185" s="247">
        <v>0</v>
      </c>
      <c r="AU185" s="247">
        <v>0</v>
      </c>
      <c r="AV185" s="247">
        <v>0</v>
      </c>
      <c r="AW185" s="247">
        <v>3263.2026910690797</v>
      </c>
      <c r="AX185" s="1">
        <f>tblSection61114[[#This Row],[Gross Total]]*0.15</f>
        <v>489.48040366036196</v>
      </c>
      <c r="AZ185" s="44">
        <v>2222</v>
      </c>
      <c r="BA185" t="s">
        <v>206</v>
      </c>
      <c r="BB185" s="247">
        <v>0</v>
      </c>
      <c r="BC185" s="247">
        <v>0</v>
      </c>
      <c r="BD185" s="247">
        <v>0</v>
      </c>
      <c r="BE185" s="247">
        <v>0</v>
      </c>
      <c r="BF185" s="247">
        <v>0</v>
      </c>
      <c r="BG185" s="247">
        <v>0</v>
      </c>
      <c r="BH185" s="247">
        <v>0</v>
      </c>
      <c r="BI185" s="1">
        <f>tblSection61915[[#This Row],[Gross Total]]*0.15</f>
        <v>0</v>
      </c>
      <c r="BJ185" s="44"/>
      <c r="BK185" s="246"/>
      <c r="BM185" s="44">
        <v>2222</v>
      </c>
      <c r="BN185" t="s">
        <v>206</v>
      </c>
      <c r="BO185" s="1">
        <v>2446</v>
      </c>
      <c r="BP185" s="1">
        <v>0</v>
      </c>
      <c r="BQ185" s="1">
        <v>0</v>
      </c>
      <c r="BR185" s="1">
        <v>0</v>
      </c>
      <c r="BS185" s="1">
        <v>0</v>
      </c>
      <c r="BT185" s="1">
        <v>0</v>
      </c>
      <c r="BU185" s="1">
        <f>SUM(tblSection611[[#This Row],[LEA/District]:[ECSE]])</f>
        <v>2446</v>
      </c>
      <c r="BV185" s="1">
        <f>tblSection611[[#This Row],[Gross Total]]*0.15</f>
        <v>366.9</v>
      </c>
      <c r="BW185" s="1"/>
      <c r="BY185" s="44">
        <v>2222</v>
      </c>
      <c r="BZ185" t="s">
        <v>206</v>
      </c>
      <c r="CA185" s="1">
        <v>11307</v>
      </c>
      <c r="CB185" s="1">
        <v>0</v>
      </c>
      <c r="CC185" s="1">
        <v>0</v>
      </c>
      <c r="CD185" s="1">
        <v>0</v>
      </c>
      <c r="CE185" s="1">
        <v>0</v>
      </c>
      <c r="CF185" s="1">
        <v>0</v>
      </c>
      <c r="CG185" s="1">
        <f>SUM(tblSection619[[#This Row],[LEA/District]:[ECSE]])</f>
        <v>11307</v>
      </c>
      <c r="CH185" s="1">
        <f>tblSection619[[#This Row],[Gross Total]]*0.15</f>
        <v>1696.05</v>
      </c>
    </row>
    <row r="186" spans="1:86" x14ac:dyDescent="0.35">
      <c r="A186" t="s">
        <v>207</v>
      </c>
      <c r="B186">
        <v>2210</v>
      </c>
      <c r="C186" t="s">
        <v>1528</v>
      </c>
      <c r="D186" s="44">
        <f>LEN(TblAgencies[[#This Row],[InstNm]])</f>
        <v>12</v>
      </c>
      <c r="E186" s="44" t="s">
        <v>1900</v>
      </c>
      <c r="F186" s="44" t="s">
        <v>1900</v>
      </c>
      <c r="G18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86" s="44"/>
      <c r="I186" s="44"/>
      <c r="J186" s="44"/>
      <c r="K186" s="44"/>
      <c r="M186" s="44"/>
      <c r="N186" s="44">
        <v>2210</v>
      </c>
      <c r="O186" t="s">
        <v>207</v>
      </c>
      <c r="P186" s="1">
        <v>6679.5980732072394</v>
      </c>
      <c r="Q186" s="1">
        <v>0</v>
      </c>
      <c r="R186" s="1">
        <v>0</v>
      </c>
      <c r="S186" s="1">
        <v>0</v>
      </c>
      <c r="T186" s="1">
        <v>0</v>
      </c>
      <c r="U186" s="1">
        <v>0</v>
      </c>
      <c r="V186" s="1">
        <v>0</v>
      </c>
      <c r="W186" s="1">
        <v>6679.5980732072394</v>
      </c>
      <c r="X186" s="1">
        <f>tblSection6111416[[#This Row],[Net Total]]*0.15</f>
        <v>1001.9397109810859</v>
      </c>
      <c r="Y186" s="1"/>
      <c r="AA186" s="44">
        <v>2210</v>
      </c>
      <c r="AB186" t="s">
        <v>207</v>
      </c>
      <c r="AC186" s="1">
        <v>0</v>
      </c>
      <c r="AD186" s="1">
        <v>0</v>
      </c>
      <c r="AE186" s="1">
        <v>0</v>
      </c>
      <c r="AF186" s="1">
        <v>0</v>
      </c>
      <c r="AG186" s="1">
        <v>0</v>
      </c>
      <c r="AH186" s="1">
        <v>0</v>
      </c>
      <c r="AI186" s="1">
        <v>0</v>
      </c>
      <c r="AJ186" s="1">
        <f>tblSection6191517[[#This Row],[Net Total]]*0.15</f>
        <v>0</v>
      </c>
      <c r="AK186" s="1"/>
      <c r="AM186" s="44"/>
      <c r="AN186" s="44">
        <v>2210</v>
      </c>
      <c r="AO186" t="s">
        <v>207</v>
      </c>
      <c r="AP186" s="247">
        <v>6679.5980732072394</v>
      </c>
      <c r="AQ186" s="247">
        <v>0</v>
      </c>
      <c r="AR186" s="247">
        <v>0</v>
      </c>
      <c r="AS186" s="247">
        <v>0</v>
      </c>
      <c r="AT186" s="247">
        <v>0</v>
      </c>
      <c r="AU186" s="247">
        <v>0</v>
      </c>
      <c r="AV186" s="247">
        <v>0</v>
      </c>
      <c r="AW186" s="247">
        <v>6679.5980732072394</v>
      </c>
      <c r="AX186" s="1">
        <f>tblSection61114[[#This Row],[Gross Total]]*0.15</f>
        <v>1001.9397109810859</v>
      </c>
      <c r="AZ186" s="44">
        <v>2210</v>
      </c>
      <c r="BA186" t="s">
        <v>207</v>
      </c>
      <c r="BB186" s="247">
        <v>0</v>
      </c>
      <c r="BC186" s="247">
        <v>0</v>
      </c>
      <c r="BD186" s="247">
        <v>0</v>
      </c>
      <c r="BE186" s="247">
        <v>0</v>
      </c>
      <c r="BF186" s="247">
        <v>0</v>
      </c>
      <c r="BG186" s="247">
        <v>0</v>
      </c>
      <c r="BH186" s="247">
        <v>0</v>
      </c>
      <c r="BI186" s="1">
        <f>tblSection61915[[#This Row],[Gross Total]]*0.15</f>
        <v>0</v>
      </c>
      <c r="BJ186" s="44"/>
      <c r="BK186" s="246"/>
      <c r="BM186" s="44">
        <v>2210</v>
      </c>
      <c r="BN186" t="s">
        <v>207</v>
      </c>
      <c r="BO186" s="1">
        <v>7092</v>
      </c>
      <c r="BP186" s="1">
        <v>0</v>
      </c>
      <c r="BQ186" s="1">
        <v>0</v>
      </c>
      <c r="BR186" s="1">
        <v>0</v>
      </c>
      <c r="BS186" s="1">
        <v>0</v>
      </c>
      <c r="BT186" s="1">
        <v>0</v>
      </c>
      <c r="BU186" s="1">
        <f>SUM(tblSection611[[#This Row],[LEA/District]:[ECSE]])</f>
        <v>7092</v>
      </c>
      <c r="BV186" s="1">
        <f>tblSection611[[#This Row],[Gross Total]]*0.15</f>
        <v>1063.8</v>
      </c>
      <c r="BW186" s="1"/>
      <c r="BY186" s="44">
        <v>2210</v>
      </c>
      <c r="BZ186" t="s">
        <v>207</v>
      </c>
      <c r="CA186" s="1">
        <v>22184</v>
      </c>
      <c r="CB186" s="1">
        <v>0</v>
      </c>
      <c r="CC186" s="1">
        <v>0</v>
      </c>
      <c r="CD186" s="1">
        <v>0</v>
      </c>
      <c r="CE186" s="1">
        <v>0</v>
      </c>
      <c r="CF186" s="1">
        <v>0</v>
      </c>
      <c r="CG186" s="1">
        <f>SUM(tblSection619[[#This Row],[LEA/District]:[ECSE]])</f>
        <v>22184</v>
      </c>
      <c r="CH186" s="1">
        <f>tblSection619[[#This Row],[Gross Total]]*0.15</f>
        <v>3327.6</v>
      </c>
    </row>
    <row r="187" spans="1:86" x14ac:dyDescent="0.35">
      <c r="A187" t="s">
        <v>208</v>
      </c>
      <c r="B187">
        <v>2204</v>
      </c>
      <c r="C187" t="s">
        <v>1528</v>
      </c>
      <c r="D187" s="44">
        <f>LEN(TblAgencies[[#This Row],[InstNm]])</f>
        <v>14</v>
      </c>
      <c r="E187" s="44" t="s">
        <v>1900</v>
      </c>
      <c r="F187" s="44" t="s">
        <v>1900</v>
      </c>
      <c r="G18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87" s="44"/>
      <c r="I187" s="44"/>
      <c r="J187" s="44"/>
      <c r="K187" s="44"/>
      <c r="M187" s="44"/>
      <c r="N187" s="44">
        <v>2204</v>
      </c>
      <c r="O187" t="s">
        <v>208</v>
      </c>
      <c r="P187" s="1">
        <v>183775.81509794417</v>
      </c>
      <c r="Q187" s="1">
        <v>46343.466416003306</v>
      </c>
      <c r="R187" s="1">
        <v>0</v>
      </c>
      <c r="S187" s="1">
        <v>0</v>
      </c>
      <c r="T187" s="1">
        <v>0</v>
      </c>
      <c r="U187" s="1">
        <v>0</v>
      </c>
      <c r="V187" s="1">
        <v>25568.809057105278</v>
      </c>
      <c r="W187" s="1">
        <v>183775.81509794417</v>
      </c>
      <c r="X187" s="1">
        <f>tblSection6111416[[#This Row],[Net Total]]*0.15</f>
        <v>27566.372264691625</v>
      </c>
      <c r="Y187" s="1"/>
      <c r="AA187" s="44">
        <v>2204</v>
      </c>
      <c r="AB187" t="s">
        <v>208</v>
      </c>
      <c r="AC187" s="1">
        <v>3199.2115026604479</v>
      </c>
      <c r="AD187" s="1">
        <v>228.5151073328891</v>
      </c>
      <c r="AE187" s="1">
        <v>0</v>
      </c>
      <c r="AF187" s="1">
        <v>0</v>
      </c>
      <c r="AG187" s="1">
        <v>0</v>
      </c>
      <c r="AH187" s="1">
        <v>3656.2417173262256</v>
      </c>
      <c r="AI187" s="1">
        <v>3199.2115026604479</v>
      </c>
      <c r="AJ187" s="1">
        <f>tblSection6191517[[#This Row],[Net Total]]*0.15</f>
        <v>479.88172539906714</v>
      </c>
      <c r="AK187" s="1"/>
      <c r="AM187" s="44"/>
      <c r="AN187" s="44">
        <v>2204</v>
      </c>
      <c r="AO187" t="s">
        <v>208</v>
      </c>
      <c r="AP187" s="247">
        <v>183775.81509794417</v>
      </c>
      <c r="AQ187" s="247">
        <v>46343.466416003306</v>
      </c>
      <c r="AR187" s="247">
        <v>0</v>
      </c>
      <c r="AS187" s="247">
        <v>0</v>
      </c>
      <c r="AT187" s="247">
        <v>0</v>
      </c>
      <c r="AU187" s="247">
        <v>0</v>
      </c>
      <c r="AV187" s="247">
        <v>25568.809057105278</v>
      </c>
      <c r="AW187" s="247">
        <v>255688.09057105274</v>
      </c>
      <c r="AX187" s="1">
        <f>tblSection61114[[#This Row],[Gross Total]]*0.15</f>
        <v>38353.213585657912</v>
      </c>
      <c r="AZ187" s="44">
        <v>2204</v>
      </c>
      <c r="BA187" t="s">
        <v>208</v>
      </c>
      <c r="BB187" s="247">
        <v>3199.2115026604479</v>
      </c>
      <c r="BC187" s="247">
        <v>228.5151073328891</v>
      </c>
      <c r="BD187" s="247">
        <v>0</v>
      </c>
      <c r="BE187" s="247">
        <v>0</v>
      </c>
      <c r="BF187" s="247">
        <v>0</v>
      </c>
      <c r="BG187" s="247">
        <v>3656.2417173262256</v>
      </c>
      <c r="BH187" s="247">
        <v>7083.9683273195624</v>
      </c>
      <c r="BI187" s="1">
        <f>tblSection61915[[#This Row],[Gross Total]]*0.15</f>
        <v>1062.5952490979344</v>
      </c>
      <c r="BJ187" s="44"/>
      <c r="BK187" s="246"/>
      <c r="BM187" s="44">
        <v>2204</v>
      </c>
      <c r="BN187" t="s">
        <v>208</v>
      </c>
      <c r="BO187" s="1">
        <v>202850</v>
      </c>
      <c r="BP187" s="1">
        <v>47441</v>
      </c>
      <c r="BQ187" s="1">
        <v>0</v>
      </c>
      <c r="BR187" s="1">
        <v>0</v>
      </c>
      <c r="BS187" s="1">
        <v>0</v>
      </c>
      <c r="BT187" s="1">
        <v>35990</v>
      </c>
      <c r="BU187" s="1">
        <f>SUM(tblSection611[[#This Row],[LEA/District]:[ECSE]])</f>
        <v>286281</v>
      </c>
      <c r="BV187" s="1">
        <f>tblSection611[[#This Row],[Gross Total]]*0.15</f>
        <v>42942.15</v>
      </c>
      <c r="BW187" s="1"/>
      <c r="BY187" s="44">
        <v>2204</v>
      </c>
      <c r="BZ187" t="s">
        <v>208</v>
      </c>
      <c r="CA187" s="1">
        <v>1997</v>
      </c>
      <c r="CB187" s="1">
        <v>0</v>
      </c>
      <c r="CC187" s="1">
        <v>0</v>
      </c>
      <c r="CD187" s="1">
        <v>0</v>
      </c>
      <c r="CE187" s="1">
        <v>0</v>
      </c>
      <c r="CF187" s="1">
        <v>4394</v>
      </c>
      <c r="CG187" s="1">
        <f>SUM(tblSection619[[#This Row],[LEA/District]:[ECSE]])</f>
        <v>6391</v>
      </c>
      <c r="CH187" s="1">
        <f>tblSection619[[#This Row],[Gross Total]]*0.15</f>
        <v>958.65</v>
      </c>
    </row>
    <row r="188" spans="1:86" x14ac:dyDescent="0.35">
      <c r="A188" t="s">
        <v>209</v>
      </c>
      <c r="B188">
        <v>2213</v>
      </c>
      <c r="C188" t="s">
        <v>1528</v>
      </c>
      <c r="D188" s="44">
        <f>LEN(TblAgencies[[#This Row],[InstNm]])</f>
        <v>10</v>
      </c>
      <c r="E188" s="44" t="s">
        <v>1900</v>
      </c>
      <c r="F188" s="44" t="s">
        <v>1900</v>
      </c>
      <c r="G18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88" s="44"/>
      <c r="I188" s="44"/>
      <c r="J188" s="44"/>
      <c r="K188" s="44"/>
      <c r="M188" s="44"/>
      <c r="N188" s="44">
        <v>2213</v>
      </c>
      <c r="O188" t="s">
        <v>209</v>
      </c>
      <c r="P188" s="1">
        <v>96382.363015937532</v>
      </c>
      <c r="Q188" s="1">
        <v>3381.8372988048259</v>
      </c>
      <c r="R188" s="1">
        <v>0</v>
      </c>
      <c r="S188" s="1">
        <v>0</v>
      </c>
      <c r="T188" s="1">
        <v>0</v>
      </c>
      <c r="U188" s="1">
        <v>0</v>
      </c>
      <c r="V188" s="1">
        <v>8454.5932470120642</v>
      </c>
      <c r="W188" s="1">
        <v>96382.363015937532</v>
      </c>
      <c r="X188" s="1">
        <f>tblSection6111416[[#This Row],[Net Total]]*0.15</f>
        <v>14457.354452390629</v>
      </c>
      <c r="Y188" s="1"/>
      <c r="AA188" s="44">
        <v>2213</v>
      </c>
      <c r="AB188" t="s">
        <v>209</v>
      </c>
      <c r="AC188" s="1">
        <v>121.73620083000051</v>
      </c>
      <c r="AD188" s="1">
        <v>0</v>
      </c>
      <c r="AE188" s="1">
        <v>0</v>
      </c>
      <c r="AF188" s="1">
        <v>0</v>
      </c>
      <c r="AG188" s="1">
        <v>0</v>
      </c>
      <c r="AH188" s="1">
        <v>608.68100415000265</v>
      </c>
      <c r="AI188" s="1">
        <v>121.73620083000048</v>
      </c>
      <c r="AJ188" s="1">
        <f>tblSection6191517[[#This Row],[Net Total]]*0.15</f>
        <v>18.260430124500072</v>
      </c>
      <c r="AK188" s="1"/>
      <c r="AM188" s="44"/>
      <c r="AN188" s="44">
        <v>2213</v>
      </c>
      <c r="AO188" t="s">
        <v>209</v>
      </c>
      <c r="AP188" s="247">
        <v>96382.363015937532</v>
      </c>
      <c r="AQ188" s="247">
        <v>3381.8372988048259</v>
      </c>
      <c r="AR188" s="247">
        <v>0</v>
      </c>
      <c r="AS188" s="247">
        <v>0</v>
      </c>
      <c r="AT188" s="247">
        <v>0</v>
      </c>
      <c r="AU188" s="247">
        <v>0</v>
      </c>
      <c r="AV188" s="247">
        <v>8454.5932470120642</v>
      </c>
      <c r="AW188" s="247">
        <v>108218.79356175441</v>
      </c>
      <c r="AX188" s="1">
        <f>tblSection61114[[#This Row],[Gross Total]]*0.15</f>
        <v>16232.819034263161</v>
      </c>
      <c r="AZ188" s="44">
        <v>2213</v>
      </c>
      <c r="BA188" t="s">
        <v>209</v>
      </c>
      <c r="BB188" s="247">
        <v>121.73620083000051</v>
      </c>
      <c r="BC188" s="247">
        <v>0</v>
      </c>
      <c r="BD188" s="247">
        <v>0</v>
      </c>
      <c r="BE188" s="247">
        <v>0</v>
      </c>
      <c r="BF188" s="247">
        <v>0</v>
      </c>
      <c r="BG188" s="247">
        <v>608.68100415000265</v>
      </c>
      <c r="BH188" s="247">
        <v>730.41720498000313</v>
      </c>
      <c r="BI188" s="1">
        <f>tblSection61915[[#This Row],[Gross Total]]*0.15</f>
        <v>109.56258074700047</v>
      </c>
      <c r="BJ188" s="44"/>
      <c r="BK188" s="246"/>
      <c r="BM188" s="44">
        <v>2213</v>
      </c>
      <c r="BN188" t="s">
        <v>209</v>
      </c>
      <c r="BO188" s="1">
        <v>78441</v>
      </c>
      <c r="BP188" s="1">
        <v>3017</v>
      </c>
      <c r="BQ188" s="1">
        <v>0</v>
      </c>
      <c r="BR188" s="1">
        <v>0</v>
      </c>
      <c r="BS188" s="1">
        <v>0</v>
      </c>
      <c r="BT188" s="1">
        <v>4525</v>
      </c>
      <c r="BU188" s="1">
        <f>SUM(tblSection611[[#This Row],[LEA/District]:[ECSE]])</f>
        <v>85983</v>
      </c>
      <c r="BV188" s="1">
        <f>tblSection611[[#This Row],[Gross Total]]*0.15</f>
        <v>12897.449999999999</v>
      </c>
      <c r="BW188" s="1"/>
      <c r="BY188" s="44">
        <v>2213</v>
      </c>
      <c r="BZ188" t="s">
        <v>209</v>
      </c>
      <c r="CA188" s="1">
        <v>268</v>
      </c>
      <c r="CB188" s="1">
        <v>0</v>
      </c>
      <c r="CC188" s="1">
        <v>0</v>
      </c>
      <c r="CD188" s="1">
        <v>0</v>
      </c>
      <c r="CE188" s="1">
        <v>0</v>
      </c>
      <c r="CF188" s="1">
        <v>402</v>
      </c>
      <c r="CG188" s="1">
        <f>SUM(tblSection619[[#This Row],[LEA/District]:[ECSE]])</f>
        <v>670</v>
      </c>
      <c r="CH188" s="1">
        <f>tblSection619[[#This Row],[Gross Total]]*0.15</f>
        <v>100.5</v>
      </c>
    </row>
    <row r="189" spans="1:86" x14ac:dyDescent="0.35">
      <c r="A189" t="s">
        <v>210</v>
      </c>
      <c r="B189">
        <v>2116</v>
      </c>
      <c r="C189" t="s">
        <v>1528</v>
      </c>
      <c r="D189" s="44">
        <f>LEN(TblAgencies[[#This Row],[InstNm]])</f>
        <v>10</v>
      </c>
      <c r="E189" s="44" t="s">
        <v>1900</v>
      </c>
      <c r="F189" s="44" t="s">
        <v>1900</v>
      </c>
      <c r="G18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89" s="44"/>
      <c r="I189" s="44"/>
      <c r="J189" s="44"/>
      <c r="K189" s="44"/>
      <c r="M189" s="44"/>
      <c r="N189" s="44">
        <v>2116</v>
      </c>
      <c r="O189" t="s">
        <v>210</v>
      </c>
      <c r="P189" s="1">
        <v>209525.54425477135</v>
      </c>
      <c r="Q189" s="1">
        <v>1624.2290252307855</v>
      </c>
      <c r="R189" s="1">
        <v>0</v>
      </c>
      <c r="S189" s="1">
        <v>0</v>
      </c>
      <c r="T189" s="1">
        <v>0</v>
      </c>
      <c r="U189" s="1">
        <v>0</v>
      </c>
      <c r="V189" s="1">
        <v>21114.977328000212</v>
      </c>
      <c r="W189" s="1">
        <v>209525.54425477132</v>
      </c>
      <c r="X189" s="1">
        <f>tblSection6111416[[#This Row],[Net Total]]*0.15</f>
        <v>31428.831638215695</v>
      </c>
      <c r="Y189" s="1"/>
      <c r="AA189" s="44">
        <v>2116</v>
      </c>
      <c r="AB189" t="s">
        <v>210</v>
      </c>
      <c r="AC189" s="1">
        <v>1161.6819381003947</v>
      </c>
      <c r="AD189" s="1">
        <v>0</v>
      </c>
      <c r="AE189" s="1">
        <v>0</v>
      </c>
      <c r="AF189" s="1">
        <v>0</v>
      </c>
      <c r="AG189" s="1">
        <v>0</v>
      </c>
      <c r="AH189" s="1">
        <v>1677.9850217005703</v>
      </c>
      <c r="AI189" s="1">
        <v>1161.6819381003945</v>
      </c>
      <c r="AJ189" s="1">
        <f>tblSection6191517[[#This Row],[Net Total]]*0.15</f>
        <v>174.25229071505916</v>
      </c>
      <c r="AK189" s="1"/>
      <c r="AM189" s="44"/>
      <c r="AN189" s="44">
        <v>2116</v>
      </c>
      <c r="AO189" t="s">
        <v>210</v>
      </c>
      <c r="AP189" s="247">
        <v>209525.54425477135</v>
      </c>
      <c r="AQ189" s="247">
        <v>1624.2290252307855</v>
      </c>
      <c r="AR189" s="247">
        <v>0</v>
      </c>
      <c r="AS189" s="247">
        <v>0</v>
      </c>
      <c r="AT189" s="247">
        <v>0</v>
      </c>
      <c r="AU189" s="247">
        <v>0</v>
      </c>
      <c r="AV189" s="247">
        <v>21114.977328000212</v>
      </c>
      <c r="AW189" s="247">
        <v>232264.75060800233</v>
      </c>
      <c r="AX189" s="1">
        <f>tblSection61114[[#This Row],[Gross Total]]*0.15</f>
        <v>34839.712591200347</v>
      </c>
      <c r="AZ189" s="44">
        <v>2116</v>
      </c>
      <c r="BA189" t="s">
        <v>210</v>
      </c>
      <c r="BB189" s="247">
        <v>1161.6819381003947</v>
      </c>
      <c r="BC189" s="247">
        <v>0</v>
      </c>
      <c r="BD189" s="247">
        <v>0</v>
      </c>
      <c r="BE189" s="247">
        <v>0</v>
      </c>
      <c r="BF189" s="247">
        <v>0</v>
      </c>
      <c r="BG189" s="247">
        <v>1677.9850217005703</v>
      </c>
      <c r="BH189" s="247">
        <v>2839.6669598009648</v>
      </c>
      <c r="BI189" s="1">
        <f>tblSection61915[[#This Row],[Gross Total]]*0.15</f>
        <v>425.95004397014469</v>
      </c>
      <c r="BJ189" s="44"/>
      <c r="BK189" s="246"/>
      <c r="BM189" s="44">
        <v>2116</v>
      </c>
      <c r="BN189" t="s">
        <v>210</v>
      </c>
      <c r="BO189" s="1">
        <v>163391</v>
      </c>
      <c r="BP189" s="1">
        <v>7104</v>
      </c>
      <c r="BQ189" s="1">
        <v>0</v>
      </c>
      <c r="BR189" s="1">
        <v>0</v>
      </c>
      <c r="BS189" s="1">
        <v>0</v>
      </c>
      <c r="BT189" s="1">
        <v>24864</v>
      </c>
      <c r="BU189" s="1">
        <f>SUM(tblSection611[[#This Row],[LEA/District]:[ECSE]])</f>
        <v>195359</v>
      </c>
      <c r="BV189" s="1">
        <f>tblSection611[[#This Row],[Gross Total]]*0.15</f>
        <v>29303.85</v>
      </c>
      <c r="BW189" s="1"/>
      <c r="BY189" s="44">
        <v>2116</v>
      </c>
      <c r="BZ189" t="s">
        <v>210</v>
      </c>
      <c r="CA189" s="1">
        <v>417</v>
      </c>
      <c r="CB189" s="1">
        <v>0</v>
      </c>
      <c r="CC189" s="1">
        <v>0</v>
      </c>
      <c r="CD189" s="1">
        <v>0</v>
      </c>
      <c r="CE189" s="1">
        <v>0</v>
      </c>
      <c r="CF189" s="1">
        <v>1944</v>
      </c>
      <c r="CG189" s="1">
        <f>SUM(tblSection619[[#This Row],[LEA/District]:[ECSE]])</f>
        <v>2361</v>
      </c>
      <c r="CH189" s="1">
        <f>tblSection619[[#This Row],[Gross Total]]*0.15</f>
        <v>354.15</v>
      </c>
    </row>
    <row r="190" spans="1:86" x14ac:dyDescent="0.35">
      <c r="A190" t="s">
        <v>211</v>
      </c>
      <c r="B190">
        <v>1947</v>
      </c>
      <c r="C190" t="s">
        <v>1528</v>
      </c>
      <c r="D190" s="44">
        <f>LEN(TblAgencies[[#This Row],[InstNm]])</f>
        <v>15</v>
      </c>
      <c r="E190" s="44" t="s">
        <v>1900</v>
      </c>
      <c r="F190" s="44" t="s">
        <v>1900</v>
      </c>
      <c r="G19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90" s="44"/>
      <c r="I190" s="44"/>
      <c r="J190" s="44"/>
      <c r="K190" s="44"/>
      <c r="M190" s="44"/>
      <c r="N190" s="44">
        <v>1947</v>
      </c>
      <c r="O190" t="s">
        <v>211</v>
      </c>
      <c r="P190" s="1">
        <v>126439.9070808292</v>
      </c>
      <c r="Q190" s="1">
        <v>21397.522736755713</v>
      </c>
      <c r="R190" s="1">
        <v>0</v>
      </c>
      <c r="S190" s="1">
        <v>0</v>
      </c>
      <c r="T190" s="1">
        <v>0</v>
      </c>
      <c r="U190" s="1">
        <v>0</v>
      </c>
      <c r="V190" s="1">
        <v>7780.9173588202593</v>
      </c>
      <c r="W190" s="1">
        <v>126439.90708082923</v>
      </c>
      <c r="X190" s="1">
        <f>tblSection6111416[[#This Row],[Net Total]]*0.15</f>
        <v>18965.986062124382</v>
      </c>
      <c r="Y190" s="1"/>
      <c r="AA190" s="44">
        <v>1947</v>
      </c>
      <c r="AB190" t="s">
        <v>211</v>
      </c>
      <c r="AC190" s="1">
        <v>0</v>
      </c>
      <c r="AD190" s="1">
        <v>0</v>
      </c>
      <c r="AE190" s="1">
        <v>0</v>
      </c>
      <c r="AF190" s="1">
        <v>0</v>
      </c>
      <c r="AG190" s="1">
        <v>0</v>
      </c>
      <c r="AH190" s="1">
        <v>5492.5315910895588</v>
      </c>
      <c r="AI190" s="1">
        <v>0</v>
      </c>
      <c r="AJ190" s="1">
        <f>tblSection6191517[[#This Row],[Net Total]]*0.15</f>
        <v>0</v>
      </c>
      <c r="AK190" s="1"/>
      <c r="AM190" s="44"/>
      <c r="AN190" s="44">
        <v>1947</v>
      </c>
      <c r="AO190" t="s">
        <v>211</v>
      </c>
      <c r="AP190" s="247">
        <v>126439.9070808292</v>
      </c>
      <c r="AQ190" s="247">
        <v>21397.522736755713</v>
      </c>
      <c r="AR190" s="247">
        <v>0</v>
      </c>
      <c r="AS190" s="247">
        <v>0</v>
      </c>
      <c r="AT190" s="247">
        <v>0</v>
      </c>
      <c r="AU190" s="247">
        <v>0</v>
      </c>
      <c r="AV190" s="247">
        <v>7780.9173588202593</v>
      </c>
      <c r="AW190" s="247">
        <v>155618.34717640519</v>
      </c>
      <c r="AX190" s="1">
        <f>tblSection61114[[#This Row],[Gross Total]]*0.15</f>
        <v>23342.75207646078</v>
      </c>
      <c r="AZ190" s="44">
        <v>1947</v>
      </c>
      <c r="BA190" t="s">
        <v>211</v>
      </c>
      <c r="BB190" s="247">
        <v>0</v>
      </c>
      <c r="BC190" s="247">
        <v>0</v>
      </c>
      <c r="BD190" s="247">
        <v>0</v>
      </c>
      <c r="BE190" s="247">
        <v>0</v>
      </c>
      <c r="BF190" s="247">
        <v>0</v>
      </c>
      <c r="BG190" s="247">
        <v>5492.5315910895588</v>
      </c>
      <c r="BH190" s="247">
        <v>5492.5315910895588</v>
      </c>
      <c r="BI190" s="1">
        <f>tblSection61915[[#This Row],[Gross Total]]*0.15</f>
        <v>823.87973866343384</v>
      </c>
      <c r="BJ190" s="44"/>
      <c r="BK190" s="246"/>
      <c r="BM190" s="44">
        <v>1947</v>
      </c>
      <c r="BN190" t="s">
        <v>211</v>
      </c>
      <c r="BO190" s="1">
        <v>114985</v>
      </c>
      <c r="BP190" s="1">
        <v>18454</v>
      </c>
      <c r="BQ190" s="1">
        <v>0</v>
      </c>
      <c r="BR190" s="1">
        <v>0</v>
      </c>
      <c r="BS190" s="1">
        <v>0</v>
      </c>
      <c r="BT190" s="1">
        <v>5678</v>
      </c>
      <c r="BU190" s="1">
        <f>SUM(tblSection611[[#This Row],[LEA/District]:[ECSE]])</f>
        <v>139117</v>
      </c>
      <c r="BV190" s="1">
        <f>tblSection611[[#This Row],[Gross Total]]*0.15</f>
        <v>20867.55</v>
      </c>
      <c r="BW190" s="1"/>
      <c r="BY190" s="44">
        <v>1947</v>
      </c>
      <c r="BZ190" t="s">
        <v>211</v>
      </c>
      <c r="CA190" s="1">
        <v>3424</v>
      </c>
      <c r="CB190" s="1">
        <v>0</v>
      </c>
      <c r="CC190" s="1">
        <v>0</v>
      </c>
      <c r="CD190" s="1">
        <v>0</v>
      </c>
      <c r="CE190" s="1">
        <v>0</v>
      </c>
      <c r="CF190" s="1">
        <v>1957</v>
      </c>
      <c r="CG190" s="1">
        <f>SUM(tblSection619[[#This Row],[LEA/District]:[ECSE]])</f>
        <v>5381</v>
      </c>
      <c r="CH190" s="1">
        <f>tblSection619[[#This Row],[Gross Total]]*0.15</f>
        <v>807.15</v>
      </c>
    </row>
    <row r="191" spans="1:86" x14ac:dyDescent="0.35">
      <c r="A191" t="s">
        <v>212</v>
      </c>
      <c r="B191">
        <v>2220</v>
      </c>
      <c r="C191" t="s">
        <v>1528</v>
      </c>
      <c r="D191" s="44">
        <f>LEN(TblAgencies[[#This Row],[InstNm]])</f>
        <v>13</v>
      </c>
      <c r="E191" s="44" t="s">
        <v>1900</v>
      </c>
      <c r="F191" s="44" t="s">
        <v>1900</v>
      </c>
      <c r="G19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91" s="44"/>
      <c r="I191" s="44"/>
      <c r="J191" s="44"/>
      <c r="K191" s="44"/>
      <c r="M191" s="44"/>
      <c r="N191" s="44">
        <v>2220</v>
      </c>
      <c r="O191" t="s">
        <v>212</v>
      </c>
      <c r="P191" s="1">
        <v>66324.698913890563</v>
      </c>
      <c r="Q191" s="1">
        <v>0</v>
      </c>
      <c r="R191" s="1">
        <v>0</v>
      </c>
      <c r="S191" s="1">
        <v>0</v>
      </c>
      <c r="T191" s="1">
        <v>0</v>
      </c>
      <c r="U191" s="1">
        <v>0</v>
      </c>
      <c r="V191" s="1">
        <v>6632.469891389057</v>
      </c>
      <c r="W191" s="1">
        <v>66324.698913890563</v>
      </c>
      <c r="X191" s="1">
        <f>tblSection6111416[[#This Row],[Net Total]]*0.15</f>
        <v>9948.7048370835837</v>
      </c>
      <c r="Y191" s="1"/>
      <c r="AA191" s="44">
        <v>2220</v>
      </c>
      <c r="AB191" t="s">
        <v>212</v>
      </c>
      <c r="AC191" s="1">
        <v>857.06045951562407</v>
      </c>
      <c r="AD191" s="1">
        <v>0</v>
      </c>
      <c r="AE191" s="1">
        <v>0</v>
      </c>
      <c r="AF191" s="1">
        <v>0</v>
      </c>
      <c r="AG191" s="1">
        <v>0</v>
      </c>
      <c r="AH191" s="1">
        <v>1285.5906892734361</v>
      </c>
      <c r="AI191" s="1">
        <v>857.06045951562419</v>
      </c>
      <c r="AJ191" s="1">
        <f>tblSection6191517[[#This Row],[Net Total]]*0.15</f>
        <v>128.55906892734362</v>
      </c>
      <c r="AK191" s="1"/>
      <c r="AM191" s="44"/>
      <c r="AN191" s="44">
        <v>2220</v>
      </c>
      <c r="AO191" t="s">
        <v>212</v>
      </c>
      <c r="AP191" s="247">
        <v>66324.698913890563</v>
      </c>
      <c r="AQ191" s="247">
        <v>0</v>
      </c>
      <c r="AR191" s="247">
        <v>0</v>
      </c>
      <c r="AS191" s="247">
        <v>0</v>
      </c>
      <c r="AT191" s="247">
        <v>0</v>
      </c>
      <c r="AU191" s="247">
        <v>0</v>
      </c>
      <c r="AV191" s="247">
        <v>6632.469891389057</v>
      </c>
      <c r="AW191" s="247">
        <v>72957.168805279623</v>
      </c>
      <c r="AX191" s="1">
        <f>tblSection61114[[#This Row],[Gross Total]]*0.15</f>
        <v>10943.575320791942</v>
      </c>
      <c r="AZ191" s="44">
        <v>2220</v>
      </c>
      <c r="BA191" t="s">
        <v>212</v>
      </c>
      <c r="BB191" s="247">
        <v>857.06045951562407</v>
      </c>
      <c r="BC191" s="247">
        <v>0</v>
      </c>
      <c r="BD191" s="247">
        <v>0</v>
      </c>
      <c r="BE191" s="247">
        <v>0</v>
      </c>
      <c r="BF191" s="247">
        <v>0</v>
      </c>
      <c r="BG191" s="247">
        <v>1285.5906892734361</v>
      </c>
      <c r="BH191" s="247">
        <v>2142.6511487890602</v>
      </c>
      <c r="BI191" s="1">
        <f>tblSection61915[[#This Row],[Gross Total]]*0.15</f>
        <v>321.39767231835901</v>
      </c>
      <c r="BJ191" s="44"/>
      <c r="BK191" s="246"/>
      <c r="BM191" s="44">
        <v>2220</v>
      </c>
      <c r="BN191" t="s">
        <v>212</v>
      </c>
      <c r="BO191" s="1">
        <v>55707</v>
      </c>
      <c r="BP191" s="1">
        <v>0</v>
      </c>
      <c r="BQ191" s="1">
        <v>0</v>
      </c>
      <c r="BR191" s="1">
        <v>0</v>
      </c>
      <c r="BS191" s="1">
        <v>0</v>
      </c>
      <c r="BT191" s="1">
        <v>5763</v>
      </c>
      <c r="BU191" s="1">
        <f>SUM(tblSection611[[#This Row],[LEA/District]:[ECSE]])</f>
        <v>61470</v>
      </c>
      <c r="BV191" s="1">
        <f>tblSection611[[#This Row],[Gross Total]]*0.15</f>
        <v>9220.5</v>
      </c>
      <c r="BW191" s="1"/>
      <c r="BY191" s="44">
        <v>2220</v>
      </c>
      <c r="BZ191" t="s">
        <v>212</v>
      </c>
      <c r="CA191" s="1">
        <v>488</v>
      </c>
      <c r="CB191" s="1">
        <v>0</v>
      </c>
      <c r="CC191" s="1">
        <v>0</v>
      </c>
      <c r="CD191" s="1">
        <v>0</v>
      </c>
      <c r="CE191" s="1">
        <v>0</v>
      </c>
      <c r="CF191" s="1">
        <v>1465</v>
      </c>
      <c r="CG191" s="1">
        <f>SUM(tblSection619[[#This Row],[LEA/District]:[ECSE]])</f>
        <v>1953</v>
      </c>
      <c r="CH191" s="1">
        <f>tblSection619[[#This Row],[Gross Total]]*0.15</f>
        <v>292.95</v>
      </c>
    </row>
    <row r="192" spans="1:86" x14ac:dyDescent="0.35">
      <c r="A192" t="s">
        <v>213</v>
      </c>
      <c r="B192">
        <v>1936</v>
      </c>
      <c r="C192" t="s">
        <v>1528</v>
      </c>
      <c r="D192" s="44">
        <f>LEN(TblAgencies[[#This Row],[InstNm]])</f>
        <v>23</v>
      </c>
      <c r="E192" s="44" t="s">
        <v>1900</v>
      </c>
      <c r="F192" s="44" t="s">
        <v>1900</v>
      </c>
      <c r="G19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92" s="44"/>
      <c r="I192" s="44"/>
      <c r="J192" s="44"/>
      <c r="K192" s="44"/>
      <c r="M192" s="44"/>
      <c r="N192" s="44">
        <v>1936</v>
      </c>
      <c r="O192" t="s">
        <v>213</v>
      </c>
      <c r="P192" s="1">
        <v>192931.24328069872</v>
      </c>
      <c r="Q192" s="1">
        <v>40531.773798466122</v>
      </c>
      <c r="R192" s="1">
        <v>0</v>
      </c>
      <c r="S192" s="1">
        <v>0</v>
      </c>
      <c r="T192" s="1">
        <v>0</v>
      </c>
      <c r="U192" s="1">
        <v>0</v>
      </c>
      <c r="V192" s="1">
        <v>29182.877134895611</v>
      </c>
      <c r="W192" s="1">
        <v>192931.24328069872</v>
      </c>
      <c r="X192" s="1">
        <f>tblSection6111416[[#This Row],[Net Total]]*0.15</f>
        <v>28939.686492104807</v>
      </c>
      <c r="Y192" s="1"/>
      <c r="AA192" s="44">
        <v>1936</v>
      </c>
      <c r="AB192" t="s">
        <v>213</v>
      </c>
      <c r="AC192" s="1">
        <v>971.35642794286241</v>
      </c>
      <c r="AD192" s="1">
        <v>728.51732095714692</v>
      </c>
      <c r="AE192" s="1">
        <v>0</v>
      </c>
      <c r="AF192" s="1">
        <v>0</v>
      </c>
      <c r="AG192" s="1">
        <v>0</v>
      </c>
      <c r="AH192" s="1">
        <v>4371.1039257428811</v>
      </c>
      <c r="AI192" s="1">
        <v>971.35642794286287</v>
      </c>
      <c r="AJ192" s="1">
        <f>tblSection6191517[[#This Row],[Net Total]]*0.15</f>
        <v>145.70346419142942</v>
      </c>
      <c r="AK192" s="1"/>
      <c r="AM192" s="44"/>
      <c r="AN192" s="44">
        <v>1936</v>
      </c>
      <c r="AO192" t="s">
        <v>213</v>
      </c>
      <c r="AP192" s="247">
        <v>192931.24328069872</v>
      </c>
      <c r="AQ192" s="247">
        <v>40531.773798466122</v>
      </c>
      <c r="AR192" s="247">
        <v>0</v>
      </c>
      <c r="AS192" s="247">
        <v>0</v>
      </c>
      <c r="AT192" s="247">
        <v>0</v>
      </c>
      <c r="AU192" s="247">
        <v>0</v>
      </c>
      <c r="AV192" s="247">
        <v>27561.606182956966</v>
      </c>
      <c r="AW192" s="247">
        <v>261024.62326212181</v>
      </c>
      <c r="AX192" s="1">
        <f>tblSection61114[[#This Row],[Gross Total]]*0.15</f>
        <v>39153.69348931827</v>
      </c>
      <c r="AZ192" s="44">
        <v>1936</v>
      </c>
      <c r="BA192" t="s">
        <v>213</v>
      </c>
      <c r="BB192" s="247">
        <v>971.35642794286241</v>
      </c>
      <c r="BC192" s="247">
        <v>728.51732095714692</v>
      </c>
      <c r="BD192" s="247">
        <v>0</v>
      </c>
      <c r="BE192" s="247">
        <v>0</v>
      </c>
      <c r="BF192" s="247">
        <v>0</v>
      </c>
      <c r="BG192" s="247">
        <v>4128.2648187571658</v>
      </c>
      <c r="BH192" s="247">
        <v>5828.1385676571754</v>
      </c>
      <c r="BI192" s="1">
        <f>tblSection61915[[#This Row],[Gross Total]]*0.15</f>
        <v>874.22078514857628</v>
      </c>
      <c r="BJ192" s="44"/>
      <c r="BK192" s="246"/>
      <c r="BM192" s="44">
        <v>1936</v>
      </c>
      <c r="BN192" t="s">
        <v>213</v>
      </c>
      <c r="BO192" s="1">
        <v>160598</v>
      </c>
      <c r="BP192" s="1">
        <v>33674</v>
      </c>
      <c r="BQ192" s="1">
        <v>0</v>
      </c>
      <c r="BR192" s="1">
        <v>0</v>
      </c>
      <c r="BS192" s="1">
        <v>0</v>
      </c>
      <c r="BT192" s="1">
        <v>22017</v>
      </c>
      <c r="BU192" s="1">
        <f>SUM(tblSection611[[#This Row],[LEA/District]:[ECSE]])</f>
        <v>216289</v>
      </c>
      <c r="BV192" s="1">
        <f>tblSection611[[#This Row],[Gross Total]]*0.15</f>
        <v>32443.35</v>
      </c>
      <c r="BW192" s="1"/>
      <c r="BY192" s="44">
        <v>1936</v>
      </c>
      <c r="BZ192" t="s">
        <v>213</v>
      </c>
      <c r="CA192" s="1">
        <v>2073</v>
      </c>
      <c r="CB192" s="1">
        <v>173</v>
      </c>
      <c r="CC192" s="1">
        <v>0</v>
      </c>
      <c r="CD192" s="1">
        <v>0</v>
      </c>
      <c r="CE192" s="1">
        <v>0</v>
      </c>
      <c r="CF192" s="1">
        <v>2937</v>
      </c>
      <c r="CG192" s="1">
        <f>SUM(tblSection619[[#This Row],[LEA/District]:[ECSE]])</f>
        <v>5183</v>
      </c>
      <c r="CH192" s="1">
        <f>tblSection619[[#This Row],[Gross Total]]*0.15</f>
        <v>777.44999999999993</v>
      </c>
    </row>
    <row r="193" spans="1:86" x14ac:dyDescent="0.35">
      <c r="A193" t="s">
        <v>214</v>
      </c>
      <c r="B193">
        <v>1922</v>
      </c>
      <c r="C193" t="s">
        <v>1528</v>
      </c>
      <c r="D193" s="44">
        <f>LEN(TblAgencies[[#This Row],[InstNm]])</f>
        <v>27</v>
      </c>
      <c r="E193" s="44" t="s">
        <v>1900</v>
      </c>
      <c r="F193" s="44" t="s">
        <v>1900</v>
      </c>
      <c r="G19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93" s="44"/>
      <c r="I193" s="44"/>
      <c r="J193" s="44"/>
      <c r="K193" s="44"/>
      <c r="M193" s="44"/>
      <c r="N193" s="44">
        <v>1922</v>
      </c>
      <c r="O193" t="s">
        <v>214</v>
      </c>
      <c r="P193" s="1">
        <v>1392005.4723271262</v>
      </c>
      <c r="Q193" s="1">
        <v>357449.36902517831</v>
      </c>
      <c r="R193" s="1">
        <v>0</v>
      </c>
      <c r="S193" s="1">
        <v>0</v>
      </c>
      <c r="T193" s="1">
        <v>0</v>
      </c>
      <c r="U193" s="1">
        <v>0</v>
      </c>
      <c r="V193" s="1">
        <v>110226.67767296248</v>
      </c>
      <c r="W193" s="1">
        <v>1392005.4723271262</v>
      </c>
      <c r="X193" s="1">
        <f>tblSection6111416[[#This Row],[Net Total]]*0.15</f>
        <v>208800.82084906893</v>
      </c>
      <c r="Y193" s="1"/>
      <c r="AA193" s="44">
        <v>1922</v>
      </c>
      <c r="AB193" t="s">
        <v>214</v>
      </c>
      <c r="AC193" s="1">
        <v>5602.9718391072556</v>
      </c>
      <c r="AD193" s="1">
        <v>8239.6644692753762</v>
      </c>
      <c r="AE193" s="1">
        <v>0</v>
      </c>
      <c r="AF193" s="1">
        <v>0</v>
      </c>
      <c r="AG193" s="1">
        <v>0</v>
      </c>
      <c r="AH193" s="1">
        <v>23071.060513971053</v>
      </c>
      <c r="AI193" s="1">
        <v>5602.9718391072529</v>
      </c>
      <c r="AJ193" s="1">
        <f>tblSection6191517[[#This Row],[Net Total]]*0.15</f>
        <v>840.44577586608796</v>
      </c>
      <c r="AK193" s="1"/>
      <c r="AM193" s="44"/>
      <c r="AN193" s="44">
        <v>1922</v>
      </c>
      <c r="AO193" t="s">
        <v>214</v>
      </c>
      <c r="AP193" s="247">
        <v>1392005.4723271262</v>
      </c>
      <c r="AQ193" s="247">
        <v>357449.36902517831</v>
      </c>
      <c r="AR193" s="247">
        <v>0</v>
      </c>
      <c r="AS193" s="247">
        <v>0</v>
      </c>
      <c r="AT193" s="247">
        <v>0</v>
      </c>
      <c r="AU193" s="247">
        <v>0</v>
      </c>
      <c r="AV193" s="247">
        <v>81882.674842772132</v>
      </c>
      <c r="AW193" s="247">
        <v>1831337.5161950765</v>
      </c>
      <c r="AX193" s="1">
        <f>tblSection61114[[#This Row],[Gross Total]]*0.15</f>
        <v>274700.62742926145</v>
      </c>
      <c r="AZ193" s="44">
        <v>1922</v>
      </c>
      <c r="BA193" t="s">
        <v>214</v>
      </c>
      <c r="BB193" s="247">
        <v>5602.9718391072556</v>
      </c>
      <c r="BC193" s="247">
        <v>8239.6644692753762</v>
      </c>
      <c r="BD193" s="247">
        <v>0</v>
      </c>
      <c r="BE193" s="247">
        <v>0</v>
      </c>
      <c r="BF193" s="247">
        <v>0</v>
      </c>
      <c r="BG193" s="247">
        <v>17138.502096092783</v>
      </c>
      <c r="BH193" s="247">
        <v>30981.138404475416</v>
      </c>
      <c r="BI193" s="1">
        <f>tblSection61915[[#This Row],[Gross Total]]*0.15</f>
        <v>4647.1707606713126</v>
      </c>
      <c r="BJ193" s="44"/>
      <c r="BK193" s="246"/>
      <c r="BM193" s="44">
        <v>1922</v>
      </c>
      <c r="BN193" t="s">
        <v>214</v>
      </c>
      <c r="BO193" s="1">
        <v>1312764</v>
      </c>
      <c r="BP193" s="1">
        <v>299619</v>
      </c>
      <c r="BQ193" s="1">
        <v>0</v>
      </c>
      <c r="BR193" s="1">
        <v>0</v>
      </c>
      <c r="BS193" s="1">
        <v>0</v>
      </c>
      <c r="BT193" s="1">
        <v>103477</v>
      </c>
      <c r="BU193" s="1">
        <f>SUM(tblSection611[[#This Row],[LEA/District]:[ECSE]])</f>
        <v>1715860</v>
      </c>
      <c r="BV193" s="1">
        <f>tblSection611[[#This Row],[Gross Total]]*0.15</f>
        <v>257379</v>
      </c>
      <c r="BW193" s="1"/>
      <c r="BY193" s="44">
        <v>1922</v>
      </c>
      <c r="BZ193" t="s">
        <v>214</v>
      </c>
      <c r="CA193" s="1">
        <v>8571</v>
      </c>
      <c r="CB193" s="1">
        <v>2364</v>
      </c>
      <c r="CC193" s="1">
        <v>0</v>
      </c>
      <c r="CD193" s="1">
        <v>0</v>
      </c>
      <c r="CE193" s="1">
        <v>0</v>
      </c>
      <c r="CF193" s="1">
        <v>19802</v>
      </c>
      <c r="CG193" s="1">
        <f>SUM(tblSection619[[#This Row],[LEA/District]:[ECSE]])</f>
        <v>30737</v>
      </c>
      <c r="CH193" s="1">
        <f>tblSection619[[#This Row],[Gross Total]]*0.15</f>
        <v>4610.55</v>
      </c>
    </row>
    <row r="194" spans="1:86" x14ac:dyDescent="0.35">
      <c r="A194" t="s">
        <v>215</v>
      </c>
      <c r="B194">
        <v>2255</v>
      </c>
      <c r="C194" t="s">
        <v>1528</v>
      </c>
      <c r="D194" s="44">
        <f>LEN(TblAgencies[[#This Row],[InstNm]])</f>
        <v>16</v>
      </c>
      <c r="E194" s="44" t="s">
        <v>1900</v>
      </c>
      <c r="F194" s="44" t="s">
        <v>1900</v>
      </c>
      <c r="G19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94" s="44"/>
      <c r="I194" s="44"/>
      <c r="J194" s="44"/>
      <c r="K194" s="44"/>
      <c r="M194" s="44"/>
      <c r="N194" s="44">
        <v>2255</v>
      </c>
      <c r="O194" t="s">
        <v>215</v>
      </c>
      <c r="P194" s="1">
        <v>203135.09601759876</v>
      </c>
      <c r="Q194" s="1">
        <v>27700.240366036196</v>
      </c>
      <c r="R194" s="1">
        <v>0</v>
      </c>
      <c r="S194" s="1">
        <v>0</v>
      </c>
      <c r="T194" s="1">
        <v>0</v>
      </c>
      <c r="U194" s="1">
        <v>0</v>
      </c>
      <c r="V194" s="1">
        <v>12926.778837483558</v>
      </c>
      <c r="W194" s="1">
        <v>203135.09601759876</v>
      </c>
      <c r="X194" s="1">
        <f>tblSection6111416[[#This Row],[Net Total]]*0.15</f>
        <v>30470.264402639812</v>
      </c>
      <c r="Y194" s="1"/>
      <c r="AA194" s="44">
        <v>2255</v>
      </c>
      <c r="AB194" t="s">
        <v>215</v>
      </c>
      <c r="AC194" s="1">
        <v>0</v>
      </c>
      <c r="AD194" s="1">
        <v>2140.7512647662038</v>
      </c>
      <c r="AE194" s="1">
        <v>0</v>
      </c>
      <c r="AF194" s="1">
        <v>0</v>
      </c>
      <c r="AG194" s="1">
        <v>0</v>
      </c>
      <c r="AH194" s="1">
        <v>7492.6294266817131</v>
      </c>
      <c r="AI194" s="1">
        <v>0</v>
      </c>
      <c r="AJ194" s="1">
        <f>tblSection6191517[[#This Row],[Net Total]]*0.15</f>
        <v>0</v>
      </c>
      <c r="AK194" s="1"/>
      <c r="AM194" s="44"/>
      <c r="AN194" s="44">
        <v>2255</v>
      </c>
      <c r="AO194" t="s">
        <v>215</v>
      </c>
      <c r="AP194" s="247">
        <v>203135.09601759876</v>
      </c>
      <c r="AQ194" s="247">
        <v>27700.240366036196</v>
      </c>
      <c r="AR194" s="247">
        <v>0</v>
      </c>
      <c r="AS194" s="247">
        <v>0</v>
      </c>
      <c r="AT194" s="247">
        <v>0</v>
      </c>
      <c r="AU194" s="247">
        <v>0</v>
      </c>
      <c r="AV194" s="247">
        <v>11080.096146414478</v>
      </c>
      <c r="AW194" s="247">
        <v>241915.43253004941</v>
      </c>
      <c r="AX194" s="1">
        <f>tblSection61114[[#This Row],[Gross Total]]*0.15</f>
        <v>36287.314879507408</v>
      </c>
      <c r="AZ194" s="44">
        <v>2255</v>
      </c>
      <c r="BA194" t="s">
        <v>215</v>
      </c>
      <c r="BB194" s="247">
        <v>0</v>
      </c>
      <c r="BC194" s="247">
        <v>2140.7512647662038</v>
      </c>
      <c r="BD194" s="247">
        <v>0</v>
      </c>
      <c r="BE194" s="247">
        <v>0</v>
      </c>
      <c r="BF194" s="247">
        <v>0</v>
      </c>
      <c r="BG194" s="247">
        <v>6422.253794298611</v>
      </c>
      <c r="BH194" s="247">
        <v>8563.0050590648152</v>
      </c>
      <c r="BI194" s="1">
        <f>tblSection61915[[#This Row],[Gross Total]]*0.15</f>
        <v>1284.4507588597223</v>
      </c>
      <c r="BJ194" s="44"/>
      <c r="BK194" s="246"/>
      <c r="BM194" s="44">
        <v>2255</v>
      </c>
      <c r="BN194" t="s">
        <v>215</v>
      </c>
      <c r="BO194" s="1">
        <v>205180</v>
      </c>
      <c r="BP194" s="1">
        <v>23605</v>
      </c>
      <c r="BQ194" s="1">
        <v>0</v>
      </c>
      <c r="BR194" s="1">
        <v>0</v>
      </c>
      <c r="BS194" s="1">
        <v>0</v>
      </c>
      <c r="BT194" s="1">
        <v>18157</v>
      </c>
      <c r="BU194" s="1">
        <f>SUM(tblSection611[[#This Row],[LEA/District]:[ECSE]])</f>
        <v>246942</v>
      </c>
      <c r="BV194" s="1">
        <f>tblSection611[[#This Row],[Gross Total]]*0.15</f>
        <v>37041.299999999996</v>
      </c>
      <c r="BW194" s="1"/>
      <c r="BY194" s="44">
        <v>2255</v>
      </c>
      <c r="BZ194" t="s">
        <v>215</v>
      </c>
      <c r="CA194" s="1">
        <v>1411</v>
      </c>
      <c r="CB194" s="1">
        <v>0</v>
      </c>
      <c r="CC194" s="1">
        <v>0</v>
      </c>
      <c r="CD194" s="1">
        <v>0</v>
      </c>
      <c r="CE194" s="1">
        <v>0</v>
      </c>
      <c r="CF194" s="1">
        <v>7056</v>
      </c>
      <c r="CG194" s="1">
        <f>SUM(tblSection619[[#This Row],[LEA/District]:[ECSE]])</f>
        <v>8467</v>
      </c>
      <c r="CH194" s="1">
        <f>tblSection619[[#This Row],[Gross Total]]*0.15</f>
        <v>1270.05</v>
      </c>
    </row>
    <row r="195" spans="1:86" x14ac:dyDescent="0.35">
      <c r="A195" t="s">
        <v>216</v>
      </c>
      <c r="B195">
        <v>2002</v>
      </c>
      <c r="C195" t="s">
        <v>1528</v>
      </c>
      <c r="D195" s="44">
        <f>LEN(TblAgencies[[#This Row],[InstNm]])</f>
        <v>22</v>
      </c>
      <c r="E195" s="44" t="s">
        <v>1900</v>
      </c>
      <c r="F195" s="44" t="s">
        <v>1900</v>
      </c>
      <c r="G19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95" s="44"/>
      <c r="I195" s="44"/>
      <c r="J195" s="44"/>
      <c r="K195" s="44"/>
      <c r="M195" s="44"/>
      <c r="N195" s="44">
        <v>2002</v>
      </c>
      <c r="O195" t="s">
        <v>216</v>
      </c>
      <c r="P195" s="1">
        <v>364530.24267219164</v>
      </c>
      <c r="Q195" s="1">
        <v>26632.346496598479</v>
      </c>
      <c r="R195" s="1">
        <v>0</v>
      </c>
      <c r="S195" s="1">
        <v>0</v>
      </c>
      <c r="T195" s="1">
        <v>0</v>
      </c>
      <c r="U195" s="1">
        <v>0</v>
      </c>
      <c r="V195" s="1">
        <v>68245.387897533597</v>
      </c>
      <c r="W195" s="1">
        <v>364530.2426721917</v>
      </c>
      <c r="X195" s="1">
        <f>tblSection6111416[[#This Row],[Net Total]]*0.15</f>
        <v>54679.536400828751</v>
      </c>
      <c r="Y195" s="1"/>
      <c r="AA195" s="44">
        <v>2002</v>
      </c>
      <c r="AB195" t="s">
        <v>216</v>
      </c>
      <c r="AC195" s="1">
        <v>2969.1650533197831</v>
      </c>
      <c r="AD195" s="1">
        <v>593.83301066395654</v>
      </c>
      <c r="AE195" s="1">
        <v>0</v>
      </c>
      <c r="AF195" s="1">
        <v>0</v>
      </c>
      <c r="AG195" s="1">
        <v>0</v>
      </c>
      <c r="AH195" s="1">
        <v>12173.576718611112</v>
      </c>
      <c r="AI195" s="1">
        <v>2969.1650533197826</v>
      </c>
      <c r="AJ195" s="1">
        <f>tblSection6191517[[#This Row],[Net Total]]*0.15</f>
        <v>445.37475799796738</v>
      </c>
      <c r="AK195" s="1"/>
      <c r="AM195" s="44"/>
      <c r="AN195" s="44">
        <v>2002</v>
      </c>
      <c r="AO195" t="s">
        <v>216</v>
      </c>
      <c r="AP195" s="247">
        <v>364530.24267219164</v>
      </c>
      <c r="AQ195" s="247">
        <v>26632.346496598479</v>
      </c>
      <c r="AR195" s="247">
        <v>0</v>
      </c>
      <c r="AS195" s="247">
        <v>0</v>
      </c>
      <c r="AT195" s="247">
        <v>0</v>
      </c>
      <c r="AU195" s="247">
        <v>0</v>
      </c>
      <c r="AV195" s="247">
        <v>68245.387897533597</v>
      </c>
      <c r="AW195" s="247">
        <v>459407.97706632374</v>
      </c>
      <c r="AX195" s="1">
        <f>tblSection61114[[#This Row],[Gross Total]]*0.15</f>
        <v>68911.196559948556</v>
      </c>
      <c r="AZ195" s="44">
        <v>2002</v>
      </c>
      <c r="BA195" t="s">
        <v>216</v>
      </c>
      <c r="BB195" s="247">
        <v>2969.1650533197831</v>
      </c>
      <c r="BC195" s="247">
        <v>593.83301066395654</v>
      </c>
      <c r="BD195" s="247">
        <v>0</v>
      </c>
      <c r="BE195" s="247">
        <v>0</v>
      </c>
      <c r="BF195" s="247">
        <v>0</v>
      </c>
      <c r="BG195" s="247">
        <v>12173.576718611112</v>
      </c>
      <c r="BH195" s="247">
        <v>15736.574782594851</v>
      </c>
      <c r="BI195" s="1">
        <f>tblSection61915[[#This Row],[Gross Total]]*0.15</f>
        <v>2360.4862173892275</v>
      </c>
      <c r="BJ195" s="44"/>
      <c r="BK195" s="246"/>
      <c r="BM195" s="44">
        <v>2002</v>
      </c>
      <c r="BN195" t="s">
        <v>216</v>
      </c>
      <c r="BO195" s="1">
        <v>274841</v>
      </c>
      <c r="BP195" s="1">
        <v>23245</v>
      </c>
      <c r="BQ195" s="1">
        <v>0</v>
      </c>
      <c r="BR195" s="1">
        <v>0</v>
      </c>
      <c r="BS195" s="1">
        <v>0</v>
      </c>
      <c r="BT195" s="1">
        <v>36919</v>
      </c>
      <c r="BU195" s="1">
        <f>SUM(tblSection611[[#This Row],[LEA/District]:[ECSE]])</f>
        <v>335005</v>
      </c>
      <c r="BV195" s="1">
        <f>tblSection611[[#This Row],[Gross Total]]*0.15</f>
        <v>50250.75</v>
      </c>
      <c r="BW195" s="1"/>
      <c r="BY195" s="44">
        <v>2002</v>
      </c>
      <c r="BZ195" t="s">
        <v>216</v>
      </c>
      <c r="CA195" s="1">
        <v>4783</v>
      </c>
      <c r="CB195" s="1">
        <v>319</v>
      </c>
      <c r="CC195" s="1">
        <v>0</v>
      </c>
      <c r="CD195" s="1">
        <v>0</v>
      </c>
      <c r="CE195" s="1">
        <v>0</v>
      </c>
      <c r="CF195" s="1">
        <v>8609</v>
      </c>
      <c r="CG195" s="1">
        <f>SUM(tblSection619[[#This Row],[LEA/District]:[ECSE]])</f>
        <v>13711</v>
      </c>
      <c r="CH195" s="1">
        <f>tblSection619[[#This Row],[Gross Total]]*0.15</f>
        <v>2056.65</v>
      </c>
    </row>
    <row r="196" spans="1:86" x14ac:dyDescent="0.35">
      <c r="A196" t="s">
        <v>217</v>
      </c>
      <c r="B196">
        <v>2146</v>
      </c>
      <c r="C196" t="s">
        <v>1528</v>
      </c>
      <c r="D196" s="44">
        <f>LEN(TblAgencies[[#This Row],[InstNm]])</f>
        <v>15</v>
      </c>
      <c r="E196" s="44" t="s">
        <v>1900</v>
      </c>
      <c r="F196" s="44" t="s">
        <v>1900</v>
      </c>
      <c r="G19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96" s="44"/>
      <c r="I196" s="44"/>
      <c r="J196" s="44"/>
      <c r="K196" s="44"/>
      <c r="M196" s="44"/>
      <c r="N196" s="44">
        <v>2146</v>
      </c>
      <c r="O196" t="s">
        <v>217</v>
      </c>
      <c r="P196" s="1">
        <v>924227.01498133794</v>
      </c>
      <c r="Q196" s="1">
        <v>203832.54408953976</v>
      </c>
      <c r="R196" s="1">
        <v>6980.566578408896</v>
      </c>
      <c r="S196" s="1">
        <v>0</v>
      </c>
      <c r="T196" s="1">
        <v>0</v>
      </c>
      <c r="U196" s="1">
        <v>0</v>
      </c>
      <c r="V196" s="1">
        <v>90747.365519315659</v>
      </c>
      <c r="W196" s="1">
        <v>924227.01498133806</v>
      </c>
      <c r="X196" s="1">
        <f>tblSection6111416[[#This Row],[Net Total]]*0.15</f>
        <v>138634.05224720071</v>
      </c>
      <c r="Y196" s="1"/>
      <c r="AA196" s="44">
        <v>2146</v>
      </c>
      <c r="AB196" t="s">
        <v>217</v>
      </c>
      <c r="AC196" s="1">
        <v>3782.9492244538492</v>
      </c>
      <c r="AD196" s="1">
        <v>5404.2131777912145</v>
      </c>
      <c r="AE196" s="1">
        <v>0</v>
      </c>
      <c r="AF196" s="1">
        <v>0</v>
      </c>
      <c r="AG196" s="1">
        <v>0</v>
      </c>
      <c r="AH196" s="1">
        <v>11709.128551880964</v>
      </c>
      <c r="AI196" s="1">
        <v>3782.9492244538487</v>
      </c>
      <c r="AJ196" s="1">
        <f>tblSection6191517[[#This Row],[Net Total]]*0.15</f>
        <v>567.44238366807724</v>
      </c>
      <c r="AK196" s="1"/>
      <c r="AM196" s="44"/>
      <c r="AN196" s="44">
        <v>2146</v>
      </c>
      <c r="AO196" t="s">
        <v>217</v>
      </c>
      <c r="AP196" s="247">
        <v>924227.01498133794</v>
      </c>
      <c r="AQ196" s="247">
        <v>203832.54408953976</v>
      </c>
      <c r="AR196" s="247">
        <v>6980.566578408896</v>
      </c>
      <c r="AS196" s="247">
        <v>0</v>
      </c>
      <c r="AT196" s="247">
        <v>0</v>
      </c>
      <c r="AU196" s="247">
        <v>0</v>
      </c>
      <c r="AV196" s="247">
        <v>60032.872574316512</v>
      </c>
      <c r="AW196" s="247">
        <v>1195072.9982236032</v>
      </c>
      <c r="AX196" s="1">
        <f>tblSection61114[[#This Row],[Gross Total]]*0.15</f>
        <v>179260.94973354047</v>
      </c>
      <c r="AZ196" s="44">
        <v>2146</v>
      </c>
      <c r="BA196" t="s">
        <v>217</v>
      </c>
      <c r="BB196" s="247">
        <v>3782.9492244538492</v>
      </c>
      <c r="BC196" s="247">
        <v>5404.2131777912145</v>
      </c>
      <c r="BD196" s="247">
        <v>0</v>
      </c>
      <c r="BE196" s="247">
        <v>0</v>
      </c>
      <c r="BF196" s="247">
        <v>0</v>
      </c>
      <c r="BG196" s="247">
        <v>7746.0388881674062</v>
      </c>
      <c r="BH196" s="247">
        <v>16933.201290412471</v>
      </c>
      <c r="BI196" s="1">
        <f>tblSection61915[[#This Row],[Gross Total]]*0.15</f>
        <v>2539.9801935618707</v>
      </c>
      <c r="BJ196" s="44"/>
      <c r="BK196" s="246"/>
      <c r="BM196" s="44">
        <v>2146</v>
      </c>
      <c r="BN196" t="s">
        <v>217</v>
      </c>
      <c r="BO196" s="1">
        <v>856046</v>
      </c>
      <c r="BP196" s="1">
        <v>137533</v>
      </c>
      <c r="BQ196" s="1">
        <v>3856</v>
      </c>
      <c r="BR196" s="1">
        <v>0</v>
      </c>
      <c r="BS196" s="1">
        <v>0</v>
      </c>
      <c r="BT196" s="1">
        <v>66838</v>
      </c>
      <c r="BU196" s="1">
        <f>SUM(tblSection611[[#This Row],[LEA/District]:[ECSE]])</f>
        <v>1064273</v>
      </c>
      <c r="BV196" s="1">
        <f>tblSection611[[#This Row],[Gross Total]]*0.15</f>
        <v>159640.94999999998</v>
      </c>
      <c r="BW196" s="1"/>
      <c r="BY196" s="44">
        <v>2146</v>
      </c>
      <c r="BZ196" t="s">
        <v>217</v>
      </c>
      <c r="CA196" s="1">
        <v>4685</v>
      </c>
      <c r="CB196" s="1">
        <v>611</v>
      </c>
      <c r="CC196" s="1">
        <v>0</v>
      </c>
      <c r="CD196" s="1">
        <v>0</v>
      </c>
      <c r="CE196" s="1">
        <v>0</v>
      </c>
      <c r="CF196" s="1">
        <v>10592</v>
      </c>
      <c r="CG196" s="1">
        <f>SUM(tblSection619[[#This Row],[LEA/District]:[ECSE]])</f>
        <v>15888</v>
      </c>
      <c r="CH196" s="1">
        <f>tblSection619[[#This Row],[Gross Total]]*0.15</f>
        <v>2383.1999999999998</v>
      </c>
    </row>
    <row r="197" spans="1:86" x14ac:dyDescent="0.35">
      <c r="A197" t="s">
        <v>218</v>
      </c>
      <c r="B197">
        <v>2251</v>
      </c>
      <c r="C197" t="s">
        <v>1528</v>
      </c>
      <c r="D197" s="44">
        <f>LEN(TblAgencies[[#This Row],[InstNm]])</f>
        <v>20</v>
      </c>
      <c r="E197" s="44" t="s">
        <v>1900</v>
      </c>
      <c r="F197" s="44" t="s">
        <v>1900</v>
      </c>
      <c r="G19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97" s="44"/>
      <c r="I197" s="44"/>
      <c r="J197" s="44"/>
      <c r="K197" s="44"/>
      <c r="M197" s="44"/>
      <c r="N197" s="44">
        <v>2251</v>
      </c>
      <c r="O197" t="s">
        <v>218</v>
      </c>
      <c r="P197" s="1">
        <v>258126.31529788586</v>
      </c>
      <c r="Q197" s="1">
        <v>27855.35776595891</v>
      </c>
      <c r="R197" s="1">
        <v>0</v>
      </c>
      <c r="S197" s="1">
        <v>0</v>
      </c>
      <c r="T197" s="1">
        <v>0</v>
      </c>
      <c r="U197" s="1">
        <v>0</v>
      </c>
      <c r="V197" s="1">
        <v>7428.0954042557087</v>
      </c>
      <c r="W197" s="1">
        <v>258126.31529788591</v>
      </c>
      <c r="X197" s="1">
        <f>tblSection6111416[[#This Row],[Net Total]]*0.15</f>
        <v>38718.947294682883</v>
      </c>
      <c r="Y197" s="1"/>
      <c r="AA197" s="44">
        <v>2251</v>
      </c>
      <c r="AB197" t="s">
        <v>218</v>
      </c>
      <c r="AC197" s="1">
        <v>0</v>
      </c>
      <c r="AD197" s="1">
        <v>1494.235803928105</v>
      </c>
      <c r="AE197" s="1">
        <v>0</v>
      </c>
      <c r="AF197" s="1">
        <v>0</v>
      </c>
      <c r="AG197" s="1">
        <v>0</v>
      </c>
      <c r="AH197" s="1">
        <v>5976.9432157124202</v>
      </c>
      <c r="AI197" s="1">
        <v>0</v>
      </c>
      <c r="AJ197" s="1">
        <f>tblSection6191517[[#This Row],[Net Total]]*0.15</f>
        <v>0</v>
      </c>
      <c r="AK197" s="1"/>
      <c r="AM197" s="44"/>
      <c r="AN197" s="44">
        <v>2251</v>
      </c>
      <c r="AO197" t="s">
        <v>218</v>
      </c>
      <c r="AP197" s="247">
        <v>258126.31529788586</v>
      </c>
      <c r="AQ197" s="247">
        <v>27855.35776595891</v>
      </c>
      <c r="AR197" s="247">
        <v>0</v>
      </c>
      <c r="AS197" s="247">
        <v>0</v>
      </c>
      <c r="AT197" s="247">
        <v>0</v>
      </c>
      <c r="AU197" s="247">
        <v>0</v>
      </c>
      <c r="AV197" s="247">
        <v>5571.0715531917813</v>
      </c>
      <c r="AW197" s="247">
        <v>291552.74461703654</v>
      </c>
      <c r="AX197" s="1">
        <f>tblSection61114[[#This Row],[Gross Total]]*0.15</f>
        <v>43732.911692555477</v>
      </c>
      <c r="AZ197" s="44">
        <v>2251</v>
      </c>
      <c r="BA197" t="s">
        <v>218</v>
      </c>
      <c r="BB197" s="247">
        <v>0</v>
      </c>
      <c r="BC197" s="247">
        <v>1494.235803928105</v>
      </c>
      <c r="BD197" s="247">
        <v>0</v>
      </c>
      <c r="BE197" s="247">
        <v>0</v>
      </c>
      <c r="BF197" s="247">
        <v>0</v>
      </c>
      <c r="BG197" s="247">
        <v>4482.7074117843149</v>
      </c>
      <c r="BH197" s="247">
        <v>5976.9432157124202</v>
      </c>
      <c r="BI197" s="1">
        <f>tblSection61915[[#This Row],[Gross Total]]*0.15</f>
        <v>896.54148235686296</v>
      </c>
      <c r="BJ197" s="44"/>
      <c r="BK197" s="246"/>
      <c r="BM197" s="44">
        <v>2251</v>
      </c>
      <c r="BN197" t="s">
        <v>218</v>
      </c>
      <c r="BO197" s="1">
        <v>192535</v>
      </c>
      <c r="BP197" s="1">
        <v>31758</v>
      </c>
      <c r="BQ197" s="1">
        <v>0</v>
      </c>
      <c r="BR197" s="1">
        <v>0</v>
      </c>
      <c r="BS197" s="1">
        <v>0</v>
      </c>
      <c r="BT197" s="1">
        <v>17864</v>
      </c>
      <c r="BU197" s="1">
        <f>SUM(tblSection611[[#This Row],[LEA/District]:[ECSE]])</f>
        <v>242157</v>
      </c>
      <c r="BV197" s="1">
        <f>tblSection611[[#This Row],[Gross Total]]*0.15</f>
        <v>36323.549999999996</v>
      </c>
      <c r="BW197" s="1"/>
      <c r="BY197" s="44">
        <v>2251</v>
      </c>
      <c r="BZ197" t="s">
        <v>218</v>
      </c>
      <c r="CA197" s="1">
        <v>0</v>
      </c>
      <c r="CB197" s="1">
        <v>0</v>
      </c>
      <c r="CC197" s="1">
        <v>0</v>
      </c>
      <c r="CD197" s="1">
        <v>0</v>
      </c>
      <c r="CE197" s="1">
        <v>0</v>
      </c>
      <c r="CF197" s="1">
        <v>6069</v>
      </c>
      <c r="CG197" s="1">
        <f>SUM(tblSection619[[#This Row],[LEA/District]:[ECSE]])</f>
        <v>6069</v>
      </c>
      <c r="CH197" s="1">
        <f>tblSection619[[#This Row],[Gross Total]]*0.15</f>
        <v>910.35</v>
      </c>
    </row>
    <row r="198" spans="1:86" x14ac:dyDescent="0.35">
      <c r="A198" t="s">
        <v>219</v>
      </c>
      <c r="B198">
        <v>1997</v>
      </c>
      <c r="C198" t="s">
        <v>1528</v>
      </c>
      <c r="D198" s="44">
        <f>LEN(TblAgencies[[#This Row],[InstNm]])</f>
        <v>14</v>
      </c>
      <c r="E198" s="44" t="s">
        <v>1900</v>
      </c>
      <c r="F198" s="44" t="s">
        <v>1900</v>
      </c>
      <c r="G19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98" s="44"/>
      <c r="I198" s="44"/>
      <c r="J198" s="44"/>
      <c r="K198" s="44"/>
      <c r="M198" s="44"/>
      <c r="N198" s="44">
        <v>1997</v>
      </c>
      <c r="O198" t="s">
        <v>219</v>
      </c>
      <c r="P198" s="1">
        <v>68567.290267308723</v>
      </c>
      <c r="Q198" s="1">
        <v>5274.4069436391328</v>
      </c>
      <c r="R198" s="1">
        <v>0</v>
      </c>
      <c r="S198" s="1">
        <v>0</v>
      </c>
      <c r="T198" s="1">
        <v>0</v>
      </c>
      <c r="U198" s="1">
        <v>0</v>
      </c>
      <c r="V198" s="1">
        <v>12306.949535157977</v>
      </c>
      <c r="W198" s="1">
        <v>68567.290267308723</v>
      </c>
      <c r="X198" s="1">
        <f>tblSection6111416[[#This Row],[Net Total]]*0.15</f>
        <v>10285.093540096308</v>
      </c>
      <c r="Y198" s="1"/>
      <c r="AA198" s="44">
        <v>1997</v>
      </c>
      <c r="AB198" t="s">
        <v>219</v>
      </c>
      <c r="AC198" s="1">
        <v>0</v>
      </c>
      <c r="AD198" s="1">
        <v>0</v>
      </c>
      <c r="AE198" s="1">
        <v>0</v>
      </c>
      <c r="AF198" s="1">
        <v>0</v>
      </c>
      <c r="AG198" s="1">
        <v>0</v>
      </c>
      <c r="AH198" s="1">
        <v>2224.6530089081079</v>
      </c>
      <c r="AI198" s="1">
        <v>0</v>
      </c>
      <c r="AJ198" s="1">
        <f>tblSection6191517[[#This Row],[Net Total]]*0.15</f>
        <v>0</v>
      </c>
      <c r="AK198" s="1"/>
      <c r="AM198" s="44"/>
      <c r="AN198" s="44">
        <v>1997</v>
      </c>
      <c r="AO198" t="s">
        <v>219</v>
      </c>
      <c r="AP198" s="247">
        <v>68567.290267308723</v>
      </c>
      <c r="AQ198" s="247">
        <v>5274.4069436391328</v>
      </c>
      <c r="AR198" s="247">
        <v>0</v>
      </c>
      <c r="AS198" s="247">
        <v>0</v>
      </c>
      <c r="AT198" s="247">
        <v>0</v>
      </c>
      <c r="AU198" s="247">
        <v>0</v>
      </c>
      <c r="AV198" s="247">
        <v>12306.949535157977</v>
      </c>
      <c r="AW198" s="247">
        <v>86148.646746105835</v>
      </c>
      <c r="AX198" s="1">
        <f>tblSection61114[[#This Row],[Gross Total]]*0.15</f>
        <v>12922.297011915874</v>
      </c>
      <c r="AZ198" s="44">
        <v>1997</v>
      </c>
      <c r="BA198" t="s">
        <v>219</v>
      </c>
      <c r="BB198" s="247">
        <v>0</v>
      </c>
      <c r="BC198" s="247">
        <v>0</v>
      </c>
      <c r="BD198" s="247">
        <v>0</v>
      </c>
      <c r="BE198" s="247">
        <v>0</v>
      </c>
      <c r="BF198" s="247">
        <v>0</v>
      </c>
      <c r="BG198" s="247">
        <v>2224.6530089081079</v>
      </c>
      <c r="BH198" s="247">
        <v>2224.6530089081079</v>
      </c>
      <c r="BI198" s="1">
        <f>tblSection61915[[#This Row],[Gross Total]]*0.15</f>
        <v>333.69795133621619</v>
      </c>
      <c r="BJ198" s="44"/>
      <c r="BK198" s="246"/>
      <c r="BM198" s="44">
        <v>1997</v>
      </c>
      <c r="BN198" t="s">
        <v>219</v>
      </c>
      <c r="BO198" s="1">
        <v>57036</v>
      </c>
      <c r="BP198" s="1">
        <v>8642</v>
      </c>
      <c r="BQ198" s="1">
        <v>0</v>
      </c>
      <c r="BR198" s="1">
        <v>0</v>
      </c>
      <c r="BS198" s="1">
        <v>0</v>
      </c>
      <c r="BT198" s="1">
        <v>3457</v>
      </c>
      <c r="BU198" s="1">
        <f>SUM(tblSection611[[#This Row],[LEA/District]:[ECSE]])</f>
        <v>69135</v>
      </c>
      <c r="BV198" s="1">
        <f>tblSection611[[#This Row],[Gross Total]]*0.15</f>
        <v>10370.25</v>
      </c>
      <c r="BW198" s="1"/>
      <c r="BY198" s="44">
        <v>1997</v>
      </c>
      <c r="BZ198" t="s">
        <v>219</v>
      </c>
      <c r="CA198" s="1">
        <v>1003</v>
      </c>
      <c r="CB198" s="1">
        <v>334</v>
      </c>
      <c r="CC198" s="1">
        <v>0</v>
      </c>
      <c r="CD198" s="1">
        <v>0</v>
      </c>
      <c r="CE198" s="1">
        <v>0</v>
      </c>
      <c r="CF198" s="1">
        <v>669</v>
      </c>
      <c r="CG198" s="1">
        <f>SUM(tblSection619[[#This Row],[LEA/District]:[ECSE]])</f>
        <v>2006</v>
      </c>
      <c r="CH198" s="1">
        <f>tblSection619[[#This Row],[Gross Total]]*0.15</f>
        <v>300.89999999999998</v>
      </c>
    </row>
  </sheetData>
  <sheetProtection selectLockedCells="1" selectUnlockedCells="1"/>
  <dataConsolidate/>
  <mergeCells count="6">
    <mergeCell ref="BK1:BK20"/>
    <mergeCell ref="BK21:BK29"/>
    <mergeCell ref="AL1:AL20"/>
    <mergeCell ref="AL21:AL29"/>
    <mergeCell ref="L1:L20"/>
    <mergeCell ref="L21:L29"/>
  </mergeCells>
  <pageMargins left="0.7" right="0.7" top="0.75" bottom="0.75" header="0.3" footer="0.3"/>
  <pageSetup orientation="portrait" horizontalDpi="1200" verticalDpi="1200" r:id="rId1"/>
  <legacyDrawing r:id="rId2"/>
  <tableParts count="7">
    <tablePart r:id="rId3"/>
    <tablePart r:id="rId4"/>
    <tablePart r:id="rId5"/>
    <tablePart r:id="rId6"/>
    <tablePart r:id="rId7"/>
    <tablePart r:id="rId8"/>
    <tablePart r:id="rId9"/>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V2562"/>
  <sheetViews>
    <sheetView topLeftCell="A2348" workbookViewId="0">
      <selection activeCell="G2" sqref="G2"/>
    </sheetView>
  </sheetViews>
  <sheetFormatPr defaultRowHeight="14.5" x14ac:dyDescent="0.35"/>
  <cols>
    <col min="1" max="1" width="23.26953125" bestFit="1" customWidth="1"/>
    <col min="2" max="2" width="8.26953125" customWidth="1"/>
    <col min="3" max="3" width="12.453125" customWidth="1"/>
    <col min="4" max="4" width="13.453125" customWidth="1"/>
    <col min="5" max="5" width="27.453125" customWidth="1"/>
    <col min="6" max="6" width="27.54296875" customWidth="1"/>
    <col min="7" max="7" width="28.7265625" customWidth="1"/>
    <col min="8" max="8" width="27.1796875" customWidth="1"/>
    <col min="9" max="10" width="36.81640625" customWidth="1"/>
    <col min="11" max="11" width="37" style="44" customWidth="1"/>
    <col min="12" max="12" width="38.1796875" customWidth="1"/>
    <col min="13" max="13" width="31.7265625" customWidth="1"/>
    <col min="14" max="15" width="39.54296875" customWidth="1"/>
    <col min="16" max="16" width="23.54296875" customWidth="1"/>
    <col min="17" max="17" width="20.81640625" customWidth="1"/>
    <col min="18" max="18" width="12.453125" customWidth="1"/>
    <col min="22" max="22" width="8.7265625" customWidth="1"/>
    <col min="23" max="23" width="22.54296875" customWidth="1"/>
  </cols>
  <sheetData>
    <row r="1" spans="1:22" x14ac:dyDescent="0.35">
      <c r="A1" t="s">
        <v>0</v>
      </c>
      <c r="B1" t="s">
        <v>1</v>
      </c>
      <c r="C1" t="s">
        <v>220</v>
      </c>
      <c r="D1" t="s">
        <v>221</v>
      </c>
      <c r="E1" t="s">
        <v>222</v>
      </c>
      <c r="F1" t="s">
        <v>223</v>
      </c>
      <c r="G1" t="s">
        <v>224</v>
      </c>
      <c r="H1" t="s">
        <v>225</v>
      </c>
      <c r="I1" t="s">
        <v>226</v>
      </c>
      <c r="J1" s="44" t="s">
        <v>227</v>
      </c>
      <c r="K1" t="s">
        <v>228</v>
      </c>
      <c r="L1" t="s">
        <v>229</v>
      </c>
      <c r="M1" t="s">
        <v>230</v>
      </c>
      <c r="N1" t="s">
        <v>231</v>
      </c>
      <c r="O1" t="s">
        <v>232</v>
      </c>
      <c r="P1" t="s">
        <v>233</v>
      </c>
      <c r="Q1" t="s">
        <v>234</v>
      </c>
      <c r="R1" t="s">
        <v>235</v>
      </c>
      <c r="S1" t="s">
        <v>236</v>
      </c>
      <c r="T1" t="s">
        <v>237</v>
      </c>
      <c r="U1" t="s">
        <v>238</v>
      </c>
      <c r="V1" t="s">
        <v>1920</v>
      </c>
    </row>
    <row r="2" spans="1:22" x14ac:dyDescent="0.35">
      <c r="A2" t="s">
        <v>14</v>
      </c>
      <c r="B2">
        <v>2063</v>
      </c>
      <c r="C2" t="s">
        <v>57</v>
      </c>
      <c r="D2">
        <v>2</v>
      </c>
      <c r="E2">
        <v>4603.96</v>
      </c>
      <c r="F2">
        <v>16991.669999999998</v>
      </c>
      <c r="G2">
        <f>tblMoeHistory[[#This Row],[LEA State and Local Amount]]+tblMoeHistory[[#This Row],[ESD State and Local Amount]]</f>
        <v>21595.629999999997</v>
      </c>
      <c r="H2">
        <v>0</v>
      </c>
      <c r="I2" t="s">
        <v>239</v>
      </c>
      <c r="J2">
        <f>IFERROR(tblMoeHistory[[#This Row],[LEA State and Local Amount]]/tblMoeHistory[[#This Row],[Child Count]],0)</f>
        <v>2301.98</v>
      </c>
      <c r="K2">
        <f>IFERROR(tblMoeHistory[[#This Row],[ESD State and Local Amount]]/tblMoeHistory[[#This Row],[Child Count]],0)</f>
        <v>8495.8349999999991</v>
      </c>
      <c r="L2">
        <f>IFERROR(tblMoeHistory[[#This Row],[State and Local Total Amount]]/tblMoeHistory[[#This Row],[Child Count]],0)</f>
        <v>10797.814999999999</v>
      </c>
      <c r="M2">
        <v>0</v>
      </c>
      <c r="N2" t="s">
        <v>239</v>
      </c>
      <c r="O2">
        <v>2346.34</v>
      </c>
      <c r="P2">
        <v>486.31</v>
      </c>
      <c r="Q2">
        <f>tblMoeHistory[[#This Row],[Amount of IDEA Part B, Section 611 award]]+tblMoeHistory[[#This Row],[Amount of IDEA Part B, Section 619 award]]</f>
        <v>2832.65</v>
      </c>
      <c r="U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 t="str">
        <f>IF(OR(IFERROR(SEARCH("Met",tblMoeHistory[[#This Row],[State and Local Per Capita Result]]),0)&gt;0,IFERROR(SEARCH("Met",tblMoeHistory[[#This Row],[State and Local Total Result]]),0)&gt;0),"Met","Not Met")</f>
        <v>Met</v>
      </c>
    </row>
    <row r="3" spans="1:22" x14ac:dyDescent="0.35">
      <c r="A3" t="s">
        <v>17</v>
      </c>
      <c r="B3">
        <v>2113</v>
      </c>
      <c r="C3" t="s">
        <v>57</v>
      </c>
      <c r="D3">
        <v>37</v>
      </c>
      <c r="E3">
        <v>145024.20000000001</v>
      </c>
      <c r="F3">
        <v>62780.12</v>
      </c>
      <c r="G3">
        <f>tblMoeHistory[[#This Row],[LEA State and Local Amount]]+tblMoeHistory[[#This Row],[ESD State and Local Amount]]</f>
        <v>207804.32</v>
      </c>
      <c r="H3">
        <v>0</v>
      </c>
      <c r="I3" t="s">
        <v>239</v>
      </c>
      <c r="J3">
        <f>IFERROR(tblMoeHistory[[#This Row],[LEA State and Local Amount]]/tblMoeHistory[[#This Row],[Child Count]],0)</f>
        <v>3919.5729729729733</v>
      </c>
      <c r="K3">
        <f>IFERROR(tblMoeHistory[[#This Row],[ESD State and Local Amount]]/tblMoeHistory[[#This Row],[Child Count]],0)</f>
        <v>1696.76</v>
      </c>
      <c r="L3">
        <f>IFERROR(tblMoeHistory[[#This Row],[State and Local Total Amount]]/tblMoeHistory[[#This Row],[Child Count]],0)</f>
        <v>5616.332972972973</v>
      </c>
      <c r="M3">
        <v>0</v>
      </c>
      <c r="N3" t="s">
        <v>239</v>
      </c>
      <c r="O3">
        <v>47003.14</v>
      </c>
      <c r="P3">
        <v>0</v>
      </c>
      <c r="Q3">
        <f>tblMoeHistory[[#This Row],[Amount of IDEA Part B, Section 611 award]]+tblMoeHistory[[#This Row],[Amount of IDEA Part B, Section 619 award]]</f>
        <v>47003.14</v>
      </c>
      <c r="U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 t="str">
        <f>IF(OR(IFERROR(SEARCH("Met",tblMoeHistory[[#This Row],[State and Local Per Capita Result]]),0)&gt;0,IFERROR(SEARCH("Met",tblMoeHistory[[#This Row],[State and Local Total Result]]),0)&gt;0),"Met","Not Met")</f>
        <v>Met</v>
      </c>
    </row>
    <row r="4" spans="1:22" x14ac:dyDescent="0.35">
      <c r="A4" t="s">
        <v>20</v>
      </c>
      <c r="B4">
        <v>1899</v>
      </c>
      <c r="C4" t="s">
        <v>57</v>
      </c>
      <c r="D4">
        <v>18</v>
      </c>
      <c r="E4">
        <v>96920.25</v>
      </c>
      <c r="F4">
        <v>9530</v>
      </c>
      <c r="G4">
        <f>tblMoeHistory[[#This Row],[LEA State and Local Amount]]+tblMoeHistory[[#This Row],[ESD State and Local Amount]]</f>
        <v>106450.25</v>
      </c>
      <c r="H4">
        <v>0</v>
      </c>
      <c r="I4" t="s">
        <v>239</v>
      </c>
      <c r="J4">
        <f>IFERROR(tblMoeHistory[[#This Row],[LEA State and Local Amount]]/tblMoeHistory[[#This Row],[Child Count]],0)</f>
        <v>5384.458333333333</v>
      </c>
      <c r="K4">
        <f>IFERROR(tblMoeHistory[[#This Row],[ESD State and Local Amount]]/tblMoeHistory[[#This Row],[Child Count]],0)</f>
        <v>529.44444444444446</v>
      </c>
      <c r="L4">
        <f>IFERROR(tblMoeHistory[[#This Row],[State and Local Total Amount]]/tblMoeHistory[[#This Row],[Child Count]],0)</f>
        <v>5913.9027777777774</v>
      </c>
      <c r="M4">
        <v>0</v>
      </c>
      <c r="N4" t="s">
        <v>239</v>
      </c>
      <c r="O4">
        <v>30188.57</v>
      </c>
      <c r="P4">
        <v>0</v>
      </c>
      <c r="Q4">
        <f>tblMoeHistory[[#This Row],[Amount of IDEA Part B, Section 611 award]]+tblMoeHistory[[#This Row],[Amount of IDEA Part B, Section 619 award]]</f>
        <v>30188.57</v>
      </c>
      <c r="U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 t="str">
        <f>IF(OR(IFERROR(SEARCH("Met",tblMoeHistory[[#This Row],[State and Local Per Capita Result]]),0)&gt;0,IFERROR(SEARCH("Met",tblMoeHistory[[#This Row],[State and Local Total Result]]),0)&gt;0),"Met","Not Met")</f>
        <v>Met</v>
      </c>
    </row>
    <row r="5" spans="1:22" x14ac:dyDescent="0.35">
      <c r="A5" t="s">
        <v>21</v>
      </c>
      <c r="B5">
        <v>2252</v>
      </c>
      <c r="C5" t="s">
        <v>57</v>
      </c>
      <c r="D5">
        <v>107</v>
      </c>
      <c r="E5">
        <v>697979.35</v>
      </c>
      <c r="F5">
        <v>91486.26</v>
      </c>
      <c r="G5">
        <f>tblMoeHistory[[#This Row],[LEA State and Local Amount]]+tblMoeHistory[[#This Row],[ESD State and Local Amount]]</f>
        <v>789465.61</v>
      </c>
      <c r="H5">
        <v>0</v>
      </c>
      <c r="I5" t="s">
        <v>239</v>
      </c>
      <c r="J5">
        <f>IFERROR(tblMoeHistory[[#This Row],[LEA State and Local Amount]]/tblMoeHistory[[#This Row],[Child Count]],0)</f>
        <v>6523.171495327103</v>
      </c>
      <c r="K5">
        <f>IFERROR(tblMoeHistory[[#This Row],[ESD State and Local Amount]]/tblMoeHistory[[#This Row],[Child Count]],0)</f>
        <v>855.01177570093455</v>
      </c>
      <c r="L5">
        <f>IFERROR(tblMoeHistory[[#This Row],[State and Local Total Amount]]/tblMoeHistory[[#This Row],[Child Count]],0)</f>
        <v>7378.1832710280369</v>
      </c>
      <c r="M5">
        <v>0</v>
      </c>
      <c r="N5" t="s">
        <v>239</v>
      </c>
      <c r="O5">
        <v>148416.46</v>
      </c>
      <c r="P5">
        <v>1123.08</v>
      </c>
      <c r="Q5">
        <f>tblMoeHistory[[#This Row],[Amount of IDEA Part B, Section 611 award]]+tblMoeHistory[[#This Row],[Amount of IDEA Part B, Section 619 award]]</f>
        <v>149539.53999999998</v>
      </c>
      <c r="U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 t="str">
        <f>IF(OR(IFERROR(SEARCH("Met",tblMoeHistory[[#This Row],[State and Local Per Capita Result]]),0)&gt;0,IFERROR(SEARCH("Met",tblMoeHistory[[#This Row],[State and Local Total Result]]),0)&gt;0),"Met","Not Met")</f>
        <v>Met</v>
      </c>
    </row>
    <row r="6" spans="1:22" x14ac:dyDescent="0.35">
      <c r="A6" t="s">
        <v>23</v>
      </c>
      <c r="B6">
        <v>2111</v>
      </c>
      <c r="C6" t="s">
        <v>57</v>
      </c>
      <c r="D6">
        <v>4</v>
      </c>
      <c r="E6">
        <v>0</v>
      </c>
      <c r="F6">
        <v>18022.900000000001</v>
      </c>
      <c r="G6">
        <f>tblMoeHistory[[#This Row],[LEA State and Local Amount]]+tblMoeHistory[[#This Row],[ESD State and Local Amount]]</f>
        <v>18022.900000000001</v>
      </c>
      <c r="H6">
        <v>0</v>
      </c>
      <c r="I6" t="s">
        <v>239</v>
      </c>
      <c r="J6">
        <f>IFERROR(tblMoeHistory[[#This Row],[LEA State and Local Amount]]/tblMoeHistory[[#This Row],[Child Count]],0)</f>
        <v>0</v>
      </c>
      <c r="K6">
        <f>IFERROR(tblMoeHistory[[#This Row],[ESD State and Local Amount]]/tblMoeHistory[[#This Row],[Child Count]],0)</f>
        <v>4505.7250000000004</v>
      </c>
      <c r="L6">
        <f>IFERROR(tblMoeHistory[[#This Row],[State and Local Total Amount]]/tblMoeHistory[[#This Row],[Child Count]],0)</f>
        <v>4505.7250000000004</v>
      </c>
      <c r="M6">
        <v>0</v>
      </c>
      <c r="N6" t="s">
        <v>239</v>
      </c>
      <c r="O6">
        <v>14453.95</v>
      </c>
      <c r="P6">
        <v>7.73</v>
      </c>
      <c r="Q6">
        <f>tblMoeHistory[[#This Row],[Amount of IDEA Part B, Section 611 award]]+tblMoeHistory[[#This Row],[Amount of IDEA Part B, Section 619 award]]</f>
        <v>14461.68</v>
      </c>
      <c r="U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 t="str">
        <f>IF(OR(IFERROR(SEARCH("Met",tblMoeHistory[[#This Row],[State and Local Per Capita Result]]),0)&gt;0,IFERROR(SEARCH("Met",tblMoeHistory[[#This Row],[State and Local Total Result]]),0)&gt;0),"Met","Not Met")</f>
        <v>Met</v>
      </c>
    </row>
    <row r="7" spans="1:22" x14ac:dyDescent="0.35">
      <c r="A7" t="s">
        <v>24</v>
      </c>
      <c r="B7">
        <v>2005</v>
      </c>
      <c r="C7" t="s">
        <v>57</v>
      </c>
      <c r="D7">
        <v>15</v>
      </c>
      <c r="E7">
        <v>76972.460000000006</v>
      </c>
      <c r="F7">
        <v>39446</v>
      </c>
      <c r="G7">
        <f>tblMoeHistory[[#This Row],[LEA State and Local Amount]]+tblMoeHistory[[#This Row],[ESD State and Local Amount]]</f>
        <v>116418.46</v>
      </c>
      <c r="H7">
        <v>0</v>
      </c>
      <c r="I7" t="s">
        <v>239</v>
      </c>
      <c r="J7">
        <f>IFERROR(tblMoeHistory[[#This Row],[LEA State and Local Amount]]/tblMoeHistory[[#This Row],[Child Count]],0)</f>
        <v>5131.4973333333337</v>
      </c>
      <c r="K7">
        <f>IFERROR(tblMoeHistory[[#This Row],[ESD State and Local Amount]]/tblMoeHistory[[#This Row],[Child Count]],0)</f>
        <v>2629.7333333333331</v>
      </c>
      <c r="L7">
        <f>IFERROR(tblMoeHistory[[#This Row],[State and Local Total Amount]]/tblMoeHistory[[#This Row],[Child Count]],0)</f>
        <v>7761.2306666666673</v>
      </c>
      <c r="M7">
        <v>0</v>
      </c>
      <c r="N7" t="s">
        <v>239</v>
      </c>
      <c r="O7">
        <v>22892.61</v>
      </c>
      <c r="P7">
        <v>0</v>
      </c>
      <c r="Q7">
        <f>tblMoeHistory[[#This Row],[Amount of IDEA Part B, Section 611 award]]+tblMoeHistory[[#This Row],[Amount of IDEA Part B, Section 619 award]]</f>
        <v>22892.61</v>
      </c>
      <c r="U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 t="str">
        <f>IF(OR(IFERROR(SEARCH("Met",tblMoeHistory[[#This Row],[State and Local Per Capita Result]]),0)&gt;0,IFERROR(SEARCH("Met",tblMoeHistory[[#This Row],[State and Local Total Result]]),0)&gt;0),"Met","Not Met")</f>
        <v>Met</v>
      </c>
    </row>
    <row r="8" spans="1:22" x14ac:dyDescent="0.35">
      <c r="A8" t="s">
        <v>25</v>
      </c>
      <c r="B8">
        <v>2115</v>
      </c>
      <c r="C8" t="s">
        <v>57</v>
      </c>
      <c r="D8">
        <v>0</v>
      </c>
      <c r="E8">
        <v>0</v>
      </c>
      <c r="F8">
        <v>3115.04</v>
      </c>
      <c r="G8">
        <f>tblMoeHistory[[#This Row],[LEA State and Local Amount]]+tblMoeHistory[[#This Row],[ESD State and Local Amount]]</f>
        <v>3115.04</v>
      </c>
      <c r="H8">
        <v>0</v>
      </c>
      <c r="I8" t="s">
        <v>239</v>
      </c>
      <c r="J8">
        <f>IFERROR(tblMoeHistory[[#This Row],[LEA State and Local Amount]]/tblMoeHistory[[#This Row],[Child Count]],0)</f>
        <v>0</v>
      </c>
      <c r="K8">
        <f>IFERROR(tblMoeHistory[[#This Row],[ESD State and Local Amount]]/tblMoeHistory[[#This Row],[Child Count]],0)</f>
        <v>0</v>
      </c>
      <c r="L8">
        <f>IFERROR(tblMoeHistory[[#This Row],[State and Local Total Amount]]/tblMoeHistory[[#This Row],[Child Count]],0)</f>
        <v>0</v>
      </c>
      <c r="M8">
        <v>0</v>
      </c>
      <c r="N8" t="s">
        <v>239</v>
      </c>
      <c r="O8">
        <v>3192.12</v>
      </c>
      <c r="P8">
        <v>1.57</v>
      </c>
      <c r="Q8">
        <f>tblMoeHistory[[#This Row],[Amount of IDEA Part B, Section 611 award]]+tblMoeHistory[[#This Row],[Amount of IDEA Part B, Section 619 award]]</f>
        <v>3193.69</v>
      </c>
      <c r="U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 t="str">
        <f>IF(OR(IFERROR(SEARCH("Met",tblMoeHistory[[#This Row],[State and Local Per Capita Result]]),0)&gt;0,IFERROR(SEARCH("Met",tblMoeHistory[[#This Row],[State and Local Total Result]]),0)&gt;0),"Met","Not Met")</f>
        <v>Met</v>
      </c>
    </row>
    <row r="9" spans="1:22" x14ac:dyDescent="0.35">
      <c r="A9" t="s">
        <v>26</v>
      </c>
      <c r="B9">
        <v>2041</v>
      </c>
      <c r="C9" t="s">
        <v>57</v>
      </c>
      <c r="D9">
        <v>321</v>
      </c>
      <c r="E9">
        <v>1748170.52</v>
      </c>
      <c r="F9">
        <v>565364.54</v>
      </c>
      <c r="G9">
        <f>tblMoeHistory[[#This Row],[LEA State and Local Amount]]+tblMoeHistory[[#This Row],[ESD State and Local Amount]]</f>
        <v>2313535.06</v>
      </c>
      <c r="H9">
        <v>0</v>
      </c>
      <c r="I9" t="s">
        <v>239</v>
      </c>
      <c r="J9">
        <f>IFERROR(tblMoeHistory[[#This Row],[LEA State and Local Amount]]/tblMoeHistory[[#This Row],[Child Count]],0)</f>
        <v>5446.0140809968852</v>
      </c>
      <c r="K9">
        <f>IFERROR(tblMoeHistory[[#This Row],[ESD State and Local Amount]]/tblMoeHistory[[#This Row],[Child Count]],0)</f>
        <v>1761.2602492211838</v>
      </c>
      <c r="L9">
        <f>IFERROR(tblMoeHistory[[#This Row],[State and Local Total Amount]]/tblMoeHistory[[#This Row],[Child Count]],0)</f>
        <v>7207.2743302180688</v>
      </c>
      <c r="M9">
        <v>0</v>
      </c>
      <c r="N9" t="s">
        <v>239</v>
      </c>
      <c r="O9">
        <v>427196.81</v>
      </c>
      <c r="P9">
        <v>2234.3200000000002</v>
      </c>
      <c r="Q9">
        <f>tblMoeHistory[[#This Row],[Amount of IDEA Part B, Section 611 award]]+tblMoeHistory[[#This Row],[Amount of IDEA Part B, Section 619 award]]</f>
        <v>429431.13</v>
      </c>
      <c r="U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 t="str">
        <f>IF(OR(IFERROR(SEARCH("Met",tblMoeHistory[[#This Row],[State and Local Per Capita Result]]),0)&gt;0,IFERROR(SEARCH("Met",tblMoeHistory[[#This Row],[State and Local Total Result]]),0)&gt;0),"Met","Not Met")</f>
        <v>Met</v>
      </c>
    </row>
    <row r="10" spans="1:22" x14ac:dyDescent="0.35">
      <c r="A10" t="s">
        <v>27</v>
      </c>
      <c r="B10">
        <v>2051</v>
      </c>
      <c r="C10" t="s">
        <v>57</v>
      </c>
      <c r="D10">
        <v>0</v>
      </c>
      <c r="E10">
        <v>0</v>
      </c>
      <c r="F10">
        <v>0</v>
      </c>
      <c r="G10">
        <f>tblMoeHistory[[#This Row],[LEA State and Local Amount]]+tblMoeHistory[[#This Row],[ESD State and Local Amount]]</f>
        <v>0</v>
      </c>
      <c r="H10">
        <v>0</v>
      </c>
      <c r="J10">
        <f>IFERROR(tblMoeHistory[[#This Row],[LEA State and Local Amount]]/tblMoeHistory[[#This Row],[Child Count]],0)</f>
        <v>0</v>
      </c>
      <c r="K10">
        <f>IFERROR(tblMoeHistory[[#This Row],[ESD State and Local Amount]]/tblMoeHistory[[#This Row],[Child Count]],0)</f>
        <v>0</v>
      </c>
      <c r="L10">
        <f>IFERROR(tblMoeHistory[[#This Row],[State and Local Total Amount]]/tblMoeHistory[[#This Row],[Child Count]],0)</f>
        <v>0</v>
      </c>
      <c r="M10">
        <v>0</v>
      </c>
      <c r="O10">
        <v>196.46</v>
      </c>
      <c r="P10">
        <v>0.19</v>
      </c>
      <c r="Q10">
        <f>tblMoeHistory[[#This Row],[Amount of IDEA Part B, Section 611 award]]+tblMoeHistory[[#This Row],[Amount of IDEA Part B, Section 619 award]]</f>
        <v>196.65</v>
      </c>
      <c r="U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 t="str">
        <f>IF(OR(IFERROR(SEARCH("Met",tblMoeHistory[[#This Row],[State and Local Per Capita Result]]),0)&gt;0,IFERROR(SEARCH("Met",tblMoeHistory[[#This Row],[State and Local Total Result]]),0)&gt;0),"Met","Not Met")</f>
        <v>Not Met</v>
      </c>
    </row>
    <row r="11" spans="1:22" x14ac:dyDescent="0.35">
      <c r="A11" t="s">
        <v>28</v>
      </c>
      <c r="B11">
        <v>1933</v>
      </c>
      <c r="C11" t="s">
        <v>57</v>
      </c>
      <c r="D11">
        <v>256</v>
      </c>
      <c r="E11">
        <v>1797915.42</v>
      </c>
      <c r="F11">
        <v>425776</v>
      </c>
      <c r="G11">
        <f>tblMoeHistory[[#This Row],[LEA State and Local Amount]]+tblMoeHistory[[#This Row],[ESD State and Local Amount]]</f>
        <v>2223691.42</v>
      </c>
      <c r="H11">
        <v>0</v>
      </c>
      <c r="I11" t="s">
        <v>239</v>
      </c>
      <c r="J11">
        <f>IFERROR(tblMoeHistory[[#This Row],[LEA State and Local Amount]]/tblMoeHistory[[#This Row],[Child Count]],0)</f>
        <v>7023.1071093749997</v>
      </c>
      <c r="K11">
        <f>IFERROR(tblMoeHistory[[#This Row],[ESD State and Local Amount]]/tblMoeHistory[[#This Row],[Child Count]],0)</f>
        <v>1663.1875</v>
      </c>
      <c r="L11">
        <f>IFERROR(tblMoeHistory[[#This Row],[State and Local Total Amount]]/tblMoeHistory[[#This Row],[Child Count]],0)</f>
        <v>8686.2946093749997</v>
      </c>
      <c r="M11">
        <v>0</v>
      </c>
      <c r="N11" t="s">
        <v>239</v>
      </c>
      <c r="O11">
        <v>267527</v>
      </c>
      <c r="P11">
        <v>856.81</v>
      </c>
      <c r="Q11">
        <f>tblMoeHistory[[#This Row],[Amount of IDEA Part B, Section 611 award]]+tblMoeHistory[[#This Row],[Amount of IDEA Part B, Section 619 award]]</f>
        <v>268383.81</v>
      </c>
      <c r="U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 t="str">
        <f>IF(OR(IFERROR(SEARCH("Met",tblMoeHistory[[#This Row],[State and Local Per Capita Result]]),0)&gt;0,IFERROR(SEARCH("Met",tblMoeHistory[[#This Row],[State and Local Total Result]]),0)&gt;0),"Met","Not Met")</f>
        <v>Met</v>
      </c>
    </row>
    <row r="12" spans="1:22" x14ac:dyDescent="0.35">
      <c r="A12" t="s">
        <v>29</v>
      </c>
      <c r="B12">
        <v>2208</v>
      </c>
      <c r="C12" t="s">
        <v>57</v>
      </c>
      <c r="D12">
        <v>82</v>
      </c>
      <c r="E12">
        <v>334379.67</v>
      </c>
      <c r="F12">
        <v>131498.26999999999</v>
      </c>
      <c r="G12">
        <f>tblMoeHistory[[#This Row],[LEA State and Local Amount]]+tblMoeHistory[[#This Row],[ESD State and Local Amount]]</f>
        <v>465877.93999999994</v>
      </c>
      <c r="H12">
        <v>0</v>
      </c>
      <c r="I12" t="s">
        <v>239</v>
      </c>
      <c r="J12">
        <f>IFERROR(tblMoeHistory[[#This Row],[LEA State and Local Amount]]/tblMoeHistory[[#This Row],[Child Count]],0)</f>
        <v>4077.8008536585362</v>
      </c>
      <c r="K12">
        <f>IFERROR(tblMoeHistory[[#This Row],[ESD State and Local Amount]]/tblMoeHistory[[#This Row],[Child Count]],0)</f>
        <v>1603.63743902439</v>
      </c>
      <c r="L12">
        <f>IFERROR(tblMoeHistory[[#This Row],[State and Local Total Amount]]/tblMoeHistory[[#This Row],[Child Count]],0)</f>
        <v>5681.4382926829257</v>
      </c>
      <c r="M12">
        <v>0</v>
      </c>
      <c r="N12" t="s">
        <v>239</v>
      </c>
      <c r="O12">
        <v>99109.41</v>
      </c>
      <c r="P12">
        <v>819.43</v>
      </c>
      <c r="Q12">
        <f>tblMoeHistory[[#This Row],[Amount of IDEA Part B, Section 611 award]]+tblMoeHistory[[#This Row],[Amount of IDEA Part B, Section 619 award]]</f>
        <v>99928.84</v>
      </c>
      <c r="U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 t="str">
        <f>IF(OR(IFERROR(SEARCH("Met",tblMoeHistory[[#This Row],[State and Local Per Capita Result]]),0)&gt;0,IFERROR(SEARCH("Met",tblMoeHistory[[#This Row],[State and Local Total Result]]),0)&gt;0),"Met","Not Met")</f>
        <v>Met</v>
      </c>
    </row>
    <row r="13" spans="1:22" x14ac:dyDescent="0.35">
      <c r="A13" t="s">
        <v>30</v>
      </c>
      <c r="B13">
        <v>1894</v>
      </c>
      <c r="C13" t="s">
        <v>57</v>
      </c>
      <c r="D13">
        <v>278</v>
      </c>
      <c r="E13">
        <v>2073377.42</v>
      </c>
      <c r="F13">
        <v>0</v>
      </c>
      <c r="G13">
        <f>tblMoeHistory[[#This Row],[LEA State and Local Amount]]+tblMoeHistory[[#This Row],[ESD State and Local Amount]]</f>
        <v>2073377.42</v>
      </c>
      <c r="H13">
        <v>0</v>
      </c>
      <c r="I13" t="s">
        <v>239</v>
      </c>
      <c r="J13">
        <f>IFERROR(tblMoeHistory[[#This Row],[LEA State and Local Amount]]/tblMoeHistory[[#This Row],[Child Count]],0)</f>
        <v>7458.1921582733812</v>
      </c>
      <c r="K13">
        <f>IFERROR(tblMoeHistory[[#This Row],[ESD State and Local Amount]]/tblMoeHistory[[#This Row],[Child Count]],0)</f>
        <v>0</v>
      </c>
      <c r="L13">
        <f>IFERROR(tblMoeHistory[[#This Row],[State and Local Total Amount]]/tblMoeHistory[[#This Row],[Child Count]],0)</f>
        <v>7458.1921582733812</v>
      </c>
      <c r="M13">
        <v>0</v>
      </c>
      <c r="N13" t="s">
        <v>239</v>
      </c>
      <c r="O13">
        <v>385116.7</v>
      </c>
      <c r="P13">
        <v>4148.51</v>
      </c>
      <c r="Q13">
        <f>tblMoeHistory[[#This Row],[Amount of IDEA Part B, Section 611 award]]+tblMoeHistory[[#This Row],[Amount of IDEA Part B, Section 619 award]]</f>
        <v>389265.21</v>
      </c>
      <c r="U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 t="str">
        <f>IF(OR(IFERROR(SEARCH("Met",tblMoeHistory[[#This Row],[State and Local Per Capita Result]]),0)&gt;0,IFERROR(SEARCH("Met",tblMoeHistory[[#This Row],[State and Local Total Result]]),0)&gt;0),"Met","Not Met")</f>
        <v>Met</v>
      </c>
    </row>
    <row r="14" spans="1:22" x14ac:dyDescent="0.35">
      <c r="A14" t="s">
        <v>32</v>
      </c>
      <c r="B14">
        <v>1969</v>
      </c>
      <c r="C14" t="s">
        <v>57</v>
      </c>
      <c r="D14">
        <v>98</v>
      </c>
      <c r="E14">
        <v>783479.95</v>
      </c>
      <c r="F14">
        <v>338033.19</v>
      </c>
      <c r="G14">
        <f>tblMoeHistory[[#This Row],[LEA State and Local Amount]]+tblMoeHistory[[#This Row],[ESD State and Local Amount]]</f>
        <v>1121513.1399999999</v>
      </c>
      <c r="H14">
        <v>0</v>
      </c>
      <c r="I14" t="s">
        <v>239</v>
      </c>
      <c r="J14">
        <f>IFERROR(tblMoeHistory[[#This Row],[LEA State and Local Amount]]/tblMoeHistory[[#This Row],[Child Count]],0)</f>
        <v>7994.6933673469384</v>
      </c>
      <c r="K14">
        <f>IFERROR(tblMoeHistory[[#This Row],[ESD State and Local Amount]]/tblMoeHistory[[#This Row],[Child Count]],0)</f>
        <v>3449.3182653061226</v>
      </c>
      <c r="L14">
        <f>IFERROR(tblMoeHistory[[#This Row],[State and Local Total Amount]]/tblMoeHistory[[#This Row],[Child Count]],0)</f>
        <v>11444.011632653061</v>
      </c>
      <c r="M14">
        <v>0</v>
      </c>
      <c r="N14" t="s">
        <v>239</v>
      </c>
      <c r="O14">
        <v>143793.56</v>
      </c>
      <c r="P14">
        <v>452.61</v>
      </c>
      <c r="Q14">
        <f>tblMoeHistory[[#This Row],[Amount of IDEA Part B, Section 611 award]]+tblMoeHistory[[#This Row],[Amount of IDEA Part B, Section 619 award]]</f>
        <v>144246.16999999998</v>
      </c>
      <c r="U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 t="str">
        <f>IF(OR(IFERROR(SEARCH("Met",tblMoeHistory[[#This Row],[State and Local Per Capita Result]]),0)&gt;0,IFERROR(SEARCH("Met",tblMoeHistory[[#This Row],[State and Local Total Result]]),0)&gt;0),"Met","Not Met")</f>
        <v>Met</v>
      </c>
    </row>
    <row r="15" spans="1:22" x14ac:dyDescent="0.35">
      <c r="A15" t="s">
        <v>33</v>
      </c>
      <c r="B15">
        <v>2240</v>
      </c>
      <c r="C15" t="s">
        <v>57</v>
      </c>
      <c r="D15">
        <v>137</v>
      </c>
      <c r="E15">
        <v>1378262.77</v>
      </c>
      <c r="F15">
        <v>252960</v>
      </c>
      <c r="G15">
        <f>tblMoeHistory[[#This Row],[LEA State and Local Amount]]+tblMoeHistory[[#This Row],[ESD State and Local Amount]]</f>
        <v>1631222.77</v>
      </c>
      <c r="H15">
        <v>0</v>
      </c>
      <c r="I15" t="s">
        <v>239</v>
      </c>
      <c r="J15">
        <f>IFERROR(tblMoeHistory[[#This Row],[LEA State and Local Amount]]/tblMoeHistory[[#This Row],[Child Count]],0)</f>
        <v>10060.312189781022</v>
      </c>
      <c r="K15">
        <f>IFERROR(tblMoeHistory[[#This Row],[ESD State and Local Amount]]/tblMoeHistory[[#This Row],[Child Count]],0)</f>
        <v>1846.4233576642337</v>
      </c>
      <c r="L15">
        <f>IFERROR(tblMoeHistory[[#This Row],[State and Local Total Amount]]/tblMoeHistory[[#This Row],[Child Count]],0)</f>
        <v>11906.735547445256</v>
      </c>
      <c r="M15">
        <v>0</v>
      </c>
      <c r="N15" t="s">
        <v>239</v>
      </c>
      <c r="O15">
        <v>176641.27</v>
      </c>
      <c r="P15">
        <v>133.4</v>
      </c>
      <c r="Q15">
        <f>tblMoeHistory[[#This Row],[Amount of IDEA Part B, Section 611 award]]+tblMoeHistory[[#This Row],[Amount of IDEA Part B, Section 619 award]]</f>
        <v>176774.66999999998</v>
      </c>
      <c r="U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 t="str">
        <f>IF(OR(IFERROR(SEARCH("Met",tblMoeHistory[[#This Row],[State and Local Per Capita Result]]),0)&gt;0,IFERROR(SEARCH("Met",tblMoeHistory[[#This Row],[State and Local Total Result]]),0)&gt;0),"Met","Not Met")</f>
        <v>Met</v>
      </c>
    </row>
    <row r="16" spans="1:22" x14ac:dyDescent="0.35">
      <c r="A16" t="s">
        <v>34</v>
      </c>
      <c r="B16">
        <v>2243</v>
      </c>
      <c r="C16" t="s">
        <v>57</v>
      </c>
      <c r="D16">
        <v>4662</v>
      </c>
      <c r="E16">
        <v>36923404.710000001</v>
      </c>
      <c r="F16">
        <v>3657767</v>
      </c>
      <c r="G16">
        <f>tblMoeHistory[[#This Row],[LEA State and Local Amount]]+tblMoeHistory[[#This Row],[ESD State and Local Amount]]</f>
        <v>40581171.710000001</v>
      </c>
      <c r="H16">
        <v>0</v>
      </c>
      <c r="I16" t="s">
        <v>239</v>
      </c>
      <c r="J16">
        <f>IFERROR(tblMoeHistory[[#This Row],[LEA State and Local Amount]]/tblMoeHistory[[#This Row],[Child Count]],0)</f>
        <v>7920.0782303732303</v>
      </c>
      <c r="K16">
        <f>IFERROR(tblMoeHistory[[#This Row],[ESD State and Local Amount]]/tblMoeHistory[[#This Row],[Child Count]],0)</f>
        <v>784.59180609180612</v>
      </c>
      <c r="L16">
        <f>IFERROR(tblMoeHistory[[#This Row],[State and Local Total Amount]]/tblMoeHistory[[#This Row],[Child Count]],0)</f>
        <v>8704.6700364650369</v>
      </c>
      <c r="M16">
        <v>0</v>
      </c>
      <c r="N16" t="s">
        <v>239</v>
      </c>
      <c r="O16">
        <v>5933372.9900000002</v>
      </c>
      <c r="P16">
        <v>22536.94</v>
      </c>
      <c r="Q16">
        <f>tblMoeHistory[[#This Row],[Amount of IDEA Part B, Section 611 award]]+tblMoeHistory[[#This Row],[Amount of IDEA Part B, Section 619 award]]</f>
        <v>5955909.9300000006</v>
      </c>
      <c r="U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 t="str">
        <f>IF(OR(IFERROR(SEARCH("Met",tblMoeHistory[[#This Row],[State and Local Per Capita Result]]),0)&gt;0,IFERROR(SEARCH("Met",tblMoeHistory[[#This Row],[State and Local Total Result]]),0)&gt;0),"Met","Not Met")</f>
        <v>Met</v>
      </c>
    </row>
    <row r="17" spans="1:22" x14ac:dyDescent="0.35">
      <c r="A17" t="s">
        <v>35</v>
      </c>
      <c r="B17">
        <v>1976</v>
      </c>
      <c r="C17" t="s">
        <v>57</v>
      </c>
      <c r="D17">
        <v>2268</v>
      </c>
      <c r="E17">
        <v>14143404</v>
      </c>
      <c r="F17">
        <v>2906493</v>
      </c>
      <c r="G17">
        <f>tblMoeHistory[[#This Row],[LEA State and Local Amount]]+tblMoeHistory[[#This Row],[ESD State and Local Amount]]</f>
        <v>17049897</v>
      </c>
      <c r="H17">
        <v>0</v>
      </c>
      <c r="I17" t="s">
        <v>239</v>
      </c>
      <c r="J17">
        <f>IFERROR(tblMoeHistory[[#This Row],[LEA State and Local Amount]]/tblMoeHistory[[#This Row],[Child Count]],0)</f>
        <v>6236.068783068783</v>
      </c>
      <c r="K17">
        <f>IFERROR(tblMoeHistory[[#This Row],[ESD State and Local Amount]]/tblMoeHistory[[#This Row],[Child Count]],0)</f>
        <v>1281.5224867724867</v>
      </c>
      <c r="L17">
        <f>IFERROR(tblMoeHistory[[#This Row],[State and Local Total Amount]]/tblMoeHistory[[#This Row],[Child Count]],0)</f>
        <v>7517.5912698412694</v>
      </c>
      <c r="M17">
        <v>0</v>
      </c>
      <c r="N17" t="s">
        <v>239</v>
      </c>
      <c r="O17">
        <v>2585391.33</v>
      </c>
      <c r="P17">
        <v>17949.55</v>
      </c>
      <c r="Q17">
        <f>tblMoeHistory[[#This Row],[Amount of IDEA Part B, Section 611 award]]+tblMoeHistory[[#This Row],[Amount of IDEA Part B, Section 619 award]]</f>
        <v>2603340.88</v>
      </c>
      <c r="U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 t="str">
        <f>IF(OR(IFERROR(SEARCH("Met",tblMoeHistory[[#This Row],[State and Local Per Capita Result]]),0)&gt;0,IFERROR(SEARCH("Met",tblMoeHistory[[#This Row],[State and Local Total Result]]),0)&gt;0),"Met","Not Met")</f>
        <v>Met</v>
      </c>
    </row>
    <row r="18" spans="1:22" x14ac:dyDescent="0.35">
      <c r="A18" t="s">
        <v>36</v>
      </c>
      <c r="B18">
        <v>2088</v>
      </c>
      <c r="C18" t="s">
        <v>57</v>
      </c>
      <c r="D18">
        <v>1003</v>
      </c>
      <c r="E18">
        <v>7253859.7599999998</v>
      </c>
      <c r="F18">
        <v>1608177</v>
      </c>
      <c r="G18">
        <f>tblMoeHistory[[#This Row],[LEA State and Local Amount]]+tblMoeHistory[[#This Row],[ESD State and Local Amount]]</f>
        <v>8862036.7599999998</v>
      </c>
      <c r="H18">
        <v>0</v>
      </c>
      <c r="I18" t="s">
        <v>239</v>
      </c>
      <c r="J18">
        <f>IFERROR(tblMoeHistory[[#This Row],[LEA State and Local Amount]]/tblMoeHistory[[#This Row],[Child Count]],0)</f>
        <v>7232.1632701894314</v>
      </c>
      <c r="K18">
        <f>IFERROR(tblMoeHistory[[#This Row],[ESD State and Local Amount]]/tblMoeHistory[[#This Row],[Child Count]],0)</f>
        <v>1603.3668993020938</v>
      </c>
      <c r="L18">
        <f>IFERROR(tblMoeHistory[[#This Row],[State and Local Total Amount]]/tblMoeHistory[[#This Row],[Child Count]],0)</f>
        <v>8835.5301694915252</v>
      </c>
      <c r="M18">
        <v>0</v>
      </c>
      <c r="N18" t="s">
        <v>239</v>
      </c>
      <c r="O18">
        <v>1084256.08</v>
      </c>
      <c r="P18">
        <v>4801.3</v>
      </c>
      <c r="Q18">
        <f>tblMoeHistory[[#This Row],[Amount of IDEA Part B, Section 611 award]]+tblMoeHistory[[#This Row],[Amount of IDEA Part B, Section 619 award]]</f>
        <v>1089057.3800000001</v>
      </c>
      <c r="U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 t="str">
        <f>IF(OR(IFERROR(SEARCH("Met",tblMoeHistory[[#This Row],[State and Local Per Capita Result]]),0)&gt;0,IFERROR(SEARCH("Met",tblMoeHistory[[#This Row],[State and Local Total Result]]),0)&gt;0),"Met","Not Met")</f>
        <v>Met</v>
      </c>
    </row>
    <row r="19" spans="1:22" x14ac:dyDescent="0.35">
      <c r="A19" t="s">
        <v>37</v>
      </c>
      <c r="B19">
        <v>2095</v>
      </c>
      <c r="C19" t="s">
        <v>57</v>
      </c>
      <c r="D19">
        <v>22</v>
      </c>
      <c r="E19">
        <v>255388.87</v>
      </c>
      <c r="F19">
        <v>29417</v>
      </c>
      <c r="G19">
        <f>tblMoeHistory[[#This Row],[LEA State and Local Amount]]+tblMoeHistory[[#This Row],[ESD State and Local Amount]]</f>
        <v>284805.87</v>
      </c>
      <c r="H19">
        <v>0</v>
      </c>
      <c r="I19" t="s">
        <v>239</v>
      </c>
      <c r="J19">
        <f>IFERROR(tblMoeHistory[[#This Row],[LEA State and Local Amount]]/tblMoeHistory[[#This Row],[Child Count]],0)</f>
        <v>11608.584999999999</v>
      </c>
      <c r="K19">
        <f>IFERROR(tblMoeHistory[[#This Row],[ESD State and Local Amount]]/tblMoeHistory[[#This Row],[Child Count]],0)</f>
        <v>1337.1363636363637</v>
      </c>
      <c r="L19">
        <f>IFERROR(tblMoeHistory[[#This Row],[State and Local Total Amount]]/tblMoeHistory[[#This Row],[Child Count]],0)</f>
        <v>12945.721363636363</v>
      </c>
      <c r="M19">
        <v>0</v>
      </c>
      <c r="N19" t="s">
        <v>239</v>
      </c>
      <c r="O19">
        <v>32443.25</v>
      </c>
      <c r="P19">
        <v>500.77</v>
      </c>
      <c r="Q19">
        <f>tblMoeHistory[[#This Row],[Amount of IDEA Part B, Section 611 award]]+tblMoeHistory[[#This Row],[Amount of IDEA Part B, Section 619 award]]</f>
        <v>32944.019999999997</v>
      </c>
      <c r="U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 t="str">
        <f>IF(OR(IFERROR(SEARCH("Met",tblMoeHistory[[#This Row],[State and Local Per Capita Result]]),0)&gt;0,IFERROR(SEARCH("Met",tblMoeHistory[[#This Row],[State and Local Total Result]]),0)&gt;0),"Met","Not Met")</f>
        <v>Met</v>
      </c>
    </row>
    <row r="20" spans="1:22" x14ac:dyDescent="0.35">
      <c r="A20" t="s">
        <v>38</v>
      </c>
      <c r="B20">
        <v>2052</v>
      </c>
      <c r="C20" t="s">
        <v>57</v>
      </c>
      <c r="D20">
        <v>1</v>
      </c>
      <c r="E20">
        <v>5356.47</v>
      </c>
      <c r="F20">
        <v>10607.24</v>
      </c>
      <c r="G20">
        <f>tblMoeHistory[[#This Row],[LEA State and Local Amount]]+tblMoeHistory[[#This Row],[ESD State and Local Amount]]</f>
        <v>15963.71</v>
      </c>
      <c r="H20">
        <v>0</v>
      </c>
      <c r="I20" t="s">
        <v>239</v>
      </c>
      <c r="J20">
        <f>IFERROR(tblMoeHistory[[#This Row],[LEA State and Local Amount]]/tblMoeHistory[[#This Row],[Child Count]],0)</f>
        <v>5356.47</v>
      </c>
      <c r="K20">
        <f>IFERROR(tblMoeHistory[[#This Row],[ESD State and Local Amount]]/tblMoeHistory[[#This Row],[Child Count]],0)</f>
        <v>10607.24</v>
      </c>
      <c r="L20">
        <f>IFERROR(tblMoeHistory[[#This Row],[State and Local Total Amount]]/tblMoeHistory[[#This Row],[Child Count]],0)</f>
        <v>15963.71</v>
      </c>
      <c r="M20">
        <v>0</v>
      </c>
      <c r="N20" t="s">
        <v>239</v>
      </c>
      <c r="O20">
        <v>4591.71</v>
      </c>
      <c r="P20">
        <v>4.4000000000000004</v>
      </c>
      <c r="Q20">
        <f>tblMoeHistory[[#This Row],[Amount of IDEA Part B, Section 611 award]]+tblMoeHistory[[#This Row],[Amount of IDEA Part B, Section 619 award]]</f>
        <v>4596.1099999999997</v>
      </c>
      <c r="U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 t="str">
        <f>IF(OR(IFERROR(SEARCH("Met",tblMoeHistory[[#This Row],[State and Local Per Capita Result]]),0)&gt;0,IFERROR(SEARCH("Met",tblMoeHistory[[#This Row],[State and Local Total Result]]),0)&gt;0),"Met","Not Met")</f>
        <v>Met</v>
      </c>
    </row>
    <row r="21" spans="1:22" x14ac:dyDescent="0.35">
      <c r="A21" t="s">
        <v>39</v>
      </c>
      <c r="B21">
        <v>1974</v>
      </c>
      <c r="C21" t="s">
        <v>57</v>
      </c>
      <c r="D21">
        <v>0</v>
      </c>
      <c r="E21">
        <v>1029445.62</v>
      </c>
      <c r="F21">
        <v>716831.89</v>
      </c>
      <c r="G21">
        <f>tblMoeHistory[[#This Row],[LEA State and Local Amount]]+tblMoeHistory[[#This Row],[ESD State and Local Amount]]</f>
        <v>1746277.51</v>
      </c>
      <c r="H21">
        <v>0</v>
      </c>
      <c r="J21">
        <f>IFERROR(tblMoeHistory[[#This Row],[LEA State and Local Amount]]/tblMoeHistory[[#This Row],[Child Count]],0)</f>
        <v>0</v>
      </c>
      <c r="K21">
        <f>IFERROR(tblMoeHistory[[#This Row],[ESD State and Local Amount]]/tblMoeHistory[[#This Row],[Child Count]],0)</f>
        <v>0</v>
      </c>
      <c r="L21">
        <f>IFERROR(tblMoeHistory[[#This Row],[State and Local Total Amount]]/tblMoeHistory[[#This Row],[Child Count]],0)</f>
        <v>0</v>
      </c>
      <c r="M21">
        <v>0</v>
      </c>
      <c r="O21">
        <v>261425.12</v>
      </c>
      <c r="P21">
        <v>6344.77</v>
      </c>
      <c r="Q21">
        <f>tblMoeHistory[[#This Row],[Amount of IDEA Part B, Section 611 award]]+tblMoeHistory[[#This Row],[Amount of IDEA Part B, Section 619 award]]</f>
        <v>267769.89</v>
      </c>
      <c r="U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 t="str">
        <f>IF(OR(IFERROR(SEARCH("Met",tblMoeHistory[[#This Row],[State and Local Per Capita Result]]),0)&gt;0,IFERROR(SEARCH("Met",tblMoeHistory[[#This Row],[State and Local Total Result]]),0)&gt;0),"Met","Not Met")</f>
        <v>Not Met</v>
      </c>
    </row>
    <row r="22" spans="1:22" x14ac:dyDescent="0.35">
      <c r="A22" t="s">
        <v>40</v>
      </c>
      <c r="B22">
        <v>1896</v>
      </c>
      <c r="C22" t="s">
        <v>57</v>
      </c>
      <c r="D22">
        <v>3</v>
      </c>
      <c r="E22">
        <v>57951.53</v>
      </c>
      <c r="F22">
        <v>0</v>
      </c>
      <c r="G22">
        <f>tblMoeHistory[[#This Row],[LEA State and Local Amount]]+tblMoeHistory[[#This Row],[ESD State and Local Amount]]</f>
        <v>57951.53</v>
      </c>
      <c r="H22">
        <v>0</v>
      </c>
      <c r="I22" t="s">
        <v>239</v>
      </c>
      <c r="J22">
        <f>IFERROR(tblMoeHistory[[#This Row],[LEA State and Local Amount]]/tblMoeHistory[[#This Row],[Child Count]],0)</f>
        <v>19317.176666666666</v>
      </c>
      <c r="K22">
        <f>IFERROR(tblMoeHistory[[#This Row],[ESD State and Local Amount]]/tblMoeHistory[[#This Row],[Child Count]],0)</f>
        <v>0</v>
      </c>
      <c r="L22">
        <f>IFERROR(tblMoeHistory[[#This Row],[State and Local Total Amount]]/tblMoeHistory[[#This Row],[Child Count]],0)</f>
        <v>19317.176666666666</v>
      </c>
      <c r="M22">
        <v>0</v>
      </c>
      <c r="N22" t="s">
        <v>239</v>
      </c>
      <c r="O22">
        <v>7347.52</v>
      </c>
      <c r="P22">
        <v>0</v>
      </c>
      <c r="Q22">
        <f>tblMoeHistory[[#This Row],[Amount of IDEA Part B, Section 611 award]]+tblMoeHistory[[#This Row],[Amount of IDEA Part B, Section 619 award]]</f>
        <v>7347.52</v>
      </c>
      <c r="U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 t="str">
        <f>IF(OR(IFERROR(SEARCH("Met",tblMoeHistory[[#This Row],[State and Local Per Capita Result]]),0)&gt;0,IFERROR(SEARCH("Met",tblMoeHistory[[#This Row],[State and Local Total Result]]),0)&gt;0),"Met","Not Met")</f>
        <v>Met</v>
      </c>
    </row>
    <row r="23" spans="1:22" x14ac:dyDescent="0.35">
      <c r="A23" t="s">
        <v>42</v>
      </c>
      <c r="B23">
        <v>2046</v>
      </c>
      <c r="C23" t="s">
        <v>57</v>
      </c>
      <c r="D23">
        <v>29</v>
      </c>
      <c r="E23">
        <v>145483.49</v>
      </c>
      <c r="F23">
        <v>74512.95</v>
      </c>
      <c r="G23">
        <f>tblMoeHistory[[#This Row],[LEA State and Local Amount]]+tblMoeHistory[[#This Row],[ESD State and Local Amount]]</f>
        <v>219996.44</v>
      </c>
      <c r="H23">
        <v>0</v>
      </c>
      <c r="I23" t="s">
        <v>239</v>
      </c>
      <c r="J23">
        <f>IFERROR(tblMoeHistory[[#This Row],[LEA State and Local Amount]]/tblMoeHistory[[#This Row],[Child Count]],0)</f>
        <v>5016.6720689655167</v>
      </c>
      <c r="K23">
        <f>IFERROR(tblMoeHistory[[#This Row],[ESD State and Local Amount]]/tblMoeHistory[[#This Row],[Child Count]],0)</f>
        <v>2569.4120689655169</v>
      </c>
      <c r="L23">
        <f>IFERROR(tblMoeHistory[[#This Row],[State and Local Total Amount]]/tblMoeHistory[[#This Row],[Child Count]],0)</f>
        <v>7586.084137931035</v>
      </c>
      <c r="M23">
        <v>0</v>
      </c>
      <c r="N23" t="s">
        <v>239</v>
      </c>
      <c r="O23">
        <v>31497.71</v>
      </c>
      <c r="P23">
        <v>506.24</v>
      </c>
      <c r="Q23">
        <f>tblMoeHistory[[#This Row],[Amount of IDEA Part B, Section 611 award]]+tblMoeHistory[[#This Row],[Amount of IDEA Part B, Section 619 award]]</f>
        <v>32003.95</v>
      </c>
      <c r="U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 t="str">
        <f>IF(OR(IFERROR(SEARCH("Met",tblMoeHistory[[#This Row],[State and Local Per Capita Result]]),0)&gt;0,IFERROR(SEARCH("Met",tblMoeHistory[[#This Row],[State and Local Total Result]]),0)&gt;0),"Met","Not Met")</f>
        <v>Met</v>
      </c>
    </row>
    <row r="24" spans="1:22" x14ac:dyDescent="0.35">
      <c r="A24" t="s">
        <v>43</v>
      </c>
      <c r="B24">
        <v>1995</v>
      </c>
      <c r="C24" t="s">
        <v>57</v>
      </c>
      <c r="D24">
        <v>23</v>
      </c>
      <c r="E24">
        <v>155794.97</v>
      </c>
      <c r="F24">
        <v>33760.620000000003</v>
      </c>
      <c r="G24">
        <f>tblMoeHistory[[#This Row],[LEA State and Local Amount]]+tblMoeHistory[[#This Row],[ESD State and Local Amount]]</f>
        <v>189555.59</v>
      </c>
      <c r="H24">
        <v>0</v>
      </c>
      <c r="I24" t="s">
        <v>239</v>
      </c>
      <c r="J24">
        <f>IFERROR(tblMoeHistory[[#This Row],[LEA State and Local Amount]]/tblMoeHistory[[#This Row],[Child Count]],0)</f>
        <v>6773.6943478260873</v>
      </c>
      <c r="K24">
        <f>IFERROR(tblMoeHistory[[#This Row],[ESD State and Local Amount]]/tblMoeHistory[[#This Row],[Child Count]],0)</f>
        <v>1467.853043478261</v>
      </c>
      <c r="L24">
        <f>IFERROR(tblMoeHistory[[#This Row],[State and Local Total Amount]]/tblMoeHistory[[#This Row],[Child Count]],0)</f>
        <v>8241.5473913043479</v>
      </c>
      <c r="M24">
        <v>0</v>
      </c>
      <c r="N24" t="s">
        <v>239</v>
      </c>
      <c r="O24">
        <v>35543.42</v>
      </c>
      <c r="P24">
        <v>17.670000000000002</v>
      </c>
      <c r="Q24">
        <f>tblMoeHistory[[#This Row],[Amount of IDEA Part B, Section 611 award]]+tblMoeHistory[[#This Row],[Amount of IDEA Part B, Section 619 award]]</f>
        <v>35561.089999999997</v>
      </c>
      <c r="U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 t="str">
        <f>IF(OR(IFERROR(SEARCH("Met",tblMoeHistory[[#This Row],[State and Local Per Capita Result]]),0)&gt;0,IFERROR(SEARCH("Met",tblMoeHistory[[#This Row],[State and Local Total Result]]),0)&gt;0),"Met","Not Met")</f>
        <v>Met</v>
      </c>
    </row>
    <row r="25" spans="1:22" x14ac:dyDescent="0.35">
      <c r="A25" t="s">
        <v>44</v>
      </c>
      <c r="B25">
        <v>1929</v>
      </c>
      <c r="C25" t="s">
        <v>57</v>
      </c>
      <c r="D25">
        <v>539</v>
      </c>
      <c r="E25">
        <v>3868048.19</v>
      </c>
      <c r="F25">
        <v>678665</v>
      </c>
      <c r="G25">
        <f>tblMoeHistory[[#This Row],[LEA State and Local Amount]]+tblMoeHistory[[#This Row],[ESD State and Local Amount]]</f>
        <v>4546713.1899999995</v>
      </c>
      <c r="H25">
        <v>0</v>
      </c>
      <c r="I25" t="s">
        <v>239</v>
      </c>
      <c r="J25">
        <f>IFERROR(tblMoeHistory[[#This Row],[LEA State and Local Amount]]/tblMoeHistory[[#This Row],[Child Count]],0)</f>
        <v>7176.3417254174392</v>
      </c>
      <c r="K25">
        <f>IFERROR(tblMoeHistory[[#This Row],[ESD State and Local Amount]]/tblMoeHistory[[#This Row],[Child Count]],0)</f>
        <v>1259.1187384044526</v>
      </c>
      <c r="L25">
        <f>IFERROR(tblMoeHistory[[#This Row],[State and Local Total Amount]]/tblMoeHistory[[#This Row],[Child Count]],0)</f>
        <v>8435.4604638218916</v>
      </c>
      <c r="M25">
        <v>0</v>
      </c>
      <c r="N25" t="s">
        <v>239</v>
      </c>
      <c r="O25">
        <v>836312.42</v>
      </c>
      <c r="P25">
        <v>5045.7299999999996</v>
      </c>
      <c r="Q25">
        <f>tblMoeHistory[[#This Row],[Amount of IDEA Part B, Section 611 award]]+tblMoeHistory[[#This Row],[Amount of IDEA Part B, Section 619 award]]</f>
        <v>841358.15</v>
      </c>
      <c r="U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 t="str">
        <f>IF(OR(IFERROR(SEARCH("Met",tblMoeHistory[[#This Row],[State and Local Per Capita Result]]),0)&gt;0,IFERROR(SEARCH("Met",tblMoeHistory[[#This Row],[State and Local Total Result]]),0)&gt;0),"Met","Not Met")</f>
        <v>Met</v>
      </c>
    </row>
    <row r="26" spans="1:22" x14ac:dyDescent="0.35">
      <c r="A26" t="s">
        <v>45</v>
      </c>
      <c r="B26">
        <v>2139</v>
      </c>
      <c r="C26" t="s">
        <v>57</v>
      </c>
      <c r="D26">
        <v>282</v>
      </c>
      <c r="E26">
        <v>1927875.11</v>
      </c>
      <c r="F26">
        <v>135741.47</v>
      </c>
      <c r="G26">
        <f>tblMoeHistory[[#This Row],[LEA State and Local Amount]]+tblMoeHistory[[#This Row],[ESD State and Local Amount]]</f>
        <v>2063616.58</v>
      </c>
      <c r="H26">
        <v>0</v>
      </c>
      <c r="I26" t="s">
        <v>239</v>
      </c>
      <c r="J26">
        <f>IFERROR(tblMoeHistory[[#This Row],[LEA State and Local Amount]]/tblMoeHistory[[#This Row],[Child Count]],0)</f>
        <v>6836.4365602836879</v>
      </c>
      <c r="K26">
        <f>IFERROR(tblMoeHistory[[#This Row],[ESD State and Local Amount]]/tblMoeHistory[[#This Row],[Child Count]],0)</f>
        <v>481.35273049645389</v>
      </c>
      <c r="L26">
        <f>IFERROR(tblMoeHistory[[#This Row],[State and Local Total Amount]]/tblMoeHistory[[#This Row],[Child Count]],0)</f>
        <v>7317.7892907801424</v>
      </c>
      <c r="M26">
        <v>0</v>
      </c>
      <c r="N26" t="s">
        <v>239</v>
      </c>
      <c r="O26">
        <v>394815.41</v>
      </c>
      <c r="P26">
        <v>2714.56</v>
      </c>
      <c r="Q26">
        <f>tblMoeHistory[[#This Row],[Amount of IDEA Part B, Section 611 award]]+tblMoeHistory[[#This Row],[Amount of IDEA Part B, Section 619 award]]</f>
        <v>397529.97</v>
      </c>
      <c r="U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 t="str">
        <f>IF(OR(IFERROR(SEARCH("Met",tblMoeHistory[[#This Row],[State and Local Per Capita Result]]),0)&gt;0,IFERROR(SEARCH("Met",tblMoeHistory[[#This Row],[State and Local Total Result]]),0)&gt;0),"Met","Not Met")</f>
        <v>Met</v>
      </c>
    </row>
    <row r="27" spans="1:22" x14ac:dyDescent="0.35">
      <c r="A27" t="s">
        <v>46</v>
      </c>
      <c r="B27">
        <v>2185</v>
      </c>
      <c r="C27" t="s">
        <v>57</v>
      </c>
      <c r="D27">
        <v>0</v>
      </c>
      <c r="E27">
        <v>7754841.8300000001</v>
      </c>
      <c r="F27">
        <v>1046450</v>
      </c>
      <c r="G27">
        <f>tblMoeHistory[[#This Row],[LEA State and Local Amount]]+tblMoeHistory[[#This Row],[ESD State and Local Amount]]</f>
        <v>8801291.8300000001</v>
      </c>
      <c r="H27">
        <v>0</v>
      </c>
      <c r="I27" t="s">
        <v>239</v>
      </c>
      <c r="J27">
        <f>IFERROR(tblMoeHistory[[#This Row],[LEA State and Local Amount]]/tblMoeHistory[[#This Row],[Child Count]],0)</f>
        <v>0</v>
      </c>
      <c r="K27">
        <f>IFERROR(tblMoeHistory[[#This Row],[ESD State and Local Amount]]/tblMoeHistory[[#This Row],[Child Count]],0)</f>
        <v>0</v>
      </c>
      <c r="L27">
        <f>IFERROR(tblMoeHistory[[#This Row],[State and Local Total Amount]]/tblMoeHistory[[#This Row],[Child Count]],0)</f>
        <v>0</v>
      </c>
      <c r="M27">
        <v>0</v>
      </c>
      <c r="N27" t="s">
        <v>239</v>
      </c>
      <c r="O27">
        <v>1100035.45</v>
      </c>
      <c r="P27">
        <v>5788.11</v>
      </c>
      <c r="Q27">
        <f>tblMoeHistory[[#This Row],[Amount of IDEA Part B, Section 611 award]]+tblMoeHistory[[#This Row],[Amount of IDEA Part B, Section 619 award]]</f>
        <v>1105823.56</v>
      </c>
      <c r="U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 t="str">
        <f>IF(OR(IFERROR(SEARCH("Met",tblMoeHistory[[#This Row],[State and Local Per Capita Result]]),0)&gt;0,IFERROR(SEARCH("Met",tblMoeHistory[[#This Row],[State and Local Total Result]]),0)&gt;0),"Met","Not Met")</f>
        <v>Met</v>
      </c>
    </row>
    <row r="28" spans="1:22" x14ac:dyDescent="0.35">
      <c r="A28" t="s">
        <v>47</v>
      </c>
      <c r="B28">
        <v>1972</v>
      </c>
      <c r="C28" t="s">
        <v>57</v>
      </c>
      <c r="D28">
        <v>63</v>
      </c>
      <c r="E28">
        <v>404812.14</v>
      </c>
      <c r="F28">
        <v>242760.95999999999</v>
      </c>
      <c r="G28">
        <f>tblMoeHistory[[#This Row],[LEA State and Local Amount]]+tblMoeHistory[[#This Row],[ESD State and Local Amount]]</f>
        <v>647573.1</v>
      </c>
      <c r="H28">
        <v>0</v>
      </c>
      <c r="I28" t="s">
        <v>239</v>
      </c>
      <c r="J28">
        <f>IFERROR(tblMoeHistory[[#This Row],[LEA State and Local Amount]]/tblMoeHistory[[#This Row],[Child Count]],0)</f>
        <v>6425.5895238095236</v>
      </c>
      <c r="K28">
        <f>IFERROR(tblMoeHistory[[#This Row],[ESD State and Local Amount]]/tblMoeHistory[[#This Row],[Child Count]],0)</f>
        <v>3853.3485714285712</v>
      </c>
      <c r="L28">
        <f>IFERROR(tblMoeHistory[[#This Row],[State and Local Total Amount]]/tblMoeHistory[[#This Row],[Child Count]],0)</f>
        <v>10278.938095238094</v>
      </c>
      <c r="M28">
        <v>0</v>
      </c>
      <c r="N28" t="s">
        <v>239</v>
      </c>
      <c r="O28">
        <v>128257.71</v>
      </c>
      <c r="P28">
        <v>658.87</v>
      </c>
      <c r="Q28">
        <f>tblMoeHistory[[#This Row],[Amount of IDEA Part B, Section 611 award]]+tblMoeHistory[[#This Row],[Amount of IDEA Part B, Section 619 award]]</f>
        <v>128916.58</v>
      </c>
      <c r="U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 t="str">
        <f>IF(OR(IFERROR(SEARCH("Met",tblMoeHistory[[#This Row],[State and Local Per Capita Result]]),0)&gt;0,IFERROR(SEARCH("Met",tblMoeHistory[[#This Row],[State and Local Total Result]]),0)&gt;0),"Met","Not Met")</f>
        <v>Met</v>
      </c>
    </row>
    <row r="29" spans="1:22" x14ac:dyDescent="0.35">
      <c r="A29" t="s">
        <v>48</v>
      </c>
      <c r="B29">
        <v>2105</v>
      </c>
      <c r="C29" t="s">
        <v>57</v>
      </c>
      <c r="D29">
        <v>95</v>
      </c>
      <c r="E29">
        <v>552200.97</v>
      </c>
      <c r="F29">
        <v>54926</v>
      </c>
      <c r="G29">
        <f>tblMoeHistory[[#This Row],[LEA State and Local Amount]]+tblMoeHistory[[#This Row],[ESD State and Local Amount]]</f>
        <v>607126.97</v>
      </c>
      <c r="H29">
        <v>0</v>
      </c>
      <c r="I29" t="s">
        <v>239</v>
      </c>
      <c r="J29">
        <f>IFERROR(tblMoeHistory[[#This Row],[LEA State and Local Amount]]/tblMoeHistory[[#This Row],[Child Count]],0)</f>
        <v>5812.6417894736842</v>
      </c>
      <c r="K29">
        <f>IFERROR(tblMoeHistory[[#This Row],[ESD State and Local Amount]]/tblMoeHistory[[#This Row],[Child Count]],0)</f>
        <v>578.16842105263163</v>
      </c>
      <c r="L29">
        <f>IFERROR(tblMoeHistory[[#This Row],[State and Local Total Amount]]/tblMoeHistory[[#This Row],[Child Count]],0)</f>
        <v>6390.8102105263151</v>
      </c>
      <c r="M29">
        <v>0</v>
      </c>
      <c r="N29" t="s">
        <v>239</v>
      </c>
      <c r="O29">
        <v>106592.37</v>
      </c>
      <c r="P29">
        <v>1189.69</v>
      </c>
      <c r="Q29">
        <f>tblMoeHistory[[#This Row],[Amount of IDEA Part B, Section 611 award]]+tblMoeHistory[[#This Row],[Amount of IDEA Part B, Section 619 award]]</f>
        <v>107782.06</v>
      </c>
      <c r="U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 t="str">
        <f>IF(OR(IFERROR(SEARCH("Met",tblMoeHistory[[#This Row],[State and Local Per Capita Result]]),0)&gt;0,IFERROR(SEARCH("Met",tblMoeHistory[[#This Row],[State and Local Total Result]]),0)&gt;0),"Met","Not Met")</f>
        <v>Met</v>
      </c>
    </row>
    <row r="30" spans="1:22" x14ac:dyDescent="0.35">
      <c r="A30" t="s">
        <v>49</v>
      </c>
      <c r="B30">
        <v>2042</v>
      </c>
      <c r="C30" t="s">
        <v>57</v>
      </c>
      <c r="D30">
        <v>586</v>
      </c>
      <c r="E30">
        <v>2662608.16</v>
      </c>
      <c r="F30">
        <v>1078691.3600000001</v>
      </c>
      <c r="G30">
        <f>tblMoeHistory[[#This Row],[LEA State and Local Amount]]+tblMoeHistory[[#This Row],[ESD State and Local Amount]]</f>
        <v>3741299.5200000005</v>
      </c>
      <c r="H30">
        <v>0</v>
      </c>
      <c r="I30" t="s">
        <v>239</v>
      </c>
      <c r="J30">
        <f>IFERROR(tblMoeHistory[[#This Row],[LEA State and Local Amount]]/tblMoeHistory[[#This Row],[Child Count]],0)</f>
        <v>4543.6999317406144</v>
      </c>
      <c r="K30">
        <f>IFERROR(tblMoeHistory[[#This Row],[ESD State and Local Amount]]/tblMoeHistory[[#This Row],[Child Count]],0)</f>
        <v>1840.7702389078499</v>
      </c>
      <c r="L30">
        <f>IFERROR(tblMoeHistory[[#This Row],[State and Local Total Amount]]/tblMoeHistory[[#This Row],[Child Count]],0)</f>
        <v>6384.4701706484648</v>
      </c>
      <c r="M30">
        <v>0</v>
      </c>
      <c r="N30" t="s">
        <v>239</v>
      </c>
      <c r="O30">
        <v>717980.48</v>
      </c>
      <c r="P30">
        <v>6227.32</v>
      </c>
      <c r="Q30">
        <f>tblMoeHistory[[#This Row],[Amount of IDEA Part B, Section 611 award]]+tblMoeHistory[[#This Row],[Amount of IDEA Part B, Section 619 award]]</f>
        <v>724207.79999999993</v>
      </c>
      <c r="U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 t="str">
        <f>IF(OR(IFERROR(SEARCH("Met",tblMoeHistory[[#This Row],[State and Local Per Capita Result]]),0)&gt;0,IFERROR(SEARCH("Met",tblMoeHistory[[#This Row],[State and Local Total Result]]),0)&gt;0),"Met","Not Met")</f>
        <v>Met</v>
      </c>
    </row>
    <row r="31" spans="1:22" x14ac:dyDescent="0.35">
      <c r="A31" t="s">
        <v>50</v>
      </c>
      <c r="B31">
        <v>2191</v>
      </c>
      <c r="C31" t="s">
        <v>57</v>
      </c>
      <c r="D31">
        <v>372</v>
      </c>
      <c r="E31">
        <v>3838954.3</v>
      </c>
      <c r="F31">
        <v>400667.25</v>
      </c>
      <c r="G31">
        <f>tblMoeHistory[[#This Row],[LEA State and Local Amount]]+tblMoeHistory[[#This Row],[ESD State and Local Amount]]</f>
        <v>4239621.55</v>
      </c>
      <c r="H31">
        <v>0</v>
      </c>
      <c r="I31" t="s">
        <v>239</v>
      </c>
      <c r="J31">
        <f>IFERROR(tblMoeHistory[[#This Row],[LEA State and Local Amount]]/tblMoeHistory[[#This Row],[Child Count]],0)</f>
        <v>10319.769623655913</v>
      </c>
      <c r="K31">
        <f>IFERROR(tblMoeHistory[[#This Row],[ESD State and Local Amount]]/tblMoeHistory[[#This Row],[Child Count]],0)</f>
        <v>1077.0625</v>
      </c>
      <c r="L31">
        <f>IFERROR(tblMoeHistory[[#This Row],[State and Local Total Amount]]/tblMoeHistory[[#This Row],[Child Count]],0)</f>
        <v>11396.832123655913</v>
      </c>
      <c r="M31">
        <v>0</v>
      </c>
      <c r="N31" t="s">
        <v>239</v>
      </c>
      <c r="O31">
        <v>430327.44</v>
      </c>
      <c r="P31">
        <v>2131.1799999999998</v>
      </c>
      <c r="Q31">
        <f>tblMoeHistory[[#This Row],[Amount of IDEA Part B, Section 611 award]]+tblMoeHistory[[#This Row],[Amount of IDEA Part B, Section 619 award]]</f>
        <v>432458.62</v>
      </c>
      <c r="U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 t="str">
        <f>IF(OR(IFERROR(SEARCH("Met",tblMoeHistory[[#This Row],[State and Local Per Capita Result]]),0)&gt;0,IFERROR(SEARCH("Met",tblMoeHistory[[#This Row],[State and Local Total Result]]),0)&gt;0),"Met","Not Met")</f>
        <v>Met</v>
      </c>
    </row>
    <row r="32" spans="1:22" x14ac:dyDescent="0.35">
      <c r="A32" t="s">
        <v>51</v>
      </c>
      <c r="B32">
        <v>1945</v>
      </c>
      <c r="C32" t="s">
        <v>57</v>
      </c>
      <c r="D32">
        <v>112</v>
      </c>
      <c r="E32">
        <v>1026107.76</v>
      </c>
      <c r="F32">
        <v>117964</v>
      </c>
      <c r="G32">
        <f>tblMoeHistory[[#This Row],[LEA State and Local Amount]]+tblMoeHistory[[#This Row],[ESD State and Local Amount]]</f>
        <v>1144071.76</v>
      </c>
      <c r="H32">
        <v>0</v>
      </c>
      <c r="I32" t="s">
        <v>239</v>
      </c>
      <c r="J32">
        <f>IFERROR(tblMoeHistory[[#This Row],[LEA State and Local Amount]]/tblMoeHistory[[#This Row],[Child Count]],0)</f>
        <v>9161.6764285714289</v>
      </c>
      <c r="K32">
        <f>IFERROR(tblMoeHistory[[#This Row],[ESD State and Local Amount]]/tblMoeHistory[[#This Row],[Child Count]],0)</f>
        <v>1053.25</v>
      </c>
      <c r="L32">
        <f>IFERROR(tblMoeHistory[[#This Row],[State and Local Total Amount]]/tblMoeHistory[[#This Row],[Child Count]],0)</f>
        <v>10214.926428571429</v>
      </c>
      <c r="M32">
        <v>0</v>
      </c>
      <c r="N32" t="s">
        <v>239</v>
      </c>
      <c r="O32">
        <v>147801.76999999999</v>
      </c>
      <c r="P32">
        <v>3026.38</v>
      </c>
      <c r="Q32">
        <f>tblMoeHistory[[#This Row],[Amount of IDEA Part B, Section 611 award]]+tblMoeHistory[[#This Row],[Amount of IDEA Part B, Section 619 award]]</f>
        <v>150828.15</v>
      </c>
      <c r="U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 t="str">
        <f>IF(OR(IFERROR(SEARCH("Met",tblMoeHistory[[#This Row],[State and Local Per Capita Result]]),0)&gt;0,IFERROR(SEARCH("Met",tblMoeHistory[[#This Row],[State and Local Total Result]]),0)&gt;0),"Met","Not Met")</f>
        <v>Met</v>
      </c>
    </row>
    <row r="33" spans="1:22" x14ac:dyDescent="0.35">
      <c r="A33" t="s">
        <v>52</v>
      </c>
      <c r="B33">
        <v>1927</v>
      </c>
      <c r="C33" t="s">
        <v>57</v>
      </c>
      <c r="D33">
        <v>89</v>
      </c>
      <c r="E33">
        <v>619781.16</v>
      </c>
      <c r="F33">
        <v>281241</v>
      </c>
      <c r="G33">
        <f>tblMoeHistory[[#This Row],[LEA State and Local Amount]]+tblMoeHistory[[#This Row],[ESD State and Local Amount]]</f>
        <v>901022.16</v>
      </c>
      <c r="H33">
        <v>0</v>
      </c>
      <c r="I33" t="s">
        <v>239</v>
      </c>
      <c r="J33">
        <f>IFERROR(tblMoeHistory[[#This Row],[LEA State and Local Amount]]/tblMoeHistory[[#This Row],[Child Count]],0)</f>
        <v>6963.8332584269665</v>
      </c>
      <c r="K33">
        <f>IFERROR(tblMoeHistory[[#This Row],[ESD State and Local Amount]]/tblMoeHistory[[#This Row],[Child Count]],0)</f>
        <v>3160.0112359550562</v>
      </c>
      <c r="L33">
        <f>IFERROR(tblMoeHistory[[#This Row],[State and Local Total Amount]]/tblMoeHistory[[#This Row],[Child Count]],0)</f>
        <v>10123.844494382023</v>
      </c>
      <c r="M33">
        <v>0</v>
      </c>
      <c r="N33" t="s">
        <v>239</v>
      </c>
      <c r="O33">
        <v>126769.29</v>
      </c>
      <c r="P33">
        <v>1353.42</v>
      </c>
      <c r="Q33">
        <f>tblMoeHistory[[#This Row],[Amount of IDEA Part B, Section 611 award]]+tblMoeHistory[[#This Row],[Amount of IDEA Part B, Section 619 award]]</f>
        <v>128122.70999999999</v>
      </c>
      <c r="U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 t="str">
        <f>IF(OR(IFERROR(SEARCH("Met",tblMoeHistory[[#This Row],[State and Local Per Capita Result]]),0)&gt;0,IFERROR(SEARCH("Met",tblMoeHistory[[#This Row],[State and Local Total Result]]),0)&gt;0),"Met","Not Met")</f>
        <v>Met</v>
      </c>
    </row>
    <row r="34" spans="1:22" x14ac:dyDescent="0.35">
      <c r="A34" t="s">
        <v>53</v>
      </c>
      <c r="B34">
        <v>2006</v>
      </c>
      <c r="C34" t="s">
        <v>57</v>
      </c>
      <c r="D34">
        <v>23</v>
      </c>
      <c r="E34">
        <v>54198.63</v>
      </c>
      <c r="F34">
        <v>60484</v>
      </c>
      <c r="G34">
        <f>tblMoeHistory[[#This Row],[LEA State and Local Amount]]+tblMoeHistory[[#This Row],[ESD State and Local Amount]]</f>
        <v>114682.63</v>
      </c>
      <c r="H34">
        <v>0</v>
      </c>
      <c r="I34" t="s">
        <v>239</v>
      </c>
      <c r="J34">
        <f>IFERROR(tblMoeHistory[[#This Row],[LEA State and Local Amount]]/tblMoeHistory[[#This Row],[Child Count]],0)</f>
        <v>2356.4621739130434</v>
      </c>
      <c r="K34">
        <f>IFERROR(tblMoeHistory[[#This Row],[ESD State and Local Amount]]/tblMoeHistory[[#This Row],[Child Count]],0)</f>
        <v>2629.7391304347825</v>
      </c>
      <c r="L34">
        <f>IFERROR(tblMoeHistory[[#This Row],[State and Local Total Amount]]/tblMoeHistory[[#This Row],[Child Count]],0)</f>
        <v>4986.2013043478264</v>
      </c>
      <c r="M34">
        <v>0</v>
      </c>
      <c r="N34" t="s">
        <v>239</v>
      </c>
      <c r="O34">
        <v>25941.55</v>
      </c>
      <c r="P34">
        <v>3.8</v>
      </c>
      <c r="Q34">
        <f>tblMoeHistory[[#This Row],[Amount of IDEA Part B, Section 611 award]]+tblMoeHistory[[#This Row],[Amount of IDEA Part B, Section 619 award]]</f>
        <v>25945.35</v>
      </c>
      <c r="U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 t="str">
        <f>IF(OR(IFERROR(SEARCH("Met",tblMoeHistory[[#This Row],[State and Local Per Capita Result]]),0)&gt;0,IFERROR(SEARCH("Met",tblMoeHistory[[#This Row],[State and Local Total Result]]),0)&gt;0),"Met","Not Met")</f>
        <v>Met</v>
      </c>
    </row>
    <row r="35" spans="1:22" x14ac:dyDescent="0.35">
      <c r="A35" t="s">
        <v>54</v>
      </c>
      <c r="B35">
        <v>1965</v>
      </c>
      <c r="C35" t="s">
        <v>57</v>
      </c>
      <c r="D35">
        <v>523</v>
      </c>
      <c r="E35">
        <v>3451558.6</v>
      </c>
      <c r="F35">
        <v>1506950.1</v>
      </c>
      <c r="G35">
        <f>tblMoeHistory[[#This Row],[LEA State and Local Amount]]+tblMoeHistory[[#This Row],[ESD State and Local Amount]]</f>
        <v>4958508.7</v>
      </c>
      <c r="H35">
        <v>0</v>
      </c>
      <c r="I35" t="s">
        <v>239</v>
      </c>
      <c r="J35">
        <f>IFERROR(tblMoeHistory[[#This Row],[LEA State and Local Amount]]/tblMoeHistory[[#This Row],[Child Count]],0)</f>
        <v>6599.538432122371</v>
      </c>
      <c r="K35">
        <f>IFERROR(tblMoeHistory[[#This Row],[ESD State and Local Amount]]/tblMoeHistory[[#This Row],[Child Count]],0)</f>
        <v>2881.3577437858512</v>
      </c>
      <c r="L35">
        <f>IFERROR(tblMoeHistory[[#This Row],[State and Local Total Amount]]/tblMoeHistory[[#This Row],[Child Count]],0)</f>
        <v>9480.8961759082213</v>
      </c>
      <c r="M35">
        <v>0</v>
      </c>
      <c r="N35" t="s">
        <v>239</v>
      </c>
      <c r="O35">
        <v>722167</v>
      </c>
      <c r="P35">
        <v>5958.09</v>
      </c>
      <c r="Q35">
        <f>tblMoeHistory[[#This Row],[Amount of IDEA Part B, Section 611 award]]+tblMoeHistory[[#This Row],[Amount of IDEA Part B, Section 619 award]]</f>
        <v>728125.09</v>
      </c>
      <c r="U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 t="str">
        <f>IF(OR(IFERROR(SEARCH("Met",tblMoeHistory[[#This Row],[State and Local Per Capita Result]]),0)&gt;0,IFERROR(SEARCH("Met",tblMoeHistory[[#This Row],[State and Local Total Result]]),0)&gt;0),"Met","Not Met")</f>
        <v>Met</v>
      </c>
    </row>
    <row r="36" spans="1:22" x14ac:dyDescent="0.35">
      <c r="A36" t="s">
        <v>55</v>
      </c>
      <c r="B36">
        <v>1964</v>
      </c>
      <c r="C36" t="s">
        <v>57</v>
      </c>
      <c r="D36">
        <v>126</v>
      </c>
      <c r="E36">
        <v>602866.56999999995</v>
      </c>
      <c r="F36">
        <v>395288.13</v>
      </c>
      <c r="G36">
        <f>tblMoeHistory[[#This Row],[LEA State and Local Amount]]+tblMoeHistory[[#This Row],[ESD State and Local Amount]]</f>
        <v>998154.7</v>
      </c>
      <c r="H36">
        <v>0</v>
      </c>
      <c r="I36" t="s">
        <v>239</v>
      </c>
      <c r="J36">
        <f>IFERROR(tblMoeHistory[[#This Row],[LEA State and Local Amount]]/tblMoeHistory[[#This Row],[Child Count]],0)</f>
        <v>4784.6553174603168</v>
      </c>
      <c r="K36">
        <f>IFERROR(tblMoeHistory[[#This Row],[ESD State and Local Amount]]/tblMoeHistory[[#This Row],[Child Count]],0)</f>
        <v>3137.2073809523808</v>
      </c>
      <c r="L36">
        <f>IFERROR(tblMoeHistory[[#This Row],[State and Local Total Amount]]/tblMoeHistory[[#This Row],[Child Count]],0)</f>
        <v>7921.8626984126977</v>
      </c>
      <c r="M36">
        <v>0</v>
      </c>
      <c r="N36" t="s">
        <v>239</v>
      </c>
      <c r="O36">
        <v>164330.6</v>
      </c>
      <c r="P36">
        <v>2307.33</v>
      </c>
      <c r="Q36">
        <f>tblMoeHistory[[#This Row],[Amount of IDEA Part B, Section 611 award]]+tblMoeHistory[[#This Row],[Amount of IDEA Part B, Section 619 award]]</f>
        <v>166637.93</v>
      </c>
      <c r="U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 t="str">
        <f>IF(OR(IFERROR(SEARCH("Met",tblMoeHistory[[#This Row],[State and Local Per Capita Result]]),0)&gt;0,IFERROR(SEARCH("Met",tblMoeHistory[[#This Row],[State and Local Total Result]]),0)&gt;0),"Met","Not Met")</f>
        <v>Met</v>
      </c>
    </row>
    <row r="37" spans="1:22" x14ac:dyDescent="0.35">
      <c r="A37" t="s">
        <v>56</v>
      </c>
      <c r="B37">
        <v>2186</v>
      </c>
      <c r="C37" t="s">
        <v>57</v>
      </c>
      <c r="D37">
        <v>43</v>
      </c>
      <c r="E37">
        <v>501529.06</v>
      </c>
      <c r="F37">
        <v>188187</v>
      </c>
      <c r="G37">
        <f>tblMoeHistory[[#This Row],[LEA State and Local Amount]]+tblMoeHistory[[#This Row],[ESD State and Local Amount]]</f>
        <v>689716.06</v>
      </c>
      <c r="H37">
        <v>0</v>
      </c>
      <c r="I37" t="s">
        <v>239</v>
      </c>
      <c r="J37">
        <f>IFERROR(tblMoeHistory[[#This Row],[LEA State and Local Amount]]/tblMoeHistory[[#This Row],[Child Count]],0)</f>
        <v>11663.466511627907</v>
      </c>
      <c r="K37">
        <f>IFERROR(tblMoeHistory[[#This Row],[ESD State and Local Amount]]/tblMoeHistory[[#This Row],[Child Count]],0)</f>
        <v>4376.4418604651164</v>
      </c>
      <c r="L37">
        <f>IFERROR(tblMoeHistory[[#This Row],[State and Local Total Amount]]/tblMoeHistory[[#This Row],[Child Count]],0)</f>
        <v>16039.908372093025</v>
      </c>
      <c r="M37">
        <v>0</v>
      </c>
      <c r="N37" t="s">
        <v>239</v>
      </c>
      <c r="O37">
        <v>0</v>
      </c>
      <c r="P37">
        <v>582.38</v>
      </c>
      <c r="Q37">
        <f>tblMoeHistory[[#This Row],[Amount of IDEA Part B, Section 611 award]]+tblMoeHistory[[#This Row],[Amount of IDEA Part B, Section 619 award]]</f>
        <v>582.38</v>
      </c>
      <c r="U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 t="str">
        <f>IF(OR(IFERROR(SEARCH("Met",tblMoeHistory[[#This Row],[State and Local Per Capita Result]]),0)&gt;0,IFERROR(SEARCH("Met",tblMoeHistory[[#This Row],[State and Local Total Result]]),0)&gt;0),"Met","Not Met")</f>
        <v>Met</v>
      </c>
    </row>
    <row r="38" spans="1:22" x14ac:dyDescent="0.35">
      <c r="A38" t="s">
        <v>58</v>
      </c>
      <c r="B38">
        <v>1901</v>
      </c>
      <c r="C38" t="s">
        <v>57</v>
      </c>
      <c r="D38">
        <v>683</v>
      </c>
      <c r="E38">
        <v>5909506.9900000002</v>
      </c>
      <c r="F38">
        <v>561522</v>
      </c>
      <c r="G38">
        <f>tblMoeHistory[[#This Row],[LEA State and Local Amount]]+tblMoeHistory[[#This Row],[ESD State and Local Amount]]</f>
        <v>6471028.9900000002</v>
      </c>
      <c r="H38">
        <v>0</v>
      </c>
      <c r="I38" t="s">
        <v>239</v>
      </c>
      <c r="J38">
        <f>IFERROR(tblMoeHistory[[#This Row],[LEA State and Local Amount]]/tblMoeHistory[[#This Row],[Child Count]],0)</f>
        <v>8652.2796339677898</v>
      </c>
      <c r="K38">
        <f>IFERROR(tblMoeHistory[[#This Row],[ESD State and Local Amount]]/tblMoeHistory[[#This Row],[Child Count]],0)</f>
        <v>822.14055636896046</v>
      </c>
      <c r="L38">
        <f>IFERROR(tblMoeHistory[[#This Row],[State and Local Total Amount]]/tblMoeHistory[[#This Row],[Child Count]],0)</f>
        <v>9474.4201903367502</v>
      </c>
      <c r="M38">
        <v>0</v>
      </c>
      <c r="N38" t="s">
        <v>239</v>
      </c>
      <c r="O38">
        <v>1012898.75</v>
      </c>
      <c r="P38">
        <v>6512.43</v>
      </c>
      <c r="Q38">
        <f>tblMoeHistory[[#This Row],[Amount of IDEA Part B, Section 611 award]]+tblMoeHistory[[#This Row],[Amount of IDEA Part B, Section 619 award]]</f>
        <v>1019411.18</v>
      </c>
      <c r="U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 t="str">
        <f>IF(OR(IFERROR(SEARCH("Met",tblMoeHistory[[#This Row],[State and Local Per Capita Result]]),0)&gt;0,IFERROR(SEARCH("Met",tblMoeHistory[[#This Row],[State and Local Total Result]]),0)&gt;0),"Met","Not Met")</f>
        <v>Met</v>
      </c>
    </row>
    <row r="39" spans="1:22" x14ac:dyDescent="0.35">
      <c r="A39" t="s">
        <v>59</v>
      </c>
      <c r="B39">
        <v>2216</v>
      </c>
      <c r="C39" t="s">
        <v>57</v>
      </c>
      <c r="D39">
        <v>22</v>
      </c>
      <c r="E39">
        <v>131919.98000000001</v>
      </c>
      <c r="F39">
        <v>64680.37</v>
      </c>
      <c r="G39">
        <f>tblMoeHistory[[#This Row],[LEA State and Local Amount]]+tblMoeHistory[[#This Row],[ESD State and Local Amount]]</f>
        <v>196600.35</v>
      </c>
      <c r="H39">
        <v>0</v>
      </c>
      <c r="I39" t="s">
        <v>239</v>
      </c>
      <c r="J39">
        <f>IFERROR(tblMoeHistory[[#This Row],[LEA State and Local Amount]]/tblMoeHistory[[#This Row],[Child Count]],0)</f>
        <v>5996.3627272727281</v>
      </c>
      <c r="K39">
        <f>IFERROR(tblMoeHistory[[#This Row],[ESD State and Local Amount]]/tblMoeHistory[[#This Row],[Child Count]],0)</f>
        <v>2940.0168181818185</v>
      </c>
      <c r="L39">
        <f>IFERROR(tblMoeHistory[[#This Row],[State and Local Total Amount]]/tblMoeHistory[[#This Row],[Child Count]],0)</f>
        <v>8936.3795454545452</v>
      </c>
      <c r="M39">
        <v>0</v>
      </c>
      <c r="N39" t="s">
        <v>239</v>
      </c>
      <c r="O39">
        <v>43845.33</v>
      </c>
      <c r="P39">
        <v>1490.78</v>
      </c>
      <c r="Q39">
        <f>tblMoeHistory[[#This Row],[Amount of IDEA Part B, Section 611 award]]+tblMoeHistory[[#This Row],[Amount of IDEA Part B, Section 619 award]]</f>
        <v>45336.11</v>
      </c>
      <c r="U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 t="str">
        <f>IF(OR(IFERROR(SEARCH("Met",tblMoeHistory[[#This Row],[State and Local Per Capita Result]]),0)&gt;0,IFERROR(SEARCH("Met",tblMoeHistory[[#This Row],[State and Local Total Result]]),0)&gt;0),"Met","Not Met")</f>
        <v>Met</v>
      </c>
    </row>
    <row r="40" spans="1:22" x14ac:dyDescent="0.35">
      <c r="A40" t="s">
        <v>60</v>
      </c>
      <c r="B40">
        <v>2086</v>
      </c>
      <c r="C40" t="s">
        <v>57</v>
      </c>
      <c r="D40">
        <v>242</v>
      </c>
      <c r="E40">
        <v>1821513.17</v>
      </c>
      <c r="F40">
        <v>580331</v>
      </c>
      <c r="G40">
        <f>tblMoeHistory[[#This Row],[LEA State and Local Amount]]+tblMoeHistory[[#This Row],[ESD State and Local Amount]]</f>
        <v>2401844.17</v>
      </c>
      <c r="H40">
        <v>0</v>
      </c>
      <c r="I40" t="s">
        <v>239</v>
      </c>
      <c r="J40">
        <f>IFERROR(tblMoeHistory[[#This Row],[LEA State and Local Amount]]/tblMoeHistory[[#This Row],[Child Count]],0)</f>
        <v>7526.9139256198341</v>
      </c>
      <c r="K40">
        <f>IFERROR(tblMoeHistory[[#This Row],[ESD State and Local Amount]]/tblMoeHistory[[#This Row],[Child Count]],0)</f>
        <v>2398.0619834710742</v>
      </c>
      <c r="L40">
        <f>IFERROR(tblMoeHistory[[#This Row],[State and Local Total Amount]]/tblMoeHistory[[#This Row],[Child Count]],0)</f>
        <v>9924.9759090909083</v>
      </c>
      <c r="M40">
        <v>0</v>
      </c>
      <c r="N40" t="s">
        <v>239</v>
      </c>
      <c r="O40">
        <v>234903.95</v>
      </c>
      <c r="P40">
        <v>2161.52</v>
      </c>
      <c r="Q40">
        <f>tblMoeHistory[[#This Row],[Amount of IDEA Part B, Section 611 award]]+tblMoeHistory[[#This Row],[Amount of IDEA Part B, Section 619 award]]</f>
        <v>237065.47</v>
      </c>
      <c r="U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 t="str">
        <f>IF(OR(IFERROR(SEARCH("Met",tblMoeHistory[[#This Row],[State and Local Per Capita Result]]),0)&gt;0,IFERROR(SEARCH("Met",tblMoeHistory[[#This Row],[State and Local Total Result]]),0)&gt;0),"Met","Not Met")</f>
        <v>Met</v>
      </c>
    </row>
    <row r="41" spans="1:22" x14ac:dyDescent="0.35">
      <c r="A41" t="s">
        <v>61</v>
      </c>
      <c r="B41">
        <v>1970</v>
      </c>
      <c r="C41" t="s">
        <v>57</v>
      </c>
      <c r="D41">
        <v>431</v>
      </c>
      <c r="E41">
        <v>2990778.63</v>
      </c>
      <c r="F41">
        <v>141571</v>
      </c>
      <c r="G41">
        <f>tblMoeHistory[[#This Row],[LEA State and Local Amount]]+tblMoeHistory[[#This Row],[ESD State and Local Amount]]</f>
        <v>3132349.63</v>
      </c>
      <c r="H41">
        <v>0</v>
      </c>
      <c r="I41" t="s">
        <v>239</v>
      </c>
      <c r="J41">
        <f>IFERROR(tblMoeHistory[[#This Row],[LEA State and Local Amount]]/tblMoeHistory[[#This Row],[Child Count]],0)</f>
        <v>6939.1615545243612</v>
      </c>
      <c r="K41">
        <f>IFERROR(tblMoeHistory[[#This Row],[ESD State and Local Amount]]/tblMoeHistory[[#This Row],[Child Count]],0)</f>
        <v>328.47099767981439</v>
      </c>
      <c r="L41">
        <f>IFERROR(tblMoeHistory[[#This Row],[State and Local Total Amount]]/tblMoeHistory[[#This Row],[Child Count]],0)</f>
        <v>7267.6325522041761</v>
      </c>
      <c r="M41">
        <v>0</v>
      </c>
      <c r="N41" t="s">
        <v>239</v>
      </c>
      <c r="O41">
        <v>578341.76</v>
      </c>
      <c r="P41">
        <v>9435.2199999999993</v>
      </c>
      <c r="Q41">
        <f>tblMoeHistory[[#This Row],[Amount of IDEA Part B, Section 611 award]]+tblMoeHistory[[#This Row],[Amount of IDEA Part B, Section 619 award]]</f>
        <v>587776.98</v>
      </c>
      <c r="U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 t="str">
        <f>IF(OR(IFERROR(SEARCH("Met",tblMoeHistory[[#This Row],[State and Local Per Capita Result]]),0)&gt;0,IFERROR(SEARCH("Met",tblMoeHistory[[#This Row],[State and Local Total Result]]),0)&gt;0),"Met","Not Met")</f>
        <v>Met</v>
      </c>
    </row>
    <row r="42" spans="1:22" x14ac:dyDescent="0.35">
      <c r="A42" t="s">
        <v>62</v>
      </c>
      <c r="B42">
        <v>2089</v>
      </c>
      <c r="C42" t="s">
        <v>57</v>
      </c>
      <c r="D42">
        <v>59</v>
      </c>
      <c r="E42">
        <v>417323.34</v>
      </c>
      <c r="F42">
        <v>121345</v>
      </c>
      <c r="G42">
        <f>tblMoeHistory[[#This Row],[LEA State and Local Amount]]+tblMoeHistory[[#This Row],[ESD State and Local Amount]]</f>
        <v>538668.34000000008</v>
      </c>
      <c r="H42">
        <v>0</v>
      </c>
      <c r="I42" t="s">
        <v>239</v>
      </c>
      <c r="J42">
        <f>IFERROR(tblMoeHistory[[#This Row],[LEA State and Local Amount]]/tblMoeHistory[[#This Row],[Child Count]],0)</f>
        <v>7073.2769491525432</v>
      </c>
      <c r="K42">
        <f>IFERROR(tblMoeHistory[[#This Row],[ESD State and Local Amount]]/tblMoeHistory[[#This Row],[Child Count]],0)</f>
        <v>2056.6949152542375</v>
      </c>
      <c r="L42">
        <f>IFERROR(tblMoeHistory[[#This Row],[State and Local Total Amount]]/tblMoeHistory[[#This Row],[Child Count]],0)</f>
        <v>9129.9718644067816</v>
      </c>
      <c r="M42">
        <v>0</v>
      </c>
      <c r="N42" t="s">
        <v>239</v>
      </c>
      <c r="O42">
        <v>66756.69</v>
      </c>
      <c r="P42">
        <v>497.33</v>
      </c>
      <c r="Q42">
        <f>tblMoeHistory[[#This Row],[Amount of IDEA Part B, Section 611 award]]+tblMoeHistory[[#This Row],[Amount of IDEA Part B, Section 619 award]]</f>
        <v>67254.02</v>
      </c>
      <c r="U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 t="str">
        <f>IF(OR(IFERROR(SEARCH("Met",tblMoeHistory[[#This Row],[State and Local Per Capita Result]]),0)&gt;0,IFERROR(SEARCH("Met",tblMoeHistory[[#This Row],[State and Local Total Result]]),0)&gt;0),"Met","Not Met")</f>
        <v>Met</v>
      </c>
    </row>
    <row r="43" spans="1:22" x14ac:dyDescent="0.35">
      <c r="A43" t="s">
        <v>63</v>
      </c>
      <c r="B43">
        <v>2050</v>
      </c>
      <c r="C43" t="s">
        <v>57</v>
      </c>
      <c r="D43">
        <v>64</v>
      </c>
      <c r="E43">
        <v>488498.41</v>
      </c>
      <c r="F43">
        <v>200645.94</v>
      </c>
      <c r="G43">
        <f>tblMoeHistory[[#This Row],[LEA State and Local Amount]]+tblMoeHistory[[#This Row],[ESD State and Local Amount]]</f>
        <v>689144.35</v>
      </c>
      <c r="H43">
        <v>0</v>
      </c>
      <c r="I43" t="s">
        <v>239</v>
      </c>
      <c r="J43">
        <f>IFERROR(tblMoeHistory[[#This Row],[LEA State and Local Amount]]/tblMoeHistory[[#This Row],[Child Count]],0)</f>
        <v>7632.7876562499996</v>
      </c>
      <c r="K43">
        <f>IFERROR(tblMoeHistory[[#This Row],[ESD State and Local Amount]]/tblMoeHistory[[#This Row],[Child Count]],0)</f>
        <v>3135.0928125</v>
      </c>
      <c r="L43">
        <f>IFERROR(tblMoeHistory[[#This Row],[State and Local Total Amount]]/tblMoeHistory[[#This Row],[Child Count]],0)</f>
        <v>10767.88046875</v>
      </c>
      <c r="M43">
        <v>0</v>
      </c>
      <c r="N43" t="s">
        <v>239</v>
      </c>
      <c r="O43">
        <v>106983.23</v>
      </c>
      <c r="P43">
        <v>0</v>
      </c>
      <c r="Q43">
        <f>tblMoeHistory[[#This Row],[Amount of IDEA Part B, Section 611 award]]+tblMoeHistory[[#This Row],[Amount of IDEA Part B, Section 619 award]]</f>
        <v>106983.23</v>
      </c>
      <c r="U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 t="str">
        <f>IF(OR(IFERROR(SEARCH("Met",tblMoeHistory[[#This Row],[State and Local Per Capita Result]]),0)&gt;0,IFERROR(SEARCH("Met",tblMoeHistory[[#This Row],[State and Local Total Result]]),0)&gt;0),"Met","Not Met")</f>
        <v>Met</v>
      </c>
    </row>
    <row r="44" spans="1:22" x14ac:dyDescent="0.35">
      <c r="A44" t="s">
        <v>64</v>
      </c>
      <c r="B44">
        <v>2190</v>
      </c>
      <c r="C44" t="s">
        <v>57</v>
      </c>
      <c r="D44">
        <v>440</v>
      </c>
      <c r="E44">
        <v>3465320.57</v>
      </c>
      <c r="F44">
        <v>323564.44</v>
      </c>
      <c r="G44">
        <f>tblMoeHistory[[#This Row],[LEA State and Local Amount]]+tblMoeHistory[[#This Row],[ESD State and Local Amount]]</f>
        <v>3788885.01</v>
      </c>
      <c r="H44">
        <v>0</v>
      </c>
      <c r="I44" t="s">
        <v>239</v>
      </c>
      <c r="J44">
        <f>IFERROR(tblMoeHistory[[#This Row],[LEA State and Local Amount]]/tblMoeHistory[[#This Row],[Child Count]],0)</f>
        <v>7875.7285681818175</v>
      </c>
      <c r="K44">
        <f>IFERROR(tblMoeHistory[[#This Row],[ESD State and Local Amount]]/tblMoeHistory[[#This Row],[Child Count]],0)</f>
        <v>735.37372727272725</v>
      </c>
      <c r="L44">
        <f>IFERROR(tblMoeHistory[[#This Row],[State and Local Total Amount]]/tblMoeHistory[[#This Row],[Child Count]],0)</f>
        <v>8611.1022954545442</v>
      </c>
      <c r="M44">
        <v>0</v>
      </c>
      <c r="N44" t="s">
        <v>239</v>
      </c>
      <c r="O44">
        <v>492296.71</v>
      </c>
      <c r="P44">
        <v>3071.32</v>
      </c>
      <c r="Q44">
        <f>tblMoeHistory[[#This Row],[Amount of IDEA Part B, Section 611 award]]+tblMoeHistory[[#This Row],[Amount of IDEA Part B, Section 619 award]]</f>
        <v>495368.03</v>
      </c>
      <c r="U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 t="str">
        <f>IF(OR(IFERROR(SEARCH("Met",tblMoeHistory[[#This Row],[State and Local Per Capita Result]]),0)&gt;0,IFERROR(SEARCH("Met",tblMoeHistory[[#This Row],[State and Local Total Result]]),0)&gt;0),"Met","Not Met")</f>
        <v>Met</v>
      </c>
    </row>
    <row r="45" spans="1:22" x14ac:dyDescent="0.35">
      <c r="A45" t="s">
        <v>65</v>
      </c>
      <c r="B45">
        <v>2187</v>
      </c>
      <c r="C45" t="s">
        <v>57</v>
      </c>
      <c r="D45">
        <v>1409</v>
      </c>
      <c r="E45">
        <v>10227516.35</v>
      </c>
      <c r="F45">
        <v>1885469</v>
      </c>
      <c r="G45">
        <f>tblMoeHistory[[#This Row],[LEA State and Local Amount]]+tblMoeHistory[[#This Row],[ESD State and Local Amount]]</f>
        <v>12112985.35</v>
      </c>
      <c r="H45">
        <v>0</v>
      </c>
      <c r="I45" t="s">
        <v>239</v>
      </c>
      <c r="J45">
        <f>IFERROR(tblMoeHistory[[#This Row],[LEA State and Local Amount]]/tblMoeHistory[[#This Row],[Child Count]],0)</f>
        <v>7258.7057132718237</v>
      </c>
      <c r="K45">
        <f>IFERROR(tblMoeHistory[[#This Row],[ESD State and Local Amount]]/tblMoeHistory[[#This Row],[Child Count]],0)</f>
        <v>1338.1611071682044</v>
      </c>
      <c r="L45">
        <f>IFERROR(tblMoeHistory[[#This Row],[State and Local Total Amount]]/tblMoeHistory[[#This Row],[Child Count]],0)</f>
        <v>8596.8668204400274</v>
      </c>
      <c r="M45">
        <v>0</v>
      </c>
      <c r="N45" t="s">
        <v>239</v>
      </c>
      <c r="O45">
        <v>1695370.3</v>
      </c>
      <c r="P45">
        <v>7444.5</v>
      </c>
      <c r="Q45">
        <f>tblMoeHistory[[#This Row],[Amount of IDEA Part B, Section 611 award]]+tblMoeHistory[[#This Row],[Amount of IDEA Part B, Section 619 award]]</f>
        <v>1702814.8</v>
      </c>
      <c r="U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 t="str">
        <f>IF(OR(IFERROR(SEARCH("Met",tblMoeHistory[[#This Row],[State and Local Per Capita Result]]),0)&gt;0,IFERROR(SEARCH("Met",tblMoeHistory[[#This Row],[State and Local Total Result]]),0)&gt;0),"Met","Not Met")</f>
        <v>Met</v>
      </c>
    </row>
    <row r="46" spans="1:22" x14ac:dyDescent="0.35">
      <c r="A46" t="s">
        <v>66</v>
      </c>
      <c r="B46">
        <v>2253</v>
      </c>
      <c r="C46" t="s">
        <v>57</v>
      </c>
      <c r="D46">
        <v>123</v>
      </c>
      <c r="E46">
        <v>811547.82</v>
      </c>
      <c r="F46">
        <v>68282.149999999994</v>
      </c>
      <c r="G46">
        <f>tblMoeHistory[[#This Row],[LEA State and Local Amount]]+tblMoeHistory[[#This Row],[ESD State and Local Amount]]</f>
        <v>879829.97</v>
      </c>
      <c r="H46">
        <v>0</v>
      </c>
      <c r="I46" t="s">
        <v>239</v>
      </c>
      <c r="J46">
        <f>IFERROR(tblMoeHistory[[#This Row],[LEA State and Local Amount]]/tblMoeHistory[[#This Row],[Child Count]],0)</f>
        <v>6597.9497560975606</v>
      </c>
      <c r="K46">
        <f>IFERROR(tblMoeHistory[[#This Row],[ESD State and Local Amount]]/tblMoeHistory[[#This Row],[Child Count]],0)</f>
        <v>555.13943089430893</v>
      </c>
      <c r="L46">
        <f>IFERROR(tblMoeHistory[[#This Row],[State and Local Total Amount]]/tblMoeHistory[[#This Row],[Child Count]],0)</f>
        <v>7153.0891869918696</v>
      </c>
      <c r="M46">
        <v>0</v>
      </c>
      <c r="N46" t="s">
        <v>239</v>
      </c>
      <c r="O46">
        <v>160392.74</v>
      </c>
      <c r="P46">
        <v>1682.32</v>
      </c>
      <c r="Q46">
        <f>tblMoeHistory[[#This Row],[Amount of IDEA Part B, Section 611 award]]+tblMoeHistory[[#This Row],[Amount of IDEA Part B, Section 619 award]]</f>
        <v>162075.06</v>
      </c>
      <c r="U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 t="str">
        <f>IF(OR(IFERROR(SEARCH("Met",tblMoeHistory[[#This Row],[State and Local Per Capita Result]]),0)&gt;0,IFERROR(SEARCH("Met",tblMoeHistory[[#This Row],[State and Local Total Result]]),0)&gt;0),"Met","Not Met")</f>
        <v>Met</v>
      </c>
    </row>
    <row r="47" spans="1:22" x14ac:dyDescent="0.35">
      <c r="A47" t="s">
        <v>67</v>
      </c>
      <c r="B47">
        <v>2011</v>
      </c>
      <c r="C47" t="s">
        <v>57</v>
      </c>
      <c r="D47">
        <v>9</v>
      </c>
      <c r="E47">
        <v>6240.78</v>
      </c>
      <c r="F47">
        <v>85066.03</v>
      </c>
      <c r="G47">
        <f>tblMoeHistory[[#This Row],[LEA State and Local Amount]]+tblMoeHistory[[#This Row],[ESD State and Local Amount]]</f>
        <v>91306.81</v>
      </c>
      <c r="H47">
        <v>0</v>
      </c>
      <c r="I47" t="s">
        <v>239</v>
      </c>
      <c r="J47">
        <f>IFERROR(tblMoeHistory[[#This Row],[LEA State and Local Amount]]/tblMoeHistory[[#This Row],[Child Count]],0)</f>
        <v>693.42</v>
      </c>
      <c r="K47">
        <f>IFERROR(tblMoeHistory[[#This Row],[ESD State and Local Amount]]/tblMoeHistory[[#This Row],[Child Count]],0)</f>
        <v>9451.7811111111114</v>
      </c>
      <c r="L47">
        <f>IFERROR(tblMoeHistory[[#This Row],[State and Local Total Amount]]/tblMoeHistory[[#This Row],[Child Count]],0)</f>
        <v>10145.201111111111</v>
      </c>
      <c r="M47">
        <v>0</v>
      </c>
      <c r="N47" t="s">
        <v>239</v>
      </c>
      <c r="O47">
        <v>9799.27</v>
      </c>
      <c r="P47">
        <v>1948.6</v>
      </c>
      <c r="Q47">
        <f>tblMoeHistory[[#This Row],[Amount of IDEA Part B, Section 611 award]]+tblMoeHistory[[#This Row],[Amount of IDEA Part B, Section 619 award]]</f>
        <v>11747.87</v>
      </c>
      <c r="U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 t="str">
        <f>IF(OR(IFERROR(SEARCH("Met",tblMoeHistory[[#This Row],[State and Local Per Capita Result]]),0)&gt;0,IFERROR(SEARCH("Met",tblMoeHistory[[#This Row],[State and Local Total Result]]),0)&gt;0),"Met","Not Met")</f>
        <v>Met</v>
      </c>
    </row>
    <row r="48" spans="1:22" x14ac:dyDescent="0.35">
      <c r="A48" t="s">
        <v>68</v>
      </c>
      <c r="B48">
        <v>2017</v>
      </c>
      <c r="C48" t="s">
        <v>57</v>
      </c>
      <c r="D48">
        <v>3</v>
      </c>
      <c r="E48">
        <v>6670</v>
      </c>
      <c r="F48">
        <v>2441</v>
      </c>
      <c r="G48">
        <f>tblMoeHistory[[#This Row],[LEA State and Local Amount]]+tblMoeHistory[[#This Row],[ESD State and Local Amount]]</f>
        <v>9111</v>
      </c>
      <c r="H48">
        <v>0</v>
      </c>
      <c r="I48" t="s">
        <v>239</v>
      </c>
      <c r="J48">
        <f>IFERROR(tblMoeHistory[[#This Row],[LEA State and Local Amount]]/tblMoeHistory[[#This Row],[Child Count]],0)</f>
        <v>2223.3333333333335</v>
      </c>
      <c r="K48">
        <f>IFERROR(tblMoeHistory[[#This Row],[ESD State and Local Amount]]/tblMoeHistory[[#This Row],[Child Count]],0)</f>
        <v>813.66666666666663</v>
      </c>
      <c r="L48">
        <f>IFERROR(tblMoeHistory[[#This Row],[State and Local Total Amount]]/tblMoeHistory[[#This Row],[Child Count]],0)</f>
        <v>3037</v>
      </c>
      <c r="M48">
        <v>0</v>
      </c>
      <c r="N48" t="s">
        <v>239</v>
      </c>
      <c r="O48">
        <v>1643.32</v>
      </c>
      <c r="P48">
        <v>1.57</v>
      </c>
      <c r="Q48">
        <f>tblMoeHistory[[#This Row],[Amount of IDEA Part B, Section 611 award]]+tblMoeHistory[[#This Row],[Amount of IDEA Part B, Section 619 award]]</f>
        <v>1644.8899999999999</v>
      </c>
      <c r="U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 t="str">
        <f>IF(OR(IFERROR(SEARCH("Met",tblMoeHistory[[#This Row],[State and Local Per Capita Result]]),0)&gt;0,IFERROR(SEARCH("Met",tblMoeHistory[[#This Row],[State and Local Total Result]]),0)&gt;0),"Met","Not Met")</f>
        <v>Met</v>
      </c>
    </row>
    <row r="49" spans="1:22" x14ac:dyDescent="0.35">
      <c r="A49" t="s">
        <v>69</v>
      </c>
      <c r="B49">
        <v>2021</v>
      </c>
      <c r="C49" t="s">
        <v>57</v>
      </c>
      <c r="D49">
        <v>0</v>
      </c>
      <c r="E49">
        <v>1561.67</v>
      </c>
      <c r="F49">
        <v>188</v>
      </c>
      <c r="G49">
        <f>tblMoeHistory[[#This Row],[LEA State and Local Amount]]+tblMoeHistory[[#This Row],[ESD State and Local Amount]]</f>
        <v>1749.67</v>
      </c>
      <c r="H49">
        <v>0</v>
      </c>
      <c r="I49" t="s">
        <v>239</v>
      </c>
      <c r="J49">
        <f>IFERROR(tblMoeHistory[[#This Row],[LEA State and Local Amount]]/tblMoeHistory[[#This Row],[Child Count]],0)</f>
        <v>0</v>
      </c>
      <c r="K49">
        <f>IFERROR(tblMoeHistory[[#This Row],[ESD State and Local Amount]]/tblMoeHistory[[#This Row],[Child Count]],0)</f>
        <v>0</v>
      </c>
      <c r="L49">
        <f>IFERROR(tblMoeHistory[[#This Row],[State and Local Total Amount]]/tblMoeHistory[[#This Row],[Child Count]],0)</f>
        <v>0</v>
      </c>
      <c r="M49">
        <v>0</v>
      </c>
      <c r="N49" t="s">
        <v>239</v>
      </c>
      <c r="O49">
        <v>920.75</v>
      </c>
      <c r="P49">
        <v>0.38</v>
      </c>
      <c r="Q49">
        <f>tblMoeHistory[[#This Row],[Amount of IDEA Part B, Section 611 award]]+tblMoeHistory[[#This Row],[Amount of IDEA Part B, Section 619 award]]</f>
        <v>921.13</v>
      </c>
      <c r="U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 t="str">
        <f>IF(OR(IFERROR(SEARCH("Met",tblMoeHistory[[#This Row],[State and Local Per Capita Result]]),0)&gt;0,IFERROR(SEARCH("Met",tblMoeHistory[[#This Row],[State and Local Total Result]]),0)&gt;0),"Met","Not Met")</f>
        <v>Met</v>
      </c>
    </row>
    <row r="50" spans="1:22" x14ac:dyDescent="0.35">
      <c r="A50" t="s">
        <v>70</v>
      </c>
      <c r="B50">
        <v>1993</v>
      </c>
      <c r="C50" t="s">
        <v>57</v>
      </c>
      <c r="D50">
        <v>13</v>
      </c>
      <c r="E50">
        <v>140666.97</v>
      </c>
      <c r="F50">
        <v>33743.39</v>
      </c>
      <c r="G50">
        <f>tblMoeHistory[[#This Row],[LEA State and Local Amount]]+tblMoeHistory[[#This Row],[ESD State and Local Amount]]</f>
        <v>174410.36</v>
      </c>
      <c r="H50">
        <v>0</v>
      </c>
      <c r="I50" t="s">
        <v>239</v>
      </c>
      <c r="J50">
        <f>IFERROR(tblMoeHistory[[#This Row],[LEA State and Local Amount]]/tblMoeHistory[[#This Row],[Child Count]],0)</f>
        <v>10820.536153846155</v>
      </c>
      <c r="K50">
        <f>IFERROR(tblMoeHistory[[#This Row],[ESD State and Local Amount]]/tblMoeHistory[[#This Row],[Child Count]],0)</f>
        <v>2595.6453846153845</v>
      </c>
      <c r="L50">
        <f>IFERROR(tblMoeHistory[[#This Row],[State and Local Total Amount]]/tblMoeHistory[[#This Row],[Child Count]],0)</f>
        <v>13416.181538461537</v>
      </c>
      <c r="M50">
        <v>0</v>
      </c>
      <c r="N50" t="s">
        <v>239</v>
      </c>
      <c r="O50">
        <v>53614.96</v>
      </c>
      <c r="P50">
        <v>1495.13</v>
      </c>
      <c r="Q50">
        <f>tblMoeHistory[[#This Row],[Amount of IDEA Part B, Section 611 award]]+tblMoeHistory[[#This Row],[Amount of IDEA Part B, Section 619 award]]</f>
        <v>55110.09</v>
      </c>
      <c r="U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 t="str">
        <f>IF(OR(IFERROR(SEARCH("Met",tblMoeHistory[[#This Row],[State and Local Per Capita Result]]),0)&gt;0,IFERROR(SEARCH("Met",tblMoeHistory[[#This Row],[State and Local Total Result]]),0)&gt;0),"Met","Not Met")</f>
        <v>Met</v>
      </c>
    </row>
    <row r="51" spans="1:22" x14ac:dyDescent="0.35">
      <c r="A51" t="s">
        <v>71</v>
      </c>
      <c r="B51">
        <v>1991</v>
      </c>
      <c r="C51" t="s">
        <v>57</v>
      </c>
      <c r="D51">
        <v>692</v>
      </c>
      <c r="E51">
        <v>4199253.49</v>
      </c>
      <c r="F51">
        <v>1215431.54</v>
      </c>
      <c r="G51">
        <f>tblMoeHistory[[#This Row],[LEA State and Local Amount]]+tblMoeHistory[[#This Row],[ESD State and Local Amount]]</f>
        <v>5414685.0300000003</v>
      </c>
      <c r="H51">
        <v>0</v>
      </c>
      <c r="I51" t="s">
        <v>239</v>
      </c>
      <c r="J51">
        <f>IFERROR(tblMoeHistory[[#This Row],[LEA State and Local Amount]]/tblMoeHistory[[#This Row],[Child Count]],0)</f>
        <v>6068.2853901734106</v>
      </c>
      <c r="K51">
        <f>IFERROR(tblMoeHistory[[#This Row],[ESD State and Local Amount]]/tblMoeHistory[[#This Row],[Child Count]],0)</f>
        <v>1756.4039595375723</v>
      </c>
      <c r="L51">
        <f>IFERROR(tblMoeHistory[[#This Row],[State and Local Total Amount]]/tblMoeHistory[[#This Row],[Child Count]],0)</f>
        <v>7824.6893497109832</v>
      </c>
      <c r="M51">
        <v>0</v>
      </c>
      <c r="N51" t="s">
        <v>239</v>
      </c>
      <c r="O51">
        <v>1092832.8700000001</v>
      </c>
      <c r="P51">
        <v>9619.49</v>
      </c>
      <c r="Q51">
        <f>tblMoeHistory[[#This Row],[Amount of IDEA Part B, Section 611 award]]+tblMoeHistory[[#This Row],[Amount of IDEA Part B, Section 619 award]]</f>
        <v>1102452.3600000001</v>
      </c>
      <c r="U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 t="str">
        <f>IF(OR(IFERROR(SEARCH("Met",tblMoeHistory[[#This Row],[State and Local Per Capita Result]]),0)&gt;0,IFERROR(SEARCH("Met",tblMoeHistory[[#This Row],[State and Local Total Result]]),0)&gt;0),"Met","Not Met")</f>
        <v>Met</v>
      </c>
    </row>
    <row r="52" spans="1:22" x14ac:dyDescent="0.35">
      <c r="A52" t="s">
        <v>72</v>
      </c>
      <c r="B52">
        <v>2019</v>
      </c>
      <c r="C52" t="s">
        <v>57</v>
      </c>
      <c r="D52">
        <v>3</v>
      </c>
      <c r="E52">
        <v>11241.4</v>
      </c>
      <c r="F52">
        <v>2066</v>
      </c>
      <c r="G52">
        <f>tblMoeHistory[[#This Row],[LEA State and Local Amount]]+tblMoeHistory[[#This Row],[ESD State and Local Amount]]</f>
        <v>13307.4</v>
      </c>
      <c r="H52">
        <v>0</v>
      </c>
      <c r="I52" t="s">
        <v>239</v>
      </c>
      <c r="J52">
        <f>IFERROR(tblMoeHistory[[#This Row],[LEA State and Local Amount]]/tblMoeHistory[[#This Row],[Child Count]],0)</f>
        <v>3747.1333333333332</v>
      </c>
      <c r="K52">
        <f>IFERROR(tblMoeHistory[[#This Row],[ESD State and Local Amount]]/tblMoeHistory[[#This Row],[Child Count]],0)</f>
        <v>688.66666666666663</v>
      </c>
      <c r="L52">
        <f>IFERROR(tblMoeHistory[[#This Row],[State and Local Total Amount]]/tblMoeHistory[[#This Row],[Child Count]],0)</f>
        <v>4435.8</v>
      </c>
      <c r="M52">
        <v>0</v>
      </c>
      <c r="N52" t="s">
        <v>239</v>
      </c>
      <c r="O52">
        <v>2438.39</v>
      </c>
      <c r="P52">
        <v>1.34</v>
      </c>
      <c r="Q52">
        <f>tblMoeHistory[[#This Row],[Amount of IDEA Part B, Section 611 award]]+tblMoeHistory[[#This Row],[Amount of IDEA Part B, Section 619 award]]</f>
        <v>2439.73</v>
      </c>
      <c r="U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 t="str">
        <f>IF(OR(IFERROR(SEARCH("Met",tblMoeHistory[[#This Row],[State and Local Per Capita Result]]),0)&gt;0,IFERROR(SEARCH("Met",tblMoeHistory[[#This Row],[State and Local Total Result]]),0)&gt;0),"Met","Not Met")</f>
        <v>Met</v>
      </c>
    </row>
    <row r="53" spans="1:22" x14ac:dyDescent="0.35">
      <c r="A53" t="s">
        <v>73</v>
      </c>
      <c r="B53">
        <v>2229</v>
      </c>
      <c r="C53" t="s">
        <v>57</v>
      </c>
      <c r="D53">
        <v>32</v>
      </c>
      <c r="E53">
        <v>216146.92</v>
      </c>
      <c r="F53">
        <v>0</v>
      </c>
      <c r="G53">
        <f>tblMoeHistory[[#This Row],[LEA State and Local Amount]]+tblMoeHistory[[#This Row],[ESD State and Local Amount]]</f>
        <v>216146.92</v>
      </c>
      <c r="H53">
        <v>0</v>
      </c>
      <c r="I53" t="s">
        <v>239</v>
      </c>
      <c r="J53">
        <f>IFERROR(tblMoeHistory[[#This Row],[LEA State and Local Amount]]/tblMoeHistory[[#This Row],[Child Count]],0)</f>
        <v>6754.5912500000004</v>
      </c>
      <c r="K53">
        <f>IFERROR(tblMoeHistory[[#This Row],[ESD State and Local Amount]]/tblMoeHistory[[#This Row],[Child Count]],0)</f>
        <v>0</v>
      </c>
      <c r="L53">
        <f>IFERROR(tblMoeHistory[[#This Row],[State and Local Total Amount]]/tblMoeHistory[[#This Row],[Child Count]],0)</f>
        <v>6754.5912500000004</v>
      </c>
      <c r="M53">
        <v>0</v>
      </c>
      <c r="N53" t="s">
        <v>239</v>
      </c>
      <c r="O53">
        <v>38885.9</v>
      </c>
      <c r="P53">
        <v>0</v>
      </c>
      <c r="Q53">
        <f>tblMoeHistory[[#This Row],[Amount of IDEA Part B, Section 611 award]]+tblMoeHistory[[#This Row],[Amount of IDEA Part B, Section 619 award]]</f>
        <v>38885.9</v>
      </c>
      <c r="U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 t="str">
        <f>IF(OR(IFERROR(SEARCH("Met",tblMoeHistory[[#This Row],[State and Local Per Capita Result]]),0)&gt;0,IFERROR(SEARCH("Met",tblMoeHistory[[#This Row],[State and Local Total Result]]),0)&gt;0),"Met","Not Met")</f>
        <v>Met</v>
      </c>
    </row>
    <row r="54" spans="1:22" x14ac:dyDescent="0.35">
      <c r="A54" t="s">
        <v>74</v>
      </c>
      <c r="B54">
        <v>2043</v>
      </c>
      <c r="C54" t="s">
        <v>57</v>
      </c>
      <c r="D54">
        <v>487</v>
      </c>
      <c r="E54">
        <v>2963745.68</v>
      </c>
      <c r="F54">
        <v>866368.67</v>
      </c>
      <c r="G54">
        <f>tblMoeHistory[[#This Row],[LEA State and Local Amount]]+tblMoeHistory[[#This Row],[ESD State and Local Amount]]</f>
        <v>3830114.35</v>
      </c>
      <c r="H54">
        <v>0</v>
      </c>
      <c r="I54" t="s">
        <v>239</v>
      </c>
      <c r="J54">
        <f>IFERROR(tblMoeHistory[[#This Row],[LEA State and Local Amount]]/tblMoeHistory[[#This Row],[Child Count]],0)</f>
        <v>6085.7200821355236</v>
      </c>
      <c r="K54">
        <f>IFERROR(tblMoeHistory[[#This Row],[ESD State and Local Amount]]/tblMoeHistory[[#This Row],[Child Count]],0)</f>
        <v>1778.9911088295689</v>
      </c>
      <c r="L54">
        <f>IFERROR(tblMoeHistory[[#This Row],[State and Local Total Amount]]/tblMoeHistory[[#This Row],[Child Count]],0)</f>
        <v>7864.711190965093</v>
      </c>
      <c r="M54">
        <v>0</v>
      </c>
      <c r="N54" t="s">
        <v>239</v>
      </c>
      <c r="O54">
        <v>716727.94</v>
      </c>
      <c r="P54">
        <v>4456.59</v>
      </c>
      <c r="Q54">
        <f>tblMoeHistory[[#This Row],[Amount of IDEA Part B, Section 611 award]]+tblMoeHistory[[#This Row],[Amount of IDEA Part B, Section 619 award]]</f>
        <v>721184.52999999991</v>
      </c>
      <c r="U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 t="str">
        <f>IF(OR(IFERROR(SEARCH("Met",tblMoeHistory[[#This Row],[State and Local Per Capita Result]]),0)&gt;0,IFERROR(SEARCH("Met",tblMoeHistory[[#This Row],[State and Local Total Result]]),0)&gt;0),"Met","Not Met")</f>
        <v>Met</v>
      </c>
    </row>
    <row r="55" spans="1:22" x14ac:dyDescent="0.35">
      <c r="A55" t="s">
        <v>75</v>
      </c>
      <c r="B55">
        <v>2203</v>
      </c>
      <c r="C55" t="s">
        <v>57</v>
      </c>
      <c r="D55">
        <v>30</v>
      </c>
      <c r="E55">
        <v>144676.42000000001</v>
      </c>
      <c r="F55">
        <v>48196.2</v>
      </c>
      <c r="G55">
        <f>tblMoeHistory[[#This Row],[LEA State and Local Amount]]+tblMoeHistory[[#This Row],[ESD State and Local Amount]]</f>
        <v>192872.62</v>
      </c>
      <c r="H55">
        <v>0</v>
      </c>
      <c r="I55" t="s">
        <v>239</v>
      </c>
      <c r="J55">
        <f>IFERROR(tblMoeHistory[[#This Row],[LEA State and Local Amount]]/tblMoeHistory[[#This Row],[Child Count]],0)</f>
        <v>4822.5473333333339</v>
      </c>
      <c r="K55">
        <f>IFERROR(tblMoeHistory[[#This Row],[ESD State and Local Amount]]/tblMoeHistory[[#This Row],[Child Count]],0)</f>
        <v>1606.54</v>
      </c>
      <c r="L55">
        <f>IFERROR(tblMoeHistory[[#This Row],[State and Local Total Amount]]/tblMoeHistory[[#This Row],[Child Count]],0)</f>
        <v>6429.0873333333329</v>
      </c>
      <c r="M55">
        <v>0</v>
      </c>
      <c r="N55" t="s">
        <v>239</v>
      </c>
      <c r="O55">
        <v>39728.11</v>
      </c>
      <c r="P55">
        <v>103.33</v>
      </c>
      <c r="Q55">
        <f>tblMoeHistory[[#This Row],[Amount of IDEA Part B, Section 611 award]]+tblMoeHistory[[#This Row],[Amount of IDEA Part B, Section 619 award]]</f>
        <v>39831.440000000002</v>
      </c>
      <c r="U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 t="str">
        <f>IF(OR(IFERROR(SEARCH("Met",tblMoeHistory[[#This Row],[State and Local Per Capita Result]]),0)&gt;0,IFERROR(SEARCH("Met",tblMoeHistory[[#This Row],[State and Local Total Result]]),0)&gt;0),"Met","Not Met")</f>
        <v>Met</v>
      </c>
    </row>
    <row r="56" spans="1:22" x14ac:dyDescent="0.35">
      <c r="A56" t="s">
        <v>76</v>
      </c>
      <c r="B56">
        <v>2217</v>
      </c>
      <c r="C56" t="s">
        <v>57</v>
      </c>
      <c r="D56">
        <v>89</v>
      </c>
      <c r="E56">
        <v>392199.67999999999</v>
      </c>
      <c r="F56">
        <v>117634.37</v>
      </c>
      <c r="G56">
        <f>tblMoeHistory[[#This Row],[LEA State and Local Amount]]+tblMoeHistory[[#This Row],[ESD State and Local Amount]]</f>
        <v>509834.05</v>
      </c>
      <c r="H56">
        <v>0</v>
      </c>
      <c r="I56" t="s">
        <v>239</v>
      </c>
      <c r="J56">
        <f>IFERROR(tblMoeHistory[[#This Row],[LEA State and Local Amount]]/tblMoeHistory[[#This Row],[Child Count]],0)</f>
        <v>4406.7379775280897</v>
      </c>
      <c r="K56">
        <f>IFERROR(tblMoeHistory[[#This Row],[ESD State and Local Amount]]/tblMoeHistory[[#This Row],[Child Count]],0)</f>
        <v>1321.7344943820224</v>
      </c>
      <c r="L56">
        <f>IFERROR(tblMoeHistory[[#This Row],[State and Local Total Amount]]/tblMoeHistory[[#This Row],[Child Count]],0)</f>
        <v>5728.4724719101123</v>
      </c>
      <c r="M56">
        <v>0</v>
      </c>
      <c r="N56" t="s">
        <v>239</v>
      </c>
      <c r="O56">
        <v>83664.09</v>
      </c>
      <c r="P56">
        <v>177.31</v>
      </c>
      <c r="Q56">
        <f>tblMoeHistory[[#This Row],[Amount of IDEA Part B, Section 611 award]]+tblMoeHistory[[#This Row],[Amount of IDEA Part B, Section 619 award]]</f>
        <v>83841.399999999994</v>
      </c>
      <c r="U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 t="str">
        <f>IF(OR(IFERROR(SEARCH("Met",tblMoeHistory[[#This Row],[State and Local Per Capita Result]]),0)&gt;0,IFERROR(SEARCH("Met",tblMoeHistory[[#This Row],[State and Local Total Result]]),0)&gt;0),"Met","Not Met")</f>
        <v>Met</v>
      </c>
    </row>
    <row r="57" spans="1:22" x14ac:dyDescent="0.35">
      <c r="A57" t="s">
        <v>77</v>
      </c>
      <c r="B57">
        <v>1998</v>
      </c>
      <c r="C57" t="s">
        <v>57</v>
      </c>
      <c r="D57">
        <v>23</v>
      </c>
      <c r="E57">
        <v>141792.57999999999</v>
      </c>
      <c r="F57">
        <v>34579.9</v>
      </c>
      <c r="G57">
        <f>tblMoeHistory[[#This Row],[LEA State and Local Amount]]+tblMoeHistory[[#This Row],[ESD State and Local Amount]]</f>
        <v>176372.47999999998</v>
      </c>
      <c r="H57">
        <v>0</v>
      </c>
      <c r="I57" t="s">
        <v>239</v>
      </c>
      <c r="J57">
        <f>IFERROR(tblMoeHistory[[#This Row],[LEA State and Local Amount]]/tblMoeHistory[[#This Row],[Child Count]],0)</f>
        <v>6164.8947826086951</v>
      </c>
      <c r="K57">
        <f>IFERROR(tblMoeHistory[[#This Row],[ESD State and Local Amount]]/tblMoeHistory[[#This Row],[Child Count]],0)</f>
        <v>1503.4739130434784</v>
      </c>
      <c r="L57">
        <f>IFERROR(tblMoeHistory[[#This Row],[State and Local Total Amount]]/tblMoeHistory[[#This Row],[Child Count]],0)</f>
        <v>7668.3686956521733</v>
      </c>
      <c r="M57">
        <v>0</v>
      </c>
      <c r="N57" t="s">
        <v>239</v>
      </c>
      <c r="O57">
        <v>35738.83</v>
      </c>
      <c r="P57">
        <v>0</v>
      </c>
      <c r="Q57">
        <f>tblMoeHistory[[#This Row],[Amount of IDEA Part B, Section 611 award]]+tblMoeHistory[[#This Row],[Amount of IDEA Part B, Section 619 award]]</f>
        <v>35738.83</v>
      </c>
      <c r="U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 t="str">
        <f>IF(OR(IFERROR(SEARCH("Met",tblMoeHistory[[#This Row],[State and Local Per Capita Result]]),0)&gt;0,IFERROR(SEARCH("Met",tblMoeHistory[[#This Row],[State and Local Total Result]]),0)&gt;0),"Met","Not Met")</f>
        <v>Met</v>
      </c>
    </row>
    <row r="58" spans="1:22" x14ac:dyDescent="0.35">
      <c r="A58" t="s">
        <v>78</v>
      </c>
      <c r="B58">
        <v>2221</v>
      </c>
      <c r="C58" t="s">
        <v>57</v>
      </c>
      <c r="D58">
        <v>69</v>
      </c>
      <c r="E58">
        <v>4443.2299999999996</v>
      </c>
      <c r="F58">
        <v>363086.94</v>
      </c>
      <c r="G58">
        <f>tblMoeHistory[[#This Row],[LEA State and Local Amount]]+tblMoeHistory[[#This Row],[ESD State and Local Amount]]</f>
        <v>367530.17</v>
      </c>
      <c r="H58">
        <v>0</v>
      </c>
      <c r="I58" t="s">
        <v>239</v>
      </c>
      <c r="J58">
        <f>IFERROR(tblMoeHistory[[#This Row],[LEA State and Local Amount]]/tblMoeHistory[[#This Row],[Child Count]],0)</f>
        <v>64.394637681159409</v>
      </c>
      <c r="K58">
        <f>IFERROR(tblMoeHistory[[#This Row],[ESD State and Local Amount]]/tblMoeHistory[[#This Row],[Child Count]],0)</f>
        <v>5262.1295652173912</v>
      </c>
      <c r="L58">
        <f>IFERROR(tblMoeHistory[[#This Row],[State and Local Total Amount]]/tblMoeHistory[[#This Row],[Child Count]],0)</f>
        <v>5326.5242028985504</v>
      </c>
      <c r="M58">
        <v>0</v>
      </c>
      <c r="N58" t="s">
        <v>239</v>
      </c>
      <c r="O58">
        <v>89733.55</v>
      </c>
      <c r="P58">
        <v>618.57000000000005</v>
      </c>
      <c r="Q58">
        <f>tblMoeHistory[[#This Row],[Amount of IDEA Part B, Section 611 award]]+tblMoeHistory[[#This Row],[Amount of IDEA Part B, Section 619 award]]</f>
        <v>90352.12000000001</v>
      </c>
      <c r="U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 t="str">
        <f>IF(OR(IFERROR(SEARCH("Met",tblMoeHistory[[#This Row],[State and Local Per Capita Result]]),0)&gt;0,IFERROR(SEARCH("Met",tblMoeHistory[[#This Row],[State and Local Total Result]]),0)&gt;0),"Met","Not Met")</f>
        <v>Met</v>
      </c>
    </row>
    <row r="59" spans="1:22" x14ac:dyDescent="0.35">
      <c r="A59" t="s">
        <v>79</v>
      </c>
      <c r="B59">
        <v>1930</v>
      </c>
      <c r="C59" t="s">
        <v>57</v>
      </c>
      <c r="D59">
        <v>327</v>
      </c>
      <c r="E59">
        <v>2668134.2200000002</v>
      </c>
      <c r="F59">
        <v>533251</v>
      </c>
      <c r="G59">
        <f>tblMoeHistory[[#This Row],[LEA State and Local Amount]]+tblMoeHistory[[#This Row],[ESD State and Local Amount]]</f>
        <v>3201385.22</v>
      </c>
      <c r="H59">
        <v>0</v>
      </c>
      <c r="I59" t="s">
        <v>239</v>
      </c>
      <c r="J59">
        <f>IFERROR(tblMoeHistory[[#This Row],[LEA State and Local Amount]]/tblMoeHistory[[#This Row],[Child Count]],0)</f>
        <v>8159.4318654434255</v>
      </c>
      <c r="K59">
        <f>IFERROR(tblMoeHistory[[#This Row],[ESD State and Local Amount]]/tblMoeHistory[[#This Row],[Child Count]],0)</f>
        <v>1630.7370030581039</v>
      </c>
      <c r="L59">
        <f>IFERROR(tblMoeHistory[[#This Row],[State and Local Total Amount]]/tblMoeHistory[[#This Row],[Child Count]],0)</f>
        <v>9790.1688685015288</v>
      </c>
      <c r="M59">
        <v>0</v>
      </c>
      <c r="N59" t="s">
        <v>239</v>
      </c>
      <c r="O59">
        <v>464915.99</v>
      </c>
      <c r="P59">
        <v>2414.63</v>
      </c>
      <c r="Q59">
        <f>tblMoeHistory[[#This Row],[Amount of IDEA Part B, Section 611 award]]+tblMoeHistory[[#This Row],[Amount of IDEA Part B, Section 619 award]]</f>
        <v>467330.62</v>
      </c>
      <c r="U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 t="str">
        <f>IF(OR(IFERROR(SEARCH("Met",tblMoeHistory[[#This Row],[State and Local Per Capita Result]]),0)&gt;0,IFERROR(SEARCH("Met",tblMoeHistory[[#This Row],[State and Local Total Result]]),0)&gt;0),"Met","Not Met")</f>
        <v>Met</v>
      </c>
    </row>
    <row r="60" spans="1:22" x14ac:dyDescent="0.35">
      <c r="A60" t="s">
        <v>80</v>
      </c>
      <c r="B60">
        <v>2082</v>
      </c>
      <c r="C60" t="s">
        <v>57</v>
      </c>
      <c r="D60">
        <v>2419</v>
      </c>
      <c r="E60">
        <v>18786434.300000001</v>
      </c>
      <c r="F60">
        <v>3140595</v>
      </c>
      <c r="G60">
        <f>tblMoeHistory[[#This Row],[LEA State and Local Amount]]+tblMoeHistory[[#This Row],[ESD State and Local Amount]]</f>
        <v>21927029.300000001</v>
      </c>
      <c r="H60">
        <v>0</v>
      </c>
      <c r="I60" t="s">
        <v>239</v>
      </c>
      <c r="J60">
        <f>IFERROR(tblMoeHistory[[#This Row],[LEA State and Local Amount]]/tblMoeHistory[[#This Row],[Child Count]],0)</f>
        <v>7766.1985531211249</v>
      </c>
      <c r="K60">
        <f>IFERROR(tblMoeHistory[[#This Row],[ESD State and Local Amount]]/tblMoeHistory[[#This Row],[Child Count]],0)</f>
        <v>1298.3030177759404</v>
      </c>
      <c r="L60">
        <f>IFERROR(tblMoeHistory[[#This Row],[State and Local Total Amount]]/tblMoeHistory[[#This Row],[Child Count]],0)</f>
        <v>9064.5015708970659</v>
      </c>
      <c r="M60">
        <v>0</v>
      </c>
      <c r="N60" t="s">
        <v>239</v>
      </c>
      <c r="O60">
        <v>3183937.88</v>
      </c>
      <c r="P60">
        <v>25191.9</v>
      </c>
      <c r="Q60">
        <f>tblMoeHistory[[#This Row],[Amount of IDEA Part B, Section 611 award]]+tblMoeHistory[[#This Row],[Amount of IDEA Part B, Section 619 award]]</f>
        <v>3209129.78</v>
      </c>
      <c r="U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 t="str">
        <f>IF(OR(IFERROR(SEARCH("Met",tblMoeHistory[[#This Row],[State and Local Per Capita Result]]),0)&gt;0,IFERROR(SEARCH("Met",tblMoeHistory[[#This Row],[State and Local Total Result]]),0)&gt;0),"Met","Not Met")</f>
        <v>Met</v>
      </c>
    </row>
    <row r="61" spans="1:22" x14ac:dyDescent="0.35">
      <c r="A61" t="s">
        <v>81</v>
      </c>
      <c r="B61">
        <v>2193</v>
      </c>
      <c r="C61" t="s">
        <v>57</v>
      </c>
      <c r="D61">
        <v>0</v>
      </c>
      <c r="E61">
        <v>229473.26</v>
      </c>
      <c r="F61">
        <v>17961.72</v>
      </c>
      <c r="G61">
        <f>tblMoeHistory[[#This Row],[LEA State and Local Amount]]+tblMoeHistory[[#This Row],[ESD State and Local Amount]]</f>
        <v>247434.98</v>
      </c>
      <c r="H61">
        <v>0</v>
      </c>
      <c r="J61">
        <f>IFERROR(tblMoeHistory[[#This Row],[LEA State and Local Amount]]/tblMoeHistory[[#This Row],[Child Count]],0)</f>
        <v>0</v>
      </c>
      <c r="K61">
        <f>IFERROR(tblMoeHistory[[#This Row],[ESD State and Local Amount]]/tblMoeHistory[[#This Row],[Child Count]],0)</f>
        <v>0</v>
      </c>
      <c r="L61">
        <f>IFERROR(tblMoeHistory[[#This Row],[State and Local Total Amount]]/tblMoeHistory[[#This Row],[Child Count]],0)</f>
        <v>0</v>
      </c>
      <c r="M61">
        <v>0</v>
      </c>
      <c r="O61">
        <v>35100.58</v>
      </c>
      <c r="P61">
        <v>0</v>
      </c>
      <c r="Q61">
        <f>tblMoeHistory[[#This Row],[Amount of IDEA Part B, Section 611 award]]+tblMoeHistory[[#This Row],[Amount of IDEA Part B, Section 619 award]]</f>
        <v>35100.58</v>
      </c>
      <c r="U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 t="str">
        <f>IF(OR(IFERROR(SEARCH("Met",tblMoeHistory[[#This Row],[State and Local Per Capita Result]]),0)&gt;0,IFERROR(SEARCH("Met",tblMoeHistory[[#This Row],[State and Local Total Result]]),0)&gt;0),"Met","Not Met")</f>
        <v>Not Met</v>
      </c>
    </row>
    <row r="62" spans="1:22" x14ac:dyDescent="0.35">
      <c r="A62" t="s">
        <v>82</v>
      </c>
      <c r="B62">
        <v>2084</v>
      </c>
      <c r="C62" t="s">
        <v>57</v>
      </c>
      <c r="D62">
        <v>248</v>
      </c>
      <c r="E62">
        <v>1993347.45</v>
      </c>
      <c r="F62">
        <v>736907</v>
      </c>
      <c r="G62">
        <f>tblMoeHistory[[#This Row],[LEA State and Local Amount]]+tblMoeHistory[[#This Row],[ESD State and Local Amount]]</f>
        <v>2730254.45</v>
      </c>
      <c r="H62">
        <v>0</v>
      </c>
      <c r="I62" t="s">
        <v>239</v>
      </c>
      <c r="J62">
        <f>IFERROR(tblMoeHistory[[#This Row],[LEA State and Local Amount]]/tblMoeHistory[[#This Row],[Child Count]],0)</f>
        <v>8037.6913306451615</v>
      </c>
      <c r="K62">
        <f>IFERROR(tblMoeHistory[[#This Row],[ESD State and Local Amount]]/tblMoeHistory[[#This Row],[Child Count]],0)</f>
        <v>2971.3991935483873</v>
      </c>
      <c r="L62">
        <f>IFERROR(tblMoeHistory[[#This Row],[State and Local Total Amount]]/tblMoeHistory[[#This Row],[Child Count]],0)</f>
        <v>11009.090524193549</v>
      </c>
      <c r="M62">
        <v>0</v>
      </c>
      <c r="N62" t="s">
        <v>239</v>
      </c>
      <c r="O62">
        <v>306120.51</v>
      </c>
      <c r="P62">
        <v>1460.37</v>
      </c>
      <c r="Q62">
        <f>tblMoeHistory[[#This Row],[Amount of IDEA Part B, Section 611 award]]+tblMoeHistory[[#This Row],[Amount of IDEA Part B, Section 619 award]]</f>
        <v>307580.88</v>
      </c>
      <c r="U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 t="str">
        <f>IF(OR(IFERROR(SEARCH("Met",tblMoeHistory[[#This Row],[State and Local Per Capita Result]]),0)&gt;0,IFERROR(SEARCH("Met",tblMoeHistory[[#This Row],[State and Local Total Result]]),0)&gt;0),"Met","Not Met")</f>
        <v>Met</v>
      </c>
    </row>
    <row r="63" spans="1:22" x14ac:dyDescent="0.35">
      <c r="A63" t="s">
        <v>83</v>
      </c>
      <c r="B63">
        <v>2241</v>
      </c>
      <c r="C63" t="s">
        <v>57</v>
      </c>
      <c r="D63">
        <v>874</v>
      </c>
      <c r="E63">
        <v>8920850.2799999993</v>
      </c>
      <c r="F63">
        <v>873633</v>
      </c>
      <c r="G63">
        <f>tblMoeHistory[[#This Row],[LEA State and Local Amount]]+tblMoeHistory[[#This Row],[ESD State and Local Amount]]</f>
        <v>9794483.2799999993</v>
      </c>
      <c r="H63">
        <v>0</v>
      </c>
      <c r="I63" t="s">
        <v>239</v>
      </c>
      <c r="J63">
        <f>IFERROR(tblMoeHistory[[#This Row],[LEA State and Local Amount]]/tblMoeHistory[[#This Row],[Child Count]],0)</f>
        <v>10206.922517162471</v>
      </c>
      <c r="K63">
        <f>IFERROR(tblMoeHistory[[#This Row],[ESD State and Local Amount]]/tblMoeHistory[[#This Row],[Child Count]],0)</f>
        <v>999.58009153318073</v>
      </c>
      <c r="L63">
        <f>IFERROR(tblMoeHistory[[#This Row],[State and Local Total Amount]]/tblMoeHistory[[#This Row],[Child Count]],0)</f>
        <v>11206.502608695651</v>
      </c>
      <c r="M63">
        <v>0</v>
      </c>
      <c r="N63" t="s">
        <v>239</v>
      </c>
      <c r="O63">
        <v>971502.28</v>
      </c>
      <c r="P63">
        <v>5163.8500000000004</v>
      </c>
      <c r="Q63">
        <f>tblMoeHistory[[#This Row],[Amount of IDEA Part B, Section 611 award]]+tblMoeHistory[[#This Row],[Amount of IDEA Part B, Section 619 award]]</f>
        <v>976666.13</v>
      </c>
      <c r="U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 t="str">
        <f>IF(OR(IFERROR(SEARCH("Met",tblMoeHistory[[#This Row],[State and Local Per Capita Result]]),0)&gt;0,IFERROR(SEARCH("Met",tblMoeHistory[[#This Row],[State and Local Total Result]]),0)&gt;0),"Met","Not Met")</f>
        <v>Met</v>
      </c>
    </row>
    <row r="64" spans="1:22" x14ac:dyDescent="0.35">
      <c r="A64" t="s">
        <v>84</v>
      </c>
      <c r="B64">
        <v>2248</v>
      </c>
      <c r="C64" t="s">
        <v>57</v>
      </c>
      <c r="D64">
        <v>11</v>
      </c>
      <c r="E64">
        <v>46334.07</v>
      </c>
      <c r="F64">
        <v>29048</v>
      </c>
      <c r="G64">
        <f>tblMoeHistory[[#This Row],[LEA State and Local Amount]]+tblMoeHistory[[#This Row],[ESD State and Local Amount]]</f>
        <v>75382.070000000007</v>
      </c>
      <c r="H64">
        <v>0</v>
      </c>
      <c r="I64" t="s">
        <v>239</v>
      </c>
      <c r="J64">
        <f>IFERROR(tblMoeHistory[[#This Row],[LEA State and Local Amount]]/tblMoeHistory[[#This Row],[Child Count]],0)</f>
        <v>4212.1881818181819</v>
      </c>
      <c r="K64">
        <f>IFERROR(tblMoeHistory[[#This Row],[ESD State and Local Amount]]/tblMoeHistory[[#This Row],[Child Count]],0)</f>
        <v>2640.7272727272725</v>
      </c>
      <c r="L64">
        <f>IFERROR(tblMoeHistory[[#This Row],[State and Local Total Amount]]/tblMoeHistory[[#This Row],[Child Count]],0)</f>
        <v>6852.9154545454548</v>
      </c>
      <c r="M64">
        <v>0</v>
      </c>
      <c r="N64" t="s">
        <v>239</v>
      </c>
      <c r="O64">
        <v>16848.66</v>
      </c>
      <c r="P64">
        <v>14.23</v>
      </c>
      <c r="Q64">
        <f>tblMoeHistory[[#This Row],[Amount of IDEA Part B, Section 611 award]]+tblMoeHistory[[#This Row],[Amount of IDEA Part B, Section 619 award]]</f>
        <v>16862.89</v>
      </c>
      <c r="U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 t="str">
        <f>IF(OR(IFERROR(SEARCH("Met",tblMoeHistory[[#This Row],[State and Local Per Capita Result]]),0)&gt;0,IFERROR(SEARCH("Met",tblMoeHistory[[#This Row],[State and Local Total Result]]),0)&gt;0),"Met","Not Met")</f>
        <v>Met</v>
      </c>
    </row>
    <row r="65" spans="1:22" x14ac:dyDescent="0.35">
      <c r="A65" t="s">
        <v>85</v>
      </c>
      <c r="B65">
        <v>2020</v>
      </c>
      <c r="C65" t="s">
        <v>57</v>
      </c>
      <c r="D65">
        <v>2</v>
      </c>
      <c r="E65">
        <v>8450</v>
      </c>
      <c r="F65">
        <v>1878</v>
      </c>
      <c r="G65">
        <f>tblMoeHistory[[#This Row],[LEA State and Local Amount]]+tblMoeHistory[[#This Row],[ESD State and Local Amount]]</f>
        <v>10328</v>
      </c>
      <c r="H65">
        <v>0</v>
      </c>
      <c r="I65" t="s">
        <v>239</v>
      </c>
      <c r="J65">
        <f>IFERROR(tblMoeHistory[[#This Row],[LEA State and Local Amount]]/tblMoeHistory[[#This Row],[Child Count]],0)</f>
        <v>4225</v>
      </c>
      <c r="K65">
        <f>IFERROR(tblMoeHistory[[#This Row],[ESD State and Local Amount]]/tblMoeHistory[[#This Row],[Child Count]],0)</f>
        <v>939</v>
      </c>
      <c r="L65">
        <f>IFERROR(tblMoeHistory[[#This Row],[State and Local Total Amount]]/tblMoeHistory[[#This Row],[Child Count]],0)</f>
        <v>5164</v>
      </c>
      <c r="M65">
        <v>0</v>
      </c>
      <c r="N65" t="s">
        <v>239</v>
      </c>
      <c r="O65">
        <v>710.15</v>
      </c>
      <c r="P65">
        <v>1.36</v>
      </c>
      <c r="Q65">
        <f>tblMoeHistory[[#This Row],[Amount of IDEA Part B, Section 611 award]]+tblMoeHistory[[#This Row],[Amount of IDEA Part B, Section 619 award]]</f>
        <v>711.51</v>
      </c>
      <c r="U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 t="str">
        <f>IF(OR(IFERROR(SEARCH("Met",tblMoeHistory[[#This Row],[State and Local Per Capita Result]]),0)&gt;0,IFERROR(SEARCH("Met",tblMoeHistory[[#This Row],[State and Local Total Result]]),0)&gt;0),"Met","Not Met")</f>
        <v>Met</v>
      </c>
    </row>
    <row r="66" spans="1:22" x14ac:dyDescent="0.35">
      <c r="A66" t="s">
        <v>86</v>
      </c>
      <c r="B66">
        <v>2245</v>
      </c>
      <c r="C66" t="s">
        <v>57</v>
      </c>
      <c r="D66">
        <v>71</v>
      </c>
      <c r="E66">
        <v>758723.72</v>
      </c>
      <c r="F66">
        <v>102661</v>
      </c>
      <c r="G66">
        <f>tblMoeHistory[[#This Row],[LEA State and Local Amount]]+tblMoeHistory[[#This Row],[ESD State and Local Amount]]</f>
        <v>861384.72</v>
      </c>
      <c r="H66">
        <v>0</v>
      </c>
      <c r="I66" t="s">
        <v>239</v>
      </c>
      <c r="J66">
        <f>IFERROR(tblMoeHistory[[#This Row],[LEA State and Local Amount]]/tblMoeHistory[[#This Row],[Child Count]],0)</f>
        <v>10686.249577464789</v>
      </c>
      <c r="K66">
        <f>IFERROR(tblMoeHistory[[#This Row],[ESD State and Local Amount]]/tblMoeHistory[[#This Row],[Child Count]],0)</f>
        <v>1445.9295774647887</v>
      </c>
      <c r="L66">
        <f>IFERROR(tblMoeHistory[[#This Row],[State and Local Total Amount]]/tblMoeHistory[[#This Row],[Child Count]],0)</f>
        <v>12132.179154929578</v>
      </c>
      <c r="M66">
        <v>0</v>
      </c>
      <c r="N66" t="s">
        <v>239</v>
      </c>
      <c r="O66">
        <v>92056.03</v>
      </c>
      <c r="P66">
        <v>551.48</v>
      </c>
      <c r="Q66">
        <f>tblMoeHistory[[#This Row],[Amount of IDEA Part B, Section 611 award]]+tblMoeHistory[[#This Row],[Amount of IDEA Part B, Section 619 award]]</f>
        <v>92607.51</v>
      </c>
      <c r="U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 t="str">
        <f>IF(OR(IFERROR(SEARCH("Met",tblMoeHistory[[#This Row],[State and Local Per Capita Result]]),0)&gt;0,IFERROR(SEARCH("Met",tblMoeHistory[[#This Row],[State and Local Total Result]]),0)&gt;0),"Met","Not Met")</f>
        <v>Met</v>
      </c>
    </row>
    <row r="67" spans="1:22" x14ac:dyDescent="0.35">
      <c r="A67" t="s">
        <v>87</v>
      </c>
      <c r="B67">
        <v>2137</v>
      </c>
      <c r="C67" t="s">
        <v>57</v>
      </c>
      <c r="D67">
        <v>164</v>
      </c>
      <c r="E67">
        <v>1215408.29</v>
      </c>
      <c r="F67">
        <v>147137.22</v>
      </c>
      <c r="G67">
        <f>tblMoeHistory[[#This Row],[LEA State and Local Amount]]+tblMoeHistory[[#This Row],[ESD State and Local Amount]]</f>
        <v>1362545.51</v>
      </c>
      <c r="H67">
        <v>0</v>
      </c>
      <c r="I67" t="s">
        <v>239</v>
      </c>
      <c r="J67">
        <f>IFERROR(tblMoeHistory[[#This Row],[LEA State and Local Amount]]/tblMoeHistory[[#This Row],[Child Count]],0)</f>
        <v>7411.0261585365852</v>
      </c>
      <c r="K67">
        <f>IFERROR(tblMoeHistory[[#This Row],[ESD State and Local Amount]]/tblMoeHistory[[#This Row],[Child Count]],0)</f>
        <v>897.17817073170727</v>
      </c>
      <c r="L67">
        <f>IFERROR(tblMoeHistory[[#This Row],[State and Local Total Amount]]/tblMoeHistory[[#This Row],[Child Count]],0)</f>
        <v>8308.204329268292</v>
      </c>
      <c r="M67">
        <v>0</v>
      </c>
      <c r="N67" t="s">
        <v>239</v>
      </c>
      <c r="O67">
        <v>224082.92</v>
      </c>
      <c r="P67">
        <v>973.16</v>
      </c>
      <c r="Q67">
        <f>tblMoeHistory[[#This Row],[Amount of IDEA Part B, Section 611 award]]+tblMoeHistory[[#This Row],[Amount of IDEA Part B, Section 619 award]]</f>
        <v>225056.08000000002</v>
      </c>
      <c r="U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 t="str">
        <f>IF(OR(IFERROR(SEARCH("Met",tblMoeHistory[[#This Row],[State and Local Per Capita Result]]),0)&gt;0,IFERROR(SEARCH("Met",tblMoeHistory[[#This Row],[State and Local Total Result]]),0)&gt;0),"Met","Not Met")</f>
        <v>Met</v>
      </c>
    </row>
    <row r="68" spans="1:22" x14ac:dyDescent="0.35">
      <c r="A68" t="s">
        <v>88</v>
      </c>
      <c r="B68">
        <v>1931</v>
      </c>
      <c r="C68" t="s">
        <v>57</v>
      </c>
      <c r="D68">
        <v>281</v>
      </c>
      <c r="E68">
        <v>2023495.56</v>
      </c>
      <c r="F68">
        <v>298511</v>
      </c>
      <c r="G68">
        <f>tblMoeHistory[[#This Row],[LEA State and Local Amount]]+tblMoeHistory[[#This Row],[ESD State and Local Amount]]</f>
        <v>2322006.56</v>
      </c>
      <c r="H68">
        <v>0</v>
      </c>
      <c r="I68" t="s">
        <v>239</v>
      </c>
      <c r="J68">
        <f>IFERROR(tblMoeHistory[[#This Row],[LEA State and Local Amount]]/tblMoeHistory[[#This Row],[Child Count]],0)</f>
        <v>7201.0518149466197</v>
      </c>
      <c r="K68">
        <f>IFERROR(tblMoeHistory[[#This Row],[ESD State and Local Amount]]/tblMoeHistory[[#This Row],[Child Count]],0)</f>
        <v>1062.3167259786476</v>
      </c>
      <c r="L68">
        <f>IFERROR(tblMoeHistory[[#This Row],[State and Local Total Amount]]/tblMoeHistory[[#This Row],[Child Count]],0)</f>
        <v>8263.3685409252666</v>
      </c>
      <c r="M68">
        <v>0</v>
      </c>
      <c r="N68" t="s">
        <v>239</v>
      </c>
      <c r="O68">
        <v>391705.03</v>
      </c>
      <c r="P68">
        <v>1404.42</v>
      </c>
      <c r="Q68">
        <f>tblMoeHistory[[#This Row],[Amount of IDEA Part B, Section 611 award]]+tblMoeHistory[[#This Row],[Amount of IDEA Part B, Section 619 award]]</f>
        <v>393109.45</v>
      </c>
      <c r="U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 t="str">
        <f>IF(OR(IFERROR(SEARCH("Met",tblMoeHistory[[#This Row],[State and Local Per Capita Result]]),0)&gt;0,IFERROR(SEARCH("Met",tblMoeHistory[[#This Row],[State and Local Total Result]]),0)&gt;0),"Met","Not Met")</f>
        <v>Met</v>
      </c>
    </row>
    <row r="69" spans="1:22" x14ac:dyDescent="0.35">
      <c r="A69" t="s">
        <v>89</v>
      </c>
      <c r="B69">
        <v>2000</v>
      </c>
      <c r="C69" t="s">
        <v>57</v>
      </c>
      <c r="D69">
        <v>52</v>
      </c>
      <c r="E69">
        <v>406792.8</v>
      </c>
      <c r="F69">
        <v>91998.88</v>
      </c>
      <c r="G69">
        <f>tblMoeHistory[[#This Row],[LEA State and Local Amount]]+tblMoeHistory[[#This Row],[ESD State and Local Amount]]</f>
        <v>498791.67999999999</v>
      </c>
      <c r="H69">
        <v>0</v>
      </c>
      <c r="I69" t="s">
        <v>239</v>
      </c>
      <c r="J69">
        <f>IFERROR(tblMoeHistory[[#This Row],[LEA State and Local Amount]]/tblMoeHistory[[#This Row],[Child Count]],0)</f>
        <v>7822.9384615384615</v>
      </c>
      <c r="K69">
        <f>IFERROR(tblMoeHistory[[#This Row],[ESD State and Local Amount]]/tblMoeHistory[[#This Row],[Child Count]],0)</f>
        <v>1769.2092307692308</v>
      </c>
      <c r="L69">
        <f>IFERROR(tblMoeHistory[[#This Row],[State and Local Total Amount]]/tblMoeHistory[[#This Row],[Child Count]],0)</f>
        <v>9592.1476923076916</v>
      </c>
      <c r="M69">
        <v>0</v>
      </c>
      <c r="N69" t="s">
        <v>239</v>
      </c>
      <c r="O69">
        <v>71813.63</v>
      </c>
      <c r="P69">
        <v>269.55</v>
      </c>
      <c r="Q69">
        <f>tblMoeHistory[[#This Row],[Amount of IDEA Part B, Section 611 award]]+tblMoeHistory[[#This Row],[Amount of IDEA Part B, Section 619 award]]</f>
        <v>72083.180000000008</v>
      </c>
      <c r="U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 t="str">
        <f>IF(OR(IFERROR(SEARCH("Met",tblMoeHistory[[#This Row],[State and Local Per Capita Result]]),0)&gt;0,IFERROR(SEARCH("Met",tblMoeHistory[[#This Row],[State and Local Total Result]]),0)&gt;0),"Met","Not Met")</f>
        <v>Met</v>
      </c>
    </row>
    <row r="70" spans="1:22" x14ac:dyDescent="0.35">
      <c r="A70" t="s">
        <v>90</v>
      </c>
      <c r="B70">
        <v>1992</v>
      </c>
      <c r="C70" t="s">
        <v>57</v>
      </c>
      <c r="D70">
        <v>85</v>
      </c>
      <c r="E70">
        <v>570670.84</v>
      </c>
      <c r="F70">
        <v>179444.54</v>
      </c>
      <c r="G70">
        <f>tblMoeHistory[[#This Row],[LEA State and Local Amount]]+tblMoeHistory[[#This Row],[ESD State and Local Amount]]</f>
        <v>750115.38</v>
      </c>
      <c r="H70">
        <v>0</v>
      </c>
      <c r="I70" t="s">
        <v>239</v>
      </c>
      <c r="J70">
        <f>IFERROR(tblMoeHistory[[#This Row],[LEA State and Local Amount]]/tblMoeHistory[[#This Row],[Child Count]],0)</f>
        <v>6713.7745882352938</v>
      </c>
      <c r="K70">
        <f>IFERROR(tblMoeHistory[[#This Row],[ESD State and Local Amount]]/tblMoeHistory[[#This Row],[Child Count]],0)</f>
        <v>2111.1122352941179</v>
      </c>
      <c r="L70">
        <f>IFERROR(tblMoeHistory[[#This Row],[State and Local Total Amount]]/tblMoeHistory[[#This Row],[Child Count]],0)</f>
        <v>8824.8868235294121</v>
      </c>
      <c r="M70">
        <v>0</v>
      </c>
      <c r="N70" t="s">
        <v>239</v>
      </c>
      <c r="O70">
        <v>153558.46</v>
      </c>
      <c r="P70">
        <v>0</v>
      </c>
      <c r="Q70">
        <f>tblMoeHistory[[#This Row],[Amount of IDEA Part B, Section 611 award]]+tblMoeHistory[[#This Row],[Amount of IDEA Part B, Section 619 award]]</f>
        <v>153558.46</v>
      </c>
      <c r="U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 t="str">
        <f>IF(OR(IFERROR(SEARCH("Met",tblMoeHistory[[#This Row],[State and Local Per Capita Result]]),0)&gt;0,IFERROR(SEARCH("Met",tblMoeHistory[[#This Row],[State and Local Total Result]]),0)&gt;0),"Met","Not Met")</f>
        <v>Met</v>
      </c>
    </row>
    <row r="71" spans="1:22" x14ac:dyDescent="0.35">
      <c r="A71" t="s">
        <v>91</v>
      </c>
      <c r="B71">
        <v>2054</v>
      </c>
      <c r="C71" t="s">
        <v>57</v>
      </c>
      <c r="D71">
        <v>584</v>
      </c>
      <c r="E71">
        <v>3406458.05</v>
      </c>
      <c r="F71">
        <v>158764.81</v>
      </c>
      <c r="G71">
        <f>tblMoeHistory[[#This Row],[LEA State and Local Amount]]+tblMoeHistory[[#This Row],[ESD State and Local Amount]]</f>
        <v>3565222.86</v>
      </c>
      <c r="H71">
        <v>0</v>
      </c>
      <c r="I71" t="s">
        <v>239</v>
      </c>
      <c r="J71">
        <f>IFERROR(tblMoeHistory[[#This Row],[LEA State and Local Amount]]/tblMoeHistory[[#This Row],[Child Count]],0)</f>
        <v>5832.9761130136985</v>
      </c>
      <c r="K71">
        <f>IFERROR(tblMoeHistory[[#This Row],[ESD State and Local Amount]]/tblMoeHistory[[#This Row],[Child Count]],0)</f>
        <v>271.85755136986302</v>
      </c>
      <c r="L71">
        <f>IFERROR(tblMoeHistory[[#This Row],[State and Local Total Amount]]/tblMoeHistory[[#This Row],[Child Count]],0)</f>
        <v>6104.833664383561</v>
      </c>
      <c r="M71">
        <v>0</v>
      </c>
      <c r="N71" t="s">
        <v>239</v>
      </c>
      <c r="O71">
        <v>822256.31</v>
      </c>
      <c r="P71">
        <v>5906.58</v>
      </c>
      <c r="Q71">
        <f>tblMoeHistory[[#This Row],[Amount of IDEA Part B, Section 611 award]]+tblMoeHistory[[#This Row],[Amount of IDEA Part B, Section 619 award]]</f>
        <v>828162.89</v>
      </c>
      <c r="U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 t="str">
        <f>IF(OR(IFERROR(SEARCH("Met",tblMoeHistory[[#This Row],[State and Local Per Capita Result]]),0)&gt;0,IFERROR(SEARCH("Met",tblMoeHistory[[#This Row],[State and Local Total Result]]),0)&gt;0),"Met","Not Met")</f>
        <v>Met</v>
      </c>
    </row>
    <row r="72" spans="1:22" x14ac:dyDescent="0.35">
      <c r="A72" t="s">
        <v>92</v>
      </c>
      <c r="B72">
        <v>2100</v>
      </c>
      <c r="C72" t="s">
        <v>57</v>
      </c>
      <c r="D72">
        <v>1135</v>
      </c>
      <c r="E72">
        <v>10076179.27</v>
      </c>
      <c r="F72">
        <v>816393</v>
      </c>
      <c r="G72">
        <f>tblMoeHistory[[#This Row],[LEA State and Local Amount]]+tblMoeHistory[[#This Row],[ESD State and Local Amount]]</f>
        <v>10892572.27</v>
      </c>
      <c r="H72">
        <v>0</v>
      </c>
      <c r="I72" t="s">
        <v>239</v>
      </c>
      <c r="J72">
        <f>IFERROR(tblMoeHistory[[#This Row],[LEA State and Local Amount]]/tblMoeHistory[[#This Row],[Child Count]],0)</f>
        <v>8877.6909867841405</v>
      </c>
      <c r="K72">
        <f>IFERROR(tblMoeHistory[[#This Row],[ESD State and Local Amount]]/tblMoeHistory[[#This Row],[Child Count]],0)</f>
        <v>719.288986784141</v>
      </c>
      <c r="L72">
        <f>IFERROR(tblMoeHistory[[#This Row],[State and Local Total Amount]]/tblMoeHistory[[#This Row],[Child Count]],0)</f>
        <v>9596.9799735682809</v>
      </c>
      <c r="M72">
        <v>0</v>
      </c>
      <c r="N72" t="s">
        <v>239</v>
      </c>
      <c r="O72">
        <v>1527254.82</v>
      </c>
      <c r="P72">
        <v>11881.74</v>
      </c>
      <c r="Q72">
        <f>tblMoeHistory[[#This Row],[Amount of IDEA Part B, Section 611 award]]+tblMoeHistory[[#This Row],[Amount of IDEA Part B, Section 619 award]]</f>
        <v>1539136.56</v>
      </c>
      <c r="U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 t="str">
        <f>IF(OR(IFERROR(SEARCH("Met",tblMoeHistory[[#This Row],[State and Local Per Capita Result]]),0)&gt;0,IFERROR(SEARCH("Met",tblMoeHistory[[#This Row],[State and Local Total Result]]),0)&gt;0),"Met","Not Met")</f>
        <v>Met</v>
      </c>
    </row>
    <row r="73" spans="1:22" x14ac:dyDescent="0.35">
      <c r="A73" t="s">
        <v>93</v>
      </c>
      <c r="B73">
        <v>2183</v>
      </c>
      <c r="C73" t="s">
        <v>57</v>
      </c>
      <c r="D73">
        <v>1309</v>
      </c>
      <c r="E73">
        <v>10306258.4</v>
      </c>
      <c r="F73">
        <v>1658912</v>
      </c>
      <c r="G73">
        <f>tblMoeHistory[[#This Row],[LEA State and Local Amount]]+tblMoeHistory[[#This Row],[ESD State and Local Amount]]</f>
        <v>11965170.4</v>
      </c>
      <c r="H73">
        <v>0</v>
      </c>
      <c r="I73" t="s">
        <v>239</v>
      </c>
      <c r="J73">
        <f>IFERROR(tblMoeHistory[[#This Row],[LEA State and Local Amount]]/tblMoeHistory[[#This Row],[Child Count]],0)</f>
        <v>7873.3830404889231</v>
      </c>
      <c r="K73">
        <f>IFERROR(tblMoeHistory[[#This Row],[ESD State and Local Amount]]/tblMoeHistory[[#This Row],[Child Count]],0)</f>
        <v>1267.3124522536286</v>
      </c>
      <c r="L73">
        <f>IFERROR(tblMoeHistory[[#This Row],[State and Local Total Amount]]/tblMoeHistory[[#This Row],[Child Count]],0)</f>
        <v>9140.6954927425522</v>
      </c>
      <c r="M73">
        <v>0</v>
      </c>
      <c r="N73" t="s">
        <v>239</v>
      </c>
      <c r="O73">
        <v>2163160.31</v>
      </c>
      <c r="P73">
        <v>11157.74</v>
      </c>
      <c r="Q73">
        <f>tblMoeHistory[[#This Row],[Amount of IDEA Part B, Section 611 award]]+tblMoeHistory[[#This Row],[Amount of IDEA Part B, Section 619 award]]</f>
        <v>2174318.0500000003</v>
      </c>
      <c r="U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 t="str">
        <f>IF(OR(IFERROR(SEARCH("Met",tblMoeHistory[[#This Row],[State and Local Per Capita Result]]),0)&gt;0,IFERROR(SEARCH("Met",tblMoeHistory[[#This Row],[State and Local Total Result]]),0)&gt;0),"Met","Not Met")</f>
        <v>Met</v>
      </c>
    </row>
    <row r="74" spans="1:22" x14ac:dyDescent="0.35">
      <c r="A74" t="s">
        <v>94</v>
      </c>
      <c r="B74">
        <v>2014</v>
      </c>
      <c r="C74" t="s">
        <v>57</v>
      </c>
      <c r="D74">
        <v>166</v>
      </c>
      <c r="E74">
        <v>1342830.72</v>
      </c>
      <c r="F74">
        <v>157348</v>
      </c>
      <c r="G74">
        <f>tblMoeHistory[[#This Row],[LEA State and Local Amount]]+tblMoeHistory[[#This Row],[ESD State and Local Amount]]</f>
        <v>1500178.72</v>
      </c>
      <c r="H74">
        <v>0</v>
      </c>
      <c r="I74" t="s">
        <v>239</v>
      </c>
      <c r="J74">
        <f>IFERROR(tblMoeHistory[[#This Row],[LEA State and Local Amount]]/tblMoeHistory[[#This Row],[Child Count]],0)</f>
        <v>8089.3416867469878</v>
      </c>
      <c r="K74">
        <f>IFERROR(tblMoeHistory[[#This Row],[ESD State and Local Amount]]/tblMoeHistory[[#This Row],[Child Count]],0)</f>
        <v>947.8795180722891</v>
      </c>
      <c r="L74">
        <f>IFERROR(tblMoeHistory[[#This Row],[State and Local Total Amount]]/tblMoeHistory[[#This Row],[Child Count]],0)</f>
        <v>9037.2212048192778</v>
      </c>
      <c r="M74">
        <v>0</v>
      </c>
      <c r="N74" t="s">
        <v>239</v>
      </c>
      <c r="O74">
        <v>204559.52</v>
      </c>
      <c r="P74">
        <v>2725.93</v>
      </c>
      <c r="Q74">
        <f>tblMoeHistory[[#This Row],[Amount of IDEA Part B, Section 611 award]]+tblMoeHistory[[#This Row],[Amount of IDEA Part B, Section 619 award]]</f>
        <v>207285.44999999998</v>
      </c>
      <c r="U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 t="str">
        <f>IF(OR(IFERROR(SEARCH("Met",tblMoeHistory[[#This Row],[State and Local Per Capita Result]]),0)&gt;0,IFERROR(SEARCH("Met",tblMoeHistory[[#This Row],[State and Local Total Result]]),0)&gt;0),"Met","Not Met")</f>
        <v>Met</v>
      </c>
    </row>
    <row r="75" spans="1:22" x14ac:dyDescent="0.35">
      <c r="A75" t="s">
        <v>95</v>
      </c>
      <c r="B75">
        <v>2015</v>
      </c>
      <c r="C75" t="s">
        <v>57</v>
      </c>
      <c r="D75">
        <v>10</v>
      </c>
      <c r="E75">
        <v>38732.949999999997</v>
      </c>
      <c r="F75">
        <v>4454</v>
      </c>
      <c r="G75">
        <f>tblMoeHistory[[#This Row],[LEA State and Local Amount]]+tblMoeHistory[[#This Row],[ESD State and Local Amount]]</f>
        <v>43186.95</v>
      </c>
      <c r="H75">
        <v>0</v>
      </c>
      <c r="I75" t="s">
        <v>239</v>
      </c>
      <c r="J75">
        <f>IFERROR(tblMoeHistory[[#This Row],[LEA State and Local Amount]]/tblMoeHistory[[#This Row],[Child Count]],0)</f>
        <v>3873.2949999999996</v>
      </c>
      <c r="K75">
        <f>IFERROR(tblMoeHistory[[#This Row],[ESD State and Local Amount]]/tblMoeHistory[[#This Row],[Child Count]],0)</f>
        <v>445.4</v>
      </c>
      <c r="L75">
        <f>IFERROR(tblMoeHistory[[#This Row],[State and Local Total Amount]]/tblMoeHistory[[#This Row],[Child Count]],0)</f>
        <v>4318.6949999999997</v>
      </c>
      <c r="M75">
        <v>0</v>
      </c>
      <c r="N75" t="s">
        <v>239</v>
      </c>
      <c r="O75">
        <v>14668.13</v>
      </c>
      <c r="P75">
        <v>0</v>
      </c>
      <c r="Q75">
        <f>tblMoeHistory[[#This Row],[Amount of IDEA Part B, Section 611 award]]+tblMoeHistory[[#This Row],[Amount of IDEA Part B, Section 619 award]]</f>
        <v>14668.13</v>
      </c>
      <c r="U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 t="str">
        <f>IF(OR(IFERROR(SEARCH("Met",tblMoeHistory[[#This Row],[State and Local Per Capita Result]]),0)&gt;0,IFERROR(SEARCH("Met",tblMoeHistory[[#This Row],[State and Local Total Result]]),0)&gt;0),"Met","Not Met")</f>
        <v>Met</v>
      </c>
    </row>
    <row r="76" spans="1:22" x14ac:dyDescent="0.35">
      <c r="A76" t="s">
        <v>96</v>
      </c>
      <c r="B76">
        <v>2023</v>
      </c>
      <c r="C76" t="s">
        <v>57</v>
      </c>
      <c r="D76">
        <v>9</v>
      </c>
      <c r="E76">
        <v>35680.400000000001</v>
      </c>
      <c r="F76">
        <v>17417</v>
      </c>
      <c r="G76">
        <f>tblMoeHistory[[#This Row],[LEA State and Local Amount]]+tblMoeHistory[[#This Row],[ESD State and Local Amount]]</f>
        <v>53097.4</v>
      </c>
      <c r="H76">
        <v>0</v>
      </c>
      <c r="I76" t="s">
        <v>239</v>
      </c>
      <c r="J76">
        <f>IFERROR(tblMoeHistory[[#This Row],[LEA State and Local Amount]]/tblMoeHistory[[#This Row],[Child Count]],0)</f>
        <v>3964.4888888888891</v>
      </c>
      <c r="K76">
        <f>IFERROR(tblMoeHistory[[#This Row],[ESD State and Local Amount]]/tblMoeHistory[[#This Row],[Child Count]],0)</f>
        <v>1935.2222222222222</v>
      </c>
      <c r="L76">
        <f>IFERROR(tblMoeHistory[[#This Row],[State and Local Total Amount]]/tblMoeHistory[[#This Row],[Child Count]],0)</f>
        <v>5899.7111111111117</v>
      </c>
      <c r="M76">
        <v>0</v>
      </c>
      <c r="N76" t="s">
        <v>239</v>
      </c>
      <c r="O76">
        <v>17783.060000000001</v>
      </c>
      <c r="P76">
        <v>0</v>
      </c>
      <c r="Q76">
        <f>tblMoeHistory[[#This Row],[Amount of IDEA Part B, Section 611 award]]+tblMoeHistory[[#This Row],[Amount of IDEA Part B, Section 619 award]]</f>
        <v>17783.060000000001</v>
      </c>
      <c r="U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 t="str">
        <f>IF(OR(IFERROR(SEARCH("Met",tblMoeHistory[[#This Row],[State and Local Per Capita Result]]),0)&gt;0,IFERROR(SEARCH("Met",tblMoeHistory[[#This Row],[State and Local Total Result]]),0)&gt;0),"Met","Not Met")</f>
        <v>Met</v>
      </c>
    </row>
    <row r="77" spans="1:22" x14ac:dyDescent="0.35">
      <c r="A77" t="s">
        <v>97</v>
      </c>
      <c r="B77">
        <v>2114</v>
      </c>
      <c r="C77" t="s">
        <v>57</v>
      </c>
      <c r="D77">
        <v>4</v>
      </c>
      <c r="E77">
        <v>18671.87</v>
      </c>
      <c r="F77">
        <v>17140.59</v>
      </c>
      <c r="G77">
        <f>tblMoeHistory[[#This Row],[LEA State and Local Amount]]+tblMoeHistory[[#This Row],[ESD State and Local Amount]]</f>
        <v>35812.46</v>
      </c>
      <c r="H77">
        <v>0</v>
      </c>
      <c r="I77" t="s">
        <v>239</v>
      </c>
      <c r="J77">
        <f>IFERROR(tblMoeHistory[[#This Row],[LEA State and Local Amount]]/tblMoeHistory[[#This Row],[Child Count]],0)</f>
        <v>4667.9674999999997</v>
      </c>
      <c r="K77">
        <f>IFERROR(tblMoeHistory[[#This Row],[ESD State and Local Amount]]/tblMoeHistory[[#This Row],[Child Count]],0)</f>
        <v>4285.1475</v>
      </c>
      <c r="L77">
        <f>IFERROR(tblMoeHistory[[#This Row],[State and Local Total Amount]]/tblMoeHistory[[#This Row],[Child Count]],0)</f>
        <v>8953.1149999999998</v>
      </c>
      <c r="M77">
        <v>0</v>
      </c>
      <c r="N77" t="s">
        <v>239</v>
      </c>
      <c r="O77">
        <v>11944.97</v>
      </c>
      <c r="P77">
        <v>979.08</v>
      </c>
      <c r="Q77">
        <f>tblMoeHistory[[#This Row],[Amount of IDEA Part B, Section 611 award]]+tblMoeHistory[[#This Row],[Amount of IDEA Part B, Section 619 award]]</f>
        <v>12924.05</v>
      </c>
      <c r="U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 t="str">
        <f>IF(OR(IFERROR(SEARCH("Met",tblMoeHistory[[#This Row],[State and Local Per Capita Result]]),0)&gt;0,IFERROR(SEARCH("Met",tblMoeHistory[[#This Row],[State and Local Total Result]]),0)&gt;0),"Met","Not Met")</f>
        <v>Met</v>
      </c>
    </row>
    <row r="78" spans="1:22" x14ac:dyDescent="0.35">
      <c r="A78" t="s">
        <v>98</v>
      </c>
      <c r="B78">
        <v>2099</v>
      </c>
      <c r="C78" t="s">
        <v>57</v>
      </c>
      <c r="D78">
        <v>133</v>
      </c>
      <c r="E78">
        <v>872960.04</v>
      </c>
      <c r="F78">
        <v>81685</v>
      </c>
      <c r="G78">
        <f>tblMoeHistory[[#This Row],[LEA State and Local Amount]]+tblMoeHistory[[#This Row],[ESD State and Local Amount]]</f>
        <v>954645.04</v>
      </c>
      <c r="H78">
        <v>0</v>
      </c>
      <c r="I78" t="s">
        <v>239</v>
      </c>
      <c r="J78">
        <f>IFERROR(tblMoeHistory[[#This Row],[LEA State and Local Amount]]/tblMoeHistory[[#This Row],[Child Count]],0)</f>
        <v>6563.6093233082711</v>
      </c>
      <c r="K78">
        <f>IFERROR(tblMoeHistory[[#This Row],[ESD State and Local Amount]]/tblMoeHistory[[#This Row],[Child Count]],0)</f>
        <v>614.17293233082705</v>
      </c>
      <c r="L78">
        <f>IFERROR(tblMoeHistory[[#This Row],[State and Local Total Amount]]/tblMoeHistory[[#This Row],[Child Count]],0)</f>
        <v>7177.7822556390984</v>
      </c>
      <c r="M78">
        <v>0</v>
      </c>
      <c r="N78" t="s">
        <v>239</v>
      </c>
      <c r="O78">
        <v>138320.78</v>
      </c>
      <c r="P78">
        <v>374.41</v>
      </c>
      <c r="Q78">
        <f>tblMoeHistory[[#This Row],[Amount of IDEA Part B, Section 611 award]]+tblMoeHistory[[#This Row],[Amount of IDEA Part B, Section 619 award]]</f>
        <v>138695.19</v>
      </c>
      <c r="U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 t="str">
        <f>IF(OR(IFERROR(SEARCH("Met",tblMoeHistory[[#This Row],[State and Local Per Capita Result]]),0)&gt;0,IFERROR(SEARCH("Met",tblMoeHistory[[#This Row],[State and Local Total Result]]),0)&gt;0),"Met","Not Met")</f>
        <v>Met</v>
      </c>
    </row>
    <row r="79" spans="1:22" x14ac:dyDescent="0.35">
      <c r="A79" t="s">
        <v>99</v>
      </c>
      <c r="B79">
        <v>2201</v>
      </c>
      <c r="C79" t="s">
        <v>57</v>
      </c>
      <c r="D79">
        <v>12</v>
      </c>
      <c r="E79">
        <v>58449.78</v>
      </c>
      <c r="F79">
        <v>19337.990000000002</v>
      </c>
      <c r="G79">
        <f>tblMoeHistory[[#This Row],[LEA State and Local Amount]]+tblMoeHistory[[#This Row],[ESD State and Local Amount]]</f>
        <v>77787.77</v>
      </c>
      <c r="H79">
        <v>0</v>
      </c>
      <c r="I79" t="s">
        <v>239</v>
      </c>
      <c r="J79">
        <f>IFERROR(tblMoeHistory[[#This Row],[LEA State and Local Amount]]/tblMoeHistory[[#This Row],[Child Count]],0)</f>
        <v>4870.8149999999996</v>
      </c>
      <c r="K79">
        <f>IFERROR(tblMoeHistory[[#This Row],[ESD State and Local Amount]]/tblMoeHistory[[#This Row],[Child Count]],0)</f>
        <v>1611.4991666666667</v>
      </c>
      <c r="L79">
        <f>IFERROR(tblMoeHistory[[#This Row],[State and Local Total Amount]]/tblMoeHistory[[#This Row],[Child Count]],0)</f>
        <v>6482.314166666667</v>
      </c>
      <c r="M79">
        <v>0</v>
      </c>
      <c r="N79" t="s">
        <v>239</v>
      </c>
      <c r="O79">
        <v>24533.81</v>
      </c>
      <c r="P79">
        <v>990.15</v>
      </c>
      <c r="Q79">
        <f>tblMoeHistory[[#This Row],[Amount of IDEA Part B, Section 611 award]]+tblMoeHistory[[#This Row],[Amount of IDEA Part B, Section 619 award]]</f>
        <v>25523.960000000003</v>
      </c>
      <c r="U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 t="str">
        <f>IF(OR(IFERROR(SEARCH("Met",tblMoeHistory[[#This Row],[State and Local Per Capita Result]]),0)&gt;0,IFERROR(SEARCH("Met",tblMoeHistory[[#This Row],[State and Local Total Result]]),0)&gt;0),"Met","Not Met")</f>
        <v>Met</v>
      </c>
    </row>
    <row r="80" spans="1:22" x14ac:dyDescent="0.35">
      <c r="A80" t="s">
        <v>100</v>
      </c>
      <c r="B80">
        <v>2206</v>
      </c>
      <c r="C80" t="s">
        <v>57</v>
      </c>
      <c r="D80">
        <v>522</v>
      </c>
      <c r="E80">
        <v>3577231.27</v>
      </c>
      <c r="F80">
        <v>836888.32</v>
      </c>
      <c r="G80">
        <f>tblMoeHistory[[#This Row],[LEA State and Local Amount]]+tblMoeHistory[[#This Row],[ESD State and Local Amount]]</f>
        <v>4414119.59</v>
      </c>
      <c r="H80">
        <v>0</v>
      </c>
      <c r="I80" t="s">
        <v>239</v>
      </c>
      <c r="J80">
        <f>IFERROR(tblMoeHistory[[#This Row],[LEA State and Local Amount]]/tblMoeHistory[[#This Row],[Child Count]],0)</f>
        <v>6852.9334674329502</v>
      </c>
      <c r="K80">
        <f>IFERROR(tblMoeHistory[[#This Row],[ESD State and Local Amount]]/tblMoeHistory[[#This Row],[Child Count]],0)</f>
        <v>1603.2343295019157</v>
      </c>
      <c r="L80">
        <f>IFERROR(tblMoeHistory[[#This Row],[State and Local Total Amount]]/tblMoeHistory[[#This Row],[Child Count]],0)</f>
        <v>8456.1677969348657</v>
      </c>
      <c r="M80">
        <v>0</v>
      </c>
      <c r="N80" t="s">
        <v>239</v>
      </c>
      <c r="O80">
        <v>793110.45</v>
      </c>
      <c r="P80">
        <v>5783.32</v>
      </c>
      <c r="Q80">
        <f>tblMoeHistory[[#This Row],[Amount of IDEA Part B, Section 611 award]]+tblMoeHistory[[#This Row],[Amount of IDEA Part B, Section 619 award]]</f>
        <v>798893.7699999999</v>
      </c>
      <c r="U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 t="str">
        <f>IF(OR(IFERROR(SEARCH("Met",tblMoeHistory[[#This Row],[State and Local Per Capita Result]]),0)&gt;0,IFERROR(SEARCH("Met",tblMoeHistory[[#This Row],[State and Local Total Result]]),0)&gt;0),"Met","Not Met")</f>
        <v>Met</v>
      </c>
    </row>
    <row r="81" spans="1:22" x14ac:dyDescent="0.35">
      <c r="A81" t="s">
        <v>101</v>
      </c>
      <c r="B81">
        <v>2239</v>
      </c>
      <c r="C81" t="s">
        <v>57</v>
      </c>
      <c r="D81">
        <v>2574</v>
      </c>
      <c r="E81">
        <v>23337918.809999999</v>
      </c>
      <c r="F81">
        <v>4141065</v>
      </c>
      <c r="G81">
        <f>tblMoeHistory[[#This Row],[LEA State and Local Amount]]+tblMoeHistory[[#This Row],[ESD State and Local Amount]]</f>
        <v>27478983.809999999</v>
      </c>
      <c r="H81">
        <v>0</v>
      </c>
      <c r="I81" t="s">
        <v>239</v>
      </c>
      <c r="J81">
        <f>IFERROR(tblMoeHistory[[#This Row],[LEA State and Local Amount]]/tblMoeHistory[[#This Row],[Child Count]],0)</f>
        <v>9066.7905244755239</v>
      </c>
      <c r="K81">
        <f>IFERROR(tblMoeHistory[[#This Row],[ESD State and Local Amount]]/tblMoeHistory[[#This Row],[Child Count]],0)</f>
        <v>1608.8053613053612</v>
      </c>
      <c r="L81">
        <f>IFERROR(tblMoeHistory[[#This Row],[State and Local Total Amount]]/tblMoeHistory[[#This Row],[Child Count]],0)</f>
        <v>10675.595885780886</v>
      </c>
      <c r="M81">
        <v>0</v>
      </c>
      <c r="N81" t="s">
        <v>239</v>
      </c>
      <c r="O81">
        <v>3099981.26</v>
      </c>
      <c r="P81">
        <v>17094.490000000002</v>
      </c>
      <c r="Q81">
        <f>tblMoeHistory[[#This Row],[Amount of IDEA Part B, Section 611 award]]+tblMoeHistory[[#This Row],[Amount of IDEA Part B, Section 619 award]]</f>
        <v>3117075.75</v>
      </c>
      <c r="U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 t="str">
        <f>IF(OR(IFERROR(SEARCH("Met",tblMoeHistory[[#This Row],[State and Local Per Capita Result]]),0)&gt;0,IFERROR(SEARCH("Met",tblMoeHistory[[#This Row],[State and Local Total Result]]),0)&gt;0),"Met","Not Met")</f>
        <v>Met</v>
      </c>
    </row>
    <row r="82" spans="1:22" x14ac:dyDescent="0.35">
      <c r="A82" t="s">
        <v>102</v>
      </c>
      <c r="B82">
        <v>2024</v>
      </c>
      <c r="C82" t="s">
        <v>57</v>
      </c>
      <c r="D82">
        <v>536</v>
      </c>
      <c r="E82">
        <v>3430122.63</v>
      </c>
      <c r="F82">
        <v>0</v>
      </c>
      <c r="G82">
        <f>tblMoeHistory[[#This Row],[LEA State and Local Amount]]+tblMoeHistory[[#This Row],[ESD State and Local Amount]]</f>
        <v>3430122.63</v>
      </c>
      <c r="H82">
        <v>0</v>
      </c>
      <c r="I82" t="s">
        <v>239</v>
      </c>
      <c r="J82">
        <f>IFERROR(tblMoeHistory[[#This Row],[LEA State and Local Amount]]/tblMoeHistory[[#This Row],[Child Count]],0)</f>
        <v>6399.4825186567159</v>
      </c>
      <c r="K82">
        <f>IFERROR(tblMoeHistory[[#This Row],[ESD State and Local Amount]]/tblMoeHistory[[#This Row],[Child Count]],0)</f>
        <v>0</v>
      </c>
      <c r="L82">
        <f>IFERROR(tblMoeHistory[[#This Row],[State and Local Total Amount]]/tblMoeHistory[[#This Row],[Child Count]],0)</f>
        <v>6399.4825186567159</v>
      </c>
      <c r="M82">
        <v>0</v>
      </c>
      <c r="N82" t="s">
        <v>239</v>
      </c>
      <c r="O82">
        <v>697773.7</v>
      </c>
      <c r="P82">
        <v>5390.03</v>
      </c>
      <c r="Q82">
        <f>tblMoeHistory[[#This Row],[Amount of IDEA Part B, Section 611 award]]+tblMoeHistory[[#This Row],[Amount of IDEA Part B, Section 619 award]]</f>
        <v>703163.73</v>
      </c>
      <c r="U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 t="str">
        <f>IF(OR(IFERROR(SEARCH("Met",tblMoeHistory[[#This Row],[State and Local Per Capita Result]]),0)&gt;0,IFERROR(SEARCH("Met",tblMoeHistory[[#This Row],[State and Local Total Result]]),0)&gt;0),"Met","Not Met")</f>
        <v>Met</v>
      </c>
    </row>
    <row r="83" spans="1:22" x14ac:dyDescent="0.35">
      <c r="A83" t="s">
        <v>103</v>
      </c>
      <c r="B83">
        <v>1895</v>
      </c>
      <c r="C83" t="s">
        <v>57</v>
      </c>
      <c r="D83">
        <v>15</v>
      </c>
      <c r="E83">
        <v>65774.77</v>
      </c>
      <c r="F83">
        <v>19822.900000000001</v>
      </c>
      <c r="G83">
        <f>tblMoeHistory[[#This Row],[LEA State and Local Amount]]+tblMoeHistory[[#This Row],[ESD State and Local Amount]]</f>
        <v>85597.670000000013</v>
      </c>
      <c r="H83">
        <v>0</v>
      </c>
      <c r="I83" t="s">
        <v>239</v>
      </c>
      <c r="J83">
        <f>IFERROR(tblMoeHistory[[#This Row],[LEA State and Local Amount]]/tblMoeHistory[[#This Row],[Child Count]],0)</f>
        <v>4384.9846666666672</v>
      </c>
      <c r="K83">
        <f>IFERROR(tblMoeHistory[[#This Row],[ESD State and Local Amount]]/tblMoeHistory[[#This Row],[Child Count]],0)</f>
        <v>1321.5266666666669</v>
      </c>
      <c r="L83">
        <f>IFERROR(tblMoeHistory[[#This Row],[State and Local Total Amount]]/tblMoeHistory[[#This Row],[Child Count]],0)</f>
        <v>5706.5113333333338</v>
      </c>
      <c r="M83">
        <v>0</v>
      </c>
      <c r="N83" t="s">
        <v>239</v>
      </c>
      <c r="O83">
        <v>14916.05</v>
      </c>
      <c r="P83">
        <v>980.74</v>
      </c>
      <c r="Q83">
        <f>tblMoeHistory[[#This Row],[Amount of IDEA Part B, Section 611 award]]+tblMoeHistory[[#This Row],[Amount of IDEA Part B, Section 619 award]]</f>
        <v>15896.789999999999</v>
      </c>
      <c r="U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 t="str">
        <f>IF(OR(IFERROR(SEARCH("Met",tblMoeHistory[[#This Row],[State and Local Per Capita Result]]),0)&gt;0,IFERROR(SEARCH("Met",tblMoeHistory[[#This Row],[State and Local Total Result]]),0)&gt;0),"Met","Not Met")</f>
        <v>Met</v>
      </c>
    </row>
    <row r="84" spans="1:22" x14ac:dyDescent="0.35">
      <c r="A84" t="s">
        <v>104</v>
      </c>
      <c r="B84">
        <v>2215</v>
      </c>
      <c r="C84" t="s">
        <v>57</v>
      </c>
      <c r="D84">
        <v>27</v>
      </c>
      <c r="E84">
        <v>120450.96</v>
      </c>
      <c r="F84">
        <v>86443.82</v>
      </c>
      <c r="G84">
        <f>tblMoeHistory[[#This Row],[LEA State and Local Amount]]+tblMoeHistory[[#This Row],[ESD State and Local Amount]]</f>
        <v>206894.78000000003</v>
      </c>
      <c r="H84">
        <v>0</v>
      </c>
      <c r="I84" t="s">
        <v>239</v>
      </c>
      <c r="J84">
        <f>IFERROR(tblMoeHistory[[#This Row],[LEA State and Local Amount]]/tblMoeHistory[[#This Row],[Child Count]],0)</f>
        <v>4461.1466666666665</v>
      </c>
      <c r="K84">
        <f>IFERROR(tblMoeHistory[[#This Row],[ESD State and Local Amount]]/tblMoeHistory[[#This Row],[Child Count]],0)</f>
        <v>3201.6229629629634</v>
      </c>
      <c r="L84">
        <f>IFERROR(tblMoeHistory[[#This Row],[State and Local Total Amount]]/tblMoeHistory[[#This Row],[Child Count]],0)</f>
        <v>7662.7696296296308</v>
      </c>
      <c r="M84">
        <v>0</v>
      </c>
      <c r="N84" t="s">
        <v>239</v>
      </c>
      <c r="O84">
        <v>66310.509999999995</v>
      </c>
      <c r="P84">
        <v>260.13</v>
      </c>
      <c r="Q84">
        <f>tblMoeHistory[[#This Row],[Amount of IDEA Part B, Section 611 award]]+tblMoeHistory[[#This Row],[Amount of IDEA Part B, Section 619 award]]</f>
        <v>66570.64</v>
      </c>
      <c r="U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 t="str">
        <f>IF(OR(IFERROR(SEARCH("Met",tblMoeHistory[[#This Row],[State and Local Per Capita Result]]),0)&gt;0,IFERROR(SEARCH("Met",tblMoeHistory[[#This Row],[State and Local Total Result]]),0)&gt;0),"Met","Not Met")</f>
        <v>Met</v>
      </c>
    </row>
    <row r="85" spans="1:22" x14ac:dyDescent="0.35">
      <c r="A85" t="s">
        <v>105</v>
      </c>
      <c r="B85">
        <v>3997</v>
      </c>
      <c r="C85" t="s">
        <v>57</v>
      </c>
      <c r="D85">
        <v>18</v>
      </c>
      <c r="E85">
        <v>101538.08</v>
      </c>
      <c r="F85">
        <v>28858.22</v>
      </c>
      <c r="G85">
        <f>tblMoeHistory[[#This Row],[LEA State and Local Amount]]+tblMoeHistory[[#This Row],[ESD State and Local Amount]]</f>
        <v>130396.3</v>
      </c>
      <c r="H85">
        <v>0</v>
      </c>
      <c r="I85" t="s">
        <v>239</v>
      </c>
      <c r="J85">
        <f>IFERROR(tblMoeHistory[[#This Row],[LEA State and Local Amount]]/tblMoeHistory[[#This Row],[Child Count]],0)</f>
        <v>5641.0044444444447</v>
      </c>
      <c r="K85">
        <f>IFERROR(tblMoeHistory[[#This Row],[ESD State and Local Amount]]/tblMoeHistory[[#This Row],[Child Count]],0)</f>
        <v>1603.2344444444445</v>
      </c>
      <c r="L85">
        <f>IFERROR(tblMoeHistory[[#This Row],[State and Local Total Amount]]/tblMoeHistory[[#This Row],[Child Count]],0)</f>
        <v>7244.2388888888891</v>
      </c>
      <c r="M85">
        <v>0</v>
      </c>
      <c r="N85" t="s">
        <v>239</v>
      </c>
      <c r="O85">
        <v>26404.05</v>
      </c>
      <c r="P85">
        <v>505.4</v>
      </c>
      <c r="Q85">
        <f>tblMoeHistory[[#This Row],[Amount of IDEA Part B, Section 611 award]]+tblMoeHistory[[#This Row],[Amount of IDEA Part B, Section 619 award]]</f>
        <v>26909.45</v>
      </c>
      <c r="U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 t="str">
        <f>IF(OR(IFERROR(SEARCH("Met",tblMoeHistory[[#This Row],[State and Local Per Capita Result]]),0)&gt;0,IFERROR(SEARCH("Met",tblMoeHistory[[#This Row],[State and Local Total Result]]),0)&gt;0),"Met","Not Met")</f>
        <v>Met</v>
      </c>
    </row>
    <row r="86" spans="1:22" x14ac:dyDescent="0.35">
      <c r="A86" t="s">
        <v>106</v>
      </c>
      <c r="B86">
        <v>2053</v>
      </c>
      <c r="C86" t="s">
        <v>57</v>
      </c>
      <c r="D86">
        <v>360</v>
      </c>
      <c r="E86">
        <v>2490590.36</v>
      </c>
      <c r="F86">
        <v>851300.92</v>
      </c>
      <c r="G86">
        <f>tblMoeHistory[[#This Row],[LEA State and Local Amount]]+tblMoeHistory[[#This Row],[ESD State and Local Amount]]</f>
        <v>3341891.28</v>
      </c>
      <c r="H86">
        <v>0</v>
      </c>
      <c r="I86" t="s">
        <v>239</v>
      </c>
      <c r="J86">
        <f>IFERROR(tblMoeHistory[[#This Row],[LEA State and Local Amount]]/tblMoeHistory[[#This Row],[Child Count]],0)</f>
        <v>6918.306555555555</v>
      </c>
      <c r="K86">
        <f>IFERROR(tblMoeHistory[[#This Row],[ESD State and Local Amount]]/tblMoeHistory[[#This Row],[Child Count]],0)</f>
        <v>2364.7247777777779</v>
      </c>
      <c r="L86">
        <f>IFERROR(tblMoeHistory[[#This Row],[State and Local Total Amount]]/tblMoeHistory[[#This Row],[Child Count]],0)</f>
        <v>9283.0313333333324</v>
      </c>
      <c r="M86">
        <v>0</v>
      </c>
      <c r="N86" t="s">
        <v>239</v>
      </c>
      <c r="O86">
        <v>525063.93000000005</v>
      </c>
      <c r="P86">
        <v>8941.41</v>
      </c>
      <c r="Q86">
        <f>tblMoeHistory[[#This Row],[Amount of IDEA Part B, Section 611 award]]+tblMoeHistory[[#This Row],[Amount of IDEA Part B, Section 619 award]]</f>
        <v>534005.34000000008</v>
      </c>
      <c r="U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 t="str">
        <f>IF(OR(IFERROR(SEARCH("Met",tblMoeHistory[[#This Row],[State and Local Per Capita Result]]),0)&gt;0,IFERROR(SEARCH("Met",tblMoeHistory[[#This Row],[State and Local Total Result]]),0)&gt;0),"Met","Not Met")</f>
        <v>Met</v>
      </c>
    </row>
    <row r="87" spans="1:22" x14ac:dyDescent="0.35">
      <c r="A87" t="s">
        <v>107</v>
      </c>
      <c r="B87">
        <v>2140</v>
      </c>
      <c r="C87" t="s">
        <v>57</v>
      </c>
      <c r="D87">
        <v>148</v>
      </c>
      <c r="E87">
        <v>825711.13</v>
      </c>
      <c r="F87">
        <v>143588.57</v>
      </c>
      <c r="G87">
        <f>tblMoeHistory[[#This Row],[LEA State and Local Amount]]+tblMoeHistory[[#This Row],[ESD State and Local Amount]]</f>
        <v>969299.7</v>
      </c>
      <c r="H87">
        <v>0</v>
      </c>
      <c r="I87" t="s">
        <v>239</v>
      </c>
      <c r="J87">
        <f>IFERROR(tblMoeHistory[[#This Row],[LEA State and Local Amount]]/tblMoeHistory[[#This Row],[Child Count]],0)</f>
        <v>5579.1292567567571</v>
      </c>
      <c r="K87">
        <f>IFERROR(tblMoeHistory[[#This Row],[ESD State and Local Amount]]/tblMoeHistory[[#This Row],[Child Count]],0)</f>
        <v>970.19304054054055</v>
      </c>
      <c r="L87">
        <f>IFERROR(tblMoeHistory[[#This Row],[State and Local Total Amount]]/tblMoeHistory[[#This Row],[Child Count]],0)</f>
        <v>6549.3222972972972</v>
      </c>
      <c r="M87">
        <v>0</v>
      </c>
      <c r="N87" t="s">
        <v>239</v>
      </c>
      <c r="O87">
        <v>149666.51999999999</v>
      </c>
      <c r="P87">
        <v>1452.35</v>
      </c>
      <c r="Q87">
        <f>tblMoeHistory[[#This Row],[Amount of IDEA Part B, Section 611 award]]+tblMoeHistory[[#This Row],[Amount of IDEA Part B, Section 619 award]]</f>
        <v>151118.87</v>
      </c>
      <c r="U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 t="str">
        <f>IF(OR(IFERROR(SEARCH("Met",tblMoeHistory[[#This Row],[State and Local Per Capita Result]]),0)&gt;0,IFERROR(SEARCH("Met",tblMoeHistory[[#This Row],[State and Local Total Result]]),0)&gt;0),"Met","Not Met")</f>
        <v>Met</v>
      </c>
    </row>
    <row r="88" spans="1:22" x14ac:dyDescent="0.35">
      <c r="A88" t="s">
        <v>108</v>
      </c>
      <c r="B88">
        <v>1934</v>
      </c>
      <c r="C88" t="s">
        <v>57</v>
      </c>
      <c r="D88">
        <v>21</v>
      </c>
      <c r="E88">
        <v>197832.84</v>
      </c>
      <c r="F88">
        <v>55638</v>
      </c>
      <c r="G88">
        <f>tblMoeHistory[[#This Row],[LEA State and Local Amount]]+tblMoeHistory[[#This Row],[ESD State and Local Amount]]</f>
        <v>253470.84</v>
      </c>
      <c r="H88">
        <v>0</v>
      </c>
      <c r="I88" t="s">
        <v>239</v>
      </c>
      <c r="J88">
        <f>IFERROR(tblMoeHistory[[#This Row],[LEA State and Local Amount]]/tblMoeHistory[[#This Row],[Child Count]],0)</f>
        <v>9420.6114285714284</v>
      </c>
      <c r="K88">
        <f>IFERROR(tblMoeHistory[[#This Row],[ESD State and Local Amount]]/tblMoeHistory[[#This Row],[Child Count]],0)</f>
        <v>2649.4285714285716</v>
      </c>
      <c r="L88">
        <f>IFERROR(tblMoeHistory[[#This Row],[State and Local Total Amount]]/tblMoeHistory[[#This Row],[Child Count]],0)</f>
        <v>12070.039999999999</v>
      </c>
      <c r="M88">
        <v>0</v>
      </c>
      <c r="N88" t="s">
        <v>239</v>
      </c>
      <c r="O88">
        <v>20493.34</v>
      </c>
      <c r="P88">
        <v>989.93</v>
      </c>
      <c r="Q88">
        <f>tblMoeHistory[[#This Row],[Amount of IDEA Part B, Section 611 award]]+tblMoeHistory[[#This Row],[Amount of IDEA Part B, Section 619 award]]</f>
        <v>21483.27</v>
      </c>
      <c r="U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 t="str">
        <f>IF(OR(IFERROR(SEARCH("Met",tblMoeHistory[[#This Row],[State and Local Per Capita Result]]),0)&gt;0,IFERROR(SEARCH("Met",tblMoeHistory[[#This Row],[State and Local Total Result]]),0)&gt;0),"Met","Not Met")</f>
        <v>Met</v>
      </c>
    </row>
    <row r="89" spans="1:22" x14ac:dyDescent="0.35">
      <c r="A89" t="s">
        <v>109</v>
      </c>
      <c r="B89">
        <v>2008</v>
      </c>
      <c r="C89" t="s">
        <v>57</v>
      </c>
      <c r="D89">
        <v>109</v>
      </c>
      <c r="E89">
        <v>707943.29</v>
      </c>
      <c r="F89">
        <v>112677.17</v>
      </c>
      <c r="G89">
        <f>tblMoeHistory[[#This Row],[LEA State and Local Amount]]+tblMoeHistory[[#This Row],[ESD State and Local Amount]]</f>
        <v>820620.46000000008</v>
      </c>
      <c r="H89">
        <v>0</v>
      </c>
      <c r="I89" t="s">
        <v>239</v>
      </c>
      <c r="J89">
        <f>IFERROR(tblMoeHistory[[#This Row],[LEA State and Local Amount]]/tblMoeHistory[[#This Row],[Child Count]],0)</f>
        <v>6494.8925688073396</v>
      </c>
      <c r="K89">
        <f>IFERROR(tblMoeHistory[[#This Row],[ESD State and Local Amount]]/tblMoeHistory[[#This Row],[Child Count]],0)</f>
        <v>1033.7355045871559</v>
      </c>
      <c r="L89">
        <f>IFERROR(tblMoeHistory[[#This Row],[State and Local Total Amount]]/tblMoeHistory[[#This Row],[Child Count]],0)</f>
        <v>7528.6280733944959</v>
      </c>
      <c r="M89">
        <v>0</v>
      </c>
      <c r="N89" t="s">
        <v>239</v>
      </c>
      <c r="O89">
        <v>149184.39000000001</v>
      </c>
      <c r="P89">
        <v>0</v>
      </c>
      <c r="Q89">
        <f>tblMoeHistory[[#This Row],[Amount of IDEA Part B, Section 611 award]]+tblMoeHistory[[#This Row],[Amount of IDEA Part B, Section 619 award]]</f>
        <v>149184.39000000001</v>
      </c>
      <c r="U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 t="str">
        <f>IF(OR(IFERROR(SEARCH("Met",tblMoeHistory[[#This Row],[State and Local Per Capita Result]]),0)&gt;0,IFERROR(SEARCH("Met",tblMoeHistory[[#This Row],[State and Local Total Result]]),0)&gt;0),"Met","Not Met")</f>
        <v>Met</v>
      </c>
    </row>
    <row r="90" spans="1:22" x14ac:dyDescent="0.35">
      <c r="A90" t="s">
        <v>110</v>
      </c>
      <c r="B90">
        <v>2107</v>
      </c>
      <c r="C90" t="s">
        <v>57</v>
      </c>
      <c r="D90">
        <v>12</v>
      </c>
      <c r="E90">
        <v>43417.27</v>
      </c>
      <c r="F90">
        <v>18972</v>
      </c>
      <c r="G90">
        <f>tblMoeHistory[[#This Row],[LEA State and Local Amount]]+tblMoeHistory[[#This Row],[ESD State and Local Amount]]</f>
        <v>62389.27</v>
      </c>
      <c r="H90">
        <v>0</v>
      </c>
      <c r="I90" t="s">
        <v>239</v>
      </c>
      <c r="J90">
        <f>IFERROR(tblMoeHistory[[#This Row],[LEA State and Local Amount]]/tblMoeHistory[[#This Row],[Child Count]],0)</f>
        <v>3618.1058333333331</v>
      </c>
      <c r="K90">
        <f>IFERROR(tblMoeHistory[[#This Row],[ESD State and Local Amount]]/tblMoeHistory[[#This Row],[Child Count]],0)</f>
        <v>1581</v>
      </c>
      <c r="L90">
        <f>IFERROR(tblMoeHistory[[#This Row],[State and Local Total Amount]]/tblMoeHistory[[#This Row],[Child Count]],0)</f>
        <v>5199.1058333333331</v>
      </c>
      <c r="M90">
        <v>0</v>
      </c>
      <c r="N90" t="s">
        <v>239</v>
      </c>
      <c r="O90">
        <v>16671.03</v>
      </c>
      <c r="P90">
        <v>494.55</v>
      </c>
      <c r="Q90">
        <f>tblMoeHistory[[#This Row],[Amount of IDEA Part B, Section 611 award]]+tblMoeHistory[[#This Row],[Amount of IDEA Part B, Section 619 award]]</f>
        <v>17165.579999999998</v>
      </c>
      <c r="U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 t="str">
        <f>IF(OR(IFERROR(SEARCH("Met",tblMoeHistory[[#This Row],[State and Local Per Capita Result]]),0)&gt;0,IFERROR(SEARCH("Met",tblMoeHistory[[#This Row],[State and Local Total Result]]),0)&gt;0),"Met","Not Met")</f>
        <v>Met</v>
      </c>
    </row>
    <row r="91" spans="1:22" x14ac:dyDescent="0.35">
      <c r="A91" t="s">
        <v>111</v>
      </c>
      <c r="B91">
        <v>2219</v>
      </c>
      <c r="C91" t="s">
        <v>57</v>
      </c>
      <c r="D91">
        <v>29</v>
      </c>
      <c r="E91">
        <v>79525.149999999994</v>
      </c>
      <c r="F91">
        <v>154577.04</v>
      </c>
      <c r="G91">
        <f>tblMoeHistory[[#This Row],[LEA State and Local Amount]]+tblMoeHistory[[#This Row],[ESD State and Local Amount]]</f>
        <v>234102.19</v>
      </c>
      <c r="H91">
        <v>0</v>
      </c>
      <c r="I91" t="s">
        <v>239</v>
      </c>
      <c r="J91">
        <f>IFERROR(tblMoeHistory[[#This Row],[LEA State and Local Amount]]/tblMoeHistory[[#This Row],[Child Count]],0)</f>
        <v>2742.2465517241376</v>
      </c>
      <c r="K91">
        <f>IFERROR(tblMoeHistory[[#This Row],[ESD State and Local Amount]]/tblMoeHistory[[#This Row],[Child Count]],0)</f>
        <v>5330.2427586206895</v>
      </c>
      <c r="L91">
        <f>IFERROR(tblMoeHistory[[#This Row],[State and Local Total Amount]]/tblMoeHistory[[#This Row],[Child Count]],0)</f>
        <v>8072.4893103448276</v>
      </c>
      <c r="M91">
        <v>0</v>
      </c>
      <c r="N91" t="s">
        <v>239</v>
      </c>
      <c r="O91">
        <v>44525.39</v>
      </c>
      <c r="P91">
        <v>0</v>
      </c>
      <c r="Q91">
        <f>tblMoeHistory[[#This Row],[Amount of IDEA Part B, Section 611 award]]+tblMoeHistory[[#This Row],[Amount of IDEA Part B, Section 619 award]]</f>
        <v>44525.39</v>
      </c>
      <c r="U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 t="str">
        <f>IF(OR(IFERROR(SEARCH("Met",tblMoeHistory[[#This Row],[State and Local Per Capita Result]]),0)&gt;0,IFERROR(SEARCH("Met",tblMoeHistory[[#This Row],[State and Local Total Result]]),0)&gt;0),"Met","Not Met")</f>
        <v>Met</v>
      </c>
    </row>
    <row r="92" spans="1:22" x14ac:dyDescent="0.35">
      <c r="A92" t="s">
        <v>112</v>
      </c>
      <c r="B92">
        <v>2091</v>
      </c>
      <c r="C92" t="s">
        <v>57</v>
      </c>
      <c r="D92">
        <v>275</v>
      </c>
      <c r="E92">
        <v>1435772.59</v>
      </c>
      <c r="F92">
        <v>464838</v>
      </c>
      <c r="G92">
        <f>tblMoeHistory[[#This Row],[LEA State and Local Amount]]+tblMoeHistory[[#This Row],[ESD State and Local Amount]]</f>
        <v>1900610.59</v>
      </c>
      <c r="H92">
        <v>0</v>
      </c>
      <c r="I92" t="s">
        <v>239</v>
      </c>
      <c r="J92">
        <f>IFERROR(tblMoeHistory[[#This Row],[LEA State and Local Amount]]/tblMoeHistory[[#This Row],[Child Count]],0)</f>
        <v>5220.9912363636367</v>
      </c>
      <c r="K92">
        <f>IFERROR(tblMoeHistory[[#This Row],[ESD State and Local Amount]]/tblMoeHistory[[#This Row],[Child Count]],0)</f>
        <v>1690.32</v>
      </c>
      <c r="L92">
        <f>IFERROR(tblMoeHistory[[#This Row],[State and Local Total Amount]]/tblMoeHistory[[#This Row],[Child Count]],0)</f>
        <v>6911.3112363636365</v>
      </c>
      <c r="M92">
        <v>0</v>
      </c>
      <c r="N92" t="s">
        <v>239</v>
      </c>
      <c r="O92">
        <v>315985.01</v>
      </c>
      <c r="P92">
        <v>1723.75</v>
      </c>
      <c r="Q92">
        <f>tblMoeHistory[[#This Row],[Amount of IDEA Part B, Section 611 award]]+tblMoeHistory[[#This Row],[Amount of IDEA Part B, Section 619 award]]</f>
        <v>317708.76</v>
      </c>
      <c r="U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 t="str">
        <f>IF(OR(IFERROR(SEARCH("Met",tblMoeHistory[[#This Row],[State and Local Per Capita Result]]),0)&gt;0,IFERROR(SEARCH("Met",tblMoeHistory[[#This Row],[State and Local Total Result]]),0)&gt;0),"Met","Not Met")</f>
        <v>Met</v>
      </c>
    </row>
    <row r="93" spans="1:22" x14ac:dyDescent="0.35">
      <c r="A93" t="s">
        <v>113</v>
      </c>
      <c r="B93">
        <v>2109</v>
      </c>
      <c r="C93" t="s">
        <v>57</v>
      </c>
      <c r="D93">
        <v>4</v>
      </c>
      <c r="E93">
        <v>0</v>
      </c>
      <c r="F93">
        <v>2865.04</v>
      </c>
      <c r="G93">
        <f>tblMoeHistory[[#This Row],[LEA State and Local Amount]]+tblMoeHistory[[#This Row],[ESD State and Local Amount]]</f>
        <v>2865.04</v>
      </c>
      <c r="H93">
        <v>0</v>
      </c>
      <c r="I93" t="s">
        <v>239</v>
      </c>
      <c r="J93">
        <f>IFERROR(tblMoeHistory[[#This Row],[LEA State and Local Amount]]/tblMoeHistory[[#This Row],[Child Count]],0)</f>
        <v>0</v>
      </c>
      <c r="K93">
        <f>IFERROR(tblMoeHistory[[#This Row],[ESD State and Local Amount]]/tblMoeHistory[[#This Row],[Child Count]],0)</f>
        <v>716.26</v>
      </c>
      <c r="L93">
        <f>IFERROR(tblMoeHistory[[#This Row],[State and Local Total Amount]]/tblMoeHistory[[#This Row],[Child Count]],0)</f>
        <v>716.26</v>
      </c>
      <c r="M93">
        <v>0</v>
      </c>
      <c r="N93" t="s">
        <v>239</v>
      </c>
      <c r="O93">
        <v>1507.97</v>
      </c>
      <c r="P93">
        <v>1.45</v>
      </c>
      <c r="Q93">
        <f>tblMoeHistory[[#This Row],[Amount of IDEA Part B, Section 611 award]]+tblMoeHistory[[#This Row],[Amount of IDEA Part B, Section 619 award]]</f>
        <v>1509.42</v>
      </c>
      <c r="U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 t="str">
        <f>IF(OR(IFERROR(SEARCH("Met",tblMoeHistory[[#This Row],[State and Local Per Capita Result]]),0)&gt;0,IFERROR(SEARCH("Met",tblMoeHistory[[#This Row],[State and Local Total Result]]),0)&gt;0),"Met","Not Met")</f>
        <v>Met</v>
      </c>
    </row>
    <row r="94" spans="1:22" x14ac:dyDescent="0.35">
      <c r="A94" t="s">
        <v>114</v>
      </c>
      <c r="B94">
        <v>2057</v>
      </c>
      <c r="C94" t="s">
        <v>57</v>
      </c>
      <c r="D94">
        <v>861</v>
      </c>
      <c r="E94">
        <v>4613720.4800000004</v>
      </c>
      <c r="F94">
        <v>1312332.1599999999</v>
      </c>
      <c r="G94">
        <f>tblMoeHistory[[#This Row],[LEA State and Local Amount]]+tblMoeHistory[[#This Row],[ESD State and Local Amount]]</f>
        <v>5926052.6400000006</v>
      </c>
      <c r="H94">
        <v>0</v>
      </c>
      <c r="I94" t="s">
        <v>239</v>
      </c>
      <c r="J94">
        <f>IFERROR(tblMoeHistory[[#This Row],[LEA State and Local Amount]]/tblMoeHistory[[#This Row],[Child Count]],0)</f>
        <v>5358.5603716608603</v>
      </c>
      <c r="K94">
        <f>IFERROR(tblMoeHistory[[#This Row],[ESD State and Local Amount]]/tblMoeHistory[[#This Row],[Child Count]],0)</f>
        <v>1524.195307781649</v>
      </c>
      <c r="L94">
        <f>IFERROR(tblMoeHistory[[#This Row],[State and Local Total Amount]]/tblMoeHistory[[#This Row],[Child Count]],0)</f>
        <v>6882.7556794425091</v>
      </c>
      <c r="M94">
        <v>0</v>
      </c>
      <c r="N94" t="s">
        <v>239</v>
      </c>
      <c r="O94">
        <v>1280282.1000000001</v>
      </c>
      <c r="P94">
        <v>7852.37</v>
      </c>
      <c r="Q94">
        <f>tblMoeHistory[[#This Row],[Amount of IDEA Part B, Section 611 award]]+tblMoeHistory[[#This Row],[Amount of IDEA Part B, Section 619 award]]</f>
        <v>1288134.4700000002</v>
      </c>
      <c r="U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 t="str">
        <f>IF(OR(IFERROR(SEARCH("Met",tblMoeHistory[[#This Row],[State and Local Per Capita Result]]),0)&gt;0,IFERROR(SEARCH("Met",tblMoeHistory[[#This Row],[State and Local Total Result]]),0)&gt;0),"Met","Not Met")</f>
        <v>Met</v>
      </c>
    </row>
    <row r="95" spans="1:22" x14ac:dyDescent="0.35">
      <c r="A95" t="s">
        <v>115</v>
      </c>
      <c r="B95">
        <v>2056</v>
      </c>
      <c r="C95" t="s">
        <v>57</v>
      </c>
      <c r="D95">
        <v>502</v>
      </c>
      <c r="E95">
        <v>3085537.63</v>
      </c>
      <c r="F95">
        <v>114263.94</v>
      </c>
      <c r="G95">
        <f>tblMoeHistory[[#This Row],[LEA State and Local Amount]]+tblMoeHistory[[#This Row],[ESD State and Local Amount]]</f>
        <v>3199801.57</v>
      </c>
      <c r="H95">
        <v>0</v>
      </c>
      <c r="I95" t="s">
        <v>239</v>
      </c>
      <c r="J95">
        <f>IFERROR(tblMoeHistory[[#This Row],[LEA State and Local Amount]]/tblMoeHistory[[#This Row],[Child Count]],0)</f>
        <v>6146.4893027888447</v>
      </c>
      <c r="K95">
        <f>IFERROR(tblMoeHistory[[#This Row],[ESD State and Local Amount]]/tblMoeHistory[[#This Row],[Child Count]],0)</f>
        <v>227.61741035856573</v>
      </c>
      <c r="L95">
        <f>IFERROR(tblMoeHistory[[#This Row],[State and Local Total Amount]]/tblMoeHistory[[#This Row],[Child Count]],0)</f>
        <v>6374.1067131474101</v>
      </c>
      <c r="M95">
        <v>0</v>
      </c>
      <c r="N95" t="s">
        <v>239</v>
      </c>
      <c r="O95">
        <v>685879.75</v>
      </c>
      <c r="P95">
        <v>9076.07</v>
      </c>
      <c r="Q95">
        <f>tblMoeHistory[[#This Row],[Amount of IDEA Part B, Section 611 award]]+tblMoeHistory[[#This Row],[Amount of IDEA Part B, Section 619 award]]</f>
        <v>694955.82</v>
      </c>
      <c r="U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 t="str">
        <f>IF(OR(IFERROR(SEARCH("Met",tblMoeHistory[[#This Row],[State and Local Per Capita Result]]),0)&gt;0,IFERROR(SEARCH("Met",tblMoeHistory[[#This Row],[State and Local Total Result]]),0)&gt;0),"Met","Not Met")</f>
        <v>Met</v>
      </c>
    </row>
    <row r="96" spans="1:22" x14ac:dyDescent="0.35">
      <c r="A96" t="s">
        <v>116</v>
      </c>
      <c r="B96">
        <v>2262</v>
      </c>
      <c r="C96" t="s">
        <v>57</v>
      </c>
      <c r="D96">
        <v>76</v>
      </c>
      <c r="E96">
        <v>405750.8</v>
      </c>
      <c r="F96">
        <v>134956</v>
      </c>
      <c r="G96">
        <f>tblMoeHistory[[#This Row],[LEA State and Local Amount]]+tblMoeHistory[[#This Row],[ESD State and Local Amount]]</f>
        <v>540706.80000000005</v>
      </c>
      <c r="H96">
        <v>0</v>
      </c>
      <c r="I96" t="s">
        <v>239</v>
      </c>
      <c r="J96">
        <f>IFERROR(tblMoeHistory[[#This Row],[LEA State and Local Amount]]/tblMoeHistory[[#This Row],[Child Count]],0)</f>
        <v>5338.8263157894735</v>
      </c>
      <c r="K96">
        <f>IFERROR(tblMoeHistory[[#This Row],[ESD State and Local Amount]]/tblMoeHistory[[#This Row],[Child Count]],0)</f>
        <v>1775.7368421052631</v>
      </c>
      <c r="L96">
        <f>IFERROR(tblMoeHistory[[#This Row],[State and Local Total Amount]]/tblMoeHistory[[#This Row],[Child Count]],0)</f>
        <v>7114.5631578947377</v>
      </c>
      <c r="M96">
        <v>0</v>
      </c>
      <c r="N96" t="s">
        <v>239</v>
      </c>
      <c r="O96">
        <v>73407.039999999994</v>
      </c>
      <c r="P96">
        <v>0</v>
      </c>
      <c r="Q96">
        <f>tblMoeHistory[[#This Row],[Amount of IDEA Part B, Section 611 award]]+tblMoeHistory[[#This Row],[Amount of IDEA Part B, Section 619 award]]</f>
        <v>73407.039999999994</v>
      </c>
      <c r="U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 t="str">
        <f>IF(OR(IFERROR(SEARCH("Met",tblMoeHistory[[#This Row],[State and Local Per Capita Result]]),0)&gt;0,IFERROR(SEARCH("Met",tblMoeHistory[[#This Row],[State and Local Total Result]]),0)&gt;0),"Met","Not Met")</f>
        <v>Met</v>
      </c>
    </row>
    <row r="97" spans="1:22" x14ac:dyDescent="0.35">
      <c r="A97" t="s">
        <v>117</v>
      </c>
      <c r="B97">
        <v>2212</v>
      </c>
      <c r="C97" t="s">
        <v>57</v>
      </c>
      <c r="D97">
        <v>372</v>
      </c>
      <c r="E97">
        <v>2020316.75</v>
      </c>
      <c r="F97">
        <v>530368.36</v>
      </c>
      <c r="G97">
        <f>tblMoeHistory[[#This Row],[LEA State and Local Amount]]+tblMoeHistory[[#This Row],[ESD State and Local Amount]]</f>
        <v>2550685.11</v>
      </c>
      <c r="H97">
        <v>0</v>
      </c>
      <c r="I97" t="s">
        <v>239</v>
      </c>
      <c r="J97">
        <f>IFERROR(tblMoeHistory[[#This Row],[LEA State and Local Amount]]/tblMoeHistory[[#This Row],[Child Count]],0)</f>
        <v>5430.9590053763441</v>
      </c>
      <c r="K97">
        <f>IFERROR(tblMoeHistory[[#This Row],[ESD State and Local Amount]]/tblMoeHistory[[#This Row],[Child Count]],0)</f>
        <v>1425.7213978494624</v>
      </c>
      <c r="L97">
        <f>IFERROR(tblMoeHistory[[#This Row],[State and Local Total Amount]]/tblMoeHistory[[#This Row],[Child Count]],0)</f>
        <v>6856.680403225806</v>
      </c>
      <c r="M97">
        <v>0</v>
      </c>
      <c r="N97" t="s">
        <v>239</v>
      </c>
      <c r="O97">
        <v>433371.11</v>
      </c>
      <c r="P97">
        <v>2487.46</v>
      </c>
      <c r="Q97">
        <f>tblMoeHistory[[#This Row],[Amount of IDEA Part B, Section 611 award]]+tblMoeHistory[[#This Row],[Amount of IDEA Part B, Section 619 award]]</f>
        <v>435858.57</v>
      </c>
      <c r="U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 t="str">
        <f>IF(OR(IFERROR(SEARCH("Met",tblMoeHistory[[#This Row],[State and Local Per Capita Result]]),0)&gt;0,IFERROR(SEARCH("Met",tblMoeHistory[[#This Row],[State and Local Total Result]]),0)&gt;0),"Met","Not Met")</f>
        <v>Met</v>
      </c>
    </row>
    <row r="98" spans="1:22" x14ac:dyDescent="0.35">
      <c r="A98" t="s">
        <v>118</v>
      </c>
      <c r="B98">
        <v>2059</v>
      </c>
      <c r="C98" t="s">
        <v>57</v>
      </c>
      <c r="D98">
        <v>93</v>
      </c>
      <c r="E98">
        <v>271064.74</v>
      </c>
      <c r="F98">
        <v>250068.6</v>
      </c>
      <c r="G98">
        <f>tblMoeHistory[[#This Row],[LEA State and Local Amount]]+tblMoeHistory[[#This Row],[ESD State and Local Amount]]</f>
        <v>521133.33999999997</v>
      </c>
      <c r="H98">
        <v>0</v>
      </c>
      <c r="I98" t="s">
        <v>239</v>
      </c>
      <c r="J98">
        <f>IFERROR(tblMoeHistory[[#This Row],[LEA State and Local Amount]]/tblMoeHistory[[#This Row],[Child Count]],0)</f>
        <v>2914.6746236559138</v>
      </c>
      <c r="K98">
        <f>IFERROR(tblMoeHistory[[#This Row],[ESD State and Local Amount]]/tblMoeHistory[[#This Row],[Child Count]],0)</f>
        <v>2688.9096774193549</v>
      </c>
      <c r="L98">
        <f>IFERROR(tblMoeHistory[[#This Row],[State and Local Total Amount]]/tblMoeHistory[[#This Row],[Child Count]],0)</f>
        <v>5603.5843010752687</v>
      </c>
      <c r="M98">
        <v>0</v>
      </c>
      <c r="N98" t="s">
        <v>239</v>
      </c>
      <c r="O98">
        <v>129367.15</v>
      </c>
      <c r="P98">
        <v>2532.5500000000002</v>
      </c>
      <c r="Q98">
        <f>tblMoeHistory[[#This Row],[Amount of IDEA Part B, Section 611 award]]+tblMoeHistory[[#This Row],[Amount of IDEA Part B, Section 619 award]]</f>
        <v>131899.69999999998</v>
      </c>
      <c r="U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 t="str">
        <f>IF(OR(IFERROR(SEARCH("Met",tblMoeHistory[[#This Row],[State and Local Per Capita Result]]),0)&gt;0,IFERROR(SEARCH("Met",tblMoeHistory[[#This Row],[State and Local Total Result]]),0)&gt;0),"Met","Not Met")</f>
        <v>Met</v>
      </c>
    </row>
    <row r="99" spans="1:22" x14ac:dyDescent="0.35">
      <c r="A99" t="s">
        <v>119</v>
      </c>
      <c r="B99">
        <v>1923</v>
      </c>
      <c r="C99" t="s">
        <v>57</v>
      </c>
      <c r="D99">
        <v>569</v>
      </c>
      <c r="E99">
        <v>7038693.4100000001</v>
      </c>
      <c r="F99">
        <v>512474</v>
      </c>
      <c r="G99">
        <f>tblMoeHistory[[#This Row],[LEA State and Local Amount]]+tblMoeHistory[[#This Row],[ESD State and Local Amount]]</f>
        <v>7551167.4100000001</v>
      </c>
      <c r="H99">
        <v>0</v>
      </c>
      <c r="I99" t="s">
        <v>239</v>
      </c>
      <c r="J99">
        <f>IFERROR(tblMoeHistory[[#This Row],[LEA State and Local Amount]]/tblMoeHistory[[#This Row],[Child Count]],0)</f>
        <v>12370.287188049209</v>
      </c>
      <c r="K99">
        <f>IFERROR(tblMoeHistory[[#This Row],[ESD State and Local Amount]]/tblMoeHistory[[#This Row],[Child Count]],0)</f>
        <v>900.65729349736375</v>
      </c>
      <c r="L99">
        <f>IFERROR(tblMoeHistory[[#This Row],[State and Local Total Amount]]/tblMoeHistory[[#This Row],[Child Count]],0)</f>
        <v>13270.944481546574</v>
      </c>
      <c r="M99">
        <v>0</v>
      </c>
      <c r="N99" t="s">
        <v>239</v>
      </c>
      <c r="O99">
        <v>942966.92</v>
      </c>
      <c r="P99">
        <v>2697.38</v>
      </c>
      <c r="Q99">
        <f>tblMoeHistory[[#This Row],[Amount of IDEA Part B, Section 611 award]]+tblMoeHistory[[#This Row],[Amount of IDEA Part B, Section 619 award]]</f>
        <v>945664.3</v>
      </c>
      <c r="U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 t="str">
        <f>IF(OR(IFERROR(SEARCH("Met",tblMoeHistory[[#This Row],[State and Local Per Capita Result]]),0)&gt;0,IFERROR(SEARCH("Met",tblMoeHistory[[#This Row],[State and Local Total Result]]),0)&gt;0),"Met","Not Met")</f>
        <v>Met</v>
      </c>
    </row>
    <row r="100" spans="1:22" x14ac:dyDescent="0.35">
      <c r="A100" t="s">
        <v>120</v>
      </c>
      <c r="B100">
        <v>2101</v>
      </c>
      <c r="C100" t="s">
        <v>57</v>
      </c>
      <c r="D100">
        <v>595</v>
      </c>
      <c r="E100">
        <v>3850007.19</v>
      </c>
      <c r="F100">
        <v>491780</v>
      </c>
      <c r="G100">
        <f>tblMoeHistory[[#This Row],[LEA State and Local Amount]]+tblMoeHistory[[#This Row],[ESD State and Local Amount]]</f>
        <v>4341787.1899999995</v>
      </c>
      <c r="H100">
        <v>0</v>
      </c>
      <c r="I100" t="s">
        <v>239</v>
      </c>
      <c r="J100">
        <f>IFERROR(tblMoeHistory[[#This Row],[LEA State and Local Amount]]/tblMoeHistory[[#This Row],[Child Count]],0)</f>
        <v>6470.6003193277311</v>
      </c>
      <c r="K100">
        <f>IFERROR(tblMoeHistory[[#This Row],[ESD State and Local Amount]]/tblMoeHistory[[#This Row],[Child Count]],0)</f>
        <v>826.52100840336129</v>
      </c>
      <c r="L100">
        <f>IFERROR(tblMoeHistory[[#This Row],[State and Local Total Amount]]/tblMoeHistory[[#This Row],[Child Count]],0)</f>
        <v>7297.1213277310917</v>
      </c>
      <c r="M100">
        <v>0</v>
      </c>
      <c r="N100" t="s">
        <v>239</v>
      </c>
      <c r="O100">
        <v>762207.21</v>
      </c>
      <c r="P100">
        <v>5352.05</v>
      </c>
      <c r="Q100">
        <f>tblMoeHistory[[#This Row],[Amount of IDEA Part B, Section 611 award]]+tblMoeHistory[[#This Row],[Amount of IDEA Part B, Section 619 award]]</f>
        <v>767559.26</v>
      </c>
      <c r="U1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 t="str">
        <f>IF(OR(IFERROR(SEARCH("Met",tblMoeHistory[[#This Row],[State and Local Per Capita Result]]),0)&gt;0,IFERROR(SEARCH("Met",tblMoeHistory[[#This Row],[State and Local Total Result]]),0)&gt;0),"Met","Not Met")</f>
        <v>Met</v>
      </c>
    </row>
    <row r="101" spans="1:22" x14ac:dyDescent="0.35">
      <c r="A101" t="s">
        <v>121</v>
      </c>
      <c r="B101">
        <v>2097</v>
      </c>
      <c r="C101" t="s">
        <v>57</v>
      </c>
      <c r="D101">
        <v>676</v>
      </c>
      <c r="E101">
        <v>5491198.3499999996</v>
      </c>
      <c r="F101">
        <v>492383</v>
      </c>
      <c r="G101">
        <f>tblMoeHistory[[#This Row],[LEA State and Local Amount]]+tblMoeHistory[[#This Row],[ESD State and Local Amount]]</f>
        <v>5983581.3499999996</v>
      </c>
      <c r="H101">
        <v>0</v>
      </c>
      <c r="I101" t="s">
        <v>239</v>
      </c>
      <c r="J101">
        <f>IFERROR(tblMoeHistory[[#This Row],[LEA State and Local Amount]]/tblMoeHistory[[#This Row],[Child Count]],0)</f>
        <v>8123.0744822485203</v>
      </c>
      <c r="K101">
        <f>IFERROR(tblMoeHistory[[#This Row],[ESD State and Local Amount]]/tblMoeHistory[[#This Row],[Child Count]],0)</f>
        <v>728.3772189349113</v>
      </c>
      <c r="L101">
        <f>IFERROR(tblMoeHistory[[#This Row],[State and Local Total Amount]]/tblMoeHistory[[#This Row],[Child Count]],0)</f>
        <v>8851.4517011834323</v>
      </c>
      <c r="M101">
        <v>0</v>
      </c>
      <c r="N101" t="s">
        <v>239</v>
      </c>
      <c r="O101">
        <v>995183.28</v>
      </c>
      <c r="P101">
        <v>8606.3700000000008</v>
      </c>
      <c r="Q101">
        <f>tblMoeHistory[[#This Row],[Amount of IDEA Part B, Section 611 award]]+tblMoeHistory[[#This Row],[Amount of IDEA Part B, Section 619 award]]</f>
        <v>1003789.65</v>
      </c>
      <c r="U1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 t="str">
        <f>IF(OR(IFERROR(SEARCH("Met",tblMoeHistory[[#This Row],[State and Local Per Capita Result]]),0)&gt;0,IFERROR(SEARCH("Met",tblMoeHistory[[#This Row],[State and Local Total Result]]),0)&gt;0),"Met","Not Met")</f>
        <v>Met</v>
      </c>
    </row>
    <row r="102" spans="1:22" x14ac:dyDescent="0.35">
      <c r="A102" t="s">
        <v>122</v>
      </c>
      <c r="B102">
        <v>2012</v>
      </c>
      <c r="C102" t="s">
        <v>57</v>
      </c>
      <c r="D102">
        <v>5</v>
      </c>
      <c r="E102">
        <v>33804.239999999998</v>
      </c>
      <c r="F102">
        <v>84367.25</v>
      </c>
      <c r="G102">
        <f>tblMoeHistory[[#This Row],[LEA State and Local Amount]]+tblMoeHistory[[#This Row],[ESD State and Local Amount]]</f>
        <v>118171.48999999999</v>
      </c>
      <c r="H102">
        <v>0</v>
      </c>
      <c r="I102" t="s">
        <v>239</v>
      </c>
      <c r="J102">
        <f>IFERROR(tblMoeHistory[[#This Row],[LEA State and Local Amount]]/tblMoeHistory[[#This Row],[Child Count]],0)</f>
        <v>6760.848</v>
      </c>
      <c r="K102">
        <f>IFERROR(tblMoeHistory[[#This Row],[ESD State and Local Amount]]/tblMoeHistory[[#This Row],[Child Count]],0)</f>
        <v>16873.45</v>
      </c>
      <c r="L102">
        <f>IFERROR(tblMoeHistory[[#This Row],[State and Local Total Amount]]/tblMoeHistory[[#This Row],[Child Count]],0)</f>
        <v>23634.297999999999</v>
      </c>
      <c r="M102">
        <v>0</v>
      </c>
      <c r="N102" t="s">
        <v>239</v>
      </c>
      <c r="O102">
        <v>6085.28</v>
      </c>
      <c r="P102">
        <v>6.25</v>
      </c>
      <c r="Q102">
        <f>tblMoeHistory[[#This Row],[Amount of IDEA Part B, Section 611 award]]+tblMoeHistory[[#This Row],[Amount of IDEA Part B, Section 619 award]]</f>
        <v>6091.53</v>
      </c>
      <c r="U1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 t="str">
        <f>IF(OR(IFERROR(SEARCH("Met",tblMoeHistory[[#This Row],[State and Local Per Capita Result]]),0)&gt;0,IFERROR(SEARCH("Met",tblMoeHistory[[#This Row],[State and Local Total Result]]),0)&gt;0),"Met","Not Met")</f>
        <v>Met</v>
      </c>
    </row>
    <row r="103" spans="1:22" x14ac:dyDescent="0.35">
      <c r="A103" t="s">
        <v>123</v>
      </c>
      <c r="B103">
        <v>2092</v>
      </c>
      <c r="C103" t="s">
        <v>57</v>
      </c>
      <c r="D103">
        <v>44</v>
      </c>
      <c r="E103">
        <v>309529.38</v>
      </c>
      <c r="F103">
        <v>135930</v>
      </c>
      <c r="G103">
        <f>tblMoeHistory[[#This Row],[LEA State and Local Amount]]+tblMoeHistory[[#This Row],[ESD State and Local Amount]]</f>
        <v>445459.38</v>
      </c>
      <c r="H103">
        <v>0</v>
      </c>
      <c r="I103" t="s">
        <v>239</v>
      </c>
      <c r="J103">
        <f>IFERROR(tblMoeHistory[[#This Row],[LEA State and Local Amount]]/tblMoeHistory[[#This Row],[Child Count]],0)</f>
        <v>7034.7586363636365</v>
      </c>
      <c r="K103">
        <f>IFERROR(tblMoeHistory[[#This Row],[ESD State and Local Amount]]/tblMoeHistory[[#This Row],[Child Count]],0)</f>
        <v>3089.318181818182</v>
      </c>
      <c r="L103">
        <f>IFERROR(tblMoeHistory[[#This Row],[State and Local Total Amount]]/tblMoeHistory[[#This Row],[Child Count]],0)</f>
        <v>10124.076818181818</v>
      </c>
      <c r="M103">
        <v>0</v>
      </c>
      <c r="N103" t="s">
        <v>239</v>
      </c>
      <c r="O103">
        <v>58056.13</v>
      </c>
      <c r="P103">
        <v>297.87</v>
      </c>
      <c r="Q103">
        <f>tblMoeHistory[[#This Row],[Amount of IDEA Part B, Section 611 award]]+tblMoeHistory[[#This Row],[Amount of IDEA Part B, Section 619 award]]</f>
        <v>58354</v>
      </c>
      <c r="U1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 t="str">
        <f>IF(OR(IFERROR(SEARCH("Met",tblMoeHistory[[#This Row],[State and Local Per Capita Result]]),0)&gt;0,IFERROR(SEARCH("Met",tblMoeHistory[[#This Row],[State and Local Total Result]]),0)&gt;0),"Met","Not Met")</f>
        <v>Met</v>
      </c>
    </row>
    <row r="104" spans="1:22" x14ac:dyDescent="0.35">
      <c r="A104" t="s">
        <v>124</v>
      </c>
      <c r="B104">
        <v>2112</v>
      </c>
      <c r="C104" t="s">
        <v>57</v>
      </c>
      <c r="D104">
        <v>0</v>
      </c>
      <c r="E104">
        <v>0</v>
      </c>
      <c r="F104">
        <v>354.69</v>
      </c>
      <c r="G104">
        <f>tblMoeHistory[[#This Row],[LEA State and Local Amount]]+tblMoeHistory[[#This Row],[ESD State and Local Amount]]</f>
        <v>354.69</v>
      </c>
      <c r="H104">
        <v>0</v>
      </c>
      <c r="I104" t="s">
        <v>239</v>
      </c>
      <c r="J104">
        <f>IFERROR(tblMoeHistory[[#This Row],[LEA State and Local Amount]]/tblMoeHistory[[#This Row],[Child Count]],0)</f>
        <v>0</v>
      </c>
      <c r="K104">
        <f>IFERROR(tblMoeHistory[[#This Row],[ESD State and Local Amount]]/tblMoeHistory[[#This Row],[Child Count]],0)</f>
        <v>0</v>
      </c>
      <c r="L104">
        <f>IFERROR(tblMoeHistory[[#This Row],[State and Local Total Amount]]/tblMoeHistory[[#This Row],[Child Count]],0)</f>
        <v>0</v>
      </c>
      <c r="M104">
        <v>0</v>
      </c>
      <c r="N104" t="s">
        <v>239</v>
      </c>
      <c r="O104">
        <v>1244.0899999999999</v>
      </c>
      <c r="P104">
        <v>1.2</v>
      </c>
      <c r="Q104">
        <f>tblMoeHistory[[#This Row],[Amount of IDEA Part B, Section 611 award]]+tblMoeHistory[[#This Row],[Amount of IDEA Part B, Section 619 award]]</f>
        <v>1245.29</v>
      </c>
      <c r="U1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 t="str">
        <f>IF(OR(IFERROR(SEARCH("Met",tblMoeHistory[[#This Row],[State and Local Per Capita Result]]),0)&gt;0,IFERROR(SEARCH("Met",tblMoeHistory[[#This Row],[State and Local Total Result]]),0)&gt;0),"Met","Not Met")</f>
        <v>Met</v>
      </c>
    </row>
    <row r="105" spans="1:22" x14ac:dyDescent="0.35">
      <c r="A105" t="s">
        <v>125</v>
      </c>
      <c r="B105">
        <v>2085</v>
      </c>
      <c r="C105" t="s">
        <v>57</v>
      </c>
      <c r="D105">
        <v>42</v>
      </c>
      <c r="E105">
        <v>208804.4</v>
      </c>
      <c r="F105">
        <v>54585</v>
      </c>
      <c r="G105">
        <f>tblMoeHistory[[#This Row],[LEA State and Local Amount]]+tblMoeHistory[[#This Row],[ESD State and Local Amount]]</f>
        <v>263389.40000000002</v>
      </c>
      <c r="H105">
        <v>0</v>
      </c>
      <c r="I105" t="s">
        <v>239</v>
      </c>
      <c r="J105">
        <f>IFERROR(tblMoeHistory[[#This Row],[LEA State and Local Amount]]/tblMoeHistory[[#This Row],[Child Count]],0)</f>
        <v>4971.5333333333328</v>
      </c>
      <c r="K105">
        <f>IFERROR(tblMoeHistory[[#This Row],[ESD State and Local Amount]]/tblMoeHistory[[#This Row],[Child Count]],0)</f>
        <v>1299.6428571428571</v>
      </c>
      <c r="L105">
        <f>IFERROR(tblMoeHistory[[#This Row],[State and Local Total Amount]]/tblMoeHistory[[#This Row],[Child Count]],0)</f>
        <v>6271.1761904761906</v>
      </c>
      <c r="M105">
        <v>0</v>
      </c>
      <c r="N105" t="s">
        <v>239</v>
      </c>
      <c r="O105">
        <v>55370.14</v>
      </c>
      <c r="P105">
        <v>0</v>
      </c>
      <c r="Q105">
        <f>tblMoeHistory[[#This Row],[Amount of IDEA Part B, Section 611 award]]+tblMoeHistory[[#This Row],[Amount of IDEA Part B, Section 619 award]]</f>
        <v>55370.14</v>
      </c>
      <c r="U1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 t="str">
        <f>IF(OR(IFERROR(SEARCH("Met",tblMoeHistory[[#This Row],[State and Local Per Capita Result]]),0)&gt;0,IFERROR(SEARCH("Met",tblMoeHistory[[#This Row],[State and Local Total Result]]),0)&gt;0),"Met","Not Met")</f>
        <v>Met</v>
      </c>
    </row>
    <row r="106" spans="1:22" x14ac:dyDescent="0.35">
      <c r="A106" t="s">
        <v>126</v>
      </c>
      <c r="B106">
        <v>2094</v>
      </c>
      <c r="C106" t="s">
        <v>57</v>
      </c>
      <c r="D106">
        <v>32</v>
      </c>
      <c r="E106">
        <v>231108.34</v>
      </c>
      <c r="F106">
        <v>30864</v>
      </c>
      <c r="G106">
        <f>tblMoeHistory[[#This Row],[LEA State and Local Amount]]+tblMoeHistory[[#This Row],[ESD State and Local Amount]]</f>
        <v>261972.34</v>
      </c>
      <c r="H106">
        <v>0</v>
      </c>
      <c r="I106" t="s">
        <v>239</v>
      </c>
      <c r="J106">
        <f>IFERROR(tblMoeHistory[[#This Row],[LEA State and Local Amount]]/tblMoeHistory[[#This Row],[Child Count]],0)</f>
        <v>7222.1356249999999</v>
      </c>
      <c r="K106">
        <f>IFERROR(tblMoeHistory[[#This Row],[ESD State and Local Amount]]/tblMoeHistory[[#This Row],[Child Count]],0)</f>
        <v>964.5</v>
      </c>
      <c r="L106">
        <f>IFERROR(tblMoeHistory[[#This Row],[State and Local Total Amount]]/tblMoeHistory[[#This Row],[Child Count]],0)</f>
        <v>8186.6356249999999</v>
      </c>
      <c r="M106">
        <v>0</v>
      </c>
      <c r="N106" t="s">
        <v>239</v>
      </c>
      <c r="O106">
        <v>66558.11</v>
      </c>
      <c r="P106">
        <v>508</v>
      </c>
      <c r="Q106">
        <f>tblMoeHistory[[#This Row],[Amount of IDEA Part B, Section 611 award]]+tblMoeHistory[[#This Row],[Amount of IDEA Part B, Section 619 award]]</f>
        <v>67066.11</v>
      </c>
      <c r="U1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 t="str">
        <f>IF(OR(IFERROR(SEARCH("Met",tblMoeHistory[[#This Row],[State and Local Per Capita Result]]),0)&gt;0,IFERROR(SEARCH("Met",tblMoeHistory[[#This Row],[State and Local Total Result]]),0)&gt;0),"Met","Not Met")</f>
        <v>Met</v>
      </c>
    </row>
    <row r="107" spans="1:22" x14ac:dyDescent="0.35">
      <c r="A107" t="s">
        <v>127</v>
      </c>
      <c r="B107">
        <v>2090</v>
      </c>
      <c r="C107" t="s">
        <v>57</v>
      </c>
      <c r="D107">
        <v>35</v>
      </c>
      <c r="E107">
        <v>199125.41</v>
      </c>
      <c r="F107">
        <v>86162</v>
      </c>
      <c r="G107">
        <f>tblMoeHistory[[#This Row],[LEA State and Local Amount]]+tblMoeHistory[[#This Row],[ESD State and Local Amount]]</f>
        <v>285287.41000000003</v>
      </c>
      <c r="H107">
        <v>0</v>
      </c>
      <c r="I107" t="s">
        <v>239</v>
      </c>
      <c r="J107">
        <f>IFERROR(tblMoeHistory[[#This Row],[LEA State and Local Amount]]/tblMoeHistory[[#This Row],[Child Count]],0)</f>
        <v>5689.297428571429</v>
      </c>
      <c r="K107">
        <f>IFERROR(tblMoeHistory[[#This Row],[ESD State and Local Amount]]/tblMoeHistory[[#This Row],[Child Count]],0)</f>
        <v>2461.7714285714287</v>
      </c>
      <c r="L107">
        <f>IFERROR(tblMoeHistory[[#This Row],[State and Local Total Amount]]/tblMoeHistory[[#This Row],[Child Count]],0)</f>
        <v>8151.0688571428582</v>
      </c>
      <c r="M107">
        <v>0</v>
      </c>
      <c r="N107" t="s">
        <v>239</v>
      </c>
      <c r="O107">
        <v>51511.24</v>
      </c>
      <c r="P107">
        <v>172.23</v>
      </c>
      <c r="Q107">
        <f>tblMoeHistory[[#This Row],[Amount of IDEA Part B, Section 611 award]]+tblMoeHistory[[#This Row],[Amount of IDEA Part B, Section 619 award]]</f>
        <v>51683.47</v>
      </c>
      <c r="U1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 t="str">
        <f>IF(OR(IFERROR(SEARCH("Met",tblMoeHistory[[#This Row],[State and Local Per Capita Result]]),0)&gt;0,IFERROR(SEARCH("Met",tblMoeHistory[[#This Row],[State and Local Total Result]]),0)&gt;0),"Met","Not Met")</f>
        <v>Met</v>
      </c>
    </row>
    <row r="108" spans="1:22" x14ac:dyDescent="0.35">
      <c r="A108" t="s">
        <v>128</v>
      </c>
      <c r="B108">
        <v>2256</v>
      </c>
      <c r="C108" t="s">
        <v>57</v>
      </c>
      <c r="D108">
        <v>812</v>
      </c>
      <c r="E108">
        <v>4648553.18</v>
      </c>
      <c r="F108">
        <v>694031.29</v>
      </c>
      <c r="G108">
        <f>tblMoeHistory[[#This Row],[LEA State and Local Amount]]+tblMoeHistory[[#This Row],[ESD State and Local Amount]]</f>
        <v>5342584.47</v>
      </c>
      <c r="H108">
        <v>0</v>
      </c>
      <c r="I108" t="s">
        <v>239</v>
      </c>
      <c r="J108">
        <f>IFERROR(tblMoeHistory[[#This Row],[LEA State and Local Amount]]/tblMoeHistory[[#This Row],[Child Count]],0)</f>
        <v>5724.8191871921181</v>
      </c>
      <c r="K108">
        <f>IFERROR(tblMoeHistory[[#This Row],[ESD State and Local Amount]]/tblMoeHistory[[#This Row],[Child Count]],0)</f>
        <v>854.71833743842365</v>
      </c>
      <c r="L108">
        <f>IFERROR(tblMoeHistory[[#This Row],[State and Local Total Amount]]/tblMoeHistory[[#This Row],[Child Count]],0)</f>
        <v>6579.5375246305412</v>
      </c>
      <c r="M108">
        <v>0</v>
      </c>
      <c r="N108" t="s">
        <v>239</v>
      </c>
      <c r="O108">
        <v>934508.98</v>
      </c>
      <c r="P108">
        <v>5004.92</v>
      </c>
      <c r="Q108">
        <f>tblMoeHistory[[#This Row],[Amount of IDEA Part B, Section 611 award]]+tblMoeHistory[[#This Row],[Amount of IDEA Part B, Section 619 award]]</f>
        <v>939513.9</v>
      </c>
      <c r="U1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 t="str">
        <f>IF(OR(IFERROR(SEARCH("Met",tblMoeHistory[[#This Row],[State and Local Per Capita Result]]),0)&gt;0,IFERROR(SEARCH("Met",tblMoeHistory[[#This Row],[State and Local Total Result]]),0)&gt;0),"Met","Not Met")</f>
        <v>Met</v>
      </c>
    </row>
    <row r="109" spans="1:22" x14ac:dyDescent="0.35">
      <c r="A109" t="s">
        <v>129</v>
      </c>
      <c r="B109">
        <v>2048</v>
      </c>
      <c r="C109" t="s">
        <v>57</v>
      </c>
      <c r="D109">
        <v>1337</v>
      </c>
      <c r="E109">
        <v>8734941</v>
      </c>
      <c r="F109">
        <v>2803971.18</v>
      </c>
      <c r="G109">
        <f>tblMoeHistory[[#This Row],[LEA State and Local Amount]]+tblMoeHistory[[#This Row],[ESD State and Local Amount]]</f>
        <v>11538912.18</v>
      </c>
      <c r="H109">
        <v>0</v>
      </c>
      <c r="I109" t="s">
        <v>239</v>
      </c>
      <c r="J109">
        <f>IFERROR(tblMoeHistory[[#This Row],[LEA State and Local Amount]]/tblMoeHistory[[#This Row],[Child Count]],0)</f>
        <v>6533.2393418100228</v>
      </c>
      <c r="K109">
        <f>IFERROR(tblMoeHistory[[#This Row],[ESD State and Local Amount]]/tblMoeHistory[[#This Row],[Child Count]],0)</f>
        <v>2097.2110545998507</v>
      </c>
      <c r="L109">
        <f>IFERROR(tblMoeHistory[[#This Row],[State and Local Total Amount]]/tblMoeHistory[[#This Row],[Child Count]],0)</f>
        <v>8630.4503964098731</v>
      </c>
      <c r="M109">
        <v>0</v>
      </c>
      <c r="N109" t="s">
        <v>239</v>
      </c>
      <c r="O109">
        <v>2025398.63</v>
      </c>
      <c r="P109">
        <v>19710.09</v>
      </c>
      <c r="Q109">
        <f>tblMoeHistory[[#This Row],[Amount of IDEA Part B, Section 611 award]]+tblMoeHistory[[#This Row],[Amount of IDEA Part B, Section 619 award]]</f>
        <v>2045108.72</v>
      </c>
      <c r="U1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 t="str">
        <f>IF(OR(IFERROR(SEARCH("Met",tblMoeHistory[[#This Row],[State and Local Per Capita Result]]),0)&gt;0,IFERROR(SEARCH("Met",tblMoeHistory[[#This Row],[State and Local Total Result]]),0)&gt;0),"Met","Not Met")</f>
        <v>Met</v>
      </c>
    </row>
    <row r="110" spans="1:22" x14ac:dyDescent="0.35">
      <c r="A110" t="s">
        <v>130</v>
      </c>
      <c r="B110">
        <v>2205</v>
      </c>
      <c r="C110" t="s">
        <v>57</v>
      </c>
      <c r="D110">
        <v>215</v>
      </c>
      <c r="E110">
        <v>2684225.41</v>
      </c>
      <c r="F110">
        <v>344513.57</v>
      </c>
      <c r="G110">
        <f>tblMoeHistory[[#This Row],[LEA State and Local Amount]]+tblMoeHistory[[#This Row],[ESD State and Local Amount]]</f>
        <v>3028738.98</v>
      </c>
      <c r="H110">
        <v>0</v>
      </c>
      <c r="I110" t="s">
        <v>239</v>
      </c>
      <c r="J110">
        <f>IFERROR(tblMoeHistory[[#This Row],[LEA State and Local Amount]]/tblMoeHistory[[#This Row],[Child Count]],0)</f>
        <v>12484.76934883721</v>
      </c>
      <c r="K110">
        <f>IFERROR(tblMoeHistory[[#This Row],[ESD State and Local Amount]]/tblMoeHistory[[#This Row],[Child Count]],0)</f>
        <v>1602.3886976744186</v>
      </c>
      <c r="L110">
        <f>IFERROR(tblMoeHistory[[#This Row],[State and Local Total Amount]]/tblMoeHistory[[#This Row],[Child Count]],0)</f>
        <v>14087.158046511628</v>
      </c>
      <c r="M110">
        <v>0</v>
      </c>
      <c r="N110" t="s">
        <v>239</v>
      </c>
      <c r="O110">
        <v>331971.44</v>
      </c>
      <c r="P110">
        <v>2841.06</v>
      </c>
      <c r="Q110">
        <f>tblMoeHistory[[#This Row],[Amount of IDEA Part B, Section 611 award]]+tblMoeHistory[[#This Row],[Amount of IDEA Part B, Section 619 award]]</f>
        <v>334812.5</v>
      </c>
      <c r="U1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 t="str">
        <f>IF(OR(IFERROR(SEARCH("Met",tblMoeHistory[[#This Row],[State and Local Per Capita Result]]),0)&gt;0,IFERROR(SEARCH("Met",tblMoeHistory[[#This Row],[State and Local Total Result]]),0)&gt;0),"Met","Not Met")</f>
        <v>Met</v>
      </c>
    </row>
    <row r="111" spans="1:22" x14ac:dyDescent="0.35">
      <c r="A111" t="s">
        <v>131</v>
      </c>
      <c r="B111">
        <v>2249</v>
      </c>
      <c r="C111" t="s">
        <v>57</v>
      </c>
      <c r="D111">
        <v>9</v>
      </c>
      <c r="E111">
        <v>54762.33</v>
      </c>
      <c r="F111">
        <v>23766</v>
      </c>
      <c r="G111">
        <f>tblMoeHistory[[#This Row],[LEA State and Local Amount]]+tblMoeHistory[[#This Row],[ESD State and Local Amount]]</f>
        <v>78528.33</v>
      </c>
      <c r="H111">
        <v>0</v>
      </c>
      <c r="I111" t="s">
        <v>239</v>
      </c>
      <c r="J111">
        <f>IFERROR(tblMoeHistory[[#This Row],[LEA State and Local Amount]]/tblMoeHistory[[#This Row],[Child Count]],0)</f>
        <v>6084.7033333333338</v>
      </c>
      <c r="K111">
        <f>IFERROR(tblMoeHistory[[#This Row],[ESD State and Local Amount]]/tblMoeHistory[[#This Row],[Child Count]],0)</f>
        <v>2640.6666666666665</v>
      </c>
      <c r="L111">
        <f>IFERROR(tblMoeHistory[[#This Row],[State and Local Total Amount]]/tblMoeHistory[[#This Row],[Child Count]],0)</f>
        <v>8725.3700000000008</v>
      </c>
      <c r="M111">
        <v>0</v>
      </c>
      <c r="N111" t="s">
        <v>239</v>
      </c>
      <c r="O111">
        <v>13525.67</v>
      </c>
      <c r="P111">
        <v>0</v>
      </c>
      <c r="Q111">
        <f>tblMoeHistory[[#This Row],[Amount of IDEA Part B, Section 611 award]]+tblMoeHistory[[#This Row],[Amount of IDEA Part B, Section 619 award]]</f>
        <v>13525.67</v>
      </c>
      <c r="U1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 t="str">
        <f>IF(OR(IFERROR(SEARCH("Met",tblMoeHistory[[#This Row],[State and Local Per Capita Result]]),0)&gt;0,IFERROR(SEARCH("Met",tblMoeHistory[[#This Row],[State and Local Total Result]]),0)&gt;0),"Met","Not Met")</f>
        <v>Met</v>
      </c>
    </row>
    <row r="112" spans="1:22" x14ac:dyDescent="0.35">
      <c r="A112" t="s">
        <v>132</v>
      </c>
      <c r="B112">
        <v>1925</v>
      </c>
      <c r="C112" t="s">
        <v>57</v>
      </c>
      <c r="D112">
        <v>463</v>
      </c>
      <c r="E112">
        <v>3018681.6</v>
      </c>
      <c r="F112">
        <v>778858</v>
      </c>
      <c r="G112">
        <f>tblMoeHistory[[#This Row],[LEA State and Local Amount]]+tblMoeHistory[[#This Row],[ESD State and Local Amount]]</f>
        <v>3797539.6</v>
      </c>
      <c r="H112">
        <v>0</v>
      </c>
      <c r="I112" t="s">
        <v>239</v>
      </c>
      <c r="J112">
        <f>IFERROR(tblMoeHistory[[#This Row],[LEA State and Local Amount]]/tblMoeHistory[[#This Row],[Child Count]],0)</f>
        <v>6519.8306695464362</v>
      </c>
      <c r="K112">
        <f>IFERROR(tblMoeHistory[[#This Row],[ESD State and Local Amount]]/tblMoeHistory[[#This Row],[Child Count]],0)</f>
        <v>1682.1987041036716</v>
      </c>
      <c r="L112">
        <f>IFERROR(tblMoeHistory[[#This Row],[State and Local Total Amount]]/tblMoeHistory[[#This Row],[Child Count]],0)</f>
        <v>8202.029373650108</v>
      </c>
      <c r="M112">
        <v>0</v>
      </c>
      <c r="N112" t="s">
        <v>239</v>
      </c>
      <c r="O112">
        <v>487905.4</v>
      </c>
      <c r="P112">
        <v>2543.4699999999998</v>
      </c>
      <c r="Q112">
        <f>tblMoeHistory[[#This Row],[Amount of IDEA Part B, Section 611 award]]+tblMoeHistory[[#This Row],[Amount of IDEA Part B, Section 619 award]]</f>
        <v>490448.87</v>
      </c>
      <c r="U1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 t="str">
        <f>IF(OR(IFERROR(SEARCH("Met",tblMoeHistory[[#This Row],[State and Local Per Capita Result]]),0)&gt;0,IFERROR(SEARCH("Met",tblMoeHistory[[#This Row],[State and Local Total Result]]),0)&gt;0),"Met","Not Met")</f>
        <v>Met</v>
      </c>
    </row>
    <row r="113" spans="1:22" x14ac:dyDescent="0.35">
      <c r="A113" t="s">
        <v>133</v>
      </c>
      <c r="B113">
        <v>1898</v>
      </c>
      <c r="C113" t="s">
        <v>57</v>
      </c>
      <c r="D113">
        <v>57</v>
      </c>
      <c r="E113">
        <v>743568.47</v>
      </c>
      <c r="F113">
        <v>41033</v>
      </c>
      <c r="G113">
        <f>tblMoeHistory[[#This Row],[LEA State and Local Amount]]+tblMoeHistory[[#This Row],[ESD State and Local Amount]]</f>
        <v>784601.47</v>
      </c>
      <c r="H113">
        <v>0</v>
      </c>
      <c r="I113" t="s">
        <v>239</v>
      </c>
      <c r="J113">
        <f>IFERROR(tblMoeHistory[[#This Row],[LEA State and Local Amount]]/tblMoeHistory[[#This Row],[Child Count]],0)</f>
        <v>13045.060877192982</v>
      </c>
      <c r="K113">
        <f>IFERROR(tblMoeHistory[[#This Row],[ESD State and Local Amount]]/tblMoeHistory[[#This Row],[Child Count]],0)</f>
        <v>719.87719298245611</v>
      </c>
      <c r="L113">
        <f>IFERROR(tblMoeHistory[[#This Row],[State and Local Total Amount]]/tblMoeHistory[[#This Row],[Child Count]],0)</f>
        <v>13764.938070175438</v>
      </c>
      <c r="M113">
        <v>0</v>
      </c>
      <c r="N113" t="s">
        <v>239</v>
      </c>
      <c r="O113">
        <v>79813.94</v>
      </c>
      <c r="P113">
        <v>1509.32</v>
      </c>
      <c r="Q113">
        <f>tblMoeHistory[[#This Row],[Amount of IDEA Part B, Section 611 award]]+tblMoeHistory[[#This Row],[Amount of IDEA Part B, Section 619 award]]</f>
        <v>81323.260000000009</v>
      </c>
      <c r="U1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 t="str">
        <f>IF(OR(IFERROR(SEARCH("Met",tblMoeHistory[[#This Row],[State and Local Per Capita Result]]),0)&gt;0,IFERROR(SEARCH("Met",tblMoeHistory[[#This Row],[State and Local Total Result]]),0)&gt;0),"Met","Not Met")</f>
        <v>Met</v>
      </c>
    </row>
    <row r="114" spans="1:22" x14ac:dyDescent="0.35">
      <c r="A114" t="s">
        <v>134</v>
      </c>
      <c r="B114">
        <v>2010</v>
      </c>
      <c r="C114" t="s">
        <v>57</v>
      </c>
      <c r="D114">
        <v>7</v>
      </c>
      <c r="E114">
        <v>43</v>
      </c>
      <c r="F114">
        <v>125046.42</v>
      </c>
      <c r="G114">
        <f>tblMoeHistory[[#This Row],[LEA State and Local Amount]]+tblMoeHistory[[#This Row],[ESD State and Local Amount]]</f>
        <v>125089.42</v>
      </c>
      <c r="H114">
        <v>0</v>
      </c>
      <c r="I114" t="s">
        <v>239</v>
      </c>
      <c r="J114">
        <f>IFERROR(tblMoeHistory[[#This Row],[LEA State and Local Amount]]/tblMoeHistory[[#This Row],[Child Count]],0)</f>
        <v>6.1428571428571432</v>
      </c>
      <c r="K114">
        <f>IFERROR(tblMoeHistory[[#This Row],[ESD State and Local Amount]]/tblMoeHistory[[#This Row],[Child Count]],0)</f>
        <v>17863.774285714284</v>
      </c>
      <c r="L114">
        <f>IFERROR(tblMoeHistory[[#This Row],[State and Local Total Amount]]/tblMoeHistory[[#This Row],[Child Count]],0)</f>
        <v>17869.917142857143</v>
      </c>
      <c r="M114">
        <v>0</v>
      </c>
      <c r="N114" t="s">
        <v>239</v>
      </c>
      <c r="O114">
        <v>13303.95</v>
      </c>
      <c r="P114">
        <v>1463.94</v>
      </c>
      <c r="Q114">
        <f>tblMoeHistory[[#This Row],[Amount of IDEA Part B, Section 611 award]]+tblMoeHistory[[#This Row],[Amount of IDEA Part B, Section 619 award]]</f>
        <v>14767.890000000001</v>
      </c>
      <c r="U1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 t="str">
        <f>IF(OR(IFERROR(SEARCH("Met",tblMoeHistory[[#This Row],[State and Local Per Capita Result]]),0)&gt;0,IFERROR(SEARCH("Met",tblMoeHistory[[#This Row],[State and Local Total Result]]),0)&gt;0),"Met","Not Met")</f>
        <v>Met</v>
      </c>
    </row>
    <row r="115" spans="1:22" x14ac:dyDescent="0.35">
      <c r="A115" t="s">
        <v>135</v>
      </c>
      <c r="B115">
        <v>2147</v>
      </c>
      <c r="C115" t="s">
        <v>57</v>
      </c>
      <c r="D115">
        <v>269</v>
      </c>
      <c r="E115">
        <v>1550510.84</v>
      </c>
      <c r="F115">
        <v>431088.23</v>
      </c>
      <c r="G115">
        <f>tblMoeHistory[[#This Row],[LEA State and Local Amount]]+tblMoeHistory[[#This Row],[ESD State and Local Amount]]</f>
        <v>1981599.07</v>
      </c>
      <c r="H115">
        <v>0</v>
      </c>
      <c r="I115" t="s">
        <v>239</v>
      </c>
      <c r="J115">
        <f>IFERROR(tblMoeHistory[[#This Row],[LEA State and Local Amount]]/tblMoeHistory[[#This Row],[Child Count]],0)</f>
        <v>5763.9808178438661</v>
      </c>
      <c r="K115">
        <f>IFERROR(tblMoeHistory[[#This Row],[ESD State and Local Amount]]/tblMoeHistory[[#This Row],[Child Count]],0)</f>
        <v>1602.5584758364312</v>
      </c>
      <c r="L115">
        <f>IFERROR(tblMoeHistory[[#This Row],[State and Local Total Amount]]/tblMoeHistory[[#This Row],[Child Count]],0)</f>
        <v>7366.5392936802973</v>
      </c>
      <c r="M115">
        <v>0</v>
      </c>
      <c r="N115" t="s">
        <v>239</v>
      </c>
      <c r="O115">
        <v>360135.63</v>
      </c>
      <c r="P115">
        <v>1403.09</v>
      </c>
      <c r="Q115">
        <f>tblMoeHistory[[#This Row],[Amount of IDEA Part B, Section 611 award]]+tblMoeHistory[[#This Row],[Amount of IDEA Part B, Section 619 award]]</f>
        <v>361538.72000000003</v>
      </c>
      <c r="U1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 t="str">
        <f>IF(OR(IFERROR(SEARCH("Met",tblMoeHistory[[#This Row],[State and Local Per Capita Result]]),0)&gt;0,IFERROR(SEARCH("Met",tblMoeHistory[[#This Row],[State and Local Total Result]]),0)&gt;0),"Met","Not Met")</f>
        <v>Met</v>
      </c>
    </row>
    <row r="116" spans="1:22" x14ac:dyDescent="0.35">
      <c r="A116" t="s">
        <v>136</v>
      </c>
      <c r="B116">
        <v>2145</v>
      </c>
      <c r="C116" t="s">
        <v>57</v>
      </c>
      <c r="D116">
        <v>75</v>
      </c>
      <c r="E116">
        <v>432786.18</v>
      </c>
      <c r="F116">
        <v>6554.47</v>
      </c>
      <c r="G116">
        <f>tblMoeHistory[[#This Row],[LEA State and Local Amount]]+tblMoeHistory[[#This Row],[ESD State and Local Amount]]</f>
        <v>439340.64999999997</v>
      </c>
      <c r="H116">
        <v>0</v>
      </c>
      <c r="I116" t="s">
        <v>239</v>
      </c>
      <c r="J116">
        <f>IFERROR(tblMoeHistory[[#This Row],[LEA State and Local Amount]]/tblMoeHistory[[#This Row],[Child Count]],0)</f>
        <v>5770.4823999999999</v>
      </c>
      <c r="K116">
        <f>IFERROR(tblMoeHistory[[#This Row],[ESD State and Local Amount]]/tblMoeHistory[[#This Row],[Child Count]],0)</f>
        <v>87.392933333333332</v>
      </c>
      <c r="L116">
        <f>IFERROR(tblMoeHistory[[#This Row],[State and Local Total Amount]]/tblMoeHistory[[#This Row],[Child Count]],0)</f>
        <v>5857.8753333333325</v>
      </c>
      <c r="M116">
        <v>0</v>
      </c>
      <c r="N116" t="s">
        <v>239</v>
      </c>
      <c r="O116">
        <v>114982.47</v>
      </c>
      <c r="P116">
        <v>0</v>
      </c>
      <c r="Q116">
        <f>tblMoeHistory[[#This Row],[Amount of IDEA Part B, Section 611 award]]+tblMoeHistory[[#This Row],[Amount of IDEA Part B, Section 619 award]]</f>
        <v>114982.47</v>
      </c>
      <c r="U1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 t="str">
        <f>IF(OR(IFERROR(SEARCH("Met",tblMoeHistory[[#This Row],[State and Local Per Capita Result]]),0)&gt;0,IFERROR(SEARCH("Met",tblMoeHistory[[#This Row],[State and Local Total Result]]),0)&gt;0),"Met","Not Met")</f>
        <v>Met</v>
      </c>
    </row>
    <row r="117" spans="1:22" x14ac:dyDescent="0.35">
      <c r="A117" t="s">
        <v>137</v>
      </c>
      <c r="B117">
        <v>1968</v>
      </c>
      <c r="C117" t="s">
        <v>57</v>
      </c>
      <c r="D117">
        <v>107</v>
      </c>
      <c r="E117">
        <v>573474.09</v>
      </c>
      <c r="F117">
        <v>320627.68</v>
      </c>
      <c r="G117">
        <f>tblMoeHistory[[#This Row],[LEA State and Local Amount]]+tblMoeHistory[[#This Row],[ESD State and Local Amount]]</f>
        <v>894101.77</v>
      </c>
      <c r="H117">
        <v>0</v>
      </c>
      <c r="I117" t="s">
        <v>239</v>
      </c>
      <c r="J117">
        <f>IFERROR(tblMoeHistory[[#This Row],[LEA State and Local Amount]]/tblMoeHistory[[#This Row],[Child Count]],0)</f>
        <v>5359.5709345794394</v>
      </c>
      <c r="K117">
        <f>IFERROR(tblMoeHistory[[#This Row],[ESD State and Local Amount]]/tblMoeHistory[[#This Row],[Child Count]],0)</f>
        <v>2996.5203738317755</v>
      </c>
      <c r="L117">
        <f>IFERROR(tblMoeHistory[[#This Row],[State and Local Total Amount]]/tblMoeHistory[[#This Row],[Child Count]],0)</f>
        <v>8356.0913084112144</v>
      </c>
      <c r="M117">
        <v>0</v>
      </c>
      <c r="N117" t="s">
        <v>239</v>
      </c>
      <c r="O117">
        <v>150281.49</v>
      </c>
      <c r="P117">
        <v>0</v>
      </c>
      <c r="Q117">
        <f>tblMoeHistory[[#This Row],[Amount of IDEA Part B, Section 611 award]]+tblMoeHistory[[#This Row],[Amount of IDEA Part B, Section 619 award]]</f>
        <v>150281.49</v>
      </c>
      <c r="U1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 t="str">
        <f>IF(OR(IFERROR(SEARCH("Met",tblMoeHistory[[#This Row],[State and Local Per Capita Result]]),0)&gt;0,IFERROR(SEARCH("Met",tblMoeHistory[[#This Row],[State and Local Total Result]]),0)&gt;0),"Met","Not Met")</f>
        <v>Met</v>
      </c>
    </row>
    <row r="118" spans="1:22" x14ac:dyDescent="0.35">
      <c r="A118" t="s">
        <v>138</v>
      </c>
      <c r="B118">
        <v>2198</v>
      </c>
      <c r="C118" t="s">
        <v>57</v>
      </c>
      <c r="D118">
        <v>77</v>
      </c>
      <c r="E118">
        <v>1132853.52</v>
      </c>
      <c r="F118">
        <v>183190</v>
      </c>
      <c r="G118">
        <f>tblMoeHistory[[#This Row],[LEA State and Local Amount]]+tblMoeHistory[[#This Row],[ESD State and Local Amount]]</f>
        <v>1316043.52</v>
      </c>
      <c r="H118">
        <v>0</v>
      </c>
      <c r="I118" t="s">
        <v>239</v>
      </c>
      <c r="J118">
        <f>IFERROR(tblMoeHistory[[#This Row],[LEA State and Local Amount]]/tblMoeHistory[[#This Row],[Child Count]],0)</f>
        <v>14712.383376623377</v>
      </c>
      <c r="K118">
        <f>IFERROR(tblMoeHistory[[#This Row],[ESD State and Local Amount]]/tblMoeHistory[[#This Row],[Child Count]],0)</f>
        <v>2379.090909090909</v>
      </c>
      <c r="L118">
        <f>IFERROR(tblMoeHistory[[#This Row],[State and Local Total Amount]]/tblMoeHistory[[#This Row],[Child Count]],0)</f>
        <v>17091.474285714285</v>
      </c>
      <c r="M118">
        <v>0</v>
      </c>
      <c r="N118" t="s">
        <v>239</v>
      </c>
      <c r="O118">
        <v>112129.5</v>
      </c>
      <c r="P118">
        <v>1182.74</v>
      </c>
      <c r="Q118">
        <f>tblMoeHistory[[#This Row],[Amount of IDEA Part B, Section 611 award]]+tblMoeHistory[[#This Row],[Amount of IDEA Part B, Section 619 award]]</f>
        <v>113312.24</v>
      </c>
      <c r="U1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 t="str">
        <f>IF(OR(IFERROR(SEARCH("Met",tblMoeHistory[[#This Row],[State and Local Per Capita Result]]),0)&gt;0,IFERROR(SEARCH("Met",tblMoeHistory[[#This Row],[State and Local Total Result]]),0)&gt;0),"Met","Not Met")</f>
        <v>Met</v>
      </c>
    </row>
    <row r="119" spans="1:22" x14ac:dyDescent="0.35">
      <c r="A119" t="s">
        <v>139</v>
      </c>
      <c r="B119">
        <v>2199</v>
      </c>
      <c r="C119" t="s">
        <v>57</v>
      </c>
      <c r="D119">
        <v>92</v>
      </c>
      <c r="E119">
        <v>578685.34</v>
      </c>
      <c r="F119">
        <v>158279</v>
      </c>
      <c r="G119">
        <f>tblMoeHistory[[#This Row],[LEA State and Local Amount]]+tblMoeHistory[[#This Row],[ESD State and Local Amount]]</f>
        <v>736964.34</v>
      </c>
      <c r="H119">
        <v>0</v>
      </c>
      <c r="I119" t="s">
        <v>239</v>
      </c>
      <c r="J119">
        <f>IFERROR(tblMoeHistory[[#This Row],[LEA State and Local Amount]]/tblMoeHistory[[#This Row],[Child Count]],0)</f>
        <v>6290.0580434782605</v>
      </c>
      <c r="K119">
        <f>IFERROR(tblMoeHistory[[#This Row],[ESD State and Local Amount]]/tblMoeHistory[[#This Row],[Child Count]],0)</f>
        <v>1720.4239130434783</v>
      </c>
      <c r="L119">
        <f>IFERROR(tblMoeHistory[[#This Row],[State and Local Total Amount]]/tblMoeHistory[[#This Row],[Child Count]],0)</f>
        <v>8010.4819565217385</v>
      </c>
      <c r="M119">
        <v>0</v>
      </c>
      <c r="N119" t="s">
        <v>239</v>
      </c>
      <c r="O119">
        <v>110195.72</v>
      </c>
      <c r="P119">
        <v>0</v>
      </c>
      <c r="Q119">
        <f>tblMoeHistory[[#This Row],[Amount of IDEA Part B, Section 611 award]]+tblMoeHistory[[#This Row],[Amount of IDEA Part B, Section 619 award]]</f>
        <v>110195.72</v>
      </c>
      <c r="U1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 t="str">
        <f>IF(OR(IFERROR(SEARCH("Met",tblMoeHistory[[#This Row],[State and Local Per Capita Result]]),0)&gt;0,IFERROR(SEARCH("Met",tblMoeHistory[[#This Row],[State and Local Total Result]]),0)&gt;0),"Met","Not Met")</f>
        <v>Met</v>
      </c>
    </row>
    <row r="120" spans="1:22" x14ac:dyDescent="0.35">
      <c r="A120" t="s">
        <v>140</v>
      </c>
      <c r="B120">
        <v>2254</v>
      </c>
      <c r="C120" t="s">
        <v>57</v>
      </c>
      <c r="D120">
        <v>648</v>
      </c>
      <c r="E120">
        <v>4433886.16</v>
      </c>
      <c r="F120">
        <v>369640.48</v>
      </c>
      <c r="G120">
        <f>tblMoeHistory[[#This Row],[LEA State and Local Amount]]+tblMoeHistory[[#This Row],[ESD State and Local Amount]]</f>
        <v>4803526.6400000006</v>
      </c>
      <c r="H120">
        <v>0</v>
      </c>
      <c r="I120" t="s">
        <v>239</v>
      </c>
      <c r="J120">
        <f>IFERROR(tblMoeHistory[[#This Row],[LEA State and Local Amount]]/tblMoeHistory[[#This Row],[Child Count]],0)</f>
        <v>6842.4169135802467</v>
      </c>
      <c r="K120">
        <f>IFERROR(tblMoeHistory[[#This Row],[ESD State and Local Amount]]/tblMoeHistory[[#This Row],[Child Count]],0)</f>
        <v>570.43283950617285</v>
      </c>
      <c r="L120">
        <f>IFERROR(tblMoeHistory[[#This Row],[State and Local Total Amount]]/tblMoeHistory[[#This Row],[Child Count]],0)</f>
        <v>7412.8497530864206</v>
      </c>
      <c r="M120">
        <v>0</v>
      </c>
      <c r="N120" t="s">
        <v>239</v>
      </c>
      <c r="O120">
        <v>796814.3</v>
      </c>
      <c r="P120">
        <v>5504.32</v>
      </c>
      <c r="Q120">
        <f>tblMoeHistory[[#This Row],[Amount of IDEA Part B, Section 611 award]]+tblMoeHistory[[#This Row],[Amount of IDEA Part B, Section 619 award]]</f>
        <v>802318.62</v>
      </c>
      <c r="U1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 t="str">
        <f>IF(OR(IFERROR(SEARCH("Met",tblMoeHistory[[#This Row],[State and Local Per Capita Result]]),0)&gt;0,IFERROR(SEARCH("Met",tblMoeHistory[[#This Row],[State and Local Total Result]]),0)&gt;0),"Met","Not Met")</f>
        <v>Met</v>
      </c>
    </row>
    <row r="121" spans="1:22" x14ac:dyDescent="0.35">
      <c r="A121" t="s">
        <v>141</v>
      </c>
      <c r="B121">
        <v>1966</v>
      </c>
      <c r="C121" t="s">
        <v>57</v>
      </c>
      <c r="D121">
        <v>263</v>
      </c>
      <c r="E121">
        <v>1981675.15</v>
      </c>
      <c r="F121">
        <v>949974.02</v>
      </c>
      <c r="G121">
        <f>tblMoeHistory[[#This Row],[LEA State and Local Amount]]+tblMoeHistory[[#This Row],[ESD State and Local Amount]]</f>
        <v>2931649.17</v>
      </c>
      <c r="H121">
        <v>0</v>
      </c>
      <c r="I121" t="s">
        <v>239</v>
      </c>
      <c r="J121">
        <f>IFERROR(tblMoeHistory[[#This Row],[LEA State and Local Amount]]/tblMoeHistory[[#This Row],[Child Count]],0)</f>
        <v>7534.88650190114</v>
      </c>
      <c r="K121">
        <f>IFERROR(tblMoeHistory[[#This Row],[ESD State and Local Amount]]/tblMoeHistory[[#This Row],[Child Count]],0)</f>
        <v>3612.0685171102664</v>
      </c>
      <c r="L121">
        <f>IFERROR(tblMoeHistory[[#This Row],[State and Local Total Amount]]/tblMoeHistory[[#This Row],[Child Count]],0)</f>
        <v>11146.955019011406</v>
      </c>
      <c r="M121">
        <v>0</v>
      </c>
      <c r="N121" t="s">
        <v>239</v>
      </c>
      <c r="O121">
        <v>433136.33</v>
      </c>
      <c r="P121">
        <v>1887.96</v>
      </c>
      <c r="Q121">
        <f>tblMoeHistory[[#This Row],[Amount of IDEA Part B, Section 611 award]]+tblMoeHistory[[#This Row],[Amount of IDEA Part B, Section 619 award]]</f>
        <v>435024.29000000004</v>
      </c>
      <c r="U1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 t="str">
        <f>IF(OR(IFERROR(SEARCH("Met",tblMoeHistory[[#This Row],[State and Local Per Capita Result]]),0)&gt;0,IFERROR(SEARCH("Met",tblMoeHistory[[#This Row],[State and Local Total Result]]),0)&gt;0),"Met","Not Met")</f>
        <v>Met</v>
      </c>
    </row>
    <row r="122" spans="1:22" x14ac:dyDescent="0.35">
      <c r="A122" t="s">
        <v>142</v>
      </c>
      <c r="B122">
        <v>1924</v>
      </c>
      <c r="C122" t="s">
        <v>57</v>
      </c>
      <c r="D122">
        <v>2247</v>
      </c>
      <c r="E122">
        <v>15114186.949999999</v>
      </c>
      <c r="F122">
        <v>2401202</v>
      </c>
      <c r="G122">
        <f>tblMoeHistory[[#This Row],[LEA State and Local Amount]]+tblMoeHistory[[#This Row],[ESD State and Local Amount]]</f>
        <v>17515388.949999999</v>
      </c>
      <c r="H122">
        <v>0</v>
      </c>
      <c r="I122" t="s">
        <v>239</v>
      </c>
      <c r="J122">
        <f>IFERROR(tblMoeHistory[[#This Row],[LEA State and Local Amount]]/tblMoeHistory[[#This Row],[Child Count]],0)</f>
        <v>6726.3849354695149</v>
      </c>
      <c r="K122">
        <f>IFERROR(tblMoeHistory[[#This Row],[ESD State and Local Amount]]/tblMoeHistory[[#This Row],[Child Count]],0)</f>
        <v>1068.6257231864709</v>
      </c>
      <c r="L122">
        <f>IFERROR(tblMoeHistory[[#This Row],[State and Local Total Amount]]/tblMoeHistory[[#This Row],[Child Count]],0)</f>
        <v>7795.010658655985</v>
      </c>
      <c r="M122">
        <v>0</v>
      </c>
      <c r="N122" t="s">
        <v>239</v>
      </c>
      <c r="O122">
        <v>2571847.66</v>
      </c>
      <c r="P122">
        <v>13283.96</v>
      </c>
      <c r="Q122">
        <f>tblMoeHistory[[#This Row],[Amount of IDEA Part B, Section 611 award]]+tblMoeHistory[[#This Row],[Amount of IDEA Part B, Section 619 award]]</f>
        <v>2585131.62</v>
      </c>
      <c r="U1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 t="str">
        <f>IF(OR(IFERROR(SEARCH("Met",tblMoeHistory[[#This Row],[State and Local Per Capita Result]]),0)&gt;0,IFERROR(SEARCH("Met",tblMoeHistory[[#This Row],[State and Local Total Result]]),0)&gt;0),"Met","Not Met")</f>
        <v>Met</v>
      </c>
    </row>
    <row r="123" spans="1:22" x14ac:dyDescent="0.35">
      <c r="A123" t="s">
        <v>143</v>
      </c>
      <c r="B123">
        <v>1996</v>
      </c>
      <c r="C123" t="s">
        <v>57</v>
      </c>
      <c r="D123">
        <v>55</v>
      </c>
      <c r="E123">
        <v>412573.84</v>
      </c>
      <c r="F123">
        <v>74078.179999999993</v>
      </c>
      <c r="G123">
        <f>tblMoeHistory[[#This Row],[LEA State and Local Amount]]+tblMoeHistory[[#This Row],[ESD State and Local Amount]]</f>
        <v>486652.02</v>
      </c>
      <c r="H123">
        <v>0</v>
      </c>
      <c r="I123" t="s">
        <v>239</v>
      </c>
      <c r="J123">
        <f>IFERROR(tblMoeHistory[[#This Row],[LEA State and Local Amount]]/tblMoeHistory[[#This Row],[Child Count]],0)</f>
        <v>7501.3425454545459</v>
      </c>
      <c r="K123">
        <f>IFERROR(tblMoeHistory[[#This Row],[ESD State and Local Amount]]/tblMoeHistory[[#This Row],[Child Count]],0)</f>
        <v>1346.876</v>
      </c>
      <c r="L123">
        <f>IFERROR(tblMoeHistory[[#This Row],[State and Local Total Amount]]/tblMoeHistory[[#This Row],[Child Count]],0)</f>
        <v>8848.2185454545452</v>
      </c>
      <c r="M123">
        <v>0</v>
      </c>
      <c r="N123" t="s">
        <v>239</v>
      </c>
      <c r="O123">
        <v>66639.490000000005</v>
      </c>
      <c r="P123">
        <v>254.85</v>
      </c>
      <c r="Q123">
        <f>tblMoeHistory[[#This Row],[Amount of IDEA Part B, Section 611 award]]+tblMoeHistory[[#This Row],[Amount of IDEA Part B, Section 619 award]]</f>
        <v>66894.340000000011</v>
      </c>
      <c r="U1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 t="str">
        <f>IF(OR(IFERROR(SEARCH("Met",tblMoeHistory[[#This Row],[State and Local Per Capita Result]]),0)&gt;0,IFERROR(SEARCH("Met",tblMoeHistory[[#This Row],[State and Local Total Result]]),0)&gt;0),"Met","Not Met")</f>
        <v>Met</v>
      </c>
    </row>
    <row r="124" spans="1:22" x14ac:dyDescent="0.35">
      <c r="A124" t="s">
        <v>144</v>
      </c>
      <c r="B124">
        <v>2061</v>
      </c>
      <c r="C124" t="s">
        <v>57</v>
      </c>
      <c r="D124">
        <v>35</v>
      </c>
      <c r="E124">
        <v>148510.96</v>
      </c>
      <c r="F124">
        <v>56000.480000000003</v>
      </c>
      <c r="G124">
        <f>tblMoeHistory[[#This Row],[LEA State and Local Amount]]+tblMoeHistory[[#This Row],[ESD State and Local Amount]]</f>
        <v>204511.44</v>
      </c>
      <c r="H124">
        <v>0</v>
      </c>
      <c r="I124" t="s">
        <v>239</v>
      </c>
      <c r="J124">
        <f>IFERROR(tblMoeHistory[[#This Row],[LEA State and Local Amount]]/tblMoeHistory[[#This Row],[Child Count]],0)</f>
        <v>4243.1702857142855</v>
      </c>
      <c r="K124">
        <f>IFERROR(tblMoeHistory[[#This Row],[ESD State and Local Amount]]/tblMoeHistory[[#This Row],[Child Count]],0)</f>
        <v>1600.0137142857143</v>
      </c>
      <c r="L124">
        <f>IFERROR(tblMoeHistory[[#This Row],[State and Local Total Amount]]/tblMoeHistory[[#This Row],[Child Count]],0)</f>
        <v>5843.1840000000002</v>
      </c>
      <c r="M124">
        <v>0</v>
      </c>
      <c r="N124" t="s">
        <v>239</v>
      </c>
      <c r="O124">
        <v>52014.559999999998</v>
      </c>
      <c r="P124">
        <v>820.49</v>
      </c>
      <c r="Q124">
        <f>tblMoeHistory[[#This Row],[Amount of IDEA Part B, Section 611 award]]+tblMoeHistory[[#This Row],[Amount of IDEA Part B, Section 619 award]]</f>
        <v>52835.049999999996</v>
      </c>
      <c r="U1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 t="str">
        <f>IF(OR(IFERROR(SEARCH("Met",tblMoeHistory[[#This Row],[State and Local Per Capita Result]]),0)&gt;0,IFERROR(SEARCH("Met",tblMoeHistory[[#This Row],[State and Local Total Result]]),0)&gt;0),"Met","Not Met")</f>
        <v>Met</v>
      </c>
    </row>
    <row r="125" spans="1:22" x14ac:dyDescent="0.35">
      <c r="A125" t="s">
        <v>145</v>
      </c>
      <c r="B125">
        <v>2141</v>
      </c>
      <c r="C125" t="s">
        <v>57</v>
      </c>
      <c r="D125">
        <v>246</v>
      </c>
      <c r="E125">
        <v>2000199.35</v>
      </c>
      <c r="F125">
        <v>213369.32</v>
      </c>
      <c r="G125">
        <f>tblMoeHistory[[#This Row],[LEA State and Local Amount]]+tblMoeHistory[[#This Row],[ESD State and Local Amount]]</f>
        <v>2213568.67</v>
      </c>
      <c r="H125">
        <v>0</v>
      </c>
      <c r="I125" t="s">
        <v>239</v>
      </c>
      <c r="J125">
        <f>IFERROR(tblMoeHistory[[#This Row],[LEA State and Local Amount]]/tblMoeHistory[[#This Row],[Child Count]],0)</f>
        <v>8130.8916666666673</v>
      </c>
      <c r="K125">
        <f>IFERROR(tblMoeHistory[[#This Row],[ESD State and Local Amount]]/tblMoeHistory[[#This Row],[Child Count]],0)</f>
        <v>867.35495934959351</v>
      </c>
      <c r="L125">
        <f>IFERROR(tblMoeHistory[[#This Row],[State and Local Total Amount]]/tblMoeHistory[[#This Row],[Child Count]],0)</f>
        <v>8998.2466260162601</v>
      </c>
      <c r="M125">
        <v>0</v>
      </c>
      <c r="N125" t="s">
        <v>239</v>
      </c>
      <c r="O125">
        <v>253065.89</v>
      </c>
      <c r="P125">
        <v>1598.9</v>
      </c>
      <c r="Q125">
        <f>tblMoeHistory[[#This Row],[Amount of IDEA Part B, Section 611 award]]+tblMoeHistory[[#This Row],[Amount of IDEA Part B, Section 619 award]]</f>
        <v>254664.79</v>
      </c>
      <c r="U1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 t="str">
        <f>IF(OR(IFERROR(SEARCH("Met",tblMoeHistory[[#This Row],[State and Local Per Capita Result]]),0)&gt;0,IFERROR(SEARCH("Met",tblMoeHistory[[#This Row],[State and Local Total Result]]),0)&gt;0),"Met","Not Met")</f>
        <v>Met</v>
      </c>
    </row>
    <row r="126" spans="1:22" x14ac:dyDescent="0.35">
      <c r="A126" t="s">
        <v>146</v>
      </c>
      <c r="B126">
        <v>2214</v>
      </c>
      <c r="C126" t="s">
        <v>57</v>
      </c>
      <c r="D126">
        <v>0</v>
      </c>
      <c r="E126">
        <v>161611.89000000001</v>
      </c>
      <c r="F126">
        <v>0</v>
      </c>
      <c r="G126">
        <f>tblMoeHistory[[#This Row],[LEA State and Local Amount]]+tblMoeHistory[[#This Row],[ESD State and Local Amount]]</f>
        <v>161611.89000000001</v>
      </c>
      <c r="H126">
        <v>0</v>
      </c>
      <c r="J126">
        <f>IFERROR(tblMoeHistory[[#This Row],[LEA State and Local Amount]]/tblMoeHistory[[#This Row],[Child Count]],0)</f>
        <v>0</v>
      </c>
      <c r="K126">
        <f>IFERROR(tblMoeHistory[[#This Row],[ESD State and Local Amount]]/tblMoeHistory[[#This Row],[Child Count]],0)</f>
        <v>0</v>
      </c>
      <c r="L126">
        <f>IFERROR(tblMoeHistory[[#This Row],[State and Local Total Amount]]/tblMoeHistory[[#This Row],[Child Count]],0)</f>
        <v>0</v>
      </c>
      <c r="M126">
        <v>0</v>
      </c>
      <c r="O126">
        <v>42121.08</v>
      </c>
      <c r="P126">
        <v>514.15</v>
      </c>
      <c r="Q126">
        <f>tblMoeHistory[[#This Row],[Amount of IDEA Part B, Section 611 award]]+tblMoeHistory[[#This Row],[Amount of IDEA Part B, Section 619 award]]</f>
        <v>42635.23</v>
      </c>
      <c r="U1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 t="str">
        <f>IF(OR(IFERROR(SEARCH("Met",tblMoeHistory[[#This Row],[State and Local Per Capita Result]]),0)&gt;0,IFERROR(SEARCH("Met",tblMoeHistory[[#This Row],[State and Local Total Result]]),0)&gt;0),"Met","Not Met")</f>
        <v>Not Met</v>
      </c>
    </row>
    <row r="127" spans="1:22" x14ac:dyDescent="0.35">
      <c r="A127" t="s">
        <v>147</v>
      </c>
      <c r="B127">
        <v>2143</v>
      </c>
      <c r="C127" t="s">
        <v>57</v>
      </c>
      <c r="D127">
        <v>249</v>
      </c>
      <c r="E127">
        <v>2127104.06</v>
      </c>
      <c r="F127">
        <v>146369.14000000001</v>
      </c>
      <c r="G127">
        <f>tblMoeHistory[[#This Row],[LEA State and Local Amount]]+tblMoeHistory[[#This Row],[ESD State and Local Amount]]</f>
        <v>2273473.2000000002</v>
      </c>
      <c r="H127">
        <v>0</v>
      </c>
      <c r="I127" t="s">
        <v>239</v>
      </c>
      <c r="J127">
        <f>IFERROR(tblMoeHistory[[#This Row],[LEA State and Local Amount]]/tblMoeHistory[[#This Row],[Child Count]],0)</f>
        <v>8542.5865863453819</v>
      </c>
      <c r="K127">
        <f>IFERROR(tblMoeHistory[[#This Row],[ESD State and Local Amount]]/tblMoeHistory[[#This Row],[Child Count]],0)</f>
        <v>587.82787148594389</v>
      </c>
      <c r="L127">
        <f>IFERROR(tblMoeHistory[[#This Row],[State and Local Total Amount]]/tblMoeHistory[[#This Row],[Child Count]],0)</f>
        <v>9130.4144578313262</v>
      </c>
      <c r="M127">
        <v>0</v>
      </c>
      <c r="N127" t="s">
        <v>239</v>
      </c>
      <c r="O127">
        <v>440694.23</v>
      </c>
      <c r="P127">
        <v>2373.2600000000002</v>
      </c>
      <c r="Q127">
        <f>tblMoeHistory[[#This Row],[Amount of IDEA Part B, Section 611 award]]+tblMoeHistory[[#This Row],[Amount of IDEA Part B, Section 619 award]]</f>
        <v>443067.49</v>
      </c>
      <c r="U1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 t="str">
        <f>IF(OR(IFERROR(SEARCH("Met",tblMoeHistory[[#This Row],[State and Local Per Capita Result]]),0)&gt;0,IFERROR(SEARCH("Met",tblMoeHistory[[#This Row],[State and Local Total Result]]),0)&gt;0),"Met","Not Met")</f>
        <v>Met</v>
      </c>
    </row>
    <row r="128" spans="1:22" x14ac:dyDescent="0.35">
      <c r="A128" t="s">
        <v>148</v>
      </c>
      <c r="B128">
        <v>4131</v>
      </c>
      <c r="C128" t="s">
        <v>57</v>
      </c>
      <c r="D128">
        <v>430</v>
      </c>
      <c r="E128">
        <v>3016171.95</v>
      </c>
      <c r="F128">
        <v>0</v>
      </c>
      <c r="G128">
        <f>tblMoeHistory[[#This Row],[LEA State and Local Amount]]+tblMoeHistory[[#This Row],[ESD State and Local Amount]]</f>
        <v>3016171.95</v>
      </c>
      <c r="H128">
        <v>0</v>
      </c>
      <c r="I128" t="s">
        <v>239</v>
      </c>
      <c r="J128">
        <f>IFERROR(tblMoeHistory[[#This Row],[LEA State and Local Amount]]/tblMoeHistory[[#This Row],[Child Count]],0)</f>
        <v>7014.3533720930236</v>
      </c>
      <c r="K128">
        <f>IFERROR(tblMoeHistory[[#This Row],[ESD State and Local Amount]]/tblMoeHistory[[#This Row],[Child Count]],0)</f>
        <v>0</v>
      </c>
      <c r="L128">
        <f>IFERROR(tblMoeHistory[[#This Row],[State and Local Total Amount]]/tblMoeHistory[[#This Row],[Child Count]],0)</f>
        <v>7014.3533720930236</v>
      </c>
      <c r="M128">
        <v>0</v>
      </c>
      <c r="N128" t="s">
        <v>239</v>
      </c>
      <c r="O128">
        <v>538873.92000000004</v>
      </c>
      <c r="P128">
        <v>7210.62</v>
      </c>
      <c r="Q128">
        <f>tblMoeHistory[[#This Row],[Amount of IDEA Part B, Section 611 award]]+tblMoeHistory[[#This Row],[Amount of IDEA Part B, Section 619 award]]</f>
        <v>546084.54</v>
      </c>
      <c r="U1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 t="str">
        <f>IF(OR(IFERROR(SEARCH("Met",tblMoeHistory[[#This Row],[State and Local Per Capita Result]]),0)&gt;0,IFERROR(SEARCH("Met",tblMoeHistory[[#This Row],[State and Local Total Result]]),0)&gt;0),"Met","Not Met")</f>
        <v>Met</v>
      </c>
    </row>
    <row r="129" spans="1:22" x14ac:dyDescent="0.35">
      <c r="A129" t="s">
        <v>149</v>
      </c>
      <c r="B129">
        <v>2110</v>
      </c>
      <c r="C129" t="s">
        <v>57</v>
      </c>
      <c r="D129">
        <v>138</v>
      </c>
      <c r="E129">
        <v>695142</v>
      </c>
      <c r="F129">
        <v>324977.62</v>
      </c>
      <c r="G129">
        <f>tblMoeHistory[[#This Row],[LEA State and Local Amount]]+tblMoeHistory[[#This Row],[ESD State and Local Amount]]</f>
        <v>1020119.62</v>
      </c>
      <c r="H129">
        <v>0</v>
      </c>
      <c r="I129" t="s">
        <v>239</v>
      </c>
      <c r="J129">
        <f>IFERROR(tblMoeHistory[[#This Row],[LEA State and Local Amount]]/tblMoeHistory[[#This Row],[Child Count]],0)</f>
        <v>5037.260869565217</v>
      </c>
      <c r="K129">
        <f>IFERROR(tblMoeHistory[[#This Row],[ESD State and Local Amount]]/tblMoeHistory[[#This Row],[Child Count]],0)</f>
        <v>2354.9102898550723</v>
      </c>
      <c r="L129">
        <f>IFERROR(tblMoeHistory[[#This Row],[State and Local Total Amount]]/tblMoeHistory[[#This Row],[Child Count]],0)</f>
        <v>7392.1711594202898</v>
      </c>
      <c r="M129">
        <v>0</v>
      </c>
      <c r="N129" t="s">
        <v>239</v>
      </c>
      <c r="O129">
        <v>211955.02</v>
      </c>
      <c r="P129">
        <v>1806.35</v>
      </c>
      <c r="Q129">
        <f>tblMoeHistory[[#This Row],[Amount of IDEA Part B, Section 611 award]]+tblMoeHistory[[#This Row],[Amount of IDEA Part B, Section 619 award]]</f>
        <v>213761.37</v>
      </c>
      <c r="U1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 t="str">
        <f>IF(OR(IFERROR(SEARCH("Met",tblMoeHistory[[#This Row],[State and Local Per Capita Result]]),0)&gt;0,IFERROR(SEARCH("Met",tblMoeHistory[[#This Row],[State and Local Total Result]]),0)&gt;0),"Met","Not Met")</f>
        <v>Met</v>
      </c>
    </row>
    <row r="130" spans="1:22" x14ac:dyDescent="0.35">
      <c r="A130" t="s">
        <v>150</v>
      </c>
      <c r="B130">
        <v>1990</v>
      </c>
      <c r="C130" t="s">
        <v>57</v>
      </c>
      <c r="D130">
        <v>55</v>
      </c>
      <c r="E130">
        <v>306498.43</v>
      </c>
      <c r="F130">
        <v>88844.5</v>
      </c>
      <c r="G130">
        <f>tblMoeHistory[[#This Row],[LEA State and Local Amount]]+tblMoeHistory[[#This Row],[ESD State and Local Amount]]</f>
        <v>395342.93</v>
      </c>
      <c r="H130">
        <v>0</v>
      </c>
      <c r="I130" t="s">
        <v>239</v>
      </c>
      <c r="J130">
        <f>IFERROR(tblMoeHistory[[#This Row],[LEA State and Local Amount]]/tblMoeHistory[[#This Row],[Child Count]],0)</f>
        <v>5572.6987272727274</v>
      </c>
      <c r="K130">
        <f>IFERROR(tblMoeHistory[[#This Row],[ESD State and Local Amount]]/tblMoeHistory[[#This Row],[Child Count]],0)</f>
        <v>1615.3545454545454</v>
      </c>
      <c r="L130">
        <f>IFERROR(tblMoeHistory[[#This Row],[State and Local Total Amount]]/tblMoeHistory[[#This Row],[Child Count]],0)</f>
        <v>7188.053272727273</v>
      </c>
      <c r="M130">
        <v>0</v>
      </c>
      <c r="N130" t="s">
        <v>239</v>
      </c>
      <c r="O130">
        <v>96720.41</v>
      </c>
      <c r="P130">
        <v>1329.58</v>
      </c>
      <c r="Q130">
        <f>tblMoeHistory[[#This Row],[Amount of IDEA Part B, Section 611 award]]+tblMoeHistory[[#This Row],[Amount of IDEA Part B, Section 619 award]]</f>
        <v>98049.99</v>
      </c>
      <c r="U1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 t="str">
        <f>IF(OR(IFERROR(SEARCH("Met",tblMoeHistory[[#This Row],[State and Local Per Capita Result]]),0)&gt;0,IFERROR(SEARCH("Met",tblMoeHistory[[#This Row],[State and Local Total Result]]),0)&gt;0),"Met","Not Met")</f>
        <v>Met</v>
      </c>
    </row>
    <row r="131" spans="1:22" x14ac:dyDescent="0.35">
      <c r="A131" t="s">
        <v>151</v>
      </c>
      <c r="B131">
        <v>2093</v>
      </c>
      <c r="C131" t="s">
        <v>57</v>
      </c>
      <c r="D131">
        <v>93</v>
      </c>
      <c r="E131">
        <v>439381.52</v>
      </c>
      <c r="F131">
        <v>278462</v>
      </c>
      <c r="G131">
        <f>tblMoeHistory[[#This Row],[LEA State and Local Amount]]+tblMoeHistory[[#This Row],[ESD State and Local Amount]]</f>
        <v>717843.52</v>
      </c>
      <c r="H131">
        <v>0</v>
      </c>
      <c r="I131" t="s">
        <v>239</v>
      </c>
      <c r="J131">
        <f>IFERROR(tblMoeHistory[[#This Row],[LEA State and Local Amount]]/tblMoeHistory[[#This Row],[Child Count]],0)</f>
        <v>4724.53247311828</v>
      </c>
      <c r="K131">
        <f>IFERROR(tblMoeHistory[[#This Row],[ESD State and Local Amount]]/tblMoeHistory[[#This Row],[Child Count]],0)</f>
        <v>2994.2150537634407</v>
      </c>
      <c r="L131">
        <f>IFERROR(tblMoeHistory[[#This Row],[State and Local Total Amount]]/tblMoeHistory[[#This Row],[Child Count]],0)</f>
        <v>7718.7475268817207</v>
      </c>
      <c r="M131">
        <v>0</v>
      </c>
      <c r="N131" t="s">
        <v>239</v>
      </c>
      <c r="O131">
        <v>134805.72</v>
      </c>
      <c r="P131">
        <v>1812.36</v>
      </c>
      <c r="Q131">
        <f>tblMoeHistory[[#This Row],[Amount of IDEA Part B, Section 611 award]]+tblMoeHistory[[#This Row],[Amount of IDEA Part B, Section 619 award]]</f>
        <v>136618.07999999999</v>
      </c>
      <c r="U1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 t="str">
        <f>IF(OR(IFERROR(SEARCH("Met",tblMoeHistory[[#This Row],[State and Local Per Capita Result]]),0)&gt;0,IFERROR(SEARCH("Met",tblMoeHistory[[#This Row],[State and Local Total Result]]),0)&gt;0),"Met","Not Met")</f>
        <v>Met</v>
      </c>
    </row>
    <row r="132" spans="1:22" x14ac:dyDescent="0.35">
      <c r="A132" t="s">
        <v>152</v>
      </c>
      <c r="B132">
        <v>2108</v>
      </c>
      <c r="C132" t="s">
        <v>57</v>
      </c>
      <c r="D132">
        <v>329</v>
      </c>
      <c r="E132">
        <v>1428666.17</v>
      </c>
      <c r="F132">
        <v>573514.44999999995</v>
      </c>
      <c r="G132">
        <f>tblMoeHistory[[#This Row],[LEA State and Local Amount]]+tblMoeHistory[[#This Row],[ESD State and Local Amount]]</f>
        <v>2002180.6199999999</v>
      </c>
      <c r="H132">
        <v>0</v>
      </c>
      <c r="I132" t="s">
        <v>239</v>
      </c>
      <c r="J132">
        <f>IFERROR(tblMoeHistory[[#This Row],[LEA State and Local Amount]]/tblMoeHistory[[#This Row],[Child Count]],0)</f>
        <v>4342.4503647416414</v>
      </c>
      <c r="K132">
        <f>IFERROR(tblMoeHistory[[#This Row],[ESD State and Local Amount]]/tblMoeHistory[[#This Row],[Child Count]],0)</f>
        <v>1743.2050151975682</v>
      </c>
      <c r="L132">
        <f>IFERROR(tblMoeHistory[[#This Row],[State and Local Total Amount]]/tblMoeHistory[[#This Row],[Child Count]],0)</f>
        <v>6085.6553799392095</v>
      </c>
      <c r="M132">
        <v>0</v>
      </c>
      <c r="N132" t="s">
        <v>239</v>
      </c>
      <c r="O132">
        <v>424869.06</v>
      </c>
      <c r="P132">
        <v>4259.26</v>
      </c>
      <c r="Q132">
        <f>tblMoeHistory[[#This Row],[Amount of IDEA Part B, Section 611 award]]+tblMoeHistory[[#This Row],[Amount of IDEA Part B, Section 619 award]]</f>
        <v>429128.32</v>
      </c>
      <c r="U1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 t="str">
        <f>IF(OR(IFERROR(SEARCH("Met",tblMoeHistory[[#This Row],[State and Local Per Capita Result]]),0)&gt;0,IFERROR(SEARCH("Met",tblMoeHistory[[#This Row],[State and Local Total Result]]),0)&gt;0),"Met","Not Met")</f>
        <v>Met</v>
      </c>
    </row>
    <row r="133" spans="1:22" x14ac:dyDescent="0.35">
      <c r="A133" t="s">
        <v>153</v>
      </c>
      <c r="B133">
        <v>1928</v>
      </c>
      <c r="C133" t="s">
        <v>57</v>
      </c>
      <c r="D133">
        <v>1176</v>
      </c>
      <c r="E133">
        <v>10263859.539999999</v>
      </c>
      <c r="F133">
        <v>1323778</v>
      </c>
      <c r="G133">
        <f>tblMoeHistory[[#This Row],[LEA State and Local Amount]]+tblMoeHistory[[#This Row],[ESD State and Local Amount]]</f>
        <v>11587637.539999999</v>
      </c>
      <c r="H133">
        <v>0</v>
      </c>
      <c r="I133" t="s">
        <v>239</v>
      </c>
      <c r="J133">
        <f>IFERROR(tblMoeHistory[[#This Row],[LEA State and Local Amount]]/tblMoeHistory[[#This Row],[Child Count]],0)</f>
        <v>8727.7717176870738</v>
      </c>
      <c r="K133">
        <f>IFERROR(tblMoeHistory[[#This Row],[ESD State and Local Amount]]/tblMoeHistory[[#This Row],[Child Count]],0)</f>
        <v>1125.6615646258504</v>
      </c>
      <c r="L133">
        <f>IFERROR(tblMoeHistory[[#This Row],[State and Local Total Amount]]/tblMoeHistory[[#This Row],[Child Count]],0)</f>
        <v>9853.4332823129243</v>
      </c>
      <c r="M133">
        <v>0</v>
      </c>
      <c r="N133" t="s">
        <v>239</v>
      </c>
      <c r="O133">
        <v>1331266.08</v>
      </c>
      <c r="P133">
        <v>9990.19</v>
      </c>
      <c r="Q133">
        <f>tblMoeHistory[[#This Row],[Amount of IDEA Part B, Section 611 award]]+tblMoeHistory[[#This Row],[Amount of IDEA Part B, Section 619 award]]</f>
        <v>1341256.27</v>
      </c>
      <c r="U1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 t="str">
        <f>IF(OR(IFERROR(SEARCH("Met",tblMoeHistory[[#This Row],[State and Local Per Capita Result]]),0)&gt;0,IFERROR(SEARCH("Met",tblMoeHistory[[#This Row],[State and Local Total Result]]),0)&gt;0),"Met","Not Met")</f>
        <v>Met</v>
      </c>
    </row>
    <row r="134" spans="1:22" x14ac:dyDescent="0.35">
      <c r="A134" t="s">
        <v>154</v>
      </c>
      <c r="B134">
        <v>1926</v>
      </c>
      <c r="C134" t="s">
        <v>57</v>
      </c>
      <c r="D134">
        <v>705</v>
      </c>
      <c r="E134">
        <v>5005689.24</v>
      </c>
      <c r="F134">
        <v>699104</v>
      </c>
      <c r="G134">
        <f>tblMoeHistory[[#This Row],[LEA State and Local Amount]]+tblMoeHistory[[#This Row],[ESD State and Local Amount]]</f>
        <v>5704793.2400000002</v>
      </c>
      <c r="H134">
        <v>0</v>
      </c>
      <c r="I134" t="s">
        <v>239</v>
      </c>
      <c r="J134">
        <f>IFERROR(tblMoeHistory[[#This Row],[LEA State and Local Amount]]/tblMoeHistory[[#This Row],[Child Count]],0)</f>
        <v>7100.2684255319155</v>
      </c>
      <c r="K134">
        <f>IFERROR(tblMoeHistory[[#This Row],[ESD State and Local Amount]]/tblMoeHistory[[#This Row],[Child Count]],0)</f>
        <v>991.63687943262414</v>
      </c>
      <c r="L134">
        <f>IFERROR(tblMoeHistory[[#This Row],[State and Local Total Amount]]/tblMoeHistory[[#This Row],[Child Count]],0)</f>
        <v>8091.905304964539</v>
      </c>
      <c r="M134">
        <v>0</v>
      </c>
      <c r="N134" t="s">
        <v>239</v>
      </c>
      <c r="O134">
        <v>677056.55</v>
      </c>
      <c r="P134">
        <v>4276.9799999999996</v>
      </c>
      <c r="Q134">
        <f>tblMoeHistory[[#This Row],[Amount of IDEA Part B, Section 611 award]]+tblMoeHistory[[#This Row],[Amount of IDEA Part B, Section 619 award]]</f>
        <v>681333.53</v>
      </c>
      <c r="U1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 t="str">
        <f>IF(OR(IFERROR(SEARCH("Met",tblMoeHistory[[#This Row],[State and Local Per Capita Result]]),0)&gt;0,IFERROR(SEARCH("Met",tblMoeHistory[[#This Row],[State and Local Total Result]]),0)&gt;0),"Met","Not Met")</f>
        <v>Met</v>
      </c>
    </row>
    <row r="135" spans="1:22" x14ac:dyDescent="0.35">
      <c r="A135" t="s">
        <v>155</v>
      </c>
      <c r="B135">
        <v>2060</v>
      </c>
      <c r="C135" t="s">
        <v>57</v>
      </c>
      <c r="D135">
        <v>7</v>
      </c>
      <c r="E135">
        <v>17219.36</v>
      </c>
      <c r="F135">
        <v>42969.3</v>
      </c>
      <c r="G135">
        <f>tblMoeHistory[[#This Row],[LEA State and Local Amount]]+tblMoeHistory[[#This Row],[ESD State and Local Amount]]</f>
        <v>60188.66</v>
      </c>
      <c r="H135">
        <v>0</v>
      </c>
      <c r="I135" t="s">
        <v>239</v>
      </c>
      <c r="J135">
        <f>IFERROR(tblMoeHistory[[#This Row],[LEA State and Local Amount]]/tblMoeHistory[[#This Row],[Child Count]],0)</f>
        <v>2459.9085714285716</v>
      </c>
      <c r="K135">
        <f>IFERROR(tblMoeHistory[[#This Row],[ESD State and Local Amount]]/tblMoeHistory[[#This Row],[Child Count]],0)</f>
        <v>6138.471428571429</v>
      </c>
      <c r="L135">
        <f>IFERROR(tblMoeHistory[[#This Row],[State and Local Total Amount]]/tblMoeHistory[[#This Row],[Child Count]],0)</f>
        <v>8598.380000000001</v>
      </c>
      <c r="M135">
        <v>0</v>
      </c>
      <c r="N135" t="s">
        <v>239</v>
      </c>
      <c r="O135">
        <v>26963.49</v>
      </c>
      <c r="P135">
        <v>503.46</v>
      </c>
      <c r="Q135">
        <f>tblMoeHistory[[#This Row],[Amount of IDEA Part B, Section 611 award]]+tblMoeHistory[[#This Row],[Amount of IDEA Part B, Section 619 award]]</f>
        <v>27466.95</v>
      </c>
      <c r="U1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 t="str">
        <f>IF(OR(IFERROR(SEARCH("Met",tblMoeHistory[[#This Row],[State and Local Per Capita Result]]),0)&gt;0,IFERROR(SEARCH("Met",tblMoeHistory[[#This Row],[State and Local Total Result]]),0)&gt;0),"Met","Not Met")</f>
        <v>Met</v>
      </c>
    </row>
    <row r="136" spans="1:22" x14ac:dyDescent="0.35">
      <c r="A136" t="s">
        <v>156</v>
      </c>
      <c r="B136">
        <v>2181</v>
      </c>
      <c r="C136" t="s">
        <v>57</v>
      </c>
      <c r="D136">
        <v>457</v>
      </c>
      <c r="E136">
        <v>4870286.28</v>
      </c>
      <c r="F136">
        <v>648475</v>
      </c>
      <c r="G136">
        <f>tblMoeHistory[[#This Row],[LEA State and Local Amount]]+tblMoeHistory[[#This Row],[ESD State and Local Amount]]</f>
        <v>5518761.2800000003</v>
      </c>
      <c r="H136">
        <v>0</v>
      </c>
      <c r="I136" t="s">
        <v>239</v>
      </c>
      <c r="J136">
        <f>IFERROR(tblMoeHistory[[#This Row],[LEA State and Local Amount]]/tblMoeHistory[[#This Row],[Child Count]],0)</f>
        <v>10657.081575492342</v>
      </c>
      <c r="K136">
        <f>IFERROR(tblMoeHistory[[#This Row],[ESD State and Local Amount]]/tblMoeHistory[[#This Row],[Child Count]],0)</f>
        <v>1418.9824945295404</v>
      </c>
      <c r="L136">
        <f>IFERROR(tblMoeHistory[[#This Row],[State and Local Total Amount]]/tblMoeHistory[[#This Row],[Child Count]],0)</f>
        <v>12076.064070021883</v>
      </c>
      <c r="M136">
        <v>0</v>
      </c>
      <c r="N136" t="s">
        <v>239</v>
      </c>
      <c r="O136">
        <v>644621.74</v>
      </c>
      <c r="P136">
        <v>2079.4499999999998</v>
      </c>
      <c r="Q136">
        <f>tblMoeHistory[[#This Row],[Amount of IDEA Part B, Section 611 award]]+tblMoeHistory[[#This Row],[Amount of IDEA Part B, Section 619 award]]</f>
        <v>646701.18999999994</v>
      </c>
      <c r="U1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 t="str">
        <f>IF(OR(IFERROR(SEARCH("Met",tblMoeHistory[[#This Row],[State and Local Per Capita Result]]),0)&gt;0,IFERROR(SEARCH("Met",tblMoeHistory[[#This Row],[State and Local Total Result]]),0)&gt;0),"Met","Not Met")</f>
        <v>Met</v>
      </c>
    </row>
    <row r="137" spans="1:22" x14ac:dyDescent="0.35">
      <c r="A137" t="s">
        <v>157</v>
      </c>
      <c r="B137">
        <v>2207</v>
      </c>
      <c r="C137" t="s">
        <v>57</v>
      </c>
      <c r="D137">
        <v>451</v>
      </c>
      <c r="E137">
        <v>3099288.82</v>
      </c>
      <c r="F137">
        <v>722942.98</v>
      </c>
      <c r="G137">
        <f>tblMoeHistory[[#This Row],[LEA State and Local Amount]]+tblMoeHistory[[#This Row],[ESD State and Local Amount]]</f>
        <v>3822231.8</v>
      </c>
      <c r="H137">
        <v>0</v>
      </c>
      <c r="I137" t="s">
        <v>239</v>
      </c>
      <c r="J137">
        <f>IFERROR(tblMoeHistory[[#This Row],[LEA State and Local Amount]]/tblMoeHistory[[#This Row],[Child Count]],0)</f>
        <v>6872.0372949002212</v>
      </c>
      <c r="K137">
        <f>IFERROR(tblMoeHistory[[#This Row],[ESD State and Local Amount]]/tblMoeHistory[[#This Row],[Child Count]],0)</f>
        <v>1602.9777827050998</v>
      </c>
      <c r="L137">
        <f>IFERROR(tblMoeHistory[[#This Row],[State and Local Total Amount]]/tblMoeHistory[[#This Row],[Child Count]],0)</f>
        <v>8475.0150776053215</v>
      </c>
      <c r="M137">
        <v>0</v>
      </c>
      <c r="N137" t="s">
        <v>239</v>
      </c>
      <c r="O137">
        <v>555488.79</v>
      </c>
      <c r="P137">
        <v>4764.1499999999996</v>
      </c>
      <c r="Q137">
        <f>tblMoeHistory[[#This Row],[Amount of IDEA Part B, Section 611 award]]+tblMoeHistory[[#This Row],[Amount of IDEA Part B, Section 619 award]]</f>
        <v>560252.94000000006</v>
      </c>
      <c r="U1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 t="str">
        <f>IF(OR(IFERROR(SEARCH("Met",tblMoeHistory[[#This Row],[State and Local Per Capita Result]]),0)&gt;0,IFERROR(SEARCH("Met",tblMoeHistory[[#This Row],[State and Local Total Result]]),0)&gt;0),"Met","Not Met")</f>
        <v>Met</v>
      </c>
    </row>
    <row r="138" spans="1:22" x14ac:dyDescent="0.35">
      <c r="A138" t="s">
        <v>158</v>
      </c>
      <c r="B138">
        <v>2192</v>
      </c>
      <c r="C138" t="s">
        <v>57</v>
      </c>
      <c r="D138">
        <v>15</v>
      </c>
      <c r="E138">
        <v>228928.79</v>
      </c>
      <c r="F138">
        <v>15088.03</v>
      </c>
      <c r="G138">
        <f>tblMoeHistory[[#This Row],[LEA State and Local Amount]]+tblMoeHistory[[#This Row],[ESD State and Local Amount]]</f>
        <v>244016.82</v>
      </c>
      <c r="H138">
        <v>0</v>
      </c>
      <c r="I138" t="s">
        <v>239</v>
      </c>
      <c r="J138">
        <f>IFERROR(tblMoeHistory[[#This Row],[LEA State and Local Amount]]/tblMoeHistory[[#This Row],[Child Count]],0)</f>
        <v>15261.919333333333</v>
      </c>
      <c r="K138">
        <f>IFERROR(tblMoeHistory[[#This Row],[ESD State and Local Amount]]/tblMoeHistory[[#This Row],[Child Count]],0)</f>
        <v>1005.8686666666667</v>
      </c>
      <c r="L138">
        <f>IFERROR(tblMoeHistory[[#This Row],[State and Local Total Amount]]/tblMoeHistory[[#This Row],[Child Count]],0)</f>
        <v>16267.788</v>
      </c>
      <c r="M138">
        <v>0</v>
      </c>
      <c r="N138" t="s">
        <v>239</v>
      </c>
      <c r="O138">
        <v>39555.74</v>
      </c>
      <c r="P138">
        <v>1006.99</v>
      </c>
      <c r="Q138">
        <f>tblMoeHistory[[#This Row],[Amount of IDEA Part B, Section 611 award]]+tblMoeHistory[[#This Row],[Amount of IDEA Part B, Section 619 award]]</f>
        <v>40562.729999999996</v>
      </c>
      <c r="U1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 t="str">
        <f>IF(OR(IFERROR(SEARCH("Met",tblMoeHistory[[#This Row],[State and Local Per Capita Result]]),0)&gt;0,IFERROR(SEARCH("Met",tblMoeHistory[[#This Row],[State and Local Total Result]]),0)&gt;0),"Met","Not Met")</f>
        <v>Met</v>
      </c>
    </row>
    <row r="139" spans="1:22" x14ac:dyDescent="0.35">
      <c r="A139" t="s">
        <v>160</v>
      </c>
      <c r="B139">
        <v>1900</v>
      </c>
      <c r="C139" t="s">
        <v>57</v>
      </c>
      <c r="D139">
        <v>184</v>
      </c>
      <c r="E139">
        <v>1228654.8400000001</v>
      </c>
      <c r="F139">
        <v>105750</v>
      </c>
      <c r="G139">
        <f>tblMoeHistory[[#This Row],[LEA State and Local Amount]]+tblMoeHistory[[#This Row],[ESD State and Local Amount]]</f>
        <v>1334404.8400000001</v>
      </c>
      <c r="H139">
        <v>0</v>
      </c>
      <c r="I139" t="s">
        <v>239</v>
      </c>
      <c r="J139">
        <f>IFERROR(tblMoeHistory[[#This Row],[LEA State and Local Amount]]/tblMoeHistory[[#This Row],[Child Count]],0)</f>
        <v>6677.4719565217392</v>
      </c>
      <c r="K139">
        <f>IFERROR(tblMoeHistory[[#This Row],[ESD State and Local Amount]]/tblMoeHistory[[#This Row],[Child Count]],0)</f>
        <v>574.72826086956525</v>
      </c>
      <c r="L139">
        <f>IFERROR(tblMoeHistory[[#This Row],[State and Local Total Amount]]/tblMoeHistory[[#This Row],[Child Count]],0)</f>
        <v>7252.2002173913052</v>
      </c>
      <c r="M139">
        <v>0</v>
      </c>
      <c r="N139" t="s">
        <v>239</v>
      </c>
      <c r="O139">
        <v>249645.89</v>
      </c>
      <c r="P139">
        <v>3202.87</v>
      </c>
      <c r="Q139">
        <f>tblMoeHistory[[#This Row],[Amount of IDEA Part B, Section 611 award]]+tblMoeHistory[[#This Row],[Amount of IDEA Part B, Section 619 award]]</f>
        <v>252848.76</v>
      </c>
      <c r="U1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 t="str">
        <f>IF(OR(IFERROR(SEARCH("Met",tblMoeHistory[[#This Row],[State and Local Per Capita Result]]),0)&gt;0,IFERROR(SEARCH("Met",tblMoeHistory[[#This Row],[State and Local Total Result]]),0)&gt;0),"Met","Not Met")</f>
        <v>Met</v>
      </c>
    </row>
    <row r="140" spans="1:22" x14ac:dyDescent="0.35">
      <c r="A140" t="s">
        <v>161</v>
      </c>
      <c r="B140">
        <v>2039</v>
      </c>
      <c r="C140" t="s">
        <v>57</v>
      </c>
      <c r="D140">
        <v>359</v>
      </c>
      <c r="E140">
        <v>2259803.13</v>
      </c>
      <c r="F140">
        <v>650013.66</v>
      </c>
      <c r="G140">
        <f>tblMoeHistory[[#This Row],[LEA State and Local Amount]]+tblMoeHistory[[#This Row],[ESD State and Local Amount]]</f>
        <v>2909816.79</v>
      </c>
      <c r="H140">
        <v>0</v>
      </c>
      <c r="I140" t="s">
        <v>239</v>
      </c>
      <c r="J140">
        <f>IFERROR(tblMoeHistory[[#This Row],[LEA State and Local Amount]]/tblMoeHistory[[#This Row],[Child Count]],0)</f>
        <v>6294.7162395543173</v>
      </c>
      <c r="K140">
        <f>IFERROR(tblMoeHistory[[#This Row],[ESD State and Local Amount]]/tblMoeHistory[[#This Row],[Child Count]],0)</f>
        <v>1810.6230083565461</v>
      </c>
      <c r="L140">
        <f>IFERROR(tblMoeHistory[[#This Row],[State and Local Total Amount]]/tblMoeHistory[[#This Row],[Child Count]],0)</f>
        <v>8105.3392479108634</v>
      </c>
      <c r="M140">
        <v>0</v>
      </c>
      <c r="N140" t="s">
        <v>239</v>
      </c>
      <c r="O140">
        <v>469535.32</v>
      </c>
      <c r="P140">
        <v>5082.5</v>
      </c>
      <c r="Q140">
        <f>tblMoeHistory[[#This Row],[Amount of IDEA Part B, Section 611 award]]+tblMoeHistory[[#This Row],[Amount of IDEA Part B, Section 619 award]]</f>
        <v>474617.82</v>
      </c>
      <c r="U1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 t="str">
        <f>IF(OR(IFERROR(SEARCH("Met",tblMoeHistory[[#This Row],[State and Local Per Capita Result]]),0)&gt;0,IFERROR(SEARCH("Met",tblMoeHistory[[#This Row],[State and Local Total Result]]),0)&gt;0),"Met","Not Met")</f>
        <v>Met</v>
      </c>
    </row>
    <row r="141" spans="1:22" x14ac:dyDescent="0.35">
      <c r="A141" t="s">
        <v>162</v>
      </c>
      <c r="B141">
        <v>2202</v>
      </c>
      <c r="C141" t="s">
        <v>57</v>
      </c>
      <c r="D141">
        <v>42</v>
      </c>
      <c r="E141">
        <v>232122.97</v>
      </c>
      <c r="F141">
        <v>67236.67</v>
      </c>
      <c r="G141">
        <f>tblMoeHistory[[#This Row],[LEA State and Local Amount]]+tblMoeHistory[[#This Row],[ESD State and Local Amount]]</f>
        <v>299359.64</v>
      </c>
      <c r="H141">
        <v>0</v>
      </c>
      <c r="I141" t="s">
        <v>239</v>
      </c>
      <c r="J141">
        <f>IFERROR(tblMoeHistory[[#This Row],[LEA State and Local Amount]]/tblMoeHistory[[#This Row],[Child Count]],0)</f>
        <v>5526.7373809523806</v>
      </c>
      <c r="K141">
        <f>IFERROR(tblMoeHistory[[#This Row],[ESD State and Local Amount]]/tblMoeHistory[[#This Row],[Child Count]],0)</f>
        <v>1600.8730952380952</v>
      </c>
      <c r="L141">
        <f>IFERROR(tblMoeHistory[[#This Row],[State and Local Total Amount]]/tblMoeHistory[[#This Row],[Child Count]],0)</f>
        <v>7127.6104761904762</v>
      </c>
      <c r="M141">
        <v>0</v>
      </c>
      <c r="N141" t="s">
        <v>239</v>
      </c>
      <c r="O141">
        <v>81205.86</v>
      </c>
      <c r="P141">
        <v>249.87</v>
      </c>
      <c r="Q141">
        <f>tblMoeHistory[[#This Row],[Amount of IDEA Part B, Section 611 award]]+tblMoeHistory[[#This Row],[Amount of IDEA Part B, Section 619 award]]</f>
        <v>81455.73</v>
      </c>
      <c r="U1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 t="str">
        <f>IF(OR(IFERROR(SEARCH("Met",tblMoeHistory[[#This Row],[State and Local Per Capita Result]]),0)&gt;0,IFERROR(SEARCH("Met",tblMoeHistory[[#This Row],[State and Local Total Result]]),0)&gt;0),"Met","Not Met")</f>
        <v>Met</v>
      </c>
    </row>
    <row r="142" spans="1:22" x14ac:dyDescent="0.35">
      <c r="A142" t="s">
        <v>163</v>
      </c>
      <c r="B142">
        <v>2016</v>
      </c>
      <c r="C142" t="s">
        <v>57</v>
      </c>
      <c r="D142">
        <v>2</v>
      </c>
      <c r="E142">
        <v>26563</v>
      </c>
      <c r="F142">
        <v>365</v>
      </c>
      <c r="G142">
        <f>tblMoeHistory[[#This Row],[LEA State and Local Amount]]+tblMoeHistory[[#This Row],[ESD State and Local Amount]]</f>
        <v>26928</v>
      </c>
      <c r="H142">
        <v>0</v>
      </c>
      <c r="I142" t="s">
        <v>239</v>
      </c>
      <c r="J142">
        <f>IFERROR(tblMoeHistory[[#This Row],[LEA State and Local Amount]]/tblMoeHistory[[#This Row],[Child Count]],0)</f>
        <v>13281.5</v>
      </c>
      <c r="K142">
        <f>IFERROR(tblMoeHistory[[#This Row],[ESD State and Local Amount]]/tblMoeHistory[[#This Row],[Child Count]],0)</f>
        <v>182.5</v>
      </c>
      <c r="L142">
        <f>IFERROR(tblMoeHistory[[#This Row],[State and Local Total Amount]]/tblMoeHistory[[#This Row],[Child Count]],0)</f>
        <v>13464</v>
      </c>
      <c r="M142">
        <v>0</v>
      </c>
      <c r="N142" t="s">
        <v>239</v>
      </c>
      <c r="O142">
        <v>306.8</v>
      </c>
      <c r="P142">
        <v>0.44</v>
      </c>
      <c r="Q142">
        <f>tblMoeHistory[[#This Row],[Amount of IDEA Part B, Section 611 award]]+tblMoeHistory[[#This Row],[Amount of IDEA Part B, Section 619 award]]</f>
        <v>307.24</v>
      </c>
      <c r="U1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 t="str">
        <f>IF(OR(IFERROR(SEARCH("Met",tblMoeHistory[[#This Row],[State and Local Per Capita Result]]),0)&gt;0,IFERROR(SEARCH("Met",tblMoeHistory[[#This Row],[State and Local Total Result]]),0)&gt;0),"Met","Not Met")</f>
        <v>Met</v>
      </c>
    </row>
    <row r="143" spans="1:22" x14ac:dyDescent="0.35">
      <c r="A143" t="s">
        <v>164</v>
      </c>
      <c r="B143">
        <v>1897</v>
      </c>
      <c r="C143" t="s">
        <v>57</v>
      </c>
      <c r="D143">
        <v>23</v>
      </c>
      <c r="E143">
        <v>157928.10999999999</v>
      </c>
      <c r="F143">
        <v>0</v>
      </c>
      <c r="G143">
        <f>tblMoeHistory[[#This Row],[LEA State and Local Amount]]+tblMoeHistory[[#This Row],[ESD State and Local Amount]]</f>
        <v>157928.10999999999</v>
      </c>
      <c r="H143">
        <v>0</v>
      </c>
      <c r="I143" t="s">
        <v>239</v>
      </c>
      <c r="J143">
        <f>IFERROR(tblMoeHistory[[#This Row],[LEA State and Local Amount]]/tblMoeHistory[[#This Row],[Child Count]],0)</f>
        <v>6866.4395652173907</v>
      </c>
      <c r="K143">
        <f>IFERROR(tblMoeHistory[[#This Row],[ESD State and Local Amount]]/tblMoeHistory[[#This Row],[Child Count]],0)</f>
        <v>0</v>
      </c>
      <c r="L143">
        <f>IFERROR(tblMoeHistory[[#This Row],[State and Local Total Amount]]/tblMoeHistory[[#This Row],[Child Count]],0)</f>
        <v>6866.4395652173907</v>
      </c>
      <c r="M143">
        <v>0</v>
      </c>
      <c r="N143" t="s">
        <v>239</v>
      </c>
      <c r="O143">
        <v>28063.72</v>
      </c>
      <c r="P143">
        <v>0</v>
      </c>
      <c r="Q143">
        <f>tblMoeHistory[[#This Row],[Amount of IDEA Part B, Section 611 award]]+tblMoeHistory[[#This Row],[Amount of IDEA Part B, Section 619 award]]</f>
        <v>28063.72</v>
      </c>
      <c r="U1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 t="str">
        <f>IF(OR(IFERROR(SEARCH("Met",tblMoeHistory[[#This Row],[State and Local Per Capita Result]]),0)&gt;0,IFERROR(SEARCH("Met",tblMoeHistory[[#This Row],[State and Local Total Result]]),0)&gt;0),"Met","Not Met")</f>
        <v>Met</v>
      </c>
    </row>
    <row r="144" spans="1:22" x14ac:dyDescent="0.35">
      <c r="A144" t="s">
        <v>165</v>
      </c>
      <c r="B144">
        <v>2047</v>
      </c>
      <c r="C144" t="s">
        <v>57</v>
      </c>
      <c r="D144">
        <v>7</v>
      </c>
      <c r="E144">
        <v>23863</v>
      </c>
      <c r="F144">
        <v>7980.94</v>
      </c>
      <c r="G144">
        <f>tblMoeHistory[[#This Row],[LEA State and Local Amount]]+tblMoeHistory[[#This Row],[ESD State and Local Amount]]</f>
        <v>31843.94</v>
      </c>
      <c r="H144">
        <v>0</v>
      </c>
      <c r="I144" t="s">
        <v>239</v>
      </c>
      <c r="J144">
        <f>IFERROR(tblMoeHistory[[#This Row],[LEA State and Local Amount]]/tblMoeHistory[[#This Row],[Child Count]],0)</f>
        <v>3409</v>
      </c>
      <c r="K144">
        <f>IFERROR(tblMoeHistory[[#This Row],[ESD State and Local Amount]]/tblMoeHistory[[#This Row],[Child Count]],0)</f>
        <v>1140.1342857142856</v>
      </c>
      <c r="L144">
        <f>IFERROR(tblMoeHistory[[#This Row],[State and Local Total Amount]]/tblMoeHistory[[#This Row],[Child Count]],0)</f>
        <v>4549.1342857142854</v>
      </c>
      <c r="M144">
        <v>0</v>
      </c>
      <c r="N144" t="s">
        <v>239</v>
      </c>
      <c r="O144">
        <v>8388.27</v>
      </c>
      <c r="P144">
        <v>975.16</v>
      </c>
      <c r="Q144">
        <f>tblMoeHistory[[#This Row],[Amount of IDEA Part B, Section 611 award]]+tblMoeHistory[[#This Row],[Amount of IDEA Part B, Section 619 award]]</f>
        <v>9363.43</v>
      </c>
      <c r="U1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 t="str">
        <f>IF(OR(IFERROR(SEARCH("Met",tblMoeHistory[[#This Row],[State and Local Per Capita Result]]),0)&gt;0,IFERROR(SEARCH("Met",tblMoeHistory[[#This Row],[State and Local Total Result]]),0)&gt;0),"Met","Not Met")</f>
        <v>Met</v>
      </c>
    </row>
    <row r="145" spans="1:22" x14ac:dyDescent="0.35">
      <c r="A145" t="s">
        <v>166</v>
      </c>
      <c r="B145">
        <v>2081</v>
      </c>
      <c r="C145" t="s">
        <v>57</v>
      </c>
      <c r="D145">
        <v>108</v>
      </c>
      <c r="E145">
        <v>978615.76</v>
      </c>
      <c r="F145">
        <v>284100</v>
      </c>
      <c r="G145">
        <f>tblMoeHistory[[#This Row],[LEA State and Local Amount]]+tblMoeHistory[[#This Row],[ESD State and Local Amount]]</f>
        <v>1262715.76</v>
      </c>
      <c r="H145">
        <v>0</v>
      </c>
      <c r="I145" t="s">
        <v>239</v>
      </c>
      <c r="J145">
        <f>IFERROR(tblMoeHistory[[#This Row],[LEA State and Local Amount]]/tblMoeHistory[[#This Row],[Child Count]],0)</f>
        <v>9061.2570370370377</v>
      </c>
      <c r="K145">
        <f>IFERROR(tblMoeHistory[[#This Row],[ESD State and Local Amount]]/tblMoeHistory[[#This Row],[Child Count]],0)</f>
        <v>2630.5555555555557</v>
      </c>
      <c r="L145">
        <f>IFERROR(tblMoeHistory[[#This Row],[State and Local Total Amount]]/tblMoeHistory[[#This Row],[Child Count]],0)</f>
        <v>11691.812592592592</v>
      </c>
      <c r="M145">
        <v>0</v>
      </c>
      <c r="N145" t="s">
        <v>239</v>
      </c>
      <c r="O145">
        <v>153059.92000000001</v>
      </c>
      <c r="P145">
        <v>602.66999999999996</v>
      </c>
      <c r="Q145">
        <f>tblMoeHistory[[#This Row],[Amount of IDEA Part B, Section 611 award]]+tblMoeHistory[[#This Row],[Amount of IDEA Part B, Section 619 award]]</f>
        <v>153662.59000000003</v>
      </c>
      <c r="U1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 t="str">
        <f>IF(OR(IFERROR(SEARCH("Met",tblMoeHistory[[#This Row],[State and Local Per Capita Result]]),0)&gt;0,IFERROR(SEARCH("Met",tblMoeHistory[[#This Row],[State and Local Total Result]]),0)&gt;0),"Met","Not Met")</f>
        <v>Met</v>
      </c>
    </row>
    <row r="146" spans="1:22" x14ac:dyDescent="0.35">
      <c r="A146" t="s">
        <v>167</v>
      </c>
      <c r="B146">
        <v>2062</v>
      </c>
      <c r="C146" t="s">
        <v>57</v>
      </c>
      <c r="D146">
        <v>1</v>
      </c>
      <c r="E146">
        <v>0</v>
      </c>
      <c r="F146">
        <v>3666.14</v>
      </c>
      <c r="G146">
        <f>tblMoeHistory[[#This Row],[LEA State and Local Amount]]+tblMoeHistory[[#This Row],[ESD State and Local Amount]]</f>
        <v>3666.14</v>
      </c>
      <c r="H146">
        <v>0</v>
      </c>
      <c r="I146" t="s">
        <v>239</v>
      </c>
      <c r="J146">
        <f>IFERROR(tblMoeHistory[[#This Row],[LEA State and Local Amount]]/tblMoeHistory[[#This Row],[Child Count]],0)</f>
        <v>0</v>
      </c>
      <c r="K146">
        <f>IFERROR(tblMoeHistory[[#This Row],[ESD State and Local Amount]]/tblMoeHistory[[#This Row],[Child Count]],0)</f>
        <v>3666.14</v>
      </c>
      <c r="L146">
        <f>IFERROR(tblMoeHistory[[#This Row],[State and Local Total Amount]]/tblMoeHistory[[#This Row],[Child Count]],0)</f>
        <v>3666.14</v>
      </c>
      <c r="M146">
        <v>0</v>
      </c>
      <c r="N146" t="s">
        <v>239</v>
      </c>
      <c r="O146">
        <v>2950.64</v>
      </c>
      <c r="P146">
        <v>0.84</v>
      </c>
      <c r="Q146">
        <f>tblMoeHistory[[#This Row],[Amount of IDEA Part B, Section 611 award]]+tblMoeHistory[[#This Row],[Amount of IDEA Part B, Section 619 award]]</f>
        <v>2951.48</v>
      </c>
      <c r="U1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 t="str">
        <f>IF(OR(IFERROR(SEARCH("Met",tblMoeHistory[[#This Row],[State and Local Per Capita Result]]),0)&gt;0,IFERROR(SEARCH("Met",tblMoeHistory[[#This Row],[State and Local Total Result]]),0)&gt;0),"Met","Not Met")</f>
        <v>Met</v>
      </c>
    </row>
    <row r="147" spans="1:22" x14ac:dyDescent="0.35">
      <c r="A147" t="s">
        <v>168</v>
      </c>
      <c r="B147">
        <v>1973</v>
      </c>
      <c r="C147" t="s">
        <v>57</v>
      </c>
      <c r="D147">
        <v>40</v>
      </c>
      <c r="E147">
        <v>332732.40000000002</v>
      </c>
      <c r="F147">
        <v>129625.19</v>
      </c>
      <c r="G147">
        <f>tblMoeHistory[[#This Row],[LEA State and Local Amount]]+tblMoeHistory[[#This Row],[ESD State and Local Amount]]</f>
        <v>462357.59</v>
      </c>
      <c r="H147">
        <v>0</v>
      </c>
      <c r="I147" t="s">
        <v>239</v>
      </c>
      <c r="J147">
        <f>IFERROR(tblMoeHistory[[#This Row],[LEA State and Local Amount]]/tblMoeHistory[[#This Row],[Child Count]],0)</f>
        <v>8318.3100000000013</v>
      </c>
      <c r="K147">
        <f>IFERROR(tblMoeHistory[[#This Row],[ESD State and Local Amount]]/tblMoeHistory[[#This Row],[Child Count]],0)</f>
        <v>3240.6297500000001</v>
      </c>
      <c r="L147">
        <f>IFERROR(tblMoeHistory[[#This Row],[State and Local Total Amount]]/tblMoeHistory[[#This Row],[Child Count]],0)</f>
        <v>11558.939750000001</v>
      </c>
      <c r="M147">
        <v>0</v>
      </c>
      <c r="N147" t="s">
        <v>239</v>
      </c>
      <c r="O147">
        <v>75676.98</v>
      </c>
      <c r="P147">
        <v>307.88</v>
      </c>
      <c r="Q147">
        <f>tblMoeHistory[[#This Row],[Amount of IDEA Part B, Section 611 award]]+tblMoeHistory[[#This Row],[Amount of IDEA Part B, Section 619 award]]</f>
        <v>75984.86</v>
      </c>
      <c r="U1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 t="str">
        <f>IF(OR(IFERROR(SEARCH("Met",tblMoeHistory[[#This Row],[State and Local Per Capita Result]]),0)&gt;0,IFERROR(SEARCH("Met",tblMoeHistory[[#This Row],[State and Local Total Result]]),0)&gt;0),"Met","Not Met")</f>
        <v>Met</v>
      </c>
    </row>
    <row r="148" spans="1:22" x14ac:dyDescent="0.35">
      <c r="A148" t="s">
        <v>169</v>
      </c>
      <c r="B148">
        <v>2180</v>
      </c>
      <c r="C148" t="s">
        <v>57</v>
      </c>
      <c r="D148">
        <v>6491</v>
      </c>
      <c r="E148">
        <v>71312677.709999993</v>
      </c>
      <c r="F148">
        <v>1108588</v>
      </c>
      <c r="G148">
        <f>tblMoeHistory[[#This Row],[LEA State and Local Amount]]+tblMoeHistory[[#This Row],[ESD State and Local Amount]]</f>
        <v>72421265.709999993</v>
      </c>
      <c r="H148">
        <v>0</v>
      </c>
      <c r="I148" t="s">
        <v>239</v>
      </c>
      <c r="J148">
        <f>IFERROR(tblMoeHistory[[#This Row],[LEA State and Local Amount]]/tblMoeHistory[[#This Row],[Child Count]],0)</f>
        <v>10986.393115082421</v>
      </c>
      <c r="K148">
        <f>IFERROR(tblMoeHistory[[#This Row],[ESD State and Local Amount]]/tblMoeHistory[[#This Row],[Child Count]],0)</f>
        <v>170.78847635187182</v>
      </c>
      <c r="L148">
        <f>IFERROR(tblMoeHistory[[#This Row],[State and Local Total Amount]]/tblMoeHistory[[#This Row],[Child Count]],0)</f>
        <v>11157.181591434293</v>
      </c>
      <c r="M148">
        <v>0</v>
      </c>
      <c r="N148" t="s">
        <v>239</v>
      </c>
      <c r="O148">
        <v>7774144.6399999997</v>
      </c>
      <c r="P148">
        <v>76396.02</v>
      </c>
      <c r="Q148">
        <f>tblMoeHistory[[#This Row],[Amount of IDEA Part B, Section 611 award]]+tblMoeHistory[[#This Row],[Amount of IDEA Part B, Section 619 award]]</f>
        <v>7850540.6599999992</v>
      </c>
      <c r="U1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 t="str">
        <f>IF(OR(IFERROR(SEARCH("Met",tblMoeHistory[[#This Row],[State and Local Per Capita Result]]),0)&gt;0,IFERROR(SEARCH("Met",tblMoeHistory[[#This Row],[State and Local Total Result]]),0)&gt;0),"Met","Not Met")</f>
        <v>Met</v>
      </c>
    </row>
    <row r="149" spans="1:22" x14ac:dyDescent="0.35">
      <c r="A149" t="s">
        <v>170</v>
      </c>
      <c r="B149">
        <v>1967</v>
      </c>
      <c r="C149" t="s">
        <v>57</v>
      </c>
      <c r="D149">
        <v>13</v>
      </c>
      <c r="E149">
        <v>114765.31</v>
      </c>
      <c r="F149">
        <v>42139.64</v>
      </c>
      <c r="G149">
        <f>tblMoeHistory[[#This Row],[LEA State and Local Amount]]+tblMoeHistory[[#This Row],[ESD State and Local Amount]]</f>
        <v>156904.95000000001</v>
      </c>
      <c r="H149">
        <v>0</v>
      </c>
      <c r="I149" t="s">
        <v>239</v>
      </c>
      <c r="J149">
        <f>IFERROR(tblMoeHistory[[#This Row],[LEA State and Local Amount]]/tblMoeHistory[[#This Row],[Child Count]],0)</f>
        <v>8828.1007692307685</v>
      </c>
      <c r="K149">
        <f>IFERROR(tblMoeHistory[[#This Row],[ESD State and Local Amount]]/tblMoeHistory[[#This Row],[Child Count]],0)</f>
        <v>3241.5107692307693</v>
      </c>
      <c r="L149">
        <f>IFERROR(tblMoeHistory[[#This Row],[State and Local Total Amount]]/tblMoeHistory[[#This Row],[Child Count]],0)</f>
        <v>12069.611538461539</v>
      </c>
      <c r="M149">
        <v>0</v>
      </c>
      <c r="N149" t="s">
        <v>239</v>
      </c>
      <c r="O149">
        <v>21628.82</v>
      </c>
      <c r="P149">
        <v>12.27</v>
      </c>
      <c r="Q149">
        <f>tblMoeHistory[[#This Row],[Amount of IDEA Part B, Section 611 award]]+tblMoeHistory[[#This Row],[Amount of IDEA Part B, Section 619 award]]</f>
        <v>21641.09</v>
      </c>
      <c r="U1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 t="str">
        <f>IF(OR(IFERROR(SEARCH("Met",tblMoeHistory[[#This Row],[State and Local Per Capita Result]]),0)&gt;0,IFERROR(SEARCH("Met",tblMoeHistory[[#This Row],[State and Local Total Result]]),0)&gt;0),"Met","Not Met")</f>
        <v>Met</v>
      </c>
    </row>
    <row r="150" spans="1:22" x14ac:dyDescent="0.35">
      <c r="A150" t="s">
        <v>171</v>
      </c>
      <c r="B150">
        <v>2009</v>
      </c>
      <c r="C150" t="s">
        <v>57</v>
      </c>
      <c r="D150">
        <v>109</v>
      </c>
      <c r="E150">
        <v>62338.09</v>
      </c>
      <c r="F150">
        <v>112638.53</v>
      </c>
      <c r="G150">
        <f>tblMoeHistory[[#This Row],[LEA State and Local Amount]]+tblMoeHistory[[#This Row],[ESD State and Local Amount]]</f>
        <v>174976.62</v>
      </c>
      <c r="H150">
        <v>0</v>
      </c>
      <c r="I150" t="s">
        <v>239</v>
      </c>
      <c r="J150">
        <f>IFERROR(tblMoeHistory[[#This Row],[LEA State and Local Amount]]/tblMoeHistory[[#This Row],[Child Count]],0)</f>
        <v>571.90908256880732</v>
      </c>
      <c r="K150">
        <f>IFERROR(tblMoeHistory[[#This Row],[ESD State and Local Amount]]/tblMoeHistory[[#This Row],[Child Count]],0)</f>
        <v>1033.3810091743119</v>
      </c>
      <c r="L150">
        <f>IFERROR(tblMoeHistory[[#This Row],[State and Local Total Amount]]/tblMoeHistory[[#This Row],[Child Count]],0)</f>
        <v>1605.2900917431193</v>
      </c>
      <c r="M150">
        <v>0</v>
      </c>
      <c r="N150" t="s">
        <v>239</v>
      </c>
      <c r="O150">
        <v>30857.55</v>
      </c>
      <c r="P150">
        <v>783.95</v>
      </c>
      <c r="Q150">
        <f>tblMoeHistory[[#This Row],[Amount of IDEA Part B, Section 611 award]]+tblMoeHistory[[#This Row],[Amount of IDEA Part B, Section 619 award]]</f>
        <v>31641.5</v>
      </c>
      <c r="U1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 t="str">
        <f>IF(OR(IFERROR(SEARCH("Met",tblMoeHistory[[#This Row],[State and Local Per Capita Result]]),0)&gt;0,IFERROR(SEARCH("Met",tblMoeHistory[[#This Row],[State and Local Total Result]]),0)&gt;0),"Met","Not Met")</f>
        <v>Met</v>
      </c>
    </row>
    <row r="151" spans="1:22" x14ac:dyDescent="0.35">
      <c r="A151" t="s">
        <v>172</v>
      </c>
      <c r="B151">
        <v>2045</v>
      </c>
      <c r="C151" t="s">
        <v>57</v>
      </c>
      <c r="D151">
        <v>13</v>
      </c>
      <c r="E151">
        <v>216844.13</v>
      </c>
      <c r="F151">
        <v>62705.86</v>
      </c>
      <c r="G151">
        <f>tblMoeHistory[[#This Row],[LEA State and Local Amount]]+tblMoeHistory[[#This Row],[ESD State and Local Amount]]</f>
        <v>279549.99</v>
      </c>
      <c r="H151">
        <v>0</v>
      </c>
      <c r="I151" t="s">
        <v>239</v>
      </c>
      <c r="J151">
        <f>IFERROR(tblMoeHistory[[#This Row],[LEA State and Local Amount]]/tblMoeHistory[[#This Row],[Child Count]],0)</f>
        <v>16680.317692307694</v>
      </c>
      <c r="K151">
        <f>IFERROR(tblMoeHistory[[#This Row],[ESD State and Local Amount]]/tblMoeHistory[[#This Row],[Child Count]],0)</f>
        <v>4823.5276923076926</v>
      </c>
      <c r="L151">
        <f>IFERROR(tblMoeHistory[[#This Row],[State and Local Total Amount]]/tblMoeHistory[[#This Row],[Child Count]],0)</f>
        <v>21503.845384615382</v>
      </c>
      <c r="M151">
        <v>0</v>
      </c>
      <c r="N151" t="s">
        <v>239</v>
      </c>
      <c r="O151">
        <v>34011.949999999997</v>
      </c>
      <c r="P151">
        <v>995.28</v>
      </c>
      <c r="Q151">
        <f>tblMoeHistory[[#This Row],[Amount of IDEA Part B, Section 611 award]]+tblMoeHistory[[#This Row],[Amount of IDEA Part B, Section 619 award]]</f>
        <v>35007.229999999996</v>
      </c>
      <c r="U1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 t="str">
        <f>IF(OR(IFERROR(SEARCH("Met",tblMoeHistory[[#This Row],[State and Local Per Capita Result]]),0)&gt;0,IFERROR(SEARCH("Met",tblMoeHistory[[#This Row],[State and Local Total Result]]),0)&gt;0),"Met","Not Met")</f>
        <v>Met</v>
      </c>
    </row>
    <row r="152" spans="1:22" x14ac:dyDescent="0.35">
      <c r="A152" t="s">
        <v>173</v>
      </c>
      <c r="B152">
        <v>1946</v>
      </c>
      <c r="C152" t="s">
        <v>57</v>
      </c>
      <c r="D152">
        <v>154</v>
      </c>
      <c r="E152">
        <v>1215703.6000000001</v>
      </c>
      <c r="F152">
        <v>170657</v>
      </c>
      <c r="G152">
        <f>tblMoeHistory[[#This Row],[LEA State and Local Amount]]+tblMoeHistory[[#This Row],[ESD State and Local Amount]]</f>
        <v>1386360.6</v>
      </c>
      <c r="H152">
        <v>0</v>
      </c>
      <c r="I152" t="s">
        <v>239</v>
      </c>
      <c r="J152">
        <f>IFERROR(tblMoeHistory[[#This Row],[LEA State and Local Amount]]/tblMoeHistory[[#This Row],[Child Count]],0)</f>
        <v>7894.1792207792214</v>
      </c>
      <c r="K152">
        <f>IFERROR(tblMoeHistory[[#This Row],[ESD State and Local Amount]]/tblMoeHistory[[#This Row],[Child Count]],0)</f>
        <v>1108.1623376623377</v>
      </c>
      <c r="L152">
        <f>IFERROR(tblMoeHistory[[#This Row],[State and Local Total Amount]]/tblMoeHistory[[#This Row],[Child Count]],0)</f>
        <v>9002.3415584415598</v>
      </c>
      <c r="M152">
        <v>0</v>
      </c>
      <c r="N152" t="s">
        <v>239</v>
      </c>
      <c r="O152">
        <v>204600.94</v>
      </c>
      <c r="P152">
        <v>553.65</v>
      </c>
      <c r="Q152">
        <f>tblMoeHistory[[#This Row],[Amount of IDEA Part B, Section 611 award]]+tblMoeHistory[[#This Row],[Amount of IDEA Part B, Section 619 award]]</f>
        <v>205154.59</v>
      </c>
      <c r="U1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 t="str">
        <f>IF(OR(IFERROR(SEARCH("Met",tblMoeHistory[[#This Row],[State and Local Per Capita Result]]),0)&gt;0,IFERROR(SEARCH("Met",tblMoeHistory[[#This Row],[State and Local Total Result]]),0)&gt;0),"Met","Not Met")</f>
        <v>Met</v>
      </c>
    </row>
    <row r="153" spans="1:22" x14ac:dyDescent="0.35">
      <c r="A153" t="s">
        <v>174</v>
      </c>
      <c r="B153">
        <v>1977</v>
      </c>
      <c r="C153" t="s">
        <v>57</v>
      </c>
      <c r="D153">
        <v>934</v>
      </c>
      <c r="E153">
        <v>6209717.2400000002</v>
      </c>
      <c r="F153">
        <v>1164154</v>
      </c>
      <c r="G153">
        <f>tblMoeHistory[[#This Row],[LEA State and Local Amount]]+tblMoeHistory[[#This Row],[ESD State and Local Amount]]</f>
        <v>7373871.2400000002</v>
      </c>
      <c r="H153">
        <v>0</v>
      </c>
      <c r="I153" t="s">
        <v>239</v>
      </c>
      <c r="J153">
        <f>IFERROR(tblMoeHistory[[#This Row],[LEA State and Local Amount]]/tblMoeHistory[[#This Row],[Child Count]],0)</f>
        <v>6648.5195289079229</v>
      </c>
      <c r="K153">
        <f>IFERROR(tblMoeHistory[[#This Row],[ESD State and Local Amount]]/tblMoeHistory[[#This Row],[Child Count]],0)</f>
        <v>1246.4175588865096</v>
      </c>
      <c r="L153">
        <f>IFERROR(tblMoeHistory[[#This Row],[State and Local Total Amount]]/tblMoeHistory[[#This Row],[Child Count]],0)</f>
        <v>7894.937087794433</v>
      </c>
      <c r="M153">
        <v>0</v>
      </c>
      <c r="N153" t="s">
        <v>239</v>
      </c>
      <c r="O153">
        <v>1049565.8500000001</v>
      </c>
      <c r="P153">
        <v>5474.46</v>
      </c>
      <c r="Q153">
        <f>tblMoeHistory[[#This Row],[Amount of IDEA Part B, Section 611 award]]+tblMoeHistory[[#This Row],[Amount of IDEA Part B, Section 619 award]]</f>
        <v>1055040.31</v>
      </c>
      <c r="U1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3" t="str">
        <f>IF(OR(IFERROR(SEARCH("Met",tblMoeHistory[[#This Row],[State and Local Per Capita Result]]),0)&gt;0,IFERROR(SEARCH("Met",tblMoeHistory[[#This Row],[State and Local Total Result]]),0)&gt;0),"Met","Not Met")</f>
        <v>Met</v>
      </c>
    </row>
    <row r="154" spans="1:22" x14ac:dyDescent="0.35">
      <c r="A154" t="s">
        <v>175</v>
      </c>
      <c r="B154">
        <v>2001</v>
      </c>
      <c r="C154" t="s">
        <v>57</v>
      </c>
      <c r="D154">
        <v>104</v>
      </c>
      <c r="E154">
        <v>631253.6</v>
      </c>
      <c r="F154">
        <v>295893.55</v>
      </c>
      <c r="G154">
        <f>tblMoeHistory[[#This Row],[LEA State and Local Amount]]+tblMoeHistory[[#This Row],[ESD State and Local Amount]]</f>
        <v>927147.14999999991</v>
      </c>
      <c r="H154">
        <v>0</v>
      </c>
      <c r="I154" t="s">
        <v>239</v>
      </c>
      <c r="J154">
        <f>IFERROR(tblMoeHistory[[#This Row],[LEA State and Local Amount]]/tblMoeHistory[[#This Row],[Child Count]],0)</f>
        <v>6069.7461538461539</v>
      </c>
      <c r="K154">
        <f>IFERROR(tblMoeHistory[[#This Row],[ESD State and Local Amount]]/tblMoeHistory[[#This Row],[Child Count]],0)</f>
        <v>2845.1302884615384</v>
      </c>
      <c r="L154">
        <f>IFERROR(tblMoeHistory[[#This Row],[State and Local Total Amount]]/tblMoeHistory[[#This Row],[Child Count]],0)</f>
        <v>8914.8764423076918</v>
      </c>
      <c r="M154">
        <v>0</v>
      </c>
      <c r="N154" t="s">
        <v>239</v>
      </c>
      <c r="O154">
        <v>131666.71</v>
      </c>
      <c r="P154">
        <v>775.35</v>
      </c>
      <c r="Q154">
        <f>tblMoeHistory[[#This Row],[Amount of IDEA Part B, Section 611 award]]+tblMoeHistory[[#This Row],[Amount of IDEA Part B, Section 619 award]]</f>
        <v>132442.06</v>
      </c>
      <c r="U1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 t="str">
        <f>IF(OR(IFERROR(SEARCH("Met",tblMoeHistory[[#This Row],[State and Local Per Capita Result]]),0)&gt;0,IFERROR(SEARCH("Met",tblMoeHistory[[#This Row],[State and Local Total Result]]),0)&gt;0),"Met","Not Met")</f>
        <v>Met</v>
      </c>
    </row>
    <row r="155" spans="1:22" x14ac:dyDescent="0.35">
      <c r="A155" t="s">
        <v>176</v>
      </c>
      <c r="B155">
        <v>2182</v>
      </c>
      <c r="C155" t="s">
        <v>57</v>
      </c>
      <c r="D155">
        <v>1739</v>
      </c>
      <c r="E155">
        <v>14606698.07</v>
      </c>
      <c r="F155">
        <v>2479536</v>
      </c>
      <c r="G155">
        <f>tblMoeHistory[[#This Row],[LEA State and Local Amount]]+tblMoeHistory[[#This Row],[ESD State and Local Amount]]</f>
        <v>17086234.07</v>
      </c>
      <c r="H155">
        <v>0</v>
      </c>
      <c r="I155" t="s">
        <v>239</v>
      </c>
      <c r="J155">
        <f>IFERROR(tblMoeHistory[[#This Row],[LEA State and Local Amount]]/tblMoeHistory[[#This Row],[Child Count]],0)</f>
        <v>8399.4813513513509</v>
      </c>
      <c r="K155">
        <f>IFERROR(tblMoeHistory[[#This Row],[ESD State and Local Amount]]/tblMoeHistory[[#This Row],[Child Count]],0)</f>
        <v>1425.8401380103508</v>
      </c>
      <c r="L155">
        <f>IFERROR(tblMoeHistory[[#This Row],[State and Local Total Amount]]/tblMoeHistory[[#This Row],[Child Count]],0)</f>
        <v>9825.3214893617023</v>
      </c>
      <c r="M155">
        <v>0</v>
      </c>
      <c r="N155" t="s">
        <v>239</v>
      </c>
      <c r="O155">
        <v>1778426.07</v>
      </c>
      <c r="P155">
        <v>8936.25</v>
      </c>
      <c r="Q155">
        <f>tblMoeHistory[[#This Row],[Amount of IDEA Part B, Section 611 award]]+tblMoeHistory[[#This Row],[Amount of IDEA Part B, Section 619 award]]</f>
        <v>1787362.32</v>
      </c>
      <c r="U1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 t="str">
        <f>IF(OR(IFERROR(SEARCH("Met",tblMoeHistory[[#This Row],[State and Local Per Capita Result]]),0)&gt;0,IFERROR(SEARCH("Met",tblMoeHistory[[#This Row],[State and Local Total Result]]),0)&gt;0),"Met","Not Met")</f>
        <v>Met</v>
      </c>
    </row>
    <row r="156" spans="1:22" x14ac:dyDescent="0.35">
      <c r="A156" t="s">
        <v>177</v>
      </c>
      <c r="B156">
        <v>1999</v>
      </c>
      <c r="C156" t="s">
        <v>57</v>
      </c>
      <c r="D156">
        <v>63</v>
      </c>
      <c r="E156">
        <v>286881.7</v>
      </c>
      <c r="F156">
        <v>86095.29</v>
      </c>
      <c r="G156">
        <f>tblMoeHistory[[#This Row],[LEA State and Local Amount]]+tblMoeHistory[[#This Row],[ESD State and Local Amount]]</f>
        <v>372976.99</v>
      </c>
      <c r="H156">
        <v>0</v>
      </c>
      <c r="I156" t="s">
        <v>239</v>
      </c>
      <c r="J156">
        <f>IFERROR(tblMoeHistory[[#This Row],[LEA State and Local Amount]]/tblMoeHistory[[#This Row],[Child Count]],0)</f>
        <v>4553.6777777777779</v>
      </c>
      <c r="K156">
        <f>IFERROR(tblMoeHistory[[#This Row],[ESD State and Local Amount]]/tblMoeHistory[[#This Row],[Child Count]],0)</f>
        <v>1366.5919047619047</v>
      </c>
      <c r="L156">
        <f>IFERROR(tblMoeHistory[[#This Row],[State and Local Total Amount]]/tblMoeHistory[[#This Row],[Child Count]],0)</f>
        <v>5920.2696825396824</v>
      </c>
      <c r="M156">
        <v>0</v>
      </c>
      <c r="N156" t="s">
        <v>239</v>
      </c>
      <c r="O156">
        <v>76306.399999999994</v>
      </c>
      <c r="P156">
        <v>214.61</v>
      </c>
      <c r="Q156">
        <f>tblMoeHistory[[#This Row],[Amount of IDEA Part B, Section 611 award]]+tblMoeHistory[[#This Row],[Amount of IDEA Part B, Section 619 award]]</f>
        <v>76521.009999999995</v>
      </c>
      <c r="U1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 t="str">
        <f>IF(OR(IFERROR(SEARCH("Met",tblMoeHistory[[#This Row],[State and Local Per Capita Result]]),0)&gt;0,IFERROR(SEARCH("Met",tblMoeHistory[[#This Row],[State and Local Total Result]]),0)&gt;0),"Met","Not Met")</f>
        <v>Met</v>
      </c>
    </row>
    <row r="157" spans="1:22" x14ac:dyDescent="0.35">
      <c r="A157" t="s">
        <v>178</v>
      </c>
      <c r="B157">
        <v>2188</v>
      </c>
      <c r="C157" t="s">
        <v>57</v>
      </c>
      <c r="D157">
        <v>40</v>
      </c>
      <c r="E157">
        <v>310697.13</v>
      </c>
      <c r="F157">
        <v>114140</v>
      </c>
      <c r="G157">
        <f>tblMoeHistory[[#This Row],[LEA State and Local Amount]]+tblMoeHistory[[#This Row],[ESD State and Local Amount]]</f>
        <v>424837.13</v>
      </c>
      <c r="H157">
        <v>0</v>
      </c>
      <c r="I157" t="s">
        <v>239</v>
      </c>
      <c r="J157">
        <f>IFERROR(tblMoeHistory[[#This Row],[LEA State and Local Amount]]/tblMoeHistory[[#This Row],[Child Count]],0)</f>
        <v>7767.4282499999999</v>
      </c>
      <c r="K157">
        <f>IFERROR(tblMoeHistory[[#This Row],[ESD State and Local Amount]]/tblMoeHistory[[#This Row],[Child Count]],0)</f>
        <v>2853.5</v>
      </c>
      <c r="L157">
        <f>IFERROR(tblMoeHistory[[#This Row],[State and Local Total Amount]]/tblMoeHistory[[#This Row],[Child Count]],0)</f>
        <v>10620.928250000001</v>
      </c>
      <c r="M157">
        <v>0</v>
      </c>
      <c r="N157" t="s">
        <v>239</v>
      </c>
      <c r="O157">
        <v>75599.759999999995</v>
      </c>
      <c r="P157">
        <v>538.66999999999996</v>
      </c>
      <c r="Q157">
        <f>tblMoeHistory[[#This Row],[Amount of IDEA Part B, Section 611 award]]+tblMoeHistory[[#This Row],[Amount of IDEA Part B, Section 619 award]]</f>
        <v>76138.429999999993</v>
      </c>
      <c r="U1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 t="str">
        <f>IF(OR(IFERROR(SEARCH("Met",tblMoeHistory[[#This Row],[State and Local Per Capita Result]]),0)&gt;0,IFERROR(SEARCH("Met",tblMoeHistory[[#This Row],[State and Local Total Result]]),0)&gt;0),"Met","Not Met")</f>
        <v>Met</v>
      </c>
    </row>
    <row r="158" spans="1:22" x14ac:dyDescent="0.35">
      <c r="A158" t="s">
        <v>179</v>
      </c>
      <c r="B158">
        <v>2044</v>
      </c>
      <c r="C158" t="s">
        <v>57</v>
      </c>
      <c r="D158">
        <v>156</v>
      </c>
      <c r="E158">
        <v>941953.09</v>
      </c>
      <c r="F158">
        <v>449470.78</v>
      </c>
      <c r="G158">
        <f>tblMoeHistory[[#This Row],[LEA State and Local Amount]]+tblMoeHistory[[#This Row],[ESD State and Local Amount]]</f>
        <v>1391423.87</v>
      </c>
      <c r="H158">
        <v>0</v>
      </c>
      <c r="I158" t="s">
        <v>239</v>
      </c>
      <c r="J158">
        <f>IFERROR(tblMoeHistory[[#This Row],[LEA State and Local Amount]]/tblMoeHistory[[#This Row],[Child Count]],0)</f>
        <v>6038.1608333333334</v>
      </c>
      <c r="K158">
        <f>IFERROR(tblMoeHistory[[#This Row],[ESD State and Local Amount]]/tblMoeHistory[[#This Row],[Child Count]],0)</f>
        <v>2881.2229487179488</v>
      </c>
      <c r="L158">
        <f>IFERROR(tblMoeHistory[[#This Row],[State and Local Total Amount]]/tblMoeHistory[[#This Row],[Child Count]],0)</f>
        <v>8919.3837820512836</v>
      </c>
      <c r="M158">
        <v>0</v>
      </c>
      <c r="N158" t="s">
        <v>239</v>
      </c>
      <c r="O158">
        <v>177412.32</v>
      </c>
      <c r="P158">
        <v>2630.08</v>
      </c>
      <c r="Q158">
        <f>tblMoeHistory[[#This Row],[Amount of IDEA Part B, Section 611 award]]+tblMoeHistory[[#This Row],[Amount of IDEA Part B, Section 619 award]]</f>
        <v>180042.4</v>
      </c>
      <c r="U1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 t="str">
        <f>IF(OR(IFERROR(SEARCH("Met",tblMoeHistory[[#This Row],[State and Local Per Capita Result]]),0)&gt;0,IFERROR(SEARCH("Met",tblMoeHistory[[#This Row],[State and Local Total Result]]),0)&gt;0),"Met","Not Met")</f>
        <v>Met</v>
      </c>
    </row>
    <row r="159" spans="1:22" x14ac:dyDescent="0.35">
      <c r="A159" t="s">
        <v>180</v>
      </c>
      <c r="B159">
        <v>2142</v>
      </c>
      <c r="C159" t="s">
        <v>57</v>
      </c>
      <c r="D159">
        <v>0</v>
      </c>
      <c r="E159">
        <v>53310806.789999999</v>
      </c>
      <c r="F159">
        <v>314708.83</v>
      </c>
      <c r="G159">
        <f>tblMoeHistory[[#This Row],[LEA State and Local Amount]]+tblMoeHistory[[#This Row],[ESD State and Local Amount]]</f>
        <v>53625515.619999997</v>
      </c>
      <c r="H159">
        <v>0</v>
      </c>
      <c r="J159">
        <f>IFERROR(tblMoeHistory[[#This Row],[LEA State and Local Amount]]/tblMoeHistory[[#This Row],[Child Count]],0)</f>
        <v>0</v>
      </c>
      <c r="K159">
        <f>IFERROR(tblMoeHistory[[#This Row],[ESD State and Local Amount]]/tblMoeHistory[[#This Row],[Child Count]],0)</f>
        <v>0</v>
      </c>
      <c r="L159">
        <f>IFERROR(tblMoeHistory[[#This Row],[State and Local Total Amount]]/tblMoeHistory[[#This Row],[Child Count]],0)</f>
        <v>0</v>
      </c>
      <c r="M159">
        <v>0</v>
      </c>
      <c r="O159">
        <v>6423843.7400000002</v>
      </c>
      <c r="P159">
        <v>37389.06</v>
      </c>
      <c r="Q159">
        <f>tblMoeHistory[[#This Row],[Amount of IDEA Part B, Section 611 award]]+tblMoeHistory[[#This Row],[Amount of IDEA Part B, Section 619 award]]</f>
        <v>6461232.7999999998</v>
      </c>
      <c r="U1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 t="str">
        <f>IF(OR(IFERROR(SEARCH("Met",tblMoeHistory[[#This Row],[State and Local Per Capita Result]]),0)&gt;0,IFERROR(SEARCH("Met",tblMoeHistory[[#This Row],[State and Local Total Result]]),0)&gt;0),"Met","Not Met")</f>
        <v>Not Met</v>
      </c>
    </row>
    <row r="160" spans="1:22" x14ac:dyDescent="0.35">
      <c r="A160" t="s">
        <v>181</v>
      </c>
      <c r="B160">
        <v>2104</v>
      </c>
      <c r="C160" t="s">
        <v>57</v>
      </c>
      <c r="D160">
        <v>86</v>
      </c>
      <c r="E160">
        <v>567147.69999999995</v>
      </c>
      <c r="F160">
        <v>76324</v>
      </c>
      <c r="G160">
        <f>tblMoeHistory[[#This Row],[LEA State and Local Amount]]+tblMoeHistory[[#This Row],[ESD State and Local Amount]]</f>
        <v>643471.69999999995</v>
      </c>
      <c r="H160">
        <v>0</v>
      </c>
      <c r="I160" t="s">
        <v>239</v>
      </c>
      <c r="J160">
        <f>IFERROR(tblMoeHistory[[#This Row],[LEA State and Local Amount]]/tblMoeHistory[[#This Row],[Child Count]],0)</f>
        <v>6594.7406976744178</v>
      </c>
      <c r="K160">
        <f>IFERROR(tblMoeHistory[[#This Row],[ESD State and Local Amount]]/tblMoeHistory[[#This Row],[Child Count]],0)</f>
        <v>887.48837209302326</v>
      </c>
      <c r="L160">
        <f>IFERROR(tblMoeHistory[[#This Row],[State and Local Total Amount]]/tblMoeHistory[[#This Row],[Child Count]],0)</f>
        <v>7482.2290697674416</v>
      </c>
      <c r="M160">
        <v>0</v>
      </c>
      <c r="N160" t="s">
        <v>239</v>
      </c>
      <c r="O160">
        <v>130633.47</v>
      </c>
      <c r="P160">
        <v>749.19</v>
      </c>
      <c r="Q160">
        <f>tblMoeHistory[[#This Row],[Amount of IDEA Part B, Section 611 award]]+tblMoeHistory[[#This Row],[Amount of IDEA Part B, Section 619 award]]</f>
        <v>131382.66</v>
      </c>
      <c r="U1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 t="str">
        <f>IF(OR(IFERROR(SEARCH("Met",tblMoeHistory[[#This Row],[State and Local Per Capita Result]]),0)&gt;0,IFERROR(SEARCH("Met",tblMoeHistory[[#This Row],[State and Local Total Result]]),0)&gt;0),"Met","Not Met")</f>
        <v>Met</v>
      </c>
    </row>
    <row r="161" spans="1:22" x14ac:dyDescent="0.35">
      <c r="A161" t="s">
        <v>182</v>
      </c>
      <c r="B161">
        <v>1944</v>
      </c>
      <c r="C161" t="s">
        <v>57</v>
      </c>
      <c r="D161">
        <v>257</v>
      </c>
      <c r="E161">
        <v>1974116.09</v>
      </c>
      <c r="F161">
        <v>243896</v>
      </c>
      <c r="G161">
        <f>tblMoeHistory[[#This Row],[LEA State and Local Amount]]+tblMoeHistory[[#This Row],[ESD State and Local Amount]]</f>
        <v>2218012.09</v>
      </c>
      <c r="H161">
        <v>0</v>
      </c>
      <c r="I161" t="s">
        <v>239</v>
      </c>
      <c r="J161">
        <f>IFERROR(tblMoeHistory[[#This Row],[LEA State and Local Amount]]/tblMoeHistory[[#This Row],[Child Count]],0)</f>
        <v>7681.3855642023345</v>
      </c>
      <c r="K161">
        <f>IFERROR(tblMoeHistory[[#This Row],[ESD State and Local Amount]]/tblMoeHistory[[#This Row],[Child Count]],0)</f>
        <v>949.01167315175098</v>
      </c>
      <c r="L161">
        <f>IFERROR(tblMoeHistory[[#This Row],[State and Local Total Amount]]/tblMoeHistory[[#This Row],[Child Count]],0)</f>
        <v>8630.3972373540855</v>
      </c>
      <c r="M161">
        <v>0</v>
      </c>
      <c r="N161" t="s">
        <v>239</v>
      </c>
      <c r="O161">
        <v>317091.83</v>
      </c>
      <c r="P161">
        <v>1456.91</v>
      </c>
      <c r="Q161">
        <f>tblMoeHistory[[#This Row],[Amount of IDEA Part B, Section 611 award]]+tblMoeHistory[[#This Row],[Amount of IDEA Part B, Section 619 award]]</f>
        <v>318548.74</v>
      </c>
      <c r="U1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 t="str">
        <f>IF(OR(IFERROR(SEARCH("Met",tblMoeHistory[[#This Row],[State and Local Per Capita Result]]),0)&gt;0,IFERROR(SEARCH("Met",tblMoeHistory[[#This Row],[State and Local Total Result]]),0)&gt;0),"Met","Not Met")</f>
        <v>Met</v>
      </c>
    </row>
    <row r="162" spans="1:22" x14ac:dyDescent="0.35">
      <c r="A162" t="s">
        <v>183</v>
      </c>
      <c r="B162">
        <v>2103</v>
      </c>
      <c r="C162" t="s">
        <v>57</v>
      </c>
      <c r="D162">
        <v>79</v>
      </c>
      <c r="E162">
        <v>303722.14</v>
      </c>
      <c r="F162">
        <v>113218</v>
      </c>
      <c r="G162">
        <f>tblMoeHistory[[#This Row],[LEA State and Local Amount]]+tblMoeHistory[[#This Row],[ESD State and Local Amount]]</f>
        <v>416940.14</v>
      </c>
      <c r="H162">
        <v>0</v>
      </c>
      <c r="I162" t="s">
        <v>239</v>
      </c>
      <c r="J162">
        <f>IFERROR(tblMoeHistory[[#This Row],[LEA State and Local Amount]]/tblMoeHistory[[#This Row],[Child Count]],0)</f>
        <v>3844.5840506329114</v>
      </c>
      <c r="K162">
        <f>IFERROR(tblMoeHistory[[#This Row],[ESD State and Local Amount]]/tblMoeHistory[[#This Row],[Child Count]],0)</f>
        <v>1433.1392405063291</v>
      </c>
      <c r="L162">
        <f>IFERROR(tblMoeHistory[[#This Row],[State and Local Total Amount]]/tblMoeHistory[[#This Row],[Child Count]],0)</f>
        <v>5277.7232911392402</v>
      </c>
      <c r="M162">
        <v>0</v>
      </c>
      <c r="N162" t="s">
        <v>239</v>
      </c>
      <c r="O162">
        <v>297548.69</v>
      </c>
      <c r="P162">
        <v>322.72000000000003</v>
      </c>
      <c r="Q162">
        <f>tblMoeHistory[[#This Row],[Amount of IDEA Part B, Section 611 award]]+tblMoeHistory[[#This Row],[Amount of IDEA Part B, Section 619 award]]</f>
        <v>297871.40999999997</v>
      </c>
      <c r="U1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 t="str">
        <f>IF(OR(IFERROR(SEARCH("Met",tblMoeHistory[[#This Row],[State and Local Per Capita Result]]),0)&gt;0,IFERROR(SEARCH("Met",tblMoeHistory[[#This Row],[State and Local Total Result]]),0)&gt;0),"Met","Not Met")</f>
        <v>Met</v>
      </c>
    </row>
    <row r="163" spans="1:22" x14ac:dyDescent="0.35">
      <c r="A163" t="s">
        <v>184</v>
      </c>
      <c r="B163">
        <v>1935</v>
      </c>
      <c r="C163" t="s">
        <v>57</v>
      </c>
      <c r="D163">
        <v>237</v>
      </c>
      <c r="E163">
        <v>1901885.72</v>
      </c>
      <c r="F163">
        <v>382146</v>
      </c>
      <c r="G163">
        <f>tblMoeHistory[[#This Row],[LEA State and Local Amount]]+tblMoeHistory[[#This Row],[ESD State and Local Amount]]</f>
        <v>2284031.7199999997</v>
      </c>
      <c r="H163">
        <v>0</v>
      </c>
      <c r="I163" t="s">
        <v>239</v>
      </c>
      <c r="J163">
        <f>IFERROR(tblMoeHistory[[#This Row],[LEA State and Local Amount]]/tblMoeHistory[[#This Row],[Child Count]],0)</f>
        <v>8024.8342616033751</v>
      </c>
      <c r="K163">
        <f>IFERROR(tblMoeHistory[[#This Row],[ESD State and Local Amount]]/tblMoeHistory[[#This Row],[Child Count]],0)</f>
        <v>1612.4303797468353</v>
      </c>
      <c r="L163">
        <f>IFERROR(tblMoeHistory[[#This Row],[State and Local Total Amount]]/tblMoeHistory[[#This Row],[Child Count]],0)</f>
        <v>9637.2646413502098</v>
      </c>
      <c r="M163">
        <v>0</v>
      </c>
      <c r="N163" t="s">
        <v>239</v>
      </c>
      <c r="O163">
        <v>230119.22</v>
      </c>
      <c r="P163">
        <v>2281.2800000000002</v>
      </c>
      <c r="Q163">
        <f>tblMoeHistory[[#This Row],[Amount of IDEA Part B, Section 611 award]]+tblMoeHistory[[#This Row],[Amount of IDEA Part B, Section 619 award]]</f>
        <v>232400.5</v>
      </c>
      <c r="U1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 t="str">
        <f>IF(OR(IFERROR(SEARCH("Met",tblMoeHistory[[#This Row],[State and Local Per Capita Result]]),0)&gt;0,IFERROR(SEARCH("Met",tblMoeHistory[[#This Row],[State and Local Total Result]]),0)&gt;0),"Met","Not Met")</f>
        <v>Met</v>
      </c>
    </row>
    <row r="164" spans="1:22" x14ac:dyDescent="0.35">
      <c r="A164" t="s">
        <v>185</v>
      </c>
      <c r="B164">
        <v>2257</v>
      </c>
      <c r="C164" t="s">
        <v>57</v>
      </c>
      <c r="D164">
        <v>116</v>
      </c>
      <c r="E164">
        <v>913410.74</v>
      </c>
      <c r="F164">
        <v>49116.74</v>
      </c>
      <c r="G164">
        <f>tblMoeHistory[[#This Row],[LEA State and Local Amount]]+tblMoeHistory[[#This Row],[ESD State and Local Amount]]</f>
        <v>962527.48</v>
      </c>
      <c r="H164">
        <v>0</v>
      </c>
      <c r="I164" t="s">
        <v>239</v>
      </c>
      <c r="J164">
        <f>IFERROR(tblMoeHistory[[#This Row],[LEA State and Local Amount]]/tblMoeHistory[[#This Row],[Child Count]],0)</f>
        <v>7874.2305172413789</v>
      </c>
      <c r="K164">
        <f>IFERROR(tblMoeHistory[[#This Row],[ESD State and Local Amount]]/tblMoeHistory[[#This Row],[Child Count]],0)</f>
        <v>423.42017241379307</v>
      </c>
      <c r="L164">
        <f>IFERROR(tblMoeHistory[[#This Row],[State and Local Total Amount]]/tblMoeHistory[[#This Row],[Child Count]],0)</f>
        <v>8297.6506896551728</v>
      </c>
      <c r="M164">
        <v>0</v>
      </c>
      <c r="N164" t="s">
        <v>239</v>
      </c>
      <c r="O164">
        <v>189770.57</v>
      </c>
      <c r="P164">
        <v>1628.16</v>
      </c>
      <c r="Q164">
        <f>tblMoeHistory[[#This Row],[Amount of IDEA Part B, Section 611 award]]+tblMoeHistory[[#This Row],[Amount of IDEA Part B, Section 619 award]]</f>
        <v>191398.73</v>
      </c>
      <c r="U1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 t="str">
        <f>IF(OR(IFERROR(SEARCH("Met",tblMoeHistory[[#This Row],[State and Local Per Capita Result]]),0)&gt;0,IFERROR(SEARCH("Met",tblMoeHistory[[#This Row],[State and Local Total Result]]),0)&gt;0),"Met","Not Met")</f>
        <v>Met</v>
      </c>
    </row>
    <row r="165" spans="1:22" x14ac:dyDescent="0.35">
      <c r="A165" t="s">
        <v>186</v>
      </c>
      <c r="B165">
        <v>2195</v>
      </c>
      <c r="C165" t="s">
        <v>57</v>
      </c>
      <c r="D165">
        <v>49</v>
      </c>
      <c r="E165">
        <v>218767.24</v>
      </c>
      <c r="F165">
        <v>215044</v>
      </c>
      <c r="G165">
        <f>tblMoeHistory[[#This Row],[LEA State and Local Amount]]+tblMoeHistory[[#This Row],[ESD State and Local Amount]]</f>
        <v>433811.24</v>
      </c>
      <c r="H165">
        <v>0</v>
      </c>
      <c r="I165" t="s">
        <v>239</v>
      </c>
      <c r="J165">
        <f>IFERROR(tblMoeHistory[[#This Row],[LEA State and Local Amount]]/tblMoeHistory[[#This Row],[Child Count]],0)</f>
        <v>4464.637551020408</v>
      </c>
      <c r="K165">
        <f>IFERROR(tblMoeHistory[[#This Row],[ESD State and Local Amount]]/tblMoeHistory[[#This Row],[Child Count]],0)</f>
        <v>4388.6530612244896</v>
      </c>
      <c r="L165">
        <f>IFERROR(tblMoeHistory[[#This Row],[State and Local Total Amount]]/tblMoeHistory[[#This Row],[Child Count]],0)</f>
        <v>8853.2906122448985</v>
      </c>
      <c r="M165">
        <v>0</v>
      </c>
      <c r="N165" t="s">
        <v>239</v>
      </c>
      <c r="O165">
        <v>54247.69</v>
      </c>
      <c r="P165">
        <v>128.71</v>
      </c>
      <c r="Q165">
        <f>tblMoeHistory[[#This Row],[Amount of IDEA Part B, Section 611 award]]+tblMoeHistory[[#This Row],[Amount of IDEA Part B, Section 619 award]]</f>
        <v>54376.4</v>
      </c>
      <c r="U1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 t="str">
        <f>IF(OR(IFERROR(SEARCH("Met",tblMoeHistory[[#This Row],[State and Local Per Capita Result]]),0)&gt;0,IFERROR(SEARCH("Met",tblMoeHistory[[#This Row],[State and Local Total Result]]),0)&gt;0),"Met","Not Met")</f>
        <v>Met</v>
      </c>
    </row>
    <row r="166" spans="1:22" x14ac:dyDescent="0.35">
      <c r="A166" t="s">
        <v>187</v>
      </c>
      <c r="B166">
        <v>2244</v>
      </c>
      <c r="C166" t="s">
        <v>57</v>
      </c>
      <c r="D166">
        <v>502</v>
      </c>
      <c r="E166">
        <v>3422327.07</v>
      </c>
      <c r="F166">
        <v>679474</v>
      </c>
      <c r="G166">
        <f>tblMoeHistory[[#This Row],[LEA State and Local Amount]]+tblMoeHistory[[#This Row],[ESD State and Local Amount]]</f>
        <v>4101801.07</v>
      </c>
      <c r="H166">
        <v>0</v>
      </c>
      <c r="I166" t="s">
        <v>239</v>
      </c>
      <c r="J166">
        <f>IFERROR(tblMoeHistory[[#This Row],[LEA State and Local Amount]]/tblMoeHistory[[#This Row],[Child Count]],0)</f>
        <v>6817.3846015936251</v>
      </c>
      <c r="K166">
        <f>IFERROR(tblMoeHistory[[#This Row],[ESD State and Local Amount]]/tblMoeHistory[[#This Row],[Child Count]],0)</f>
        <v>1353.5338645418326</v>
      </c>
      <c r="L166">
        <f>IFERROR(tblMoeHistory[[#This Row],[State and Local Total Amount]]/tblMoeHistory[[#This Row],[Child Count]],0)</f>
        <v>8170.9184661354575</v>
      </c>
      <c r="M166">
        <v>0</v>
      </c>
      <c r="N166" t="s">
        <v>239</v>
      </c>
      <c r="O166">
        <v>624848.61</v>
      </c>
      <c r="P166">
        <v>1185.8399999999999</v>
      </c>
      <c r="Q166">
        <f>tblMoeHistory[[#This Row],[Amount of IDEA Part B, Section 611 award]]+tblMoeHistory[[#This Row],[Amount of IDEA Part B, Section 619 award]]</f>
        <v>626034.44999999995</v>
      </c>
      <c r="U1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 t="str">
        <f>IF(OR(IFERROR(SEARCH("Met",tblMoeHistory[[#This Row],[State and Local Per Capita Result]]),0)&gt;0,IFERROR(SEARCH("Met",tblMoeHistory[[#This Row],[State and Local Total Result]]),0)&gt;0),"Met","Not Met")</f>
        <v>Met</v>
      </c>
    </row>
    <row r="167" spans="1:22" x14ac:dyDescent="0.35">
      <c r="A167" t="s">
        <v>188</v>
      </c>
      <c r="B167">
        <v>2138</v>
      </c>
      <c r="C167" t="s">
        <v>57</v>
      </c>
      <c r="D167">
        <v>486</v>
      </c>
      <c r="E167">
        <v>2999010.56</v>
      </c>
      <c r="F167">
        <v>367260.01</v>
      </c>
      <c r="G167">
        <f>tblMoeHistory[[#This Row],[LEA State and Local Amount]]+tblMoeHistory[[#This Row],[ESD State and Local Amount]]</f>
        <v>3366270.5700000003</v>
      </c>
      <c r="H167">
        <v>0</v>
      </c>
      <c r="I167" t="s">
        <v>239</v>
      </c>
      <c r="J167">
        <f>IFERROR(tblMoeHistory[[#This Row],[LEA State and Local Amount]]/tblMoeHistory[[#This Row],[Child Count]],0)</f>
        <v>6170.8036213991772</v>
      </c>
      <c r="K167">
        <f>IFERROR(tblMoeHistory[[#This Row],[ESD State and Local Amount]]/tblMoeHistory[[#This Row],[Child Count]],0)</f>
        <v>755.67903292181074</v>
      </c>
      <c r="L167">
        <f>IFERROR(tblMoeHistory[[#This Row],[State and Local Total Amount]]/tblMoeHistory[[#This Row],[Child Count]],0)</f>
        <v>6926.4826543209883</v>
      </c>
      <c r="M167">
        <v>0</v>
      </c>
      <c r="N167" t="s">
        <v>239</v>
      </c>
      <c r="O167">
        <v>515498.76</v>
      </c>
      <c r="P167">
        <v>3594.59</v>
      </c>
      <c r="Q167">
        <f>tblMoeHistory[[#This Row],[Amount of IDEA Part B, Section 611 award]]+tblMoeHistory[[#This Row],[Amount of IDEA Part B, Section 619 award]]</f>
        <v>519093.35000000003</v>
      </c>
      <c r="U1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 t="str">
        <f>IF(OR(IFERROR(SEARCH("Met",tblMoeHistory[[#This Row],[State and Local Per Capita Result]]),0)&gt;0,IFERROR(SEARCH("Met",tblMoeHistory[[#This Row],[State and Local Total Result]]),0)&gt;0),"Met","Not Met")</f>
        <v>Met</v>
      </c>
    </row>
    <row r="168" spans="1:22" x14ac:dyDescent="0.35">
      <c r="A168" t="s">
        <v>189</v>
      </c>
      <c r="B168">
        <v>1978</v>
      </c>
      <c r="C168" t="s">
        <v>57</v>
      </c>
      <c r="D168">
        <v>145</v>
      </c>
      <c r="E168">
        <v>760931.44</v>
      </c>
      <c r="F168">
        <v>90550</v>
      </c>
      <c r="G168">
        <f>tblMoeHistory[[#This Row],[LEA State and Local Amount]]+tblMoeHistory[[#This Row],[ESD State and Local Amount]]</f>
        <v>851481.44</v>
      </c>
      <c r="H168">
        <v>0</v>
      </c>
      <c r="I168" t="s">
        <v>239</v>
      </c>
      <c r="J168">
        <f>IFERROR(tblMoeHistory[[#This Row],[LEA State and Local Amount]]/tblMoeHistory[[#This Row],[Child Count]],0)</f>
        <v>5247.8030344827584</v>
      </c>
      <c r="K168">
        <f>IFERROR(tblMoeHistory[[#This Row],[ESD State and Local Amount]]/tblMoeHistory[[#This Row],[Child Count]],0)</f>
        <v>624.48275862068965</v>
      </c>
      <c r="L168">
        <f>IFERROR(tblMoeHistory[[#This Row],[State and Local Total Amount]]/tblMoeHistory[[#This Row],[Child Count]],0)</f>
        <v>5872.2857931034478</v>
      </c>
      <c r="M168">
        <v>0</v>
      </c>
      <c r="N168" t="s">
        <v>239</v>
      </c>
      <c r="O168">
        <v>208863.47</v>
      </c>
      <c r="P168">
        <v>286.68</v>
      </c>
      <c r="Q168">
        <f>tblMoeHistory[[#This Row],[Amount of IDEA Part B, Section 611 award]]+tblMoeHistory[[#This Row],[Amount of IDEA Part B, Section 619 award]]</f>
        <v>209150.15</v>
      </c>
      <c r="U1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 t="str">
        <f>IF(OR(IFERROR(SEARCH("Met",tblMoeHistory[[#This Row],[State and Local Per Capita Result]]),0)&gt;0,IFERROR(SEARCH("Met",tblMoeHistory[[#This Row],[State and Local Total Result]]),0)&gt;0),"Met","Not Met")</f>
        <v>Met</v>
      </c>
    </row>
    <row r="169" spans="1:22" x14ac:dyDescent="0.35">
      <c r="A169" t="s">
        <v>190</v>
      </c>
      <c r="B169">
        <v>2096</v>
      </c>
      <c r="C169" t="s">
        <v>57</v>
      </c>
      <c r="D169">
        <v>175</v>
      </c>
      <c r="E169">
        <v>701585.86</v>
      </c>
      <c r="F169">
        <v>389368</v>
      </c>
      <c r="G169">
        <f>tblMoeHistory[[#This Row],[LEA State and Local Amount]]+tblMoeHistory[[#This Row],[ESD State and Local Amount]]</f>
        <v>1090953.8599999999</v>
      </c>
      <c r="H169">
        <v>0</v>
      </c>
      <c r="I169" t="s">
        <v>239</v>
      </c>
      <c r="J169">
        <f>IFERROR(tblMoeHistory[[#This Row],[LEA State and Local Amount]]/tblMoeHistory[[#This Row],[Child Count]],0)</f>
        <v>4009.0620571428572</v>
      </c>
      <c r="K169">
        <f>IFERROR(tblMoeHistory[[#This Row],[ESD State and Local Amount]]/tblMoeHistory[[#This Row],[Child Count]],0)</f>
        <v>2224.96</v>
      </c>
      <c r="L169">
        <f>IFERROR(tblMoeHistory[[#This Row],[State and Local Total Amount]]/tblMoeHistory[[#This Row],[Child Count]],0)</f>
        <v>6234.0220571428563</v>
      </c>
      <c r="M169">
        <v>0</v>
      </c>
      <c r="N169" t="s">
        <v>239</v>
      </c>
      <c r="O169">
        <v>206828.73</v>
      </c>
      <c r="P169">
        <v>2060.81</v>
      </c>
      <c r="Q169">
        <f>tblMoeHistory[[#This Row],[Amount of IDEA Part B, Section 611 award]]+tblMoeHistory[[#This Row],[Amount of IDEA Part B, Section 619 award]]</f>
        <v>208889.54</v>
      </c>
      <c r="U1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 t="str">
        <f>IF(OR(IFERROR(SEARCH("Met",tblMoeHistory[[#This Row],[State and Local Per Capita Result]]),0)&gt;0,IFERROR(SEARCH("Met",tblMoeHistory[[#This Row],[State and Local Total Result]]),0)&gt;0),"Met","Not Met")</f>
        <v>Met</v>
      </c>
    </row>
    <row r="170" spans="1:22" x14ac:dyDescent="0.35">
      <c r="A170" t="s">
        <v>191</v>
      </c>
      <c r="B170">
        <v>2022</v>
      </c>
      <c r="C170" t="s">
        <v>57</v>
      </c>
      <c r="D170">
        <v>1</v>
      </c>
      <c r="E170">
        <v>4933.55</v>
      </c>
      <c r="F170">
        <v>2066</v>
      </c>
      <c r="G170">
        <f>tblMoeHistory[[#This Row],[LEA State and Local Amount]]+tblMoeHistory[[#This Row],[ESD State and Local Amount]]</f>
        <v>6999.55</v>
      </c>
      <c r="H170">
        <v>0</v>
      </c>
      <c r="I170" t="s">
        <v>239</v>
      </c>
      <c r="J170">
        <f>IFERROR(tblMoeHistory[[#This Row],[LEA State and Local Amount]]/tblMoeHistory[[#This Row],[Child Count]],0)</f>
        <v>4933.55</v>
      </c>
      <c r="K170">
        <f>IFERROR(tblMoeHistory[[#This Row],[ESD State and Local Amount]]/tblMoeHistory[[#This Row],[Child Count]],0)</f>
        <v>2066</v>
      </c>
      <c r="L170">
        <f>IFERROR(tblMoeHistory[[#This Row],[State and Local Total Amount]]/tblMoeHistory[[#This Row],[Child Count]],0)</f>
        <v>6999.55</v>
      </c>
      <c r="M170">
        <v>0</v>
      </c>
      <c r="N170" t="s">
        <v>239</v>
      </c>
      <c r="O170">
        <v>3103.4</v>
      </c>
      <c r="P170">
        <v>1.48</v>
      </c>
      <c r="Q170">
        <f>tblMoeHistory[[#This Row],[Amount of IDEA Part B, Section 611 award]]+tblMoeHistory[[#This Row],[Amount of IDEA Part B, Section 619 award]]</f>
        <v>3104.88</v>
      </c>
      <c r="U1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 t="str">
        <f>IF(OR(IFERROR(SEARCH("Met",tblMoeHistory[[#This Row],[State and Local Per Capita Result]]),0)&gt;0,IFERROR(SEARCH("Met",tblMoeHistory[[#This Row],[State and Local Total Result]]),0)&gt;0),"Met","Not Met")</f>
        <v>Met</v>
      </c>
    </row>
    <row r="171" spans="1:22" x14ac:dyDescent="0.35">
      <c r="A171" t="s">
        <v>192</v>
      </c>
      <c r="B171">
        <v>2087</v>
      </c>
      <c r="C171" t="s">
        <v>57</v>
      </c>
      <c r="D171">
        <v>446</v>
      </c>
      <c r="E171">
        <v>2936863.55</v>
      </c>
      <c r="F171">
        <v>916553</v>
      </c>
      <c r="G171">
        <f>tblMoeHistory[[#This Row],[LEA State and Local Amount]]+tblMoeHistory[[#This Row],[ESD State and Local Amount]]</f>
        <v>3853416.55</v>
      </c>
      <c r="H171">
        <v>0</v>
      </c>
      <c r="I171" t="s">
        <v>239</v>
      </c>
      <c r="J171">
        <f>IFERROR(tblMoeHistory[[#This Row],[LEA State and Local Amount]]/tblMoeHistory[[#This Row],[Child Count]],0)</f>
        <v>6584.8958520179367</v>
      </c>
      <c r="K171">
        <f>IFERROR(tblMoeHistory[[#This Row],[ESD State and Local Amount]]/tblMoeHistory[[#This Row],[Child Count]],0)</f>
        <v>2055.0515695067265</v>
      </c>
      <c r="L171">
        <f>IFERROR(tblMoeHistory[[#This Row],[State and Local Total Amount]]/tblMoeHistory[[#This Row],[Child Count]],0)</f>
        <v>8639.9474215246628</v>
      </c>
      <c r="M171">
        <v>0</v>
      </c>
      <c r="N171" t="s">
        <v>239</v>
      </c>
      <c r="O171">
        <v>553787.38</v>
      </c>
      <c r="P171">
        <v>2925.27</v>
      </c>
      <c r="Q171">
        <f>tblMoeHistory[[#This Row],[Amount of IDEA Part B, Section 611 award]]+tblMoeHistory[[#This Row],[Amount of IDEA Part B, Section 619 award]]</f>
        <v>556712.65</v>
      </c>
      <c r="U1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 t="str">
        <f>IF(OR(IFERROR(SEARCH("Met",tblMoeHistory[[#This Row],[State and Local Per Capita Result]]),0)&gt;0,IFERROR(SEARCH("Met",tblMoeHistory[[#This Row],[State and Local Total Result]]),0)&gt;0),"Met","Not Met")</f>
        <v>Met</v>
      </c>
    </row>
    <row r="172" spans="1:22" x14ac:dyDescent="0.35">
      <c r="A172" t="s">
        <v>193</v>
      </c>
      <c r="B172">
        <v>1994</v>
      </c>
      <c r="C172" t="s">
        <v>57</v>
      </c>
      <c r="D172">
        <v>234</v>
      </c>
      <c r="E172">
        <v>1758604.29</v>
      </c>
      <c r="F172">
        <v>289955.06</v>
      </c>
      <c r="G172">
        <f>tblMoeHistory[[#This Row],[LEA State and Local Amount]]+tblMoeHistory[[#This Row],[ESD State and Local Amount]]</f>
        <v>2048559.35</v>
      </c>
      <c r="H172">
        <v>0</v>
      </c>
      <c r="I172" t="s">
        <v>239</v>
      </c>
      <c r="J172">
        <f>IFERROR(tblMoeHistory[[#This Row],[LEA State and Local Amount]]/tblMoeHistory[[#This Row],[Child Count]],0)</f>
        <v>7515.4029487179487</v>
      </c>
      <c r="K172">
        <f>IFERROR(tblMoeHistory[[#This Row],[ESD State and Local Amount]]/tblMoeHistory[[#This Row],[Child Count]],0)</f>
        <v>1239.1241880341881</v>
      </c>
      <c r="L172">
        <f>IFERROR(tblMoeHistory[[#This Row],[State and Local Total Amount]]/tblMoeHistory[[#This Row],[Child Count]],0)</f>
        <v>8754.5271367521364</v>
      </c>
      <c r="M172">
        <v>0</v>
      </c>
      <c r="N172" t="s">
        <v>239</v>
      </c>
      <c r="O172">
        <v>334807.40000000002</v>
      </c>
      <c r="P172">
        <v>1094.69</v>
      </c>
      <c r="Q172">
        <f>tblMoeHistory[[#This Row],[Amount of IDEA Part B, Section 611 award]]+tblMoeHistory[[#This Row],[Amount of IDEA Part B, Section 619 award]]</f>
        <v>335902.09</v>
      </c>
      <c r="U1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 t="str">
        <f>IF(OR(IFERROR(SEARCH("Met",tblMoeHistory[[#This Row],[State and Local Per Capita Result]]),0)&gt;0,IFERROR(SEARCH("Met",tblMoeHistory[[#This Row],[State and Local Total Result]]),0)&gt;0),"Met","Not Met")</f>
        <v>Met</v>
      </c>
    </row>
    <row r="173" spans="1:22" x14ac:dyDescent="0.35">
      <c r="A173" t="s">
        <v>194</v>
      </c>
      <c r="B173">
        <v>2225</v>
      </c>
      <c r="C173" t="s">
        <v>57</v>
      </c>
      <c r="D173">
        <v>39</v>
      </c>
      <c r="E173">
        <v>215697.36</v>
      </c>
      <c r="F173">
        <v>0</v>
      </c>
      <c r="G173">
        <f>tblMoeHistory[[#This Row],[LEA State and Local Amount]]+tblMoeHistory[[#This Row],[ESD State and Local Amount]]</f>
        <v>215697.36</v>
      </c>
      <c r="H173">
        <v>0</v>
      </c>
      <c r="I173" t="s">
        <v>239</v>
      </c>
      <c r="J173">
        <f>IFERROR(tblMoeHistory[[#This Row],[LEA State and Local Amount]]/tblMoeHistory[[#This Row],[Child Count]],0)</f>
        <v>5530.7015384615379</v>
      </c>
      <c r="K173">
        <f>IFERROR(tblMoeHistory[[#This Row],[ESD State and Local Amount]]/tblMoeHistory[[#This Row],[Child Count]],0)</f>
        <v>0</v>
      </c>
      <c r="L173">
        <f>IFERROR(tblMoeHistory[[#This Row],[State and Local Total Amount]]/tblMoeHistory[[#This Row],[Child Count]],0)</f>
        <v>5530.7015384615379</v>
      </c>
      <c r="M173">
        <v>0</v>
      </c>
      <c r="N173" t="s">
        <v>239</v>
      </c>
      <c r="O173">
        <v>56086.89</v>
      </c>
      <c r="P173">
        <v>2199.12</v>
      </c>
      <c r="Q173">
        <f>tblMoeHistory[[#This Row],[Amount of IDEA Part B, Section 611 award]]+tblMoeHistory[[#This Row],[Amount of IDEA Part B, Section 619 award]]</f>
        <v>58286.01</v>
      </c>
      <c r="U1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 t="str">
        <f>IF(OR(IFERROR(SEARCH("Met",tblMoeHistory[[#This Row],[State and Local Per Capita Result]]),0)&gt;0,IFERROR(SEARCH("Met",tblMoeHistory[[#This Row],[State and Local Total Result]]),0)&gt;0),"Met","Not Met")</f>
        <v>Met</v>
      </c>
    </row>
    <row r="174" spans="1:22" x14ac:dyDescent="0.35">
      <c r="A174" t="s">
        <v>195</v>
      </c>
      <c r="B174">
        <v>2247</v>
      </c>
      <c r="C174" t="s">
        <v>57</v>
      </c>
      <c r="D174">
        <v>3</v>
      </c>
      <c r="E174">
        <v>26993.78</v>
      </c>
      <c r="F174">
        <v>7922</v>
      </c>
      <c r="G174">
        <f>tblMoeHistory[[#This Row],[LEA State and Local Amount]]+tblMoeHistory[[#This Row],[ESD State and Local Amount]]</f>
        <v>34915.78</v>
      </c>
      <c r="H174">
        <v>0</v>
      </c>
      <c r="I174" t="s">
        <v>239</v>
      </c>
      <c r="J174">
        <f>IFERROR(tblMoeHistory[[#This Row],[LEA State and Local Amount]]/tblMoeHistory[[#This Row],[Child Count]],0)</f>
        <v>8997.9266666666663</v>
      </c>
      <c r="K174">
        <f>IFERROR(tblMoeHistory[[#This Row],[ESD State and Local Amount]]/tblMoeHistory[[#This Row],[Child Count]],0)</f>
        <v>2640.6666666666665</v>
      </c>
      <c r="L174">
        <f>IFERROR(tblMoeHistory[[#This Row],[State and Local Total Amount]]/tblMoeHistory[[#This Row],[Child Count]],0)</f>
        <v>11638.593333333332</v>
      </c>
      <c r="M174">
        <v>0</v>
      </c>
      <c r="N174" t="s">
        <v>239</v>
      </c>
      <c r="O174">
        <v>6600.87</v>
      </c>
      <c r="P174">
        <v>0</v>
      </c>
      <c r="Q174">
        <f>tblMoeHistory[[#This Row],[Amount of IDEA Part B, Section 611 award]]+tblMoeHistory[[#This Row],[Amount of IDEA Part B, Section 619 award]]</f>
        <v>6600.87</v>
      </c>
      <c r="U1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 t="str">
        <f>IF(OR(IFERROR(SEARCH("Met",tblMoeHistory[[#This Row],[State and Local Per Capita Result]]),0)&gt;0,IFERROR(SEARCH("Met",tblMoeHistory[[#This Row],[State and Local Total Result]]),0)&gt;0),"Met","Not Met")</f>
        <v>Met</v>
      </c>
    </row>
    <row r="175" spans="1:22" x14ac:dyDescent="0.35">
      <c r="A175" t="s">
        <v>196</v>
      </c>
      <c r="B175">
        <v>2083</v>
      </c>
      <c r="C175" t="s">
        <v>57</v>
      </c>
      <c r="D175">
        <v>1600</v>
      </c>
      <c r="E175">
        <v>12110525.210000001</v>
      </c>
      <c r="F175">
        <v>2636874</v>
      </c>
      <c r="G175">
        <f>tblMoeHistory[[#This Row],[LEA State and Local Amount]]+tblMoeHistory[[#This Row],[ESD State and Local Amount]]</f>
        <v>14747399.210000001</v>
      </c>
      <c r="H175">
        <v>0</v>
      </c>
      <c r="I175" t="s">
        <v>239</v>
      </c>
      <c r="J175">
        <f>IFERROR(tblMoeHistory[[#This Row],[LEA State and Local Amount]]/tblMoeHistory[[#This Row],[Child Count]],0)</f>
        <v>7569.0782562500008</v>
      </c>
      <c r="K175">
        <f>IFERROR(tblMoeHistory[[#This Row],[ESD State and Local Amount]]/tblMoeHistory[[#This Row],[Child Count]],0)</f>
        <v>1648.0462500000001</v>
      </c>
      <c r="L175">
        <f>IFERROR(tblMoeHistory[[#This Row],[State and Local Total Amount]]/tblMoeHistory[[#This Row],[Child Count]],0)</f>
        <v>9217.1245062500002</v>
      </c>
      <c r="M175">
        <v>0</v>
      </c>
      <c r="N175" t="s">
        <v>239</v>
      </c>
      <c r="O175">
        <v>1988625.01</v>
      </c>
      <c r="P175">
        <v>19879.849999999999</v>
      </c>
      <c r="Q175">
        <f>tblMoeHistory[[#This Row],[Amount of IDEA Part B, Section 611 award]]+tblMoeHistory[[#This Row],[Amount of IDEA Part B, Section 619 award]]</f>
        <v>2008504.86</v>
      </c>
      <c r="U1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 t="str">
        <f>IF(OR(IFERROR(SEARCH("Met",tblMoeHistory[[#This Row],[State and Local Per Capita Result]]),0)&gt;0,IFERROR(SEARCH("Met",tblMoeHistory[[#This Row],[State and Local Total Result]]),0)&gt;0),"Met","Not Met")</f>
        <v>Met</v>
      </c>
    </row>
    <row r="176" spans="1:22" x14ac:dyDescent="0.35">
      <c r="A176" t="s">
        <v>197</v>
      </c>
      <c r="B176">
        <v>1948</v>
      </c>
      <c r="C176" t="s">
        <v>57</v>
      </c>
      <c r="D176">
        <v>478</v>
      </c>
      <c r="E176">
        <v>3301984.22</v>
      </c>
      <c r="F176">
        <v>716758</v>
      </c>
      <c r="G176">
        <f>tblMoeHistory[[#This Row],[LEA State and Local Amount]]+tblMoeHistory[[#This Row],[ESD State and Local Amount]]</f>
        <v>4018742.22</v>
      </c>
      <c r="H176">
        <v>0</v>
      </c>
      <c r="I176" t="s">
        <v>239</v>
      </c>
      <c r="J176">
        <f>IFERROR(tblMoeHistory[[#This Row],[LEA State and Local Amount]]/tblMoeHistory[[#This Row],[Child Count]],0)</f>
        <v>6907.9167782426784</v>
      </c>
      <c r="K176">
        <f>IFERROR(tblMoeHistory[[#This Row],[ESD State and Local Amount]]/tblMoeHistory[[#This Row],[Child Count]],0)</f>
        <v>1499.4937238493724</v>
      </c>
      <c r="L176">
        <f>IFERROR(tblMoeHistory[[#This Row],[State and Local Total Amount]]/tblMoeHistory[[#This Row],[Child Count]],0)</f>
        <v>8407.4105020920506</v>
      </c>
      <c r="M176">
        <v>0</v>
      </c>
      <c r="N176" t="s">
        <v>239</v>
      </c>
      <c r="O176">
        <v>580333.23</v>
      </c>
      <c r="P176">
        <v>3731.98</v>
      </c>
      <c r="Q176">
        <f>tblMoeHistory[[#This Row],[Amount of IDEA Part B, Section 611 award]]+tblMoeHistory[[#This Row],[Amount of IDEA Part B, Section 619 award]]</f>
        <v>584065.21</v>
      </c>
      <c r="U1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 t="str">
        <f>IF(OR(IFERROR(SEARCH("Met",tblMoeHistory[[#This Row],[State and Local Per Capita Result]]),0)&gt;0,IFERROR(SEARCH("Met",tblMoeHistory[[#This Row],[State and Local Total Result]]),0)&gt;0),"Met","Not Met")</f>
        <v>Met</v>
      </c>
    </row>
    <row r="177" spans="1:22" x14ac:dyDescent="0.35">
      <c r="A177" t="s">
        <v>198</v>
      </c>
      <c r="B177">
        <v>2144</v>
      </c>
      <c r="C177" t="s">
        <v>57</v>
      </c>
      <c r="D177">
        <v>35</v>
      </c>
      <c r="E177">
        <v>231979.13</v>
      </c>
      <c r="F177">
        <v>13210.09</v>
      </c>
      <c r="G177">
        <f>tblMoeHistory[[#This Row],[LEA State and Local Amount]]+tblMoeHistory[[#This Row],[ESD State and Local Amount]]</f>
        <v>245189.22</v>
      </c>
      <c r="H177">
        <v>0</v>
      </c>
      <c r="I177" t="s">
        <v>239</v>
      </c>
      <c r="J177">
        <f>IFERROR(tblMoeHistory[[#This Row],[LEA State and Local Amount]]/tblMoeHistory[[#This Row],[Child Count]],0)</f>
        <v>6627.9751428571426</v>
      </c>
      <c r="K177">
        <f>IFERROR(tblMoeHistory[[#This Row],[ESD State and Local Amount]]/tblMoeHistory[[#This Row],[Child Count]],0)</f>
        <v>377.43114285714285</v>
      </c>
      <c r="L177">
        <f>IFERROR(tblMoeHistory[[#This Row],[State and Local Total Amount]]/tblMoeHistory[[#This Row],[Child Count]],0)</f>
        <v>7005.4062857142853</v>
      </c>
      <c r="M177">
        <v>0</v>
      </c>
      <c r="N177" t="s">
        <v>239</v>
      </c>
      <c r="O177">
        <v>42555.14</v>
      </c>
      <c r="P177">
        <v>1495.95</v>
      </c>
      <c r="Q177">
        <f>tblMoeHistory[[#This Row],[Amount of IDEA Part B, Section 611 award]]+tblMoeHistory[[#This Row],[Amount of IDEA Part B, Section 619 award]]</f>
        <v>44051.09</v>
      </c>
      <c r="U1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 t="str">
        <f>IF(OR(IFERROR(SEARCH("Met",tblMoeHistory[[#This Row],[State and Local Per Capita Result]]),0)&gt;0,IFERROR(SEARCH("Met",tblMoeHistory[[#This Row],[State and Local Total Result]]),0)&gt;0),"Met","Not Met")</f>
        <v>Met</v>
      </c>
    </row>
    <row r="178" spans="1:22" x14ac:dyDescent="0.35">
      <c r="A178" t="s">
        <v>199</v>
      </c>
      <c r="B178">
        <v>2209</v>
      </c>
      <c r="C178" t="s">
        <v>57</v>
      </c>
      <c r="D178">
        <v>72</v>
      </c>
      <c r="E178">
        <v>655352.31999999995</v>
      </c>
      <c r="F178">
        <v>115432.86</v>
      </c>
      <c r="G178">
        <f>tblMoeHistory[[#This Row],[LEA State and Local Amount]]+tblMoeHistory[[#This Row],[ESD State and Local Amount]]</f>
        <v>770785.17999999993</v>
      </c>
      <c r="H178">
        <v>0</v>
      </c>
      <c r="I178" t="s">
        <v>239</v>
      </c>
      <c r="J178">
        <f>IFERROR(tblMoeHistory[[#This Row],[LEA State and Local Amount]]/tblMoeHistory[[#This Row],[Child Count]],0)</f>
        <v>9102.1155555555542</v>
      </c>
      <c r="K178">
        <f>IFERROR(tblMoeHistory[[#This Row],[ESD State and Local Amount]]/tblMoeHistory[[#This Row],[Child Count]],0)</f>
        <v>1603.2341666666666</v>
      </c>
      <c r="L178">
        <f>IFERROR(tblMoeHistory[[#This Row],[State and Local Total Amount]]/tblMoeHistory[[#This Row],[Child Count]],0)</f>
        <v>10705.349722222221</v>
      </c>
      <c r="M178">
        <v>0</v>
      </c>
      <c r="N178" t="s">
        <v>239</v>
      </c>
      <c r="O178">
        <v>107309.39</v>
      </c>
      <c r="P178">
        <v>213.22</v>
      </c>
      <c r="Q178">
        <f>tblMoeHistory[[#This Row],[Amount of IDEA Part B, Section 611 award]]+tblMoeHistory[[#This Row],[Amount of IDEA Part B, Section 619 award]]</f>
        <v>107522.61</v>
      </c>
      <c r="U1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 t="str">
        <f>IF(OR(IFERROR(SEARCH("Met",tblMoeHistory[[#This Row],[State and Local Per Capita Result]]),0)&gt;0,IFERROR(SEARCH("Met",tblMoeHistory[[#This Row],[State and Local Total Result]]),0)&gt;0),"Met","Not Met")</f>
        <v>Met</v>
      </c>
    </row>
    <row r="179" spans="1:22" x14ac:dyDescent="0.35">
      <c r="A179" t="s">
        <v>200</v>
      </c>
      <c r="B179">
        <v>2018</v>
      </c>
      <c r="C179" t="s">
        <v>57</v>
      </c>
      <c r="D179">
        <v>2</v>
      </c>
      <c r="E179">
        <v>12350</v>
      </c>
      <c r="F179">
        <v>1878</v>
      </c>
      <c r="G179">
        <f>tblMoeHistory[[#This Row],[LEA State and Local Amount]]+tblMoeHistory[[#This Row],[ESD State and Local Amount]]</f>
        <v>14228</v>
      </c>
      <c r="H179">
        <v>0</v>
      </c>
      <c r="I179" t="s">
        <v>239</v>
      </c>
      <c r="J179">
        <f>IFERROR(tblMoeHistory[[#This Row],[LEA State and Local Amount]]/tblMoeHistory[[#This Row],[Child Count]],0)</f>
        <v>6175</v>
      </c>
      <c r="K179">
        <f>IFERROR(tblMoeHistory[[#This Row],[ESD State and Local Amount]]/tblMoeHistory[[#This Row],[Child Count]],0)</f>
        <v>939</v>
      </c>
      <c r="L179">
        <f>IFERROR(tblMoeHistory[[#This Row],[State and Local Total Amount]]/tblMoeHistory[[#This Row],[Child Count]],0)</f>
        <v>7114</v>
      </c>
      <c r="M179">
        <v>0</v>
      </c>
      <c r="N179" t="s">
        <v>239</v>
      </c>
      <c r="O179">
        <v>2294.4899999999998</v>
      </c>
      <c r="P179">
        <v>1.21</v>
      </c>
      <c r="Q179">
        <f>tblMoeHistory[[#This Row],[Amount of IDEA Part B, Section 611 award]]+tblMoeHistory[[#This Row],[Amount of IDEA Part B, Section 619 award]]</f>
        <v>2295.6999999999998</v>
      </c>
      <c r="U1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 t="str">
        <f>IF(OR(IFERROR(SEARCH("Met",tblMoeHistory[[#This Row],[State and Local Per Capita Result]]),0)&gt;0,IFERROR(SEARCH("Met",tblMoeHistory[[#This Row],[State and Local Total Result]]),0)&gt;0),"Met","Not Met")</f>
        <v>Met</v>
      </c>
    </row>
    <row r="180" spans="1:22" x14ac:dyDescent="0.35">
      <c r="A180" t="s">
        <v>201</v>
      </c>
      <c r="B180">
        <v>2003</v>
      </c>
      <c r="C180" t="s">
        <v>57</v>
      </c>
      <c r="D180">
        <v>172</v>
      </c>
      <c r="E180">
        <v>992164.69</v>
      </c>
      <c r="F180">
        <v>282744.52</v>
      </c>
      <c r="G180">
        <f>tblMoeHistory[[#This Row],[LEA State and Local Amount]]+tblMoeHistory[[#This Row],[ESD State and Local Amount]]</f>
        <v>1274909.21</v>
      </c>
      <c r="H180">
        <v>0</v>
      </c>
      <c r="I180" t="s">
        <v>239</v>
      </c>
      <c r="J180">
        <f>IFERROR(tblMoeHistory[[#This Row],[LEA State and Local Amount]]/tblMoeHistory[[#This Row],[Child Count]],0)</f>
        <v>5768.3993604651159</v>
      </c>
      <c r="K180">
        <f>IFERROR(tblMoeHistory[[#This Row],[ESD State and Local Amount]]/tblMoeHistory[[#This Row],[Child Count]],0)</f>
        <v>1643.8634883720931</v>
      </c>
      <c r="L180">
        <f>IFERROR(tblMoeHistory[[#This Row],[State and Local Total Amount]]/tblMoeHistory[[#This Row],[Child Count]],0)</f>
        <v>7412.2628488372093</v>
      </c>
      <c r="M180">
        <v>0</v>
      </c>
      <c r="N180" t="s">
        <v>239</v>
      </c>
      <c r="O180">
        <v>240454.69</v>
      </c>
      <c r="P180">
        <v>1586.67</v>
      </c>
      <c r="Q180">
        <f>tblMoeHistory[[#This Row],[Amount of IDEA Part B, Section 611 award]]+tblMoeHistory[[#This Row],[Amount of IDEA Part B, Section 619 award]]</f>
        <v>242041.36000000002</v>
      </c>
      <c r="U1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 t="str">
        <f>IF(OR(IFERROR(SEARCH("Met",tblMoeHistory[[#This Row],[State and Local Per Capita Result]]),0)&gt;0,IFERROR(SEARCH("Met",tblMoeHistory[[#This Row],[State and Local Total Result]]),0)&gt;0),"Met","Not Met")</f>
        <v>Met</v>
      </c>
    </row>
    <row r="181" spans="1:22" x14ac:dyDescent="0.35">
      <c r="A181" t="s">
        <v>202</v>
      </c>
      <c r="B181">
        <v>2102</v>
      </c>
      <c r="C181" t="s">
        <v>57</v>
      </c>
      <c r="D181">
        <v>367</v>
      </c>
      <c r="E181">
        <v>1950431.19</v>
      </c>
      <c r="F181">
        <v>344333</v>
      </c>
      <c r="G181">
        <f>tblMoeHistory[[#This Row],[LEA State and Local Amount]]+tblMoeHistory[[#This Row],[ESD State and Local Amount]]</f>
        <v>2294764.19</v>
      </c>
      <c r="H181">
        <v>0</v>
      </c>
      <c r="I181" t="s">
        <v>239</v>
      </c>
      <c r="J181">
        <f>IFERROR(tblMoeHistory[[#This Row],[LEA State and Local Amount]]/tblMoeHistory[[#This Row],[Child Count]],0)</f>
        <v>5314.5264032697551</v>
      </c>
      <c r="K181">
        <f>IFERROR(tblMoeHistory[[#This Row],[ESD State and Local Amount]]/tblMoeHistory[[#This Row],[Child Count]],0)</f>
        <v>938.23705722070849</v>
      </c>
      <c r="L181">
        <f>IFERROR(tblMoeHistory[[#This Row],[State and Local Total Amount]]/tblMoeHistory[[#This Row],[Child Count]],0)</f>
        <v>6252.7634604904633</v>
      </c>
      <c r="M181">
        <v>0</v>
      </c>
      <c r="N181" t="s">
        <v>239</v>
      </c>
      <c r="O181">
        <v>401166.31</v>
      </c>
      <c r="P181">
        <v>2861.74</v>
      </c>
      <c r="Q181">
        <f>tblMoeHistory[[#This Row],[Amount of IDEA Part B, Section 611 award]]+tblMoeHistory[[#This Row],[Amount of IDEA Part B, Section 619 award]]</f>
        <v>404028.05</v>
      </c>
      <c r="U1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 t="str">
        <f>IF(OR(IFERROR(SEARCH("Met",tblMoeHistory[[#This Row],[State and Local Per Capita Result]]),0)&gt;0,IFERROR(SEARCH("Met",tblMoeHistory[[#This Row],[State and Local Total Result]]),0)&gt;0),"Met","Not Met")</f>
        <v>Met</v>
      </c>
    </row>
    <row r="182" spans="1:22" x14ac:dyDescent="0.35">
      <c r="A182" t="s">
        <v>203</v>
      </c>
      <c r="B182">
        <v>2055</v>
      </c>
      <c r="C182" t="s">
        <v>57</v>
      </c>
      <c r="D182">
        <v>579</v>
      </c>
      <c r="E182">
        <v>5698730.6600000001</v>
      </c>
      <c r="F182">
        <v>161355.18</v>
      </c>
      <c r="G182">
        <f>tblMoeHistory[[#This Row],[LEA State and Local Amount]]+tblMoeHistory[[#This Row],[ESD State and Local Amount]]</f>
        <v>5860085.8399999999</v>
      </c>
      <c r="H182">
        <v>0</v>
      </c>
      <c r="I182" t="s">
        <v>239</v>
      </c>
      <c r="J182">
        <f>IFERROR(tblMoeHistory[[#This Row],[LEA State and Local Amount]]/tblMoeHistory[[#This Row],[Child Count]],0)</f>
        <v>9842.3672884283242</v>
      </c>
      <c r="K182">
        <f>IFERROR(tblMoeHistory[[#This Row],[ESD State and Local Amount]]/tblMoeHistory[[#This Row],[Child Count]],0)</f>
        <v>278.67906735751296</v>
      </c>
      <c r="L182">
        <f>IFERROR(tblMoeHistory[[#This Row],[State and Local Total Amount]]/tblMoeHistory[[#This Row],[Child Count]],0)</f>
        <v>10121.046355785837</v>
      </c>
      <c r="M182">
        <v>0</v>
      </c>
      <c r="N182" t="s">
        <v>239</v>
      </c>
      <c r="O182">
        <v>917702.71</v>
      </c>
      <c r="P182">
        <v>4730.21</v>
      </c>
      <c r="Q182">
        <f>tblMoeHistory[[#This Row],[Amount of IDEA Part B, Section 611 award]]+tblMoeHistory[[#This Row],[Amount of IDEA Part B, Section 619 award]]</f>
        <v>922432.91999999993</v>
      </c>
      <c r="U1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 t="str">
        <f>IF(OR(IFERROR(SEARCH("Met",tblMoeHistory[[#This Row],[State and Local Per Capita Result]]),0)&gt;0,IFERROR(SEARCH("Met",tblMoeHistory[[#This Row],[State and Local Total Result]]),0)&gt;0),"Met","Not Met")</f>
        <v>Met</v>
      </c>
    </row>
    <row r="183" spans="1:22" x14ac:dyDescent="0.35">
      <c r="A183" t="s">
        <v>204</v>
      </c>
      <c r="B183">
        <v>2242</v>
      </c>
      <c r="C183" t="s">
        <v>57</v>
      </c>
      <c r="D183">
        <v>1371</v>
      </c>
      <c r="E183">
        <v>9635025.6500000004</v>
      </c>
      <c r="F183">
        <v>1440020</v>
      </c>
      <c r="G183">
        <f>tblMoeHistory[[#This Row],[LEA State and Local Amount]]+tblMoeHistory[[#This Row],[ESD State and Local Amount]]</f>
        <v>11075045.65</v>
      </c>
      <c r="H183">
        <v>0</v>
      </c>
      <c r="I183" t="s">
        <v>239</v>
      </c>
      <c r="J183">
        <f>IFERROR(tblMoeHistory[[#This Row],[LEA State and Local Amount]]/tblMoeHistory[[#This Row],[Child Count]],0)</f>
        <v>7027.7357038657919</v>
      </c>
      <c r="K183">
        <f>IFERROR(tblMoeHistory[[#This Row],[ESD State and Local Amount]]/tblMoeHistory[[#This Row],[Child Count]],0)</f>
        <v>1050.3428154631656</v>
      </c>
      <c r="L183">
        <f>IFERROR(tblMoeHistory[[#This Row],[State and Local Total Amount]]/tblMoeHistory[[#This Row],[Child Count]],0)</f>
        <v>8078.0785193289576</v>
      </c>
      <c r="M183">
        <v>0</v>
      </c>
      <c r="N183" t="s">
        <v>239</v>
      </c>
      <c r="O183">
        <v>1950577.61</v>
      </c>
      <c r="P183">
        <v>9136.02</v>
      </c>
      <c r="Q183">
        <f>tblMoeHistory[[#This Row],[Amount of IDEA Part B, Section 611 award]]+tblMoeHistory[[#This Row],[Amount of IDEA Part B, Section 619 award]]</f>
        <v>1959713.6300000001</v>
      </c>
      <c r="U1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 t="str">
        <f>IF(OR(IFERROR(SEARCH("Met",tblMoeHistory[[#This Row],[State and Local Per Capita Result]]),0)&gt;0,IFERROR(SEARCH("Met",tblMoeHistory[[#This Row],[State and Local Total Result]]),0)&gt;0),"Met","Not Met")</f>
        <v>Met</v>
      </c>
    </row>
    <row r="184" spans="1:22" x14ac:dyDescent="0.35">
      <c r="A184" t="s">
        <v>205</v>
      </c>
      <c r="B184">
        <v>2197</v>
      </c>
      <c r="C184" t="s">
        <v>57</v>
      </c>
      <c r="D184">
        <v>231</v>
      </c>
      <c r="E184">
        <v>2049671.22</v>
      </c>
      <c r="F184">
        <v>380926</v>
      </c>
      <c r="G184">
        <f>tblMoeHistory[[#This Row],[LEA State and Local Amount]]+tblMoeHistory[[#This Row],[ESD State and Local Amount]]</f>
        <v>2430597.2199999997</v>
      </c>
      <c r="H184">
        <v>0</v>
      </c>
      <c r="I184" t="s">
        <v>239</v>
      </c>
      <c r="J184">
        <f>IFERROR(tblMoeHistory[[#This Row],[LEA State and Local Amount]]/tblMoeHistory[[#This Row],[Child Count]],0)</f>
        <v>8873.0355844155838</v>
      </c>
      <c r="K184">
        <f>IFERROR(tblMoeHistory[[#This Row],[ESD State and Local Amount]]/tblMoeHistory[[#This Row],[Child Count]],0)</f>
        <v>1649.030303030303</v>
      </c>
      <c r="L184">
        <f>IFERROR(tblMoeHistory[[#This Row],[State and Local Total Amount]]/tblMoeHistory[[#This Row],[Child Count]],0)</f>
        <v>10522.065887445886</v>
      </c>
      <c r="M184">
        <v>0</v>
      </c>
      <c r="N184" t="s">
        <v>239</v>
      </c>
      <c r="O184">
        <v>358689.83</v>
      </c>
      <c r="P184">
        <v>3363.51</v>
      </c>
      <c r="Q184">
        <f>tblMoeHistory[[#This Row],[Amount of IDEA Part B, Section 611 award]]+tblMoeHistory[[#This Row],[Amount of IDEA Part B, Section 619 award]]</f>
        <v>362053.34</v>
      </c>
      <c r="U1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 t="str">
        <f>IF(OR(IFERROR(SEARCH("Met",tblMoeHistory[[#This Row],[State and Local Per Capita Result]]),0)&gt;0,IFERROR(SEARCH("Met",tblMoeHistory[[#This Row],[State and Local Total Result]]),0)&gt;0),"Met","Not Met")</f>
        <v>Met</v>
      </c>
    </row>
    <row r="185" spans="1:22" x14ac:dyDescent="0.35">
      <c r="A185" t="s">
        <v>206</v>
      </c>
      <c r="B185">
        <v>2222</v>
      </c>
      <c r="C185" t="s">
        <v>57</v>
      </c>
      <c r="D185">
        <v>0</v>
      </c>
      <c r="E185">
        <v>0</v>
      </c>
      <c r="F185">
        <v>3700</v>
      </c>
      <c r="G185">
        <f>tblMoeHistory[[#This Row],[LEA State and Local Amount]]+tblMoeHistory[[#This Row],[ESD State and Local Amount]]</f>
        <v>3700</v>
      </c>
      <c r="H185">
        <v>0</v>
      </c>
      <c r="I185" t="s">
        <v>239</v>
      </c>
      <c r="J185">
        <f>IFERROR(tblMoeHistory[[#This Row],[LEA State and Local Amount]]/tblMoeHistory[[#This Row],[Child Count]],0)</f>
        <v>0</v>
      </c>
      <c r="K185">
        <f>IFERROR(tblMoeHistory[[#This Row],[ESD State and Local Amount]]/tblMoeHistory[[#This Row],[Child Count]],0)</f>
        <v>0</v>
      </c>
      <c r="L185">
        <f>IFERROR(tblMoeHistory[[#This Row],[State and Local Total Amount]]/tblMoeHistory[[#This Row],[Child Count]],0)</f>
        <v>0</v>
      </c>
      <c r="M185">
        <v>0</v>
      </c>
      <c r="N185" t="s">
        <v>239</v>
      </c>
      <c r="O185">
        <v>2873.12</v>
      </c>
      <c r="P185">
        <v>0.76</v>
      </c>
      <c r="Q185">
        <f>tblMoeHistory[[#This Row],[Amount of IDEA Part B, Section 611 award]]+tblMoeHistory[[#This Row],[Amount of IDEA Part B, Section 619 award]]</f>
        <v>2873.88</v>
      </c>
      <c r="U1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 t="str">
        <f>IF(OR(IFERROR(SEARCH("Met",tblMoeHistory[[#This Row],[State and Local Per Capita Result]]),0)&gt;0,IFERROR(SEARCH("Met",tblMoeHistory[[#This Row],[State and Local Total Result]]),0)&gt;0),"Met","Not Met")</f>
        <v>Met</v>
      </c>
    </row>
    <row r="186" spans="1:22" x14ac:dyDescent="0.35">
      <c r="A186" t="s">
        <v>207</v>
      </c>
      <c r="B186">
        <v>2210</v>
      </c>
      <c r="C186" t="s">
        <v>57</v>
      </c>
      <c r="D186">
        <v>5</v>
      </c>
      <c r="E186">
        <v>3968.19</v>
      </c>
      <c r="F186">
        <v>8032.7</v>
      </c>
      <c r="G186">
        <f>tblMoeHistory[[#This Row],[LEA State and Local Amount]]+tblMoeHistory[[#This Row],[ESD State and Local Amount]]</f>
        <v>12000.89</v>
      </c>
      <c r="H186">
        <v>0</v>
      </c>
      <c r="I186" t="s">
        <v>239</v>
      </c>
      <c r="J186">
        <f>IFERROR(tblMoeHistory[[#This Row],[LEA State and Local Amount]]/tblMoeHistory[[#This Row],[Child Count]],0)</f>
        <v>793.63800000000003</v>
      </c>
      <c r="K186">
        <f>IFERROR(tblMoeHistory[[#This Row],[ESD State and Local Amount]]/tblMoeHistory[[#This Row],[Child Count]],0)</f>
        <v>1606.54</v>
      </c>
      <c r="L186">
        <f>IFERROR(tblMoeHistory[[#This Row],[State and Local Total Amount]]/tblMoeHistory[[#This Row],[Child Count]],0)</f>
        <v>2400.1779999999999</v>
      </c>
      <c r="M186">
        <v>0</v>
      </c>
      <c r="N186" t="s">
        <v>239</v>
      </c>
      <c r="O186">
        <v>8676.73</v>
      </c>
      <c r="P186">
        <v>5.33</v>
      </c>
      <c r="Q186">
        <f>tblMoeHistory[[#This Row],[Amount of IDEA Part B, Section 611 award]]+tblMoeHistory[[#This Row],[Amount of IDEA Part B, Section 619 award]]</f>
        <v>8682.06</v>
      </c>
      <c r="U1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 t="str">
        <f>IF(OR(IFERROR(SEARCH("Met",tblMoeHistory[[#This Row],[State and Local Per Capita Result]]),0)&gt;0,IFERROR(SEARCH("Met",tblMoeHistory[[#This Row],[State and Local Total Result]]),0)&gt;0),"Met","Not Met")</f>
        <v>Met</v>
      </c>
    </row>
    <row r="187" spans="1:22" x14ac:dyDescent="0.35">
      <c r="A187" t="s">
        <v>208</v>
      </c>
      <c r="B187">
        <v>2204</v>
      </c>
      <c r="C187" t="s">
        <v>57</v>
      </c>
      <c r="D187">
        <v>138</v>
      </c>
      <c r="E187">
        <v>1016481.52</v>
      </c>
      <c r="F187">
        <v>221345.51</v>
      </c>
      <c r="G187">
        <f>tblMoeHistory[[#This Row],[LEA State and Local Amount]]+tblMoeHistory[[#This Row],[ESD State and Local Amount]]</f>
        <v>1237827.03</v>
      </c>
      <c r="H187">
        <v>0</v>
      </c>
      <c r="I187" t="s">
        <v>239</v>
      </c>
      <c r="J187">
        <f>IFERROR(tblMoeHistory[[#This Row],[LEA State and Local Amount]]/tblMoeHistory[[#This Row],[Child Count]],0)</f>
        <v>7365.808115942029</v>
      </c>
      <c r="K187">
        <f>IFERROR(tblMoeHistory[[#This Row],[ESD State and Local Amount]]/tblMoeHistory[[#This Row],[Child Count]],0)</f>
        <v>1603.9529710144927</v>
      </c>
      <c r="L187">
        <f>IFERROR(tblMoeHistory[[#This Row],[State and Local Total Amount]]/tblMoeHistory[[#This Row],[Child Count]],0)</f>
        <v>8969.7610869565215</v>
      </c>
      <c r="M187">
        <v>0</v>
      </c>
      <c r="N187" t="s">
        <v>239</v>
      </c>
      <c r="O187">
        <v>224759.06</v>
      </c>
      <c r="P187">
        <v>1499.58</v>
      </c>
      <c r="Q187">
        <f>tblMoeHistory[[#This Row],[Amount of IDEA Part B, Section 611 award]]+tblMoeHistory[[#This Row],[Amount of IDEA Part B, Section 619 award]]</f>
        <v>226258.63999999998</v>
      </c>
      <c r="U1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 t="str">
        <f>IF(OR(IFERROR(SEARCH("Met",tblMoeHistory[[#This Row],[State and Local Per Capita Result]]),0)&gt;0,IFERROR(SEARCH("Met",tblMoeHistory[[#This Row],[State and Local Total Result]]),0)&gt;0),"Met","Not Met")</f>
        <v>Met</v>
      </c>
    </row>
    <row r="188" spans="1:22" x14ac:dyDescent="0.35">
      <c r="A188" t="s">
        <v>209</v>
      </c>
      <c r="B188">
        <v>2213</v>
      </c>
      <c r="C188" t="s">
        <v>57</v>
      </c>
      <c r="D188">
        <v>50</v>
      </c>
      <c r="E188">
        <v>365789.91</v>
      </c>
      <c r="F188">
        <v>126787.58</v>
      </c>
      <c r="G188">
        <f>tblMoeHistory[[#This Row],[LEA State and Local Amount]]+tblMoeHistory[[#This Row],[ESD State and Local Amount]]</f>
        <v>492577.49</v>
      </c>
      <c r="H188">
        <v>0</v>
      </c>
      <c r="I188" t="s">
        <v>239</v>
      </c>
      <c r="J188">
        <f>IFERROR(tblMoeHistory[[#This Row],[LEA State and Local Amount]]/tblMoeHistory[[#This Row],[Child Count]],0)</f>
        <v>7315.7981999999993</v>
      </c>
      <c r="K188">
        <f>IFERROR(tblMoeHistory[[#This Row],[ESD State and Local Amount]]/tblMoeHistory[[#This Row],[Child Count]],0)</f>
        <v>2535.7516000000001</v>
      </c>
      <c r="L188">
        <f>IFERROR(tblMoeHistory[[#This Row],[State and Local Total Amount]]/tblMoeHistory[[#This Row],[Child Count]],0)</f>
        <v>9851.5498000000007</v>
      </c>
      <c r="M188">
        <v>0</v>
      </c>
      <c r="N188" t="s">
        <v>239</v>
      </c>
      <c r="O188">
        <v>72305.600000000006</v>
      </c>
      <c r="P188">
        <v>59.16</v>
      </c>
      <c r="Q188">
        <f>tblMoeHistory[[#This Row],[Amount of IDEA Part B, Section 611 award]]+tblMoeHistory[[#This Row],[Amount of IDEA Part B, Section 619 award]]</f>
        <v>72364.760000000009</v>
      </c>
      <c r="U1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 t="str">
        <f>IF(OR(IFERROR(SEARCH("Met",tblMoeHistory[[#This Row],[State and Local Per Capita Result]]),0)&gt;0,IFERROR(SEARCH("Met",tblMoeHistory[[#This Row],[State and Local Total Result]]),0)&gt;0),"Met","Not Met")</f>
        <v>Met</v>
      </c>
    </row>
    <row r="189" spans="1:22" x14ac:dyDescent="0.35">
      <c r="A189" t="s">
        <v>210</v>
      </c>
      <c r="B189">
        <v>2116</v>
      </c>
      <c r="C189" t="s">
        <v>57</v>
      </c>
      <c r="D189">
        <v>118</v>
      </c>
      <c r="E189">
        <v>623071.53</v>
      </c>
      <c r="F189">
        <v>254909.11</v>
      </c>
      <c r="G189">
        <f>tblMoeHistory[[#This Row],[LEA State and Local Amount]]+tblMoeHistory[[#This Row],[ESD State and Local Amount]]</f>
        <v>877980.64</v>
      </c>
      <c r="H189">
        <v>0</v>
      </c>
      <c r="I189" t="s">
        <v>239</v>
      </c>
      <c r="J189">
        <f>IFERROR(tblMoeHistory[[#This Row],[LEA State and Local Amount]]/tblMoeHistory[[#This Row],[Child Count]],0)</f>
        <v>5280.2672033898307</v>
      </c>
      <c r="K189">
        <f>IFERROR(tblMoeHistory[[#This Row],[ESD State and Local Amount]]/tblMoeHistory[[#This Row],[Child Count]],0)</f>
        <v>2160.246694915254</v>
      </c>
      <c r="L189">
        <f>IFERROR(tblMoeHistory[[#This Row],[State and Local Total Amount]]/tblMoeHistory[[#This Row],[Child Count]],0)</f>
        <v>7440.5138983050847</v>
      </c>
      <c r="M189">
        <v>0</v>
      </c>
      <c r="N189" t="s">
        <v>239</v>
      </c>
      <c r="O189">
        <v>158444.75</v>
      </c>
      <c r="P189">
        <v>1195.96</v>
      </c>
      <c r="Q189">
        <f>tblMoeHistory[[#This Row],[Amount of IDEA Part B, Section 611 award]]+tblMoeHistory[[#This Row],[Amount of IDEA Part B, Section 619 award]]</f>
        <v>159640.71</v>
      </c>
      <c r="U1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 t="str">
        <f>IF(OR(IFERROR(SEARCH("Met",tblMoeHistory[[#This Row],[State and Local Per Capita Result]]),0)&gt;0,IFERROR(SEARCH("Met",tblMoeHistory[[#This Row],[State and Local Total Result]]),0)&gt;0),"Met","Not Met")</f>
        <v>Met</v>
      </c>
    </row>
    <row r="190" spans="1:22" x14ac:dyDescent="0.35">
      <c r="A190" t="s">
        <v>211</v>
      </c>
      <c r="B190">
        <v>1947</v>
      </c>
      <c r="C190" t="s">
        <v>57</v>
      </c>
      <c r="D190">
        <v>104</v>
      </c>
      <c r="E190">
        <v>644657.61</v>
      </c>
      <c r="F190">
        <v>110872</v>
      </c>
      <c r="G190">
        <f>tblMoeHistory[[#This Row],[LEA State and Local Amount]]+tblMoeHistory[[#This Row],[ESD State and Local Amount]]</f>
        <v>755529.61</v>
      </c>
      <c r="H190">
        <v>0</v>
      </c>
      <c r="I190" t="s">
        <v>239</v>
      </c>
      <c r="J190">
        <f>IFERROR(tblMoeHistory[[#This Row],[LEA State and Local Amount]]/tblMoeHistory[[#This Row],[Child Count]],0)</f>
        <v>6198.6308653846154</v>
      </c>
      <c r="K190">
        <f>IFERROR(tblMoeHistory[[#This Row],[ESD State and Local Amount]]/tblMoeHistory[[#This Row],[Child Count]],0)</f>
        <v>1066.0769230769231</v>
      </c>
      <c r="L190">
        <f>IFERROR(tblMoeHistory[[#This Row],[State and Local Total Amount]]/tblMoeHistory[[#This Row],[Child Count]],0)</f>
        <v>7264.7077884615383</v>
      </c>
      <c r="M190">
        <v>0</v>
      </c>
      <c r="N190" t="s">
        <v>239</v>
      </c>
      <c r="O190">
        <v>116597.69</v>
      </c>
      <c r="P190">
        <v>901.65</v>
      </c>
      <c r="Q190">
        <f>tblMoeHistory[[#This Row],[Amount of IDEA Part B, Section 611 award]]+tblMoeHistory[[#This Row],[Amount of IDEA Part B, Section 619 award]]</f>
        <v>117499.34</v>
      </c>
      <c r="U1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 t="str">
        <f>IF(OR(IFERROR(SEARCH("Met",tblMoeHistory[[#This Row],[State and Local Per Capita Result]]),0)&gt;0,IFERROR(SEARCH("Met",tblMoeHistory[[#This Row],[State and Local Total Result]]),0)&gt;0),"Met","Not Met")</f>
        <v>Met</v>
      </c>
    </row>
    <row r="191" spans="1:22" x14ac:dyDescent="0.35">
      <c r="A191" t="s">
        <v>212</v>
      </c>
      <c r="B191">
        <v>2220</v>
      </c>
      <c r="C191" t="s">
        <v>57</v>
      </c>
      <c r="D191">
        <v>37</v>
      </c>
      <c r="E191">
        <v>77334.33</v>
      </c>
      <c r="F191">
        <v>196011.93</v>
      </c>
      <c r="G191">
        <f>tblMoeHistory[[#This Row],[LEA State and Local Amount]]+tblMoeHistory[[#This Row],[ESD State and Local Amount]]</f>
        <v>273346.26</v>
      </c>
      <c r="H191">
        <v>0</v>
      </c>
      <c r="I191" t="s">
        <v>239</v>
      </c>
      <c r="J191">
        <f>IFERROR(tblMoeHistory[[#This Row],[LEA State and Local Amount]]/tblMoeHistory[[#This Row],[Child Count]],0)</f>
        <v>2090.1170270270272</v>
      </c>
      <c r="K191">
        <f>IFERROR(tblMoeHistory[[#This Row],[ESD State and Local Amount]]/tblMoeHistory[[#This Row],[Child Count]],0)</f>
        <v>5297.6197297297294</v>
      </c>
      <c r="L191">
        <f>IFERROR(tblMoeHistory[[#This Row],[State and Local Total Amount]]/tblMoeHistory[[#This Row],[Child Count]],0)</f>
        <v>7387.7367567567571</v>
      </c>
      <c r="M191">
        <v>0</v>
      </c>
      <c r="N191" t="s">
        <v>239</v>
      </c>
      <c r="O191">
        <v>61936.7</v>
      </c>
      <c r="P191">
        <v>394.22</v>
      </c>
      <c r="Q191">
        <f>tblMoeHistory[[#This Row],[Amount of IDEA Part B, Section 611 award]]+tblMoeHistory[[#This Row],[Amount of IDEA Part B, Section 619 award]]</f>
        <v>62330.92</v>
      </c>
      <c r="U1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 t="str">
        <f>IF(OR(IFERROR(SEARCH("Met",tblMoeHistory[[#This Row],[State and Local Per Capita Result]]),0)&gt;0,IFERROR(SEARCH("Met",tblMoeHistory[[#This Row],[State and Local Total Result]]),0)&gt;0),"Met","Not Met")</f>
        <v>Met</v>
      </c>
    </row>
    <row r="192" spans="1:22" x14ac:dyDescent="0.35">
      <c r="A192" t="s">
        <v>213</v>
      </c>
      <c r="B192">
        <v>1936</v>
      </c>
      <c r="C192" t="s">
        <v>57</v>
      </c>
      <c r="D192">
        <v>149</v>
      </c>
      <c r="E192">
        <v>900509.74</v>
      </c>
      <c r="F192">
        <v>274768</v>
      </c>
      <c r="G192">
        <f>tblMoeHistory[[#This Row],[LEA State and Local Amount]]+tblMoeHistory[[#This Row],[ESD State and Local Amount]]</f>
        <v>1175277.74</v>
      </c>
      <c r="H192">
        <v>0</v>
      </c>
      <c r="I192" t="s">
        <v>239</v>
      </c>
      <c r="J192">
        <f>IFERROR(tblMoeHistory[[#This Row],[LEA State and Local Amount]]/tblMoeHistory[[#This Row],[Child Count]],0)</f>
        <v>6043.6895302013418</v>
      </c>
      <c r="K192">
        <f>IFERROR(tblMoeHistory[[#This Row],[ESD State and Local Amount]]/tblMoeHistory[[#This Row],[Child Count]],0)</f>
        <v>1844.0805369127518</v>
      </c>
      <c r="L192">
        <f>IFERROR(tblMoeHistory[[#This Row],[State and Local Total Amount]]/tblMoeHistory[[#This Row],[Child Count]],0)</f>
        <v>7887.7700671140938</v>
      </c>
      <c r="M192">
        <v>0</v>
      </c>
      <c r="N192" t="s">
        <v>239</v>
      </c>
      <c r="O192">
        <v>144154.84</v>
      </c>
      <c r="P192">
        <v>1579.82</v>
      </c>
      <c r="Q192">
        <f>tblMoeHistory[[#This Row],[Amount of IDEA Part B, Section 611 award]]+tblMoeHistory[[#This Row],[Amount of IDEA Part B, Section 619 award]]</f>
        <v>145734.66</v>
      </c>
      <c r="U1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 t="str">
        <f>IF(OR(IFERROR(SEARCH("Met",tblMoeHistory[[#This Row],[State and Local Per Capita Result]]),0)&gt;0,IFERROR(SEARCH("Met",tblMoeHistory[[#This Row],[State and Local Total Result]]),0)&gt;0),"Met","Not Met")</f>
        <v>Met</v>
      </c>
    </row>
    <row r="193" spans="1:22" x14ac:dyDescent="0.35">
      <c r="A193" t="s">
        <v>214</v>
      </c>
      <c r="B193">
        <v>1922</v>
      </c>
      <c r="C193" t="s">
        <v>57</v>
      </c>
      <c r="D193">
        <v>914</v>
      </c>
      <c r="E193">
        <v>6564442.0199999996</v>
      </c>
      <c r="F193">
        <v>264116</v>
      </c>
      <c r="G193">
        <f>tblMoeHistory[[#This Row],[LEA State and Local Amount]]+tblMoeHistory[[#This Row],[ESD State and Local Amount]]</f>
        <v>6828558.0199999996</v>
      </c>
      <c r="H193">
        <v>0</v>
      </c>
      <c r="I193" t="s">
        <v>239</v>
      </c>
      <c r="J193">
        <f>IFERROR(tblMoeHistory[[#This Row],[LEA State and Local Amount]]/tblMoeHistory[[#This Row],[Child Count]],0)</f>
        <v>7182.1028665207868</v>
      </c>
      <c r="K193">
        <f>IFERROR(tblMoeHistory[[#This Row],[ESD State and Local Amount]]/tblMoeHistory[[#This Row],[Child Count]],0)</f>
        <v>288.9671772428884</v>
      </c>
      <c r="L193">
        <f>IFERROR(tblMoeHistory[[#This Row],[State and Local Total Amount]]/tblMoeHistory[[#This Row],[Child Count]],0)</f>
        <v>7471.070043763676</v>
      </c>
      <c r="M193">
        <v>0</v>
      </c>
      <c r="N193" t="s">
        <v>239</v>
      </c>
      <c r="O193">
        <v>1183857.99</v>
      </c>
      <c r="P193">
        <v>5723.98</v>
      </c>
      <c r="Q193">
        <f>tblMoeHistory[[#This Row],[Amount of IDEA Part B, Section 611 award]]+tblMoeHistory[[#This Row],[Amount of IDEA Part B, Section 619 award]]</f>
        <v>1189581.97</v>
      </c>
      <c r="U1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 t="str">
        <f>IF(OR(IFERROR(SEARCH("Met",tblMoeHistory[[#This Row],[State and Local Per Capita Result]]),0)&gt;0,IFERROR(SEARCH("Met",tblMoeHistory[[#This Row],[State and Local Total Result]]),0)&gt;0),"Met","Not Met")</f>
        <v>Met</v>
      </c>
    </row>
    <row r="194" spans="1:22" x14ac:dyDescent="0.35">
      <c r="A194" t="s">
        <v>215</v>
      </c>
      <c r="B194">
        <v>2255</v>
      </c>
      <c r="C194" t="s">
        <v>57</v>
      </c>
      <c r="D194">
        <v>143</v>
      </c>
      <c r="E194">
        <v>883015.52</v>
      </c>
      <c r="F194">
        <v>150269.42000000001</v>
      </c>
      <c r="G194">
        <f>tblMoeHistory[[#This Row],[LEA State and Local Amount]]+tblMoeHistory[[#This Row],[ESD State and Local Amount]]</f>
        <v>1033284.9400000001</v>
      </c>
      <c r="H194">
        <v>0</v>
      </c>
      <c r="I194" t="s">
        <v>239</v>
      </c>
      <c r="J194">
        <f>IFERROR(tblMoeHistory[[#This Row],[LEA State and Local Amount]]/tblMoeHistory[[#This Row],[Child Count]],0)</f>
        <v>6174.9337062937066</v>
      </c>
      <c r="K194">
        <f>IFERROR(tblMoeHistory[[#This Row],[ESD State and Local Amount]]/tblMoeHistory[[#This Row],[Child Count]],0)</f>
        <v>1050.8351048951049</v>
      </c>
      <c r="L194">
        <f>IFERROR(tblMoeHistory[[#This Row],[State and Local Total Amount]]/tblMoeHistory[[#This Row],[Child Count]],0)</f>
        <v>7225.7688111888119</v>
      </c>
      <c r="M194">
        <v>0</v>
      </c>
      <c r="N194" t="s">
        <v>239</v>
      </c>
      <c r="O194">
        <v>201005.65</v>
      </c>
      <c r="P194">
        <v>2958.93</v>
      </c>
      <c r="Q194">
        <f>tblMoeHistory[[#This Row],[Amount of IDEA Part B, Section 611 award]]+tblMoeHistory[[#This Row],[Amount of IDEA Part B, Section 619 award]]</f>
        <v>203964.58</v>
      </c>
      <c r="U1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 t="str">
        <f>IF(OR(IFERROR(SEARCH("Met",tblMoeHistory[[#This Row],[State and Local Per Capita Result]]),0)&gt;0,IFERROR(SEARCH("Met",tblMoeHistory[[#This Row],[State and Local Total Result]]),0)&gt;0),"Met","Not Met")</f>
        <v>Met</v>
      </c>
    </row>
    <row r="195" spans="1:22" x14ac:dyDescent="0.35">
      <c r="A195" t="s">
        <v>216</v>
      </c>
      <c r="B195">
        <v>2002</v>
      </c>
      <c r="C195" t="s">
        <v>57</v>
      </c>
      <c r="D195">
        <v>215</v>
      </c>
      <c r="E195">
        <v>1429996.48</v>
      </c>
      <c r="F195">
        <v>255815.8</v>
      </c>
      <c r="G195">
        <f>tblMoeHistory[[#This Row],[LEA State and Local Amount]]+tblMoeHistory[[#This Row],[ESD State and Local Amount]]</f>
        <v>1685812.28</v>
      </c>
      <c r="H195">
        <v>0</v>
      </c>
      <c r="I195" t="s">
        <v>239</v>
      </c>
      <c r="J195">
        <f>IFERROR(tblMoeHistory[[#This Row],[LEA State and Local Amount]]/tblMoeHistory[[#This Row],[Child Count]],0)</f>
        <v>6651.1464186046514</v>
      </c>
      <c r="K195">
        <f>IFERROR(tblMoeHistory[[#This Row],[ESD State and Local Amount]]/tblMoeHistory[[#This Row],[Child Count]],0)</f>
        <v>1189.8409302325581</v>
      </c>
      <c r="L195">
        <f>IFERROR(tblMoeHistory[[#This Row],[State and Local Total Amount]]/tblMoeHistory[[#This Row],[Child Count]],0)</f>
        <v>7840.9873488372095</v>
      </c>
      <c r="M195">
        <v>0</v>
      </c>
      <c r="N195" t="s">
        <v>239</v>
      </c>
      <c r="O195">
        <v>285160.14</v>
      </c>
      <c r="P195">
        <v>3935.21</v>
      </c>
      <c r="Q195">
        <f>tblMoeHistory[[#This Row],[Amount of IDEA Part B, Section 611 award]]+tblMoeHistory[[#This Row],[Amount of IDEA Part B, Section 619 award]]</f>
        <v>289095.35000000003</v>
      </c>
      <c r="U1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 t="str">
        <f>IF(OR(IFERROR(SEARCH("Met",tblMoeHistory[[#This Row],[State and Local Per Capita Result]]),0)&gt;0,IFERROR(SEARCH("Met",tblMoeHistory[[#This Row],[State and Local Total Result]]),0)&gt;0),"Met","Not Met")</f>
        <v>Met</v>
      </c>
    </row>
    <row r="196" spans="1:22" x14ac:dyDescent="0.35">
      <c r="A196" t="s">
        <v>217</v>
      </c>
      <c r="B196">
        <v>2146</v>
      </c>
      <c r="C196" t="s">
        <v>57</v>
      </c>
      <c r="D196">
        <v>658</v>
      </c>
      <c r="E196">
        <v>4500103.08</v>
      </c>
      <c r="F196">
        <v>440211.12</v>
      </c>
      <c r="G196">
        <f>tblMoeHistory[[#This Row],[LEA State and Local Amount]]+tblMoeHistory[[#This Row],[ESD State and Local Amount]]</f>
        <v>4940314.2</v>
      </c>
      <c r="H196">
        <v>0</v>
      </c>
      <c r="I196" t="s">
        <v>239</v>
      </c>
      <c r="J196">
        <f>IFERROR(tblMoeHistory[[#This Row],[LEA State and Local Amount]]/tblMoeHistory[[#This Row],[Child Count]],0)</f>
        <v>6839.0624316109424</v>
      </c>
      <c r="K196">
        <f>IFERROR(tblMoeHistory[[#This Row],[ESD State and Local Amount]]/tblMoeHistory[[#This Row],[Child Count]],0)</f>
        <v>669.01386018237076</v>
      </c>
      <c r="L196">
        <f>IFERROR(tblMoeHistory[[#This Row],[State and Local Total Amount]]/tblMoeHistory[[#This Row],[Child Count]],0)</f>
        <v>7508.0762917933134</v>
      </c>
      <c r="M196">
        <v>0</v>
      </c>
      <c r="N196" t="s">
        <v>239</v>
      </c>
      <c r="O196">
        <v>771406.87</v>
      </c>
      <c r="P196">
        <v>2715.35</v>
      </c>
      <c r="Q196">
        <f>tblMoeHistory[[#This Row],[Amount of IDEA Part B, Section 611 award]]+tblMoeHistory[[#This Row],[Amount of IDEA Part B, Section 619 award]]</f>
        <v>774122.22</v>
      </c>
      <c r="U1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 t="str">
        <f>IF(OR(IFERROR(SEARCH("Met",tblMoeHistory[[#This Row],[State and Local Per Capita Result]]),0)&gt;0,IFERROR(SEARCH("Met",tblMoeHistory[[#This Row],[State and Local Total Result]]),0)&gt;0),"Met","Not Met")</f>
        <v>Met</v>
      </c>
    </row>
    <row r="197" spans="1:22" x14ac:dyDescent="0.35">
      <c r="A197" t="s">
        <v>218</v>
      </c>
      <c r="B197">
        <v>2251</v>
      </c>
      <c r="C197" t="s">
        <v>57</v>
      </c>
      <c r="D197">
        <v>152</v>
      </c>
      <c r="E197">
        <v>1034474.66</v>
      </c>
      <c r="F197">
        <v>26285.3</v>
      </c>
      <c r="G197">
        <f>tblMoeHistory[[#This Row],[LEA State and Local Amount]]+tblMoeHistory[[#This Row],[ESD State and Local Amount]]</f>
        <v>1060759.96</v>
      </c>
      <c r="H197">
        <v>0</v>
      </c>
      <c r="I197" t="s">
        <v>239</v>
      </c>
      <c r="J197">
        <f>IFERROR(tblMoeHistory[[#This Row],[LEA State and Local Amount]]/tblMoeHistory[[#This Row],[Child Count]],0)</f>
        <v>6805.7543421052633</v>
      </c>
      <c r="K197">
        <f>IFERROR(tblMoeHistory[[#This Row],[ESD State and Local Amount]]/tblMoeHistory[[#This Row],[Child Count]],0)</f>
        <v>172.9296052631579</v>
      </c>
      <c r="L197">
        <f>IFERROR(tblMoeHistory[[#This Row],[State and Local Total Amount]]/tblMoeHistory[[#This Row],[Child Count]],0)</f>
        <v>6978.6839473684204</v>
      </c>
      <c r="M197">
        <v>0</v>
      </c>
      <c r="N197" t="s">
        <v>239</v>
      </c>
      <c r="O197">
        <v>211079.23</v>
      </c>
      <c r="P197">
        <v>1117.45</v>
      </c>
      <c r="Q197">
        <f>tblMoeHistory[[#This Row],[Amount of IDEA Part B, Section 611 award]]+tblMoeHistory[[#This Row],[Amount of IDEA Part B, Section 619 award]]</f>
        <v>212196.68000000002</v>
      </c>
      <c r="U1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 t="str">
        <f>IF(OR(IFERROR(SEARCH("Met",tblMoeHistory[[#This Row],[State and Local Per Capita Result]]),0)&gt;0,IFERROR(SEARCH("Met",tblMoeHistory[[#This Row],[State and Local Total Result]]),0)&gt;0),"Met","Not Met")</f>
        <v>Met</v>
      </c>
    </row>
    <row r="198" spans="1:22" x14ac:dyDescent="0.35">
      <c r="A198" t="s">
        <v>219</v>
      </c>
      <c r="B198">
        <v>1997</v>
      </c>
      <c r="C198" t="s">
        <v>57</v>
      </c>
      <c r="D198">
        <v>51</v>
      </c>
      <c r="E198">
        <v>204228.01</v>
      </c>
      <c r="F198">
        <v>48369.05</v>
      </c>
      <c r="G198">
        <f>tblMoeHistory[[#This Row],[LEA State and Local Amount]]+tblMoeHistory[[#This Row],[ESD State and Local Amount]]</f>
        <v>252597.06</v>
      </c>
      <c r="H198">
        <v>0</v>
      </c>
      <c r="I198" t="s">
        <v>239</v>
      </c>
      <c r="J198">
        <f>IFERROR(tblMoeHistory[[#This Row],[LEA State and Local Amount]]/tblMoeHistory[[#This Row],[Child Count]],0)</f>
        <v>4004.4707843137257</v>
      </c>
      <c r="K198">
        <f>IFERROR(tblMoeHistory[[#This Row],[ESD State and Local Amount]]/tblMoeHistory[[#This Row],[Child Count]],0)</f>
        <v>948.4127450980393</v>
      </c>
      <c r="L198">
        <f>IFERROR(tblMoeHistory[[#This Row],[State and Local Total Amount]]/tblMoeHistory[[#This Row],[Child Count]],0)</f>
        <v>4952.8835294117644</v>
      </c>
      <c r="M198">
        <v>0</v>
      </c>
      <c r="N198" t="s">
        <v>239</v>
      </c>
      <c r="O198">
        <v>63253.52</v>
      </c>
      <c r="P198">
        <v>0</v>
      </c>
      <c r="Q198">
        <f>tblMoeHistory[[#This Row],[Amount of IDEA Part B, Section 611 award]]+tblMoeHistory[[#This Row],[Amount of IDEA Part B, Section 619 award]]</f>
        <v>63253.52</v>
      </c>
      <c r="U1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 t="str">
        <f>IF(OR(IFERROR(SEARCH("Met",tblMoeHistory[[#This Row],[State and Local Per Capita Result]]),0)&gt;0,IFERROR(SEARCH("Met",tblMoeHistory[[#This Row],[State and Local Total Result]]),0)&gt;0),"Met","Not Met")</f>
        <v>Met</v>
      </c>
    </row>
    <row r="199" spans="1:22" x14ac:dyDescent="0.35">
      <c r="A199" t="s">
        <v>14</v>
      </c>
      <c r="B199">
        <v>2063</v>
      </c>
      <c r="C199" t="s">
        <v>159</v>
      </c>
      <c r="D199">
        <v>2</v>
      </c>
      <c r="E199">
        <v>4619</v>
      </c>
      <c r="F199">
        <v>11220.08</v>
      </c>
      <c r="G199">
        <f>tblMoeHistory[[#This Row],[LEA State and Local Amount]]+tblMoeHistory[[#This Row],[ESD State and Local Amount]]</f>
        <v>15839.08</v>
      </c>
      <c r="H199">
        <v>0</v>
      </c>
      <c r="I199" t="s">
        <v>240</v>
      </c>
      <c r="J199">
        <f>IFERROR(tblMoeHistory[[#This Row],[LEA State and Local Amount]]/tblMoeHistory[[#This Row],[Child Count]],0)</f>
        <v>2309.5</v>
      </c>
      <c r="K199">
        <f>IFERROR(tblMoeHistory[[#This Row],[ESD State and Local Amount]]/tblMoeHistory[[#This Row],[Child Count]],0)</f>
        <v>5610.04</v>
      </c>
      <c r="L199">
        <f>IFERROR(tblMoeHistory[[#This Row],[State and Local Total Amount]]/tblMoeHistory[[#This Row],[Child Count]],0)</f>
        <v>7919.54</v>
      </c>
      <c r="M199">
        <v>0</v>
      </c>
      <c r="N199" t="s">
        <v>240</v>
      </c>
      <c r="O199">
        <v>2217.4299999999998</v>
      </c>
      <c r="P199">
        <v>0</v>
      </c>
      <c r="Q199">
        <f>tblMoeHistory[[#This Row],[Amount of IDEA Part B, Section 611 award]]+tblMoeHistory[[#This Row],[Amount of IDEA Part B, Section 619 award]]</f>
        <v>2217.4299999999998</v>
      </c>
      <c r="U1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 t="str">
        <f>IF(OR(IFERROR(SEARCH("Met",tblMoeHistory[[#This Row],[State and Local Per Capita Result]]),0)&gt;0,IFERROR(SEARCH("Met",tblMoeHistory[[#This Row],[State and Local Total Result]]),0)&gt;0),"Met","Not Met")</f>
        <v>Not Met</v>
      </c>
    </row>
    <row r="200" spans="1:22" x14ac:dyDescent="0.35">
      <c r="A200" t="s">
        <v>17</v>
      </c>
      <c r="B200">
        <v>2113</v>
      </c>
      <c r="C200" t="s">
        <v>159</v>
      </c>
      <c r="D200">
        <v>34</v>
      </c>
      <c r="E200">
        <v>175617.64</v>
      </c>
      <c r="F200">
        <v>72276.070000000007</v>
      </c>
      <c r="G200">
        <f>tblMoeHistory[[#This Row],[LEA State and Local Amount]]+tblMoeHistory[[#This Row],[ESD State and Local Amount]]</f>
        <v>247893.71000000002</v>
      </c>
      <c r="H200">
        <v>0</v>
      </c>
      <c r="I200" t="s">
        <v>241</v>
      </c>
      <c r="J200">
        <f>IFERROR(tblMoeHistory[[#This Row],[LEA State and Local Amount]]/tblMoeHistory[[#This Row],[Child Count]],0)</f>
        <v>5165.2247058823532</v>
      </c>
      <c r="K200">
        <f>IFERROR(tblMoeHistory[[#This Row],[ESD State and Local Amount]]/tblMoeHistory[[#This Row],[Child Count]],0)</f>
        <v>2125.7667647058825</v>
      </c>
      <c r="L200">
        <f>IFERROR(tblMoeHistory[[#This Row],[State and Local Total Amount]]/tblMoeHistory[[#This Row],[Child Count]],0)</f>
        <v>7290.9914705882356</v>
      </c>
      <c r="M200">
        <v>0</v>
      </c>
      <c r="N200" t="s">
        <v>241</v>
      </c>
      <c r="O200">
        <v>44335.22</v>
      </c>
      <c r="P200">
        <v>12.95</v>
      </c>
      <c r="Q200">
        <f>tblMoeHistory[[#This Row],[Amount of IDEA Part B, Section 611 award]]+tblMoeHistory[[#This Row],[Amount of IDEA Part B, Section 619 award]]</f>
        <v>44348.17</v>
      </c>
      <c r="U2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 t="str">
        <f>IF(OR(IFERROR(SEARCH("Met",tblMoeHistory[[#This Row],[State and Local Per Capita Result]]),0)&gt;0,IFERROR(SEARCH("Met",tblMoeHistory[[#This Row],[State and Local Total Result]]),0)&gt;0),"Met","Not Met")</f>
        <v>Met</v>
      </c>
    </row>
    <row r="201" spans="1:22" x14ac:dyDescent="0.35">
      <c r="A201" t="s">
        <v>20</v>
      </c>
      <c r="B201">
        <v>1899</v>
      </c>
      <c r="C201" t="s">
        <v>159</v>
      </c>
      <c r="D201">
        <v>16</v>
      </c>
      <c r="E201">
        <v>124710</v>
      </c>
      <c r="F201">
        <v>12166</v>
      </c>
      <c r="G201">
        <f>tblMoeHistory[[#This Row],[LEA State and Local Amount]]+tblMoeHistory[[#This Row],[ESD State and Local Amount]]</f>
        <v>136876</v>
      </c>
      <c r="H201">
        <v>0</v>
      </c>
      <c r="I201" t="s">
        <v>241</v>
      </c>
      <c r="J201">
        <f>IFERROR(tblMoeHistory[[#This Row],[LEA State and Local Amount]]/tblMoeHistory[[#This Row],[Child Count]],0)</f>
        <v>7794.375</v>
      </c>
      <c r="K201">
        <f>IFERROR(tblMoeHistory[[#This Row],[ESD State and Local Amount]]/tblMoeHistory[[#This Row],[Child Count]],0)</f>
        <v>760.375</v>
      </c>
      <c r="L201">
        <f>IFERROR(tblMoeHistory[[#This Row],[State and Local Total Amount]]/tblMoeHistory[[#This Row],[Child Count]],0)</f>
        <v>8554.75</v>
      </c>
      <c r="M201">
        <v>0</v>
      </c>
      <c r="N201" t="s">
        <v>241</v>
      </c>
      <c r="O201">
        <v>29673.119999999999</v>
      </c>
      <c r="P201">
        <v>0</v>
      </c>
      <c r="Q201">
        <f>tblMoeHistory[[#This Row],[Amount of IDEA Part B, Section 611 award]]+tblMoeHistory[[#This Row],[Amount of IDEA Part B, Section 619 award]]</f>
        <v>29673.119999999999</v>
      </c>
      <c r="U2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 t="str">
        <f>IF(OR(IFERROR(SEARCH("Met",tblMoeHistory[[#This Row],[State and Local Per Capita Result]]),0)&gt;0,IFERROR(SEARCH("Met",tblMoeHistory[[#This Row],[State and Local Total Result]]),0)&gt;0),"Met","Not Met")</f>
        <v>Met</v>
      </c>
    </row>
    <row r="202" spans="1:22" x14ac:dyDescent="0.35">
      <c r="A202" t="s">
        <v>21</v>
      </c>
      <c r="B202">
        <v>2252</v>
      </c>
      <c r="C202" t="s">
        <v>159</v>
      </c>
      <c r="D202">
        <v>105</v>
      </c>
      <c r="E202">
        <v>661027.79</v>
      </c>
      <c r="F202">
        <v>127811.04</v>
      </c>
      <c r="G202">
        <f>tblMoeHistory[[#This Row],[LEA State and Local Amount]]+tblMoeHistory[[#This Row],[ESD State and Local Amount]]</f>
        <v>788838.83000000007</v>
      </c>
      <c r="H202">
        <v>0</v>
      </c>
      <c r="I202" t="s">
        <v>242</v>
      </c>
      <c r="J202">
        <f>IFERROR(tblMoeHistory[[#This Row],[LEA State and Local Amount]]/tblMoeHistory[[#This Row],[Child Count]],0)</f>
        <v>6295.5027619047623</v>
      </c>
      <c r="K202">
        <f>IFERROR(tblMoeHistory[[#This Row],[ESD State and Local Amount]]/tblMoeHistory[[#This Row],[Child Count]],0)</f>
        <v>1217.248</v>
      </c>
      <c r="L202">
        <f>IFERROR(tblMoeHistory[[#This Row],[State and Local Total Amount]]/tblMoeHistory[[#This Row],[Child Count]],0)</f>
        <v>7512.7507619047628</v>
      </c>
      <c r="M202">
        <v>0</v>
      </c>
      <c r="N202" t="s">
        <v>241</v>
      </c>
      <c r="O202">
        <v>154213.60999999999</v>
      </c>
      <c r="P202">
        <v>3490.83</v>
      </c>
      <c r="Q202">
        <f>tblMoeHistory[[#This Row],[Amount of IDEA Part B, Section 611 award]]+tblMoeHistory[[#This Row],[Amount of IDEA Part B, Section 619 award]]</f>
        <v>157704.43999999997</v>
      </c>
      <c r="S202">
        <v>14756.37</v>
      </c>
      <c r="T202">
        <v>14756.37</v>
      </c>
      <c r="U2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 t="str">
        <f>IF(OR(IFERROR(SEARCH("Met",tblMoeHistory[[#This Row],[State and Local Per Capita Result]]),0)&gt;0,IFERROR(SEARCH("Met",tblMoeHistory[[#This Row],[State and Local Total Result]]),0)&gt;0),"Met","Not Met")</f>
        <v>Met</v>
      </c>
    </row>
    <row r="203" spans="1:22" x14ac:dyDescent="0.35">
      <c r="A203" t="s">
        <v>23</v>
      </c>
      <c r="B203">
        <v>2111</v>
      </c>
      <c r="C203" t="s">
        <v>159</v>
      </c>
      <c r="D203">
        <v>7</v>
      </c>
      <c r="E203">
        <v>0</v>
      </c>
      <c r="F203">
        <v>20613.650000000001</v>
      </c>
      <c r="G203">
        <f>tblMoeHistory[[#This Row],[LEA State and Local Amount]]+tblMoeHistory[[#This Row],[ESD State and Local Amount]]</f>
        <v>20613.650000000001</v>
      </c>
      <c r="H203">
        <v>0</v>
      </c>
      <c r="I203" t="s">
        <v>241</v>
      </c>
      <c r="J203">
        <f>IFERROR(tblMoeHistory[[#This Row],[LEA State and Local Amount]]/tblMoeHistory[[#This Row],[Child Count]],0)</f>
        <v>0</v>
      </c>
      <c r="K203">
        <f>IFERROR(tblMoeHistory[[#This Row],[ESD State and Local Amount]]/tblMoeHistory[[#This Row],[Child Count]],0)</f>
        <v>2944.8071428571429</v>
      </c>
      <c r="L203">
        <f>IFERROR(tblMoeHistory[[#This Row],[State and Local Total Amount]]/tblMoeHistory[[#This Row],[Child Count]],0)</f>
        <v>2944.8071428571429</v>
      </c>
      <c r="M203">
        <v>0</v>
      </c>
      <c r="N203" t="s">
        <v>240</v>
      </c>
      <c r="O203">
        <v>18240.63</v>
      </c>
      <c r="P203">
        <v>7.41</v>
      </c>
      <c r="Q203">
        <f>tblMoeHistory[[#This Row],[Amount of IDEA Part B, Section 611 award]]+tblMoeHistory[[#This Row],[Amount of IDEA Part B, Section 619 award]]</f>
        <v>18248.04</v>
      </c>
      <c r="U2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 t="str">
        <f>IF(OR(IFERROR(SEARCH("Met",tblMoeHistory[[#This Row],[State and Local Per Capita Result]]),0)&gt;0,IFERROR(SEARCH("Met",tblMoeHistory[[#This Row],[State and Local Total Result]]),0)&gt;0),"Met","Not Met")</f>
        <v>Met</v>
      </c>
    </row>
    <row r="204" spans="1:22" x14ac:dyDescent="0.35">
      <c r="A204" t="s">
        <v>24</v>
      </c>
      <c r="B204">
        <v>2005</v>
      </c>
      <c r="C204" t="s">
        <v>159</v>
      </c>
      <c r="D204">
        <v>16</v>
      </c>
      <c r="E204">
        <v>80169.259999999995</v>
      </c>
      <c r="F204">
        <v>40969</v>
      </c>
      <c r="G204">
        <f>tblMoeHistory[[#This Row],[LEA State and Local Amount]]+tblMoeHistory[[#This Row],[ESD State and Local Amount]]</f>
        <v>121138.26</v>
      </c>
      <c r="H204">
        <v>0</v>
      </c>
      <c r="I204" t="s">
        <v>241</v>
      </c>
      <c r="J204">
        <f>IFERROR(tblMoeHistory[[#This Row],[LEA State and Local Amount]]/tblMoeHistory[[#This Row],[Child Count]],0)</f>
        <v>5010.5787499999997</v>
      </c>
      <c r="K204">
        <f>IFERROR(tblMoeHistory[[#This Row],[ESD State and Local Amount]]/tblMoeHistory[[#This Row],[Child Count]],0)</f>
        <v>2560.5625</v>
      </c>
      <c r="L204">
        <f>IFERROR(tblMoeHistory[[#This Row],[State and Local Total Amount]]/tblMoeHistory[[#This Row],[Child Count]],0)</f>
        <v>7571.1412499999997</v>
      </c>
      <c r="M204">
        <v>0</v>
      </c>
      <c r="N204" t="s">
        <v>240</v>
      </c>
      <c r="O204">
        <v>21051.73</v>
      </c>
      <c r="P204">
        <v>8.99</v>
      </c>
      <c r="Q204">
        <f>tblMoeHistory[[#This Row],[Amount of IDEA Part B, Section 611 award]]+tblMoeHistory[[#This Row],[Amount of IDEA Part B, Section 619 award]]</f>
        <v>21060.720000000001</v>
      </c>
      <c r="U2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 t="str">
        <f>IF(OR(IFERROR(SEARCH("Met",tblMoeHistory[[#This Row],[State and Local Per Capita Result]]),0)&gt;0,IFERROR(SEARCH("Met",tblMoeHistory[[#This Row],[State and Local Total Result]]),0)&gt;0),"Met","Not Met")</f>
        <v>Met</v>
      </c>
    </row>
    <row r="205" spans="1:22" x14ac:dyDescent="0.35">
      <c r="A205" t="s">
        <v>25</v>
      </c>
      <c r="B205">
        <v>2115</v>
      </c>
      <c r="C205" t="s">
        <v>159</v>
      </c>
      <c r="D205">
        <v>0</v>
      </c>
      <c r="E205">
        <v>0</v>
      </c>
      <c r="F205">
        <v>1158.93</v>
      </c>
      <c r="G205">
        <f>tblMoeHistory[[#This Row],[LEA State and Local Amount]]+tblMoeHistory[[#This Row],[ESD State and Local Amount]]</f>
        <v>1158.93</v>
      </c>
      <c r="H205">
        <v>0</v>
      </c>
      <c r="I205" t="s">
        <v>240</v>
      </c>
      <c r="J205">
        <f>IFERROR(tblMoeHistory[[#This Row],[LEA State and Local Amount]]/tblMoeHistory[[#This Row],[Child Count]],0)</f>
        <v>0</v>
      </c>
      <c r="K205">
        <f>IFERROR(tblMoeHistory[[#This Row],[ESD State and Local Amount]]/tblMoeHistory[[#This Row],[Child Count]],0)</f>
        <v>0</v>
      </c>
      <c r="L205">
        <f>IFERROR(tblMoeHistory[[#This Row],[State and Local Total Amount]]/tblMoeHistory[[#This Row],[Child Count]],0)</f>
        <v>0</v>
      </c>
      <c r="M205">
        <v>0</v>
      </c>
      <c r="N205" t="s">
        <v>241</v>
      </c>
      <c r="O205">
        <v>3056.84</v>
      </c>
      <c r="P205">
        <v>1.18</v>
      </c>
      <c r="Q205">
        <f>tblMoeHistory[[#This Row],[Amount of IDEA Part B, Section 611 award]]+tblMoeHistory[[#This Row],[Amount of IDEA Part B, Section 619 award]]</f>
        <v>3058.02</v>
      </c>
      <c r="U2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 t="str">
        <f>IF(OR(IFERROR(SEARCH("Met",tblMoeHistory[[#This Row],[State and Local Per Capita Result]]),0)&gt;0,IFERROR(SEARCH("Met",tblMoeHistory[[#This Row],[State and Local Total Result]]),0)&gt;0),"Met","Not Met")</f>
        <v>Met</v>
      </c>
    </row>
    <row r="206" spans="1:22" x14ac:dyDescent="0.35">
      <c r="A206" t="s">
        <v>26</v>
      </c>
      <c r="B206">
        <v>2041</v>
      </c>
      <c r="C206" t="s">
        <v>159</v>
      </c>
      <c r="D206">
        <v>310</v>
      </c>
      <c r="E206">
        <v>1852965.65</v>
      </c>
      <c r="F206">
        <v>456335.2</v>
      </c>
      <c r="G206">
        <f>tblMoeHistory[[#This Row],[LEA State and Local Amount]]+tblMoeHistory[[#This Row],[ESD State and Local Amount]]</f>
        <v>2309300.85</v>
      </c>
      <c r="H206">
        <v>0</v>
      </c>
      <c r="I206" t="s">
        <v>242</v>
      </c>
      <c r="J206">
        <f>IFERROR(tblMoeHistory[[#This Row],[LEA State and Local Amount]]/tblMoeHistory[[#This Row],[Child Count]],0)</f>
        <v>5977.3085483870964</v>
      </c>
      <c r="K206">
        <f>IFERROR(tblMoeHistory[[#This Row],[ESD State and Local Amount]]/tblMoeHistory[[#This Row],[Child Count]],0)</f>
        <v>1472.0490322580645</v>
      </c>
      <c r="L206">
        <f>IFERROR(tblMoeHistory[[#This Row],[State and Local Total Amount]]/tblMoeHistory[[#This Row],[Child Count]],0)</f>
        <v>7449.3575806451618</v>
      </c>
      <c r="M206">
        <v>0</v>
      </c>
      <c r="N206" t="s">
        <v>241</v>
      </c>
      <c r="O206">
        <v>436475.1</v>
      </c>
      <c r="P206">
        <v>5472.15</v>
      </c>
      <c r="Q206">
        <f>tblMoeHistory[[#This Row],[Amount of IDEA Part B, Section 611 award]]+tblMoeHistory[[#This Row],[Amount of IDEA Part B, Section 619 award]]</f>
        <v>441947.25</v>
      </c>
      <c r="S206">
        <v>79280.02</v>
      </c>
      <c r="T206">
        <v>79280.02</v>
      </c>
      <c r="U2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 t="str">
        <f>IF(OR(IFERROR(SEARCH("Met",tblMoeHistory[[#This Row],[State and Local Per Capita Result]]),0)&gt;0,IFERROR(SEARCH("Met",tblMoeHistory[[#This Row],[State and Local Total Result]]),0)&gt;0),"Met","Not Met")</f>
        <v>Met</v>
      </c>
    </row>
    <row r="207" spans="1:22" x14ac:dyDescent="0.35">
      <c r="A207" t="s">
        <v>27</v>
      </c>
      <c r="B207">
        <v>2051</v>
      </c>
      <c r="C207" t="s">
        <v>159</v>
      </c>
      <c r="D207">
        <v>0</v>
      </c>
      <c r="E207">
        <v>0</v>
      </c>
      <c r="F207">
        <v>3830.38</v>
      </c>
      <c r="G207">
        <f>tblMoeHistory[[#This Row],[LEA State and Local Amount]]+tblMoeHistory[[#This Row],[ESD State and Local Amount]]</f>
        <v>3830.38</v>
      </c>
      <c r="H207">
        <v>0</v>
      </c>
      <c r="I207" t="s">
        <v>239</v>
      </c>
      <c r="J207">
        <f>IFERROR(tblMoeHistory[[#This Row],[LEA State and Local Amount]]/tblMoeHistory[[#This Row],[Child Count]],0)</f>
        <v>0</v>
      </c>
      <c r="K207">
        <f>IFERROR(tblMoeHistory[[#This Row],[ESD State and Local Amount]]/tblMoeHistory[[#This Row],[Child Count]],0)</f>
        <v>0</v>
      </c>
      <c r="L207">
        <f>IFERROR(tblMoeHistory[[#This Row],[State and Local Total Amount]]/tblMoeHistory[[#This Row],[Child Count]],0)</f>
        <v>0</v>
      </c>
      <c r="M207">
        <v>0</v>
      </c>
      <c r="N207" t="s">
        <v>239</v>
      </c>
      <c r="O207">
        <v>1501.76</v>
      </c>
      <c r="P207">
        <v>1.18</v>
      </c>
      <c r="Q207">
        <f>tblMoeHistory[[#This Row],[Amount of IDEA Part B, Section 611 award]]+tblMoeHistory[[#This Row],[Amount of IDEA Part B, Section 619 award]]</f>
        <v>1502.94</v>
      </c>
      <c r="U2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 t="str">
        <f>IF(OR(IFERROR(SEARCH("Met",tblMoeHistory[[#This Row],[State and Local Per Capita Result]]),0)&gt;0,IFERROR(SEARCH("Met",tblMoeHistory[[#This Row],[State and Local Total Result]]),0)&gt;0),"Met","Not Met")</f>
        <v>Met</v>
      </c>
    </row>
    <row r="208" spans="1:22" x14ac:dyDescent="0.35">
      <c r="A208" t="s">
        <v>28</v>
      </c>
      <c r="B208">
        <v>1933</v>
      </c>
      <c r="C208" t="s">
        <v>159</v>
      </c>
      <c r="D208">
        <v>256</v>
      </c>
      <c r="E208">
        <v>1868404.94</v>
      </c>
      <c r="F208">
        <v>370537</v>
      </c>
      <c r="G208">
        <f>tblMoeHistory[[#This Row],[LEA State and Local Amount]]+tblMoeHistory[[#This Row],[ESD State and Local Amount]]</f>
        <v>2238941.94</v>
      </c>
      <c r="H208">
        <v>0</v>
      </c>
      <c r="I208" t="s">
        <v>241</v>
      </c>
      <c r="J208">
        <f>IFERROR(tblMoeHistory[[#This Row],[LEA State and Local Amount]]/tblMoeHistory[[#This Row],[Child Count]],0)</f>
        <v>7298.4567968749998</v>
      </c>
      <c r="K208">
        <f>IFERROR(tblMoeHistory[[#This Row],[ESD State and Local Amount]]/tblMoeHistory[[#This Row],[Child Count]],0)</f>
        <v>1447.41015625</v>
      </c>
      <c r="L208">
        <f>IFERROR(tblMoeHistory[[#This Row],[State and Local Total Amount]]/tblMoeHistory[[#This Row],[Child Count]],0)</f>
        <v>8745.8669531249998</v>
      </c>
      <c r="M208">
        <v>0</v>
      </c>
      <c r="N208" t="s">
        <v>241</v>
      </c>
      <c r="O208">
        <v>256314.64</v>
      </c>
      <c r="P208">
        <v>1195.8599999999999</v>
      </c>
      <c r="Q208">
        <f>tblMoeHistory[[#This Row],[Amount of IDEA Part B, Section 611 award]]+tblMoeHistory[[#This Row],[Amount of IDEA Part B, Section 619 award]]</f>
        <v>257510.5</v>
      </c>
      <c r="U2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 t="str">
        <f>IF(OR(IFERROR(SEARCH("Met",tblMoeHistory[[#This Row],[State and Local Per Capita Result]]),0)&gt;0,IFERROR(SEARCH("Met",tblMoeHistory[[#This Row],[State and Local Total Result]]),0)&gt;0),"Met","Not Met")</f>
        <v>Met</v>
      </c>
    </row>
    <row r="209" spans="1:22" x14ac:dyDescent="0.35">
      <c r="A209" t="s">
        <v>29</v>
      </c>
      <c r="B209">
        <v>2208</v>
      </c>
      <c r="C209" t="s">
        <v>159</v>
      </c>
      <c r="D209">
        <v>79</v>
      </c>
      <c r="E209">
        <v>309221.53999999998</v>
      </c>
      <c r="F209">
        <v>132692.01</v>
      </c>
      <c r="G209">
        <f>tblMoeHistory[[#This Row],[LEA State and Local Amount]]+tblMoeHistory[[#This Row],[ESD State and Local Amount]]</f>
        <v>441913.55</v>
      </c>
      <c r="H209">
        <v>0</v>
      </c>
      <c r="I209" t="s">
        <v>240</v>
      </c>
      <c r="J209">
        <f>IFERROR(tblMoeHistory[[#This Row],[LEA State and Local Amount]]/tblMoeHistory[[#This Row],[Child Count]],0)</f>
        <v>3914.1967088607594</v>
      </c>
      <c r="K209">
        <f>IFERROR(tblMoeHistory[[#This Row],[ESD State and Local Amount]]/tblMoeHistory[[#This Row],[Child Count]],0)</f>
        <v>1679.6456962025318</v>
      </c>
      <c r="L209">
        <f>IFERROR(tblMoeHistory[[#This Row],[State and Local Total Amount]]/tblMoeHistory[[#This Row],[Child Count]],0)</f>
        <v>5593.8424050632912</v>
      </c>
      <c r="M209">
        <v>0</v>
      </c>
      <c r="N209" t="s">
        <v>240</v>
      </c>
      <c r="O209">
        <v>95650.69</v>
      </c>
      <c r="P209">
        <v>2727.55</v>
      </c>
      <c r="Q209">
        <f>tblMoeHistory[[#This Row],[Amount of IDEA Part B, Section 611 award]]+tblMoeHistory[[#This Row],[Amount of IDEA Part B, Section 619 award]]</f>
        <v>98378.240000000005</v>
      </c>
      <c r="U2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 t="str">
        <f>IF(OR(IFERROR(SEARCH("Met",tblMoeHistory[[#This Row],[State and Local Per Capita Result]]),0)&gt;0,IFERROR(SEARCH("Met",tblMoeHistory[[#This Row],[State and Local Total Result]]),0)&gt;0),"Met","Not Met")</f>
        <v>Not Met</v>
      </c>
    </row>
    <row r="210" spans="1:22" x14ac:dyDescent="0.35">
      <c r="A210" t="s">
        <v>30</v>
      </c>
      <c r="B210">
        <v>1894</v>
      </c>
      <c r="C210" t="s">
        <v>159</v>
      </c>
      <c r="D210">
        <v>295</v>
      </c>
      <c r="E210">
        <v>2090991.28</v>
      </c>
      <c r="F210">
        <v>0</v>
      </c>
      <c r="G210">
        <f>tblMoeHistory[[#This Row],[LEA State and Local Amount]]+tblMoeHistory[[#This Row],[ESD State and Local Amount]]</f>
        <v>2090991.28</v>
      </c>
      <c r="H210">
        <v>0</v>
      </c>
      <c r="I210" t="s">
        <v>241</v>
      </c>
      <c r="J210">
        <f>IFERROR(tblMoeHistory[[#This Row],[LEA State and Local Amount]]/tblMoeHistory[[#This Row],[Child Count]],0)</f>
        <v>7088.1060338983052</v>
      </c>
      <c r="K210">
        <f>IFERROR(tblMoeHistory[[#This Row],[ESD State and Local Amount]]/tblMoeHistory[[#This Row],[Child Count]],0)</f>
        <v>0</v>
      </c>
      <c r="L210">
        <f>IFERROR(tblMoeHistory[[#This Row],[State and Local Total Amount]]/tblMoeHistory[[#This Row],[Child Count]],0)</f>
        <v>7088.1060338983052</v>
      </c>
      <c r="M210">
        <v>0</v>
      </c>
      <c r="N210" t="s">
        <v>240</v>
      </c>
      <c r="O210">
        <v>393258.81</v>
      </c>
      <c r="P210">
        <v>4917.3900000000003</v>
      </c>
      <c r="Q210">
        <f>tblMoeHistory[[#This Row],[Amount of IDEA Part B, Section 611 award]]+tblMoeHistory[[#This Row],[Amount of IDEA Part B, Section 619 award]]</f>
        <v>398176.2</v>
      </c>
      <c r="U2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 t="str">
        <f>IF(OR(IFERROR(SEARCH("Met",tblMoeHistory[[#This Row],[State and Local Per Capita Result]]),0)&gt;0,IFERROR(SEARCH("Met",tblMoeHistory[[#This Row],[State and Local Total Result]]),0)&gt;0),"Met","Not Met")</f>
        <v>Met</v>
      </c>
    </row>
    <row r="211" spans="1:22" x14ac:dyDescent="0.35">
      <c r="A211" t="s">
        <v>32</v>
      </c>
      <c r="B211">
        <v>1969</v>
      </c>
      <c r="C211" t="s">
        <v>159</v>
      </c>
      <c r="D211">
        <v>90</v>
      </c>
      <c r="E211">
        <v>706359.57</v>
      </c>
      <c r="F211">
        <v>333946.71000000002</v>
      </c>
      <c r="G211">
        <f>tblMoeHistory[[#This Row],[LEA State and Local Amount]]+tblMoeHistory[[#This Row],[ESD State and Local Amount]]</f>
        <v>1040306.28</v>
      </c>
      <c r="H211">
        <v>0</v>
      </c>
      <c r="I211" t="s">
        <v>242</v>
      </c>
      <c r="J211">
        <f>IFERROR(tblMoeHistory[[#This Row],[LEA State and Local Amount]]/tblMoeHistory[[#This Row],[Child Count]],0)</f>
        <v>7848.4396666666662</v>
      </c>
      <c r="K211">
        <f>IFERROR(tblMoeHistory[[#This Row],[ESD State and Local Amount]]/tblMoeHistory[[#This Row],[Child Count]],0)</f>
        <v>3710.5190000000002</v>
      </c>
      <c r="L211">
        <f>IFERROR(tblMoeHistory[[#This Row],[State and Local Total Amount]]/tblMoeHistory[[#This Row],[Child Count]],0)</f>
        <v>11558.958666666667</v>
      </c>
      <c r="M211">
        <v>0</v>
      </c>
      <c r="N211" t="s">
        <v>241</v>
      </c>
      <c r="O211">
        <v>139182.5</v>
      </c>
      <c r="P211">
        <v>1694.05</v>
      </c>
      <c r="Q211">
        <f>tblMoeHistory[[#This Row],[Amount of IDEA Part B, Section 611 award]]+tblMoeHistory[[#This Row],[Amount of IDEA Part B, Section 619 award]]</f>
        <v>140876.54999999999</v>
      </c>
      <c r="S211">
        <v>91552.09</v>
      </c>
      <c r="T211">
        <v>91552.09</v>
      </c>
      <c r="U2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 t="str">
        <f>IF(OR(IFERROR(SEARCH("Met",tblMoeHistory[[#This Row],[State and Local Per Capita Result]]),0)&gt;0,IFERROR(SEARCH("Met",tblMoeHistory[[#This Row],[State and Local Total Result]]),0)&gt;0),"Met","Not Met")</f>
        <v>Met</v>
      </c>
    </row>
    <row r="212" spans="1:22" x14ac:dyDescent="0.35">
      <c r="A212" t="s">
        <v>33</v>
      </c>
      <c r="B212">
        <v>2240</v>
      </c>
      <c r="C212" t="s">
        <v>159</v>
      </c>
      <c r="D212">
        <v>150</v>
      </c>
      <c r="E212">
        <v>1178294.2</v>
      </c>
      <c r="F212">
        <v>265851</v>
      </c>
      <c r="G212">
        <f>tblMoeHistory[[#This Row],[LEA State and Local Amount]]+tblMoeHistory[[#This Row],[ESD State and Local Amount]]</f>
        <v>1444145.2</v>
      </c>
      <c r="H212">
        <v>0</v>
      </c>
      <c r="I212" t="s">
        <v>242</v>
      </c>
      <c r="J212">
        <f>IFERROR(tblMoeHistory[[#This Row],[LEA State and Local Amount]]/tblMoeHistory[[#This Row],[Child Count]],0)</f>
        <v>7855.2946666666667</v>
      </c>
      <c r="K212">
        <f>IFERROR(tblMoeHistory[[#This Row],[ESD State and Local Amount]]/tblMoeHistory[[#This Row],[Child Count]],0)</f>
        <v>1772.34</v>
      </c>
      <c r="L212">
        <f>IFERROR(tblMoeHistory[[#This Row],[State and Local Total Amount]]/tblMoeHistory[[#This Row],[Child Count]],0)</f>
        <v>9627.6346666666668</v>
      </c>
      <c r="M212">
        <v>0</v>
      </c>
      <c r="N212" t="s">
        <v>240</v>
      </c>
      <c r="O212">
        <v>180949.07</v>
      </c>
      <c r="P212">
        <v>790.67</v>
      </c>
      <c r="Q212">
        <f>tblMoeHistory[[#This Row],[Amount of IDEA Part B, Section 611 award]]+tblMoeHistory[[#This Row],[Amount of IDEA Part B, Section 619 award]]</f>
        <v>181739.74000000002</v>
      </c>
      <c r="S212">
        <v>100711.8</v>
      </c>
      <c r="U2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 t="str">
        <f>IF(OR(IFERROR(SEARCH("Met",tblMoeHistory[[#This Row],[State and Local Per Capita Result]]),0)&gt;0,IFERROR(SEARCH("Met",tblMoeHistory[[#This Row],[State and Local Total Result]]),0)&gt;0),"Met","Not Met")</f>
        <v>Met</v>
      </c>
    </row>
    <row r="213" spans="1:22" x14ac:dyDescent="0.35">
      <c r="A213" t="s">
        <v>34</v>
      </c>
      <c r="B213">
        <v>2243</v>
      </c>
      <c r="C213" t="s">
        <v>159</v>
      </c>
      <c r="D213">
        <v>4891</v>
      </c>
      <c r="E213">
        <v>43001948.68</v>
      </c>
      <c r="F213">
        <v>3932638</v>
      </c>
      <c r="G213">
        <f>tblMoeHistory[[#This Row],[LEA State and Local Amount]]+tblMoeHistory[[#This Row],[ESD State and Local Amount]]</f>
        <v>46934586.68</v>
      </c>
      <c r="H213">
        <v>0</v>
      </c>
      <c r="I213" t="s">
        <v>241</v>
      </c>
      <c r="J213">
        <f>IFERROR(tblMoeHistory[[#This Row],[LEA State and Local Amount]]/tblMoeHistory[[#This Row],[Child Count]],0)</f>
        <v>8792.0565692087512</v>
      </c>
      <c r="K213">
        <f>IFERROR(tblMoeHistory[[#This Row],[ESD State and Local Amount]]/tblMoeHistory[[#This Row],[Child Count]],0)</f>
        <v>804.05602126354529</v>
      </c>
      <c r="L213">
        <f>IFERROR(tblMoeHistory[[#This Row],[State and Local Total Amount]]/tblMoeHistory[[#This Row],[Child Count]],0)</f>
        <v>9596.1125904722958</v>
      </c>
      <c r="M213">
        <v>0</v>
      </c>
      <c r="N213" t="s">
        <v>241</v>
      </c>
      <c r="O213">
        <v>6634650.4000000004</v>
      </c>
      <c r="P213">
        <v>27246.13</v>
      </c>
      <c r="Q213">
        <f>tblMoeHistory[[#This Row],[Amount of IDEA Part B, Section 611 award]]+tblMoeHistory[[#This Row],[Amount of IDEA Part B, Section 619 award]]</f>
        <v>6661896.5300000003</v>
      </c>
      <c r="U2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 t="str">
        <f>IF(OR(IFERROR(SEARCH("Met",tblMoeHistory[[#This Row],[State and Local Per Capita Result]]),0)&gt;0,IFERROR(SEARCH("Met",tblMoeHistory[[#This Row],[State and Local Total Result]]),0)&gt;0),"Met","Not Met")</f>
        <v>Met</v>
      </c>
    </row>
    <row r="214" spans="1:22" x14ac:dyDescent="0.35">
      <c r="A214" t="s">
        <v>35</v>
      </c>
      <c r="B214">
        <v>1976</v>
      </c>
      <c r="C214" t="s">
        <v>159</v>
      </c>
      <c r="D214">
        <v>2171</v>
      </c>
      <c r="E214">
        <v>15377953</v>
      </c>
      <c r="F214">
        <v>2332178.56</v>
      </c>
      <c r="G214">
        <f>tblMoeHistory[[#This Row],[LEA State and Local Amount]]+tblMoeHistory[[#This Row],[ESD State and Local Amount]]</f>
        <v>17710131.559999999</v>
      </c>
      <c r="H214">
        <v>0</v>
      </c>
      <c r="I214" t="s">
        <v>241</v>
      </c>
      <c r="J214">
        <f>IFERROR(tblMoeHistory[[#This Row],[LEA State and Local Amount]]/tblMoeHistory[[#This Row],[Child Count]],0)</f>
        <v>7083.3500690925839</v>
      </c>
      <c r="K214">
        <f>IFERROR(tblMoeHistory[[#This Row],[ESD State and Local Amount]]/tblMoeHistory[[#This Row],[Child Count]],0)</f>
        <v>1074.2416213726394</v>
      </c>
      <c r="L214">
        <f>IFERROR(tblMoeHistory[[#This Row],[State and Local Total Amount]]/tblMoeHistory[[#This Row],[Child Count]],0)</f>
        <v>8157.5916904652231</v>
      </c>
      <c r="M214">
        <v>0</v>
      </c>
      <c r="N214" t="s">
        <v>241</v>
      </c>
      <c r="O214">
        <v>2629198.7400000002</v>
      </c>
      <c r="P214">
        <v>18110.91</v>
      </c>
      <c r="Q214">
        <f>tblMoeHistory[[#This Row],[Amount of IDEA Part B, Section 611 award]]+tblMoeHistory[[#This Row],[Amount of IDEA Part B, Section 619 award]]</f>
        <v>2647309.6500000004</v>
      </c>
      <c r="U2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 t="str">
        <f>IF(OR(IFERROR(SEARCH("Met",tblMoeHistory[[#This Row],[State and Local Per Capita Result]]),0)&gt;0,IFERROR(SEARCH("Met",tblMoeHistory[[#This Row],[State and Local Total Result]]),0)&gt;0),"Met","Not Met")</f>
        <v>Met</v>
      </c>
    </row>
    <row r="215" spans="1:22" x14ac:dyDescent="0.35">
      <c r="A215" t="s">
        <v>36</v>
      </c>
      <c r="B215">
        <v>2088</v>
      </c>
      <c r="C215" t="s">
        <v>159</v>
      </c>
      <c r="D215">
        <v>935</v>
      </c>
      <c r="E215">
        <v>7310197.25</v>
      </c>
      <c r="F215">
        <v>1393243</v>
      </c>
      <c r="G215">
        <f>tblMoeHistory[[#This Row],[LEA State and Local Amount]]+tblMoeHistory[[#This Row],[ESD State and Local Amount]]</f>
        <v>8703440.25</v>
      </c>
      <c r="H215">
        <v>0</v>
      </c>
      <c r="I215" t="s">
        <v>242</v>
      </c>
      <c r="J215">
        <f>IFERROR(tblMoeHistory[[#This Row],[LEA State and Local Amount]]/tblMoeHistory[[#This Row],[Child Count]],0)</f>
        <v>7818.3927807486634</v>
      </c>
      <c r="K215">
        <f>IFERROR(tblMoeHistory[[#This Row],[ESD State and Local Amount]]/tblMoeHistory[[#This Row],[Child Count]],0)</f>
        <v>1490.0994652406416</v>
      </c>
      <c r="L215">
        <f>IFERROR(tblMoeHistory[[#This Row],[State and Local Total Amount]]/tblMoeHistory[[#This Row],[Child Count]],0)</f>
        <v>9308.4922459893041</v>
      </c>
      <c r="M215">
        <v>0</v>
      </c>
      <c r="N215" t="s">
        <v>241</v>
      </c>
      <c r="O215">
        <v>1045665.36</v>
      </c>
      <c r="P215">
        <v>6966.23</v>
      </c>
      <c r="Q215">
        <f>tblMoeHistory[[#This Row],[Amount of IDEA Part B, Section 611 award]]+tblMoeHistory[[#This Row],[Amount of IDEA Part B, Section 619 award]]</f>
        <v>1052631.5900000001</v>
      </c>
      <c r="S215">
        <v>600816.05000000005</v>
      </c>
      <c r="T215">
        <v>600816.05000000005</v>
      </c>
      <c r="U2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 t="str">
        <f>IF(OR(IFERROR(SEARCH("Met",tblMoeHistory[[#This Row],[State and Local Per Capita Result]]),0)&gt;0,IFERROR(SEARCH("Met",tblMoeHistory[[#This Row],[State and Local Total Result]]),0)&gt;0),"Met","Not Met")</f>
        <v>Met</v>
      </c>
    </row>
    <row r="216" spans="1:22" x14ac:dyDescent="0.35">
      <c r="A216" t="s">
        <v>37</v>
      </c>
      <c r="B216">
        <v>2095</v>
      </c>
      <c r="C216" t="s">
        <v>159</v>
      </c>
      <c r="D216">
        <v>46</v>
      </c>
      <c r="E216">
        <v>247337.43</v>
      </c>
      <c r="F216">
        <v>38025</v>
      </c>
      <c r="G216">
        <f>tblMoeHistory[[#This Row],[LEA State and Local Amount]]+tblMoeHistory[[#This Row],[ESD State and Local Amount]]</f>
        <v>285362.43</v>
      </c>
      <c r="H216">
        <v>0</v>
      </c>
      <c r="I216" t="s">
        <v>241</v>
      </c>
      <c r="J216">
        <f>IFERROR(tblMoeHistory[[#This Row],[LEA State and Local Amount]]/tblMoeHistory[[#This Row],[Child Count]],0)</f>
        <v>5376.9006521739129</v>
      </c>
      <c r="K216">
        <f>IFERROR(tblMoeHistory[[#This Row],[ESD State and Local Amount]]/tblMoeHistory[[#This Row],[Child Count]],0)</f>
        <v>826.63043478260875</v>
      </c>
      <c r="L216">
        <f>IFERROR(tblMoeHistory[[#This Row],[State and Local Total Amount]]/tblMoeHistory[[#This Row],[Child Count]],0)</f>
        <v>6203.5310869565219</v>
      </c>
      <c r="M216">
        <v>0</v>
      </c>
      <c r="N216" t="s">
        <v>240</v>
      </c>
      <c r="O216">
        <v>38154.17</v>
      </c>
      <c r="P216">
        <v>501.68</v>
      </c>
      <c r="Q216">
        <f>tblMoeHistory[[#This Row],[Amount of IDEA Part B, Section 611 award]]+tblMoeHistory[[#This Row],[Amount of IDEA Part B, Section 619 award]]</f>
        <v>38655.85</v>
      </c>
      <c r="U2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 t="str">
        <f>IF(OR(IFERROR(SEARCH("Met",tblMoeHistory[[#This Row],[State and Local Per Capita Result]]),0)&gt;0,IFERROR(SEARCH("Met",tblMoeHistory[[#This Row],[State and Local Total Result]]),0)&gt;0),"Met","Not Met")</f>
        <v>Met</v>
      </c>
    </row>
    <row r="217" spans="1:22" x14ac:dyDescent="0.35">
      <c r="A217" t="s">
        <v>38</v>
      </c>
      <c r="B217">
        <v>2052</v>
      </c>
      <c r="C217" t="s">
        <v>159</v>
      </c>
      <c r="D217">
        <v>1</v>
      </c>
      <c r="E217">
        <v>16713.09</v>
      </c>
      <c r="F217">
        <v>7610.97</v>
      </c>
      <c r="G217">
        <f>tblMoeHistory[[#This Row],[LEA State and Local Amount]]+tblMoeHistory[[#This Row],[ESD State and Local Amount]]</f>
        <v>24324.06</v>
      </c>
      <c r="H217">
        <v>0</v>
      </c>
      <c r="I217" t="s">
        <v>241</v>
      </c>
      <c r="J217">
        <f>IFERROR(tblMoeHistory[[#This Row],[LEA State and Local Amount]]/tblMoeHistory[[#This Row],[Child Count]],0)</f>
        <v>16713.09</v>
      </c>
      <c r="K217">
        <f>IFERROR(tblMoeHistory[[#This Row],[ESD State and Local Amount]]/tblMoeHistory[[#This Row],[Child Count]],0)</f>
        <v>7610.97</v>
      </c>
      <c r="L217">
        <f>IFERROR(tblMoeHistory[[#This Row],[State and Local Total Amount]]/tblMoeHistory[[#This Row],[Child Count]],0)</f>
        <v>24324.06</v>
      </c>
      <c r="M217">
        <v>0</v>
      </c>
      <c r="N217" t="s">
        <v>241</v>
      </c>
      <c r="O217">
        <v>5471.8</v>
      </c>
      <c r="P217">
        <v>4.3</v>
      </c>
      <c r="Q217">
        <f>tblMoeHistory[[#This Row],[Amount of IDEA Part B, Section 611 award]]+tblMoeHistory[[#This Row],[Amount of IDEA Part B, Section 619 award]]</f>
        <v>5476.1</v>
      </c>
      <c r="U2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 t="str">
        <f>IF(OR(IFERROR(SEARCH("Met",tblMoeHistory[[#This Row],[State and Local Per Capita Result]]),0)&gt;0,IFERROR(SEARCH("Met",tblMoeHistory[[#This Row],[State and Local Total Result]]),0)&gt;0),"Met","Not Met")</f>
        <v>Met</v>
      </c>
    </row>
    <row r="218" spans="1:22" x14ac:dyDescent="0.35">
      <c r="A218" t="s">
        <v>39</v>
      </c>
      <c r="B218">
        <v>1974</v>
      </c>
      <c r="C218" t="s">
        <v>159</v>
      </c>
      <c r="D218">
        <v>172</v>
      </c>
      <c r="E218">
        <v>807412.6</v>
      </c>
      <c r="F218">
        <v>721725.06</v>
      </c>
      <c r="G218">
        <f>tblMoeHistory[[#This Row],[LEA State and Local Amount]]+tblMoeHistory[[#This Row],[ESD State and Local Amount]]</f>
        <v>1529137.6600000001</v>
      </c>
      <c r="H218">
        <v>0</v>
      </c>
      <c r="I218" t="s">
        <v>239</v>
      </c>
      <c r="J218">
        <f>IFERROR(tblMoeHistory[[#This Row],[LEA State and Local Amount]]/tblMoeHistory[[#This Row],[Child Count]],0)</f>
        <v>4694.2593023255813</v>
      </c>
      <c r="K218">
        <f>IFERROR(tblMoeHistory[[#This Row],[ESD State and Local Amount]]/tblMoeHistory[[#This Row],[Child Count]],0)</f>
        <v>4196.0759302325587</v>
      </c>
      <c r="L218">
        <f>IFERROR(tblMoeHistory[[#This Row],[State and Local Total Amount]]/tblMoeHistory[[#This Row],[Child Count]],0)</f>
        <v>8890.33523255814</v>
      </c>
      <c r="M218">
        <v>0</v>
      </c>
      <c r="N218" t="s">
        <v>239</v>
      </c>
      <c r="O218">
        <v>275956.17</v>
      </c>
      <c r="P218">
        <v>1782.09</v>
      </c>
      <c r="Q218">
        <f>tblMoeHistory[[#This Row],[Amount of IDEA Part B, Section 611 award]]+tblMoeHistory[[#This Row],[Amount of IDEA Part B, Section 619 award]]</f>
        <v>277738.26</v>
      </c>
      <c r="U2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 t="str">
        <f>IF(OR(IFERROR(SEARCH("Met",tblMoeHistory[[#This Row],[State and Local Per Capita Result]]),0)&gt;0,IFERROR(SEARCH("Met",tblMoeHistory[[#This Row],[State and Local Total Result]]),0)&gt;0),"Met","Not Met")</f>
        <v>Met</v>
      </c>
    </row>
    <row r="219" spans="1:22" x14ac:dyDescent="0.35">
      <c r="A219" t="s">
        <v>40</v>
      </c>
      <c r="B219">
        <v>1896</v>
      </c>
      <c r="C219" t="s">
        <v>159</v>
      </c>
      <c r="D219">
        <v>3</v>
      </c>
      <c r="E219">
        <v>44135</v>
      </c>
      <c r="F219">
        <v>13863.34</v>
      </c>
      <c r="G219">
        <f>tblMoeHistory[[#This Row],[LEA State and Local Amount]]+tblMoeHistory[[#This Row],[ESD State and Local Amount]]</f>
        <v>57998.34</v>
      </c>
      <c r="H219">
        <v>0</v>
      </c>
      <c r="I219" t="s">
        <v>241</v>
      </c>
      <c r="J219">
        <f>IFERROR(tblMoeHistory[[#This Row],[LEA State and Local Amount]]/tblMoeHistory[[#This Row],[Child Count]],0)</f>
        <v>14711.666666666666</v>
      </c>
      <c r="K219">
        <f>IFERROR(tblMoeHistory[[#This Row],[ESD State and Local Amount]]/tblMoeHistory[[#This Row],[Child Count]],0)</f>
        <v>4621.1133333333337</v>
      </c>
      <c r="L219">
        <f>IFERROR(tblMoeHistory[[#This Row],[State and Local Total Amount]]/tblMoeHistory[[#This Row],[Child Count]],0)</f>
        <v>19332.78</v>
      </c>
      <c r="M219">
        <v>0</v>
      </c>
      <c r="N219" t="s">
        <v>241</v>
      </c>
      <c r="O219">
        <v>14324.36</v>
      </c>
      <c r="P219">
        <v>3.52</v>
      </c>
      <c r="Q219">
        <f>tblMoeHistory[[#This Row],[Amount of IDEA Part B, Section 611 award]]+tblMoeHistory[[#This Row],[Amount of IDEA Part B, Section 619 award]]</f>
        <v>14327.880000000001</v>
      </c>
      <c r="U2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 t="str">
        <f>IF(OR(IFERROR(SEARCH("Met",tblMoeHistory[[#This Row],[State and Local Per Capita Result]]),0)&gt;0,IFERROR(SEARCH("Met",tblMoeHistory[[#This Row],[State and Local Total Result]]),0)&gt;0),"Met","Not Met")</f>
        <v>Met</v>
      </c>
    </row>
    <row r="220" spans="1:22" x14ac:dyDescent="0.35">
      <c r="A220" t="s">
        <v>42</v>
      </c>
      <c r="B220">
        <v>2046</v>
      </c>
      <c r="C220" t="s">
        <v>159</v>
      </c>
      <c r="D220">
        <v>26</v>
      </c>
      <c r="E220">
        <v>158244.25</v>
      </c>
      <c r="F220">
        <v>62128.69</v>
      </c>
      <c r="G220">
        <f>tblMoeHistory[[#This Row],[LEA State and Local Amount]]+tblMoeHistory[[#This Row],[ESD State and Local Amount]]</f>
        <v>220372.94</v>
      </c>
      <c r="H220">
        <v>0</v>
      </c>
      <c r="I220" t="s">
        <v>241</v>
      </c>
      <c r="J220">
        <f>IFERROR(tblMoeHistory[[#This Row],[LEA State and Local Amount]]/tblMoeHistory[[#This Row],[Child Count]],0)</f>
        <v>6086.3173076923076</v>
      </c>
      <c r="K220">
        <f>IFERROR(tblMoeHistory[[#This Row],[ESD State and Local Amount]]/tblMoeHistory[[#This Row],[Child Count]],0)</f>
        <v>2389.5650000000001</v>
      </c>
      <c r="L220">
        <f>IFERROR(tblMoeHistory[[#This Row],[State and Local Total Amount]]/tblMoeHistory[[#This Row],[Child Count]],0)</f>
        <v>8475.8823076923072</v>
      </c>
      <c r="M220">
        <v>0</v>
      </c>
      <c r="N220" t="s">
        <v>241</v>
      </c>
      <c r="O220">
        <v>29502.16</v>
      </c>
      <c r="P220">
        <v>0</v>
      </c>
      <c r="Q220">
        <f>tblMoeHistory[[#This Row],[Amount of IDEA Part B, Section 611 award]]+tblMoeHistory[[#This Row],[Amount of IDEA Part B, Section 619 award]]</f>
        <v>29502.16</v>
      </c>
      <c r="U2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 t="str">
        <f>IF(OR(IFERROR(SEARCH("Met",tblMoeHistory[[#This Row],[State and Local Per Capita Result]]),0)&gt;0,IFERROR(SEARCH("Met",tblMoeHistory[[#This Row],[State and Local Total Result]]),0)&gt;0),"Met","Not Met")</f>
        <v>Met</v>
      </c>
    </row>
    <row r="221" spans="1:22" x14ac:dyDescent="0.35">
      <c r="A221" t="s">
        <v>43</v>
      </c>
      <c r="B221">
        <v>1995</v>
      </c>
      <c r="C221" t="s">
        <v>159</v>
      </c>
      <c r="D221">
        <v>25</v>
      </c>
      <c r="E221">
        <v>155859.72</v>
      </c>
      <c r="F221">
        <v>40494.050000000003</v>
      </c>
      <c r="G221">
        <f>tblMoeHistory[[#This Row],[LEA State and Local Amount]]+tblMoeHistory[[#This Row],[ESD State and Local Amount]]</f>
        <v>196353.77000000002</v>
      </c>
      <c r="H221">
        <v>0</v>
      </c>
      <c r="I221" t="s">
        <v>241</v>
      </c>
      <c r="J221">
        <f>IFERROR(tblMoeHistory[[#This Row],[LEA State and Local Amount]]/tblMoeHistory[[#This Row],[Child Count]],0)</f>
        <v>6234.3887999999997</v>
      </c>
      <c r="K221">
        <f>IFERROR(tblMoeHistory[[#This Row],[ESD State and Local Amount]]/tblMoeHistory[[#This Row],[Child Count]],0)</f>
        <v>1619.7620000000002</v>
      </c>
      <c r="L221">
        <f>IFERROR(tblMoeHistory[[#This Row],[State and Local Total Amount]]/tblMoeHistory[[#This Row],[Child Count]],0)</f>
        <v>7854.1508000000003</v>
      </c>
      <c r="M221">
        <v>0</v>
      </c>
      <c r="N221" t="s">
        <v>240</v>
      </c>
      <c r="O221">
        <v>39619.910000000003</v>
      </c>
      <c r="P221">
        <v>15.25</v>
      </c>
      <c r="Q221">
        <f>tblMoeHistory[[#This Row],[Amount of IDEA Part B, Section 611 award]]+tblMoeHistory[[#This Row],[Amount of IDEA Part B, Section 619 award]]</f>
        <v>39635.160000000003</v>
      </c>
      <c r="U2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 t="str">
        <f>IF(OR(IFERROR(SEARCH("Met",tblMoeHistory[[#This Row],[State and Local Per Capita Result]]),0)&gt;0,IFERROR(SEARCH("Met",tblMoeHistory[[#This Row],[State and Local Total Result]]),0)&gt;0),"Met","Not Met")</f>
        <v>Met</v>
      </c>
    </row>
    <row r="222" spans="1:22" x14ac:dyDescent="0.35">
      <c r="A222" t="s">
        <v>44</v>
      </c>
      <c r="B222">
        <v>1929</v>
      </c>
      <c r="C222" t="s">
        <v>159</v>
      </c>
      <c r="D222">
        <v>536</v>
      </c>
      <c r="E222">
        <v>4099642.94</v>
      </c>
      <c r="F222">
        <v>765973</v>
      </c>
      <c r="G222">
        <f>tblMoeHistory[[#This Row],[LEA State and Local Amount]]+tblMoeHistory[[#This Row],[ESD State and Local Amount]]</f>
        <v>4865615.9399999995</v>
      </c>
      <c r="H222">
        <v>0</v>
      </c>
      <c r="I222" t="s">
        <v>241</v>
      </c>
      <c r="J222">
        <f>IFERROR(tblMoeHistory[[#This Row],[LEA State and Local Amount]]/tblMoeHistory[[#This Row],[Child Count]],0)</f>
        <v>7648.5875746268657</v>
      </c>
      <c r="K222">
        <f>IFERROR(tblMoeHistory[[#This Row],[ESD State and Local Amount]]/tblMoeHistory[[#This Row],[Child Count]],0)</f>
        <v>1429.0541044776119</v>
      </c>
      <c r="L222">
        <f>IFERROR(tblMoeHistory[[#This Row],[State and Local Total Amount]]/tblMoeHistory[[#This Row],[Child Count]],0)</f>
        <v>9077.6416791044758</v>
      </c>
      <c r="M222">
        <v>0</v>
      </c>
      <c r="N222" t="s">
        <v>241</v>
      </c>
      <c r="O222">
        <v>812579.71</v>
      </c>
      <c r="P222">
        <v>3587.71</v>
      </c>
      <c r="Q222">
        <f>tblMoeHistory[[#This Row],[Amount of IDEA Part B, Section 611 award]]+tblMoeHistory[[#This Row],[Amount of IDEA Part B, Section 619 award]]</f>
        <v>816167.41999999993</v>
      </c>
      <c r="U2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 t="str">
        <f>IF(OR(IFERROR(SEARCH("Met",tblMoeHistory[[#This Row],[State and Local Per Capita Result]]),0)&gt;0,IFERROR(SEARCH("Met",tblMoeHistory[[#This Row],[State and Local Total Result]]),0)&gt;0),"Met","Not Met")</f>
        <v>Met</v>
      </c>
    </row>
    <row r="223" spans="1:22" x14ac:dyDescent="0.35">
      <c r="A223" t="s">
        <v>45</v>
      </c>
      <c r="B223">
        <v>2139</v>
      </c>
      <c r="C223" t="s">
        <v>159</v>
      </c>
      <c r="D223">
        <v>294</v>
      </c>
      <c r="E223">
        <v>1946280.84</v>
      </c>
      <c r="F223">
        <v>128929.73</v>
      </c>
      <c r="G223">
        <f>tblMoeHistory[[#This Row],[LEA State and Local Amount]]+tblMoeHistory[[#This Row],[ESD State and Local Amount]]</f>
        <v>2075210.57</v>
      </c>
      <c r="H223">
        <v>0</v>
      </c>
      <c r="I223" t="s">
        <v>241</v>
      </c>
      <c r="J223">
        <f>IFERROR(tblMoeHistory[[#This Row],[LEA State and Local Amount]]/tblMoeHistory[[#This Row],[Child Count]],0)</f>
        <v>6620.0028571428575</v>
      </c>
      <c r="K223">
        <f>IFERROR(tblMoeHistory[[#This Row],[ESD State and Local Amount]]/tblMoeHistory[[#This Row],[Child Count]],0)</f>
        <v>438.53649659863942</v>
      </c>
      <c r="L223">
        <f>IFERROR(tblMoeHistory[[#This Row],[State and Local Total Amount]]/tblMoeHistory[[#This Row],[Child Count]],0)</f>
        <v>7058.5393537414966</v>
      </c>
      <c r="M223">
        <v>0</v>
      </c>
      <c r="N223" t="s">
        <v>240</v>
      </c>
      <c r="O223">
        <v>379042.15</v>
      </c>
      <c r="P223">
        <v>3840.72</v>
      </c>
      <c r="Q223">
        <f>tblMoeHistory[[#This Row],[Amount of IDEA Part B, Section 611 award]]+tblMoeHistory[[#This Row],[Amount of IDEA Part B, Section 619 award]]</f>
        <v>382882.87</v>
      </c>
      <c r="U2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 t="str">
        <f>IF(OR(IFERROR(SEARCH("Met",tblMoeHistory[[#This Row],[State and Local Per Capita Result]]),0)&gt;0,IFERROR(SEARCH("Met",tblMoeHistory[[#This Row],[State and Local Total Result]]),0)&gt;0),"Met","Not Met")</f>
        <v>Met</v>
      </c>
    </row>
    <row r="224" spans="1:22" x14ac:dyDescent="0.35">
      <c r="A224" t="s">
        <v>46</v>
      </c>
      <c r="B224">
        <v>2185</v>
      </c>
      <c r="C224" t="s">
        <v>159</v>
      </c>
      <c r="D224">
        <v>861</v>
      </c>
      <c r="E224">
        <v>7406241.7699999996</v>
      </c>
      <c r="F224">
        <v>1516260</v>
      </c>
      <c r="G224">
        <f>tblMoeHistory[[#This Row],[LEA State and Local Amount]]+tblMoeHistory[[#This Row],[ESD State and Local Amount]]</f>
        <v>8922501.7699999996</v>
      </c>
      <c r="H224">
        <v>0</v>
      </c>
      <c r="I224" t="s">
        <v>241</v>
      </c>
      <c r="J224">
        <f>IFERROR(tblMoeHistory[[#This Row],[LEA State and Local Amount]]/tblMoeHistory[[#This Row],[Child Count]],0)</f>
        <v>8601.9068176538894</v>
      </c>
      <c r="K224">
        <f>IFERROR(tblMoeHistory[[#This Row],[ESD State and Local Amount]]/tblMoeHistory[[#This Row],[Child Count]],0)</f>
        <v>1761.0452961672474</v>
      </c>
      <c r="L224">
        <f>IFERROR(tblMoeHistory[[#This Row],[State and Local Total Amount]]/tblMoeHistory[[#This Row],[Child Count]],0)</f>
        <v>10362.952113821138</v>
      </c>
      <c r="M224">
        <v>0</v>
      </c>
      <c r="N224" t="s">
        <v>241</v>
      </c>
      <c r="O224">
        <v>1061240.8899999999</v>
      </c>
      <c r="P224">
        <v>8010.26</v>
      </c>
      <c r="Q224">
        <f>tblMoeHistory[[#This Row],[Amount of IDEA Part B, Section 611 award]]+tblMoeHistory[[#This Row],[Amount of IDEA Part B, Section 619 award]]</f>
        <v>1069251.1499999999</v>
      </c>
      <c r="U2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 t="str">
        <f>IF(OR(IFERROR(SEARCH("Met",tblMoeHistory[[#This Row],[State and Local Per Capita Result]]),0)&gt;0,IFERROR(SEARCH("Met",tblMoeHistory[[#This Row],[State and Local Total Result]]),0)&gt;0),"Met","Not Met")</f>
        <v>Met</v>
      </c>
    </row>
    <row r="225" spans="1:22" x14ac:dyDescent="0.35">
      <c r="A225" t="s">
        <v>47</v>
      </c>
      <c r="B225">
        <v>1972</v>
      </c>
      <c r="C225" t="s">
        <v>159</v>
      </c>
      <c r="D225">
        <v>56</v>
      </c>
      <c r="E225">
        <v>335713.02</v>
      </c>
      <c r="F225">
        <v>252484.67</v>
      </c>
      <c r="G225">
        <f>tblMoeHistory[[#This Row],[LEA State and Local Amount]]+tblMoeHistory[[#This Row],[ESD State and Local Amount]]</f>
        <v>588197.69000000006</v>
      </c>
      <c r="H225">
        <v>0</v>
      </c>
      <c r="I225" t="s">
        <v>242</v>
      </c>
      <c r="J225">
        <f>IFERROR(tblMoeHistory[[#This Row],[LEA State and Local Amount]]/tblMoeHistory[[#This Row],[Child Count]],0)</f>
        <v>5994.8753571428579</v>
      </c>
      <c r="K225">
        <f>IFERROR(tblMoeHistory[[#This Row],[ESD State and Local Amount]]/tblMoeHistory[[#This Row],[Child Count]],0)</f>
        <v>4508.6548214285713</v>
      </c>
      <c r="L225">
        <f>IFERROR(tblMoeHistory[[#This Row],[State and Local Total Amount]]/tblMoeHistory[[#This Row],[Child Count]],0)</f>
        <v>10503.530178571429</v>
      </c>
      <c r="M225">
        <v>0</v>
      </c>
      <c r="N225" t="s">
        <v>241</v>
      </c>
      <c r="O225">
        <v>120947.02</v>
      </c>
      <c r="P225">
        <v>1126.69</v>
      </c>
      <c r="Q225">
        <f>tblMoeHistory[[#This Row],[Amount of IDEA Part B, Section 611 award]]+tblMoeHistory[[#This Row],[Amount of IDEA Part B, Section 619 award]]</f>
        <v>122073.71</v>
      </c>
      <c r="S225">
        <v>71952.570000000007</v>
      </c>
      <c r="T225">
        <v>71952.570000000007</v>
      </c>
      <c r="U2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 t="str">
        <f>IF(OR(IFERROR(SEARCH("Met",tblMoeHistory[[#This Row],[State and Local Per Capita Result]]),0)&gt;0,IFERROR(SEARCH("Met",tblMoeHistory[[#This Row],[State and Local Total Result]]),0)&gt;0),"Met","Not Met")</f>
        <v>Met</v>
      </c>
    </row>
    <row r="226" spans="1:22" x14ac:dyDescent="0.35">
      <c r="A226" t="s">
        <v>48</v>
      </c>
      <c r="B226">
        <v>2105</v>
      </c>
      <c r="C226" t="s">
        <v>159</v>
      </c>
      <c r="D226">
        <v>96</v>
      </c>
      <c r="E226">
        <v>552092.9</v>
      </c>
      <c r="F226">
        <v>64501</v>
      </c>
      <c r="G226">
        <f>tblMoeHistory[[#This Row],[LEA State and Local Amount]]+tblMoeHistory[[#This Row],[ESD State and Local Amount]]</f>
        <v>616593.9</v>
      </c>
      <c r="H226">
        <v>0</v>
      </c>
      <c r="I226" t="s">
        <v>241</v>
      </c>
      <c r="J226">
        <f>IFERROR(tblMoeHistory[[#This Row],[LEA State and Local Amount]]/tblMoeHistory[[#This Row],[Child Count]],0)</f>
        <v>5750.9677083333336</v>
      </c>
      <c r="K226">
        <f>IFERROR(tblMoeHistory[[#This Row],[ESD State and Local Amount]]/tblMoeHistory[[#This Row],[Child Count]],0)</f>
        <v>671.88541666666663</v>
      </c>
      <c r="L226">
        <f>IFERROR(tblMoeHistory[[#This Row],[State and Local Total Amount]]/tblMoeHistory[[#This Row],[Child Count]],0)</f>
        <v>6422.8531250000005</v>
      </c>
      <c r="M226">
        <v>0</v>
      </c>
      <c r="N226" t="s">
        <v>241</v>
      </c>
      <c r="O226">
        <v>113771.78</v>
      </c>
      <c r="P226">
        <v>396.29</v>
      </c>
      <c r="Q226">
        <f>tblMoeHistory[[#This Row],[Amount of IDEA Part B, Section 611 award]]+tblMoeHistory[[#This Row],[Amount of IDEA Part B, Section 619 award]]</f>
        <v>114168.06999999999</v>
      </c>
      <c r="U2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 t="str">
        <f>IF(OR(IFERROR(SEARCH("Met",tblMoeHistory[[#This Row],[State and Local Per Capita Result]]),0)&gt;0,IFERROR(SEARCH("Met",tblMoeHistory[[#This Row],[State and Local Total Result]]),0)&gt;0),"Met","Not Met")</f>
        <v>Met</v>
      </c>
    </row>
    <row r="227" spans="1:22" x14ac:dyDescent="0.35">
      <c r="A227" t="s">
        <v>49</v>
      </c>
      <c r="B227">
        <v>2042</v>
      </c>
      <c r="C227" t="s">
        <v>159</v>
      </c>
      <c r="D227">
        <v>571</v>
      </c>
      <c r="E227">
        <v>3044247.65</v>
      </c>
      <c r="F227">
        <v>1036672.73</v>
      </c>
      <c r="G227">
        <f>tblMoeHistory[[#This Row],[LEA State and Local Amount]]+tblMoeHistory[[#This Row],[ESD State and Local Amount]]</f>
        <v>4080920.38</v>
      </c>
      <c r="H227">
        <v>0</v>
      </c>
      <c r="I227" t="s">
        <v>241</v>
      </c>
      <c r="J227">
        <f>IFERROR(tblMoeHistory[[#This Row],[LEA State and Local Amount]]/tblMoeHistory[[#This Row],[Child Count]],0)</f>
        <v>5331.431961471103</v>
      </c>
      <c r="K227">
        <f>IFERROR(tblMoeHistory[[#This Row],[ESD State and Local Amount]]/tblMoeHistory[[#This Row],[Child Count]],0)</f>
        <v>1815.5389316987741</v>
      </c>
      <c r="L227">
        <f>IFERROR(tblMoeHistory[[#This Row],[State and Local Total Amount]]/tblMoeHistory[[#This Row],[Child Count]],0)</f>
        <v>7146.9708931698769</v>
      </c>
      <c r="M227">
        <v>0</v>
      </c>
      <c r="N227" t="s">
        <v>241</v>
      </c>
      <c r="O227">
        <v>704147.81</v>
      </c>
      <c r="P227">
        <v>10032.780000000001</v>
      </c>
      <c r="Q227">
        <f>tblMoeHistory[[#This Row],[Amount of IDEA Part B, Section 611 award]]+tblMoeHistory[[#This Row],[Amount of IDEA Part B, Section 619 award]]</f>
        <v>714180.59000000008</v>
      </c>
      <c r="U2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 t="str">
        <f>IF(OR(IFERROR(SEARCH("Met",tblMoeHistory[[#This Row],[State and Local Per Capita Result]]),0)&gt;0,IFERROR(SEARCH("Met",tblMoeHistory[[#This Row],[State and Local Total Result]]),0)&gt;0),"Met","Not Met")</f>
        <v>Met</v>
      </c>
    </row>
    <row r="228" spans="1:22" x14ac:dyDescent="0.35">
      <c r="A228" t="s">
        <v>50</v>
      </c>
      <c r="B228">
        <v>2191</v>
      </c>
      <c r="C228" t="s">
        <v>159</v>
      </c>
      <c r="D228">
        <v>348</v>
      </c>
      <c r="E228">
        <v>3904408.61</v>
      </c>
      <c r="F228">
        <v>380790.96</v>
      </c>
      <c r="G228">
        <f>tblMoeHistory[[#This Row],[LEA State and Local Amount]]+tblMoeHistory[[#This Row],[ESD State and Local Amount]]</f>
        <v>4285199.57</v>
      </c>
      <c r="H228">
        <v>0</v>
      </c>
      <c r="I228" t="s">
        <v>241</v>
      </c>
      <c r="J228">
        <f>IFERROR(tblMoeHistory[[#This Row],[LEA State and Local Amount]]/tblMoeHistory[[#This Row],[Child Count]],0)</f>
        <v>11219.564971264368</v>
      </c>
      <c r="K228">
        <f>IFERROR(tblMoeHistory[[#This Row],[ESD State and Local Amount]]/tblMoeHistory[[#This Row],[Child Count]],0)</f>
        <v>1094.2268965517242</v>
      </c>
      <c r="L228">
        <f>IFERROR(tblMoeHistory[[#This Row],[State and Local Total Amount]]/tblMoeHistory[[#This Row],[Child Count]],0)</f>
        <v>12313.791867816093</v>
      </c>
      <c r="M228">
        <v>0</v>
      </c>
      <c r="N228" t="s">
        <v>241</v>
      </c>
      <c r="O228">
        <v>429439.44</v>
      </c>
      <c r="P228">
        <v>3454.57</v>
      </c>
      <c r="Q228">
        <f>tblMoeHistory[[#This Row],[Amount of IDEA Part B, Section 611 award]]+tblMoeHistory[[#This Row],[Amount of IDEA Part B, Section 619 award]]</f>
        <v>432894.01</v>
      </c>
      <c r="U2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 t="str">
        <f>IF(OR(IFERROR(SEARCH("Met",tblMoeHistory[[#This Row],[State and Local Per Capita Result]]),0)&gt;0,IFERROR(SEARCH("Met",tblMoeHistory[[#This Row],[State and Local Total Result]]),0)&gt;0),"Met","Not Met")</f>
        <v>Met</v>
      </c>
    </row>
    <row r="229" spans="1:22" x14ac:dyDescent="0.35">
      <c r="A229" t="s">
        <v>51</v>
      </c>
      <c r="B229">
        <v>1945</v>
      </c>
      <c r="C229" t="s">
        <v>159</v>
      </c>
      <c r="D229">
        <v>108</v>
      </c>
      <c r="E229">
        <v>1022814.98</v>
      </c>
      <c r="F229">
        <v>126216</v>
      </c>
      <c r="G229">
        <f>tblMoeHistory[[#This Row],[LEA State and Local Amount]]+tblMoeHistory[[#This Row],[ESD State and Local Amount]]</f>
        <v>1149030.98</v>
      </c>
      <c r="H229">
        <v>0</v>
      </c>
      <c r="I229" t="s">
        <v>241</v>
      </c>
      <c r="J229">
        <f>IFERROR(tblMoeHistory[[#This Row],[LEA State and Local Amount]]/tblMoeHistory[[#This Row],[Child Count]],0)</f>
        <v>9470.5090740740743</v>
      </c>
      <c r="K229">
        <f>IFERROR(tblMoeHistory[[#This Row],[ESD State and Local Amount]]/tblMoeHistory[[#This Row],[Child Count]],0)</f>
        <v>1168.6666666666667</v>
      </c>
      <c r="L229">
        <f>IFERROR(tblMoeHistory[[#This Row],[State and Local Total Amount]]/tblMoeHistory[[#This Row],[Child Count]],0)</f>
        <v>10639.17574074074</v>
      </c>
      <c r="M229">
        <v>0</v>
      </c>
      <c r="N229" t="s">
        <v>241</v>
      </c>
      <c r="O229">
        <v>141264.06</v>
      </c>
      <c r="P229">
        <v>3020.6</v>
      </c>
      <c r="Q229">
        <f>tblMoeHistory[[#This Row],[Amount of IDEA Part B, Section 611 award]]+tblMoeHistory[[#This Row],[Amount of IDEA Part B, Section 619 award]]</f>
        <v>144284.66</v>
      </c>
      <c r="U2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 t="str">
        <f>IF(OR(IFERROR(SEARCH("Met",tblMoeHistory[[#This Row],[State and Local Per Capita Result]]),0)&gt;0,IFERROR(SEARCH("Met",tblMoeHistory[[#This Row],[State and Local Total Result]]),0)&gt;0),"Met","Not Met")</f>
        <v>Met</v>
      </c>
    </row>
    <row r="230" spans="1:22" x14ac:dyDescent="0.35">
      <c r="A230" t="s">
        <v>52</v>
      </c>
      <c r="B230">
        <v>1927</v>
      </c>
      <c r="C230" t="s">
        <v>159</v>
      </c>
      <c r="D230">
        <v>75</v>
      </c>
      <c r="E230">
        <v>577230.91</v>
      </c>
      <c r="F230">
        <v>280996</v>
      </c>
      <c r="G230">
        <f>tblMoeHistory[[#This Row],[LEA State and Local Amount]]+tblMoeHistory[[#This Row],[ESD State and Local Amount]]</f>
        <v>858226.91</v>
      </c>
      <c r="H230">
        <v>0</v>
      </c>
      <c r="I230" t="s">
        <v>242</v>
      </c>
      <c r="J230">
        <f>IFERROR(tblMoeHistory[[#This Row],[LEA State and Local Amount]]/tblMoeHistory[[#This Row],[Child Count]],0)</f>
        <v>7696.4121333333342</v>
      </c>
      <c r="K230">
        <f>IFERROR(tblMoeHistory[[#This Row],[ESD State and Local Amount]]/tblMoeHistory[[#This Row],[Child Count]],0)</f>
        <v>3746.6133333333332</v>
      </c>
      <c r="L230">
        <f>IFERROR(tblMoeHistory[[#This Row],[State and Local Total Amount]]/tblMoeHistory[[#This Row],[Child Count]],0)</f>
        <v>11443.025466666668</v>
      </c>
      <c r="M230">
        <v>0</v>
      </c>
      <c r="N230" t="s">
        <v>241</v>
      </c>
      <c r="O230">
        <v>118896.73</v>
      </c>
      <c r="P230">
        <v>600.45000000000005</v>
      </c>
      <c r="Q230">
        <f>tblMoeHistory[[#This Row],[Amount of IDEA Part B, Section 611 award]]+tblMoeHistory[[#This Row],[Amount of IDEA Part B, Section 619 award]]</f>
        <v>119497.18</v>
      </c>
      <c r="S230">
        <v>141733.82</v>
      </c>
      <c r="T230">
        <v>141733.82</v>
      </c>
      <c r="U2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 t="str">
        <f>IF(OR(IFERROR(SEARCH("Met",tblMoeHistory[[#This Row],[State and Local Per Capita Result]]),0)&gt;0,IFERROR(SEARCH("Met",tblMoeHistory[[#This Row],[State and Local Total Result]]),0)&gt;0),"Met","Not Met")</f>
        <v>Met</v>
      </c>
    </row>
    <row r="231" spans="1:22" x14ac:dyDescent="0.35">
      <c r="A231" t="s">
        <v>53</v>
      </c>
      <c r="B231">
        <v>2006</v>
      </c>
      <c r="C231" t="s">
        <v>159</v>
      </c>
      <c r="D231">
        <v>22</v>
      </c>
      <c r="E231">
        <v>58213</v>
      </c>
      <c r="F231">
        <v>56332</v>
      </c>
      <c r="G231">
        <f>tblMoeHistory[[#This Row],[LEA State and Local Amount]]+tblMoeHistory[[#This Row],[ESD State and Local Amount]]</f>
        <v>114545</v>
      </c>
      <c r="H231">
        <v>0</v>
      </c>
      <c r="I231" t="s">
        <v>242</v>
      </c>
      <c r="J231">
        <f>IFERROR(tblMoeHistory[[#This Row],[LEA State and Local Amount]]/tblMoeHistory[[#This Row],[Child Count]],0)</f>
        <v>2646.0454545454545</v>
      </c>
      <c r="K231">
        <f>IFERROR(tblMoeHistory[[#This Row],[ESD State and Local Amount]]/tblMoeHistory[[#This Row],[Child Count]],0)</f>
        <v>2560.5454545454545</v>
      </c>
      <c r="L231">
        <f>IFERROR(tblMoeHistory[[#This Row],[State and Local Total Amount]]/tblMoeHistory[[#This Row],[Child Count]],0)</f>
        <v>5206.590909090909</v>
      </c>
      <c r="M231">
        <v>0</v>
      </c>
      <c r="N231" t="s">
        <v>241</v>
      </c>
      <c r="O231">
        <v>25370.58</v>
      </c>
      <c r="P231">
        <v>0</v>
      </c>
      <c r="Q231">
        <f>tblMoeHistory[[#This Row],[Amount of IDEA Part B, Section 611 award]]+tblMoeHistory[[#This Row],[Amount of IDEA Part B, Section 619 award]]</f>
        <v>25370.58</v>
      </c>
      <c r="S231">
        <v>4986.2</v>
      </c>
      <c r="T231">
        <v>4986.2</v>
      </c>
      <c r="U2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 t="str">
        <f>IF(OR(IFERROR(SEARCH("Met",tblMoeHistory[[#This Row],[State and Local Per Capita Result]]),0)&gt;0,IFERROR(SEARCH("Met",tblMoeHistory[[#This Row],[State and Local Total Result]]),0)&gt;0),"Met","Not Met")</f>
        <v>Met</v>
      </c>
    </row>
    <row r="232" spans="1:22" x14ac:dyDescent="0.35">
      <c r="A232" t="s">
        <v>54</v>
      </c>
      <c r="B232">
        <v>1965</v>
      </c>
      <c r="C232" t="s">
        <v>159</v>
      </c>
      <c r="D232">
        <v>504</v>
      </c>
      <c r="E232">
        <v>3224804.08</v>
      </c>
      <c r="F232">
        <v>1518242.75</v>
      </c>
      <c r="G232">
        <f>tblMoeHistory[[#This Row],[LEA State and Local Amount]]+tblMoeHistory[[#This Row],[ESD State and Local Amount]]</f>
        <v>4743046.83</v>
      </c>
      <c r="H232">
        <v>0</v>
      </c>
      <c r="I232" t="s">
        <v>242</v>
      </c>
      <c r="J232">
        <f>IFERROR(tblMoeHistory[[#This Row],[LEA State and Local Amount]]/tblMoeHistory[[#This Row],[Child Count]],0)</f>
        <v>6398.4207936507937</v>
      </c>
      <c r="K232">
        <f>IFERROR(tblMoeHistory[[#This Row],[ESD State and Local Amount]]/tblMoeHistory[[#This Row],[Child Count]],0)</f>
        <v>3012.3864087301586</v>
      </c>
      <c r="L232">
        <f>IFERROR(tblMoeHistory[[#This Row],[State and Local Total Amount]]/tblMoeHistory[[#This Row],[Child Count]],0)</f>
        <v>9410.8072023809527</v>
      </c>
      <c r="M232">
        <v>0</v>
      </c>
      <c r="N232" t="s">
        <v>241</v>
      </c>
      <c r="O232">
        <v>692316.98</v>
      </c>
      <c r="P232">
        <v>8766.2800000000007</v>
      </c>
      <c r="Q232">
        <f>tblMoeHistory[[#This Row],[Amount of IDEA Part B, Section 611 award]]+tblMoeHistory[[#This Row],[Amount of IDEA Part B, Section 619 award]]</f>
        <v>701083.26</v>
      </c>
      <c r="S232">
        <v>180137.03</v>
      </c>
      <c r="T232">
        <v>180137.03</v>
      </c>
      <c r="U2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 t="str">
        <f>IF(OR(IFERROR(SEARCH("Met",tblMoeHistory[[#This Row],[State and Local Per Capita Result]]),0)&gt;0,IFERROR(SEARCH("Met",tblMoeHistory[[#This Row],[State and Local Total Result]]),0)&gt;0),"Met","Not Met")</f>
        <v>Met</v>
      </c>
    </row>
    <row r="233" spans="1:22" x14ac:dyDescent="0.35">
      <c r="A233" t="s">
        <v>55</v>
      </c>
      <c r="B233">
        <v>1964</v>
      </c>
      <c r="C233" t="s">
        <v>159</v>
      </c>
      <c r="D233">
        <v>136</v>
      </c>
      <c r="E233">
        <v>590057.75</v>
      </c>
      <c r="F233">
        <v>411121.27</v>
      </c>
      <c r="G233">
        <f>tblMoeHistory[[#This Row],[LEA State and Local Amount]]+tblMoeHistory[[#This Row],[ESD State and Local Amount]]</f>
        <v>1001179.02</v>
      </c>
      <c r="H233">
        <v>0</v>
      </c>
      <c r="I233" t="s">
        <v>241</v>
      </c>
      <c r="J233">
        <f>IFERROR(tblMoeHistory[[#This Row],[LEA State and Local Amount]]/tblMoeHistory[[#This Row],[Child Count]],0)</f>
        <v>4338.6599264705883</v>
      </c>
      <c r="K233">
        <f>IFERROR(tblMoeHistory[[#This Row],[ESD State and Local Amount]]/tblMoeHistory[[#This Row],[Child Count]],0)</f>
        <v>3022.9505147058826</v>
      </c>
      <c r="L233">
        <f>IFERROR(tblMoeHistory[[#This Row],[State and Local Total Amount]]/tblMoeHistory[[#This Row],[Child Count]],0)</f>
        <v>7361.6104411764709</v>
      </c>
      <c r="M233">
        <v>0</v>
      </c>
      <c r="N233" t="s">
        <v>240</v>
      </c>
      <c r="O233">
        <v>156165.79999999999</v>
      </c>
      <c r="P233">
        <v>1766.25</v>
      </c>
      <c r="Q233">
        <f>tblMoeHistory[[#This Row],[Amount of IDEA Part B, Section 611 award]]+tblMoeHistory[[#This Row],[Amount of IDEA Part B, Section 619 award]]</f>
        <v>157932.04999999999</v>
      </c>
      <c r="U2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 t="str">
        <f>IF(OR(IFERROR(SEARCH("Met",tblMoeHistory[[#This Row],[State and Local Per Capita Result]]),0)&gt;0,IFERROR(SEARCH("Met",tblMoeHistory[[#This Row],[State and Local Total Result]]),0)&gt;0),"Met","Not Met")</f>
        <v>Met</v>
      </c>
    </row>
    <row r="234" spans="1:22" x14ac:dyDescent="0.35">
      <c r="A234" t="s">
        <v>56</v>
      </c>
      <c r="B234">
        <v>2186</v>
      </c>
      <c r="C234" t="s">
        <v>159</v>
      </c>
      <c r="D234">
        <v>71</v>
      </c>
      <c r="E234">
        <v>411035.9</v>
      </c>
      <c r="F234">
        <v>313221</v>
      </c>
      <c r="G234">
        <f>tblMoeHistory[[#This Row],[LEA State and Local Amount]]+tblMoeHistory[[#This Row],[ESD State and Local Amount]]</f>
        <v>724256.9</v>
      </c>
      <c r="H234">
        <v>0</v>
      </c>
      <c r="I234" t="s">
        <v>241</v>
      </c>
      <c r="J234">
        <f>IFERROR(tblMoeHistory[[#This Row],[LEA State and Local Amount]]/tblMoeHistory[[#This Row],[Child Count]],0)</f>
        <v>5789.2380281690148</v>
      </c>
      <c r="K234">
        <f>IFERROR(tblMoeHistory[[#This Row],[ESD State and Local Amount]]/tblMoeHistory[[#This Row],[Child Count]],0)</f>
        <v>4411.5633802816901</v>
      </c>
      <c r="L234">
        <f>IFERROR(tblMoeHistory[[#This Row],[State and Local Total Amount]]/tblMoeHistory[[#This Row],[Child Count]],0)</f>
        <v>10200.801408450705</v>
      </c>
      <c r="M234">
        <v>0</v>
      </c>
      <c r="N234" t="s">
        <v>240</v>
      </c>
      <c r="O234">
        <v>119714.65</v>
      </c>
      <c r="P234">
        <v>2092.6999999999998</v>
      </c>
      <c r="Q234">
        <f>tblMoeHistory[[#This Row],[Amount of IDEA Part B, Section 611 award]]+tblMoeHistory[[#This Row],[Amount of IDEA Part B, Section 619 award]]</f>
        <v>121807.34999999999</v>
      </c>
      <c r="U2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 t="str">
        <f>IF(OR(IFERROR(SEARCH("Met",tblMoeHistory[[#This Row],[State and Local Per Capita Result]]),0)&gt;0,IFERROR(SEARCH("Met",tblMoeHistory[[#This Row],[State and Local Total Result]]),0)&gt;0),"Met","Not Met")</f>
        <v>Met</v>
      </c>
    </row>
    <row r="235" spans="1:22" x14ac:dyDescent="0.35">
      <c r="A235" t="s">
        <v>58</v>
      </c>
      <c r="B235">
        <v>1901</v>
      </c>
      <c r="C235" t="s">
        <v>159</v>
      </c>
      <c r="D235">
        <v>638</v>
      </c>
      <c r="E235">
        <v>5982396</v>
      </c>
      <c r="F235">
        <v>582184</v>
      </c>
      <c r="G235">
        <f>tblMoeHistory[[#This Row],[LEA State and Local Amount]]+tblMoeHistory[[#This Row],[ESD State and Local Amount]]</f>
        <v>6564580</v>
      </c>
      <c r="H235">
        <v>0</v>
      </c>
      <c r="I235" t="s">
        <v>241</v>
      </c>
      <c r="J235">
        <f>IFERROR(tblMoeHistory[[#This Row],[LEA State and Local Amount]]/tblMoeHistory[[#This Row],[Child Count]],0)</f>
        <v>9376.7962382445148</v>
      </c>
      <c r="K235">
        <f>IFERROR(tblMoeHistory[[#This Row],[ESD State and Local Amount]]/tblMoeHistory[[#This Row],[Child Count]],0)</f>
        <v>912.51410658307213</v>
      </c>
      <c r="L235">
        <f>IFERROR(tblMoeHistory[[#This Row],[State and Local Total Amount]]/tblMoeHistory[[#This Row],[Child Count]],0)</f>
        <v>10289.310344827587</v>
      </c>
      <c r="M235">
        <v>0</v>
      </c>
      <c r="N235" t="s">
        <v>241</v>
      </c>
      <c r="O235">
        <v>979305.68</v>
      </c>
      <c r="P235">
        <v>12222.3</v>
      </c>
      <c r="Q235">
        <f>tblMoeHistory[[#This Row],[Amount of IDEA Part B, Section 611 award]]+tblMoeHistory[[#This Row],[Amount of IDEA Part B, Section 619 award]]</f>
        <v>991527.9800000001</v>
      </c>
      <c r="U2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 t="str">
        <f>IF(OR(IFERROR(SEARCH("Met",tblMoeHistory[[#This Row],[State and Local Per Capita Result]]),0)&gt;0,IFERROR(SEARCH("Met",tblMoeHistory[[#This Row],[State and Local Total Result]]),0)&gt;0),"Met","Not Met")</f>
        <v>Met</v>
      </c>
    </row>
    <row r="236" spans="1:22" x14ac:dyDescent="0.35">
      <c r="A236" t="s">
        <v>59</v>
      </c>
      <c r="B236">
        <v>2216</v>
      </c>
      <c r="C236" t="s">
        <v>159</v>
      </c>
      <c r="D236">
        <v>31</v>
      </c>
      <c r="E236">
        <v>136004.04999999999</v>
      </c>
      <c r="F236">
        <v>64563.58</v>
      </c>
      <c r="G236">
        <f>tblMoeHistory[[#This Row],[LEA State and Local Amount]]+tblMoeHistory[[#This Row],[ESD State and Local Amount]]</f>
        <v>200567.63</v>
      </c>
      <c r="H236">
        <v>0</v>
      </c>
      <c r="I236" t="s">
        <v>241</v>
      </c>
      <c r="J236">
        <f>IFERROR(tblMoeHistory[[#This Row],[LEA State and Local Amount]]/tblMoeHistory[[#This Row],[Child Count]],0)</f>
        <v>4387.2274193548383</v>
      </c>
      <c r="K236">
        <f>IFERROR(tblMoeHistory[[#This Row],[ESD State and Local Amount]]/tblMoeHistory[[#This Row],[Child Count]],0)</f>
        <v>2082.6961290322583</v>
      </c>
      <c r="L236">
        <f>IFERROR(tblMoeHistory[[#This Row],[State and Local Total Amount]]/tblMoeHistory[[#This Row],[Child Count]],0)</f>
        <v>6469.9235483870971</v>
      </c>
      <c r="M236">
        <v>0</v>
      </c>
      <c r="N236" t="s">
        <v>240</v>
      </c>
      <c r="O236">
        <v>47808.2</v>
      </c>
      <c r="P236">
        <v>1487.11</v>
      </c>
      <c r="Q236">
        <f>tblMoeHistory[[#This Row],[Amount of IDEA Part B, Section 611 award]]+tblMoeHistory[[#This Row],[Amount of IDEA Part B, Section 619 award]]</f>
        <v>49295.31</v>
      </c>
      <c r="U2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 t="str">
        <f>IF(OR(IFERROR(SEARCH("Met",tblMoeHistory[[#This Row],[State and Local Per Capita Result]]),0)&gt;0,IFERROR(SEARCH("Met",tblMoeHistory[[#This Row],[State and Local Total Result]]),0)&gt;0),"Met","Not Met")</f>
        <v>Met</v>
      </c>
    </row>
    <row r="237" spans="1:22" x14ac:dyDescent="0.35">
      <c r="A237" t="s">
        <v>60</v>
      </c>
      <c r="B237">
        <v>2086</v>
      </c>
      <c r="C237" t="s">
        <v>159</v>
      </c>
      <c r="D237">
        <v>238</v>
      </c>
      <c r="E237">
        <v>1686373.04</v>
      </c>
      <c r="F237">
        <v>656673</v>
      </c>
      <c r="G237">
        <f>tblMoeHistory[[#This Row],[LEA State and Local Amount]]+tblMoeHistory[[#This Row],[ESD State and Local Amount]]</f>
        <v>2343046.04</v>
      </c>
      <c r="H237">
        <v>0</v>
      </c>
      <c r="I237" t="s">
        <v>242</v>
      </c>
      <c r="J237">
        <f>IFERROR(tblMoeHistory[[#This Row],[LEA State and Local Amount]]/tblMoeHistory[[#This Row],[Child Count]],0)</f>
        <v>7085.6010084033614</v>
      </c>
      <c r="K237">
        <f>IFERROR(tblMoeHistory[[#This Row],[ESD State and Local Amount]]/tblMoeHistory[[#This Row],[Child Count]],0)</f>
        <v>2759.1302521008402</v>
      </c>
      <c r="L237">
        <f>IFERROR(tblMoeHistory[[#This Row],[State and Local Total Amount]]/tblMoeHistory[[#This Row],[Child Count]],0)</f>
        <v>9844.7312605042025</v>
      </c>
      <c r="M237">
        <v>0</v>
      </c>
      <c r="N237" t="s">
        <v>242</v>
      </c>
      <c r="O237">
        <v>239572.97</v>
      </c>
      <c r="P237">
        <v>3051.71</v>
      </c>
      <c r="Q237">
        <f>tblMoeHistory[[#This Row],[Amount of IDEA Part B, Section 611 award]]+tblMoeHistory[[#This Row],[Amount of IDEA Part B, Section 619 award]]</f>
        <v>242624.68</v>
      </c>
      <c r="S237">
        <v>81835.59</v>
      </c>
      <c r="T237">
        <v>81835.59</v>
      </c>
      <c r="U2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 t="str">
        <f>IF(OR(IFERROR(SEARCH("Met",tblMoeHistory[[#This Row],[State and Local Per Capita Result]]),0)&gt;0,IFERROR(SEARCH("Met",tblMoeHistory[[#This Row],[State and Local Total Result]]),0)&gt;0),"Met","Not Met")</f>
        <v>Met</v>
      </c>
    </row>
    <row r="238" spans="1:22" x14ac:dyDescent="0.35">
      <c r="A238" t="s">
        <v>61</v>
      </c>
      <c r="B238">
        <v>1970</v>
      </c>
      <c r="C238" t="s">
        <v>159</v>
      </c>
      <c r="D238">
        <v>385</v>
      </c>
      <c r="E238">
        <v>2839712.67</v>
      </c>
      <c r="F238">
        <v>195864.34</v>
      </c>
      <c r="G238">
        <f>tblMoeHistory[[#This Row],[LEA State and Local Amount]]+tblMoeHistory[[#This Row],[ESD State and Local Amount]]</f>
        <v>3035577.01</v>
      </c>
      <c r="H238">
        <v>0</v>
      </c>
      <c r="I238" t="s">
        <v>242</v>
      </c>
      <c r="J238">
        <f>IFERROR(tblMoeHistory[[#This Row],[LEA State and Local Amount]]/tblMoeHistory[[#This Row],[Child Count]],0)</f>
        <v>7375.8770649350645</v>
      </c>
      <c r="K238">
        <f>IFERROR(tblMoeHistory[[#This Row],[ESD State and Local Amount]]/tblMoeHistory[[#This Row],[Child Count]],0)</f>
        <v>508.73854545454543</v>
      </c>
      <c r="L238">
        <f>IFERROR(tblMoeHistory[[#This Row],[State and Local Total Amount]]/tblMoeHistory[[#This Row],[Child Count]],0)</f>
        <v>7884.6156103896101</v>
      </c>
      <c r="M238">
        <v>0</v>
      </c>
      <c r="N238" t="s">
        <v>241</v>
      </c>
      <c r="O238">
        <v>572479.82999999996</v>
      </c>
      <c r="P238">
        <v>4822.55</v>
      </c>
      <c r="Q238">
        <f>tblMoeHistory[[#This Row],[Amount of IDEA Part B, Section 611 award]]+tblMoeHistory[[#This Row],[Amount of IDEA Part B, Section 619 award]]</f>
        <v>577302.38</v>
      </c>
      <c r="S238">
        <v>334311.09999999998</v>
      </c>
      <c r="T238">
        <v>334311.09999999998</v>
      </c>
      <c r="U2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 t="str">
        <f>IF(OR(IFERROR(SEARCH("Met",tblMoeHistory[[#This Row],[State and Local Per Capita Result]]),0)&gt;0,IFERROR(SEARCH("Met",tblMoeHistory[[#This Row],[State and Local Total Result]]),0)&gt;0),"Met","Not Met")</f>
        <v>Met</v>
      </c>
    </row>
    <row r="239" spans="1:22" x14ac:dyDescent="0.35">
      <c r="A239" t="s">
        <v>62</v>
      </c>
      <c r="B239">
        <v>2089</v>
      </c>
      <c r="C239" t="s">
        <v>159</v>
      </c>
      <c r="D239">
        <v>50</v>
      </c>
      <c r="E239">
        <v>424033.54</v>
      </c>
      <c r="F239">
        <v>141056</v>
      </c>
      <c r="G239">
        <f>tblMoeHistory[[#This Row],[LEA State and Local Amount]]+tblMoeHistory[[#This Row],[ESD State and Local Amount]]</f>
        <v>565089.54</v>
      </c>
      <c r="H239">
        <v>0</v>
      </c>
      <c r="I239" t="s">
        <v>241</v>
      </c>
      <c r="J239">
        <f>IFERROR(tblMoeHistory[[#This Row],[LEA State and Local Amount]]/tblMoeHistory[[#This Row],[Child Count]],0)</f>
        <v>8480.6707999999999</v>
      </c>
      <c r="K239">
        <f>IFERROR(tblMoeHistory[[#This Row],[ESD State and Local Amount]]/tblMoeHistory[[#This Row],[Child Count]],0)</f>
        <v>2821.12</v>
      </c>
      <c r="L239">
        <f>IFERROR(tblMoeHistory[[#This Row],[State and Local Total Amount]]/tblMoeHistory[[#This Row],[Child Count]],0)</f>
        <v>11301.790800000001</v>
      </c>
      <c r="M239">
        <v>0</v>
      </c>
      <c r="N239" t="s">
        <v>241</v>
      </c>
      <c r="O239">
        <v>69448.990000000005</v>
      </c>
      <c r="P239">
        <v>743.52</v>
      </c>
      <c r="Q239">
        <f>tblMoeHistory[[#This Row],[Amount of IDEA Part B, Section 611 award]]+tblMoeHistory[[#This Row],[Amount of IDEA Part B, Section 619 award]]</f>
        <v>70192.510000000009</v>
      </c>
      <c r="U2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 t="str">
        <f>IF(OR(IFERROR(SEARCH("Met",tblMoeHistory[[#This Row],[State and Local Per Capita Result]]),0)&gt;0,IFERROR(SEARCH("Met",tblMoeHistory[[#This Row],[State and Local Total Result]]),0)&gt;0),"Met","Not Met")</f>
        <v>Met</v>
      </c>
    </row>
    <row r="240" spans="1:22" x14ac:dyDescent="0.35">
      <c r="A240" t="s">
        <v>63</v>
      </c>
      <c r="B240">
        <v>2050</v>
      </c>
      <c r="C240" t="s">
        <v>159</v>
      </c>
      <c r="D240">
        <v>63</v>
      </c>
      <c r="E240">
        <v>487393.17</v>
      </c>
      <c r="F240">
        <v>192144.3</v>
      </c>
      <c r="G240">
        <f>tblMoeHistory[[#This Row],[LEA State and Local Amount]]+tblMoeHistory[[#This Row],[ESD State and Local Amount]]</f>
        <v>679537.47</v>
      </c>
      <c r="H240">
        <v>0</v>
      </c>
      <c r="I240" t="s">
        <v>242</v>
      </c>
      <c r="J240">
        <f>IFERROR(tblMoeHistory[[#This Row],[LEA State and Local Amount]]/tblMoeHistory[[#This Row],[Child Count]],0)</f>
        <v>7736.399523809524</v>
      </c>
      <c r="K240">
        <f>IFERROR(tblMoeHistory[[#This Row],[ESD State and Local Amount]]/tblMoeHistory[[#This Row],[Child Count]],0)</f>
        <v>3049.9095238095238</v>
      </c>
      <c r="L240">
        <f>IFERROR(tblMoeHistory[[#This Row],[State and Local Total Amount]]/tblMoeHistory[[#This Row],[Child Count]],0)</f>
        <v>10786.309047619046</v>
      </c>
      <c r="M240">
        <v>0</v>
      </c>
      <c r="N240" t="s">
        <v>241</v>
      </c>
      <c r="O240">
        <v>107486.18</v>
      </c>
      <c r="P240">
        <v>3952.34</v>
      </c>
      <c r="Q240">
        <f>tblMoeHistory[[#This Row],[Amount of IDEA Part B, Section 611 award]]+tblMoeHistory[[#This Row],[Amount of IDEA Part B, Section 619 award]]</f>
        <v>111438.51999999999</v>
      </c>
      <c r="S240">
        <v>10767.88</v>
      </c>
      <c r="T240">
        <v>10767.88</v>
      </c>
      <c r="U2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 t="str">
        <f>IF(OR(IFERROR(SEARCH("Met",tblMoeHistory[[#This Row],[State and Local Per Capita Result]]),0)&gt;0,IFERROR(SEARCH("Met",tblMoeHistory[[#This Row],[State and Local Total Result]]),0)&gt;0),"Met","Not Met")</f>
        <v>Met</v>
      </c>
    </row>
    <row r="241" spans="1:22" x14ac:dyDescent="0.35">
      <c r="A241" t="s">
        <v>64</v>
      </c>
      <c r="B241">
        <v>2190</v>
      </c>
      <c r="C241" t="s">
        <v>159</v>
      </c>
      <c r="D241">
        <v>432</v>
      </c>
      <c r="E241">
        <v>3491661.74</v>
      </c>
      <c r="F241">
        <v>281491.56</v>
      </c>
      <c r="G241">
        <f>tblMoeHistory[[#This Row],[LEA State and Local Amount]]+tblMoeHistory[[#This Row],[ESD State and Local Amount]]</f>
        <v>3773153.3000000003</v>
      </c>
      <c r="H241">
        <v>0</v>
      </c>
      <c r="I241" t="s">
        <v>242</v>
      </c>
      <c r="J241">
        <f>IFERROR(tblMoeHistory[[#This Row],[LEA State and Local Amount]]/tblMoeHistory[[#This Row],[Child Count]],0)</f>
        <v>8082.5503240740745</v>
      </c>
      <c r="K241">
        <f>IFERROR(tblMoeHistory[[#This Row],[ESD State and Local Amount]]/tblMoeHistory[[#This Row],[Child Count]],0)</f>
        <v>651.6008333333333</v>
      </c>
      <c r="L241">
        <f>IFERROR(tblMoeHistory[[#This Row],[State and Local Total Amount]]/tblMoeHistory[[#This Row],[Child Count]],0)</f>
        <v>8734.1511574074084</v>
      </c>
      <c r="M241">
        <v>0</v>
      </c>
      <c r="N241" t="s">
        <v>241</v>
      </c>
      <c r="O241">
        <v>482416.95</v>
      </c>
      <c r="P241">
        <v>6330.3</v>
      </c>
      <c r="Q241">
        <f>tblMoeHistory[[#This Row],[Amount of IDEA Part B, Section 611 award]]+tblMoeHistory[[#This Row],[Amount of IDEA Part B, Section 619 award]]</f>
        <v>488747.25</v>
      </c>
      <c r="S241">
        <v>68888.820000000007</v>
      </c>
      <c r="T241">
        <v>68888.820000000007</v>
      </c>
      <c r="U2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 t="str">
        <f>IF(OR(IFERROR(SEARCH("Met",tblMoeHistory[[#This Row],[State and Local Per Capita Result]]),0)&gt;0,IFERROR(SEARCH("Met",tblMoeHistory[[#This Row],[State and Local Total Result]]),0)&gt;0),"Met","Not Met")</f>
        <v>Met</v>
      </c>
    </row>
    <row r="242" spans="1:22" x14ac:dyDescent="0.35">
      <c r="A242" t="s">
        <v>65</v>
      </c>
      <c r="B242">
        <v>2187</v>
      </c>
      <c r="C242" t="s">
        <v>159</v>
      </c>
      <c r="D242">
        <v>1386</v>
      </c>
      <c r="E242">
        <v>10400280.01</v>
      </c>
      <c r="F242">
        <v>2007382</v>
      </c>
      <c r="G242">
        <f>tblMoeHistory[[#This Row],[LEA State and Local Amount]]+tblMoeHistory[[#This Row],[ESD State and Local Amount]]</f>
        <v>12407662.01</v>
      </c>
      <c r="H242">
        <v>0</v>
      </c>
      <c r="I242" t="s">
        <v>241</v>
      </c>
      <c r="J242">
        <f>IFERROR(tblMoeHistory[[#This Row],[LEA State and Local Amount]]/tblMoeHistory[[#This Row],[Child Count]],0)</f>
        <v>7503.8095310245308</v>
      </c>
      <c r="K242">
        <f>IFERROR(tblMoeHistory[[#This Row],[ESD State and Local Amount]]/tblMoeHistory[[#This Row],[Child Count]],0)</f>
        <v>1448.3275613275614</v>
      </c>
      <c r="L242">
        <f>IFERROR(tblMoeHistory[[#This Row],[State and Local Total Amount]]/tblMoeHistory[[#This Row],[Child Count]],0)</f>
        <v>8952.1370923520917</v>
      </c>
      <c r="M242">
        <v>0</v>
      </c>
      <c r="N242" t="s">
        <v>241</v>
      </c>
      <c r="O242">
        <v>1704624.25</v>
      </c>
      <c r="P242">
        <v>11218.41</v>
      </c>
      <c r="Q242">
        <f>tblMoeHistory[[#This Row],[Amount of IDEA Part B, Section 611 award]]+tblMoeHistory[[#This Row],[Amount of IDEA Part B, Section 619 award]]</f>
        <v>1715842.66</v>
      </c>
      <c r="U2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 t="str">
        <f>IF(OR(IFERROR(SEARCH("Met",tblMoeHistory[[#This Row],[State and Local Per Capita Result]]),0)&gt;0,IFERROR(SEARCH("Met",tblMoeHistory[[#This Row],[State and Local Total Result]]),0)&gt;0),"Met","Not Met")</f>
        <v>Met</v>
      </c>
    </row>
    <row r="243" spans="1:22" x14ac:dyDescent="0.35">
      <c r="A243" t="s">
        <v>66</v>
      </c>
      <c r="B243">
        <v>2253</v>
      </c>
      <c r="C243" t="s">
        <v>159</v>
      </c>
      <c r="D243">
        <v>127</v>
      </c>
      <c r="E243">
        <v>840441.41</v>
      </c>
      <c r="F243">
        <v>39915.5</v>
      </c>
      <c r="G243">
        <f>tblMoeHistory[[#This Row],[LEA State and Local Amount]]+tblMoeHistory[[#This Row],[ESD State and Local Amount]]</f>
        <v>880356.91</v>
      </c>
      <c r="H243">
        <v>0</v>
      </c>
      <c r="I243" t="s">
        <v>241</v>
      </c>
      <c r="J243">
        <f>IFERROR(tblMoeHistory[[#This Row],[LEA State and Local Amount]]/tblMoeHistory[[#This Row],[Child Count]],0)</f>
        <v>6617.6488976377959</v>
      </c>
      <c r="K243">
        <f>IFERROR(tblMoeHistory[[#This Row],[ESD State and Local Amount]]/tblMoeHistory[[#This Row],[Child Count]],0)</f>
        <v>314.29527559055117</v>
      </c>
      <c r="L243">
        <f>IFERROR(tblMoeHistory[[#This Row],[State and Local Total Amount]]/tblMoeHistory[[#This Row],[Child Count]],0)</f>
        <v>6931.9441732283467</v>
      </c>
      <c r="M243">
        <v>0</v>
      </c>
      <c r="N243" t="s">
        <v>240</v>
      </c>
      <c r="O243">
        <v>152282.32999999999</v>
      </c>
      <c r="P243">
        <v>2236.25</v>
      </c>
      <c r="Q243">
        <f>tblMoeHistory[[#This Row],[Amount of IDEA Part B, Section 611 award]]+tblMoeHistory[[#This Row],[Amount of IDEA Part B, Section 619 award]]</f>
        <v>154518.57999999999</v>
      </c>
      <c r="U2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 t="str">
        <f>IF(OR(IFERROR(SEARCH("Met",tblMoeHistory[[#This Row],[State and Local Per Capita Result]]),0)&gt;0,IFERROR(SEARCH("Met",tblMoeHistory[[#This Row],[State and Local Total Result]]),0)&gt;0),"Met","Not Met")</f>
        <v>Met</v>
      </c>
    </row>
    <row r="244" spans="1:22" x14ac:dyDescent="0.35">
      <c r="A244" t="s">
        <v>67</v>
      </c>
      <c r="B244">
        <v>2011</v>
      </c>
      <c r="C244" t="s">
        <v>159</v>
      </c>
      <c r="D244">
        <v>8</v>
      </c>
      <c r="E244">
        <v>5233.78</v>
      </c>
      <c r="F244">
        <v>108748.35</v>
      </c>
      <c r="G244">
        <f>tblMoeHistory[[#This Row],[LEA State and Local Amount]]+tblMoeHistory[[#This Row],[ESD State and Local Amount]]</f>
        <v>113982.13</v>
      </c>
      <c r="H244">
        <v>0</v>
      </c>
      <c r="I244" t="s">
        <v>241</v>
      </c>
      <c r="J244">
        <f>IFERROR(tblMoeHistory[[#This Row],[LEA State and Local Amount]]/tblMoeHistory[[#This Row],[Child Count]],0)</f>
        <v>654.22249999999997</v>
      </c>
      <c r="K244">
        <f>IFERROR(tblMoeHistory[[#This Row],[ESD State and Local Amount]]/tblMoeHistory[[#This Row],[Child Count]],0)</f>
        <v>13593.543750000001</v>
      </c>
      <c r="L244">
        <f>IFERROR(tblMoeHistory[[#This Row],[State and Local Total Amount]]/tblMoeHistory[[#This Row],[Child Count]],0)</f>
        <v>14247.766250000001</v>
      </c>
      <c r="M244">
        <v>0</v>
      </c>
      <c r="N244" t="s">
        <v>241</v>
      </c>
      <c r="O244">
        <v>10371.370000000001</v>
      </c>
      <c r="P244">
        <v>1947.9</v>
      </c>
      <c r="Q244">
        <f>tblMoeHistory[[#This Row],[Amount of IDEA Part B, Section 611 award]]+tblMoeHistory[[#This Row],[Amount of IDEA Part B, Section 619 award]]</f>
        <v>12319.27</v>
      </c>
      <c r="U2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 t="str">
        <f>IF(OR(IFERROR(SEARCH("Met",tblMoeHistory[[#This Row],[State and Local Per Capita Result]]),0)&gt;0,IFERROR(SEARCH("Met",tblMoeHistory[[#This Row],[State and Local Total Result]]),0)&gt;0),"Met","Not Met")</f>
        <v>Met</v>
      </c>
    </row>
    <row r="245" spans="1:22" x14ac:dyDescent="0.35">
      <c r="A245" t="s">
        <v>68</v>
      </c>
      <c r="B245">
        <v>2017</v>
      </c>
      <c r="C245" t="s">
        <v>159</v>
      </c>
      <c r="D245">
        <v>3</v>
      </c>
      <c r="E245">
        <v>6680</v>
      </c>
      <c r="F245">
        <v>2450</v>
      </c>
      <c r="G245">
        <f>tblMoeHistory[[#This Row],[LEA State and Local Amount]]+tblMoeHistory[[#This Row],[ESD State and Local Amount]]</f>
        <v>9130</v>
      </c>
      <c r="H245">
        <v>0</v>
      </c>
      <c r="I245" t="s">
        <v>241</v>
      </c>
      <c r="J245">
        <f>IFERROR(tblMoeHistory[[#This Row],[LEA State and Local Amount]]/tblMoeHistory[[#This Row],[Child Count]],0)</f>
        <v>2226.6666666666665</v>
      </c>
      <c r="K245">
        <f>IFERROR(tblMoeHistory[[#This Row],[ESD State and Local Amount]]/tblMoeHistory[[#This Row],[Child Count]],0)</f>
        <v>816.66666666666663</v>
      </c>
      <c r="L245">
        <f>IFERROR(tblMoeHistory[[#This Row],[State and Local Total Amount]]/tblMoeHistory[[#This Row],[Child Count]],0)</f>
        <v>3043.3333333333335</v>
      </c>
      <c r="M245">
        <v>0</v>
      </c>
      <c r="N245" t="s">
        <v>241</v>
      </c>
      <c r="O245">
        <v>2532.46</v>
      </c>
      <c r="P245">
        <v>1.99</v>
      </c>
      <c r="Q245">
        <f>tblMoeHistory[[#This Row],[Amount of IDEA Part B, Section 611 award]]+tblMoeHistory[[#This Row],[Amount of IDEA Part B, Section 619 award]]</f>
        <v>2534.4499999999998</v>
      </c>
      <c r="U2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 t="str">
        <f>IF(OR(IFERROR(SEARCH("Met",tblMoeHistory[[#This Row],[State and Local Per Capita Result]]),0)&gt;0,IFERROR(SEARCH("Met",tblMoeHistory[[#This Row],[State and Local Total Result]]),0)&gt;0),"Met","Not Met")</f>
        <v>Met</v>
      </c>
    </row>
    <row r="246" spans="1:22" x14ac:dyDescent="0.35">
      <c r="A246" t="s">
        <v>69</v>
      </c>
      <c r="B246">
        <v>2021</v>
      </c>
      <c r="C246" t="s">
        <v>159</v>
      </c>
      <c r="D246">
        <v>0</v>
      </c>
      <c r="E246">
        <v>2600</v>
      </c>
      <c r="F246">
        <v>190</v>
      </c>
      <c r="G246">
        <f>tblMoeHistory[[#This Row],[LEA State and Local Amount]]+tblMoeHistory[[#This Row],[ESD State and Local Amount]]</f>
        <v>2790</v>
      </c>
      <c r="H246">
        <v>0</v>
      </c>
      <c r="J246">
        <f>IFERROR(tblMoeHistory[[#This Row],[LEA State and Local Amount]]/tblMoeHistory[[#This Row],[Child Count]],0)</f>
        <v>0</v>
      </c>
      <c r="K246">
        <f>IFERROR(tblMoeHistory[[#This Row],[ESD State and Local Amount]]/tblMoeHistory[[#This Row],[Child Count]],0)</f>
        <v>0</v>
      </c>
      <c r="L246">
        <f>IFERROR(tblMoeHistory[[#This Row],[State and Local Total Amount]]/tblMoeHistory[[#This Row],[Child Count]],0)</f>
        <v>0</v>
      </c>
      <c r="M246">
        <v>0</v>
      </c>
      <c r="O246">
        <v>978.25</v>
      </c>
      <c r="P246">
        <v>0.36</v>
      </c>
      <c r="Q246">
        <f>tblMoeHistory[[#This Row],[Amount of IDEA Part B, Section 611 award]]+tblMoeHistory[[#This Row],[Amount of IDEA Part B, Section 619 award]]</f>
        <v>978.61</v>
      </c>
      <c r="U2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 t="str">
        <f>IF(OR(IFERROR(SEARCH("Met",tblMoeHistory[[#This Row],[State and Local Per Capita Result]]),0)&gt;0,IFERROR(SEARCH("Met",tblMoeHistory[[#This Row],[State and Local Total Result]]),0)&gt;0),"Met","Not Met")</f>
        <v>Not Met</v>
      </c>
    </row>
    <row r="247" spans="1:22" x14ac:dyDescent="0.35">
      <c r="A247" t="s">
        <v>70</v>
      </c>
      <c r="B247">
        <v>1993</v>
      </c>
      <c r="C247" t="s">
        <v>159</v>
      </c>
      <c r="D247">
        <v>25</v>
      </c>
      <c r="E247">
        <v>143786.20000000001</v>
      </c>
      <c r="F247">
        <v>38666.21</v>
      </c>
      <c r="G247">
        <f>tblMoeHistory[[#This Row],[LEA State and Local Amount]]+tblMoeHistory[[#This Row],[ESD State and Local Amount]]</f>
        <v>182452.41</v>
      </c>
      <c r="H247">
        <v>0</v>
      </c>
      <c r="I247" t="s">
        <v>241</v>
      </c>
      <c r="J247">
        <f>IFERROR(tblMoeHistory[[#This Row],[LEA State and Local Amount]]/tblMoeHistory[[#This Row],[Child Count]],0)</f>
        <v>5751.4480000000003</v>
      </c>
      <c r="K247">
        <f>IFERROR(tblMoeHistory[[#This Row],[ESD State and Local Amount]]/tblMoeHistory[[#This Row],[Child Count]],0)</f>
        <v>1546.6484</v>
      </c>
      <c r="L247">
        <f>IFERROR(tblMoeHistory[[#This Row],[State and Local Total Amount]]/tblMoeHistory[[#This Row],[Child Count]],0)</f>
        <v>7298.0964000000004</v>
      </c>
      <c r="M247">
        <v>0</v>
      </c>
      <c r="N247" t="s">
        <v>240</v>
      </c>
      <c r="O247">
        <v>53740.06</v>
      </c>
      <c r="P247">
        <v>745.45</v>
      </c>
      <c r="Q247">
        <f>tblMoeHistory[[#This Row],[Amount of IDEA Part B, Section 611 award]]+tblMoeHistory[[#This Row],[Amount of IDEA Part B, Section 619 award]]</f>
        <v>54485.509999999995</v>
      </c>
      <c r="U2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 t="str">
        <f>IF(OR(IFERROR(SEARCH("Met",tblMoeHistory[[#This Row],[State and Local Per Capita Result]]),0)&gt;0,IFERROR(SEARCH("Met",tblMoeHistory[[#This Row],[State and Local Total Result]]),0)&gt;0),"Met","Not Met")</f>
        <v>Met</v>
      </c>
    </row>
    <row r="248" spans="1:22" x14ac:dyDescent="0.35">
      <c r="A248" t="s">
        <v>71</v>
      </c>
      <c r="B248">
        <v>1991</v>
      </c>
      <c r="C248" t="s">
        <v>159</v>
      </c>
      <c r="D248">
        <v>682</v>
      </c>
      <c r="E248">
        <v>4568161.05</v>
      </c>
      <c r="F248">
        <v>1297083.9099999999</v>
      </c>
      <c r="G248">
        <f>tblMoeHistory[[#This Row],[LEA State and Local Amount]]+tblMoeHistory[[#This Row],[ESD State and Local Amount]]</f>
        <v>5865244.96</v>
      </c>
      <c r="H248">
        <v>0</v>
      </c>
      <c r="I248" t="s">
        <v>241</v>
      </c>
      <c r="J248">
        <f>IFERROR(tblMoeHistory[[#This Row],[LEA State and Local Amount]]/tblMoeHistory[[#This Row],[Child Count]],0)</f>
        <v>6698.1833577712605</v>
      </c>
      <c r="K248">
        <f>IFERROR(tblMoeHistory[[#This Row],[ESD State and Local Amount]]/tblMoeHistory[[#This Row],[Child Count]],0)</f>
        <v>1901.8825659824045</v>
      </c>
      <c r="L248">
        <f>IFERROR(tblMoeHistory[[#This Row],[State and Local Total Amount]]/tblMoeHistory[[#This Row],[Child Count]],0)</f>
        <v>8600.0659237536656</v>
      </c>
      <c r="M248">
        <v>0</v>
      </c>
      <c r="N248" t="s">
        <v>241</v>
      </c>
      <c r="O248">
        <v>1050073.79</v>
      </c>
      <c r="P248">
        <v>7463.69</v>
      </c>
      <c r="Q248">
        <f>tblMoeHistory[[#This Row],[Amount of IDEA Part B, Section 611 award]]+tblMoeHistory[[#This Row],[Amount of IDEA Part B, Section 619 award]]</f>
        <v>1057537.48</v>
      </c>
      <c r="U2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 t="str">
        <f>IF(OR(IFERROR(SEARCH("Met",tblMoeHistory[[#This Row],[State and Local Per Capita Result]]),0)&gt;0,IFERROR(SEARCH("Met",tblMoeHistory[[#This Row],[State and Local Total Result]]),0)&gt;0),"Met","Not Met")</f>
        <v>Met</v>
      </c>
    </row>
    <row r="249" spans="1:22" x14ac:dyDescent="0.35">
      <c r="A249" t="s">
        <v>72</v>
      </c>
      <c r="B249">
        <v>2019</v>
      </c>
      <c r="C249" t="s">
        <v>159</v>
      </c>
      <c r="D249">
        <v>2</v>
      </c>
      <c r="E249">
        <v>9799.61</v>
      </c>
      <c r="F249">
        <v>2070</v>
      </c>
      <c r="G249">
        <f>tblMoeHistory[[#This Row],[LEA State and Local Amount]]+tblMoeHistory[[#This Row],[ESD State and Local Amount]]</f>
        <v>11869.61</v>
      </c>
      <c r="H249">
        <v>0</v>
      </c>
      <c r="I249" t="s">
        <v>242</v>
      </c>
      <c r="J249">
        <f>IFERROR(tblMoeHistory[[#This Row],[LEA State and Local Amount]]/tblMoeHistory[[#This Row],[Child Count]],0)</f>
        <v>4899.8050000000003</v>
      </c>
      <c r="K249">
        <f>IFERROR(tblMoeHistory[[#This Row],[ESD State and Local Amount]]/tblMoeHistory[[#This Row],[Child Count]],0)</f>
        <v>1035</v>
      </c>
      <c r="L249">
        <f>IFERROR(tblMoeHistory[[#This Row],[State and Local Total Amount]]/tblMoeHistory[[#This Row],[Child Count]],0)</f>
        <v>5934.8050000000003</v>
      </c>
      <c r="M249">
        <v>0</v>
      </c>
      <c r="N249" t="s">
        <v>241</v>
      </c>
      <c r="O249">
        <v>2309.1</v>
      </c>
      <c r="P249">
        <v>1</v>
      </c>
      <c r="Q249">
        <f>tblMoeHistory[[#This Row],[Amount of IDEA Part B, Section 611 award]]+tblMoeHistory[[#This Row],[Amount of IDEA Part B, Section 619 award]]</f>
        <v>2310.1</v>
      </c>
      <c r="S249">
        <v>4435.8</v>
      </c>
      <c r="T249">
        <v>4435.8</v>
      </c>
      <c r="U2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 t="str">
        <f>IF(OR(IFERROR(SEARCH("Met",tblMoeHistory[[#This Row],[State and Local Per Capita Result]]),0)&gt;0,IFERROR(SEARCH("Met",tblMoeHistory[[#This Row],[State and Local Total Result]]),0)&gt;0),"Met","Not Met")</f>
        <v>Met</v>
      </c>
    </row>
    <row r="250" spans="1:22" x14ac:dyDescent="0.35">
      <c r="A250" t="s">
        <v>73</v>
      </c>
      <c r="B250">
        <v>2229</v>
      </c>
      <c r="C250" t="s">
        <v>159</v>
      </c>
      <c r="D250">
        <v>32</v>
      </c>
      <c r="E250">
        <v>185214.87</v>
      </c>
      <c r="F250">
        <v>0</v>
      </c>
      <c r="G250">
        <f>tblMoeHistory[[#This Row],[LEA State and Local Amount]]+tblMoeHistory[[#This Row],[ESD State and Local Amount]]</f>
        <v>185214.87</v>
      </c>
      <c r="H250">
        <v>0</v>
      </c>
      <c r="I250" t="s">
        <v>241</v>
      </c>
      <c r="J250">
        <f>IFERROR(tblMoeHistory[[#This Row],[LEA State and Local Amount]]/tblMoeHistory[[#This Row],[Child Count]],0)</f>
        <v>5787.9646874999999</v>
      </c>
      <c r="K250">
        <f>IFERROR(tblMoeHistory[[#This Row],[ESD State and Local Amount]]/tblMoeHistory[[#This Row],[Child Count]],0)</f>
        <v>0</v>
      </c>
      <c r="L250">
        <f>IFERROR(tblMoeHistory[[#This Row],[State and Local Total Amount]]/tblMoeHistory[[#This Row],[Child Count]],0)</f>
        <v>5787.9646874999999</v>
      </c>
      <c r="M250">
        <v>0</v>
      </c>
      <c r="N250" t="s">
        <v>241</v>
      </c>
      <c r="O250">
        <v>36261.56</v>
      </c>
      <c r="P250">
        <v>890.48</v>
      </c>
      <c r="Q250">
        <f>tblMoeHistory[[#This Row],[Amount of IDEA Part B, Section 611 award]]+tblMoeHistory[[#This Row],[Amount of IDEA Part B, Section 619 award]]</f>
        <v>37152.04</v>
      </c>
      <c r="S250">
        <v>32449.040000000001</v>
      </c>
      <c r="T250">
        <v>32449.040000000001</v>
      </c>
      <c r="U2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 t="str">
        <f>IF(OR(IFERROR(SEARCH("Met",tblMoeHistory[[#This Row],[State and Local Per Capita Result]]),0)&gt;0,IFERROR(SEARCH("Met",tblMoeHistory[[#This Row],[State and Local Total Result]]),0)&gt;0),"Met","Not Met")</f>
        <v>Met</v>
      </c>
    </row>
    <row r="251" spans="1:22" x14ac:dyDescent="0.35">
      <c r="A251" t="s">
        <v>74</v>
      </c>
      <c r="B251">
        <v>2043</v>
      </c>
      <c r="C251" t="s">
        <v>159</v>
      </c>
      <c r="D251">
        <v>496</v>
      </c>
      <c r="E251">
        <v>2959163.93</v>
      </c>
      <c r="F251">
        <v>872141.67</v>
      </c>
      <c r="G251">
        <f>tblMoeHistory[[#This Row],[LEA State and Local Amount]]+tblMoeHistory[[#This Row],[ESD State and Local Amount]]</f>
        <v>3831305.6</v>
      </c>
      <c r="H251">
        <v>0</v>
      </c>
      <c r="I251" t="s">
        <v>241</v>
      </c>
      <c r="J251">
        <f>IFERROR(tblMoeHistory[[#This Row],[LEA State and Local Amount]]/tblMoeHistory[[#This Row],[Child Count]],0)</f>
        <v>5966.0563104838711</v>
      </c>
      <c r="K251">
        <f>IFERROR(tblMoeHistory[[#This Row],[ESD State and Local Amount]]/tblMoeHistory[[#This Row],[Child Count]],0)</f>
        <v>1758.3501411290324</v>
      </c>
      <c r="L251">
        <f>IFERROR(tblMoeHistory[[#This Row],[State and Local Total Amount]]/tblMoeHistory[[#This Row],[Child Count]],0)</f>
        <v>7724.4064516129038</v>
      </c>
      <c r="M251">
        <v>0</v>
      </c>
      <c r="N251" t="s">
        <v>240</v>
      </c>
      <c r="O251">
        <v>681642.29</v>
      </c>
      <c r="P251">
        <v>5572.1</v>
      </c>
      <c r="Q251">
        <f>tblMoeHistory[[#This Row],[Amount of IDEA Part B, Section 611 award]]+tblMoeHistory[[#This Row],[Amount of IDEA Part B, Section 619 award]]</f>
        <v>687214.39</v>
      </c>
      <c r="U2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 t="str">
        <f>IF(OR(IFERROR(SEARCH("Met",tblMoeHistory[[#This Row],[State and Local Per Capita Result]]),0)&gt;0,IFERROR(SEARCH("Met",tblMoeHistory[[#This Row],[State and Local Total Result]]),0)&gt;0),"Met","Not Met")</f>
        <v>Met</v>
      </c>
    </row>
    <row r="252" spans="1:22" x14ac:dyDescent="0.35">
      <c r="A252" t="s">
        <v>75</v>
      </c>
      <c r="B252">
        <v>2203</v>
      </c>
      <c r="C252" t="s">
        <v>159</v>
      </c>
      <c r="D252">
        <v>30</v>
      </c>
      <c r="E252">
        <v>120205.07</v>
      </c>
      <c r="F252">
        <v>48719.75</v>
      </c>
      <c r="G252">
        <f>tblMoeHistory[[#This Row],[LEA State and Local Amount]]+tblMoeHistory[[#This Row],[ESD State and Local Amount]]</f>
        <v>168924.82</v>
      </c>
      <c r="H252">
        <v>0</v>
      </c>
      <c r="I252" t="s">
        <v>240</v>
      </c>
      <c r="J252">
        <f>IFERROR(tblMoeHistory[[#This Row],[LEA State and Local Amount]]/tblMoeHistory[[#This Row],[Child Count]],0)</f>
        <v>4006.8356666666668</v>
      </c>
      <c r="K252">
        <f>IFERROR(tblMoeHistory[[#This Row],[ESD State and Local Amount]]/tblMoeHistory[[#This Row],[Child Count]],0)</f>
        <v>1623.9916666666666</v>
      </c>
      <c r="L252">
        <f>IFERROR(tblMoeHistory[[#This Row],[State and Local Total Amount]]/tblMoeHistory[[#This Row],[Child Count]],0)</f>
        <v>5630.8273333333336</v>
      </c>
      <c r="M252">
        <v>0</v>
      </c>
      <c r="N252" t="s">
        <v>240</v>
      </c>
      <c r="O252">
        <v>41044.69</v>
      </c>
      <c r="P252">
        <v>256.11</v>
      </c>
      <c r="Q252">
        <f>tblMoeHistory[[#This Row],[Amount of IDEA Part B, Section 611 award]]+tblMoeHistory[[#This Row],[Amount of IDEA Part B, Section 619 award]]</f>
        <v>41300.800000000003</v>
      </c>
      <c r="U2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 t="str">
        <f>IF(OR(IFERROR(SEARCH("Met",tblMoeHistory[[#This Row],[State and Local Per Capita Result]]),0)&gt;0,IFERROR(SEARCH("Met",tblMoeHistory[[#This Row],[State and Local Total Result]]),0)&gt;0),"Met","Not Met")</f>
        <v>Not Met</v>
      </c>
    </row>
    <row r="253" spans="1:22" x14ac:dyDescent="0.35">
      <c r="A253" t="s">
        <v>76</v>
      </c>
      <c r="B253">
        <v>2217</v>
      </c>
      <c r="C253" t="s">
        <v>159</v>
      </c>
      <c r="D253">
        <v>72</v>
      </c>
      <c r="E253">
        <v>392193.57</v>
      </c>
      <c r="F253">
        <v>117640.38</v>
      </c>
      <c r="G253">
        <f>tblMoeHistory[[#This Row],[LEA State and Local Amount]]+tblMoeHistory[[#This Row],[ESD State and Local Amount]]</f>
        <v>509833.95</v>
      </c>
      <c r="H253">
        <v>0</v>
      </c>
      <c r="I253" t="s">
        <v>242</v>
      </c>
      <c r="J253">
        <f>IFERROR(tblMoeHistory[[#This Row],[LEA State and Local Amount]]/tblMoeHistory[[#This Row],[Child Count]],0)</f>
        <v>5447.1329166666665</v>
      </c>
      <c r="K253">
        <f>IFERROR(tblMoeHistory[[#This Row],[ESD State and Local Amount]]/tblMoeHistory[[#This Row],[Child Count]],0)</f>
        <v>1633.8941666666667</v>
      </c>
      <c r="L253">
        <f>IFERROR(tblMoeHistory[[#This Row],[State and Local Total Amount]]/tblMoeHistory[[#This Row],[Child Count]],0)</f>
        <v>7081.0270833333334</v>
      </c>
      <c r="M253">
        <v>0</v>
      </c>
      <c r="N253" t="s">
        <v>241</v>
      </c>
      <c r="O253">
        <v>80646.12</v>
      </c>
      <c r="P253">
        <v>292.44</v>
      </c>
      <c r="Q253">
        <f>tblMoeHistory[[#This Row],[Amount of IDEA Part B, Section 611 award]]+tblMoeHistory[[#This Row],[Amount of IDEA Part B, Section 619 award]]</f>
        <v>80938.559999999998</v>
      </c>
      <c r="S253">
        <v>97384.03</v>
      </c>
      <c r="T253">
        <v>97384.03</v>
      </c>
      <c r="U2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 t="str">
        <f>IF(OR(IFERROR(SEARCH("Met",tblMoeHistory[[#This Row],[State and Local Per Capita Result]]),0)&gt;0,IFERROR(SEARCH("Met",tblMoeHistory[[#This Row],[State and Local Total Result]]),0)&gt;0),"Met","Not Met")</f>
        <v>Met</v>
      </c>
    </row>
    <row r="254" spans="1:22" x14ac:dyDescent="0.35">
      <c r="A254" t="s">
        <v>77</v>
      </c>
      <c r="B254">
        <v>1998</v>
      </c>
      <c r="C254" t="s">
        <v>159</v>
      </c>
      <c r="D254">
        <v>36</v>
      </c>
      <c r="E254">
        <v>90362.41</v>
      </c>
      <c r="F254">
        <v>35933.24</v>
      </c>
      <c r="G254">
        <f>tblMoeHistory[[#This Row],[LEA State and Local Amount]]+tblMoeHistory[[#This Row],[ESD State and Local Amount]]</f>
        <v>126295.65</v>
      </c>
      <c r="H254">
        <v>0</v>
      </c>
      <c r="I254" t="s">
        <v>240</v>
      </c>
      <c r="J254">
        <f>IFERROR(tblMoeHistory[[#This Row],[LEA State and Local Amount]]/tblMoeHistory[[#This Row],[Child Count]],0)</f>
        <v>2510.0669444444447</v>
      </c>
      <c r="K254">
        <f>IFERROR(tblMoeHistory[[#This Row],[ESD State and Local Amount]]/tblMoeHistory[[#This Row],[Child Count]],0)</f>
        <v>998.14555555555546</v>
      </c>
      <c r="L254">
        <f>IFERROR(tblMoeHistory[[#This Row],[State and Local Total Amount]]/tblMoeHistory[[#This Row],[Child Count]],0)</f>
        <v>3508.2124999999996</v>
      </c>
      <c r="M254">
        <v>0</v>
      </c>
      <c r="N254" t="s">
        <v>240</v>
      </c>
      <c r="O254">
        <v>43803.6</v>
      </c>
      <c r="P254">
        <v>511.42</v>
      </c>
      <c r="Q254">
        <f>tblMoeHistory[[#This Row],[Amount of IDEA Part B, Section 611 award]]+tblMoeHistory[[#This Row],[Amount of IDEA Part B, Section 619 award]]</f>
        <v>44315.02</v>
      </c>
      <c r="U2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 t="str">
        <f>IF(OR(IFERROR(SEARCH("Met",tblMoeHistory[[#This Row],[State and Local Per Capita Result]]),0)&gt;0,IFERROR(SEARCH("Met",tblMoeHistory[[#This Row],[State and Local Total Result]]),0)&gt;0),"Met","Not Met")</f>
        <v>Not Met</v>
      </c>
    </row>
    <row r="255" spans="1:22" x14ac:dyDescent="0.35">
      <c r="A255" t="s">
        <v>78</v>
      </c>
      <c r="B255">
        <v>2221</v>
      </c>
      <c r="C255" t="s">
        <v>159</v>
      </c>
      <c r="D255">
        <v>54</v>
      </c>
      <c r="E255">
        <v>1561</v>
      </c>
      <c r="F255">
        <v>289324.27</v>
      </c>
      <c r="G255">
        <f>tblMoeHistory[[#This Row],[LEA State and Local Amount]]+tblMoeHistory[[#This Row],[ESD State and Local Amount]]</f>
        <v>290885.27</v>
      </c>
      <c r="H255">
        <v>0</v>
      </c>
      <c r="I255" t="s">
        <v>242</v>
      </c>
      <c r="J255">
        <f>IFERROR(tblMoeHistory[[#This Row],[LEA State and Local Amount]]/tblMoeHistory[[#This Row],[Child Count]],0)</f>
        <v>28.907407407407408</v>
      </c>
      <c r="K255">
        <f>IFERROR(tblMoeHistory[[#This Row],[ESD State and Local Amount]]/tblMoeHistory[[#This Row],[Child Count]],0)</f>
        <v>5357.8568518518523</v>
      </c>
      <c r="L255">
        <f>IFERROR(tblMoeHistory[[#This Row],[State and Local Total Amount]]/tblMoeHistory[[#This Row],[Child Count]],0)</f>
        <v>5386.7642592592592</v>
      </c>
      <c r="M255">
        <v>0</v>
      </c>
      <c r="N255" t="s">
        <v>241</v>
      </c>
      <c r="O255">
        <v>87945.14</v>
      </c>
      <c r="P255">
        <v>352.72</v>
      </c>
      <c r="Q255">
        <f>tblMoeHistory[[#This Row],[Amount of IDEA Part B, Section 611 award]]+tblMoeHistory[[#This Row],[Amount of IDEA Part B, Section 619 award]]</f>
        <v>88297.86</v>
      </c>
      <c r="S255">
        <v>79897.86</v>
      </c>
      <c r="T255">
        <v>79897.86</v>
      </c>
      <c r="U2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 t="str">
        <f>IF(OR(IFERROR(SEARCH("Met",tblMoeHistory[[#This Row],[State and Local Per Capita Result]]),0)&gt;0,IFERROR(SEARCH("Met",tblMoeHistory[[#This Row],[State and Local Total Result]]),0)&gt;0),"Met","Not Met")</f>
        <v>Met</v>
      </c>
    </row>
    <row r="256" spans="1:22" x14ac:dyDescent="0.35">
      <c r="A256" t="s">
        <v>79</v>
      </c>
      <c r="B256">
        <v>1930</v>
      </c>
      <c r="C256" t="s">
        <v>159</v>
      </c>
      <c r="D256">
        <v>365</v>
      </c>
      <c r="E256">
        <v>2447331.54</v>
      </c>
      <c r="F256">
        <v>701081</v>
      </c>
      <c r="G256">
        <f>tblMoeHistory[[#This Row],[LEA State and Local Amount]]+tblMoeHistory[[#This Row],[ESD State and Local Amount]]</f>
        <v>3148412.54</v>
      </c>
      <c r="H256">
        <v>0</v>
      </c>
      <c r="I256" t="s">
        <v>241</v>
      </c>
      <c r="J256">
        <f>IFERROR(tblMoeHistory[[#This Row],[LEA State and Local Amount]]/tblMoeHistory[[#This Row],[Child Count]],0)</f>
        <v>6705.017917808219</v>
      </c>
      <c r="K256">
        <f>IFERROR(tblMoeHistory[[#This Row],[ESD State and Local Amount]]/tblMoeHistory[[#This Row],[Child Count]],0)</f>
        <v>1920.7698630136986</v>
      </c>
      <c r="L256">
        <f>IFERROR(tblMoeHistory[[#This Row],[State and Local Total Amount]]/tblMoeHistory[[#This Row],[Child Count]],0)</f>
        <v>8625.7877808219182</v>
      </c>
      <c r="M256">
        <v>0</v>
      </c>
      <c r="N256" t="s">
        <v>240</v>
      </c>
      <c r="O256">
        <v>441748.4</v>
      </c>
      <c r="P256">
        <v>2988.94</v>
      </c>
      <c r="Q256">
        <f>tblMoeHistory[[#This Row],[Amount of IDEA Part B, Section 611 award]]+tblMoeHistory[[#This Row],[Amount of IDEA Part B, Section 619 award]]</f>
        <v>444737.34</v>
      </c>
      <c r="U2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6" t="str">
        <f>IF(OR(IFERROR(SEARCH("Met",tblMoeHistory[[#This Row],[State and Local Per Capita Result]]),0)&gt;0,IFERROR(SEARCH("Met",tblMoeHistory[[#This Row],[State and Local Total Result]]),0)&gt;0),"Met","Not Met")</f>
        <v>Met</v>
      </c>
    </row>
    <row r="257" spans="1:22" x14ac:dyDescent="0.35">
      <c r="A257" t="s">
        <v>80</v>
      </c>
      <c r="B257">
        <v>2082</v>
      </c>
      <c r="C257" t="s">
        <v>159</v>
      </c>
      <c r="D257">
        <v>2367</v>
      </c>
      <c r="E257">
        <v>18314780.960000001</v>
      </c>
      <c r="F257">
        <v>3616441</v>
      </c>
      <c r="G257">
        <f>tblMoeHistory[[#This Row],[LEA State and Local Amount]]+tblMoeHistory[[#This Row],[ESD State and Local Amount]]</f>
        <v>21931221.960000001</v>
      </c>
      <c r="H257">
        <v>0</v>
      </c>
      <c r="I257" t="s">
        <v>241</v>
      </c>
      <c r="J257">
        <f>IFERROR(tblMoeHistory[[#This Row],[LEA State and Local Amount]]/tblMoeHistory[[#This Row],[Child Count]],0)</f>
        <v>7737.5500464723282</v>
      </c>
      <c r="K257">
        <f>IFERROR(tblMoeHistory[[#This Row],[ESD State and Local Amount]]/tblMoeHistory[[#This Row],[Child Count]],0)</f>
        <v>1527.8584706379384</v>
      </c>
      <c r="L257">
        <f>IFERROR(tblMoeHistory[[#This Row],[State and Local Total Amount]]/tblMoeHistory[[#This Row],[Child Count]],0)</f>
        <v>9265.408517110267</v>
      </c>
      <c r="M257">
        <v>0</v>
      </c>
      <c r="N257" t="s">
        <v>241</v>
      </c>
      <c r="O257">
        <v>3007759.48</v>
      </c>
      <c r="P257">
        <v>28061.439999999999</v>
      </c>
      <c r="Q257">
        <f>tblMoeHistory[[#This Row],[Amount of IDEA Part B, Section 611 award]]+tblMoeHistory[[#This Row],[Amount of IDEA Part B, Section 619 award]]</f>
        <v>3035820.92</v>
      </c>
      <c r="U2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7" t="str">
        <f>IF(OR(IFERROR(SEARCH("Met",tblMoeHistory[[#This Row],[State and Local Per Capita Result]]),0)&gt;0,IFERROR(SEARCH("Met",tblMoeHistory[[#This Row],[State and Local Total Result]]),0)&gt;0),"Met","Not Met")</f>
        <v>Met</v>
      </c>
    </row>
    <row r="258" spans="1:22" x14ac:dyDescent="0.35">
      <c r="A258" t="s">
        <v>81</v>
      </c>
      <c r="B258">
        <v>2193</v>
      </c>
      <c r="C258" t="s">
        <v>159</v>
      </c>
      <c r="D258">
        <v>39</v>
      </c>
      <c r="E258">
        <v>252128.49</v>
      </c>
      <c r="F258">
        <v>21890.97</v>
      </c>
      <c r="G258">
        <f>tblMoeHistory[[#This Row],[LEA State and Local Amount]]+tblMoeHistory[[#This Row],[ESD State and Local Amount]]</f>
        <v>274019.45999999996</v>
      </c>
      <c r="H258">
        <v>0</v>
      </c>
      <c r="I258" t="s">
        <v>239</v>
      </c>
      <c r="J258">
        <f>IFERROR(tblMoeHistory[[#This Row],[LEA State and Local Amount]]/tblMoeHistory[[#This Row],[Child Count]],0)</f>
        <v>6464.833076923077</v>
      </c>
      <c r="K258">
        <f>IFERROR(tblMoeHistory[[#This Row],[ESD State and Local Amount]]/tblMoeHistory[[#This Row],[Child Count]],0)</f>
        <v>561.30692307692311</v>
      </c>
      <c r="L258">
        <f>IFERROR(tblMoeHistory[[#This Row],[State and Local Total Amount]]/tblMoeHistory[[#This Row],[Child Count]],0)</f>
        <v>7026.1399999999994</v>
      </c>
      <c r="M258">
        <v>0</v>
      </c>
      <c r="N258" t="s">
        <v>239</v>
      </c>
      <c r="O258">
        <v>37416.51</v>
      </c>
      <c r="P258">
        <v>0</v>
      </c>
      <c r="Q258">
        <f>tblMoeHistory[[#This Row],[Amount of IDEA Part B, Section 611 award]]+tblMoeHistory[[#This Row],[Amount of IDEA Part B, Section 619 award]]</f>
        <v>37416.51</v>
      </c>
      <c r="U2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8" t="str">
        <f>IF(OR(IFERROR(SEARCH("Met",tblMoeHistory[[#This Row],[State and Local Per Capita Result]]),0)&gt;0,IFERROR(SEARCH("Met",tblMoeHistory[[#This Row],[State and Local Total Result]]),0)&gt;0),"Met","Not Met")</f>
        <v>Met</v>
      </c>
    </row>
    <row r="259" spans="1:22" x14ac:dyDescent="0.35">
      <c r="A259" t="s">
        <v>82</v>
      </c>
      <c r="B259">
        <v>2084</v>
      </c>
      <c r="C259" t="s">
        <v>159</v>
      </c>
      <c r="D259">
        <v>301</v>
      </c>
      <c r="E259">
        <v>2211640.41</v>
      </c>
      <c r="F259">
        <v>698480</v>
      </c>
      <c r="G259">
        <f>tblMoeHistory[[#This Row],[LEA State and Local Amount]]+tblMoeHistory[[#This Row],[ESD State and Local Amount]]</f>
        <v>2910120.41</v>
      </c>
      <c r="H259">
        <v>0</v>
      </c>
      <c r="I259" t="s">
        <v>241</v>
      </c>
      <c r="J259">
        <f>IFERROR(tblMoeHistory[[#This Row],[LEA State and Local Amount]]/tblMoeHistory[[#This Row],[Child Count]],0)</f>
        <v>7347.6425581395351</v>
      </c>
      <c r="K259">
        <f>IFERROR(tblMoeHistory[[#This Row],[ESD State and Local Amount]]/tblMoeHistory[[#This Row],[Child Count]],0)</f>
        <v>2320.5315614617939</v>
      </c>
      <c r="L259">
        <f>IFERROR(tblMoeHistory[[#This Row],[State and Local Total Amount]]/tblMoeHistory[[#This Row],[Child Count]],0)</f>
        <v>9668.1741196013299</v>
      </c>
      <c r="M259">
        <v>0</v>
      </c>
      <c r="N259" t="s">
        <v>240</v>
      </c>
      <c r="O259">
        <v>282149.7</v>
      </c>
      <c r="P259">
        <v>1305.78</v>
      </c>
      <c r="Q259">
        <f>tblMoeHistory[[#This Row],[Amount of IDEA Part B, Section 611 award]]+tblMoeHistory[[#This Row],[Amount of IDEA Part B, Section 619 award]]</f>
        <v>283455.48000000004</v>
      </c>
      <c r="U2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9" t="str">
        <f>IF(OR(IFERROR(SEARCH("Met",tblMoeHistory[[#This Row],[State and Local Per Capita Result]]),0)&gt;0,IFERROR(SEARCH("Met",tblMoeHistory[[#This Row],[State and Local Total Result]]),0)&gt;0),"Met","Not Met")</f>
        <v>Met</v>
      </c>
    </row>
    <row r="260" spans="1:22" x14ac:dyDescent="0.35">
      <c r="A260" t="s">
        <v>83</v>
      </c>
      <c r="B260">
        <v>2241</v>
      </c>
      <c r="C260" t="s">
        <v>159</v>
      </c>
      <c r="D260">
        <v>818</v>
      </c>
      <c r="E260">
        <v>9189295.8399999999</v>
      </c>
      <c r="F260">
        <v>769614</v>
      </c>
      <c r="G260">
        <f>tblMoeHistory[[#This Row],[LEA State and Local Amount]]+tblMoeHistory[[#This Row],[ESD State and Local Amount]]</f>
        <v>9958909.8399999999</v>
      </c>
      <c r="H260">
        <v>0</v>
      </c>
      <c r="I260" t="s">
        <v>241</v>
      </c>
      <c r="J260">
        <f>IFERROR(tblMoeHistory[[#This Row],[LEA State and Local Amount]]/tblMoeHistory[[#This Row],[Child Count]],0)</f>
        <v>11233.857995110024</v>
      </c>
      <c r="K260">
        <f>IFERROR(tblMoeHistory[[#This Row],[ESD State and Local Amount]]/tblMoeHistory[[#This Row],[Child Count]],0)</f>
        <v>940.84841075794623</v>
      </c>
      <c r="L260">
        <f>IFERROR(tblMoeHistory[[#This Row],[State and Local Total Amount]]/tblMoeHistory[[#This Row],[Child Count]],0)</f>
        <v>12174.70640586797</v>
      </c>
      <c r="M260">
        <v>0</v>
      </c>
      <c r="N260" t="s">
        <v>241</v>
      </c>
      <c r="O260">
        <v>958771.21</v>
      </c>
      <c r="P260">
        <v>8165.55</v>
      </c>
      <c r="Q260">
        <f>tblMoeHistory[[#This Row],[Amount of IDEA Part B, Section 611 award]]+tblMoeHistory[[#This Row],[Amount of IDEA Part B, Section 619 award]]</f>
        <v>966936.76</v>
      </c>
      <c r="U2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0" t="str">
        <f>IF(OR(IFERROR(SEARCH("Met",tblMoeHistory[[#This Row],[State and Local Per Capita Result]]),0)&gt;0,IFERROR(SEARCH("Met",tblMoeHistory[[#This Row],[State and Local Total Result]]),0)&gt;0),"Met","Not Met")</f>
        <v>Met</v>
      </c>
    </row>
    <row r="261" spans="1:22" x14ac:dyDescent="0.35">
      <c r="A261" t="s">
        <v>84</v>
      </c>
      <c r="B261">
        <v>2248</v>
      </c>
      <c r="C261" t="s">
        <v>159</v>
      </c>
      <c r="D261">
        <v>15</v>
      </c>
      <c r="E261">
        <v>64337.56</v>
      </c>
      <c r="F261">
        <v>23705</v>
      </c>
      <c r="G261">
        <f>tblMoeHistory[[#This Row],[LEA State and Local Amount]]+tblMoeHistory[[#This Row],[ESD State and Local Amount]]</f>
        <v>88042.559999999998</v>
      </c>
      <c r="H261">
        <v>0</v>
      </c>
      <c r="I261" t="s">
        <v>241</v>
      </c>
      <c r="J261">
        <f>IFERROR(tblMoeHistory[[#This Row],[LEA State and Local Amount]]/tblMoeHistory[[#This Row],[Child Count]],0)</f>
        <v>4289.1706666666669</v>
      </c>
      <c r="K261">
        <f>IFERROR(tblMoeHistory[[#This Row],[ESD State and Local Amount]]/tblMoeHistory[[#This Row],[Child Count]],0)</f>
        <v>1580.3333333333333</v>
      </c>
      <c r="L261">
        <f>IFERROR(tblMoeHistory[[#This Row],[State and Local Total Amount]]/tblMoeHistory[[#This Row],[Child Count]],0)</f>
        <v>5869.5039999999999</v>
      </c>
      <c r="M261">
        <v>0</v>
      </c>
      <c r="N261" t="s">
        <v>240</v>
      </c>
      <c r="O261">
        <v>17645.62</v>
      </c>
      <c r="P261">
        <v>12.06</v>
      </c>
      <c r="Q261">
        <f>tblMoeHistory[[#This Row],[Amount of IDEA Part B, Section 611 award]]+tblMoeHistory[[#This Row],[Amount of IDEA Part B, Section 619 award]]</f>
        <v>17657.68</v>
      </c>
      <c r="U2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1" t="str">
        <f>IF(OR(IFERROR(SEARCH("Met",tblMoeHistory[[#This Row],[State and Local Per Capita Result]]),0)&gt;0,IFERROR(SEARCH("Met",tblMoeHistory[[#This Row],[State and Local Total Result]]),0)&gt;0),"Met","Not Met")</f>
        <v>Met</v>
      </c>
    </row>
    <row r="262" spans="1:22" x14ac:dyDescent="0.35">
      <c r="A262" t="s">
        <v>85</v>
      </c>
      <c r="B262">
        <v>2020</v>
      </c>
      <c r="C262" t="s">
        <v>159</v>
      </c>
      <c r="D262">
        <v>1</v>
      </c>
      <c r="E262">
        <v>7870</v>
      </c>
      <c r="F262">
        <v>1880</v>
      </c>
      <c r="G262">
        <f>tblMoeHistory[[#This Row],[LEA State and Local Amount]]+tblMoeHistory[[#This Row],[ESD State and Local Amount]]</f>
        <v>9750</v>
      </c>
      <c r="H262">
        <v>0</v>
      </c>
      <c r="I262" t="s">
        <v>242</v>
      </c>
      <c r="J262">
        <f>IFERROR(tblMoeHistory[[#This Row],[LEA State and Local Amount]]/tblMoeHistory[[#This Row],[Child Count]],0)</f>
        <v>7870</v>
      </c>
      <c r="K262">
        <f>IFERROR(tblMoeHistory[[#This Row],[ESD State and Local Amount]]/tblMoeHistory[[#This Row],[Child Count]],0)</f>
        <v>1880</v>
      </c>
      <c r="L262">
        <f>IFERROR(tblMoeHistory[[#This Row],[State and Local Total Amount]]/tblMoeHistory[[#This Row],[Child Count]],0)</f>
        <v>9750</v>
      </c>
      <c r="M262">
        <v>0</v>
      </c>
      <c r="N262" t="s">
        <v>241</v>
      </c>
      <c r="O262">
        <v>1383.06</v>
      </c>
      <c r="P262">
        <v>1.0900000000000001</v>
      </c>
      <c r="Q262">
        <f>tblMoeHistory[[#This Row],[Amount of IDEA Part B, Section 611 award]]+tblMoeHistory[[#This Row],[Amount of IDEA Part B, Section 619 award]]</f>
        <v>1384.1499999999999</v>
      </c>
      <c r="S262">
        <v>5164</v>
      </c>
      <c r="T262">
        <v>5164</v>
      </c>
      <c r="U2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2" t="str">
        <f>IF(OR(IFERROR(SEARCH("Met",tblMoeHistory[[#This Row],[State and Local Per Capita Result]]),0)&gt;0,IFERROR(SEARCH("Met",tblMoeHistory[[#This Row],[State and Local Total Result]]),0)&gt;0),"Met","Not Met")</f>
        <v>Met</v>
      </c>
    </row>
    <row r="263" spans="1:22" x14ac:dyDescent="0.35">
      <c r="A263" t="s">
        <v>86</v>
      </c>
      <c r="B263">
        <v>2245</v>
      </c>
      <c r="C263" t="s">
        <v>159</v>
      </c>
      <c r="D263">
        <v>79</v>
      </c>
      <c r="E263">
        <v>686742.16</v>
      </c>
      <c r="F263">
        <v>50904</v>
      </c>
      <c r="G263">
        <f>tblMoeHistory[[#This Row],[LEA State and Local Amount]]+tblMoeHistory[[#This Row],[ESD State and Local Amount]]</f>
        <v>737646.16</v>
      </c>
      <c r="H263">
        <v>0</v>
      </c>
      <c r="I263" t="s">
        <v>241</v>
      </c>
      <c r="J263">
        <f>IFERROR(tblMoeHistory[[#This Row],[LEA State and Local Amount]]/tblMoeHistory[[#This Row],[Child Count]],0)</f>
        <v>8692.9387341772162</v>
      </c>
      <c r="K263">
        <f>IFERROR(tblMoeHistory[[#This Row],[ESD State and Local Amount]]/tblMoeHistory[[#This Row],[Child Count]],0)</f>
        <v>644.35443037974687</v>
      </c>
      <c r="L263">
        <f>IFERROR(tblMoeHistory[[#This Row],[State and Local Total Amount]]/tblMoeHistory[[#This Row],[Child Count]],0)</f>
        <v>9337.2931645569624</v>
      </c>
      <c r="M263">
        <v>0</v>
      </c>
      <c r="N263" t="s">
        <v>240</v>
      </c>
      <c r="O263">
        <v>87935.4</v>
      </c>
      <c r="P263">
        <v>1099.3399999999999</v>
      </c>
      <c r="Q263">
        <f>tblMoeHistory[[#This Row],[Amount of IDEA Part B, Section 611 award]]+tblMoeHistory[[#This Row],[Amount of IDEA Part B, Section 619 award]]</f>
        <v>89034.739999999991</v>
      </c>
      <c r="U2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3" t="str">
        <f>IF(OR(IFERROR(SEARCH("Met",tblMoeHistory[[#This Row],[State and Local Per Capita Result]]),0)&gt;0,IFERROR(SEARCH("Met",tblMoeHistory[[#This Row],[State and Local Total Result]]),0)&gt;0),"Met","Not Met")</f>
        <v>Met</v>
      </c>
    </row>
    <row r="264" spans="1:22" x14ac:dyDescent="0.35">
      <c r="A264" t="s">
        <v>87</v>
      </c>
      <c r="B264">
        <v>2137</v>
      </c>
      <c r="C264" t="s">
        <v>159</v>
      </c>
      <c r="D264">
        <v>160</v>
      </c>
      <c r="E264">
        <v>1222559.73</v>
      </c>
      <c r="F264">
        <v>183736.68</v>
      </c>
      <c r="G264">
        <f>tblMoeHistory[[#This Row],[LEA State and Local Amount]]+tblMoeHistory[[#This Row],[ESD State and Local Amount]]</f>
        <v>1406296.41</v>
      </c>
      <c r="H264">
        <v>0</v>
      </c>
      <c r="I264" t="s">
        <v>241</v>
      </c>
      <c r="J264">
        <f>IFERROR(tblMoeHistory[[#This Row],[LEA State and Local Amount]]/tblMoeHistory[[#This Row],[Child Count]],0)</f>
        <v>7640.9983124999999</v>
      </c>
      <c r="K264">
        <f>IFERROR(tblMoeHistory[[#This Row],[ESD State and Local Amount]]/tblMoeHistory[[#This Row],[Child Count]],0)</f>
        <v>1148.3542499999999</v>
      </c>
      <c r="L264">
        <f>IFERROR(tblMoeHistory[[#This Row],[State and Local Total Amount]]/tblMoeHistory[[#This Row],[Child Count]],0)</f>
        <v>8789.3525625000002</v>
      </c>
      <c r="M264">
        <v>0</v>
      </c>
      <c r="N264" t="s">
        <v>241</v>
      </c>
      <c r="O264">
        <v>227263.34</v>
      </c>
      <c r="P264">
        <v>946.26</v>
      </c>
      <c r="Q264">
        <f>tblMoeHistory[[#This Row],[Amount of IDEA Part B, Section 611 award]]+tblMoeHistory[[#This Row],[Amount of IDEA Part B, Section 619 award]]</f>
        <v>228209.6</v>
      </c>
      <c r="U2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4" t="str">
        <f>IF(OR(IFERROR(SEARCH("Met",tblMoeHistory[[#This Row],[State and Local Per Capita Result]]),0)&gt;0,IFERROR(SEARCH("Met",tblMoeHistory[[#This Row],[State and Local Total Result]]),0)&gt;0),"Met","Not Met")</f>
        <v>Met</v>
      </c>
    </row>
    <row r="265" spans="1:22" x14ac:dyDescent="0.35">
      <c r="A265" t="s">
        <v>88</v>
      </c>
      <c r="B265">
        <v>1931</v>
      </c>
      <c r="C265" t="s">
        <v>159</v>
      </c>
      <c r="D265">
        <v>274</v>
      </c>
      <c r="E265">
        <v>2203833.5299999998</v>
      </c>
      <c r="F265">
        <v>197729</v>
      </c>
      <c r="G265">
        <f>tblMoeHistory[[#This Row],[LEA State and Local Amount]]+tblMoeHistory[[#This Row],[ESD State and Local Amount]]</f>
        <v>2401562.5299999998</v>
      </c>
      <c r="H265">
        <v>0</v>
      </c>
      <c r="I265" t="s">
        <v>241</v>
      </c>
      <c r="J265">
        <f>IFERROR(tblMoeHistory[[#This Row],[LEA State and Local Amount]]/tblMoeHistory[[#This Row],[Child Count]],0)</f>
        <v>8043.18806569343</v>
      </c>
      <c r="K265">
        <f>IFERROR(tblMoeHistory[[#This Row],[ESD State and Local Amount]]/tblMoeHistory[[#This Row],[Child Count]],0)</f>
        <v>721.63868613138686</v>
      </c>
      <c r="L265">
        <f>IFERROR(tblMoeHistory[[#This Row],[State and Local Total Amount]]/tblMoeHistory[[#This Row],[Child Count]],0)</f>
        <v>8764.8267518248176</v>
      </c>
      <c r="M265">
        <v>0</v>
      </c>
      <c r="N265" t="s">
        <v>241</v>
      </c>
      <c r="O265">
        <v>397897.81</v>
      </c>
      <c r="P265">
        <v>1635.3</v>
      </c>
      <c r="Q265">
        <f>tblMoeHistory[[#This Row],[Amount of IDEA Part B, Section 611 award]]+tblMoeHistory[[#This Row],[Amount of IDEA Part B, Section 619 award]]</f>
        <v>399533.11</v>
      </c>
      <c r="U2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5" t="str">
        <f>IF(OR(IFERROR(SEARCH("Met",tblMoeHistory[[#This Row],[State and Local Per Capita Result]]),0)&gt;0,IFERROR(SEARCH("Met",tblMoeHistory[[#This Row],[State and Local Total Result]]),0)&gt;0),"Met","Not Met")</f>
        <v>Met</v>
      </c>
    </row>
    <row r="266" spans="1:22" x14ac:dyDescent="0.35">
      <c r="A266" t="s">
        <v>89</v>
      </c>
      <c r="B266">
        <v>2000</v>
      </c>
      <c r="C266" t="s">
        <v>159</v>
      </c>
      <c r="D266">
        <v>42</v>
      </c>
      <c r="E266">
        <v>365994.92</v>
      </c>
      <c r="F266">
        <v>67855.83</v>
      </c>
      <c r="G266">
        <f>tblMoeHistory[[#This Row],[LEA State and Local Amount]]+tblMoeHistory[[#This Row],[ESD State and Local Amount]]</f>
        <v>433850.75</v>
      </c>
      <c r="H266">
        <v>0</v>
      </c>
      <c r="I266" t="s">
        <v>242</v>
      </c>
      <c r="J266">
        <f>IFERROR(tblMoeHistory[[#This Row],[LEA State and Local Amount]]/tblMoeHistory[[#This Row],[Child Count]],0)</f>
        <v>8714.1647619047617</v>
      </c>
      <c r="K266">
        <f>IFERROR(tblMoeHistory[[#This Row],[ESD State and Local Amount]]/tblMoeHistory[[#This Row],[Child Count]],0)</f>
        <v>1615.615</v>
      </c>
      <c r="L266">
        <f>IFERROR(tblMoeHistory[[#This Row],[State and Local Total Amount]]/tblMoeHistory[[#This Row],[Child Count]],0)</f>
        <v>10329.779761904761</v>
      </c>
      <c r="M266">
        <v>0</v>
      </c>
      <c r="N266" t="s">
        <v>241</v>
      </c>
      <c r="O266">
        <v>72311.95</v>
      </c>
      <c r="P266">
        <v>528.41999999999996</v>
      </c>
      <c r="Q266">
        <f>tblMoeHistory[[#This Row],[Amount of IDEA Part B, Section 611 award]]+tblMoeHistory[[#This Row],[Amount of IDEA Part B, Section 619 award]]</f>
        <v>72840.37</v>
      </c>
      <c r="S266">
        <v>95921.48</v>
      </c>
      <c r="T266">
        <v>95921.48</v>
      </c>
      <c r="U2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6" t="str">
        <f>IF(OR(IFERROR(SEARCH("Met",tblMoeHistory[[#This Row],[State and Local Per Capita Result]]),0)&gt;0,IFERROR(SEARCH("Met",tblMoeHistory[[#This Row],[State and Local Total Result]]),0)&gt;0),"Met","Not Met")</f>
        <v>Met</v>
      </c>
    </row>
    <row r="267" spans="1:22" x14ac:dyDescent="0.35">
      <c r="A267" t="s">
        <v>90</v>
      </c>
      <c r="B267">
        <v>1992</v>
      </c>
      <c r="C267" t="s">
        <v>159</v>
      </c>
      <c r="D267">
        <v>82</v>
      </c>
      <c r="E267">
        <v>501568.58</v>
      </c>
      <c r="F267">
        <v>112056.18</v>
      </c>
      <c r="G267">
        <f>tblMoeHistory[[#This Row],[LEA State and Local Amount]]+tblMoeHistory[[#This Row],[ESD State and Local Amount]]</f>
        <v>613624.76</v>
      </c>
      <c r="H267">
        <v>0</v>
      </c>
      <c r="I267" t="s">
        <v>242</v>
      </c>
      <c r="J267">
        <f>IFERROR(tblMoeHistory[[#This Row],[LEA State and Local Amount]]/tblMoeHistory[[#This Row],[Child Count]],0)</f>
        <v>6116.6900000000005</v>
      </c>
      <c r="K267">
        <f>IFERROR(tblMoeHistory[[#This Row],[ESD State and Local Amount]]/tblMoeHistory[[#This Row],[Child Count]],0)</f>
        <v>1366.5387804878048</v>
      </c>
      <c r="L267">
        <f>IFERROR(tblMoeHistory[[#This Row],[State and Local Total Amount]]/tblMoeHistory[[#This Row],[Child Count]],0)</f>
        <v>7483.2287804878051</v>
      </c>
      <c r="M267">
        <v>0</v>
      </c>
      <c r="N267" t="s">
        <v>242</v>
      </c>
      <c r="O267">
        <v>154114.44</v>
      </c>
      <c r="P267">
        <v>441.68</v>
      </c>
      <c r="Q267">
        <f>tblMoeHistory[[#This Row],[Amount of IDEA Part B, Section 611 award]]+tblMoeHistory[[#This Row],[Amount of IDEA Part B, Section 619 award]]</f>
        <v>154556.12</v>
      </c>
      <c r="S267">
        <v>115334.04</v>
      </c>
      <c r="T267">
        <v>115334.04</v>
      </c>
      <c r="U2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7" t="str">
        <f>IF(OR(IFERROR(SEARCH("Met",tblMoeHistory[[#This Row],[State and Local Per Capita Result]]),0)&gt;0,IFERROR(SEARCH("Met",tblMoeHistory[[#This Row],[State and Local Total Result]]),0)&gt;0),"Met","Not Met")</f>
        <v>Met</v>
      </c>
    </row>
    <row r="268" spans="1:22" x14ac:dyDescent="0.35">
      <c r="A268" t="s">
        <v>91</v>
      </c>
      <c r="B268">
        <v>2054</v>
      </c>
      <c r="C268" t="s">
        <v>159</v>
      </c>
      <c r="D268">
        <v>613</v>
      </c>
      <c r="E268">
        <v>3779612.13</v>
      </c>
      <c r="F268">
        <v>161559.28</v>
      </c>
      <c r="G268">
        <f>tblMoeHistory[[#This Row],[LEA State and Local Amount]]+tblMoeHistory[[#This Row],[ESD State and Local Amount]]</f>
        <v>3941171.4099999997</v>
      </c>
      <c r="H268">
        <v>0</v>
      </c>
      <c r="I268" t="s">
        <v>241</v>
      </c>
      <c r="J268">
        <f>IFERROR(tblMoeHistory[[#This Row],[LEA State and Local Amount]]/tblMoeHistory[[#This Row],[Child Count]],0)</f>
        <v>6165.762039151713</v>
      </c>
      <c r="K268">
        <f>IFERROR(tblMoeHistory[[#This Row],[ESD State and Local Amount]]/tblMoeHistory[[#This Row],[Child Count]],0)</f>
        <v>263.55510603588908</v>
      </c>
      <c r="L268">
        <f>IFERROR(tblMoeHistory[[#This Row],[State and Local Total Amount]]/tblMoeHistory[[#This Row],[Child Count]],0)</f>
        <v>6429.3171451876015</v>
      </c>
      <c r="M268">
        <v>0</v>
      </c>
      <c r="N268" t="s">
        <v>241</v>
      </c>
      <c r="O268">
        <v>793633.72</v>
      </c>
      <c r="P268">
        <v>7520.69</v>
      </c>
      <c r="Q268">
        <f>tblMoeHistory[[#This Row],[Amount of IDEA Part B, Section 611 award]]+tblMoeHistory[[#This Row],[Amount of IDEA Part B, Section 619 award]]</f>
        <v>801154.40999999992</v>
      </c>
      <c r="U2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8" t="str">
        <f>IF(OR(IFERROR(SEARCH("Met",tblMoeHistory[[#This Row],[State and Local Per Capita Result]]),0)&gt;0,IFERROR(SEARCH("Met",tblMoeHistory[[#This Row],[State and Local Total Result]]),0)&gt;0),"Met","Not Met")</f>
        <v>Met</v>
      </c>
    </row>
    <row r="269" spans="1:22" x14ac:dyDescent="0.35">
      <c r="A269" t="s">
        <v>92</v>
      </c>
      <c r="B269">
        <v>2100</v>
      </c>
      <c r="C269" t="s">
        <v>159</v>
      </c>
      <c r="D269">
        <v>1200</v>
      </c>
      <c r="E269">
        <v>10299075.33</v>
      </c>
      <c r="F269">
        <v>822143</v>
      </c>
      <c r="G269">
        <f>tblMoeHistory[[#This Row],[LEA State and Local Amount]]+tblMoeHistory[[#This Row],[ESD State and Local Amount]]</f>
        <v>11121218.33</v>
      </c>
      <c r="H269">
        <v>0</v>
      </c>
      <c r="I269" t="s">
        <v>241</v>
      </c>
      <c r="J269">
        <f>IFERROR(tblMoeHistory[[#This Row],[LEA State and Local Amount]]/tblMoeHistory[[#This Row],[Child Count]],0)</f>
        <v>8582.5627750000003</v>
      </c>
      <c r="K269">
        <f>IFERROR(tblMoeHistory[[#This Row],[ESD State and Local Amount]]/tblMoeHistory[[#This Row],[Child Count]],0)</f>
        <v>685.11916666666662</v>
      </c>
      <c r="L269">
        <f>IFERROR(tblMoeHistory[[#This Row],[State and Local Total Amount]]/tblMoeHistory[[#This Row],[Child Count]],0)</f>
        <v>9267.6819416666676</v>
      </c>
      <c r="M269">
        <v>0</v>
      </c>
      <c r="N269" t="s">
        <v>241</v>
      </c>
      <c r="O269">
        <v>1463409.94</v>
      </c>
      <c r="P269">
        <v>9736.94</v>
      </c>
      <c r="Q269">
        <f>tblMoeHistory[[#This Row],[Amount of IDEA Part B, Section 611 award]]+tblMoeHistory[[#This Row],[Amount of IDEA Part B, Section 619 award]]</f>
        <v>1473146.8799999999</v>
      </c>
      <c r="U2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9" t="str">
        <f>IF(OR(IFERROR(SEARCH("Met",tblMoeHistory[[#This Row],[State and Local Per Capita Result]]),0)&gt;0,IFERROR(SEARCH("Met",tblMoeHistory[[#This Row],[State and Local Total Result]]),0)&gt;0),"Met","Not Met")</f>
        <v>Met</v>
      </c>
    </row>
    <row r="270" spans="1:22" x14ac:dyDescent="0.35">
      <c r="A270" t="s">
        <v>93</v>
      </c>
      <c r="B270">
        <v>2183</v>
      </c>
      <c r="C270" t="s">
        <v>159</v>
      </c>
      <c r="D270">
        <v>1284</v>
      </c>
      <c r="E270">
        <v>11519688.17</v>
      </c>
      <c r="F270">
        <v>1885573</v>
      </c>
      <c r="G270">
        <f>tblMoeHistory[[#This Row],[LEA State and Local Amount]]+tblMoeHistory[[#This Row],[ESD State and Local Amount]]</f>
        <v>13405261.17</v>
      </c>
      <c r="H270">
        <v>0</v>
      </c>
      <c r="I270" t="s">
        <v>241</v>
      </c>
      <c r="J270">
        <f>IFERROR(tblMoeHistory[[#This Row],[LEA State and Local Amount]]/tblMoeHistory[[#This Row],[Child Count]],0)</f>
        <v>8971.7197585669783</v>
      </c>
      <c r="K270">
        <f>IFERROR(tblMoeHistory[[#This Row],[ESD State and Local Amount]]/tblMoeHistory[[#This Row],[Child Count]],0)</f>
        <v>1468.5147975077882</v>
      </c>
      <c r="L270">
        <f>IFERROR(tblMoeHistory[[#This Row],[State and Local Total Amount]]/tblMoeHistory[[#This Row],[Child Count]],0)</f>
        <v>10440.234556074767</v>
      </c>
      <c r="M270">
        <v>0</v>
      </c>
      <c r="N270" t="s">
        <v>241</v>
      </c>
      <c r="O270">
        <v>2062635.79</v>
      </c>
      <c r="P270">
        <v>15850.55</v>
      </c>
      <c r="Q270">
        <f>tblMoeHistory[[#This Row],[Amount of IDEA Part B, Section 611 award]]+tblMoeHistory[[#This Row],[Amount of IDEA Part B, Section 619 award]]</f>
        <v>2078486.34</v>
      </c>
      <c r="U2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0" t="str">
        <f>IF(OR(IFERROR(SEARCH("Met",tblMoeHistory[[#This Row],[State and Local Per Capita Result]]),0)&gt;0,IFERROR(SEARCH("Met",tblMoeHistory[[#This Row],[State and Local Total Result]]),0)&gt;0),"Met","Not Met")</f>
        <v>Met</v>
      </c>
    </row>
    <row r="271" spans="1:22" x14ac:dyDescent="0.35">
      <c r="A271" t="s">
        <v>94</v>
      </c>
      <c r="B271">
        <v>2014</v>
      </c>
      <c r="C271" t="s">
        <v>159</v>
      </c>
      <c r="D271">
        <v>143</v>
      </c>
      <c r="E271">
        <v>1311847.98</v>
      </c>
      <c r="F271">
        <v>139957</v>
      </c>
      <c r="G271">
        <f>tblMoeHistory[[#This Row],[LEA State and Local Amount]]+tblMoeHistory[[#This Row],[ESD State and Local Amount]]</f>
        <v>1451804.98</v>
      </c>
      <c r="H271">
        <v>0</v>
      </c>
      <c r="I271" t="s">
        <v>242</v>
      </c>
      <c r="J271">
        <f>IFERROR(tblMoeHistory[[#This Row],[LEA State and Local Amount]]/tblMoeHistory[[#This Row],[Child Count]],0)</f>
        <v>9173.7620979020976</v>
      </c>
      <c r="K271">
        <f>IFERROR(tblMoeHistory[[#This Row],[ESD State and Local Amount]]/tblMoeHistory[[#This Row],[Child Count]],0)</f>
        <v>978.72027972027968</v>
      </c>
      <c r="L271">
        <f>IFERROR(tblMoeHistory[[#This Row],[State and Local Total Amount]]/tblMoeHistory[[#This Row],[Child Count]],0)</f>
        <v>10152.482377622377</v>
      </c>
      <c r="M271">
        <v>0</v>
      </c>
      <c r="N271" t="s">
        <v>241</v>
      </c>
      <c r="O271">
        <v>187843.49</v>
      </c>
      <c r="P271">
        <v>3226.17</v>
      </c>
      <c r="Q271">
        <f>tblMoeHistory[[#This Row],[Amount of IDEA Part B, Section 611 award]]+tblMoeHistory[[#This Row],[Amount of IDEA Part B, Section 619 award]]</f>
        <v>191069.66</v>
      </c>
      <c r="S271">
        <v>207856.09</v>
      </c>
      <c r="T271">
        <v>207856.09</v>
      </c>
      <c r="U2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1" t="str">
        <f>IF(OR(IFERROR(SEARCH("Met",tblMoeHistory[[#This Row],[State and Local Per Capita Result]]),0)&gt;0,IFERROR(SEARCH("Met",tblMoeHistory[[#This Row],[State and Local Total Result]]),0)&gt;0),"Met","Not Met")</f>
        <v>Met</v>
      </c>
    </row>
    <row r="272" spans="1:22" x14ac:dyDescent="0.35">
      <c r="A272" t="s">
        <v>95</v>
      </c>
      <c r="B272">
        <v>2015</v>
      </c>
      <c r="C272" t="s">
        <v>159</v>
      </c>
      <c r="D272">
        <v>10</v>
      </c>
      <c r="E272">
        <v>43096.57</v>
      </c>
      <c r="F272">
        <v>4460</v>
      </c>
      <c r="G272">
        <f>tblMoeHistory[[#This Row],[LEA State and Local Amount]]+tblMoeHistory[[#This Row],[ESD State and Local Amount]]</f>
        <v>47556.57</v>
      </c>
      <c r="H272">
        <v>0</v>
      </c>
      <c r="I272" t="s">
        <v>241</v>
      </c>
      <c r="J272">
        <f>IFERROR(tblMoeHistory[[#This Row],[LEA State and Local Amount]]/tblMoeHistory[[#This Row],[Child Count]],0)</f>
        <v>4309.6570000000002</v>
      </c>
      <c r="K272">
        <f>IFERROR(tblMoeHistory[[#This Row],[ESD State and Local Amount]]/tblMoeHistory[[#This Row],[Child Count]],0)</f>
        <v>446</v>
      </c>
      <c r="L272">
        <f>IFERROR(tblMoeHistory[[#This Row],[State and Local Total Amount]]/tblMoeHistory[[#This Row],[Child Count]],0)</f>
        <v>4755.6570000000002</v>
      </c>
      <c r="M272">
        <v>0</v>
      </c>
      <c r="N272" t="s">
        <v>241</v>
      </c>
      <c r="O272">
        <v>12256.74</v>
      </c>
      <c r="P272">
        <v>1.95</v>
      </c>
      <c r="Q272">
        <f>tblMoeHistory[[#This Row],[Amount of IDEA Part B, Section 611 award]]+tblMoeHistory[[#This Row],[Amount of IDEA Part B, Section 619 award]]</f>
        <v>12258.69</v>
      </c>
      <c r="U2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2" t="str">
        <f>IF(OR(IFERROR(SEARCH("Met",tblMoeHistory[[#This Row],[State and Local Per Capita Result]]),0)&gt;0,IFERROR(SEARCH("Met",tblMoeHistory[[#This Row],[State and Local Total Result]]),0)&gt;0),"Met","Not Met")</f>
        <v>Met</v>
      </c>
    </row>
    <row r="273" spans="1:22" x14ac:dyDescent="0.35">
      <c r="A273" t="s">
        <v>96</v>
      </c>
      <c r="B273">
        <v>2023</v>
      </c>
      <c r="C273" t="s">
        <v>159</v>
      </c>
      <c r="D273">
        <v>4</v>
      </c>
      <c r="E273">
        <v>41506.910000000003</v>
      </c>
      <c r="F273">
        <v>5533</v>
      </c>
      <c r="G273">
        <f>tblMoeHistory[[#This Row],[LEA State and Local Amount]]+tblMoeHistory[[#This Row],[ESD State and Local Amount]]</f>
        <v>47039.91</v>
      </c>
      <c r="H273">
        <v>0</v>
      </c>
      <c r="I273" t="s">
        <v>242</v>
      </c>
      <c r="J273">
        <f>IFERROR(tblMoeHistory[[#This Row],[LEA State and Local Amount]]/tblMoeHistory[[#This Row],[Child Count]],0)</f>
        <v>10376.727500000001</v>
      </c>
      <c r="K273">
        <f>IFERROR(tblMoeHistory[[#This Row],[ESD State and Local Amount]]/tblMoeHistory[[#This Row],[Child Count]],0)</f>
        <v>1383.25</v>
      </c>
      <c r="L273">
        <f>IFERROR(tblMoeHistory[[#This Row],[State and Local Total Amount]]/tblMoeHistory[[#This Row],[Child Count]],0)</f>
        <v>11759.977500000001</v>
      </c>
      <c r="M273">
        <v>0</v>
      </c>
      <c r="N273" t="s">
        <v>241</v>
      </c>
      <c r="O273">
        <v>20209.95</v>
      </c>
      <c r="P273">
        <v>0</v>
      </c>
      <c r="Q273">
        <f>tblMoeHistory[[#This Row],[Amount of IDEA Part B, Section 611 award]]+tblMoeHistory[[#This Row],[Amount of IDEA Part B, Section 619 award]]</f>
        <v>20209.95</v>
      </c>
      <c r="S273">
        <v>29498.560000000001</v>
      </c>
      <c r="T273">
        <v>29498.560000000001</v>
      </c>
      <c r="U2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3" t="str">
        <f>IF(OR(IFERROR(SEARCH("Met",tblMoeHistory[[#This Row],[State and Local Per Capita Result]]),0)&gt;0,IFERROR(SEARCH("Met",tblMoeHistory[[#This Row],[State and Local Total Result]]),0)&gt;0),"Met","Not Met")</f>
        <v>Met</v>
      </c>
    </row>
    <row r="274" spans="1:22" x14ac:dyDescent="0.35">
      <c r="A274" t="s">
        <v>97</v>
      </c>
      <c r="B274">
        <v>2114</v>
      </c>
      <c r="C274" t="s">
        <v>159</v>
      </c>
      <c r="D274">
        <v>17</v>
      </c>
      <c r="E274">
        <v>17679.990000000002</v>
      </c>
      <c r="F274">
        <v>19085.5</v>
      </c>
      <c r="G274">
        <f>tblMoeHistory[[#This Row],[LEA State and Local Amount]]+tblMoeHistory[[#This Row],[ESD State and Local Amount]]</f>
        <v>36765.490000000005</v>
      </c>
      <c r="H274">
        <v>0</v>
      </c>
      <c r="I274" t="s">
        <v>241</v>
      </c>
      <c r="J274">
        <f>IFERROR(tblMoeHistory[[#This Row],[LEA State and Local Amount]]/tblMoeHistory[[#This Row],[Child Count]],0)</f>
        <v>1039.9994117647059</v>
      </c>
      <c r="K274">
        <f>IFERROR(tblMoeHistory[[#This Row],[ESD State and Local Amount]]/tblMoeHistory[[#This Row],[Child Count]],0)</f>
        <v>1122.6764705882354</v>
      </c>
      <c r="L274">
        <f>IFERROR(tblMoeHistory[[#This Row],[State and Local Total Amount]]/tblMoeHistory[[#This Row],[Child Count]],0)</f>
        <v>2162.6758823529417</v>
      </c>
      <c r="M274">
        <v>0</v>
      </c>
      <c r="N274" t="s">
        <v>240</v>
      </c>
      <c r="O274">
        <v>12863.61</v>
      </c>
      <c r="P274">
        <v>978.36</v>
      </c>
      <c r="Q274">
        <f>tblMoeHistory[[#This Row],[Amount of IDEA Part B, Section 611 award]]+tblMoeHistory[[#This Row],[Amount of IDEA Part B, Section 619 award]]</f>
        <v>13841.970000000001</v>
      </c>
      <c r="U2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4" t="str">
        <f>IF(OR(IFERROR(SEARCH("Met",tblMoeHistory[[#This Row],[State and Local Per Capita Result]]),0)&gt;0,IFERROR(SEARCH("Met",tblMoeHistory[[#This Row],[State and Local Total Result]]),0)&gt;0),"Met","Not Met")</f>
        <v>Met</v>
      </c>
    </row>
    <row r="275" spans="1:22" x14ac:dyDescent="0.35">
      <c r="A275" t="s">
        <v>98</v>
      </c>
      <c r="B275">
        <v>2099</v>
      </c>
      <c r="C275" t="s">
        <v>159</v>
      </c>
      <c r="D275">
        <v>139</v>
      </c>
      <c r="E275">
        <v>962430.43</v>
      </c>
      <c r="F275">
        <v>77158</v>
      </c>
      <c r="G275">
        <f>tblMoeHistory[[#This Row],[LEA State and Local Amount]]+tblMoeHistory[[#This Row],[ESD State and Local Amount]]</f>
        <v>1039588.43</v>
      </c>
      <c r="H275">
        <v>0</v>
      </c>
      <c r="I275" t="s">
        <v>241</v>
      </c>
      <c r="J275">
        <f>IFERROR(tblMoeHistory[[#This Row],[LEA State and Local Amount]]/tblMoeHistory[[#This Row],[Child Count]],0)</f>
        <v>6923.959928057554</v>
      </c>
      <c r="K275">
        <f>IFERROR(tblMoeHistory[[#This Row],[ESD State and Local Amount]]/tblMoeHistory[[#This Row],[Child Count]],0)</f>
        <v>555.0935251798561</v>
      </c>
      <c r="L275">
        <f>IFERROR(tblMoeHistory[[#This Row],[State and Local Total Amount]]/tblMoeHistory[[#This Row],[Child Count]],0)</f>
        <v>7479.0534532374104</v>
      </c>
      <c r="M275">
        <v>0</v>
      </c>
      <c r="N275" t="s">
        <v>241</v>
      </c>
      <c r="O275">
        <v>135708.38</v>
      </c>
      <c r="P275">
        <v>432.75</v>
      </c>
      <c r="Q275">
        <f>tblMoeHistory[[#This Row],[Amount of IDEA Part B, Section 611 award]]+tblMoeHistory[[#This Row],[Amount of IDEA Part B, Section 619 award]]</f>
        <v>136141.13</v>
      </c>
      <c r="U2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5" t="str">
        <f>IF(OR(IFERROR(SEARCH("Met",tblMoeHistory[[#This Row],[State and Local Per Capita Result]]),0)&gt;0,IFERROR(SEARCH("Met",tblMoeHistory[[#This Row],[State and Local Total Result]]),0)&gt;0),"Met","Not Met")</f>
        <v>Met</v>
      </c>
    </row>
    <row r="276" spans="1:22" x14ac:dyDescent="0.35">
      <c r="A276" t="s">
        <v>99</v>
      </c>
      <c r="B276">
        <v>2201</v>
      </c>
      <c r="C276" t="s">
        <v>159</v>
      </c>
      <c r="D276">
        <v>16</v>
      </c>
      <c r="E276">
        <v>63796.13</v>
      </c>
      <c r="F276">
        <v>19408.68</v>
      </c>
      <c r="G276">
        <f>tblMoeHistory[[#This Row],[LEA State and Local Amount]]+tblMoeHistory[[#This Row],[ESD State and Local Amount]]</f>
        <v>83204.81</v>
      </c>
      <c r="H276">
        <v>0</v>
      </c>
      <c r="I276" t="s">
        <v>241</v>
      </c>
      <c r="J276">
        <f>IFERROR(tblMoeHistory[[#This Row],[LEA State and Local Amount]]/tblMoeHistory[[#This Row],[Child Count]],0)</f>
        <v>3987.2581249999998</v>
      </c>
      <c r="K276">
        <f>IFERROR(tblMoeHistory[[#This Row],[ESD State and Local Amount]]/tblMoeHistory[[#This Row],[Child Count]],0)</f>
        <v>1213.0425</v>
      </c>
      <c r="L276">
        <f>IFERROR(tblMoeHistory[[#This Row],[State and Local Total Amount]]/tblMoeHistory[[#This Row],[Child Count]],0)</f>
        <v>5200.3006249999999</v>
      </c>
      <c r="M276">
        <v>0</v>
      </c>
      <c r="N276" t="s">
        <v>240</v>
      </c>
      <c r="O276">
        <v>24275.9</v>
      </c>
      <c r="P276">
        <v>0</v>
      </c>
      <c r="Q276">
        <f>tblMoeHistory[[#This Row],[Amount of IDEA Part B, Section 611 award]]+tblMoeHistory[[#This Row],[Amount of IDEA Part B, Section 619 award]]</f>
        <v>24275.9</v>
      </c>
      <c r="U2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6" t="str">
        <f>IF(OR(IFERROR(SEARCH("Met",tblMoeHistory[[#This Row],[State and Local Per Capita Result]]),0)&gt;0,IFERROR(SEARCH("Met",tblMoeHistory[[#This Row],[State and Local Total Result]]),0)&gt;0),"Met","Not Met")</f>
        <v>Met</v>
      </c>
    </row>
    <row r="277" spans="1:22" x14ac:dyDescent="0.35">
      <c r="A277" t="s">
        <v>100</v>
      </c>
      <c r="B277">
        <v>2206</v>
      </c>
      <c r="C277" t="s">
        <v>159</v>
      </c>
      <c r="D277">
        <v>555</v>
      </c>
      <c r="E277">
        <v>3580127.64</v>
      </c>
      <c r="F277">
        <v>837742.07</v>
      </c>
      <c r="G277">
        <f>tblMoeHistory[[#This Row],[LEA State and Local Amount]]+tblMoeHistory[[#This Row],[ESD State and Local Amount]]</f>
        <v>4417869.71</v>
      </c>
      <c r="H277">
        <v>0</v>
      </c>
      <c r="I277" t="s">
        <v>241</v>
      </c>
      <c r="J277">
        <f>IFERROR(tblMoeHistory[[#This Row],[LEA State and Local Amount]]/tblMoeHistory[[#This Row],[Child Count]],0)</f>
        <v>6450.680432432433</v>
      </c>
      <c r="K277">
        <f>IFERROR(tblMoeHistory[[#This Row],[ESD State and Local Amount]]/tblMoeHistory[[#This Row],[Child Count]],0)</f>
        <v>1509.4451711711711</v>
      </c>
      <c r="L277">
        <f>IFERROR(tblMoeHistory[[#This Row],[State and Local Total Amount]]/tblMoeHistory[[#This Row],[Child Count]],0)</f>
        <v>7960.1256036036038</v>
      </c>
      <c r="M277">
        <v>0</v>
      </c>
      <c r="N277" t="s">
        <v>240</v>
      </c>
      <c r="O277">
        <v>757682.72</v>
      </c>
      <c r="P277">
        <v>6951.5</v>
      </c>
      <c r="Q277">
        <f>tblMoeHistory[[#This Row],[Amount of IDEA Part B, Section 611 award]]+tblMoeHistory[[#This Row],[Amount of IDEA Part B, Section 619 award]]</f>
        <v>764634.22</v>
      </c>
      <c r="U2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7" t="str">
        <f>IF(OR(IFERROR(SEARCH("Met",tblMoeHistory[[#This Row],[State and Local Per Capita Result]]),0)&gt;0,IFERROR(SEARCH("Met",tblMoeHistory[[#This Row],[State and Local Total Result]]),0)&gt;0),"Met","Not Met")</f>
        <v>Met</v>
      </c>
    </row>
    <row r="278" spans="1:22" x14ac:dyDescent="0.35">
      <c r="A278" t="s">
        <v>101</v>
      </c>
      <c r="B278">
        <v>2239</v>
      </c>
      <c r="C278" t="s">
        <v>159</v>
      </c>
      <c r="D278">
        <v>2702</v>
      </c>
      <c r="E278">
        <v>23330379.559999999</v>
      </c>
      <c r="F278">
        <v>4600513</v>
      </c>
      <c r="G278">
        <f>tblMoeHistory[[#This Row],[LEA State and Local Amount]]+tblMoeHistory[[#This Row],[ESD State and Local Amount]]</f>
        <v>27930892.559999999</v>
      </c>
      <c r="H278">
        <v>0</v>
      </c>
      <c r="I278" t="s">
        <v>241</v>
      </c>
      <c r="J278">
        <f>IFERROR(tblMoeHistory[[#This Row],[LEA State and Local Amount]]/tblMoeHistory[[#This Row],[Child Count]],0)</f>
        <v>8634.485403404884</v>
      </c>
      <c r="K278">
        <f>IFERROR(tblMoeHistory[[#This Row],[ESD State and Local Amount]]/tblMoeHistory[[#This Row],[Child Count]],0)</f>
        <v>1702.6324944485566</v>
      </c>
      <c r="L278">
        <f>IFERROR(tblMoeHistory[[#This Row],[State and Local Total Amount]]/tblMoeHistory[[#This Row],[Child Count]],0)</f>
        <v>10337.117897853441</v>
      </c>
      <c r="M278">
        <v>0</v>
      </c>
      <c r="N278" t="s">
        <v>240</v>
      </c>
      <c r="O278">
        <v>2925635.3</v>
      </c>
      <c r="P278">
        <v>15037.36</v>
      </c>
      <c r="Q278">
        <f>tblMoeHistory[[#This Row],[Amount of IDEA Part B, Section 611 award]]+tblMoeHistory[[#This Row],[Amount of IDEA Part B, Section 619 award]]</f>
        <v>2940672.6599999997</v>
      </c>
      <c r="U2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8" t="str">
        <f>IF(OR(IFERROR(SEARCH("Met",tblMoeHistory[[#This Row],[State and Local Per Capita Result]]),0)&gt;0,IFERROR(SEARCH("Met",tblMoeHistory[[#This Row],[State and Local Total Result]]),0)&gt;0),"Met","Not Met")</f>
        <v>Met</v>
      </c>
    </row>
    <row r="279" spans="1:22" x14ac:dyDescent="0.35">
      <c r="A279" t="s">
        <v>102</v>
      </c>
      <c r="B279">
        <v>2024</v>
      </c>
      <c r="C279" t="s">
        <v>159</v>
      </c>
      <c r="D279">
        <v>563</v>
      </c>
      <c r="E279">
        <v>3596025.64</v>
      </c>
      <c r="F279">
        <v>0</v>
      </c>
      <c r="G279">
        <f>tblMoeHistory[[#This Row],[LEA State and Local Amount]]+tblMoeHistory[[#This Row],[ESD State and Local Amount]]</f>
        <v>3596025.64</v>
      </c>
      <c r="H279">
        <v>0</v>
      </c>
      <c r="I279" t="s">
        <v>241</v>
      </c>
      <c r="J279">
        <f>IFERROR(tblMoeHistory[[#This Row],[LEA State and Local Amount]]/tblMoeHistory[[#This Row],[Child Count]],0)</f>
        <v>6387.2569094138544</v>
      </c>
      <c r="K279">
        <f>IFERROR(tblMoeHistory[[#This Row],[ESD State and Local Amount]]/tblMoeHistory[[#This Row],[Child Count]],0)</f>
        <v>0</v>
      </c>
      <c r="L279">
        <f>IFERROR(tblMoeHistory[[#This Row],[State and Local Total Amount]]/tblMoeHistory[[#This Row],[Child Count]],0)</f>
        <v>6387.2569094138544</v>
      </c>
      <c r="M279">
        <v>0</v>
      </c>
      <c r="N279" t="s">
        <v>240</v>
      </c>
      <c r="O279">
        <v>660995.1</v>
      </c>
      <c r="P279">
        <v>4069.33</v>
      </c>
      <c r="Q279">
        <f>tblMoeHistory[[#This Row],[Amount of IDEA Part B, Section 611 award]]+tblMoeHistory[[#This Row],[Amount of IDEA Part B, Section 619 award]]</f>
        <v>665064.42999999993</v>
      </c>
      <c r="U2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9" t="str">
        <f>IF(OR(IFERROR(SEARCH("Met",tblMoeHistory[[#This Row],[State and Local Per Capita Result]]),0)&gt;0,IFERROR(SEARCH("Met",tblMoeHistory[[#This Row],[State and Local Total Result]]),0)&gt;0),"Met","Not Met")</f>
        <v>Met</v>
      </c>
    </row>
    <row r="280" spans="1:22" x14ac:dyDescent="0.35">
      <c r="A280" t="s">
        <v>103</v>
      </c>
      <c r="B280">
        <v>1895</v>
      </c>
      <c r="C280" t="s">
        <v>159</v>
      </c>
      <c r="D280">
        <v>13</v>
      </c>
      <c r="E280">
        <v>78536.38</v>
      </c>
      <c r="F280">
        <v>19449.62</v>
      </c>
      <c r="G280">
        <f>tblMoeHistory[[#This Row],[LEA State and Local Amount]]+tblMoeHistory[[#This Row],[ESD State and Local Amount]]</f>
        <v>97986</v>
      </c>
      <c r="H280">
        <v>0</v>
      </c>
      <c r="I280" t="s">
        <v>241</v>
      </c>
      <c r="J280">
        <f>IFERROR(tblMoeHistory[[#This Row],[LEA State and Local Amount]]/tblMoeHistory[[#This Row],[Child Count]],0)</f>
        <v>6041.26</v>
      </c>
      <c r="K280">
        <f>IFERROR(tblMoeHistory[[#This Row],[ESD State and Local Amount]]/tblMoeHistory[[#This Row],[Child Count]],0)</f>
        <v>1496.1246153846153</v>
      </c>
      <c r="L280">
        <f>IFERROR(tblMoeHistory[[#This Row],[State and Local Total Amount]]/tblMoeHistory[[#This Row],[Child Count]],0)</f>
        <v>7537.3846153846152</v>
      </c>
      <c r="M280">
        <v>0</v>
      </c>
      <c r="N280" t="s">
        <v>241</v>
      </c>
      <c r="O280">
        <v>14679.88</v>
      </c>
      <c r="P280">
        <v>0</v>
      </c>
      <c r="Q280">
        <f>tblMoeHistory[[#This Row],[Amount of IDEA Part B, Section 611 award]]+tblMoeHistory[[#This Row],[Amount of IDEA Part B, Section 619 award]]</f>
        <v>14679.88</v>
      </c>
      <c r="U2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0" t="str">
        <f>IF(OR(IFERROR(SEARCH("Met",tblMoeHistory[[#This Row],[State and Local Per Capita Result]]),0)&gt;0,IFERROR(SEARCH("Met",tblMoeHistory[[#This Row],[State and Local Total Result]]),0)&gt;0),"Met","Not Met")</f>
        <v>Met</v>
      </c>
    </row>
    <row r="281" spans="1:22" x14ac:dyDescent="0.35">
      <c r="A281" t="s">
        <v>104</v>
      </c>
      <c r="B281">
        <v>2215</v>
      </c>
      <c r="C281" t="s">
        <v>159</v>
      </c>
      <c r="D281">
        <v>46</v>
      </c>
      <c r="E281">
        <v>150306.79</v>
      </c>
      <c r="F281">
        <v>86348.83</v>
      </c>
      <c r="G281">
        <f>tblMoeHistory[[#This Row],[LEA State and Local Amount]]+tblMoeHistory[[#This Row],[ESD State and Local Amount]]</f>
        <v>236655.62</v>
      </c>
      <c r="H281">
        <v>0</v>
      </c>
      <c r="I281" t="s">
        <v>241</v>
      </c>
      <c r="J281">
        <f>IFERROR(tblMoeHistory[[#This Row],[LEA State and Local Amount]]/tblMoeHistory[[#This Row],[Child Count]],0)</f>
        <v>3267.5389130434783</v>
      </c>
      <c r="K281">
        <f>IFERROR(tblMoeHistory[[#This Row],[ESD State and Local Amount]]/tblMoeHistory[[#This Row],[Child Count]],0)</f>
        <v>1877.1484782608695</v>
      </c>
      <c r="L281">
        <f>IFERROR(tblMoeHistory[[#This Row],[State and Local Total Amount]]/tblMoeHistory[[#This Row],[Child Count]],0)</f>
        <v>5144.6873913043473</v>
      </c>
      <c r="M281">
        <v>0</v>
      </c>
      <c r="N281" t="s">
        <v>240</v>
      </c>
      <c r="O281">
        <v>63149.61</v>
      </c>
      <c r="P281">
        <v>129.29</v>
      </c>
      <c r="Q281">
        <f>tblMoeHistory[[#This Row],[Amount of IDEA Part B, Section 611 award]]+tblMoeHistory[[#This Row],[Amount of IDEA Part B, Section 619 award]]</f>
        <v>63278.9</v>
      </c>
      <c r="U2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1" t="str">
        <f>IF(OR(IFERROR(SEARCH("Met",tblMoeHistory[[#This Row],[State and Local Per Capita Result]]),0)&gt;0,IFERROR(SEARCH("Met",tblMoeHistory[[#This Row],[State and Local Total Result]]),0)&gt;0),"Met","Not Met")</f>
        <v>Met</v>
      </c>
    </row>
    <row r="282" spans="1:22" x14ac:dyDescent="0.35">
      <c r="A282" t="s">
        <v>105</v>
      </c>
      <c r="B282">
        <v>3997</v>
      </c>
      <c r="C282" t="s">
        <v>159</v>
      </c>
      <c r="D282">
        <v>31</v>
      </c>
      <c r="E282">
        <v>93120.1</v>
      </c>
      <c r="F282">
        <v>28914.97</v>
      </c>
      <c r="G282">
        <f>tblMoeHistory[[#This Row],[LEA State and Local Amount]]+tblMoeHistory[[#This Row],[ESD State and Local Amount]]</f>
        <v>122035.07</v>
      </c>
      <c r="H282">
        <v>0</v>
      </c>
      <c r="I282" t="s">
        <v>240</v>
      </c>
      <c r="J282">
        <f>IFERROR(tblMoeHistory[[#This Row],[LEA State and Local Amount]]/tblMoeHistory[[#This Row],[Child Count]],0)</f>
        <v>3003.8741935483872</v>
      </c>
      <c r="K282">
        <f>IFERROR(tblMoeHistory[[#This Row],[ESD State and Local Amount]]/tblMoeHistory[[#This Row],[Child Count]],0)</f>
        <v>932.74096774193549</v>
      </c>
      <c r="L282">
        <f>IFERROR(tblMoeHistory[[#This Row],[State and Local Total Amount]]/tblMoeHistory[[#This Row],[Child Count]],0)</f>
        <v>3936.6151612903227</v>
      </c>
      <c r="M282">
        <v>0</v>
      </c>
      <c r="N282" t="s">
        <v>240</v>
      </c>
      <c r="O282">
        <v>27892.11</v>
      </c>
      <c r="P282">
        <v>503.87</v>
      </c>
      <c r="Q282">
        <f>tblMoeHistory[[#This Row],[Amount of IDEA Part B, Section 611 award]]+tblMoeHistory[[#This Row],[Amount of IDEA Part B, Section 619 award]]</f>
        <v>28395.98</v>
      </c>
      <c r="U2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2" t="str">
        <f>IF(OR(IFERROR(SEARCH("Met",tblMoeHistory[[#This Row],[State and Local Per Capita Result]]),0)&gt;0,IFERROR(SEARCH("Met",tblMoeHistory[[#This Row],[State and Local Total Result]]),0)&gt;0),"Met","Not Met")</f>
        <v>Not Met</v>
      </c>
    </row>
    <row r="283" spans="1:22" x14ac:dyDescent="0.35">
      <c r="A283" t="s">
        <v>106</v>
      </c>
      <c r="B283">
        <v>2053</v>
      </c>
      <c r="C283" t="s">
        <v>159</v>
      </c>
      <c r="D283">
        <v>356</v>
      </c>
      <c r="E283">
        <v>2719645.34</v>
      </c>
      <c r="F283">
        <v>826045.3</v>
      </c>
      <c r="G283">
        <f>tblMoeHistory[[#This Row],[LEA State and Local Amount]]+tblMoeHistory[[#This Row],[ESD State and Local Amount]]</f>
        <v>3545690.6399999997</v>
      </c>
      <c r="H283">
        <v>0</v>
      </c>
      <c r="I283" t="s">
        <v>241</v>
      </c>
      <c r="J283">
        <f>IFERROR(tblMoeHistory[[#This Row],[LEA State and Local Amount]]/tblMoeHistory[[#This Row],[Child Count]],0)</f>
        <v>7639.4532022471903</v>
      </c>
      <c r="K283">
        <f>IFERROR(tblMoeHistory[[#This Row],[ESD State and Local Amount]]/tblMoeHistory[[#This Row],[Child Count]],0)</f>
        <v>2320.3519662921349</v>
      </c>
      <c r="L283">
        <f>IFERROR(tblMoeHistory[[#This Row],[State and Local Total Amount]]/tblMoeHistory[[#This Row],[Child Count]],0)</f>
        <v>9959.8051685393257</v>
      </c>
      <c r="M283">
        <v>0</v>
      </c>
      <c r="N283" t="s">
        <v>241</v>
      </c>
      <c r="O283">
        <v>478981.36</v>
      </c>
      <c r="P283">
        <v>8048.38</v>
      </c>
      <c r="Q283">
        <f>tblMoeHistory[[#This Row],[Amount of IDEA Part B, Section 611 award]]+tblMoeHistory[[#This Row],[Amount of IDEA Part B, Section 619 award]]</f>
        <v>487029.74</v>
      </c>
      <c r="U2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3" t="str">
        <f>IF(OR(IFERROR(SEARCH("Met",tblMoeHistory[[#This Row],[State and Local Per Capita Result]]),0)&gt;0,IFERROR(SEARCH("Met",tblMoeHistory[[#This Row],[State and Local Total Result]]),0)&gt;0),"Met","Not Met")</f>
        <v>Met</v>
      </c>
    </row>
    <row r="284" spans="1:22" x14ac:dyDescent="0.35">
      <c r="A284" t="s">
        <v>107</v>
      </c>
      <c r="B284">
        <v>2140</v>
      </c>
      <c r="C284" t="s">
        <v>159</v>
      </c>
      <c r="D284">
        <v>165</v>
      </c>
      <c r="E284">
        <v>879490.14</v>
      </c>
      <c r="F284">
        <v>92059.92</v>
      </c>
      <c r="G284">
        <f>tblMoeHistory[[#This Row],[LEA State and Local Amount]]+tblMoeHistory[[#This Row],[ESD State and Local Amount]]</f>
        <v>971550.06</v>
      </c>
      <c r="H284">
        <v>0</v>
      </c>
      <c r="I284" t="s">
        <v>241</v>
      </c>
      <c r="J284">
        <f>IFERROR(tblMoeHistory[[#This Row],[LEA State and Local Amount]]/tblMoeHistory[[#This Row],[Child Count]],0)</f>
        <v>5330.2432727272726</v>
      </c>
      <c r="K284">
        <f>IFERROR(tblMoeHistory[[#This Row],[ESD State and Local Amount]]/tblMoeHistory[[#This Row],[Child Count]],0)</f>
        <v>557.93890909090908</v>
      </c>
      <c r="L284">
        <f>IFERROR(tblMoeHistory[[#This Row],[State and Local Total Amount]]/tblMoeHistory[[#This Row],[Child Count]],0)</f>
        <v>5888.1821818181825</v>
      </c>
      <c r="M284">
        <v>0</v>
      </c>
      <c r="N284" t="s">
        <v>240</v>
      </c>
      <c r="O284">
        <v>154323.13</v>
      </c>
      <c r="P284">
        <v>1052.6400000000001</v>
      </c>
      <c r="Q284">
        <f>tblMoeHistory[[#This Row],[Amount of IDEA Part B, Section 611 award]]+tblMoeHistory[[#This Row],[Amount of IDEA Part B, Section 619 award]]</f>
        <v>155375.77000000002</v>
      </c>
      <c r="U2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4" t="str">
        <f>IF(OR(IFERROR(SEARCH("Met",tblMoeHistory[[#This Row],[State and Local Per Capita Result]]),0)&gt;0,IFERROR(SEARCH("Met",tblMoeHistory[[#This Row],[State and Local Total Result]]),0)&gt;0),"Met","Not Met")</f>
        <v>Met</v>
      </c>
    </row>
    <row r="285" spans="1:22" x14ac:dyDescent="0.35">
      <c r="A285" t="s">
        <v>108</v>
      </c>
      <c r="B285">
        <v>1934</v>
      </c>
      <c r="C285" t="s">
        <v>159</v>
      </c>
      <c r="D285">
        <v>23</v>
      </c>
      <c r="E285">
        <v>165633.22</v>
      </c>
      <c r="F285">
        <v>56374</v>
      </c>
      <c r="G285">
        <f>tblMoeHistory[[#This Row],[LEA State and Local Amount]]+tblMoeHistory[[#This Row],[ESD State and Local Amount]]</f>
        <v>222007.22</v>
      </c>
      <c r="H285">
        <v>0</v>
      </c>
      <c r="I285" t="s">
        <v>240</v>
      </c>
      <c r="J285">
        <f>IFERROR(tblMoeHistory[[#This Row],[LEA State and Local Amount]]/tblMoeHistory[[#This Row],[Child Count]],0)</f>
        <v>7201.4443478260873</v>
      </c>
      <c r="K285">
        <f>IFERROR(tblMoeHistory[[#This Row],[ESD State and Local Amount]]/tblMoeHistory[[#This Row],[Child Count]],0)</f>
        <v>2451.0434782608695</v>
      </c>
      <c r="L285">
        <f>IFERROR(tblMoeHistory[[#This Row],[State and Local Total Amount]]/tblMoeHistory[[#This Row],[Child Count]],0)</f>
        <v>9652.4878260869573</v>
      </c>
      <c r="M285">
        <v>0</v>
      </c>
      <c r="N285" t="s">
        <v>240</v>
      </c>
      <c r="O285">
        <v>19794.02</v>
      </c>
      <c r="P285">
        <v>0</v>
      </c>
      <c r="Q285">
        <f>tblMoeHistory[[#This Row],[Amount of IDEA Part B, Section 611 award]]+tblMoeHistory[[#This Row],[Amount of IDEA Part B, Section 619 award]]</f>
        <v>19794.02</v>
      </c>
      <c r="U2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5" t="str">
        <f>IF(OR(IFERROR(SEARCH("Met",tblMoeHistory[[#This Row],[State and Local Per Capita Result]]),0)&gt;0,IFERROR(SEARCH("Met",tblMoeHistory[[#This Row],[State and Local Total Result]]),0)&gt;0),"Met","Not Met")</f>
        <v>Not Met</v>
      </c>
    </row>
    <row r="286" spans="1:22" x14ac:dyDescent="0.35">
      <c r="A286" t="s">
        <v>109</v>
      </c>
      <c r="B286">
        <v>2008</v>
      </c>
      <c r="C286" t="s">
        <v>159</v>
      </c>
      <c r="D286">
        <v>99</v>
      </c>
      <c r="E286">
        <v>748886.14</v>
      </c>
      <c r="F286">
        <v>154895.71</v>
      </c>
      <c r="G286">
        <f>tblMoeHistory[[#This Row],[LEA State and Local Amount]]+tblMoeHistory[[#This Row],[ESD State and Local Amount]]</f>
        <v>903781.85</v>
      </c>
      <c r="H286">
        <v>0</v>
      </c>
      <c r="I286" t="s">
        <v>241</v>
      </c>
      <c r="J286">
        <f>IFERROR(tblMoeHistory[[#This Row],[LEA State and Local Amount]]/tblMoeHistory[[#This Row],[Child Count]],0)</f>
        <v>7564.5064646464643</v>
      </c>
      <c r="K286">
        <f>IFERROR(tblMoeHistory[[#This Row],[ESD State and Local Amount]]/tblMoeHistory[[#This Row],[Child Count]],0)</f>
        <v>1564.6031313131311</v>
      </c>
      <c r="L286">
        <f>IFERROR(tblMoeHistory[[#This Row],[State and Local Total Amount]]/tblMoeHistory[[#This Row],[Child Count]],0)</f>
        <v>9129.109595959595</v>
      </c>
      <c r="M286">
        <v>0</v>
      </c>
      <c r="N286" t="s">
        <v>241</v>
      </c>
      <c r="O286">
        <v>146359.51</v>
      </c>
      <c r="P286">
        <v>2524.4299999999998</v>
      </c>
      <c r="Q286">
        <f>tblMoeHistory[[#This Row],[Amount of IDEA Part B, Section 611 award]]+tblMoeHistory[[#This Row],[Amount of IDEA Part B, Section 619 award]]</f>
        <v>148883.94</v>
      </c>
      <c r="U2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6" t="str">
        <f>IF(OR(IFERROR(SEARCH("Met",tblMoeHistory[[#This Row],[State and Local Per Capita Result]]),0)&gt;0,IFERROR(SEARCH("Met",tblMoeHistory[[#This Row],[State and Local Total Result]]),0)&gt;0),"Met","Not Met")</f>
        <v>Met</v>
      </c>
    </row>
    <row r="287" spans="1:22" x14ac:dyDescent="0.35">
      <c r="A287" t="s">
        <v>110</v>
      </c>
      <c r="B287">
        <v>2107</v>
      </c>
      <c r="C287" t="s">
        <v>159</v>
      </c>
      <c r="D287">
        <v>12</v>
      </c>
      <c r="E287">
        <v>50731</v>
      </c>
      <c r="F287">
        <v>21603.93</v>
      </c>
      <c r="G287">
        <f>tblMoeHistory[[#This Row],[LEA State and Local Amount]]+tblMoeHistory[[#This Row],[ESD State and Local Amount]]</f>
        <v>72334.929999999993</v>
      </c>
      <c r="H287">
        <v>0</v>
      </c>
      <c r="I287" t="s">
        <v>241</v>
      </c>
      <c r="J287">
        <f>IFERROR(tblMoeHistory[[#This Row],[LEA State and Local Amount]]/tblMoeHistory[[#This Row],[Child Count]],0)</f>
        <v>4227.583333333333</v>
      </c>
      <c r="K287">
        <f>IFERROR(tblMoeHistory[[#This Row],[ESD State and Local Amount]]/tblMoeHistory[[#This Row],[Child Count]],0)</f>
        <v>1800.3275000000001</v>
      </c>
      <c r="L287">
        <f>IFERROR(tblMoeHistory[[#This Row],[State and Local Total Amount]]/tblMoeHistory[[#This Row],[Child Count]],0)</f>
        <v>6027.9108333333324</v>
      </c>
      <c r="M287">
        <v>0</v>
      </c>
      <c r="N287" t="s">
        <v>241</v>
      </c>
      <c r="O287">
        <v>16551.82</v>
      </c>
      <c r="P287">
        <v>492.81</v>
      </c>
      <c r="Q287">
        <f>tblMoeHistory[[#This Row],[Amount of IDEA Part B, Section 611 award]]+tblMoeHistory[[#This Row],[Amount of IDEA Part B, Section 619 award]]</f>
        <v>17044.63</v>
      </c>
      <c r="U2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7" t="str">
        <f>IF(OR(IFERROR(SEARCH("Met",tblMoeHistory[[#This Row],[State and Local Per Capita Result]]),0)&gt;0,IFERROR(SEARCH("Met",tblMoeHistory[[#This Row],[State and Local Total Result]]),0)&gt;0),"Met","Not Met")</f>
        <v>Met</v>
      </c>
    </row>
    <row r="288" spans="1:22" x14ac:dyDescent="0.35">
      <c r="A288" t="s">
        <v>111</v>
      </c>
      <c r="B288">
        <v>2219</v>
      </c>
      <c r="C288" t="s">
        <v>159</v>
      </c>
      <c r="D288">
        <v>30</v>
      </c>
      <c r="E288">
        <v>104920.67</v>
      </c>
      <c r="F288">
        <v>141183.67000000001</v>
      </c>
      <c r="G288">
        <f>tblMoeHistory[[#This Row],[LEA State and Local Amount]]+tblMoeHistory[[#This Row],[ESD State and Local Amount]]</f>
        <v>246104.34000000003</v>
      </c>
      <c r="H288">
        <v>0</v>
      </c>
      <c r="I288" t="s">
        <v>241</v>
      </c>
      <c r="J288">
        <f>IFERROR(tblMoeHistory[[#This Row],[LEA State and Local Amount]]/tblMoeHistory[[#This Row],[Child Count]],0)</f>
        <v>3497.3556666666668</v>
      </c>
      <c r="K288">
        <f>IFERROR(tblMoeHistory[[#This Row],[ESD State and Local Amount]]/tblMoeHistory[[#This Row],[Child Count]],0)</f>
        <v>4706.1223333333337</v>
      </c>
      <c r="L288">
        <f>IFERROR(tblMoeHistory[[#This Row],[State and Local Total Amount]]/tblMoeHistory[[#This Row],[Child Count]],0)</f>
        <v>8203.478000000001</v>
      </c>
      <c r="M288">
        <v>0</v>
      </c>
      <c r="N288" t="s">
        <v>241</v>
      </c>
      <c r="O288">
        <v>48246.17</v>
      </c>
      <c r="P288">
        <v>1225.1400000000001</v>
      </c>
      <c r="Q288">
        <f>tblMoeHistory[[#This Row],[Amount of IDEA Part B, Section 611 award]]+tblMoeHistory[[#This Row],[Amount of IDEA Part B, Section 619 award]]</f>
        <v>49471.31</v>
      </c>
      <c r="U2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8" t="str">
        <f>IF(OR(IFERROR(SEARCH("Met",tblMoeHistory[[#This Row],[State and Local Per Capita Result]]),0)&gt;0,IFERROR(SEARCH("Met",tblMoeHistory[[#This Row],[State and Local Total Result]]),0)&gt;0),"Met","Not Met")</f>
        <v>Met</v>
      </c>
    </row>
    <row r="289" spans="1:22" x14ac:dyDescent="0.35">
      <c r="A289" t="s">
        <v>112</v>
      </c>
      <c r="B289">
        <v>2091</v>
      </c>
      <c r="C289" t="s">
        <v>159</v>
      </c>
      <c r="D289">
        <v>234</v>
      </c>
      <c r="E289">
        <v>1325710.57</v>
      </c>
      <c r="F289">
        <v>462907</v>
      </c>
      <c r="G289">
        <f>tblMoeHistory[[#This Row],[LEA State and Local Amount]]+tblMoeHistory[[#This Row],[ESD State and Local Amount]]</f>
        <v>1788617.57</v>
      </c>
      <c r="H289">
        <v>0</v>
      </c>
      <c r="I289" t="s">
        <v>242</v>
      </c>
      <c r="J289">
        <f>IFERROR(tblMoeHistory[[#This Row],[LEA State and Local Amount]]/tblMoeHistory[[#This Row],[Child Count]],0)</f>
        <v>5665.4297863247866</v>
      </c>
      <c r="K289">
        <f>IFERROR(tblMoeHistory[[#This Row],[ESD State and Local Amount]]/tblMoeHistory[[#This Row],[Child Count]],0)</f>
        <v>1978.2350427350427</v>
      </c>
      <c r="L289">
        <f>IFERROR(tblMoeHistory[[#This Row],[State and Local Total Amount]]/tblMoeHistory[[#This Row],[Child Count]],0)</f>
        <v>7643.6648290598296</v>
      </c>
      <c r="M289">
        <v>0</v>
      </c>
      <c r="N289" t="s">
        <v>241</v>
      </c>
      <c r="O289">
        <v>292744.75</v>
      </c>
      <c r="P289">
        <v>3606.58</v>
      </c>
      <c r="Q289">
        <f>tblMoeHistory[[#This Row],[Amount of IDEA Part B, Section 611 award]]+tblMoeHistory[[#This Row],[Amount of IDEA Part B, Section 619 award]]</f>
        <v>296351.33</v>
      </c>
      <c r="S289">
        <v>283363.76</v>
      </c>
      <c r="T289">
        <v>283363.76</v>
      </c>
      <c r="U2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9" t="str">
        <f>IF(OR(IFERROR(SEARCH("Met",tblMoeHistory[[#This Row],[State and Local Per Capita Result]]),0)&gt;0,IFERROR(SEARCH("Met",tblMoeHistory[[#This Row],[State and Local Total Result]]),0)&gt;0),"Met","Not Met")</f>
        <v>Met</v>
      </c>
    </row>
    <row r="290" spans="1:22" x14ac:dyDescent="0.35">
      <c r="A290" t="s">
        <v>113</v>
      </c>
      <c r="B290">
        <v>2109</v>
      </c>
      <c r="C290" t="s">
        <v>159</v>
      </c>
      <c r="D290">
        <v>1</v>
      </c>
      <c r="E290">
        <v>0</v>
      </c>
      <c r="F290">
        <v>1456.45</v>
      </c>
      <c r="G290">
        <f>tblMoeHistory[[#This Row],[LEA State and Local Amount]]+tblMoeHistory[[#This Row],[ESD State and Local Amount]]</f>
        <v>1456.45</v>
      </c>
      <c r="H290">
        <v>0</v>
      </c>
      <c r="I290" t="s">
        <v>242</v>
      </c>
      <c r="J290">
        <f>IFERROR(tblMoeHistory[[#This Row],[LEA State and Local Amount]]/tblMoeHistory[[#This Row],[Child Count]],0)</f>
        <v>0</v>
      </c>
      <c r="K290">
        <f>IFERROR(tblMoeHistory[[#This Row],[ESD State and Local Amount]]/tblMoeHistory[[#This Row],[Child Count]],0)</f>
        <v>1456.45</v>
      </c>
      <c r="L290">
        <f>IFERROR(tblMoeHistory[[#This Row],[State and Local Total Amount]]/tblMoeHistory[[#This Row],[Child Count]],0)</f>
        <v>1456.45</v>
      </c>
      <c r="M290">
        <v>0</v>
      </c>
      <c r="N290" t="s">
        <v>241</v>
      </c>
      <c r="O290">
        <v>973.99</v>
      </c>
      <c r="P290">
        <v>0</v>
      </c>
      <c r="Q290">
        <f>tblMoeHistory[[#This Row],[Amount of IDEA Part B, Section 611 award]]+tblMoeHistory[[#This Row],[Amount of IDEA Part B, Section 619 award]]</f>
        <v>973.99</v>
      </c>
      <c r="S290">
        <v>2148.7800000000002</v>
      </c>
      <c r="T290">
        <v>2148.7800000000002</v>
      </c>
      <c r="U2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0" t="str">
        <f>IF(OR(IFERROR(SEARCH("Met",tblMoeHistory[[#This Row],[State and Local Per Capita Result]]),0)&gt;0,IFERROR(SEARCH("Met",tblMoeHistory[[#This Row],[State and Local Total Result]]),0)&gt;0),"Met","Not Met")</f>
        <v>Met</v>
      </c>
    </row>
    <row r="291" spans="1:22" x14ac:dyDescent="0.35">
      <c r="A291" t="s">
        <v>114</v>
      </c>
      <c r="B291">
        <v>2057</v>
      </c>
      <c r="C291" t="s">
        <v>159</v>
      </c>
      <c r="D291">
        <v>859</v>
      </c>
      <c r="E291">
        <v>4741387.92</v>
      </c>
      <c r="F291">
        <v>976236.7</v>
      </c>
      <c r="G291">
        <f>tblMoeHistory[[#This Row],[LEA State and Local Amount]]+tblMoeHistory[[#This Row],[ESD State and Local Amount]]</f>
        <v>5717624.6200000001</v>
      </c>
      <c r="H291">
        <v>0</v>
      </c>
      <c r="I291" t="s">
        <v>242</v>
      </c>
      <c r="J291">
        <f>IFERROR(tblMoeHistory[[#This Row],[LEA State and Local Amount]]/tblMoeHistory[[#This Row],[Child Count]],0)</f>
        <v>5519.6599767171128</v>
      </c>
      <c r="K291">
        <f>IFERROR(tblMoeHistory[[#This Row],[ESD State and Local Amount]]/tblMoeHistory[[#This Row],[Child Count]],0)</f>
        <v>1136.4804423748544</v>
      </c>
      <c r="L291">
        <f>IFERROR(tblMoeHistory[[#This Row],[State and Local Total Amount]]/tblMoeHistory[[#This Row],[Child Count]],0)</f>
        <v>6656.1404190919675</v>
      </c>
      <c r="M291">
        <v>0</v>
      </c>
      <c r="N291" t="s">
        <v>242</v>
      </c>
      <c r="O291">
        <v>1224184.95</v>
      </c>
      <c r="P291">
        <v>8313.23</v>
      </c>
      <c r="Q291">
        <f>tblMoeHistory[[#This Row],[Amount of IDEA Part B, Section 611 award]]+tblMoeHistory[[#This Row],[Amount of IDEA Part B, Section 619 award]]</f>
        <v>1232498.18</v>
      </c>
      <c r="S291">
        <v>107936.09</v>
      </c>
      <c r="T291">
        <v>107936.09</v>
      </c>
      <c r="U2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1" t="str">
        <f>IF(OR(IFERROR(SEARCH("Met",tblMoeHistory[[#This Row],[State and Local Per Capita Result]]),0)&gt;0,IFERROR(SEARCH("Met",tblMoeHistory[[#This Row],[State and Local Total Result]]),0)&gt;0),"Met","Not Met")</f>
        <v>Met</v>
      </c>
    </row>
    <row r="292" spans="1:22" x14ac:dyDescent="0.35">
      <c r="A292" t="s">
        <v>115</v>
      </c>
      <c r="B292">
        <v>2056</v>
      </c>
      <c r="C292" t="s">
        <v>159</v>
      </c>
      <c r="D292">
        <v>513</v>
      </c>
      <c r="E292">
        <v>3230273.7</v>
      </c>
      <c r="F292">
        <v>135666.45000000001</v>
      </c>
      <c r="G292">
        <f>tblMoeHistory[[#This Row],[LEA State and Local Amount]]+tblMoeHistory[[#This Row],[ESD State and Local Amount]]</f>
        <v>3365940.1500000004</v>
      </c>
      <c r="H292">
        <v>0</v>
      </c>
      <c r="I292" t="s">
        <v>241</v>
      </c>
      <c r="J292">
        <f>IFERROR(tblMoeHistory[[#This Row],[LEA State and Local Amount]]/tblMoeHistory[[#This Row],[Child Count]],0)</f>
        <v>6296.8298245614042</v>
      </c>
      <c r="K292">
        <f>IFERROR(tblMoeHistory[[#This Row],[ESD State and Local Amount]]/tblMoeHistory[[#This Row],[Child Count]],0)</f>
        <v>264.45701754385965</v>
      </c>
      <c r="L292">
        <f>IFERROR(tblMoeHistory[[#This Row],[State and Local Total Amount]]/tblMoeHistory[[#This Row],[Child Count]],0)</f>
        <v>6561.2868421052635</v>
      </c>
      <c r="M292">
        <v>0</v>
      </c>
      <c r="N292" t="s">
        <v>241</v>
      </c>
      <c r="O292">
        <v>673701.66</v>
      </c>
      <c r="P292">
        <v>8180.73</v>
      </c>
      <c r="Q292">
        <f>tblMoeHistory[[#This Row],[Amount of IDEA Part B, Section 611 award]]+tblMoeHistory[[#This Row],[Amount of IDEA Part B, Section 619 award]]</f>
        <v>681882.39</v>
      </c>
      <c r="U2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2" t="str">
        <f>IF(OR(IFERROR(SEARCH("Met",tblMoeHistory[[#This Row],[State and Local Per Capita Result]]),0)&gt;0,IFERROR(SEARCH("Met",tblMoeHistory[[#This Row],[State and Local Total Result]]),0)&gt;0),"Met","Not Met")</f>
        <v>Met</v>
      </c>
    </row>
    <row r="293" spans="1:22" x14ac:dyDescent="0.35">
      <c r="A293" t="s">
        <v>116</v>
      </c>
      <c r="B293">
        <v>2262</v>
      </c>
      <c r="C293" t="s">
        <v>159</v>
      </c>
      <c r="D293">
        <v>81</v>
      </c>
      <c r="E293">
        <v>494904.83</v>
      </c>
      <c r="F293">
        <v>109113</v>
      </c>
      <c r="G293">
        <f>tblMoeHistory[[#This Row],[LEA State and Local Amount]]+tblMoeHistory[[#This Row],[ESD State and Local Amount]]</f>
        <v>604017.83000000007</v>
      </c>
      <c r="H293">
        <v>0</v>
      </c>
      <c r="I293" t="s">
        <v>241</v>
      </c>
      <c r="J293">
        <f>IFERROR(tblMoeHistory[[#This Row],[LEA State and Local Amount]]/tblMoeHistory[[#This Row],[Child Count]],0)</f>
        <v>6109.9361728395061</v>
      </c>
      <c r="K293">
        <f>IFERROR(tblMoeHistory[[#This Row],[ESD State and Local Amount]]/tblMoeHistory[[#This Row],[Child Count]],0)</f>
        <v>1347.0740740740741</v>
      </c>
      <c r="L293">
        <f>IFERROR(tblMoeHistory[[#This Row],[State and Local Total Amount]]/tblMoeHistory[[#This Row],[Child Count]],0)</f>
        <v>7457.0102469135809</v>
      </c>
      <c r="M293">
        <v>0</v>
      </c>
      <c r="N293" t="s">
        <v>241</v>
      </c>
      <c r="O293">
        <v>71639.679999999993</v>
      </c>
      <c r="P293">
        <v>984.78</v>
      </c>
      <c r="Q293">
        <f>tblMoeHistory[[#This Row],[Amount of IDEA Part B, Section 611 award]]+tblMoeHistory[[#This Row],[Amount of IDEA Part B, Section 619 award]]</f>
        <v>72624.459999999992</v>
      </c>
      <c r="U2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3" t="str">
        <f>IF(OR(IFERROR(SEARCH("Met",tblMoeHistory[[#This Row],[State and Local Per Capita Result]]),0)&gt;0,IFERROR(SEARCH("Met",tblMoeHistory[[#This Row],[State and Local Total Result]]),0)&gt;0),"Met","Not Met")</f>
        <v>Met</v>
      </c>
    </row>
    <row r="294" spans="1:22" x14ac:dyDescent="0.35">
      <c r="A294" t="s">
        <v>117</v>
      </c>
      <c r="B294">
        <v>2212</v>
      </c>
      <c r="C294" t="s">
        <v>159</v>
      </c>
      <c r="D294">
        <v>335</v>
      </c>
      <c r="E294">
        <v>1995361.98</v>
      </c>
      <c r="F294">
        <v>533540.68999999994</v>
      </c>
      <c r="G294">
        <f>tblMoeHistory[[#This Row],[LEA State and Local Amount]]+tblMoeHistory[[#This Row],[ESD State and Local Amount]]</f>
        <v>2528902.67</v>
      </c>
      <c r="H294">
        <v>0</v>
      </c>
      <c r="I294" t="s">
        <v>242</v>
      </c>
      <c r="J294">
        <f>IFERROR(tblMoeHistory[[#This Row],[LEA State and Local Amount]]/tblMoeHistory[[#This Row],[Child Count]],0)</f>
        <v>5956.3044179104481</v>
      </c>
      <c r="K294">
        <f>IFERROR(tblMoeHistory[[#This Row],[ESD State and Local Amount]]/tblMoeHistory[[#This Row],[Child Count]],0)</f>
        <v>1592.6587761194028</v>
      </c>
      <c r="L294">
        <f>IFERROR(tblMoeHistory[[#This Row],[State and Local Total Amount]]/tblMoeHistory[[#This Row],[Child Count]],0)</f>
        <v>7548.9631940298505</v>
      </c>
      <c r="M294">
        <v>0</v>
      </c>
      <c r="N294" t="s">
        <v>241</v>
      </c>
      <c r="O294">
        <v>441684.53</v>
      </c>
      <c r="P294">
        <v>3423</v>
      </c>
      <c r="Q294">
        <f>tblMoeHistory[[#This Row],[Amount of IDEA Part B, Section 611 award]]+tblMoeHistory[[#This Row],[Amount of IDEA Part B, Section 619 award]]</f>
        <v>445107.53</v>
      </c>
      <c r="S294">
        <v>253697.17</v>
      </c>
      <c r="T294">
        <v>253697.17</v>
      </c>
      <c r="U2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4" t="str">
        <f>IF(OR(IFERROR(SEARCH("Met",tblMoeHistory[[#This Row],[State and Local Per Capita Result]]),0)&gt;0,IFERROR(SEARCH("Met",tblMoeHistory[[#This Row],[State and Local Total Result]]),0)&gt;0),"Met","Not Met")</f>
        <v>Met</v>
      </c>
    </row>
    <row r="295" spans="1:22" x14ac:dyDescent="0.35">
      <c r="A295" t="s">
        <v>118</v>
      </c>
      <c r="B295">
        <v>2059</v>
      </c>
      <c r="C295" t="s">
        <v>159</v>
      </c>
      <c r="D295">
        <v>98</v>
      </c>
      <c r="E295">
        <v>263723.33</v>
      </c>
      <c r="F295">
        <v>257431.01</v>
      </c>
      <c r="G295">
        <f>tblMoeHistory[[#This Row],[LEA State and Local Amount]]+tblMoeHistory[[#This Row],[ESD State and Local Amount]]</f>
        <v>521154.34</v>
      </c>
      <c r="H295">
        <v>0</v>
      </c>
      <c r="I295" t="s">
        <v>241</v>
      </c>
      <c r="J295">
        <f>IFERROR(tblMoeHistory[[#This Row],[LEA State and Local Amount]]/tblMoeHistory[[#This Row],[Child Count]],0)</f>
        <v>2691.0543877551022</v>
      </c>
      <c r="K295">
        <f>IFERROR(tblMoeHistory[[#This Row],[ESD State and Local Amount]]/tblMoeHistory[[#This Row],[Child Count]],0)</f>
        <v>2626.8470408163266</v>
      </c>
      <c r="L295">
        <f>IFERROR(tblMoeHistory[[#This Row],[State and Local Total Amount]]/tblMoeHistory[[#This Row],[Child Count]],0)</f>
        <v>5317.9014285714293</v>
      </c>
      <c r="M295">
        <v>0</v>
      </c>
      <c r="N295" t="s">
        <v>240</v>
      </c>
      <c r="O295">
        <v>121062.37</v>
      </c>
      <c r="P295">
        <v>1474.29</v>
      </c>
      <c r="Q295">
        <f>tblMoeHistory[[#This Row],[Amount of IDEA Part B, Section 611 award]]+tblMoeHistory[[#This Row],[Amount of IDEA Part B, Section 619 award]]</f>
        <v>122536.65999999999</v>
      </c>
      <c r="U2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5" t="str">
        <f>IF(OR(IFERROR(SEARCH("Met",tblMoeHistory[[#This Row],[State and Local Per Capita Result]]),0)&gt;0,IFERROR(SEARCH("Met",tblMoeHistory[[#This Row],[State and Local Total Result]]),0)&gt;0),"Met","Not Met")</f>
        <v>Met</v>
      </c>
    </row>
    <row r="296" spans="1:22" x14ac:dyDescent="0.35">
      <c r="A296" t="s">
        <v>119</v>
      </c>
      <c r="B296">
        <v>1923</v>
      </c>
      <c r="C296" t="s">
        <v>159</v>
      </c>
      <c r="D296">
        <v>548</v>
      </c>
      <c r="E296">
        <v>7761565.9199999999</v>
      </c>
      <c r="F296">
        <v>431552</v>
      </c>
      <c r="G296">
        <f>tblMoeHistory[[#This Row],[LEA State and Local Amount]]+tblMoeHistory[[#This Row],[ESD State and Local Amount]]</f>
        <v>8193117.9199999999</v>
      </c>
      <c r="H296">
        <v>0</v>
      </c>
      <c r="I296" t="s">
        <v>241</v>
      </c>
      <c r="J296">
        <f>IFERROR(tblMoeHistory[[#This Row],[LEA State and Local Amount]]/tblMoeHistory[[#This Row],[Child Count]],0)</f>
        <v>14163.441459854015</v>
      </c>
      <c r="K296">
        <f>IFERROR(tblMoeHistory[[#This Row],[ESD State and Local Amount]]/tblMoeHistory[[#This Row],[Child Count]],0)</f>
        <v>787.50364963503648</v>
      </c>
      <c r="L296">
        <f>IFERROR(tblMoeHistory[[#This Row],[State and Local Total Amount]]/tblMoeHistory[[#This Row],[Child Count]],0)</f>
        <v>14950.94510948905</v>
      </c>
      <c r="M296">
        <v>0</v>
      </c>
      <c r="N296" t="s">
        <v>241</v>
      </c>
      <c r="O296">
        <v>938970.88</v>
      </c>
      <c r="P296">
        <v>3774.17</v>
      </c>
      <c r="Q296">
        <f>tblMoeHistory[[#This Row],[Amount of IDEA Part B, Section 611 award]]+tblMoeHistory[[#This Row],[Amount of IDEA Part B, Section 619 award]]</f>
        <v>942745.05</v>
      </c>
      <c r="U2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6" t="str">
        <f>IF(OR(IFERROR(SEARCH("Met",tblMoeHistory[[#This Row],[State and Local Per Capita Result]]),0)&gt;0,IFERROR(SEARCH("Met",tblMoeHistory[[#This Row],[State and Local Total Result]]),0)&gt;0),"Met","Not Met")</f>
        <v>Met</v>
      </c>
    </row>
    <row r="297" spans="1:22" x14ac:dyDescent="0.35">
      <c r="A297" t="s">
        <v>120</v>
      </c>
      <c r="B297">
        <v>2101</v>
      </c>
      <c r="C297" t="s">
        <v>159</v>
      </c>
      <c r="D297">
        <v>589</v>
      </c>
      <c r="E297">
        <v>3867268.29</v>
      </c>
      <c r="F297">
        <v>474805</v>
      </c>
      <c r="G297">
        <f>tblMoeHistory[[#This Row],[LEA State and Local Amount]]+tblMoeHistory[[#This Row],[ESD State and Local Amount]]</f>
        <v>4342073.29</v>
      </c>
      <c r="H297">
        <v>0</v>
      </c>
      <c r="I297" t="s">
        <v>241</v>
      </c>
      <c r="J297">
        <f>IFERROR(tblMoeHistory[[#This Row],[LEA State and Local Amount]]/tblMoeHistory[[#This Row],[Child Count]],0)</f>
        <v>6565.8205263157897</v>
      </c>
      <c r="K297">
        <f>IFERROR(tblMoeHistory[[#This Row],[ESD State and Local Amount]]/tblMoeHistory[[#This Row],[Child Count]],0)</f>
        <v>806.12054329371813</v>
      </c>
      <c r="L297">
        <f>IFERROR(tblMoeHistory[[#This Row],[State and Local Total Amount]]/tblMoeHistory[[#This Row],[Child Count]],0)</f>
        <v>7371.9410696095074</v>
      </c>
      <c r="M297">
        <v>0</v>
      </c>
      <c r="N297" t="s">
        <v>241</v>
      </c>
      <c r="O297">
        <v>745794.26</v>
      </c>
      <c r="P297">
        <v>5082.2700000000004</v>
      </c>
      <c r="Q297">
        <f>tblMoeHistory[[#This Row],[Amount of IDEA Part B, Section 611 award]]+tblMoeHistory[[#This Row],[Amount of IDEA Part B, Section 619 award]]</f>
        <v>750876.53</v>
      </c>
      <c r="U2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7" t="str">
        <f>IF(OR(IFERROR(SEARCH("Met",tblMoeHistory[[#This Row],[State and Local Per Capita Result]]),0)&gt;0,IFERROR(SEARCH("Met",tblMoeHistory[[#This Row],[State and Local Total Result]]),0)&gt;0),"Met","Not Met")</f>
        <v>Met</v>
      </c>
    </row>
    <row r="298" spans="1:22" x14ac:dyDescent="0.35">
      <c r="A298" t="s">
        <v>121</v>
      </c>
      <c r="B298">
        <v>2097</v>
      </c>
      <c r="C298" t="s">
        <v>159</v>
      </c>
      <c r="D298">
        <v>644</v>
      </c>
      <c r="E298">
        <v>5539028.4100000001</v>
      </c>
      <c r="F298">
        <v>454843</v>
      </c>
      <c r="G298">
        <f>tblMoeHistory[[#This Row],[LEA State and Local Amount]]+tblMoeHistory[[#This Row],[ESD State and Local Amount]]</f>
        <v>5993871.4100000001</v>
      </c>
      <c r="H298">
        <v>0</v>
      </c>
      <c r="I298" t="s">
        <v>241</v>
      </c>
      <c r="J298">
        <f>IFERROR(tblMoeHistory[[#This Row],[LEA State and Local Amount]]/tblMoeHistory[[#This Row],[Child Count]],0)</f>
        <v>8600.9757919254662</v>
      </c>
      <c r="K298">
        <f>IFERROR(tblMoeHistory[[#This Row],[ESD State and Local Amount]]/tblMoeHistory[[#This Row],[Child Count]],0)</f>
        <v>706.27795031055905</v>
      </c>
      <c r="L298">
        <f>IFERROR(tblMoeHistory[[#This Row],[State and Local Total Amount]]/tblMoeHistory[[#This Row],[Child Count]],0)</f>
        <v>9307.2537422360256</v>
      </c>
      <c r="M298">
        <v>0</v>
      </c>
      <c r="N298" t="s">
        <v>241</v>
      </c>
      <c r="O298">
        <v>962296.96</v>
      </c>
      <c r="P298">
        <v>13364.67</v>
      </c>
      <c r="Q298">
        <f>tblMoeHistory[[#This Row],[Amount of IDEA Part B, Section 611 award]]+tblMoeHistory[[#This Row],[Amount of IDEA Part B, Section 619 award]]</f>
        <v>975661.63</v>
      </c>
      <c r="U2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8" t="str">
        <f>IF(OR(IFERROR(SEARCH("Met",tblMoeHistory[[#This Row],[State and Local Per Capita Result]]),0)&gt;0,IFERROR(SEARCH("Met",tblMoeHistory[[#This Row],[State and Local Total Result]]),0)&gt;0),"Met","Not Met")</f>
        <v>Met</v>
      </c>
    </row>
    <row r="299" spans="1:22" x14ac:dyDescent="0.35">
      <c r="A299" t="s">
        <v>122</v>
      </c>
      <c r="B299">
        <v>2012</v>
      </c>
      <c r="C299" t="s">
        <v>159</v>
      </c>
      <c r="D299">
        <v>4</v>
      </c>
      <c r="E299">
        <v>20291.400000000001</v>
      </c>
      <c r="F299">
        <v>98525.82</v>
      </c>
      <c r="G299">
        <f>tblMoeHistory[[#This Row],[LEA State and Local Amount]]+tblMoeHistory[[#This Row],[ESD State and Local Amount]]</f>
        <v>118817.22</v>
      </c>
      <c r="H299">
        <v>0</v>
      </c>
      <c r="I299" t="s">
        <v>241</v>
      </c>
      <c r="J299">
        <f>IFERROR(tblMoeHistory[[#This Row],[LEA State and Local Amount]]/tblMoeHistory[[#This Row],[Child Count]],0)</f>
        <v>5072.8500000000004</v>
      </c>
      <c r="K299">
        <f>IFERROR(tblMoeHistory[[#This Row],[ESD State and Local Amount]]/tblMoeHistory[[#This Row],[Child Count]],0)</f>
        <v>24631.455000000002</v>
      </c>
      <c r="L299">
        <f>IFERROR(tblMoeHistory[[#This Row],[State and Local Total Amount]]/tblMoeHistory[[#This Row],[Child Count]],0)</f>
        <v>29704.305</v>
      </c>
      <c r="M299">
        <v>0</v>
      </c>
      <c r="N299" t="s">
        <v>241</v>
      </c>
      <c r="O299">
        <v>5372.79</v>
      </c>
      <c r="P299">
        <v>4.1900000000000004</v>
      </c>
      <c r="Q299">
        <f>tblMoeHistory[[#This Row],[Amount of IDEA Part B, Section 611 award]]+tblMoeHistory[[#This Row],[Amount of IDEA Part B, Section 619 award]]</f>
        <v>5376.98</v>
      </c>
      <c r="U2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9" t="str">
        <f>IF(OR(IFERROR(SEARCH("Met",tblMoeHistory[[#This Row],[State and Local Per Capita Result]]),0)&gt;0,IFERROR(SEARCH("Met",tblMoeHistory[[#This Row],[State and Local Total Result]]),0)&gt;0),"Met","Not Met")</f>
        <v>Met</v>
      </c>
    </row>
    <row r="300" spans="1:22" x14ac:dyDescent="0.35">
      <c r="A300" t="s">
        <v>123</v>
      </c>
      <c r="B300">
        <v>2092</v>
      </c>
      <c r="C300" t="s">
        <v>159</v>
      </c>
      <c r="D300">
        <v>49</v>
      </c>
      <c r="E300">
        <v>372418.22</v>
      </c>
      <c r="F300">
        <v>159833</v>
      </c>
      <c r="G300">
        <f>tblMoeHistory[[#This Row],[LEA State and Local Amount]]+tblMoeHistory[[#This Row],[ESD State and Local Amount]]</f>
        <v>532251.22</v>
      </c>
      <c r="H300">
        <v>0</v>
      </c>
      <c r="I300" t="s">
        <v>241</v>
      </c>
      <c r="J300">
        <f>IFERROR(tblMoeHistory[[#This Row],[LEA State and Local Amount]]/tblMoeHistory[[#This Row],[Child Count]],0)</f>
        <v>7600.3718367346937</v>
      </c>
      <c r="K300">
        <f>IFERROR(tblMoeHistory[[#This Row],[ESD State and Local Amount]]/tblMoeHistory[[#This Row],[Child Count]],0)</f>
        <v>3261.8979591836733</v>
      </c>
      <c r="L300">
        <f>IFERROR(tblMoeHistory[[#This Row],[State and Local Total Amount]]/tblMoeHistory[[#This Row],[Child Count]],0)</f>
        <v>10862.269795918366</v>
      </c>
      <c r="M300">
        <v>0</v>
      </c>
      <c r="N300" t="s">
        <v>241</v>
      </c>
      <c r="O300">
        <v>58059.79</v>
      </c>
      <c r="P300">
        <v>660.75</v>
      </c>
      <c r="Q300">
        <f>tblMoeHistory[[#This Row],[Amount of IDEA Part B, Section 611 award]]+tblMoeHistory[[#This Row],[Amount of IDEA Part B, Section 619 award]]</f>
        <v>58720.54</v>
      </c>
      <c r="U3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0" t="str">
        <f>IF(OR(IFERROR(SEARCH("Met",tblMoeHistory[[#This Row],[State and Local Per Capita Result]]),0)&gt;0,IFERROR(SEARCH("Met",tblMoeHistory[[#This Row],[State and Local Total Result]]),0)&gt;0),"Met","Not Met")</f>
        <v>Met</v>
      </c>
    </row>
    <row r="301" spans="1:22" x14ac:dyDescent="0.35">
      <c r="A301" t="s">
        <v>124</v>
      </c>
      <c r="B301">
        <v>2112</v>
      </c>
      <c r="C301" t="s">
        <v>159</v>
      </c>
      <c r="D301">
        <v>0</v>
      </c>
      <c r="E301">
        <v>0</v>
      </c>
      <c r="F301">
        <v>183.96</v>
      </c>
      <c r="G301">
        <f>tblMoeHistory[[#This Row],[LEA State and Local Amount]]+tblMoeHistory[[#This Row],[ESD State and Local Amount]]</f>
        <v>183.96</v>
      </c>
      <c r="H301">
        <v>0</v>
      </c>
      <c r="I301" t="s">
        <v>240</v>
      </c>
      <c r="J301">
        <f>IFERROR(tblMoeHistory[[#This Row],[LEA State and Local Amount]]/tblMoeHistory[[#This Row],[Child Count]],0)</f>
        <v>0</v>
      </c>
      <c r="K301">
        <f>IFERROR(tblMoeHistory[[#This Row],[ESD State and Local Amount]]/tblMoeHistory[[#This Row],[Child Count]],0)</f>
        <v>0</v>
      </c>
      <c r="L301">
        <f>IFERROR(tblMoeHistory[[#This Row],[State and Local Total Amount]]/tblMoeHistory[[#This Row],[Child Count]],0)</f>
        <v>0</v>
      </c>
      <c r="M301">
        <v>0</v>
      </c>
      <c r="N301" t="s">
        <v>241</v>
      </c>
      <c r="O301">
        <v>1548.54</v>
      </c>
      <c r="P301">
        <v>1.22</v>
      </c>
      <c r="Q301">
        <f>tblMoeHistory[[#This Row],[Amount of IDEA Part B, Section 611 award]]+tblMoeHistory[[#This Row],[Amount of IDEA Part B, Section 619 award]]</f>
        <v>1549.76</v>
      </c>
      <c r="U3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1" t="str">
        <f>IF(OR(IFERROR(SEARCH("Met",tblMoeHistory[[#This Row],[State and Local Per Capita Result]]),0)&gt;0,IFERROR(SEARCH("Met",tblMoeHistory[[#This Row],[State and Local Total Result]]),0)&gt;0),"Met","Not Met")</f>
        <v>Met</v>
      </c>
    </row>
    <row r="302" spans="1:22" x14ac:dyDescent="0.35">
      <c r="A302" t="s">
        <v>125</v>
      </c>
      <c r="B302">
        <v>2085</v>
      </c>
      <c r="C302" t="s">
        <v>159</v>
      </c>
      <c r="D302">
        <v>44</v>
      </c>
      <c r="E302">
        <v>213418.28</v>
      </c>
      <c r="F302">
        <v>51650</v>
      </c>
      <c r="G302">
        <f>tblMoeHistory[[#This Row],[LEA State and Local Amount]]+tblMoeHistory[[#This Row],[ESD State and Local Amount]]</f>
        <v>265068.28000000003</v>
      </c>
      <c r="H302">
        <v>0</v>
      </c>
      <c r="I302" t="s">
        <v>241</v>
      </c>
      <c r="J302">
        <f>IFERROR(tblMoeHistory[[#This Row],[LEA State and Local Amount]]/tblMoeHistory[[#This Row],[Child Count]],0)</f>
        <v>4850.4154545454548</v>
      </c>
      <c r="K302">
        <f>IFERROR(tblMoeHistory[[#This Row],[ESD State and Local Amount]]/tblMoeHistory[[#This Row],[Child Count]],0)</f>
        <v>1173.8636363636363</v>
      </c>
      <c r="L302">
        <f>IFERROR(tblMoeHistory[[#This Row],[State and Local Total Amount]]/tblMoeHistory[[#This Row],[Child Count]],0)</f>
        <v>6024.2790909090918</v>
      </c>
      <c r="M302">
        <v>0</v>
      </c>
      <c r="N302" t="s">
        <v>240</v>
      </c>
      <c r="O302">
        <v>53539.92</v>
      </c>
      <c r="P302">
        <v>0</v>
      </c>
      <c r="Q302">
        <f>tblMoeHistory[[#This Row],[Amount of IDEA Part B, Section 611 award]]+tblMoeHistory[[#This Row],[Amount of IDEA Part B, Section 619 award]]</f>
        <v>53539.92</v>
      </c>
      <c r="U3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2" t="str">
        <f>IF(OR(IFERROR(SEARCH("Met",tblMoeHistory[[#This Row],[State and Local Per Capita Result]]),0)&gt;0,IFERROR(SEARCH("Met",tblMoeHistory[[#This Row],[State and Local Total Result]]),0)&gt;0),"Met","Not Met")</f>
        <v>Met</v>
      </c>
    </row>
    <row r="303" spans="1:22" x14ac:dyDescent="0.35">
      <c r="A303" t="s">
        <v>126</v>
      </c>
      <c r="B303">
        <v>2094</v>
      </c>
      <c r="C303" t="s">
        <v>159</v>
      </c>
      <c r="D303">
        <v>30</v>
      </c>
      <c r="E303">
        <v>240250.11</v>
      </c>
      <c r="F303">
        <v>73235</v>
      </c>
      <c r="G303">
        <f>tblMoeHistory[[#This Row],[LEA State and Local Amount]]+tblMoeHistory[[#This Row],[ESD State and Local Amount]]</f>
        <v>313485.11</v>
      </c>
      <c r="H303">
        <v>0</v>
      </c>
      <c r="I303" t="s">
        <v>241</v>
      </c>
      <c r="J303">
        <f>IFERROR(tblMoeHistory[[#This Row],[LEA State and Local Amount]]/tblMoeHistory[[#This Row],[Child Count]],0)</f>
        <v>8008.3369999999995</v>
      </c>
      <c r="K303">
        <f>IFERROR(tblMoeHistory[[#This Row],[ESD State and Local Amount]]/tblMoeHistory[[#This Row],[Child Count]],0)</f>
        <v>2441.1666666666665</v>
      </c>
      <c r="L303">
        <f>IFERROR(tblMoeHistory[[#This Row],[State and Local Total Amount]]/tblMoeHistory[[#This Row],[Child Count]],0)</f>
        <v>10449.503666666666</v>
      </c>
      <c r="M303">
        <v>0</v>
      </c>
      <c r="N303" t="s">
        <v>241</v>
      </c>
      <c r="O303">
        <v>41798.51</v>
      </c>
      <c r="P303">
        <v>0</v>
      </c>
      <c r="Q303">
        <f>tblMoeHistory[[#This Row],[Amount of IDEA Part B, Section 611 award]]+tblMoeHistory[[#This Row],[Amount of IDEA Part B, Section 619 award]]</f>
        <v>41798.51</v>
      </c>
      <c r="U3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3" t="str">
        <f>IF(OR(IFERROR(SEARCH("Met",tblMoeHistory[[#This Row],[State and Local Per Capita Result]]),0)&gt;0,IFERROR(SEARCH("Met",tblMoeHistory[[#This Row],[State and Local Total Result]]),0)&gt;0),"Met","Not Met")</f>
        <v>Met</v>
      </c>
    </row>
    <row r="304" spans="1:22" x14ac:dyDescent="0.35">
      <c r="A304" t="s">
        <v>127</v>
      </c>
      <c r="B304">
        <v>2090</v>
      </c>
      <c r="C304" t="s">
        <v>159</v>
      </c>
      <c r="D304">
        <v>32</v>
      </c>
      <c r="E304">
        <v>232045.28</v>
      </c>
      <c r="F304">
        <v>62834</v>
      </c>
      <c r="G304">
        <f>tblMoeHistory[[#This Row],[LEA State and Local Amount]]+tblMoeHistory[[#This Row],[ESD State and Local Amount]]</f>
        <v>294879.28000000003</v>
      </c>
      <c r="H304">
        <v>0</v>
      </c>
      <c r="I304" t="s">
        <v>241</v>
      </c>
      <c r="J304">
        <f>IFERROR(tblMoeHistory[[#This Row],[LEA State and Local Amount]]/tblMoeHistory[[#This Row],[Child Count]],0)</f>
        <v>7251.415</v>
      </c>
      <c r="K304">
        <f>IFERROR(tblMoeHistory[[#This Row],[ESD State and Local Amount]]/tblMoeHistory[[#This Row],[Child Count]],0)</f>
        <v>1963.5625</v>
      </c>
      <c r="L304">
        <f>IFERROR(tblMoeHistory[[#This Row],[State and Local Total Amount]]/tblMoeHistory[[#This Row],[Child Count]],0)</f>
        <v>9214.9775000000009</v>
      </c>
      <c r="M304">
        <v>0</v>
      </c>
      <c r="N304" t="s">
        <v>241</v>
      </c>
      <c r="O304">
        <v>44700.21</v>
      </c>
      <c r="P304">
        <v>0</v>
      </c>
      <c r="Q304">
        <f>tblMoeHistory[[#This Row],[Amount of IDEA Part B, Section 611 award]]+tblMoeHistory[[#This Row],[Amount of IDEA Part B, Section 619 award]]</f>
        <v>44700.21</v>
      </c>
      <c r="U3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4" t="str">
        <f>IF(OR(IFERROR(SEARCH("Met",tblMoeHistory[[#This Row],[State and Local Per Capita Result]]),0)&gt;0,IFERROR(SEARCH("Met",tblMoeHistory[[#This Row],[State and Local Total Result]]),0)&gt;0),"Met","Not Met")</f>
        <v>Met</v>
      </c>
    </row>
    <row r="305" spans="1:22" x14ac:dyDescent="0.35">
      <c r="A305" t="s">
        <v>128</v>
      </c>
      <c r="B305">
        <v>2256</v>
      </c>
      <c r="C305" t="s">
        <v>159</v>
      </c>
      <c r="D305">
        <v>798</v>
      </c>
      <c r="E305">
        <v>4907178.3</v>
      </c>
      <c r="F305">
        <v>552260.31999999995</v>
      </c>
      <c r="G305">
        <f>tblMoeHistory[[#This Row],[LEA State and Local Amount]]+tblMoeHistory[[#This Row],[ESD State and Local Amount]]</f>
        <v>5459438.6200000001</v>
      </c>
      <c r="H305">
        <v>0</v>
      </c>
      <c r="I305" t="s">
        <v>241</v>
      </c>
      <c r="J305">
        <f>IFERROR(tblMoeHistory[[#This Row],[LEA State and Local Amount]]/tblMoeHistory[[#This Row],[Child Count]],0)</f>
        <v>6149.3462406015033</v>
      </c>
      <c r="K305">
        <f>IFERROR(tblMoeHistory[[#This Row],[ESD State and Local Amount]]/tblMoeHistory[[#This Row],[Child Count]],0)</f>
        <v>692.05553884711776</v>
      </c>
      <c r="L305">
        <f>IFERROR(tblMoeHistory[[#This Row],[State and Local Total Amount]]/tblMoeHistory[[#This Row],[Child Count]],0)</f>
        <v>6841.4017794486217</v>
      </c>
      <c r="M305">
        <v>0</v>
      </c>
      <c r="N305" t="s">
        <v>241</v>
      </c>
      <c r="O305">
        <v>898870.06</v>
      </c>
      <c r="P305">
        <v>8744.65</v>
      </c>
      <c r="Q305">
        <f>tblMoeHistory[[#This Row],[Amount of IDEA Part B, Section 611 award]]+tblMoeHistory[[#This Row],[Amount of IDEA Part B, Section 619 award]]</f>
        <v>907614.71000000008</v>
      </c>
      <c r="U3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5" t="str">
        <f>IF(OR(IFERROR(SEARCH("Met",tblMoeHistory[[#This Row],[State and Local Per Capita Result]]),0)&gt;0,IFERROR(SEARCH("Met",tblMoeHistory[[#This Row],[State and Local Total Result]]),0)&gt;0),"Met","Not Met")</f>
        <v>Met</v>
      </c>
    </row>
    <row r="306" spans="1:22" x14ac:dyDescent="0.35">
      <c r="A306" t="s">
        <v>129</v>
      </c>
      <c r="B306">
        <v>2048</v>
      </c>
      <c r="C306" t="s">
        <v>159</v>
      </c>
      <c r="D306">
        <v>1375</v>
      </c>
      <c r="E306">
        <v>8879185.8599999994</v>
      </c>
      <c r="F306">
        <v>2663772.62</v>
      </c>
      <c r="G306">
        <f>tblMoeHistory[[#This Row],[LEA State and Local Amount]]+tblMoeHistory[[#This Row],[ESD State and Local Amount]]</f>
        <v>11542958.48</v>
      </c>
      <c r="H306">
        <v>0</v>
      </c>
      <c r="I306" t="s">
        <v>241</v>
      </c>
      <c r="J306">
        <f>IFERROR(tblMoeHistory[[#This Row],[LEA State and Local Amount]]/tblMoeHistory[[#This Row],[Child Count]],0)</f>
        <v>6457.5897163636355</v>
      </c>
      <c r="K306">
        <f>IFERROR(tblMoeHistory[[#This Row],[ESD State and Local Amount]]/tblMoeHistory[[#This Row],[Child Count]],0)</f>
        <v>1937.2891781818182</v>
      </c>
      <c r="L306">
        <f>IFERROR(tblMoeHistory[[#This Row],[State and Local Total Amount]]/tblMoeHistory[[#This Row],[Child Count]],0)</f>
        <v>8394.8788945454544</v>
      </c>
      <c r="M306">
        <v>0</v>
      </c>
      <c r="N306" t="s">
        <v>240</v>
      </c>
      <c r="O306">
        <v>1967620.02</v>
      </c>
      <c r="P306">
        <v>23005.55</v>
      </c>
      <c r="Q306">
        <f>tblMoeHistory[[#This Row],[Amount of IDEA Part B, Section 611 award]]+tblMoeHistory[[#This Row],[Amount of IDEA Part B, Section 619 award]]</f>
        <v>1990625.57</v>
      </c>
      <c r="U3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6" t="str">
        <f>IF(OR(IFERROR(SEARCH("Met",tblMoeHistory[[#This Row],[State and Local Per Capita Result]]),0)&gt;0,IFERROR(SEARCH("Met",tblMoeHistory[[#This Row],[State and Local Total Result]]),0)&gt;0),"Met","Not Met")</f>
        <v>Met</v>
      </c>
    </row>
    <row r="307" spans="1:22" x14ac:dyDescent="0.35">
      <c r="A307" t="s">
        <v>130</v>
      </c>
      <c r="B307">
        <v>2205</v>
      </c>
      <c r="C307" t="s">
        <v>159</v>
      </c>
      <c r="D307">
        <v>210</v>
      </c>
      <c r="E307">
        <v>2168622.17</v>
      </c>
      <c r="F307">
        <v>347771.89</v>
      </c>
      <c r="G307">
        <f>tblMoeHistory[[#This Row],[LEA State and Local Amount]]+tblMoeHistory[[#This Row],[ESD State and Local Amount]]</f>
        <v>2516394.06</v>
      </c>
      <c r="H307">
        <v>0</v>
      </c>
      <c r="I307" t="s">
        <v>240</v>
      </c>
      <c r="J307">
        <f>IFERROR(tblMoeHistory[[#This Row],[LEA State and Local Amount]]/tblMoeHistory[[#This Row],[Child Count]],0)</f>
        <v>10326.772238095238</v>
      </c>
      <c r="K307">
        <f>IFERROR(tblMoeHistory[[#This Row],[ESD State and Local Amount]]/tblMoeHistory[[#This Row],[Child Count]],0)</f>
        <v>1656.0566190476191</v>
      </c>
      <c r="L307">
        <f>IFERROR(tblMoeHistory[[#This Row],[State and Local Total Amount]]/tblMoeHistory[[#This Row],[Child Count]],0)</f>
        <v>11982.828857142857</v>
      </c>
      <c r="M307">
        <v>0</v>
      </c>
      <c r="N307" t="s">
        <v>240</v>
      </c>
      <c r="O307">
        <v>320580.13</v>
      </c>
      <c r="P307">
        <v>2764.7</v>
      </c>
      <c r="Q307">
        <f>tblMoeHistory[[#This Row],[Amount of IDEA Part B, Section 611 award]]+tblMoeHistory[[#This Row],[Amount of IDEA Part B, Section 619 award]]</f>
        <v>323344.83</v>
      </c>
      <c r="U3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7" t="str">
        <f>IF(OR(IFERROR(SEARCH("Met",tblMoeHistory[[#This Row],[State and Local Per Capita Result]]),0)&gt;0,IFERROR(SEARCH("Met",tblMoeHistory[[#This Row],[State and Local Total Result]]),0)&gt;0),"Met","Not Met")</f>
        <v>Not Met</v>
      </c>
    </row>
    <row r="308" spans="1:22" x14ac:dyDescent="0.35">
      <c r="A308" t="s">
        <v>131</v>
      </c>
      <c r="B308">
        <v>2249</v>
      </c>
      <c r="C308" t="s">
        <v>159</v>
      </c>
      <c r="D308">
        <v>8</v>
      </c>
      <c r="E308">
        <v>37900.5</v>
      </c>
      <c r="F308">
        <v>12642</v>
      </c>
      <c r="G308">
        <f>tblMoeHistory[[#This Row],[LEA State and Local Amount]]+tblMoeHistory[[#This Row],[ESD State and Local Amount]]</f>
        <v>50542.5</v>
      </c>
      <c r="H308">
        <v>0</v>
      </c>
      <c r="I308" t="s">
        <v>240</v>
      </c>
      <c r="J308">
        <f>IFERROR(tblMoeHistory[[#This Row],[LEA State and Local Amount]]/tblMoeHistory[[#This Row],[Child Count]],0)</f>
        <v>4737.5625</v>
      </c>
      <c r="K308">
        <f>IFERROR(tblMoeHistory[[#This Row],[ESD State and Local Amount]]/tblMoeHistory[[#This Row],[Child Count]],0)</f>
        <v>1580.25</v>
      </c>
      <c r="L308">
        <f>IFERROR(tblMoeHistory[[#This Row],[State and Local Total Amount]]/tblMoeHistory[[#This Row],[Child Count]],0)</f>
        <v>6317.8125</v>
      </c>
      <c r="M308">
        <v>0</v>
      </c>
      <c r="N308" t="s">
        <v>240</v>
      </c>
      <c r="O308">
        <v>13724.35</v>
      </c>
      <c r="P308">
        <v>0</v>
      </c>
      <c r="Q308">
        <f>tblMoeHistory[[#This Row],[Amount of IDEA Part B, Section 611 award]]+tblMoeHistory[[#This Row],[Amount of IDEA Part B, Section 619 award]]</f>
        <v>13724.35</v>
      </c>
      <c r="U3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8" t="str">
        <f>IF(OR(IFERROR(SEARCH("Met",tblMoeHistory[[#This Row],[State and Local Per Capita Result]]),0)&gt;0,IFERROR(SEARCH("Met",tblMoeHistory[[#This Row],[State and Local Total Result]]),0)&gt;0),"Met","Not Met")</f>
        <v>Not Met</v>
      </c>
    </row>
    <row r="309" spans="1:22" x14ac:dyDescent="0.35">
      <c r="A309" t="s">
        <v>132</v>
      </c>
      <c r="B309">
        <v>1925</v>
      </c>
      <c r="C309" t="s">
        <v>159</v>
      </c>
      <c r="D309">
        <v>451</v>
      </c>
      <c r="E309">
        <v>3130256.12</v>
      </c>
      <c r="F309">
        <v>573278</v>
      </c>
      <c r="G309">
        <f>tblMoeHistory[[#This Row],[LEA State and Local Amount]]+tblMoeHistory[[#This Row],[ESD State and Local Amount]]</f>
        <v>3703534.12</v>
      </c>
      <c r="H309">
        <v>0</v>
      </c>
      <c r="I309" t="s">
        <v>242</v>
      </c>
      <c r="J309">
        <f>IFERROR(tblMoeHistory[[#This Row],[LEA State and Local Amount]]/tblMoeHistory[[#This Row],[Child Count]],0)</f>
        <v>6940.7009312638584</v>
      </c>
      <c r="K309">
        <f>IFERROR(tblMoeHistory[[#This Row],[ESD State and Local Amount]]/tblMoeHistory[[#This Row],[Child Count]],0)</f>
        <v>1271.1263858093128</v>
      </c>
      <c r="L309">
        <f>IFERROR(tblMoeHistory[[#This Row],[State and Local Total Amount]]/tblMoeHistory[[#This Row],[Child Count]],0)</f>
        <v>8211.8273170731718</v>
      </c>
      <c r="M309">
        <v>0</v>
      </c>
      <c r="N309" t="s">
        <v>241</v>
      </c>
      <c r="O309">
        <v>456319.58</v>
      </c>
      <c r="P309">
        <v>3589.34</v>
      </c>
      <c r="Q309">
        <f>tblMoeHistory[[#This Row],[Amount of IDEA Part B, Section 611 award]]+tblMoeHistory[[#This Row],[Amount of IDEA Part B, Section 619 award]]</f>
        <v>459908.92000000004</v>
      </c>
      <c r="S309">
        <v>98424.35</v>
      </c>
      <c r="T309">
        <v>98424.35</v>
      </c>
      <c r="U3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9" t="str">
        <f>IF(OR(IFERROR(SEARCH("Met",tblMoeHistory[[#This Row],[State and Local Per Capita Result]]),0)&gt;0,IFERROR(SEARCH("Met",tblMoeHistory[[#This Row],[State and Local Total Result]]),0)&gt;0),"Met","Not Met")</f>
        <v>Met</v>
      </c>
    </row>
    <row r="310" spans="1:22" x14ac:dyDescent="0.35">
      <c r="A310" t="s">
        <v>133</v>
      </c>
      <c r="B310">
        <v>1898</v>
      </c>
      <c r="C310" t="s">
        <v>159</v>
      </c>
      <c r="D310">
        <v>56</v>
      </c>
      <c r="E310">
        <v>657063.23</v>
      </c>
      <c r="F310">
        <v>38590</v>
      </c>
      <c r="G310">
        <f>tblMoeHistory[[#This Row],[LEA State and Local Amount]]+tblMoeHistory[[#This Row],[ESD State and Local Amount]]</f>
        <v>695653.23</v>
      </c>
      <c r="H310">
        <v>0</v>
      </c>
      <c r="I310" t="s">
        <v>240</v>
      </c>
      <c r="J310">
        <f>IFERROR(tblMoeHistory[[#This Row],[LEA State and Local Amount]]/tblMoeHistory[[#This Row],[Child Count]],0)</f>
        <v>11733.271964285714</v>
      </c>
      <c r="K310">
        <f>IFERROR(tblMoeHistory[[#This Row],[ESD State and Local Amount]]/tblMoeHistory[[#This Row],[Child Count]],0)</f>
        <v>689.10714285714289</v>
      </c>
      <c r="L310">
        <f>IFERROR(tblMoeHistory[[#This Row],[State and Local Total Amount]]/tblMoeHistory[[#This Row],[Child Count]],0)</f>
        <v>12422.379107142857</v>
      </c>
      <c r="M310">
        <v>0</v>
      </c>
      <c r="N310" t="s">
        <v>240</v>
      </c>
      <c r="O310">
        <v>84194.44</v>
      </c>
      <c r="P310">
        <v>0</v>
      </c>
      <c r="Q310">
        <f>tblMoeHistory[[#This Row],[Amount of IDEA Part B, Section 611 award]]+tblMoeHistory[[#This Row],[Amount of IDEA Part B, Section 619 award]]</f>
        <v>84194.44</v>
      </c>
      <c r="U3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0" t="str">
        <f>IF(OR(IFERROR(SEARCH("Met",tblMoeHistory[[#This Row],[State and Local Per Capita Result]]),0)&gt;0,IFERROR(SEARCH("Met",tblMoeHistory[[#This Row],[State and Local Total Result]]),0)&gt;0),"Met","Not Met")</f>
        <v>Not Met</v>
      </c>
    </row>
    <row r="311" spans="1:22" x14ac:dyDescent="0.35">
      <c r="A311" t="s">
        <v>134</v>
      </c>
      <c r="B311">
        <v>2010</v>
      </c>
      <c r="C311" t="s">
        <v>159</v>
      </c>
      <c r="D311">
        <v>5</v>
      </c>
      <c r="E311">
        <v>0</v>
      </c>
      <c r="F311">
        <v>94908.52</v>
      </c>
      <c r="G311">
        <f>tblMoeHistory[[#This Row],[LEA State and Local Amount]]+tblMoeHistory[[#This Row],[ESD State and Local Amount]]</f>
        <v>94908.52</v>
      </c>
      <c r="H311">
        <v>0</v>
      </c>
      <c r="I311" t="s">
        <v>242</v>
      </c>
      <c r="J311">
        <f>IFERROR(tblMoeHistory[[#This Row],[LEA State and Local Amount]]/tblMoeHistory[[#This Row],[Child Count]],0)</f>
        <v>0</v>
      </c>
      <c r="K311">
        <f>IFERROR(tblMoeHistory[[#This Row],[ESD State and Local Amount]]/tblMoeHistory[[#This Row],[Child Count]],0)</f>
        <v>18981.704000000002</v>
      </c>
      <c r="L311">
        <f>IFERROR(tblMoeHistory[[#This Row],[State and Local Total Amount]]/tblMoeHistory[[#This Row],[Child Count]],0)</f>
        <v>18981.704000000002</v>
      </c>
      <c r="M311">
        <v>0</v>
      </c>
      <c r="N311" t="s">
        <v>241</v>
      </c>
      <c r="O311">
        <v>12442.91</v>
      </c>
      <c r="P311">
        <v>1461.94</v>
      </c>
      <c r="Q311">
        <f>tblMoeHistory[[#This Row],[Amount of IDEA Part B, Section 611 award]]+tblMoeHistory[[#This Row],[Amount of IDEA Part B, Section 619 award]]</f>
        <v>13904.85</v>
      </c>
      <c r="S311">
        <v>35739.83</v>
      </c>
      <c r="T311">
        <v>35739.83</v>
      </c>
      <c r="U3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1" t="str">
        <f>IF(OR(IFERROR(SEARCH("Met",tblMoeHistory[[#This Row],[State and Local Per Capita Result]]),0)&gt;0,IFERROR(SEARCH("Met",tblMoeHistory[[#This Row],[State and Local Total Result]]),0)&gt;0),"Met","Not Met")</f>
        <v>Met</v>
      </c>
    </row>
    <row r="312" spans="1:22" x14ac:dyDescent="0.35">
      <c r="A312" t="s">
        <v>135</v>
      </c>
      <c r="B312">
        <v>2147</v>
      </c>
      <c r="C312" t="s">
        <v>159</v>
      </c>
      <c r="D312">
        <v>268</v>
      </c>
      <c r="E312">
        <v>1309822.1200000001</v>
      </c>
      <c r="F312">
        <v>434912.9</v>
      </c>
      <c r="G312">
        <f>tblMoeHistory[[#This Row],[LEA State and Local Amount]]+tblMoeHistory[[#This Row],[ESD State and Local Amount]]</f>
        <v>1744735.02</v>
      </c>
      <c r="H312">
        <v>0</v>
      </c>
      <c r="I312" t="s">
        <v>240</v>
      </c>
      <c r="J312">
        <f>IFERROR(tblMoeHistory[[#This Row],[LEA State and Local Amount]]/tblMoeHistory[[#This Row],[Child Count]],0)</f>
        <v>4887.395970149254</v>
      </c>
      <c r="K312">
        <f>IFERROR(tblMoeHistory[[#This Row],[ESD State and Local Amount]]/tblMoeHistory[[#This Row],[Child Count]],0)</f>
        <v>1622.8093283582091</v>
      </c>
      <c r="L312">
        <f>IFERROR(tblMoeHistory[[#This Row],[State and Local Total Amount]]/tblMoeHistory[[#This Row],[Child Count]],0)</f>
        <v>6510.2052985074624</v>
      </c>
      <c r="M312">
        <v>0</v>
      </c>
      <c r="N312" t="s">
        <v>240</v>
      </c>
      <c r="O312">
        <v>343529.94</v>
      </c>
      <c r="P312">
        <v>1774.88</v>
      </c>
      <c r="Q312">
        <f>tblMoeHistory[[#This Row],[Amount of IDEA Part B, Section 611 award]]+tblMoeHistory[[#This Row],[Amount of IDEA Part B, Section 619 award]]</f>
        <v>345304.82</v>
      </c>
      <c r="U3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2" t="str">
        <f>IF(OR(IFERROR(SEARCH("Met",tblMoeHistory[[#This Row],[State and Local Per Capita Result]]),0)&gt;0,IFERROR(SEARCH("Met",tblMoeHistory[[#This Row],[State and Local Total Result]]),0)&gt;0),"Met","Not Met")</f>
        <v>Not Met</v>
      </c>
    </row>
    <row r="313" spans="1:22" x14ac:dyDescent="0.35">
      <c r="A313" t="s">
        <v>136</v>
      </c>
      <c r="B313">
        <v>2145</v>
      </c>
      <c r="C313" t="s">
        <v>159</v>
      </c>
      <c r="D313">
        <v>77</v>
      </c>
      <c r="E313">
        <v>470878.94</v>
      </c>
      <c r="F313">
        <v>36306.86</v>
      </c>
      <c r="G313">
        <f>tblMoeHistory[[#This Row],[LEA State and Local Amount]]+tblMoeHistory[[#This Row],[ESD State and Local Amount]]</f>
        <v>507185.8</v>
      </c>
      <c r="H313">
        <v>0</v>
      </c>
      <c r="I313" t="s">
        <v>241</v>
      </c>
      <c r="J313">
        <f>IFERROR(tblMoeHistory[[#This Row],[LEA State and Local Amount]]/tblMoeHistory[[#This Row],[Child Count]],0)</f>
        <v>6115.3109090909093</v>
      </c>
      <c r="K313">
        <f>IFERROR(tblMoeHistory[[#This Row],[ESD State and Local Amount]]/tblMoeHistory[[#This Row],[Child Count]],0)</f>
        <v>471.51766233766233</v>
      </c>
      <c r="L313">
        <f>IFERROR(tblMoeHistory[[#This Row],[State and Local Total Amount]]/tblMoeHistory[[#This Row],[Child Count]],0)</f>
        <v>6586.8285714285712</v>
      </c>
      <c r="M313">
        <v>0</v>
      </c>
      <c r="N313" t="s">
        <v>241</v>
      </c>
      <c r="O313">
        <v>110707.1</v>
      </c>
      <c r="P313">
        <v>694.55</v>
      </c>
      <c r="Q313">
        <f>tblMoeHistory[[#This Row],[Amount of IDEA Part B, Section 611 award]]+tblMoeHistory[[#This Row],[Amount of IDEA Part B, Section 619 award]]</f>
        <v>111401.65000000001</v>
      </c>
      <c r="U3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3" t="str">
        <f>IF(OR(IFERROR(SEARCH("Met",tblMoeHistory[[#This Row],[State and Local Per Capita Result]]),0)&gt;0,IFERROR(SEARCH("Met",tblMoeHistory[[#This Row],[State and Local Total Result]]),0)&gt;0),"Met","Not Met")</f>
        <v>Met</v>
      </c>
    </row>
    <row r="314" spans="1:22" x14ac:dyDescent="0.35">
      <c r="A314" t="s">
        <v>137</v>
      </c>
      <c r="B314">
        <v>1968</v>
      </c>
      <c r="C314" t="s">
        <v>159</v>
      </c>
      <c r="D314">
        <v>90</v>
      </c>
      <c r="E314">
        <v>583665.1</v>
      </c>
      <c r="F314">
        <v>314414.88</v>
      </c>
      <c r="G314">
        <f>tblMoeHistory[[#This Row],[LEA State and Local Amount]]+tblMoeHistory[[#This Row],[ESD State and Local Amount]]</f>
        <v>898079.98</v>
      </c>
      <c r="H314">
        <v>0</v>
      </c>
      <c r="I314" t="s">
        <v>241</v>
      </c>
      <c r="J314">
        <f>IFERROR(tblMoeHistory[[#This Row],[LEA State and Local Amount]]/tblMoeHistory[[#This Row],[Child Count]],0)</f>
        <v>6485.1677777777777</v>
      </c>
      <c r="K314">
        <f>IFERROR(tblMoeHistory[[#This Row],[ESD State and Local Amount]]/tblMoeHistory[[#This Row],[Child Count]],0)</f>
        <v>3493.4986666666668</v>
      </c>
      <c r="L314">
        <f>IFERROR(tblMoeHistory[[#This Row],[State and Local Total Amount]]/tblMoeHistory[[#This Row],[Child Count]],0)</f>
        <v>9978.666444444445</v>
      </c>
      <c r="M314">
        <v>0</v>
      </c>
      <c r="N314" t="s">
        <v>241</v>
      </c>
      <c r="O314">
        <v>151353.97</v>
      </c>
      <c r="P314">
        <v>2947.88</v>
      </c>
      <c r="Q314">
        <f>tblMoeHistory[[#This Row],[Amount of IDEA Part B, Section 611 award]]+tblMoeHistory[[#This Row],[Amount of IDEA Part B, Section 619 award]]</f>
        <v>154301.85</v>
      </c>
      <c r="U3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4" t="str">
        <f>IF(OR(IFERROR(SEARCH("Met",tblMoeHistory[[#This Row],[State and Local Per Capita Result]]),0)&gt;0,IFERROR(SEARCH("Met",tblMoeHistory[[#This Row],[State and Local Total Result]]),0)&gt;0),"Met","Not Met")</f>
        <v>Met</v>
      </c>
    </row>
    <row r="315" spans="1:22" x14ac:dyDescent="0.35">
      <c r="A315" t="s">
        <v>138</v>
      </c>
      <c r="B315">
        <v>2198</v>
      </c>
      <c r="C315" t="s">
        <v>159</v>
      </c>
      <c r="D315">
        <v>84</v>
      </c>
      <c r="E315">
        <v>1323799.93</v>
      </c>
      <c r="F315">
        <v>171724</v>
      </c>
      <c r="G315">
        <f>tblMoeHistory[[#This Row],[LEA State and Local Amount]]+tblMoeHistory[[#This Row],[ESD State and Local Amount]]</f>
        <v>1495523.93</v>
      </c>
      <c r="H315">
        <v>0</v>
      </c>
      <c r="I315" t="s">
        <v>241</v>
      </c>
      <c r="J315">
        <f>IFERROR(tblMoeHistory[[#This Row],[LEA State and Local Amount]]/tblMoeHistory[[#This Row],[Child Count]],0)</f>
        <v>15759.522976190476</v>
      </c>
      <c r="K315">
        <f>IFERROR(tblMoeHistory[[#This Row],[ESD State and Local Amount]]/tblMoeHistory[[#This Row],[Child Count]],0)</f>
        <v>2044.3333333333333</v>
      </c>
      <c r="L315">
        <f>IFERROR(tblMoeHistory[[#This Row],[State and Local Total Amount]]/tblMoeHistory[[#This Row],[Child Count]],0)</f>
        <v>17803.85630952381</v>
      </c>
      <c r="M315">
        <v>0</v>
      </c>
      <c r="N315" t="s">
        <v>241</v>
      </c>
      <c r="O315">
        <v>102848.79</v>
      </c>
      <c r="P315">
        <v>1574.43</v>
      </c>
      <c r="Q315">
        <f>tblMoeHistory[[#This Row],[Amount of IDEA Part B, Section 611 award]]+tblMoeHistory[[#This Row],[Amount of IDEA Part B, Section 619 award]]</f>
        <v>104423.21999999999</v>
      </c>
      <c r="U3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5" t="str">
        <f>IF(OR(IFERROR(SEARCH("Met",tblMoeHistory[[#This Row],[State and Local Per Capita Result]]),0)&gt;0,IFERROR(SEARCH("Met",tblMoeHistory[[#This Row],[State and Local Total Result]]),0)&gt;0),"Met","Not Met")</f>
        <v>Met</v>
      </c>
    </row>
    <row r="316" spans="1:22" x14ac:dyDescent="0.35">
      <c r="A316" t="s">
        <v>139</v>
      </c>
      <c r="B316">
        <v>2199</v>
      </c>
      <c r="C316" t="s">
        <v>159</v>
      </c>
      <c r="D316">
        <v>78</v>
      </c>
      <c r="E316">
        <v>589349.82999999996</v>
      </c>
      <c r="F316">
        <v>118360</v>
      </c>
      <c r="G316">
        <f>tblMoeHistory[[#This Row],[LEA State and Local Amount]]+tblMoeHistory[[#This Row],[ESD State and Local Amount]]</f>
        <v>707709.83</v>
      </c>
      <c r="H316">
        <v>0</v>
      </c>
      <c r="I316" t="s">
        <v>242</v>
      </c>
      <c r="J316">
        <f>IFERROR(tblMoeHistory[[#This Row],[LEA State and Local Amount]]/tblMoeHistory[[#This Row],[Child Count]],0)</f>
        <v>7555.7670512820505</v>
      </c>
      <c r="K316">
        <f>IFERROR(tblMoeHistory[[#This Row],[ESD State and Local Amount]]/tblMoeHistory[[#This Row],[Child Count]],0)</f>
        <v>1517.4358974358975</v>
      </c>
      <c r="L316">
        <f>IFERROR(tblMoeHistory[[#This Row],[State and Local Total Amount]]/tblMoeHistory[[#This Row],[Child Count]],0)</f>
        <v>9073.2029487179479</v>
      </c>
      <c r="M316">
        <v>0</v>
      </c>
      <c r="N316" t="s">
        <v>241</v>
      </c>
      <c r="O316">
        <v>110841.46</v>
      </c>
      <c r="P316">
        <v>986.25</v>
      </c>
      <c r="Q316">
        <f>tblMoeHistory[[#This Row],[Amount of IDEA Part B, Section 611 award]]+tblMoeHistory[[#This Row],[Amount of IDEA Part B, Section 619 award]]</f>
        <v>111827.71</v>
      </c>
      <c r="S316">
        <v>112146.75</v>
      </c>
      <c r="T316">
        <v>112146.75</v>
      </c>
      <c r="U3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6" t="str">
        <f>IF(OR(IFERROR(SEARCH("Met",tblMoeHistory[[#This Row],[State and Local Per Capita Result]]),0)&gt;0,IFERROR(SEARCH("Met",tblMoeHistory[[#This Row],[State and Local Total Result]]),0)&gt;0),"Met","Not Met")</f>
        <v>Met</v>
      </c>
    </row>
    <row r="317" spans="1:22" x14ac:dyDescent="0.35">
      <c r="A317" t="s">
        <v>140</v>
      </c>
      <c r="B317">
        <v>2254</v>
      </c>
      <c r="C317" t="s">
        <v>159</v>
      </c>
      <c r="D317">
        <v>626</v>
      </c>
      <c r="E317">
        <v>5022320.7</v>
      </c>
      <c r="F317">
        <v>295844.84999999998</v>
      </c>
      <c r="G317">
        <f>tblMoeHistory[[#This Row],[LEA State and Local Amount]]+tblMoeHistory[[#This Row],[ESD State and Local Amount]]</f>
        <v>5318165.55</v>
      </c>
      <c r="H317">
        <v>0</v>
      </c>
      <c r="I317" t="s">
        <v>241</v>
      </c>
      <c r="J317">
        <f>IFERROR(tblMoeHistory[[#This Row],[LEA State and Local Amount]]/tblMoeHistory[[#This Row],[Child Count]],0)</f>
        <v>8022.8765175718854</v>
      </c>
      <c r="K317">
        <f>IFERROR(tblMoeHistory[[#This Row],[ESD State and Local Amount]]/tblMoeHistory[[#This Row],[Child Count]],0)</f>
        <v>472.59560702875393</v>
      </c>
      <c r="L317">
        <f>IFERROR(tblMoeHistory[[#This Row],[State and Local Total Amount]]/tblMoeHistory[[#This Row],[Child Count]],0)</f>
        <v>8495.4721246006393</v>
      </c>
      <c r="M317">
        <v>0</v>
      </c>
      <c r="N317" t="s">
        <v>241</v>
      </c>
      <c r="O317">
        <v>825708.88</v>
      </c>
      <c r="P317">
        <v>8069.13</v>
      </c>
      <c r="Q317">
        <f>tblMoeHistory[[#This Row],[Amount of IDEA Part B, Section 611 award]]+tblMoeHistory[[#This Row],[Amount of IDEA Part B, Section 619 award]]</f>
        <v>833778.01</v>
      </c>
      <c r="U3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7" t="str">
        <f>IF(OR(IFERROR(SEARCH("Met",tblMoeHistory[[#This Row],[State and Local Per Capita Result]]),0)&gt;0,IFERROR(SEARCH("Met",tblMoeHistory[[#This Row],[State and Local Total Result]]),0)&gt;0),"Met","Not Met")</f>
        <v>Met</v>
      </c>
    </row>
    <row r="318" spans="1:22" x14ac:dyDescent="0.35">
      <c r="A318" t="s">
        <v>141</v>
      </c>
      <c r="B318">
        <v>1966</v>
      </c>
      <c r="C318" t="s">
        <v>159</v>
      </c>
      <c r="D318">
        <v>418</v>
      </c>
      <c r="E318">
        <v>2030820.39</v>
      </c>
      <c r="F318">
        <v>988024.93</v>
      </c>
      <c r="G318">
        <f>tblMoeHistory[[#This Row],[LEA State and Local Amount]]+tblMoeHistory[[#This Row],[ESD State and Local Amount]]</f>
        <v>3018845.32</v>
      </c>
      <c r="H318">
        <v>0</v>
      </c>
      <c r="I318" t="s">
        <v>241</v>
      </c>
      <c r="J318">
        <f>IFERROR(tblMoeHistory[[#This Row],[LEA State and Local Amount]]/tblMoeHistory[[#This Row],[Child Count]],0)</f>
        <v>4858.4219856459331</v>
      </c>
      <c r="K318">
        <f>IFERROR(tblMoeHistory[[#This Row],[ESD State and Local Amount]]/tblMoeHistory[[#This Row],[Child Count]],0)</f>
        <v>2363.6960047846892</v>
      </c>
      <c r="L318">
        <f>IFERROR(tblMoeHistory[[#This Row],[State and Local Total Amount]]/tblMoeHistory[[#This Row],[Child Count]],0)</f>
        <v>7222.1179904306218</v>
      </c>
      <c r="M318">
        <v>0</v>
      </c>
      <c r="N318" t="s">
        <v>240</v>
      </c>
      <c r="O318">
        <v>400363.39</v>
      </c>
      <c r="P318">
        <v>4364.55</v>
      </c>
      <c r="Q318">
        <f>tblMoeHistory[[#This Row],[Amount of IDEA Part B, Section 611 award]]+tblMoeHistory[[#This Row],[Amount of IDEA Part B, Section 619 award]]</f>
        <v>404727.94</v>
      </c>
      <c r="U3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8" t="str">
        <f>IF(OR(IFERROR(SEARCH("Met",tblMoeHistory[[#This Row],[State and Local Per Capita Result]]),0)&gt;0,IFERROR(SEARCH("Met",tblMoeHistory[[#This Row],[State and Local Total Result]]),0)&gt;0),"Met","Not Met")</f>
        <v>Met</v>
      </c>
    </row>
    <row r="319" spans="1:22" x14ac:dyDescent="0.35">
      <c r="A319" t="s">
        <v>142</v>
      </c>
      <c r="B319">
        <v>1924</v>
      </c>
      <c r="C319" t="s">
        <v>159</v>
      </c>
      <c r="D319">
        <v>2389</v>
      </c>
      <c r="E319">
        <v>14833295.470000001</v>
      </c>
      <c r="F319">
        <v>2842144</v>
      </c>
      <c r="G319">
        <f>tblMoeHistory[[#This Row],[LEA State and Local Amount]]+tblMoeHistory[[#This Row],[ESD State and Local Amount]]</f>
        <v>17675439.469999999</v>
      </c>
      <c r="H319">
        <v>0</v>
      </c>
      <c r="I319" t="s">
        <v>241</v>
      </c>
      <c r="J319">
        <f>IFERROR(tblMoeHistory[[#This Row],[LEA State and Local Amount]]/tblMoeHistory[[#This Row],[Child Count]],0)</f>
        <v>6208.9976852239433</v>
      </c>
      <c r="K319">
        <f>IFERROR(tblMoeHistory[[#This Row],[ESD State and Local Amount]]/tblMoeHistory[[#This Row],[Child Count]],0)</f>
        <v>1189.6793637505232</v>
      </c>
      <c r="L319">
        <f>IFERROR(tblMoeHistory[[#This Row],[State and Local Total Amount]]/tblMoeHistory[[#This Row],[Child Count]],0)</f>
        <v>7398.6770489744658</v>
      </c>
      <c r="M319">
        <v>0</v>
      </c>
      <c r="N319" t="s">
        <v>241</v>
      </c>
      <c r="O319">
        <v>2535973.04</v>
      </c>
      <c r="P319">
        <v>19204.689999999999</v>
      </c>
      <c r="Q319">
        <f>tblMoeHistory[[#This Row],[Amount of IDEA Part B, Section 611 award]]+tblMoeHistory[[#This Row],[Amount of IDEA Part B, Section 619 award]]</f>
        <v>2555177.73</v>
      </c>
      <c r="U3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9" t="str">
        <f>IF(OR(IFERROR(SEARCH("Met",tblMoeHistory[[#This Row],[State and Local Per Capita Result]]),0)&gt;0,IFERROR(SEARCH("Met",tblMoeHistory[[#This Row],[State and Local Total Result]]),0)&gt;0),"Met","Not Met")</f>
        <v>Met</v>
      </c>
    </row>
    <row r="320" spans="1:22" x14ac:dyDescent="0.35">
      <c r="A320" t="s">
        <v>143</v>
      </c>
      <c r="B320">
        <v>1996</v>
      </c>
      <c r="C320" t="s">
        <v>159</v>
      </c>
      <c r="D320">
        <v>39</v>
      </c>
      <c r="E320">
        <v>385264.84</v>
      </c>
      <c r="F320">
        <v>72415.88</v>
      </c>
      <c r="G320">
        <f>tblMoeHistory[[#This Row],[LEA State and Local Amount]]+tblMoeHistory[[#This Row],[ESD State and Local Amount]]</f>
        <v>457680.72000000003</v>
      </c>
      <c r="H320">
        <v>0</v>
      </c>
      <c r="I320" t="s">
        <v>242</v>
      </c>
      <c r="J320">
        <f>IFERROR(tblMoeHistory[[#This Row],[LEA State and Local Amount]]/tblMoeHistory[[#This Row],[Child Count]],0)</f>
        <v>9878.585641025642</v>
      </c>
      <c r="K320">
        <f>IFERROR(tblMoeHistory[[#This Row],[ESD State and Local Amount]]/tblMoeHistory[[#This Row],[Child Count]],0)</f>
        <v>1856.8174358974361</v>
      </c>
      <c r="L320">
        <f>IFERROR(tblMoeHistory[[#This Row],[State and Local Total Amount]]/tblMoeHistory[[#This Row],[Child Count]],0)</f>
        <v>11735.403076923078</v>
      </c>
      <c r="M320">
        <v>0</v>
      </c>
      <c r="N320" t="s">
        <v>241</v>
      </c>
      <c r="O320">
        <v>64743.78</v>
      </c>
      <c r="P320">
        <v>0</v>
      </c>
      <c r="Q320">
        <f>tblMoeHistory[[#This Row],[Amount of IDEA Part B, Section 611 award]]+tblMoeHistory[[#This Row],[Amount of IDEA Part B, Section 619 award]]</f>
        <v>64743.78</v>
      </c>
      <c r="S320">
        <v>141571.5</v>
      </c>
      <c r="T320">
        <v>141571.5</v>
      </c>
      <c r="U3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0" t="str">
        <f>IF(OR(IFERROR(SEARCH("Met",tblMoeHistory[[#This Row],[State and Local Per Capita Result]]),0)&gt;0,IFERROR(SEARCH("Met",tblMoeHistory[[#This Row],[State and Local Total Result]]),0)&gt;0),"Met","Not Met")</f>
        <v>Met</v>
      </c>
    </row>
    <row r="321" spans="1:22" x14ac:dyDescent="0.35">
      <c r="A321" t="s">
        <v>144</v>
      </c>
      <c r="B321">
        <v>2061</v>
      </c>
      <c r="C321" t="s">
        <v>159</v>
      </c>
      <c r="D321">
        <v>34</v>
      </c>
      <c r="E321">
        <v>133260.12</v>
      </c>
      <c r="F321">
        <v>71264.91</v>
      </c>
      <c r="G321">
        <f>tblMoeHistory[[#This Row],[LEA State and Local Amount]]+tblMoeHistory[[#This Row],[ESD State and Local Amount]]</f>
        <v>204525.03</v>
      </c>
      <c r="H321">
        <v>0</v>
      </c>
      <c r="I321" t="s">
        <v>241</v>
      </c>
      <c r="J321">
        <f>IFERROR(tblMoeHistory[[#This Row],[LEA State and Local Amount]]/tblMoeHistory[[#This Row],[Child Count]],0)</f>
        <v>3919.4152941176471</v>
      </c>
      <c r="K321">
        <f>IFERROR(tblMoeHistory[[#This Row],[ESD State and Local Amount]]/tblMoeHistory[[#This Row],[Child Count]],0)</f>
        <v>2096.0267647058827</v>
      </c>
      <c r="L321">
        <f>IFERROR(tblMoeHistory[[#This Row],[State and Local Total Amount]]/tblMoeHistory[[#This Row],[Child Count]],0)</f>
        <v>6015.4420588235298</v>
      </c>
      <c r="M321">
        <v>0</v>
      </c>
      <c r="N321" t="s">
        <v>241</v>
      </c>
      <c r="O321">
        <v>49906.43</v>
      </c>
      <c r="P321">
        <v>818.56</v>
      </c>
      <c r="Q321">
        <f>tblMoeHistory[[#This Row],[Amount of IDEA Part B, Section 611 award]]+tblMoeHistory[[#This Row],[Amount of IDEA Part B, Section 619 award]]</f>
        <v>50724.99</v>
      </c>
      <c r="U3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1" t="str">
        <f>IF(OR(IFERROR(SEARCH("Met",tblMoeHistory[[#This Row],[State and Local Per Capita Result]]),0)&gt;0,IFERROR(SEARCH("Met",tblMoeHistory[[#This Row],[State and Local Total Result]]),0)&gt;0),"Met","Not Met")</f>
        <v>Met</v>
      </c>
    </row>
    <row r="322" spans="1:22" x14ac:dyDescent="0.35">
      <c r="A322" t="s">
        <v>145</v>
      </c>
      <c r="B322">
        <v>2141</v>
      </c>
      <c r="C322" t="s">
        <v>159</v>
      </c>
      <c r="D322">
        <v>249</v>
      </c>
      <c r="E322">
        <v>1890271.4</v>
      </c>
      <c r="F322">
        <v>355213.24</v>
      </c>
      <c r="G322">
        <f>tblMoeHistory[[#This Row],[LEA State and Local Amount]]+tblMoeHistory[[#This Row],[ESD State and Local Amount]]</f>
        <v>2245484.6399999997</v>
      </c>
      <c r="H322">
        <v>0</v>
      </c>
      <c r="I322" t="s">
        <v>241</v>
      </c>
      <c r="J322">
        <f>IFERROR(tblMoeHistory[[#This Row],[LEA State and Local Amount]]/tblMoeHistory[[#This Row],[Child Count]],0)</f>
        <v>7591.4514056224898</v>
      </c>
      <c r="K322">
        <f>IFERROR(tblMoeHistory[[#This Row],[ESD State and Local Amount]]/tblMoeHistory[[#This Row],[Child Count]],0)</f>
        <v>1426.5591967871485</v>
      </c>
      <c r="L322">
        <f>IFERROR(tblMoeHistory[[#This Row],[State and Local Total Amount]]/tblMoeHistory[[#This Row],[Child Count]],0)</f>
        <v>9018.0106024096367</v>
      </c>
      <c r="M322">
        <v>0</v>
      </c>
      <c r="N322" t="s">
        <v>241</v>
      </c>
      <c r="O322">
        <v>242464.73</v>
      </c>
      <c r="P322">
        <v>2096.33</v>
      </c>
      <c r="Q322">
        <f>tblMoeHistory[[#This Row],[Amount of IDEA Part B, Section 611 award]]+tblMoeHistory[[#This Row],[Amount of IDEA Part B, Section 619 award]]</f>
        <v>244561.06</v>
      </c>
      <c r="U3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2" t="str">
        <f>IF(OR(IFERROR(SEARCH("Met",tblMoeHistory[[#This Row],[State and Local Per Capita Result]]),0)&gt;0,IFERROR(SEARCH("Met",tblMoeHistory[[#This Row],[State and Local Total Result]]),0)&gt;0),"Met","Not Met")</f>
        <v>Met</v>
      </c>
    </row>
    <row r="323" spans="1:22" x14ac:dyDescent="0.35">
      <c r="A323" t="s">
        <v>146</v>
      </c>
      <c r="B323">
        <v>2214</v>
      </c>
      <c r="C323" t="s">
        <v>159</v>
      </c>
      <c r="D323">
        <v>44</v>
      </c>
      <c r="E323">
        <v>138916.62</v>
      </c>
      <c r="F323">
        <v>23765.73</v>
      </c>
      <c r="G323">
        <f>tblMoeHistory[[#This Row],[LEA State and Local Amount]]+tblMoeHistory[[#This Row],[ESD State and Local Amount]]</f>
        <v>162682.35</v>
      </c>
      <c r="H323">
        <v>0</v>
      </c>
      <c r="I323" t="s">
        <v>239</v>
      </c>
      <c r="J323">
        <f>IFERROR(tblMoeHistory[[#This Row],[LEA State and Local Amount]]/tblMoeHistory[[#This Row],[Child Count]],0)</f>
        <v>3157.195909090909</v>
      </c>
      <c r="K323">
        <f>IFERROR(tblMoeHistory[[#This Row],[ESD State and Local Amount]]/tblMoeHistory[[#This Row],[Child Count]],0)</f>
        <v>540.13022727272721</v>
      </c>
      <c r="L323">
        <f>IFERROR(tblMoeHistory[[#This Row],[State and Local Total Amount]]/tblMoeHistory[[#This Row],[Child Count]],0)</f>
        <v>3697.3261363636366</v>
      </c>
      <c r="M323">
        <v>0</v>
      </c>
      <c r="N323" t="s">
        <v>239</v>
      </c>
      <c r="O323">
        <v>44076.18</v>
      </c>
      <c r="P323">
        <v>255.92</v>
      </c>
      <c r="Q323">
        <f>tblMoeHistory[[#This Row],[Amount of IDEA Part B, Section 611 award]]+tblMoeHistory[[#This Row],[Amount of IDEA Part B, Section 619 award]]</f>
        <v>44332.1</v>
      </c>
      <c r="U3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3" t="str">
        <f>IF(OR(IFERROR(SEARCH("Met",tblMoeHistory[[#This Row],[State and Local Per Capita Result]]),0)&gt;0,IFERROR(SEARCH("Met",tblMoeHistory[[#This Row],[State and Local Total Result]]),0)&gt;0),"Met","Not Met")</f>
        <v>Met</v>
      </c>
    </row>
    <row r="324" spans="1:22" x14ac:dyDescent="0.35">
      <c r="A324" t="s">
        <v>147</v>
      </c>
      <c r="B324">
        <v>2143</v>
      </c>
      <c r="C324" t="s">
        <v>159</v>
      </c>
      <c r="D324">
        <v>257</v>
      </c>
      <c r="E324">
        <v>2120997</v>
      </c>
      <c r="F324">
        <v>153542.32</v>
      </c>
      <c r="G324">
        <f>tblMoeHistory[[#This Row],[LEA State and Local Amount]]+tblMoeHistory[[#This Row],[ESD State and Local Amount]]</f>
        <v>2274539.3199999998</v>
      </c>
      <c r="H324">
        <v>0</v>
      </c>
      <c r="I324" t="s">
        <v>241</v>
      </c>
      <c r="J324">
        <f>IFERROR(tblMoeHistory[[#This Row],[LEA State and Local Amount]]/tblMoeHistory[[#This Row],[Child Count]],0)</f>
        <v>8252.9066147859921</v>
      </c>
      <c r="K324">
        <f>IFERROR(tblMoeHistory[[#This Row],[ESD State and Local Amount]]/tblMoeHistory[[#This Row],[Child Count]],0)</f>
        <v>597.44093385214012</v>
      </c>
      <c r="L324">
        <f>IFERROR(tblMoeHistory[[#This Row],[State and Local Total Amount]]/tblMoeHistory[[#This Row],[Child Count]],0)</f>
        <v>8850.3475486381321</v>
      </c>
      <c r="M324">
        <v>0</v>
      </c>
      <c r="N324" t="s">
        <v>240</v>
      </c>
      <c r="O324">
        <v>443118.07</v>
      </c>
      <c r="P324">
        <v>946.17</v>
      </c>
      <c r="Q324">
        <f>tblMoeHistory[[#This Row],[Amount of IDEA Part B, Section 611 award]]+tblMoeHistory[[#This Row],[Amount of IDEA Part B, Section 619 award]]</f>
        <v>444064.24</v>
      </c>
      <c r="U3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4" t="str">
        <f>IF(OR(IFERROR(SEARCH("Met",tblMoeHistory[[#This Row],[State and Local Per Capita Result]]),0)&gt;0,IFERROR(SEARCH("Met",tblMoeHistory[[#This Row],[State and Local Total Result]]),0)&gt;0),"Met","Not Met")</f>
        <v>Met</v>
      </c>
    </row>
    <row r="325" spans="1:22" x14ac:dyDescent="0.35">
      <c r="A325" t="s">
        <v>148</v>
      </c>
      <c r="B325">
        <v>4131</v>
      </c>
      <c r="C325" t="s">
        <v>159</v>
      </c>
      <c r="D325">
        <v>442</v>
      </c>
      <c r="E325">
        <v>3163666.2</v>
      </c>
      <c r="F325">
        <v>0</v>
      </c>
      <c r="G325">
        <f>tblMoeHistory[[#This Row],[LEA State and Local Amount]]+tblMoeHistory[[#This Row],[ESD State and Local Amount]]</f>
        <v>3163666.2</v>
      </c>
      <c r="H325">
        <v>0</v>
      </c>
      <c r="I325" t="s">
        <v>241</v>
      </c>
      <c r="J325">
        <f>IFERROR(tblMoeHistory[[#This Row],[LEA State and Local Amount]]/tblMoeHistory[[#This Row],[Child Count]],0)</f>
        <v>7157.6158371040729</v>
      </c>
      <c r="K325">
        <f>IFERROR(tblMoeHistory[[#This Row],[ESD State and Local Amount]]/tblMoeHistory[[#This Row],[Child Count]],0)</f>
        <v>0</v>
      </c>
      <c r="L325">
        <f>IFERROR(tblMoeHistory[[#This Row],[State and Local Total Amount]]/tblMoeHistory[[#This Row],[Child Count]],0)</f>
        <v>7157.6158371040729</v>
      </c>
      <c r="M325">
        <v>0</v>
      </c>
      <c r="N325" t="s">
        <v>241</v>
      </c>
      <c r="O325">
        <v>496890.23</v>
      </c>
      <c r="P325">
        <v>7428.97</v>
      </c>
      <c r="Q325">
        <f>tblMoeHistory[[#This Row],[Amount of IDEA Part B, Section 611 award]]+tblMoeHistory[[#This Row],[Amount of IDEA Part B, Section 619 award]]</f>
        <v>504319.19999999995</v>
      </c>
      <c r="U3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5" t="str">
        <f>IF(OR(IFERROR(SEARCH("Met",tblMoeHistory[[#This Row],[State and Local Per Capita Result]]),0)&gt;0,IFERROR(SEARCH("Met",tblMoeHistory[[#This Row],[State and Local Total Result]]),0)&gt;0),"Met","Not Met")</f>
        <v>Met</v>
      </c>
    </row>
    <row r="326" spans="1:22" x14ac:dyDescent="0.35">
      <c r="A326" t="s">
        <v>149</v>
      </c>
      <c r="B326">
        <v>2110</v>
      </c>
      <c r="C326" t="s">
        <v>159</v>
      </c>
      <c r="D326">
        <v>145</v>
      </c>
      <c r="E326">
        <v>696876.84</v>
      </c>
      <c r="F326">
        <v>332949.39</v>
      </c>
      <c r="G326">
        <f>tblMoeHistory[[#This Row],[LEA State and Local Amount]]+tblMoeHistory[[#This Row],[ESD State and Local Amount]]</f>
        <v>1029826.23</v>
      </c>
      <c r="H326">
        <v>0</v>
      </c>
      <c r="I326" t="s">
        <v>241</v>
      </c>
      <c r="J326">
        <f>IFERROR(tblMoeHistory[[#This Row],[LEA State and Local Amount]]/tblMoeHistory[[#This Row],[Child Count]],0)</f>
        <v>4806.0471724137933</v>
      </c>
      <c r="K326">
        <f>IFERROR(tblMoeHistory[[#This Row],[ESD State and Local Amount]]/tblMoeHistory[[#This Row],[Child Count]],0)</f>
        <v>2296.2026896551724</v>
      </c>
      <c r="L326">
        <f>IFERROR(tblMoeHistory[[#This Row],[State and Local Total Amount]]/tblMoeHistory[[#This Row],[Child Count]],0)</f>
        <v>7102.2498620689657</v>
      </c>
      <c r="M326">
        <v>0</v>
      </c>
      <c r="N326" t="s">
        <v>240</v>
      </c>
      <c r="O326">
        <v>204033.32</v>
      </c>
      <c r="P326">
        <v>1747.38</v>
      </c>
      <c r="Q326">
        <f>tblMoeHistory[[#This Row],[Amount of IDEA Part B, Section 611 award]]+tblMoeHistory[[#This Row],[Amount of IDEA Part B, Section 619 award]]</f>
        <v>205780.7</v>
      </c>
      <c r="U3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6" t="str">
        <f>IF(OR(IFERROR(SEARCH("Met",tblMoeHistory[[#This Row],[State and Local Per Capita Result]]),0)&gt;0,IFERROR(SEARCH("Met",tblMoeHistory[[#This Row],[State and Local Total Result]]),0)&gt;0),"Met","Not Met")</f>
        <v>Met</v>
      </c>
    </row>
    <row r="327" spans="1:22" x14ac:dyDescent="0.35">
      <c r="A327" t="s">
        <v>150</v>
      </c>
      <c r="B327">
        <v>1990</v>
      </c>
      <c r="C327" t="s">
        <v>159</v>
      </c>
      <c r="D327">
        <v>61</v>
      </c>
      <c r="E327">
        <v>287372.15000000002</v>
      </c>
      <c r="F327">
        <v>94266.09</v>
      </c>
      <c r="G327">
        <f>tblMoeHistory[[#This Row],[LEA State and Local Amount]]+tblMoeHistory[[#This Row],[ESD State and Local Amount]]</f>
        <v>381638.24</v>
      </c>
      <c r="H327">
        <v>0</v>
      </c>
      <c r="I327" t="s">
        <v>240</v>
      </c>
      <c r="J327">
        <f>IFERROR(tblMoeHistory[[#This Row],[LEA State and Local Amount]]/tblMoeHistory[[#This Row],[Child Count]],0)</f>
        <v>4711.0188524590167</v>
      </c>
      <c r="K327">
        <f>IFERROR(tblMoeHistory[[#This Row],[ESD State and Local Amount]]/tblMoeHistory[[#This Row],[Child Count]],0)</f>
        <v>1545.3457377049181</v>
      </c>
      <c r="L327">
        <f>IFERROR(tblMoeHistory[[#This Row],[State and Local Total Amount]]/tblMoeHistory[[#This Row],[Child Count]],0)</f>
        <v>6256.3645901639338</v>
      </c>
      <c r="M327">
        <v>0</v>
      </c>
      <c r="N327" t="s">
        <v>240</v>
      </c>
      <c r="O327">
        <v>100002.18</v>
      </c>
      <c r="P327">
        <v>1106.68</v>
      </c>
      <c r="Q327">
        <f>tblMoeHistory[[#This Row],[Amount of IDEA Part B, Section 611 award]]+tblMoeHistory[[#This Row],[Amount of IDEA Part B, Section 619 award]]</f>
        <v>101108.85999999999</v>
      </c>
      <c r="U3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7" t="str">
        <f>IF(OR(IFERROR(SEARCH("Met",tblMoeHistory[[#This Row],[State and Local Per Capita Result]]),0)&gt;0,IFERROR(SEARCH("Met",tblMoeHistory[[#This Row],[State and Local Total Result]]),0)&gt;0),"Met","Not Met")</f>
        <v>Not Met</v>
      </c>
    </row>
    <row r="328" spans="1:22" x14ac:dyDescent="0.35">
      <c r="A328" t="s">
        <v>151</v>
      </c>
      <c r="B328">
        <v>2093</v>
      </c>
      <c r="C328" t="s">
        <v>159</v>
      </c>
      <c r="D328">
        <v>86</v>
      </c>
      <c r="E328">
        <v>430017.79</v>
      </c>
      <c r="F328">
        <v>232751</v>
      </c>
      <c r="G328">
        <f>tblMoeHistory[[#This Row],[LEA State and Local Amount]]+tblMoeHistory[[#This Row],[ESD State and Local Amount]]</f>
        <v>662768.79</v>
      </c>
      <c r="H328">
        <v>0</v>
      </c>
      <c r="I328" t="s">
        <v>242</v>
      </c>
      <c r="J328">
        <f>IFERROR(tblMoeHistory[[#This Row],[LEA State and Local Amount]]/tblMoeHistory[[#This Row],[Child Count]],0)</f>
        <v>5000.2068604651158</v>
      </c>
      <c r="K328">
        <f>IFERROR(tblMoeHistory[[#This Row],[ESD State and Local Amount]]/tblMoeHistory[[#This Row],[Child Count]],0)</f>
        <v>2706.4069767441861</v>
      </c>
      <c r="L328">
        <f>IFERROR(tblMoeHistory[[#This Row],[State and Local Total Amount]]/tblMoeHistory[[#This Row],[Child Count]],0)</f>
        <v>7706.6138372093028</v>
      </c>
      <c r="M328">
        <v>0</v>
      </c>
      <c r="N328" t="s">
        <v>241</v>
      </c>
      <c r="O328">
        <v>124573.88</v>
      </c>
      <c r="P328">
        <v>2564.5700000000002</v>
      </c>
      <c r="Q328">
        <f>tblMoeHistory[[#This Row],[Amount of IDEA Part B, Section 611 award]]+tblMoeHistory[[#This Row],[Amount of IDEA Part B, Section 619 award]]</f>
        <v>127138.45000000001</v>
      </c>
      <c r="S328">
        <v>54031.23</v>
      </c>
      <c r="T328">
        <v>54031.23</v>
      </c>
      <c r="U3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8" t="str">
        <f>IF(OR(IFERROR(SEARCH("Met",tblMoeHistory[[#This Row],[State and Local Per Capita Result]]),0)&gt;0,IFERROR(SEARCH("Met",tblMoeHistory[[#This Row],[State and Local Total Result]]),0)&gt;0),"Met","Not Met")</f>
        <v>Met</v>
      </c>
    </row>
    <row r="329" spans="1:22" x14ac:dyDescent="0.35">
      <c r="A329" t="s">
        <v>152</v>
      </c>
      <c r="B329">
        <v>2108</v>
      </c>
      <c r="C329" t="s">
        <v>159</v>
      </c>
      <c r="D329">
        <v>300</v>
      </c>
      <c r="E329">
        <v>1663667.74</v>
      </c>
      <c r="F329">
        <v>632618.73</v>
      </c>
      <c r="G329">
        <f>tblMoeHistory[[#This Row],[LEA State and Local Amount]]+tblMoeHistory[[#This Row],[ESD State and Local Amount]]</f>
        <v>2296286.4699999997</v>
      </c>
      <c r="H329">
        <v>0</v>
      </c>
      <c r="I329" t="s">
        <v>241</v>
      </c>
      <c r="J329">
        <f>IFERROR(tblMoeHistory[[#This Row],[LEA State and Local Amount]]/tblMoeHistory[[#This Row],[Child Count]],0)</f>
        <v>5545.5591333333332</v>
      </c>
      <c r="K329">
        <f>IFERROR(tblMoeHistory[[#This Row],[ESD State and Local Amount]]/tblMoeHistory[[#This Row],[Child Count]],0)</f>
        <v>2108.7291</v>
      </c>
      <c r="L329">
        <f>IFERROR(tblMoeHistory[[#This Row],[State and Local Total Amount]]/tblMoeHistory[[#This Row],[Child Count]],0)</f>
        <v>7654.2882333333328</v>
      </c>
      <c r="M329">
        <v>0</v>
      </c>
      <c r="N329" t="s">
        <v>241</v>
      </c>
      <c r="O329">
        <v>454332.41</v>
      </c>
      <c r="P329">
        <v>4987.8999999999996</v>
      </c>
      <c r="Q329">
        <f>tblMoeHistory[[#This Row],[Amount of IDEA Part B, Section 611 award]]+tblMoeHistory[[#This Row],[Amount of IDEA Part B, Section 619 award]]</f>
        <v>459320.31</v>
      </c>
      <c r="U3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9" t="str">
        <f>IF(OR(IFERROR(SEARCH("Met",tblMoeHistory[[#This Row],[State and Local Per Capita Result]]),0)&gt;0,IFERROR(SEARCH("Met",tblMoeHistory[[#This Row],[State and Local Total Result]]),0)&gt;0),"Met","Not Met")</f>
        <v>Met</v>
      </c>
    </row>
    <row r="330" spans="1:22" x14ac:dyDescent="0.35">
      <c r="A330" t="s">
        <v>153</v>
      </c>
      <c r="B330">
        <v>1928</v>
      </c>
      <c r="C330" t="s">
        <v>159</v>
      </c>
      <c r="D330">
        <v>1202</v>
      </c>
      <c r="E330">
        <v>10567413.32</v>
      </c>
      <c r="F330">
        <v>1695833</v>
      </c>
      <c r="G330">
        <f>tblMoeHistory[[#This Row],[LEA State and Local Amount]]+tblMoeHistory[[#This Row],[ESD State and Local Amount]]</f>
        <v>12263246.32</v>
      </c>
      <c r="H330">
        <v>0</v>
      </c>
      <c r="I330" t="s">
        <v>241</v>
      </c>
      <c r="J330">
        <f>IFERROR(tblMoeHistory[[#This Row],[LEA State and Local Amount]]/tblMoeHistory[[#This Row],[Child Count]],0)</f>
        <v>8791.5252246256241</v>
      </c>
      <c r="K330">
        <f>IFERROR(tblMoeHistory[[#This Row],[ESD State and Local Amount]]/tblMoeHistory[[#This Row],[Child Count]],0)</f>
        <v>1410.8427620632281</v>
      </c>
      <c r="L330">
        <f>IFERROR(tblMoeHistory[[#This Row],[State and Local Total Amount]]/tblMoeHistory[[#This Row],[Child Count]],0)</f>
        <v>10202.367986688852</v>
      </c>
      <c r="M330">
        <v>0</v>
      </c>
      <c r="N330" t="s">
        <v>241</v>
      </c>
      <c r="O330">
        <v>1317636.56</v>
      </c>
      <c r="P330">
        <v>9607.4699999999993</v>
      </c>
      <c r="Q330">
        <f>tblMoeHistory[[#This Row],[Amount of IDEA Part B, Section 611 award]]+tblMoeHistory[[#This Row],[Amount of IDEA Part B, Section 619 award]]</f>
        <v>1327244.03</v>
      </c>
      <c r="U3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0" t="str">
        <f>IF(OR(IFERROR(SEARCH("Met",tblMoeHistory[[#This Row],[State and Local Per Capita Result]]),0)&gt;0,IFERROR(SEARCH("Met",tblMoeHistory[[#This Row],[State and Local Total Result]]),0)&gt;0),"Met","Not Met")</f>
        <v>Met</v>
      </c>
    </row>
    <row r="331" spans="1:22" x14ac:dyDescent="0.35">
      <c r="A331" t="s">
        <v>154</v>
      </c>
      <c r="B331">
        <v>1926</v>
      </c>
      <c r="C331" t="s">
        <v>159</v>
      </c>
      <c r="D331">
        <v>684</v>
      </c>
      <c r="E331">
        <v>5419061.9500000002</v>
      </c>
      <c r="F331">
        <v>677883</v>
      </c>
      <c r="G331">
        <f>tblMoeHistory[[#This Row],[LEA State and Local Amount]]+tblMoeHistory[[#This Row],[ESD State and Local Amount]]</f>
        <v>6096944.9500000002</v>
      </c>
      <c r="H331">
        <v>0</v>
      </c>
      <c r="I331" t="s">
        <v>241</v>
      </c>
      <c r="J331">
        <f>IFERROR(tblMoeHistory[[#This Row],[LEA State and Local Amount]]/tblMoeHistory[[#This Row],[Child Count]],0)</f>
        <v>7922.6051900584798</v>
      </c>
      <c r="K331">
        <f>IFERROR(tblMoeHistory[[#This Row],[ESD State and Local Amount]]/tblMoeHistory[[#This Row],[Child Count]],0)</f>
        <v>991.05701754385962</v>
      </c>
      <c r="L331">
        <f>IFERROR(tblMoeHistory[[#This Row],[State and Local Total Amount]]/tblMoeHistory[[#This Row],[Child Count]],0)</f>
        <v>8913.6622076023395</v>
      </c>
      <c r="M331">
        <v>0</v>
      </c>
      <c r="N331" t="s">
        <v>241</v>
      </c>
      <c r="O331">
        <v>660278.4</v>
      </c>
      <c r="P331">
        <v>6419.49</v>
      </c>
      <c r="Q331">
        <f>tblMoeHistory[[#This Row],[Amount of IDEA Part B, Section 611 award]]+tblMoeHistory[[#This Row],[Amount of IDEA Part B, Section 619 award]]</f>
        <v>666697.89</v>
      </c>
      <c r="U3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1" t="str">
        <f>IF(OR(IFERROR(SEARCH("Met",tblMoeHistory[[#This Row],[State and Local Per Capita Result]]),0)&gt;0,IFERROR(SEARCH("Met",tblMoeHistory[[#This Row],[State and Local Total Result]]),0)&gt;0),"Met","Not Met")</f>
        <v>Met</v>
      </c>
    </row>
    <row r="332" spans="1:22" x14ac:dyDescent="0.35">
      <c r="A332" t="s">
        <v>155</v>
      </c>
      <c r="B332">
        <v>2060</v>
      </c>
      <c r="C332" t="s">
        <v>159</v>
      </c>
      <c r="D332">
        <v>8</v>
      </c>
      <c r="E332">
        <v>9624.57</v>
      </c>
      <c r="F332">
        <v>46659.18</v>
      </c>
      <c r="G332">
        <f>tblMoeHistory[[#This Row],[LEA State and Local Amount]]+tblMoeHistory[[#This Row],[ESD State and Local Amount]]</f>
        <v>56283.75</v>
      </c>
      <c r="H332">
        <v>0</v>
      </c>
      <c r="I332" t="s">
        <v>240</v>
      </c>
      <c r="J332">
        <f>IFERROR(tblMoeHistory[[#This Row],[LEA State and Local Amount]]/tblMoeHistory[[#This Row],[Child Count]],0)</f>
        <v>1203.07125</v>
      </c>
      <c r="K332">
        <f>IFERROR(tblMoeHistory[[#This Row],[ESD State and Local Amount]]/tblMoeHistory[[#This Row],[Child Count]],0)</f>
        <v>5832.3975</v>
      </c>
      <c r="L332">
        <f>IFERROR(tblMoeHistory[[#This Row],[State and Local Total Amount]]/tblMoeHistory[[#This Row],[Child Count]],0)</f>
        <v>7035.46875</v>
      </c>
      <c r="M332">
        <v>0</v>
      </c>
      <c r="N332" t="s">
        <v>240</v>
      </c>
      <c r="O332">
        <v>21797.26</v>
      </c>
      <c r="P332">
        <v>0</v>
      </c>
      <c r="Q332">
        <f>tblMoeHistory[[#This Row],[Amount of IDEA Part B, Section 611 award]]+tblMoeHistory[[#This Row],[Amount of IDEA Part B, Section 619 award]]</f>
        <v>21797.26</v>
      </c>
      <c r="U3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2" t="str">
        <f>IF(OR(IFERROR(SEARCH("Met",tblMoeHistory[[#This Row],[State and Local Per Capita Result]]),0)&gt;0,IFERROR(SEARCH("Met",tblMoeHistory[[#This Row],[State and Local Total Result]]),0)&gt;0),"Met","Not Met")</f>
        <v>Not Met</v>
      </c>
    </row>
    <row r="333" spans="1:22" x14ac:dyDescent="0.35">
      <c r="A333" t="s">
        <v>156</v>
      </c>
      <c r="B333">
        <v>2181</v>
      </c>
      <c r="C333" t="s">
        <v>159</v>
      </c>
      <c r="D333">
        <v>444</v>
      </c>
      <c r="E333">
        <v>4463876.16</v>
      </c>
      <c r="F333">
        <v>679956</v>
      </c>
      <c r="G333">
        <f>tblMoeHistory[[#This Row],[LEA State and Local Amount]]+tblMoeHistory[[#This Row],[ESD State and Local Amount]]</f>
        <v>5143832.16</v>
      </c>
      <c r="H333">
        <v>0</v>
      </c>
      <c r="I333" t="s">
        <v>240</v>
      </c>
      <c r="J333">
        <f>IFERROR(tblMoeHistory[[#This Row],[LEA State and Local Amount]]/tblMoeHistory[[#This Row],[Child Count]],0)</f>
        <v>10053.775135135136</v>
      </c>
      <c r="K333">
        <f>IFERROR(tblMoeHistory[[#This Row],[ESD State and Local Amount]]/tblMoeHistory[[#This Row],[Child Count]],0)</f>
        <v>1531.4324324324325</v>
      </c>
      <c r="L333">
        <f>IFERROR(tblMoeHistory[[#This Row],[State and Local Total Amount]]/tblMoeHistory[[#This Row],[Child Count]],0)</f>
        <v>11585.207567567568</v>
      </c>
      <c r="M333">
        <v>0</v>
      </c>
      <c r="N333" t="s">
        <v>242</v>
      </c>
      <c r="O333">
        <v>641601.35</v>
      </c>
      <c r="P333">
        <v>2997.55</v>
      </c>
      <c r="Q333">
        <f>tblMoeHistory[[#This Row],[Amount of IDEA Part B, Section 611 award]]+tblMoeHistory[[#This Row],[Amount of IDEA Part B, Section 619 award]]</f>
        <v>644598.9</v>
      </c>
      <c r="T333">
        <v>127989</v>
      </c>
      <c r="U3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3" t="str">
        <f>IF(OR(IFERROR(SEARCH("Met",tblMoeHistory[[#This Row],[State and Local Per Capita Result]]),0)&gt;0,IFERROR(SEARCH("Met",tblMoeHistory[[#This Row],[State and Local Total Result]]),0)&gt;0),"Met","Not Met")</f>
        <v>Met</v>
      </c>
    </row>
    <row r="334" spans="1:22" x14ac:dyDescent="0.35">
      <c r="A334" t="s">
        <v>157</v>
      </c>
      <c r="B334">
        <v>2207</v>
      </c>
      <c r="C334" t="s">
        <v>159</v>
      </c>
      <c r="D334">
        <v>441</v>
      </c>
      <c r="E334">
        <v>3054053</v>
      </c>
      <c r="F334">
        <v>729211.89</v>
      </c>
      <c r="G334">
        <f>tblMoeHistory[[#This Row],[LEA State and Local Amount]]+tblMoeHistory[[#This Row],[ESD State and Local Amount]]</f>
        <v>3783264.89</v>
      </c>
      <c r="H334">
        <v>0</v>
      </c>
      <c r="I334" t="s">
        <v>242</v>
      </c>
      <c r="J334">
        <f>IFERROR(tblMoeHistory[[#This Row],[LEA State and Local Amount]]/tblMoeHistory[[#This Row],[Child Count]],0)</f>
        <v>6925.2902494331065</v>
      </c>
      <c r="K334">
        <f>IFERROR(tblMoeHistory[[#This Row],[ESD State and Local Amount]]/tblMoeHistory[[#This Row],[Child Count]],0)</f>
        <v>1653.5417006802722</v>
      </c>
      <c r="L334">
        <f>IFERROR(tblMoeHistory[[#This Row],[State and Local Total Amount]]/tblMoeHistory[[#This Row],[Child Count]],0)</f>
        <v>8578.8319501133792</v>
      </c>
      <c r="M334">
        <v>0</v>
      </c>
      <c r="N334" t="s">
        <v>241</v>
      </c>
      <c r="O334">
        <v>564515.24</v>
      </c>
      <c r="P334">
        <v>6252.8</v>
      </c>
      <c r="Q334">
        <f>tblMoeHistory[[#This Row],[Amount of IDEA Part B, Section 611 award]]+tblMoeHistory[[#This Row],[Amount of IDEA Part B, Section 619 award]]</f>
        <v>570768.04</v>
      </c>
      <c r="S334">
        <v>84750.15</v>
      </c>
      <c r="T334">
        <v>84750.15</v>
      </c>
      <c r="U3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4" t="str">
        <f>IF(OR(IFERROR(SEARCH("Met",tblMoeHistory[[#This Row],[State and Local Per Capita Result]]),0)&gt;0,IFERROR(SEARCH("Met",tblMoeHistory[[#This Row],[State and Local Total Result]]),0)&gt;0),"Met","Not Met")</f>
        <v>Met</v>
      </c>
    </row>
    <row r="335" spans="1:22" x14ac:dyDescent="0.35">
      <c r="A335" t="s">
        <v>158</v>
      </c>
      <c r="B335">
        <v>2192</v>
      </c>
      <c r="C335" t="s">
        <v>159</v>
      </c>
      <c r="D335">
        <v>9</v>
      </c>
      <c r="E335">
        <v>208055.1</v>
      </c>
      <c r="F335">
        <v>23924.79</v>
      </c>
      <c r="G335">
        <f>tblMoeHistory[[#This Row],[LEA State and Local Amount]]+tblMoeHistory[[#This Row],[ESD State and Local Amount]]</f>
        <v>231979.89</v>
      </c>
      <c r="H335">
        <v>0</v>
      </c>
      <c r="I335" t="s">
        <v>242</v>
      </c>
      <c r="J335">
        <f>IFERROR(tblMoeHistory[[#This Row],[LEA State and Local Amount]]/tblMoeHistory[[#This Row],[Child Count]],0)</f>
        <v>23117.233333333334</v>
      </c>
      <c r="K335">
        <f>IFERROR(tblMoeHistory[[#This Row],[ESD State and Local Amount]]/tblMoeHistory[[#This Row],[Child Count]],0)</f>
        <v>2658.31</v>
      </c>
      <c r="L335">
        <f>IFERROR(tblMoeHistory[[#This Row],[State and Local Total Amount]]/tblMoeHistory[[#This Row],[Child Count]],0)</f>
        <v>25775.543333333335</v>
      </c>
      <c r="M335">
        <v>0</v>
      </c>
      <c r="N335" t="s">
        <v>241</v>
      </c>
      <c r="O335">
        <v>33345.279999999999</v>
      </c>
      <c r="P335">
        <v>0</v>
      </c>
      <c r="Q335">
        <f>tblMoeHistory[[#This Row],[Amount of IDEA Part B, Section 611 award]]+tblMoeHistory[[#This Row],[Amount of IDEA Part B, Section 619 award]]</f>
        <v>33345.279999999999</v>
      </c>
      <c r="S335">
        <v>97606.73</v>
      </c>
      <c r="T335">
        <v>97606.73</v>
      </c>
      <c r="U3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5" t="str">
        <f>IF(OR(IFERROR(SEARCH("Met",tblMoeHistory[[#This Row],[State and Local Per Capita Result]]),0)&gt;0,IFERROR(SEARCH("Met",tblMoeHistory[[#This Row],[State and Local Total Result]]),0)&gt;0),"Met","Not Met")</f>
        <v>Met</v>
      </c>
    </row>
    <row r="336" spans="1:22" x14ac:dyDescent="0.35">
      <c r="A336" t="s">
        <v>160</v>
      </c>
      <c r="B336">
        <v>1900</v>
      </c>
      <c r="C336" t="s">
        <v>159</v>
      </c>
      <c r="D336">
        <v>173</v>
      </c>
      <c r="E336">
        <v>1093271.17</v>
      </c>
      <c r="F336">
        <v>98095</v>
      </c>
      <c r="G336">
        <f>tblMoeHistory[[#This Row],[LEA State and Local Amount]]+tblMoeHistory[[#This Row],[ESD State and Local Amount]]</f>
        <v>1191366.17</v>
      </c>
      <c r="H336">
        <v>0</v>
      </c>
      <c r="I336" t="s">
        <v>242</v>
      </c>
      <c r="J336">
        <f>IFERROR(tblMoeHistory[[#This Row],[LEA State and Local Amount]]/tblMoeHistory[[#This Row],[Child Count]],0)</f>
        <v>6319.4865317919075</v>
      </c>
      <c r="K336">
        <f>IFERROR(tblMoeHistory[[#This Row],[ESD State and Local Amount]]/tblMoeHistory[[#This Row],[Child Count]],0)</f>
        <v>567.02312138728325</v>
      </c>
      <c r="L336">
        <f>IFERROR(tblMoeHistory[[#This Row],[State and Local Total Amount]]/tblMoeHistory[[#This Row],[Child Count]],0)</f>
        <v>6886.5096531791905</v>
      </c>
      <c r="M336">
        <v>0</v>
      </c>
      <c r="N336" t="s">
        <v>241</v>
      </c>
      <c r="O336">
        <v>240971.42</v>
      </c>
      <c r="P336">
        <v>4512.76</v>
      </c>
      <c r="Q336">
        <f>tblMoeHistory[[#This Row],[Amount of IDEA Part B, Section 611 award]]+tblMoeHistory[[#This Row],[Amount of IDEA Part B, Section 619 award]]</f>
        <v>245484.18000000002</v>
      </c>
      <c r="S336">
        <v>79774.2</v>
      </c>
      <c r="T336">
        <v>79774.2</v>
      </c>
      <c r="U3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6" t="str">
        <f>IF(OR(IFERROR(SEARCH("Met",tblMoeHistory[[#This Row],[State and Local Per Capita Result]]),0)&gt;0,IFERROR(SEARCH("Met",tblMoeHistory[[#This Row],[State and Local Total Result]]),0)&gt;0),"Met","Not Met")</f>
        <v>Met</v>
      </c>
    </row>
    <row r="337" spans="1:22" x14ac:dyDescent="0.35">
      <c r="A337" t="s">
        <v>161</v>
      </c>
      <c r="B337">
        <v>2039</v>
      </c>
      <c r="C337" t="s">
        <v>159</v>
      </c>
      <c r="D337">
        <v>377</v>
      </c>
      <c r="E337">
        <v>2272563.21</v>
      </c>
      <c r="F337">
        <v>659760.25</v>
      </c>
      <c r="G337">
        <f>tblMoeHistory[[#This Row],[LEA State and Local Amount]]+tblMoeHistory[[#This Row],[ESD State and Local Amount]]</f>
        <v>2932323.46</v>
      </c>
      <c r="H337">
        <v>0</v>
      </c>
      <c r="I337" t="s">
        <v>241</v>
      </c>
      <c r="J337">
        <f>IFERROR(tblMoeHistory[[#This Row],[LEA State and Local Amount]]/tblMoeHistory[[#This Row],[Child Count]],0)</f>
        <v>6028.0191246684353</v>
      </c>
      <c r="K337">
        <f>IFERROR(tblMoeHistory[[#This Row],[ESD State and Local Amount]]/tblMoeHistory[[#This Row],[Child Count]],0)</f>
        <v>1750.0271883289124</v>
      </c>
      <c r="L337">
        <f>IFERROR(tblMoeHistory[[#This Row],[State and Local Total Amount]]/tblMoeHistory[[#This Row],[Child Count]],0)</f>
        <v>7778.0463129973477</v>
      </c>
      <c r="M337">
        <v>0</v>
      </c>
      <c r="N337" t="s">
        <v>240</v>
      </c>
      <c r="O337">
        <v>458455.67</v>
      </c>
      <c r="P337">
        <v>5514.1</v>
      </c>
      <c r="Q337">
        <f>tblMoeHistory[[#This Row],[Amount of IDEA Part B, Section 611 award]]+tblMoeHistory[[#This Row],[Amount of IDEA Part B, Section 619 award]]</f>
        <v>463969.76999999996</v>
      </c>
      <c r="U3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7" t="str">
        <f>IF(OR(IFERROR(SEARCH("Met",tblMoeHistory[[#This Row],[State and Local Per Capita Result]]),0)&gt;0,IFERROR(SEARCH("Met",tblMoeHistory[[#This Row],[State and Local Total Result]]),0)&gt;0),"Met","Not Met")</f>
        <v>Met</v>
      </c>
    </row>
    <row r="338" spans="1:22" x14ac:dyDescent="0.35">
      <c r="A338" t="s">
        <v>162</v>
      </c>
      <c r="B338">
        <v>2202</v>
      </c>
      <c r="C338" t="s">
        <v>159</v>
      </c>
      <c r="D338">
        <v>38</v>
      </c>
      <c r="E338">
        <v>254168.12</v>
      </c>
      <c r="F338">
        <v>67732.34</v>
      </c>
      <c r="G338">
        <f>tblMoeHistory[[#This Row],[LEA State and Local Amount]]+tblMoeHistory[[#This Row],[ESD State and Local Amount]]</f>
        <v>321900.45999999996</v>
      </c>
      <c r="H338">
        <v>0</v>
      </c>
      <c r="I338" t="s">
        <v>241</v>
      </c>
      <c r="J338">
        <f>IFERROR(tblMoeHistory[[#This Row],[LEA State and Local Amount]]/tblMoeHistory[[#This Row],[Child Count]],0)</f>
        <v>6688.6347368421048</v>
      </c>
      <c r="K338">
        <f>IFERROR(tblMoeHistory[[#This Row],[ESD State and Local Amount]]/tblMoeHistory[[#This Row],[Child Count]],0)</f>
        <v>1782.4299999999998</v>
      </c>
      <c r="L338">
        <f>IFERROR(tblMoeHistory[[#This Row],[State and Local Total Amount]]/tblMoeHistory[[#This Row],[Child Count]],0)</f>
        <v>8471.064736842105</v>
      </c>
      <c r="M338">
        <v>0</v>
      </c>
      <c r="N338" t="s">
        <v>241</v>
      </c>
      <c r="O338">
        <v>79879.929999999993</v>
      </c>
      <c r="P338">
        <v>746.59</v>
      </c>
      <c r="Q338">
        <f>tblMoeHistory[[#This Row],[Amount of IDEA Part B, Section 611 award]]+tblMoeHistory[[#This Row],[Amount of IDEA Part B, Section 619 award]]</f>
        <v>80626.51999999999</v>
      </c>
      <c r="U3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8" t="str">
        <f>IF(OR(IFERROR(SEARCH("Met",tblMoeHistory[[#This Row],[State and Local Per Capita Result]]),0)&gt;0,IFERROR(SEARCH("Met",tblMoeHistory[[#This Row],[State and Local Total Result]]),0)&gt;0),"Met","Not Met")</f>
        <v>Met</v>
      </c>
    </row>
    <row r="339" spans="1:22" x14ac:dyDescent="0.35">
      <c r="A339" t="s">
        <v>163</v>
      </c>
      <c r="B339">
        <v>2016</v>
      </c>
      <c r="C339" t="s">
        <v>159</v>
      </c>
      <c r="D339">
        <v>2</v>
      </c>
      <c r="E339">
        <v>39515</v>
      </c>
      <c r="F339">
        <v>365</v>
      </c>
      <c r="G339">
        <f>tblMoeHistory[[#This Row],[LEA State and Local Amount]]+tblMoeHistory[[#This Row],[ESD State and Local Amount]]</f>
        <v>39880</v>
      </c>
      <c r="H339">
        <v>0</v>
      </c>
      <c r="I339" t="s">
        <v>241</v>
      </c>
      <c r="J339">
        <f>IFERROR(tblMoeHistory[[#This Row],[LEA State and Local Amount]]/tblMoeHistory[[#This Row],[Child Count]],0)</f>
        <v>19757.5</v>
      </c>
      <c r="K339">
        <f>IFERROR(tblMoeHistory[[#This Row],[ESD State and Local Amount]]/tblMoeHistory[[#This Row],[Child Count]],0)</f>
        <v>182.5</v>
      </c>
      <c r="L339">
        <f>IFERROR(tblMoeHistory[[#This Row],[State and Local Total Amount]]/tblMoeHistory[[#This Row],[Child Count]],0)</f>
        <v>19940</v>
      </c>
      <c r="M339">
        <v>0</v>
      </c>
      <c r="N339" t="s">
        <v>241</v>
      </c>
      <c r="O339">
        <v>177.45</v>
      </c>
      <c r="P339">
        <v>0.28000000000000003</v>
      </c>
      <c r="Q339">
        <f>tblMoeHistory[[#This Row],[Amount of IDEA Part B, Section 611 award]]+tblMoeHistory[[#This Row],[Amount of IDEA Part B, Section 619 award]]</f>
        <v>177.73</v>
      </c>
      <c r="U3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9" t="str">
        <f>IF(OR(IFERROR(SEARCH("Met",tblMoeHistory[[#This Row],[State and Local Per Capita Result]]),0)&gt;0,IFERROR(SEARCH("Met",tblMoeHistory[[#This Row],[State and Local Total Result]]),0)&gt;0),"Met","Not Met")</f>
        <v>Met</v>
      </c>
    </row>
    <row r="340" spans="1:22" x14ac:dyDescent="0.35">
      <c r="A340" t="s">
        <v>164</v>
      </c>
      <c r="B340">
        <v>1897</v>
      </c>
      <c r="C340" t="s">
        <v>159</v>
      </c>
      <c r="D340">
        <v>26</v>
      </c>
      <c r="E340">
        <v>157928.49</v>
      </c>
      <c r="F340">
        <v>0</v>
      </c>
      <c r="G340">
        <f>tblMoeHistory[[#This Row],[LEA State and Local Amount]]+tblMoeHistory[[#This Row],[ESD State and Local Amount]]</f>
        <v>157928.49</v>
      </c>
      <c r="H340">
        <v>0</v>
      </c>
      <c r="I340" t="s">
        <v>241</v>
      </c>
      <c r="J340">
        <f>IFERROR(tblMoeHistory[[#This Row],[LEA State and Local Amount]]/tblMoeHistory[[#This Row],[Child Count]],0)</f>
        <v>6074.1726923076922</v>
      </c>
      <c r="K340">
        <f>IFERROR(tblMoeHistory[[#This Row],[ESD State and Local Amount]]/tblMoeHistory[[#This Row],[Child Count]],0)</f>
        <v>0</v>
      </c>
      <c r="L340">
        <f>IFERROR(tblMoeHistory[[#This Row],[State and Local Total Amount]]/tblMoeHistory[[#This Row],[Child Count]],0)</f>
        <v>6074.1726923076922</v>
      </c>
      <c r="M340">
        <v>0</v>
      </c>
      <c r="N340" t="s">
        <v>240</v>
      </c>
      <c r="O340">
        <v>29392.13</v>
      </c>
      <c r="P340">
        <v>11.27</v>
      </c>
      <c r="Q340">
        <f>tblMoeHistory[[#This Row],[Amount of IDEA Part B, Section 611 award]]+tblMoeHistory[[#This Row],[Amount of IDEA Part B, Section 619 award]]</f>
        <v>29403.4</v>
      </c>
      <c r="U3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0" t="str">
        <f>IF(OR(IFERROR(SEARCH("Met",tblMoeHistory[[#This Row],[State and Local Per Capita Result]]),0)&gt;0,IFERROR(SEARCH("Met",tblMoeHistory[[#This Row],[State and Local Total Result]]),0)&gt;0),"Met","Not Met")</f>
        <v>Met</v>
      </c>
    </row>
    <row r="341" spans="1:22" x14ac:dyDescent="0.35">
      <c r="A341" t="s">
        <v>165</v>
      </c>
      <c r="B341">
        <v>2047</v>
      </c>
      <c r="C341" t="s">
        <v>159</v>
      </c>
      <c r="D341">
        <v>4</v>
      </c>
      <c r="E341">
        <v>15699</v>
      </c>
      <c r="F341">
        <v>2616.2399999999998</v>
      </c>
      <c r="G341">
        <f>tblMoeHistory[[#This Row],[LEA State and Local Amount]]+tblMoeHistory[[#This Row],[ESD State and Local Amount]]</f>
        <v>18315.239999999998</v>
      </c>
      <c r="H341">
        <v>0</v>
      </c>
      <c r="I341" t="s">
        <v>242</v>
      </c>
      <c r="J341">
        <f>IFERROR(tblMoeHistory[[#This Row],[LEA State and Local Amount]]/tblMoeHistory[[#This Row],[Child Count]],0)</f>
        <v>3924.75</v>
      </c>
      <c r="K341">
        <f>IFERROR(tblMoeHistory[[#This Row],[ESD State and Local Amount]]/tblMoeHistory[[#This Row],[Child Count]],0)</f>
        <v>654.05999999999995</v>
      </c>
      <c r="L341">
        <f>IFERROR(tblMoeHistory[[#This Row],[State and Local Total Amount]]/tblMoeHistory[[#This Row],[Child Count]],0)</f>
        <v>4578.8099999999995</v>
      </c>
      <c r="M341">
        <v>0</v>
      </c>
      <c r="N341" t="s">
        <v>241</v>
      </c>
      <c r="O341">
        <v>8726.07</v>
      </c>
      <c r="P341">
        <v>974.69</v>
      </c>
      <c r="Q341">
        <f>tblMoeHistory[[#This Row],[Amount of IDEA Part B, Section 611 award]]+tblMoeHistory[[#This Row],[Amount of IDEA Part B, Section 619 award]]</f>
        <v>9700.76</v>
      </c>
      <c r="S341">
        <v>13647.4</v>
      </c>
      <c r="T341">
        <v>13647.4</v>
      </c>
      <c r="U3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1" t="str">
        <f>IF(OR(IFERROR(SEARCH("Met",tblMoeHistory[[#This Row],[State and Local Per Capita Result]]),0)&gt;0,IFERROR(SEARCH("Met",tblMoeHistory[[#This Row],[State and Local Total Result]]),0)&gt;0),"Met","Not Met")</f>
        <v>Met</v>
      </c>
    </row>
    <row r="342" spans="1:22" x14ac:dyDescent="0.35">
      <c r="A342" t="s">
        <v>166</v>
      </c>
      <c r="B342">
        <v>2081</v>
      </c>
      <c r="C342" t="s">
        <v>159</v>
      </c>
      <c r="D342">
        <v>104</v>
      </c>
      <c r="E342">
        <v>969941.09</v>
      </c>
      <c r="F342">
        <v>262023</v>
      </c>
      <c r="G342">
        <f>tblMoeHistory[[#This Row],[LEA State and Local Amount]]+tblMoeHistory[[#This Row],[ESD State and Local Amount]]</f>
        <v>1231964.0899999999</v>
      </c>
      <c r="H342">
        <v>0</v>
      </c>
      <c r="I342" t="s">
        <v>242</v>
      </c>
      <c r="J342">
        <f>IFERROR(tblMoeHistory[[#This Row],[LEA State and Local Amount]]/tblMoeHistory[[#This Row],[Child Count]],0)</f>
        <v>9326.3566346153839</v>
      </c>
      <c r="K342">
        <f>IFERROR(tblMoeHistory[[#This Row],[ESD State and Local Amount]]/tblMoeHistory[[#This Row],[Child Count]],0)</f>
        <v>2519.4519230769229</v>
      </c>
      <c r="L342">
        <f>IFERROR(tblMoeHistory[[#This Row],[State and Local Total Amount]]/tblMoeHistory[[#This Row],[Child Count]],0)</f>
        <v>11845.808557692306</v>
      </c>
      <c r="M342">
        <v>0</v>
      </c>
      <c r="N342" t="s">
        <v>241</v>
      </c>
      <c r="O342">
        <v>158686.16</v>
      </c>
      <c r="P342">
        <v>600.64</v>
      </c>
      <c r="Q342">
        <f>tblMoeHistory[[#This Row],[Amount of IDEA Part B, Section 611 award]]+tblMoeHistory[[#This Row],[Amount of IDEA Part B, Section 619 award]]</f>
        <v>159286.80000000002</v>
      </c>
      <c r="S342">
        <v>46767.25</v>
      </c>
      <c r="T342">
        <v>46767.25</v>
      </c>
      <c r="U3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2" t="str">
        <f>IF(OR(IFERROR(SEARCH("Met",tblMoeHistory[[#This Row],[State and Local Per Capita Result]]),0)&gt;0,IFERROR(SEARCH("Met",tblMoeHistory[[#This Row],[State and Local Total Result]]),0)&gt;0),"Met","Not Met")</f>
        <v>Met</v>
      </c>
    </row>
    <row r="343" spans="1:22" x14ac:dyDescent="0.35">
      <c r="A343" t="s">
        <v>167</v>
      </c>
      <c r="B343">
        <v>2062</v>
      </c>
      <c r="C343" t="s">
        <v>159</v>
      </c>
      <c r="D343">
        <v>1</v>
      </c>
      <c r="E343">
        <v>0</v>
      </c>
      <c r="F343">
        <v>13540.55</v>
      </c>
      <c r="G343">
        <f>tblMoeHistory[[#This Row],[LEA State and Local Amount]]+tblMoeHistory[[#This Row],[ESD State and Local Amount]]</f>
        <v>13540.55</v>
      </c>
      <c r="H343">
        <v>0</v>
      </c>
      <c r="I343" t="s">
        <v>241</v>
      </c>
      <c r="J343">
        <f>IFERROR(tblMoeHistory[[#This Row],[LEA State and Local Amount]]/tblMoeHistory[[#This Row],[Child Count]],0)</f>
        <v>0</v>
      </c>
      <c r="K343">
        <f>IFERROR(tblMoeHistory[[#This Row],[ESD State and Local Amount]]/tblMoeHistory[[#This Row],[Child Count]],0)</f>
        <v>13540.55</v>
      </c>
      <c r="L343">
        <f>IFERROR(tblMoeHistory[[#This Row],[State and Local Total Amount]]/tblMoeHistory[[#This Row],[Child Count]],0)</f>
        <v>13540.55</v>
      </c>
      <c r="M343">
        <v>0</v>
      </c>
      <c r="N343" t="s">
        <v>241</v>
      </c>
      <c r="O343">
        <v>3150.67</v>
      </c>
      <c r="P343">
        <v>0.85</v>
      </c>
      <c r="Q343">
        <f>tblMoeHistory[[#This Row],[Amount of IDEA Part B, Section 611 award]]+tblMoeHistory[[#This Row],[Amount of IDEA Part B, Section 619 award]]</f>
        <v>3151.52</v>
      </c>
      <c r="U3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3" t="str">
        <f>IF(OR(IFERROR(SEARCH("Met",tblMoeHistory[[#This Row],[State and Local Per Capita Result]]),0)&gt;0,IFERROR(SEARCH("Met",tblMoeHistory[[#This Row],[State and Local Total Result]]),0)&gt;0),"Met","Not Met")</f>
        <v>Met</v>
      </c>
    </row>
    <row r="344" spans="1:22" x14ac:dyDescent="0.35">
      <c r="A344" t="s">
        <v>168</v>
      </c>
      <c r="B344">
        <v>1973</v>
      </c>
      <c r="C344" t="s">
        <v>159</v>
      </c>
      <c r="D344">
        <v>33</v>
      </c>
      <c r="E344">
        <v>277914.73</v>
      </c>
      <c r="F344">
        <v>124336.79</v>
      </c>
      <c r="G344">
        <f>tblMoeHistory[[#This Row],[LEA State and Local Amount]]+tblMoeHistory[[#This Row],[ESD State and Local Amount]]</f>
        <v>402251.51999999996</v>
      </c>
      <c r="H344">
        <v>0</v>
      </c>
      <c r="I344" t="s">
        <v>242</v>
      </c>
      <c r="J344">
        <f>IFERROR(tblMoeHistory[[#This Row],[LEA State and Local Amount]]/tblMoeHistory[[#This Row],[Child Count]],0)</f>
        <v>8421.6584848484836</v>
      </c>
      <c r="K344">
        <f>IFERROR(tblMoeHistory[[#This Row],[ESD State and Local Amount]]/tblMoeHistory[[#This Row],[Child Count]],0)</f>
        <v>3767.7815151515151</v>
      </c>
      <c r="L344">
        <f>IFERROR(tblMoeHistory[[#This Row],[State and Local Total Amount]]/tblMoeHistory[[#This Row],[Child Count]],0)</f>
        <v>12189.439999999999</v>
      </c>
      <c r="M344">
        <v>0</v>
      </c>
      <c r="N344" t="s">
        <v>241</v>
      </c>
      <c r="O344">
        <v>68703.399999999994</v>
      </c>
      <c r="P344">
        <v>614.41</v>
      </c>
      <c r="Q344">
        <f>tblMoeHistory[[#This Row],[Amount of IDEA Part B, Section 611 award]]+tblMoeHistory[[#This Row],[Amount of IDEA Part B, Section 619 award]]</f>
        <v>69317.81</v>
      </c>
      <c r="S344">
        <v>80912.58</v>
      </c>
      <c r="T344">
        <v>80912.58</v>
      </c>
      <c r="U3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4" t="str">
        <f>IF(OR(IFERROR(SEARCH("Met",tblMoeHistory[[#This Row],[State and Local Per Capita Result]]),0)&gt;0,IFERROR(SEARCH("Met",tblMoeHistory[[#This Row],[State and Local Total Result]]),0)&gt;0),"Met","Not Met")</f>
        <v>Met</v>
      </c>
    </row>
    <row r="345" spans="1:22" x14ac:dyDescent="0.35">
      <c r="A345" t="s">
        <v>169</v>
      </c>
      <c r="B345">
        <v>2180</v>
      </c>
      <c r="C345" t="s">
        <v>159</v>
      </c>
      <c r="D345">
        <v>6540</v>
      </c>
      <c r="E345">
        <v>70370928.329999998</v>
      </c>
      <c r="F345">
        <v>1307585</v>
      </c>
      <c r="G345">
        <f>tblMoeHistory[[#This Row],[LEA State and Local Amount]]+tblMoeHistory[[#This Row],[ESD State and Local Amount]]</f>
        <v>71678513.329999998</v>
      </c>
      <c r="H345">
        <v>0</v>
      </c>
      <c r="I345" t="s">
        <v>241</v>
      </c>
      <c r="J345">
        <f>IFERROR(tblMoeHistory[[#This Row],[LEA State and Local Amount]]/tblMoeHistory[[#This Row],[Child Count]],0)</f>
        <v>10760.08078440367</v>
      </c>
      <c r="K345">
        <f>IFERROR(tblMoeHistory[[#This Row],[ESD State and Local Amount]]/tblMoeHistory[[#This Row],[Child Count]],0)</f>
        <v>199.93654434250766</v>
      </c>
      <c r="L345">
        <f>IFERROR(tblMoeHistory[[#This Row],[State and Local Total Amount]]/tblMoeHistory[[#This Row],[Child Count]],0)</f>
        <v>10960.017328746177</v>
      </c>
      <c r="M345">
        <v>0</v>
      </c>
      <c r="N345" t="s">
        <v>241</v>
      </c>
      <c r="O345">
        <v>7719166.3099999996</v>
      </c>
      <c r="P345">
        <v>92744.49</v>
      </c>
      <c r="Q345">
        <f>tblMoeHistory[[#This Row],[Amount of IDEA Part B, Section 611 award]]+tblMoeHistory[[#This Row],[Amount of IDEA Part B, Section 619 award]]</f>
        <v>7811910.7999999998</v>
      </c>
      <c r="U3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5" t="str">
        <f>IF(OR(IFERROR(SEARCH("Met",tblMoeHistory[[#This Row],[State and Local Per Capita Result]]),0)&gt;0,IFERROR(SEARCH("Met",tblMoeHistory[[#This Row],[State and Local Total Result]]),0)&gt;0),"Met","Not Met")</f>
        <v>Met</v>
      </c>
    </row>
    <row r="346" spans="1:22" x14ac:dyDescent="0.35">
      <c r="A346" t="s">
        <v>170</v>
      </c>
      <c r="B346">
        <v>1967</v>
      </c>
      <c r="C346" t="s">
        <v>159</v>
      </c>
      <c r="D346">
        <v>16</v>
      </c>
      <c r="E346">
        <v>112083.13</v>
      </c>
      <c r="F346">
        <v>45733.07</v>
      </c>
      <c r="G346">
        <f>tblMoeHistory[[#This Row],[LEA State and Local Amount]]+tblMoeHistory[[#This Row],[ESD State and Local Amount]]</f>
        <v>157816.20000000001</v>
      </c>
      <c r="H346">
        <v>0</v>
      </c>
      <c r="I346" t="s">
        <v>241</v>
      </c>
      <c r="J346">
        <f>IFERROR(tblMoeHistory[[#This Row],[LEA State and Local Amount]]/tblMoeHistory[[#This Row],[Child Count]],0)</f>
        <v>7005.1956250000003</v>
      </c>
      <c r="K346">
        <f>IFERROR(tblMoeHistory[[#This Row],[ESD State and Local Amount]]/tblMoeHistory[[#This Row],[Child Count]],0)</f>
        <v>2858.316875</v>
      </c>
      <c r="L346">
        <f>IFERROR(tblMoeHistory[[#This Row],[State and Local Total Amount]]/tblMoeHistory[[#This Row],[Child Count]],0)</f>
        <v>9863.5125000000007</v>
      </c>
      <c r="M346">
        <v>0</v>
      </c>
      <c r="N346" t="s">
        <v>240</v>
      </c>
      <c r="O346">
        <v>23313.94</v>
      </c>
      <c r="P346">
        <v>11.88</v>
      </c>
      <c r="Q346">
        <f>tblMoeHistory[[#This Row],[Amount of IDEA Part B, Section 611 award]]+tblMoeHistory[[#This Row],[Amount of IDEA Part B, Section 619 award]]</f>
        <v>23325.82</v>
      </c>
      <c r="U3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6" t="str">
        <f>IF(OR(IFERROR(SEARCH("Met",tblMoeHistory[[#This Row],[State and Local Per Capita Result]]),0)&gt;0,IFERROR(SEARCH("Met",tblMoeHistory[[#This Row],[State and Local Total Result]]),0)&gt;0),"Met","Not Met")</f>
        <v>Met</v>
      </c>
    </row>
    <row r="347" spans="1:22" x14ac:dyDescent="0.35">
      <c r="A347" t="s">
        <v>171</v>
      </c>
      <c r="B347">
        <v>2009</v>
      </c>
      <c r="C347" t="s">
        <v>159</v>
      </c>
      <c r="D347">
        <v>21</v>
      </c>
      <c r="E347">
        <v>115260.34</v>
      </c>
      <c r="F347">
        <v>102912.29</v>
      </c>
      <c r="G347">
        <f>tblMoeHistory[[#This Row],[LEA State and Local Amount]]+tblMoeHistory[[#This Row],[ESD State and Local Amount]]</f>
        <v>218172.63</v>
      </c>
      <c r="H347">
        <v>0</v>
      </c>
      <c r="I347" t="s">
        <v>241</v>
      </c>
      <c r="J347">
        <f>IFERROR(tblMoeHistory[[#This Row],[LEA State and Local Amount]]/tblMoeHistory[[#This Row],[Child Count]],0)</f>
        <v>5488.5876190476192</v>
      </c>
      <c r="K347">
        <f>IFERROR(tblMoeHistory[[#This Row],[ESD State and Local Amount]]/tblMoeHistory[[#This Row],[Child Count]],0)</f>
        <v>4900.5852380952374</v>
      </c>
      <c r="L347">
        <f>IFERROR(tblMoeHistory[[#This Row],[State and Local Total Amount]]/tblMoeHistory[[#This Row],[Child Count]],0)</f>
        <v>10389.172857142858</v>
      </c>
      <c r="M347">
        <v>0</v>
      </c>
      <c r="N347" t="s">
        <v>241</v>
      </c>
      <c r="O347">
        <v>29819.65</v>
      </c>
      <c r="P347">
        <v>0</v>
      </c>
      <c r="Q347">
        <f>tblMoeHistory[[#This Row],[Amount of IDEA Part B, Section 611 award]]+tblMoeHistory[[#This Row],[Amount of IDEA Part B, Section 619 award]]</f>
        <v>29819.65</v>
      </c>
      <c r="U3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7" t="str">
        <f>IF(OR(IFERROR(SEARCH("Met",tblMoeHistory[[#This Row],[State and Local Per Capita Result]]),0)&gt;0,IFERROR(SEARCH("Met",tblMoeHistory[[#This Row],[State and Local Total Result]]),0)&gt;0),"Met","Not Met")</f>
        <v>Met</v>
      </c>
    </row>
    <row r="348" spans="1:22" x14ac:dyDescent="0.35">
      <c r="A348" t="s">
        <v>172</v>
      </c>
      <c r="B348">
        <v>2045</v>
      </c>
      <c r="C348" t="s">
        <v>159</v>
      </c>
      <c r="D348">
        <v>34</v>
      </c>
      <c r="E348">
        <v>222702.35</v>
      </c>
      <c r="F348">
        <v>58231.66</v>
      </c>
      <c r="G348">
        <f>tblMoeHistory[[#This Row],[LEA State and Local Amount]]+tblMoeHistory[[#This Row],[ESD State and Local Amount]]</f>
        <v>280934.01</v>
      </c>
      <c r="H348">
        <v>0</v>
      </c>
      <c r="I348" t="s">
        <v>240</v>
      </c>
      <c r="J348">
        <f>IFERROR(tblMoeHistory[[#This Row],[LEA State and Local Amount]]/tblMoeHistory[[#This Row],[Child Count]],0)</f>
        <v>6550.0691176470591</v>
      </c>
      <c r="K348">
        <f>IFERROR(tblMoeHistory[[#This Row],[ESD State and Local Amount]]/tblMoeHistory[[#This Row],[Child Count]],0)</f>
        <v>1712.6958823529412</v>
      </c>
      <c r="L348">
        <f>IFERROR(tblMoeHistory[[#This Row],[State and Local Total Amount]]/tblMoeHistory[[#This Row],[Child Count]],0)</f>
        <v>8262.7649999999994</v>
      </c>
      <c r="M348">
        <v>0</v>
      </c>
      <c r="N348" t="s">
        <v>240</v>
      </c>
      <c r="O348">
        <v>41329.19</v>
      </c>
      <c r="P348">
        <v>996.25</v>
      </c>
      <c r="Q348">
        <f>tblMoeHistory[[#This Row],[Amount of IDEA Part B, Section 611 award]]+tblMoeHistory[[#This Row],[Amount of IDEA Part B, Section 619 award]]</f>
        <v>42325.440000000002</v>
      </c>
      <c r="U3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8" t="str">
        <f>IF(OR(IFERROR(SEARCH("Met",tblMoeHistory[[#This Row],[State and Local Per Capita Result]]),0)&gt;0,IFERROR(SEARCH("Met",tblMoeHistory[[#This Row],[State and Local Total Result]]),0)&gt;0),"Met","Not Met")</f>
        <v>Not Met</v>
      </c>
    </row>
    <row r="349" spans="1:22" x14ac:dyDescent="0.35">
      <c r="A349" t="s">
        <v>173</v>
      </c>
      <c r="B349">
        <v>1946</v>
      </c>
      <c r="C349" t="s">
        <v>159</v>
      </c>
      <c r="D349">
        <v>146</v>
      </c>
      <c r="E349">
        <v>1439307.62</v>
      </c>
      <c r="F349">
        <v>149512</v>
      </c>
      <c r="G349">
        <f>tblMoeHistory[[#This Row],[LEA State and Local Amount]]+tblMoeHistory[[#This Row],[ESD State and Local Amount]]</f>
        <v>1588819.62</v>
      </c>
      <c r="H349">
        <v>0</v>
      </c>
      <c r="I349" t="s">
        <v>241</v>
      </c>
      <c r="J349">
        <f>IFERROR(tblMoeHistory[[#This Row],[LEA State and Local Amount]]/tblMoeHistory[[#This Row],[Child Count]],0)</f>
        <v>9858.2713698630141</v>
      </c>
      <c r="K349">
        <f>IFERROR(tblMoeHistory[[#This Row],[ESD State and Local Amount]]/tblMoeHistory[[#This Row],[Child Count]],0)</f>
        <v>1024.0547945205481</v>
      </c>
      <c r="L349">
        <f>IFERROR(tblMoeHistory[[#This Row],[State and Local Total Amount]]/tblMoeHistory[[#This Row],[Child Count]],0)</f>
        <v>10882.326164383563</v>
      </c>
      <c r="M349">
        <v>0</v>
      </c>
      <c r="N349" t="s">
        <v>241</v>
      </c>
      <c r="O349">
        <v>201480.46</v>
      </c>
      <c r="P349">
        <v>1418.51</v>
      </c>
      <c r="Q349">
        <f>tblMoeHistory[[#This Row],[Amount of IDEA Part B, Section 611 award]]+tblMoeHistory[[#This Row],[Amount of IDEA Part B, Section 619 award]]</f>
        <v>202898.97</v>
      </c>
      <c r="U3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9" t="str">
        <f>IF(OR(IFERROR(SEARCH("Met",tblMoeHistory[[#This Row],[State and Local Per Capita Result]]),0)&gt;0,IFERROR(SEARCH("Met",tblMoeHistory[[#This Row],[State and Local Total Result]]),0)&gt;0),"Met","Not Met")</f>
        <v>Met</v>
      </c>
    </row>
    <row r="350" spans="1:22" x14ac:dyDescent="0.35">
      <c r="A350" t="s">
        <v>174</v>
      </c>
      <c r="B350">
        <v>1977</v>
      </c>
      <c r="C350" t="s">
        <v>159</v>
      </c>
      <c r="D350">
        <v>932</v>
      </c>
      <c r="E350">
        <v>6355394.5099999998</v>
      </c>
      <c r="F350">
        <v>1287924.47</v>
      </c>
      <c r="G350">
        <f>tblMoeHistory[[#This Row],[LEA State and Local Amount]]+tblMoeHistory[[#This Row],[ESD State and Local Amount]]</f>
        <v>7643318.9799999995</v>
      </c>
      <c r="H350">
        <v>0</v>
      </c>
      <c r="I350" t="s">
        <v>241</v>
      </c>
      <c r="J350">
        <f>IFERROR(tblMoeHistory[[#This Row],[LEA State and Local Amount]]/tblMoeHistory[[#This Row],[Child Count]],0)</f>
        <v>6819.0928218884119</v>
      </c>
      <c r="K350">
        <f>IFERROR(tblMoeHistory[[#This Row],[ESD State and Local Amount]]/tblMoeHistory[[#This Row],[Child Count]],0)</f>
        <v>1381.8932081545065</v>
      </c>
      <c r="L350">
        <f>IFERROR(tblMoeHistory[[#This Row],[State and Local Total Amount]]/tblMoeHistory[[#This Row],[Child Count]],0)</f>
        <v>8200.9860300429173</v>
      </c>
      <c r="M350">
        <v>0</v>
      </c>
      <c r="N350" t="s">
        <v>241</v>
      </c>
      <c r="O350">
        <v>1045468.97</v>
      </c>
      <c r="P350">
        <v>4852.6099999999997</v>
      </c>
      <c r="Q350">
        <f>tblMoeHistory[[#This Row],[Amount of IDEA Part B, Section 611 award]]+tblMoeHistory[[#This Row],[Amount of IDEA Part B, Section 619 award]]</f>
        <v>1050321.58</v>
      </c>
      <c r="U3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0" t="str">
        <f>IF(OR(IFERROR(SEARCH("Met",tblMoeHistory[[#This Row],[State and Local Per Capita Result]]),0)&gt;0,IFERROR(SEARCH("Met",tblMoeHistory[[#This Row],[State and Local Total Result]]),0)&gt;0),"Met","Not Met")</f>
        <v>Met</v>
      </c>
    </row>
    <row r="351" spans="1:22" x14ac:dyDescent="0.35">
      <c r="A351" t="s">
        <v>175</v>
      </c>
      <c r="B351">
        <v>2001</v>
      </c>
      <c r="C351" t="s">
        <v>159</v>
      </c>
      <c r="D351">
        <v>81</v>
      </c>
      <c r="E351">
        <v>461610.49</v>
      </c>
      <c r="F351">
        <v>281544.23</v>
      </c>
      <c r="G351">
        <f>tblMoeHistory[[#This Row],[LEA State and Local Amount]]+tblMoeHistory[[#This Row],[ESD State and Local Amount]]</f>
        <v>743154.72</v>
      </c>
      <c r="H351">
        <v>0</v>
      </c>
      <c r="I351" t="s">
        <v>242</v>
      </c>
      <c r="J351">
        <f>IFERROR(tblMoeHistory[[#This Row],[LEA State and Local Amount]]/tblMoeHistory[[#This Row],[Child Count]],0)</f>
        <v>5698.8949382716046</v>
      </c>
      <c r="K351">
        <f>IFERROR(tblMoeHistory[[#This Row],[ESD State and Local Amount]]/tblMoeHistory[[#This Row],[Child Count]],0)</f>
        <v>3475.8546913580244</v>
      </c>
      <c r="L351">
        <f>IFERROR(tblMoeHistory[[#This Row],[State and Local Total Amount]]/tblMoeHistory[[#This Row],[Child Count]],0)</f>
        <v>9174.7496296296285</v>
      </c>
      <c r="M351">
        <v>0</v>
      </c>
      <c r="N351" t="s">
        <v>241</v>
      </c>
      <c r="O351">
        <v>128621.25</v>
      </c>
      <c r="P351">
        <v>1327.78</v>
      </c>
      <c r="Q351">
        <f>tblMoeHistory[[#This Row],[Amount of IDEA Part B, Section 611 award]]+tblMoeHistory[[#This Row],[Amount of IDEA Part B, Section 619 award]]</f>
        <v>129949.03</v>
      </c>
      <c r="S351">
        <v>205042.16</v>
      </c>
      <c r="T351">
        <v>205042.16</v>
      </c>
      <c r="U3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1" t="str">
        <f>IF(OR(IFERROR(SEARCH("Met",tblMoeHistory[[#This Row],[State and Local Per Capita Result]]),0)&gt;0,IFERROR(SEARCH("Met",tblMoeHistory[[#This Row],[State and Local Total Result]]),0)&gt;0),"Met","Not Met")</f>
        <v>Met</v>
      </c>
    </row>
    <row r="352" spans="1:22" x14ac:dyDescent="0.35">
      <c r="A352" t="s">
        <v>176</v>
      </c>
      <c r="B352">
        <v>2182</v>
      </c>
      <c r="C352" t="s">
        <v>159</v>
      </c>
      <c r="D352">
        <v>1763</v>
      </c>
      <c r="E352">
        <v>15010791.140000001</v>
      </c>
      <c r="F352">
        <v>2846360</v>
      </c>
      <c r="G352">
        <f>tblMoeHistory[[#This Row],[LEA State and Local Amount]]+tblMoeHistory[[#This Row],[ESD State and Local Amount]]</f>
        <v>17857151.140000001</v>
      </c>
      <c r="H352">
        <v>0</v>
      </c>
      <c r="I352" t="s">
        <v>241</v>
      </c>
      <c r="J352">
        <f>IFERROR(tblMoeHistory[[#This Row],[LEA State and Local Amount]]/tblMoeHistory[[#This Row],[Child Count]],0)</f>
        <v>8514.345513329552</v>
      </c>
      <c r="K352">
        <f>IFERROR(tblMoeHistory[[#This Row],[ESD State and Local Amount]]/tblMoeHistory[[#This Row],[Child Count]],0)</f>
        <v>1614.4980147475894</v>
      </c>
      <c r="L352">
        <f>IFERROR(tblMoeHistory[[#This Row],[State and Local Total Amount]]/tblMoeHistory[[#This Row],[Child Count]],0)</f>
        <v>10128.843528077141</v>
      </c>
      <c r="M352">
        <v>0</v>
      </c>
      <c r="N352" t="s">
        <v>241</v>
      </c>
      <c r="O352">
        <v>1758898.03</v>
      </c>
      <c r="P352">
        <v>8956.66</v>
      </c>
      <c r="Q352">
        <f>tblMoeHistory[[#This Row],[Amount of IDEA Part B, Section 611 award]]+tblMoeHistory[[#This Row],[Amount of IDEA Part B, Section 619 award]]</f>
        <v>1767854.69</v>
      </c>
      <c r="U3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2" t="str">
        <f>IF(OR(IFERROR(SEARCH("Met",tblMoeHistory[[#This Row],[State and Local Per Capita Result]]),0)&gt;0,IFERROR(SEARCH("Met",tblMoeHistory[[#This Row],[State and Local Total Result]]),0)&gt;0),"Met","Not Met")</f>
        <v>Met</v>
      </c>
    </row>
    <row r="353" spans="1:22" x14ac:dyDescent="0.35">
      <c r="A353" t="s">
        <v>177</v>
      </c>
      <c r="B353">
        <v>1999</v>
      </c>
      <c r="C353" t="s">
        <v>159</v>
      </c>
      <c r="D353">
        <v>63</v>
      </c>
      <c r="E353">
        <v>284578.09999999998</v>
      </c>
      <c r="F353">
        <v>75082.03</v>
      </c>
      <c r="G353">
        <f>tblMoeHistory[[#This Row],[LEA State and Local Amount]]+tblMoeHistory[[#This Row],[ESD State and Local Amount]]</f>
        <v>359660.13</v>
      </c>
      <c r="H353">
        <v>0</v>
      </c>
      <c r="I353" t="s">
        <v>240</v>
      </c>
      <c r="J353">
        <f>IFERROR(tblMoeHistory[[#This Row],[LEA State and Local Amount]]/tblMoeHistory[[#This Row],[Child Count]],0)</f>
        <v>4517.1126984126977</v>
      </c>
      <c r="K353">
        <f>IFERROR(tblMoeHistory[[#This Row],[ESD State and Local Amount]]/tblMoeHistory[[#This Row],[Child Count]],0)</f>
        <v>1191.7782539682539</v>
      </c>
      <c r="L353">
        <f>IFERROR(tblMoeHistory[[#This Row],[State and Local Total Amount]]/tblMoeHistory[[#This Row],[Child Count]],0)</f>
        <v>5708.8909523809525</v>
      </c>
      <c r="M353">
        <v>0</v>
      </c>
      <c r="N353" t="s">
        <v>240</v>
      </c>
      <c r="O353">
        <v>70143.570000000007</v>
      </c>
      <c r="P353">
        <v>75.819999999999993</v>
      </c>
      <c r="Q353">
        <f>tblMoeHistory[[#This Row],[Amount of IDEA Part B, Section 611 award]]+tblMoeHistory[[#This Row],[Amount of IDEA Part B, Section 619 award]]</f>
        <v>70219.390000000014</v>
      </c>
      <c r="U3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3" t="str">
        <f>IF(OR(IFERROR(SEARCH("Met",tblMoeHistory[[#This Row],[State and Local Per Capita Result]]),0)&gt;0,IFERROR(SEARCH("Met",tblMoeHistory[[#This Row],[State and Local Total Result]]),0)&gt;0),"Met","Not Met")</f>
        <v>Not Met</v>
      </c>
    </row>
    <row r="354" spans="1:22" x14ac:dyDescent="0.35">
      <c r="A354" t="s">
        <v>178</v>
      </c>
      <c r="B354">
        <v>2188</v>
      </c>
      <c r="C354" t="s">
        <v>159</v>
      </c>
      <c r="D354">
        <v>50</v>
      </c>
      <c r="E354">
        <v>229667.55</v>
      </c>
      <c r="F354">
        <v>116091</v>
      </c>
      <c r="G354">
        <f>tblMoeHistory[[#This Row],[LEA State and Local Amount]]+tblMoeHistory[[#This Row],[ESD State and Local Amount]]</f>
        <v>345758.55</v>
      </c>
      <c r="H354">
        <v>0</v>
      </c>
      <c r="I354" t="s">
        <v>242</v>
      </c>
      <c r="J354">
        <f>IFERROR(tblMoeHistory[[#This Row],[LEA State and Local Amount]]/tblMoeHistory[[#This Row],[Child Count]],0)</f>
        <v>4593.3509999999997</v>
      </c>
      <c r="K354">
        <f>IFERROR(tblMoeHistory[[#This Row],[ESD State and Local Amount]]/tblMoeHistory[[#This Row],[Child Count]],0)</f>
        <v>2321.8200000000002</v>
      </c>
      <c r="L354">
        <f>IFERROR(tblMoeHistory[[#This Row],[State and Local Total Amount]]/tblMoeHistory[[#This Row],[Child Count]],0)</f>
        <v>6915.1709999999994</v>
      </c>
      <c r="M354">
        <v>0</v>
      </c>
      <c r="N354" t="s">
        <v>240</v>
      </c>
      <c r="O354">
        <v>73649.09</v>
      </c>
      <c r="P354">
        <v>533.97</v>
      </c>
      <c r="Q354">
        <f>tblMoeHistory[[#This Row],[Amount of IDEA Part B, Section 611 award]]+tblMoeHistory[[#This Row],[Amount of IDEA Part B, Section 619 award]]</f>
        <v>74183.06</v>
      </c>
      <c r="S354">
        <v>11107.74</v>
      </c>
      <c r="U3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4" t="str">
        <f>IF(OR(IFERROR(SEARCH("Met",tblMoeHistory[[#This Row],[State and Local Per Capita Result]]),0)&gt;0,IFERROR(SEARCH("Met",tblMoeHistory[[#This Row],[State and Local Total Result]]),0)&gt;0),"Met","Not Met")</f>
        <v>Met</v>
      </c>
    </row>
    <row r="355" spans="1:22" x14ac:dyDescent="0.35">
      <c r="A355" t="s">
        <v>179</v>
      </c>
      <c r="B355">
        <v>2044</v>
      </c>
      <c r="C355" t="s">
        <v>159</v>
      </c>
      <c r="D355">
        <v>159</v>
      </c>
      <c r="E355">
        <v>949482.07</v>
      </c>
      <c r="F355">
        <v>442299.43</v>
      </c>
      <c r="G355">
        <f>tblMoeHistory[[#This Row],[LEA State and Local Amount]]+tblMoeHistory[[#This Row],[ESD State and Local Amount]]</f>
        <v>1391781.5</v>
      </c>
      <c r="H355">
        <v>0</v>
      </c>
      <c r="I355" t="s">
        <v>241</v>
      </c>
      <c r="J355">
        <f>IFERROR(tblMoeHistory[[#This Row],[LEA State and Local Amount]]/tblMoeHistory[[#This Row],[Child Count]],0)</f>
        <v>5971.5853459119489</v>
      </c>
      <c r="K355">
        <f>IFERROR(tblMoeHistory[[#This Row],[ESD State and Local Amount]]/tblMoeHistory[[#This Row],[Child Count]],0)</f>
        <v>2781.7574213836479</v>
      </c>
      <c r="L355">
        <f>IFERROR(tblMoeHistory[[#This Row],[State and Local Total Amount]]/tblMoeHistory[[#This Row],[Child Count]],0)</f>
        <v>8753.3427672955968</v>
      </c>
      <c r="M355">
        <v>0</v>
      </c>
      <c r="N355" t="s">
        <v>240</v>
      </c>
      <c r="O355">
        <v>176620.03</v>
      </c>
      <c r="P355">
        <v>1311.73</v>
      </c>
      <c r="Q355">
        <f>tblMoeHistory[[#This Row],[Amount of IDEA Part B, Section 611 award]]+tblMoeHistory[[#This Row],[Amount of IDEA Part B, Section 619 award]]</f>
        <v>177931.76</v>
      </c>
      <c r="U3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5" t="str">
        <f>IF(OR(IFERROR(SEARCH("Met",tblMoeHistory[[#This Row],[State and Local Per Capita Result]]),0)&gt;0,IFERROR(SEARCH("Met",tblMoeHistory[[#This Row],[State and Local Total Result]]),0)&gt;0),"Met","Not Met")</f>
        <v>Met</v>
      </c>
    </row>
    <row r="356" spans="1:22" x14ac:dyDescent="0.35">
      <c r="A356" t="s">
        <v>180</v>
      </c>
      <c r="B356">
        <v>2142</v>
      </c>
      <c r="C356" t="s">
        <v>159</v>
      </c>
      <c r="D356">
        <v>5861</v>
      </c>
      <c r="E356">
        <v>59043417.009999998</v>
      </c>
      <c r="F356">
        <v>269276.5</v>
      </c>
      <c r="G356">
        <f>tblMoeHistory[[#This Row],[LEA State and Local Amount]]+tblMoeHistory[[#This Row],[ESD State and Local Amount]]</f>
        <v>59312693.509999998</v>
      </c>
      <c r="H356">
        <v>0</v>
      </c>
      <c r="I356" t="s">
        <v>239</v>
      </c>
      <c r="J356">
        <f>IFERROR(tblMoeHistory[[#This Row],[LEA State and Local Amount]]/tblMoeHistory[[#This Row],[Child Count]],0)</f>
        <v>10073.949327759768</v>
      </c>
      <c r="K356">
        <f>IFERROR(tblMoeHistory[[#This Row],[ESD State and Local Amount]]/tblMoeHistory[[#This Row],[Child Count]],0)</f>
        <v>45.943780924756865</v>
      </c>
      <c r="L356">
        <f>IFERROR(tblMoeHistory[[#This Row],[State and Local Total Amount]]/tblMoeHistory[[#This Row],[Child Count]],0)</f>
        <v>10119.893108684524</v>
      </c>
      <c r="M356">
        <v>0</v>
      </c>
      <c r="N356" t="s">
        <v>239</v>
      </c>
      <c r="O356">
        <v>6436078.8700000001</v>
      </c>
      <c r="P356">
        <v>36652.99</v>
      </c>
      <c r="Q356">
        <f>tblMoeHistory[[#This Row],[Amount of IDEA Part B, Section 611 award]]+tblMoeHistory[[#This Row],[Amount of IDEA Part B, Section 619 award]]</f>
        <v>6472731.8600000003</v>
      </c>
      <c r="U3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6" t="str">
        <f>IF(OR(IFERROR(SEARCH("Met",tblMoeHistory[[#This Row],[State and Local Per Capita Result]]),0)&gt;0,IFERROR(SEARCH("Met",tblMoeHistory[[#This Row],[State and Local Total Result]]),0)&gt;0),"Met","Not Met")</f>
        <v>Met</v>
      </c>
    </row>
    <row r="357" spans="1:22" x14ac:dyDescent="0.35">
      <c r="A357" t="s">
        <v>181</v>
      </c>
      <c r="B357">
        <v>2104</v>
      </c>
      <c r="C357" t="s">
        <v>159</v>
      </c>
      <c r="D357">
        <v>90</v>
      </c>
      <c r="E357">
        <v>610223.05000000005</v>
      </c>
      <c r="F357">
        <v>78923</v>
      </c>
      <c r="G357">
        <f>tblMoeHistory[[#This Row],[LEA State and Local Amount]]+tblMoeHistory[[#This Row],[ESD State and Local Amount]]</f>
        <v>689146.05</v>
      </c>
      <c r="H357">
        <v>0</v>
      </c>
      <c r="I357" t="s">
        <v>241</v>
      </c>
      <c r="J357">
        <f>IFERROR(tblMoeHistory[[#This Row],[LEA State and Local Amount]]/tblMoeHistory[[#This Row],[Child Count]],0)</f>
        <v>6780.2561111111117</v>
      </c>
      <c r="K357">
        <f>IFERROR(tblMoeHistory[[#This Row],[ESD State and Local Amount]]/tblMoeHistory[[#This Row],[Child Count]],0)</f>
        <v>876.92222222222222</v>
      </c>
      <c r="L357">
        <f>IFERROR(tblMoeHistory[[#This Row],[State and Local Total Amount]]/tblMoeHistory[[#This Row],[Child Count]],0)</f>
        <v>7657.1783333333342</v>
      </c>
      <c r="M357">
        <v>0</v>
      </c>
      <c r="N357" t="s">
        <v>241</v>
      </c>
      <c r="O357">
        <v>129404.03</v>
      </c>
      <c r="P357">
        <v>414.94</v>
      </c>
      <c r="Q357">
        <f>tblMoeHistory[[#This Row],[Amount of IDEA Part B, Section 611 award]]+tblMoeHistory[[#This Row],[Amount of IDEA Part B, Section 619 award]]</f>
        <v>129818.97</v>
      </c>
      <c r="U3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7" t="str">
        <f>IF(OR(IFERROR(SEARCH("Met",tblMoeHistory[[#This Row],[State and Local Per Capita Result]]),0)&gt;0,IFERROR(SEARCH("Met",tblMoeHistory[[#This Row],[State and Local Total Result]]),0)&gt;0),"Met","Not Met")</f>
        <v>Met</v>
      </c>
    </row>
    <row r="358" spans="1:22" x14ac:dyDescent="0.35">
      <c r="A358" t="s">
        <v>182</v>
      </c>
      <c r="B358">
        <v>1944</v>
      </c>
      <c r="C358" t="s">
        <v>159</v>
      </c>
      <c r="D358">
        <v>254</v>
      </c>
      <c r="E358">
        <v>2082307.34</v>
      </c>
      <c r="F358">
        <v>283333</v>
      </c>
      <c r="G358">
        <f>tblMoeHistory[[#This Row],[LEA State and Local Amount]]+tblMoeHistory[[#This Row],[ESD State and Local Amount]]</f>
        <v>2365640.34</v>
      </c>
      <c r="H358">
        <v>0</v>
      </c>
      <c r="I358" t="s">
        <v>241</v>
      </c>
      <c r="J358">
        <f>IFERROR(tblMoeHistory[[#This Row],[LEA State and Local Amount]]/tblMoeHistory[[#This Row],[Child Count]],0)</f>
        <v>8198.0603937007872</v>
      </c>
      <c r="K358">
        <f>IFERROR(tblMoeHistory[[#This Row],[ESD State and Local Amount]]/tblMoeHistory[[#This Row],[Child Count]],0)</f>
        <v>1115.4842519685039</v>
      </c>
      <c r="L358">
        <f>IFERROR(tblMoeHistory[[#This Row],[State and Local Total Amount]]/tblMoeHistory[[#This Row],[Child Count]],0)</f>
        <v>9313.5446456692916</v>
      </c>
      <c r="M358">
        <v>0</v>
      </c>
      <c r="N358" t="s">
        <v>241</v>
      </c>
      <c r="O358">
        <v>323439.71999999997</v>
      </c>
      <c r="P358">
        <v>1898.19</v>
      </c>
      <c r="Q358">
        <f>tblMoeHistory[[#This Row],[Amount of IDEA Part B, Section 611 award]]+tblMoeHistory[[#This Row],[Amount of IDEA Part B, Section 619 award]]</f>
        <v>325337.90999999997</v>
      </c>
      <c r="U3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8" t="str">
        <f>IF(OR(IFERROR(SEARCH("Met",tblMoeHistory[[#This Row],[State and Local Per Capita Result]]),0)&gt;0,IFERROR(SEARCH("Met",tblMoeHistory[[#This Row],[State and Local Total Result]]),0)&gt;0),"Met","Not Met")</f>
        <v>Met</v>
      </c>
    </row>
    <row r="359" spans="1:22" x14ac:dyDescent="0.35">
      <c r="A359" t="s">
        <v>183</v>
      </c>
      <c r="B359">
        <v>2103</v>
      </c>
      <c r="C359" t="s">
        <v>159</v>
      </c>
      <c r="D359">
        <v>286</v>
      </c>
      <c r="E359">
        <v>1203845.22</v>
      </c>
      <c r="F359">
        <v>252754</v>
      </c>
      <c r="G359">
        <f>tblMoeHistory[[#This Row],[LEA State and Local Amount]]+tblMoeHistory[[#This Row],[ESD State and Local Amount]]</f>
        <v>1456599.22</v>
      </c>
      <c r="H359">
        <v>0</v>
      </c>
      <c r="I359" t="s">
        <v>241</v>
      </c>
      <c r="J359">
        <f>IFERROR(tblMoeHistory[[#This Row],[LEA State and Local Amount]]/tblMoeHistory[[#This Row],[Child Count]],0)</f>
        <v>4209.2490209790212</v>
      </c>
      <c r="K359">
        <f>IFERROR(tblMoeHistory[[#This Row],[ESD State and Local Amount]]/tblMoeHistory[[#This Row],[Child Count]],0)</f>
        <v>883.7552447552448</v>
      </c>
      <c r="L359">
        <f>IFERROR(tblMoeHistory[[#This Row],[State and Local Total Amount]]/tblMoeHistory[[#This Row],[Child Count]],0)</f>
        <v>5093.0042657342656</v>
      </c>
      <c r="M359">
        <v>0</v>
      </c>
      <c r="N359" t="s">
        <v>241</v>
      </c>
      <c r="O359">
        <v>311375.55</v>
      </c>
      <c r="P359">
        <v>555.84</v>
      </c>
      <c r="Q359">
        <f>tblMoeHistory[[#This Row],[Amount of IDEA Part B, Section 611 award]]+tblMoeHistory[[#This Row],[Amount of IDEA Part B, Section 619 award]]</f>
        <v>311931.39</v>
      </c>
      <c r="U3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9" t="str">
        <f>IF(OR(IFERROR(SEARCH("Met",tblMoeHistory[[#This Row],[State and Local Per Capita Result]]),0)&gt;0,IFERROR(SEARCH("Met",tblMoeHistory[[#This Row],[State and Local Total Result]]),0)&gt;0),"Met","Not Met")</f>
        <v>Met</v>
      </c>
    </row>
    <row r="360" spans="1:22" x14ac:dyDescent="0.35">
      <c r="A360" t="s">
        <v>184</v>
      </c>
      <c r="B360">
        <v>1935</v>
      </c>
      <c r="C360" t="s">
        <v>159</v>
      </c>
      <c r="D360">
        <v>270</v>
      </c>
      <c r="E360">
        <v>2127124.84</v>
      </c>
      <c r="F360">
        <v>418027</v>
      </c>
      <c r="G360">
        <f>tblMoeHistory[[#This Row],[LEA State and Local Amount]]+tblMoeHistory[[#This Row],[ESD State and Local Amount]]</f>
        <v>2545151.84</v>
      </c>
      <c r="H360">
        <v>0</v>
      </c>
      <c r="I360" t="s">
        <v>241</v>
      </c>
      <c r="J360">
        <f>IFERROR(tblMoeHistory[[#This Row],[LEA State and Local Amount]]/tblMoeHistory[[#This Row],[Child Count]],0)</f>
        <v>7878.2401481481475</v>
      </c>
      <c r="K360">
        <f>IFERROR(tblMoeHistory[[#This Row],[ESD State and Local Amount]]/tblMoeHistory[[#This Row],[Child Count]],0)</f>
        <v>1548.2481481481482</v>
      </c>
      <c r="L360">
        <f>IFERROR(tblMoeHistory[[#This Row],[State and Local Total Amount]]/tblMoeHistory[[#This Row],[Child Count]],0)</f>
        <v>9426.4882962962965</v>
      </c>
      <c r="M360">
        <v>0</v>
      </c>
      <c r="N360" t="s">
        <v>240</v>
      </c>
      <c r="O360">
        <v>216422.95</v>
      </c>
      <c r="P360">
        <v>2320.15</v>
      </c>
      <c r="Q360">
        <f>tblMoeHistory[[#This Row],[Amount of IDEA Part B, Section 611 award]]+tblMoeHistory[[#This Row],[Amount of IDEA Part B, Section 619 award]]</f>
        <v>218743.1</v>
      </c>
      <c r="U3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0" t="str">
        <f>IF(OR(IFERROR(SEARCH("Met",tblMoeHistory[[#This Row],[State and Local Per Capita Result]]),0)&gt;0,IFERROR(SEARCH("Met",tblMoeHistory[[#This Row],[State and Local Total Result]]),0)&gt;0),"Met","Not Met")</f>
        <v>Met</v>
      </c>
    </row>
    <row r="361" spans="1:22" x14ac:dyDescent="0.35">
      <c r="A361" t="s">
        <v>185</v>
      </c>
      <c r="B361">
        <v>2257</v>
      </c>
      <c r="C361" t="s">
        <v>159</v>
      </c>
      <c r="D361">
        <v>117</v>
      </c>
      <c r="E361">
        <v>845493.63</v>
      </c>
      <c r="F361">
        <v>117033.85</v>
      </c>
      <c r="G361">
        <f>tblMoeHistory[[#This Row],[LEA State and Local Amount]]+tblMoeHistory[[#This Row],[ESD State and Local Amount]]</f>
        <v>962527.48</v>
      </c>
      <c r="H361">
        <v>0</v>
      </c>
      <c r="I361" t="s">
        <v>241</v>
      </c>
      <c r="J361">
        <f>IFERROR(tblMoeHistory[[#This Row],[LEA State and Local Amount]]/tblMoeHistory[[#This Row],[Child Count]],0)</f>
        <v>7226.4412820512825</v>
      </c>
      <c r="K361">
        <f>IFERROR(tblMoeHistory[[#This Row],[ESD State and Local Amount]]/tblMoeHistory[[#This Row],[Child Count]],0)</f>
        <v>1000.2893162393162</v>
      </c>
      <c r="L361">
        <f>IFERROR(tblMoeHistory[[#This Row],[State and Local Total Amount]]/tblMoeHistory[[#This Row],[Child Count]],0)</f>
        <v>8226.7305982905982</v>
      </c>
      <c r="M361">
        <v>0</v>
      </c>
      <c r="N361" t="s">
        <v>240</v>
      </c>
      <c r="O361">
        <v>180021.07</v>
      </c>
      <c r="P361">
        <v>0</v>
      </c>
      <c r="Q361">
        <f>tblMoeHistory[[#This Row],[Amount of IDEA Part B, Section 611 award]]+tblMoeHistory[[#This Row],[Amount of IDEA Part B, Section 619 award]]</f>
        <v>180021.07</v>
      </c>
      <c r="U3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1" t="str">
        <f>IF(OR(IFERROR(SEARCH("Met",tblMoeHistory[[#This Row],[State and Local Per Capita Result]]),0)&gt;0,IFERROR(SEARCH("Met",tblMoeHistory[[#This Row],[State and Local Total Result]]),0)&gt;0),"Met","Not Met")</f>
        <v>Met</v>
      </c>
    </row>
    <row r="362" spans="1:22" x14ac:dyDescent="0.35">
      <c r="A362" t="s">
        <v>186</v>
      </c>
      <c r="B362">
        <v>2195</v>
      </c>
      <c r="C362" t="s">
        <v>159</v>
      </c>
      <c r="D362">
        <v>40</v>
      </c>
      <c r="E362">
        <v>217379.93</v>
      </c>
      <c r="F362">
        <v>202216</v>
      </c>
      <c r="G362">
        <f>tblMoeHistory[[#This Row],[LEA State and Local Amount]]+tblMoeHistory[[#This Row],[ESD State and Local Amount]]</f>
        <v>419595.93</v>
      </c>
      <c r="H362">
        <v>0</v>
      </c>
      <c r="I362" t="s">
        <v>242</v>
      </c>
      <c r="J362">
        <f>IFERROR(tblMoeHistory[[#This Row],[LEA State and Local Amount]]/tblMoeHistory[[#This Row],[Child Count]],0)</f>
        <v>5434.4982499999996</v>
      </c>
      <c r="K362">
        <f>IFERROR(tblMoeHistory[[#This Row],[ESD State and Local Amount]]/tblMoeHistory[[#This Row],[Child Count]],0)</f>
        <v>5055.3999999999996</v>
      </c>
      <c r="L362">
        <f>IFERROR(tblMoeHistory[[#This Row],[State and Local Total Amount]]/tblMoeHistory[[#This Row],[Child Count]],0)</f>
        <v>10489.89825</v>
      </c>
      <c r="M362">
        <v>0</v>
      </c>
      <c r="N362" t="s">
        <v>241</v>
      </c>
      <c r="O362">
        <v>52189.37</v>
      </c>
      <c r="P362">
        <v>218.49</v>
      </c>
      <c r="Q362">
        <f>tblMoeHistory[[#This Row],[Amount of IDEA Part B, Section 611 award]]+tblMoeHistory[[#This Row],[Amount of IDEA Part B, Section 619 award]]</f>
        <v>52407.86</v>
      </c>
      <c r="S362">
        <v>79679.62</v>
      </c>
      <c r="T362">
        <v>79679.62</v>
      </c>
      <c r="U3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2" t="str">
        <f>IF(OR(IFERROR(SEARCH("Met",tblMoeHistory[[#This Row],[State and Local Per Capita Result]]),0)&gt;0,IFERROR(SEARCH("Met",tblMoeHistory[[#This Row],[State and Local Total Result]]),0)&gt;0),"Met","Not Met")</f>
        <v>Met</v>
      </c>
    </row>
    <row r="363" spans="1:22" x14ac:dyDescent="0.35">
      <c r="A363" t="s">
        <v>187</v>
      </c>
      <c r="B363">
        <v>2244</v>
      </c>
      <c r="C363" t="s">
        <v>159</v>
      </c>
      <c r="D363">
        <v>526</v>
      </c>
      <c r="E363">
        <v>3207133.2</v>
      </c>
      <c r="F363">
        <v>683830</v>
      </c>
      <c r="G363">
        <f>tblMoeHistory[[#This Row],[LEA State and Local Amount]]+tblMoeHistory[[#This Row],[ESD State and Local Amount]]</f>
        <v>3890963.2</v>
      </c>
      <c r="H363">
        <v>0</v>
      </c>
      <c r="I363" t="s">
        <v>241</v>
      </c>
      <c r="J363">
        <f>IFERROR(tblMoeHistory[[#This Row],[LEA State and Local Amount]]/tblMoeHistory[[#This Row],[Child Count]],0)</f>
        <v>6097.2114068441069</v>
      </c>
      <c r="K363">
        <f>IFERROR(tblMoeHistory[[#This Row],[ESD State and Local Amount]]/tblMoeHistory[[#This Row],[Child Count]],0)</f>
        <v>1300.0570342205324</v>
      </c>
      <c r="L363">
        <f>IFERROR(tblMoeHistory[[#This Row],[State and Local Total Amount]]/tblMoeHistory[[#This Row],[Child Count]],0)</f>
        <v>7397.2684410646389</v>
      </c>
      <c r="M363">
        <v>0</v>
      </c>
      <c r="N363" t="s">
        <v>240</v>
      </c>
      <c r="O363">
        <v>631241.16</v>
      </c>
      <c r="P363">
        <v>2152.5300000000002</v>
      </c>
      <c r="Q363">
        <f>tblMoeHistory[[#This Row],[Amount of IDEA Part B, Section 611 award]]+tblMoeHistory[[#This Row],[Amount of IDEA Part B, Section 619 award]]</f>
        <v>633393.69000000006</v>
      </c>
      <c r="U3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3" t="str">
        <f>IF(OR(IFERROR(SEARCH("Met",tblMoeHistory[[#This Row],[State and Local Per Capita Result]]),0)&gt;0,IFERROR(SEARCH("Met",tblMoeHistory[[#This Row],[State and Local Total Result]]),0)&gt;0),"Met","Not Met")</f>
        <v>Met</v>
      </c>
    </row>
    <row r="364" spans="1:22" x14ac:dyDescent="0.35">
      <c r="A364" t="s">
        <v>188</v>
      </c>
      <c r="B364">
        <v>2138</v>
      </c>
      <c r="C364" t="s">
        <v>159</v>
      </c>
      <c r="D364">
        <v>484</v>
      </c>
      <c r="E364">
        <v>3352763.59</v>
      </c>
      <c r="F364">
        <v>464841.81</v>
      </c>
      <c r="G364">
        <f>tblMoeHistory[[#This Row],[LEA State and Local Amount]]+tblMoeHistory[[#This Row],[ESD State and Local Amount]]</f>
        <v>3817605.4</v>
      </c>
      <c r="H364">
        <v>0</v>
      </c>
      <c r="I364" t="s">
        <v>241</v>
      </c>
      <c r="J364">
        <f>IFERROR(tblMoeHistory[[#This Row],[LEA State and Local Amount]]/tblMoeHistory[[#This Row],[Child Count]],0)</f>
        <v>6927.1974999999993</v>
      </c>
      <c r="K364">
        <f>IFERROR(tblMoeHistory[[#This Row],[ESD State and Local Amount]]/tblMoeHistory[[#This Row],[Child Count]],0)</f>
        <v>960.41696280991732</v>
      </c>
      <c r="L364">
        <f>IFERROR(tblMoeHistory[[#This Row],[State and Local Total Amount]]/tblMoeHistory[[#This Row],[Child Count]],0)</f>
        <v>7887.6144628099173</v>
      </c>
      <c r="M364">
        <v>0</v>
      </c>
      <c r="N364" t="s">
        <v>241</v>
      </c>
      <c r="O364">
        <v>526355.94999999995</v>
      </c>
      <c r="P364">
        <v>3247.2</v>
      </c>
      <c r="Q364">
        <f>tblMoeHistory[[#This Row],[Amount of IDEA Part B, Section 611 award]]+tblMoeHistory[[#This Row],[Amount of IDEA Part B, Section 619 award]]</f>
        <v>529603.14999999991</v>
      </c>
      <c r="U3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4" t="str">
        <f>IF(OR(IFERROR(SEARCH("Met",tblMoeHistory[[#This Row],[State and Local Per Capita Result]]),0)&gt;0,IFERROR(SEARCH("Met",tblMoeHistory[[#This Row],[State and Local Total Result]]),0)&gt;0),"Met","Not Met")</f>
        <v>Met</v>
      </c>
    </row>
    <row r="365" spans="1:22" x14ac:dyDescent="0.35">
      <c r="A365" t="s">
        <v>189</v>
      </c>
      <c r="B365">
        <v>1978</v>
      </c>
      <c r="C365" t="s">
        <v>159</v>
      </c>
      <c r="D365">
        <v>140</v>
      </c>
      <c r="E365">
        <v>768237.59</v>
      </c>
      <c r="F365">
        <v>118102.78</v>
      </c>
      <c r="G365">
        <f>tblMoeHistory[[#This Row],[LEA State and Local Amount]]+tblMoeHistory[[#This Row],[ESD State and Local Amount]]</f>
        <v>886340.37</v>
      </c>
      <c r="H365">
        <v>0</v>
      </c>
      <c r="I365" t="s">
        <v>241</v>
      </c>
      <c r="J365">
        <f>IFERROR(tblMoeHistory[[#This Row],[LEA State and Local Amount]]/tblMoeHistory[[#This Row],[Child Count]],0)</f>
        <v>5487.411357142857</v>
      </c>
      <c r="K365">
        <f>IFERROR(tblMoeHistory[[#This Row],[ESD State and Local Amount]]/tblMoeHistory[[#This Row],[Child Count]],0)</f>
        <v>843.59128571428573</v>
      </c>
      <c r="L365">
        <f>IFERROR(tblMoeHistory[[#This Row],[State and Local Total Amount]]/tblMoeHistory[[#This Row],[Child Count]],0)</f>
        <v>6331.0026428571427</v>
      </c>
      <c r="M365">
        <v>0</v>
      </c>
      <c r="N365" t="s">
        <v>241</v>
      </c>
      <c r="O365">
        <v>209455.16</v>
      </c>
      <c r="P365">
        <v>1278.79</v>
      </c>
      <c r="Q365">
        <f>tblMoeHistory[[#This Row],[Amount of IDEA Part B, Section 611 award]]+tblMoeHistory[[#This Row],[Amount of IDEA Part B, Section 619 award]]</f>
        <v>210733.95</v>
      </c>
      <c r="U3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5" t="str">
        <f>IF(OR(IFERROR(SEARCH("Met",tblMoeHistory[[#This Row],[State and Local Per Capita Result]]),0)&gt;0,IFERROR(SEARCH("Met",tblMoeHistory[[#This Row],[State and Local Total Result]]),0)&gt;0),"Met","Not Met")</f>
        <v>Met</v>
      </c>
    </row>
    <row r="366" spans="1:22" x14ac:dyDescent="0.35">
      <c r="A366" t="s">
        <v>190</v>
      </c>
      <c r="B366">
        <v>2096</v>
      </c>
      <c r="C366" t="s">
        <v>159</v>
      </c>
      <c r="D366">
        <v>187</v>
      </c>
      <c r="E366">
        <v>1286586.94</v>
      </c>
      <c r="F366">
        <v>469380</v>
      </c>
      <c r="G366">
        <f>tblMoeHistory[[#This Row],[LEA State and Local Amount]]+tblMoeHistory[[#This Row],[ESD State and Local Amount]]</f>
        <v>1755966.94</v>
      </c>
      <c r="H366">
        <v>0</v>
      </c>
      <c r="I366" t="s">
        <v>241</v>
      </c>
      <c r="J366">
        <f>IFERROR(tblMoeHistory[[#This Row],[LEA State and Local Amount]]/tblMoeHistory[[#This Row],[Child Count]],0)</f>
        <v>6880.1440641711224</v>
      </c>
      <c r="K366">
        <f>IFERROR(tblMoeHistory[[#This Row],[ESD State and Local Amount]]/tblMoeHistory[[#This Row],[Child Count]],0)</f>
        <v>2510.0534759358288</v>
      </c>
      <c r="L366">
        <f>IFERROR(tblMoeHistory[[#This Row],[State and Local Total Amount]]/tblMoeHistory[[#This Row],[Child Count]],0)</f>
        <v>9390.1975401069521</v>
      </c>
      <c r="M366">
        <v>0</v>
      </c>
      <c r="N366" t="s">
        <v>241</v>
      </c>
      <c r="O366">
        <v>186843.32</v>
      </c>
      <c r="P366">
        <v>3357.94</v>
      </c>
      <c r="Q366">
        <f>tblMoeHistory[[#This Row],[Amount of IDEA Part B, Section 611 award]]+tblMoeHistory[[#This Row],[Amount of IDEA Part B, Section 619 award]]</f>
        <v>190201.26</v>
      </c>
      <c r="U3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6" t="str">
        <f>IF(OR(IFERROR(SEARCH("Met",tblMoeHistory[[#This Row],[State and Local Per Capita Result]]),0)&gt;0,IFERROR(SEARCH("Met",tblMoeHistory[[#This Row],[State and Local Total Result]]),0)&gt;0),"Met","Not Met")</f>
        <v>Met</v>
      </c>
    </row>
    <row r="367" spans="1:22" x14ac:dyDescent="0.35">
      <c r="A367" t="s">
        <v>191</v>
      </c>
      <c r="B367">
        <v>2022</v>
      </c>
      <c r="C367" t="s">
        <v>159</v>
      </c>
      <c r="D367">
        <v>2</v>
      </c>
      <c r="E367">
        <v>4937.05</v>
      </c>
      <c r="F367">
        <v>716</v>
      </c>
      <c r="G367">
        <f>tblMoeHistory[[#This Row],[LEA State and Local Amount]]+tblMoeHistory[[#This Row],[ESD State and Local Amount]]</f>
        <v>5653.05</v>
      </c>
      <c r="H367">
        <v>0</v>
      </c>
      <c r="I367" t="s">
        <v>240</v>
      </c>
      <c r="J367">
        <f>IFERROR(tblMoeHistory[[#This Row],[LEA State and Local Amount]]/tblMoeHistory[[#This Row],[Child Count]],0)</f>
        <v>2468.5250000000001</v>
      </c>
      <c r="K367">
        <f>IFERROR(tblMoeHistory[[#This Row],[ESD State and Local Amount]]/tblMoeHistory[[#This Row],[Child Count]],0)</f>
        <v>358</v>
      </c>
      <c r="L367">
        <f>IFERROR(tblMoeHistory[[#This Row],[State and Local Total Amount]]/tblMoeHistory[[#This Row],[Child Count]],0)</f>
        <v>2826.5250000000001</v>
      </c>
      <c r="M367">
        <v>0</v>
      </c>
      <c r="N367" t="s">
        <v>240</v>
      </c>
      <c r="O367">
        <v>3164.09</v>
      </c>
      <c r="P367">
        <v>1.26</v>
      </c>
      <c r="Q367">
        <f>tblMoeHistory[[#This Row],[Amount of IDEA Part B, Section 611 award]]+tblMoeHistory[[#This Row],[Amount of IDEA Part B, Section 619 award]]</f>
        <v>3165.3500000000004</v>
      </c>
      <c r="U3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7" t="str">
        <f>IF(OR(IFERROR(SEARCH("Met",tblMoeHistory[[#This Row],[State and Local Per Capita Result]]),0)&gt;0,IFERROR(SEARCH("Met",tblMoeHistory[[#This Row],[State and Local Total Result]]),0)&gt;0),"Met","Not Met")</f>
        <v>Not Met</v>
      </c>
    </row>
    <row r="368" spans="1:22" x14ac:dyDescent="0.35">
      <c r="A368" t="s">
        <v>192</v>
      </c>
      <c r="B368">
        <v>2087</v>
      </c>
      <c r="C368" t="s">
        <v>159</v>
      </c>
      <c r="D368">
        <v>445</v>
      </c>
      <c r="E368">
        <v>2782244.21</v>
      </c>
      <c r="F368">
        <v>961831</v>
      </c>
      <c r="G368">
        <f>tblMoeHistory[[#This Row],[LEA State and Local Amount]]+tblMoeHistory[[#This Row],[ESD State and Local Amount]]</f>
        <v>3744075.21</v>
      </c>
      <c r="H368">
        <v>0</v>
      </c>
      <c r="I368" t="s">
        <v>242</v>
      </c>
      <c r="J368">
        <f>IFERROR(tblMoeHistory[[#This Row],[LEA State and Local Amount]]/tblMoeHistory[[#This Row],[Child Count]],0)</f>
        <v>6252.2341797752806</v>
      </c>
      <c r="K368">
        <f>IFERROR(tblMoeHistory[[#This Row],[ESD State and Local Amount]]/tblMoeHistory[[#This Row],[Child Count]],0)</f>
        <v>2161.41797752809</v>
      </c>
      <c r="L368">
        <f>IFERROR(tblMoeHistory[[#This Row],[State and Local Total Amount]]/tblMoeHistory[[#This Row],[Child Count]],0)</f>
        <v>8413.6521573033715</v>
      </c>
      <c r="M368">
        <v>0</v>
      </c>
      <c r="N368" t="s">
        <v>242</v>
      </c>
      <c r="O368">
        <v>525251.5</v>
      </c>
      <c r="P368">
        <v>2437.17</v>
      </c>
      <c r="Q368">
        <f>tblMoeHistory[[#This Row],[Amount of IDEA Part B, Section 611 award]]+tblMoeHistory[[#This Row],[Amount of IDEA Part B, Section 619 award]]</f>
        <v>527688.67000000004</v>
      </c>
      <c r="S368">
        <v>174109.67</v>
      </c>
      <c r="T368">
        <v>174109.67</v>
      </c>
      <c r="U3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8" t="str">
        <f>IF(OR(IFERROR(SEARCH("Met",tblMoeHistory[[#This Row],[State and Local Per Capita Result]]),0)&gt;0,IFERROR(SEARCH("Met",tblMoeHistory[[#This Row],[State and Local Total Result]]),0)&gt;0),"Met","Not Met")</f>
        <v>Met</v>
      </c>
    </row>
    <row r="369" spans="1:22" x14ac:dyDescent="0.35">
      <c r="A369" t="s">
        <v>193</v>
      </c>
      <c r="B369">
        <v>1994</v>
      </c>
      <c r="C369" t="s">
        <v>159</v>
      </c>
      <c r="D369">
        <v>229</v>
      </c>
      <c r="E369">
        <v>1797284.37</v>
      </c>
      <c r="F369">
        <v>327010.83</v>
      </c>
      <c r="G369">
        <f>tblMoeHistory[[#This Row],[LEA State and Local Amount]]+tblMoeHistory[[#This Row],[ESD State and Local Amount]]</f>
        <v>2124295.2000000002</v>
      </c>
      <c r="H369">
        <v>0</v>
      </c>
      <c r="I369" t="s">
        <v>241</v>
      </c>
      <c r="J369">
        <f>IFERROR(tblMoeHistory[[#This Row],[LEA State and Local Amount]]/tblMoeHistory[[#This Row],[Child Count]],0)</f>
        <v>7848.403362445415</v>
      </c>
      <c r="K369">
        <f>IFERROR(tblMoeHistory[[#This Row],[ESD State and Local Amount]]/tblMoeHistory[[#This Row],[Child Count]],0)</f>
        <v>1427.9948908296944</v>
      </c>
      <c r="L369">
        <f>IFERROR(tblMoeHistory[[#This Row],[State and Local Total Amount]]/tblMoeHistory[[#This Row],[Child Count]],0)</f>
        <v>9276.3982532751106</v>
      </c>
      <c r="M369">
        <v>0</v>
      </c>
      <c r="N369" t="s">
        <v>241</v>
      </c>
      <c r="O369">
        <v>316394.2</v>
      </c>
      <c r="P369">
        <v>1382.12</v>
      </c>
      <c r="Q369">
        <f>tblMoeHistory[[#This Row],[Amount of IDEA Part B, Section 611 award]]+tblMoeHistory[[#This Row],[Amount of IDEA Part B, Section 619 award]]</f>
        <v>317776.32</v>
      </c>
      <c r="U3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9" t="str">
        <f>IF(OR(IFERROR(SEARCH("Met",tblMoeHistory[[#This Row],[State and Local Per Capita Result]]),0)&gt;0,IFERROR(SEARCH("Met",tblMoeHistory[[#This Row],[State and Local Total Result]]),0)&gt;0),"Met","Not Met")</f>
        <v>Met</v>
      </c>
    </row>
    <row r="370" spans="1:22" x14ac:dyDescent="0.35">
      <c r="A370" t="s">
        <v>194</v>
      </c>
      <c r="B370">
        <v>2225</v>
      </c>
      <c r="C370" t="s">
        <v>159</v>
      </c>
      <c r="D370">
        <v>35</v>
      </c>
      <c r="E370">
        <v>176086.96</v>
      </c>
      <c r="F370">
        <v>45727</v>
      </c>
      <c r="G370">
        <f>tblMoeHistory[[#This Row],[LEA State and Local Amount]]+tblMoeHistory[[#This Row],[ESD State and Local Amount]]</f>
        <v>221813.96</v>
      </c>
      <c r="H370">
        <v>0</v>
      </c>
      <c r="I370" t="s">
        <v>241</v>
      </c>
      <c r="J370">
        <f>IFERROR(tblMoeHistory[[#This Row],[LEA State and Local Amount]]/tblMoeHistory[[#This Row],[Child Count]],0)</f>
        <v>5031.0559999999996</v>
      </c>
      <c r="K370">
        <f>IFERROR(tblMoeHistory[[#This Row],[ESD State and Local Amount]]/tblMoeHistory[[#This Row],[Child Count]],0)</f>
        <v>1306.4857142857143</v>
      </c>
      <c r="L370">
        <f>IFERROR(tblMoeHistory[[#This Row],[State and Local Total Amount]]/tblMoeHistory[[#This Row],[Child Count]],0)</f>
        <v>6337.5417142857141</v>
      </c>
      <c r="M370">
        <v>0</v>
      </c>
      <c r="N370" t="s">
        <v>241</v>
      </c>
      <c r="O370">
        <v>54727.69</v>
      </c>
      <c r="P370">
        <v>2635.14</v>
      </c>
      <c r="Q370">
        <f>tblMoeHistory[[#This Row],[Amount of IDEA Part B, Section 611 award]]+tblMoeHistory[[#This Row],[Amount of IDEA Part B, Section 619 award]]</f>
        <v>57362.83</v>
      </c>
      <c r="U3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0" t="str">
        <f>IF(OR(IFERROR(SEARCH("Met",tblMoeHistory[[#This Row],[State and Local Per Capita Result]]),0)&gt;0,IFERROR(SEARCH("Met",tblMoeHistory[[#This Row],[State and Local Total Result]]),0)&gt;0),"Met","Not Met")</f>
        <v>Met</v>
      </c>
    </row>
    <row r="371" spans="1:22" x14ac:dyDescent="0.35">
      <c r="A371" t="s">
        <v>195</v>
      </c>
      <c r="B371">
        <v>2247</v>
      </c>
      <c r="C371" t="s">
        <v>159</v>
      </c>
      <c r="D371">
        <v>3</v>
      </c>
      <c r="E371">
        <v>45492.6</v>
      </c>
      <c r="F371">
        <v>4741</v>
      </c>
      <c r="G371">
        <f>tblMoeHistory[[#This Row],[LEA State and Local Amount]]+tblMoeHistory[[#This Row],[ESD State and Local Amount]]</f>
        <v>50233.599999999999</v>
      </c>
      <c r="H371">
        <v>0</v>
      </c>
      <c r="I371" t="s">
        <v>241</v>
      </c>
      <c r="J371">
        <f>IFERROR(tblMoeHistory[[#This Row],[LEA State and Local Amount]]/tblMoeHistory[[#This Row],[Child Count]],0)</f>
        <v>15164.199999999999</v>
      </c>
      <c r="K371">
        <f>IFERROR(tblMoeHistory[[#This Row],[ESD State and Local Amount]]/tblMoeHistory[[#This Row],[Child Count]],0)</f>
        <v>1580.3333333333333</v>
      </c>
      <c r="L371">
        <f>IFERROR(tblMoeHistory[[#This Row],[State and Local Total Amount]]/tblMoeHistory[[#This Row],[Child Count]],0)</f>
        <v>16744.533333333333</v>
      </c>
      <c r="M371">
        <v>0</v>
      </c>
      <c r="N371" t="s">
        <v>241</v>
      </c>
      <c r="O371">
        <v>5251.23</v>
      </c>
      <c r="P371">
        <v>4.55</v>
      </c>
      <c r="Q371">
        <f>tblMoeHistory[[#This Row],[Amount of IDEA Part B, Section 611 award]]+tblMoeHistory[[#This Row],[Amount of IDEA Part B, Section 619 award]]</f>
        <v>5255.78</v>
      </c>
      <c r="U3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1" t="str">
        <f>IF(OR(IFERROR(SEARCH("Met",tblMoeHistory[[#This Row],[State and Local Per Capita Result]]),0)&gt;0,IFERROR(SEARCH("Met",tblMoeHistory[[#This Row],[State and Local Total Result]]),0)&gt;0),"Met","Not Met")</f>
        <v>Met</v>
      </c>
    </row>
    <row r="372" spans="1:22" x14ac:dyDescent="0.35">
      <c r="A372" t="s">
        <v>196</v>
      </c>
      <c r="B372">
        <v>2083</v>
      </c>
      <c r="C372" t="s">
        <v>159</v>
      </c>
      <c r="D372">
        <v>1525</v>
      </c>
      <c r="E372">
        <v>12794225.68</v>
      </c>
      <c r="F372">
        <v>2652491</v>
      </c>
      <c r="G372">
        <f>tblMoeHistory[[#This Row],[LEA State and Local Amount]]+tblMoeHistory[[#This Row],[ESD State and Local Amount]]</f>
        <v>15446716.68</v>
      </c>
      <c r="H372">
        <v>0</v>
      </c>
      <c r="I372" t="s">
        <v>241</v>
      </c>
      <c r="J372">
        <f>IFERROR(tblMoeHistory[[#This Row],[LEA State and Local Amount]]/tblMoeHistory[[#This Row],[Child Count]],0)</f>
        <v>8389.6561836065575</v>
      </c>
      <c r="K372">
        <f>IFERROR(tblMoeHistory[[#This Row],[ESD State and Local Amount]]/tblMoeHistory[[#This Row],[Child Count]],0)</f>
        <v>1739.3383606557377</v>
      </c>
      <c r="L372">
        <f>IFERROR(tblMoeHistory[[#This Row],[State and Local Total Amount]]/tblMoeHistory[[#This Row],[Child Count]],0)</f>
        <v>10128.994544262296</v>
      </c>
      <c r="M372">
        <v>0</v>
      </c>
      <c r="N372" t="s">
        <v>241</v>
      </c>
      <c r="O372">
        <v>1913137.56</v>
      </c>
      <c r="P372">
        <v>20368.32</v>
      </c>
      <c r="Q372">
        <f>tblMoeHistory[[#This Row],[Amount of IDEA Part B, Section 611 award]]+tblMoeHistory[[#This Row],[Amount of IDEA Part B, Section 619 award]]</f>
        <v>1933505.8800000001</v>
      </c>
      <c r="U3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2" t="str">
        <f>IF(OR(IFERROR(SEARCH("Met",tblMoeHistory[[#This Row],[State and Local Per Capita Result]]),0)&gt;0,IFERROR(SEARCH("Met",tblMoeHistory[[#This Row],[State and Local Total Result]]),0)&gt;0),"Met","Not Met")</f>
        <v>Met</v>
      </c>
    </row>
    <row r="373" spans="1:22" x14ac:dyDescent="0.35">
      <c r="A373" t="s">
        <v>197</v>
      </c>
      <c r="B373">
        <v>1948</v>
      </c>
      <c r="C373" t="s">
        <v>159</v>
      </c>
      <c r="D373">
        <v>490</v>
      </c>
      <c r="E373">
        <v>3427571.87</v>
      </c>
      <c r="F373">
        <v>690078</v>
      </c>
      <c r="G373">
        <f>tblMoeHistory[[#This Row],[LEA State and Local Amount]]+tblMoeHistory[[#This Row],[ESD State and Local Amount]]</f>
        <v>4117649.87</v>
      </c>
      <c r="H373">
        <v>0</v>
      </c>
      <c r="I373" t="s">
        <v>241</v>
      </c>
      <c r="J373">
        <f>IFERROR(tblMoeHistory[[#This Row],[LEA State and Local Amount]]/tblMoeHistory[[#This Row],[Child Count]],0)</f>
        <v>6995.0446326530619</v>
      </c>
      <c r="K373">
        <f>IFERROR(tblMoeHistory[[#This Row],[ESD State and Local Amount]]/tblMoeHistory[[#This Row],[Child Count]],0)</f>
        <v>1408.3224489795919</v>
      </c>
      <c r="L373">
        <f>IFERROR(tblMoeHistory[[#This Row],[State and Local Total Amount]]/tblMoeHistory[[#This Row],[Child Count]],0)</f>
        <v>8403.3670816326539</v>
      </c>
      <c r="M373">
        <v>0</v>
      </c>
      <c r="N373" t="s">
        <v>240</v>
      </c>
      <c r="O373">
        <v>562085.6</v>
      </c>
      <c r="P373">
        <v>5468.03</v>
      </c>
      <c r="Q373">
        <f>tblMoeHistory[[#This Row],[Amount of IDEA Part B, Section 611 award]]+tblMoeHistory[[#This Row],[Amount of IDEA Part B, Section 619 award]]</f>
        <v>567553.63</v>
      </c>
      <c r="U3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3" t="str">
        <f>IF(OR(IFERROR(SEARCH("Met",tblMoeHistory[[#This Row],[State and Local Per Capita Result]]),0)&gt;0,IFERROR(SEARCH("Met",tblMoeHistory[[#This Row],[State and Local Total Result]]),0)&gt;0),"Met","Not Met")</f>
        <v>Met</v>
      </c>
    </row>
    <row r="374" spans="1:22" x14ac:dyDescent="0.35">
      <c r="A374" t="s">
        <v>198</v>
      </c>
      <c r="B374">
        <v>2144</v>
      </c>
      <c r="C374" t="s">
        <v>159</v>
      </c>
      <c r="D374">
        <v>32</v>
      </c>
      <c r="E374">
        <v>281904.58</v>
      </c>
      <c r="F374">
        <v>27059.98</v>
      </c>
      <c r="G374">
        <f>tblMoeHistory[[#This Row],[LEA State and Local Amount]]+tblMoeHistory[[#This Row],[ESD State and Local Amount]]</f>
        <v>308964.56</v>
      </c>
      <c r="H374">
        <v>0</v>
      </c>
      <c r="I374" t="s">
        <v>241</v>
      </c>
      <c r="J374">
        <f>IFERROR(tblMoeHistory[[#This Row],[LEA State and Local Amount]]/tblMoeHistory[[#This Row],[Child Count]],0)</f>
        <v>8809.5181250000005</v>
      </c>
      <c r="K374">
        <f>IFERROR(tblMoeHistory[[#This Row],[ESD State and Local Amount]]/tblMoeHistory[[#This Row],[Child Count]],0)</f>
        <v>845.62437499999999</v>
      </c>
      <c r="L374">
        <f>IFERROR(tblMoeHistory[[#This Row],[State and Local Total Amount]]/tblMoeHistory[[#This Row],[Child Count]],0)</f>
        <v>9655.1424999999999</v>
      </c>
      <c r="M374">
        <v>0</v>
      </c>
      <c r="N374" t="s">
        <v>241</v>
      </c>
      <c r="O374">
        <v>45466.84</v>
      </c>
      <c r="P374">
        <v>0</v>
      </c>
      <c r="Q374">
        <f>tblMoeHistory[[#This Row],[Amount of IDEA Part B, Section 611 award]]+tblMoeHistory[[#This Row],[Amount of IDEA Part B, Section 619 award]]</f>
        <v>45466.84</v>
      </c>
      <c r="U3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4" t="str">
        <f>IF(OR(IFERROR(SEARCH("Met",tblMoeHistory[[#This Row],[State and Local Per Capita Result]]),0)&gt;0,IFERROR(SEARCH("Met",tblMoeHistory[[#This Row],[State and Local Total Result]]),0)&gt;0),"Met","Not Met")</f>
        <v>Met</v>
      </c>
    </row>
    <row r="375" spans="1:22" x14ac:dyDescent="0.35">
      <c r="A375" t="s">
        <v>199</v>
      </c>
      <c r="B375">
        <v>2209</v>
      </c>
      <c r="C375" t="s">
        <v>159</v>
      </c>
      <c r="D375">
        <v>74</v>
      </c>
      <c r="E375">
        <v>516522.94</v>
      </c>
      <c r="F375">
        <v>116452.09</v>
      </c>
      <c r="G375">
        <f>tblMoeHistory[[#This Row],[LEA State and Local Amount]]+tblMoeHistory[[#This Row],[ESD State and Local Amount]]</f>
        <v>632975.03</v>
      </c>
      <c r="H375">
        <v>0</v>
      </c>
      <c r="I375" t="s">
        <v>240</v>
      </c>
      <c r="J375">
        <f>IFERROR(tblMoeHistory[[#This Row],[LEA State and Local Amount]]/tblMoeHistory[[#This Row],[Child Count]],0)</f>
        <v>6980.0397297297295</v>
      </c>
      <c r="K375">
        <f>IFERROR(tblMoeHistory[[#This Row],[ESD State and Local Amount]]/tblMoeHistory[[#This Row],[Child Count]],0)</f>
        <v>1573.676891891892</v>
      </c>
      <c r="L375">
        <f>IFERROR(tblMoeHistory[[#This Row],[State and Local Total Amount]]/tblMoeHistory[[#This Row],[Child Count]],0)</f>
        <v>8553.7166216216228</v>
      </c>
      <c r="M375">
        <v>0</v>
      </c>
      <c r="N375" t="s">
        <v>240</v>
      </c>
      <c r="O375">
        <v>90311.360000000001</v>
      </c>
      <c r="P375">
        <v>743.32</v>
      </c>
      <c r="Q375">
        <f>tblMoeHistory[[#This Row],[Amount of IDEA Part B, Section 611 award]]+tblMoeHistory[[#This Row],[Amount of IDEA Part B, Section 619 award]]</f>
        <v>91054.680000000008</v>
      </c>
      <c r="U3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5" t="str">
        <f>IF(OR(IFERROR(SEARCH("Met",tblMoeHistory[[#This Row],[State and Local Per Capita Result]]),0)&gt;0,IFERROR(SEARCH("Met",tblMoeHistory[[#This Row],[State and Local Total Result]]),0)&gt;0),"Met","Not Met")</f>
        <v>Not Met</v>
      </c>
    </row>
    <row r="376" spans="1:22" x14ac:dyDescent="0.35">
      <c r="A376" t="s">
        <v>200</v>
      </c>
      <c r="B376">
        <v>2018</v>
      </c>
      <c r="C376" t="s">
        <v>159</v>
      </c>
      <c r="D376">
        <v>2</v>
      </c>
      <c r="E376">
        <v>10720</v>
      </c>
      <c r="F376">
        <v>1880</v>
      </c>
      <c r="G376">
        <f>tblMoeHistory[[#This Row],[LEA State and Local Amount]]+tblMoeHistory[[#This Row],[ESD State and Local Amount]]</f>
        <v>12600</v>
      </c>
      <c r="H376">
        <v>0</v>
      </c>
      <c r="I376" t="s">
        <v>240</v>
      </c>
      <c r="J376">
        <f>IFERROR(tblMoeHistory[[#This Row],[LEA State and Local Amount]]/tblMoeHistory[[#This Row],[Child Count]],0)</f>
        <v>5360</v>
      </c>
      <c r="K376">
        <f>IFERROR(tblMoeHistory[[#This Row],[ESD State and Local Amount]]/tblMoeHistory[[#This Row],[Child Count]],0)</f>
        <v>940</v>
      </c>
      <c r="L376">
        <f>IFERROR(tblMoeHistory[[#This Row],[State and Local Total Amount]]/tblMoeHistory[[#This Row],[Child Count]],0)</f>
        <v>6300</v>
      </c>
      <c r="M376">
        <v>0</v>
      </c>
      <c r="N376" t="s">
        <v>240</v>
      </c>
      <c r="O376">
        <v>0</v>
      </c>
      <c r="P376">
        <v>0</v>
      </c>
      <c r="Q376">
        <f>tblMoeHistory[[#This Row],[Amount of IDEA Part B, Section 611 award]]+tblMoeHistory[[#This Row],[Amount of IDEA Part B, Section 619 award]]</f>
        <v>0</v>
      </c>
      <c r="U3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6" t="str">
        <f>IF(OR(IFERROR(SEARCH("Met",tblMoeHistory[[#This Row],[State and Local Per Capita Result]]),0)&gt;0,IFERROR(SEARCH("Met",tblMoeHistory[[#This Row],[State and Local Total Result]]),0)&gt;0),"Met","Not Met")</f>
        <v>Not Met</v>
      </c>
    </row>
    <row r="377" spans="1:22" x14ac:dyDescent="0.35">
      <c r="A377" t="s">
        <v>201</v>
      </c>
      <c r="B377">
        <v>2003</v>
      </c>
      <c r="C377" t="s">
        <v>159</v>
      </c>
      <c r="D377">
        <v>162</v>
      </c>
      <c r="E377">
        <v>1013430.82</v>
      </c>
      <c r="F377">
        <v>262992.06</v>
      </c>
      <c r="G377">
        <f>tblMoeHistory[[#This Row],[LEA State and Local Amount]]+tblMoeHistory[[#This Row],[ESD State and Local Amount]]</f>
        <v>1276422.8799999999</v>
      </c>
      <c r="H377">
        <v>0</v>
      </c>
      <c r="I377" t="s">
        <v>241</v>
      </c>
      <c r="J377">
        <f>IFERROR(tblMoeHistory[[#This Row],[LEA State and Local Amount]]/tblMoeHistory[[#This Row],[Child Count]],0)</f>
        <v>6255.7458024691359</v>
      </c>
      <c r="K377">
        <f>IFERROR(tblMoeHistory[[#This Row],[ESD State and Local Amount]]/tblMoeHistory[[#This Row],[Child Count]],0)</f>
        <v>1623.4077777777777</v>
      </c>
      <c r="L377">
        <f>IFERROR(tblMoeHistory[[#This Row],[State and Local Total Amount]]/tblMoeHistory[[#This Row],[Child Count]],0)</f>
        <v>7879.1535802469125</v>
      </c>
      <c r="M377">
        <v>0</v>
      </c>
      <c r="N377" t="s">
        <v>241</v>
      </c>
      <c r="O377">
        <v>229268.92</v>
      </c>
      <c r="P377">
        <v>2434.96</v>
      </c>
      <c r="Q377">
        <f>tblMoeHistory[[#This Row],[Amount of IDEA Part B, Section 611 award]]+tblMoeHistory[[#This Row],[Amount of IDEA Part B, Section 619 award]]</f>
        <v>231703.88</v>
      </c>
      <c r="U3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7" t="str">
        <f>IF(OR(IFERROR(SEARCH("Met",tblMoeHistory[[#This Row],[State and Local Per Capita Result]]),0)&gt;0,IFERROR(SEARCH("Met",tblMoeHistory[[#This Row],[State and Local Total Result]]),0)&gt;0),"Met","Not Met")</f>
        <v>Met</v>
      </c>
    </row>
    <row r="378" spans="1:22" x14ac:dyDescent="0.35">
      <c r="A378" t="s">
        <v>202</v>
      </c>
      <c r="B378">
        <v>2102</v>
      </c>
      <c r="C378" t="s">
        <v>159</v>
      </c>
      <c r="D378">
        <v>374</v>
      </c>
      <c r="E378">
        <v>2014407.1</v>
      </c>
      <c r="F378">
        <v>274085</v>
      </c>
      <c r="G378">
        <f>tblMoeHistory[[#This Row],[LEA State and Local Amount]]+tblMoeHistory[[#This Row],[ESD State and Local Amount]]</f>
        <v>2288492.1</v>
      </c>
      <c r="H378">
        <v>0</v>
      </c>
      <c r="I378" t="s">
        <v>241</v>
      </c>
      <c r="J378">
        <f>IFERROR(tblMoeHistory[[#This Row],[LEA State and Local Amount]]/tblMoeHistory[[#This Row],[Child Count]],0)</f>
        <v>5386.1152406417114</v>
      </c>
      <c r="K378">
        <f>IFERROR(tblMoeHistory[[#This Row],[ESD State and Local Amount]]/tblMoeHistory[[#This Row],[Child Count]],0)</f>
        <v>732.84759358288773</v>
      </c>
      <c r="L378">
        <f>IFERROR(tblMoeHistory[[#This Row],[State and Local Total Amount]]/tblMoeHistory[[#This Row],[Child Count]],0)</f>
        <v>6118.9628342245987</v>
      </c>
      <c r="M378">
        <v>0</v>
      </c>
      <c r="N378" t="s">
        <v>240</v>
      </c>
      <c r="O378">
        <v>397958.58</v>
      </c>
      <c r="P378">
        <v>1678.26</v>
      </c>
      <c r="Q378">
        <f>tblMoeHistory[[#This Row],[Amount of IDEA Part B, Section 611 award]]+tblMoeHistory[[#This Row],[Amount of IDEA Part B, Section 619 award]]</f>
        <v>399636.84</v>
      </c>
      <c r="U3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8" t="str">
        <f>IF(OR(IFERROR(SEARCH("Met",tblMoeHistory[[#This Row],[State and Local Per Capita Result]]),0)&gt;0,IFERROR(SEARCH("Met",tblMoeHistory[[#This Row],[State and Local Total Result]]),0)&gt;0),"Met","Not Met")</f>
        <v>Met</v>
      </c>
    </row>
    <row r="379" spans="1:22" x14ac:dyDescent="0.35">
      <c r="A379" t="s">
        <v>203</v>
      </c>
      <c r="B379">
        <v>2055</v>
      </c>
      <c r="C379" t="s">
        <v>159</v>
      </c>
      <c r="D379">
        <v>583</v>
      </c>
      <c r="E379">
        <v>5213672.72</v>
      </c>
      <c r="F379">
        <v>185635.93</v>
      </c>
      <c r="G379">
        <f>tblMoeHistory[[#This Row],[LEA State and Local Amount]]+tblMoeHistory[[#This Row],[ESD State and Local Amount]]</f>
        <v>5399308.6499999994</v>
      </c>
      <c r="H379">
        <v>0</v>
      </c>
      <c r="I379" t="s">
        <v>241</v>
      </c>
      <c r="J379">
        <f>IFERROR(tblMoeHistory[[#This Row],[LEA State and Local Amount]]/tblMoeHistory[[#This Row],[Child Count]],0)</f>
        <v>8942.8348542024014</v>
      </c>
      <c r="K379">
        <f>IFERROR(tblMoeHistory[[#This Row],[ESD State and Local Amount]]/tblMoeHistory[[#This Row],[Child Count]],0)</f>
        <v>318.414974271012</v>
      </c>
      <c r="L379">
        <f>IFERROR(tblMoeHistory[[#This Row],[State and Local Total Amount]]/tblMoeHistory[[#This Row],[Child Count]],0)</f>
        <v>9261.249828473412</v>
      </c>
      <c r="M379">
        <v>0</v>
      </c>
      <c r="N379" t="s">
        <v>241</v>
      </c>
      <c r="O379">
        <v>882346.71</v>
      </c>
      <c r="P379">
        <v>7479.17</v>
      </c>
      <c r="Q379">
        <f>tblMoeHistory[[#This Row],[Amount of IDEA Part B, Section 611 award]]+tblMoeHistory[[#This Row],[Amount of IDEA Part B, Section 619 award]]</f>
        <v>889825.88</v>
      </c>
      <c r="U3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9" t="str">
        <f>IF(OR(IFERROR(SEARCH("Met",tblMoeHistory[[#This Row],[State and Local Per Capita Result]]),0)&gt;0,IFERROR(SEARCH("Met",tblMoeHistory[[#This Row],[State and Local Total Result]]),0)&gt;0),"Met","Not Met")</f>
        <v>Met</v>
      </c>
    </row>
    <row r="380" spans="1:22" x14ac:dyDescent="0.35">
      <c r="A380" t="s">
        <v>204</v>
      </c>
      <c r="B380">
        <v>2242</v>
      </c>
      <c r="C380" t="s">
        <v>159</v>
      </c>
      <c r="D380">
        <v>1358</v>
      </c>
      <c r="E380">
        <v>9403187.3599999994</v>
      </c>
      <c r="F380">
        <v>1761055</v>
      </c>
      <c r="G380">
        <f>tblMoeHistory[[#This Row],[LEA State and Local Amount]]+tblMoeHistory[[#This Row],[ESD State and Local Amount]]</f>
        <v>11164242.359999999</v>
      </c>
      <c r="H380">
        <v>0</v>
      </c>
      <c r="I380" t="s">
        <v>241</v>
      </c>
      <c r="J380">
        <f>IFERROR(tblMoeHistory[[#This Row],[LEA State and Local Amount]]/tblMoeHistory[[#This Row],[Child Count]],0)</f>
        <v>6924.2911340206183</v>
      </c>
      <c r="K380">
        <f>IFERROR(tblMoeHistory[[#This Row],[ESD State and Local Amount]]/tblMoeHistory[[#This Row],[Child Count]],0)</f>
        <v>1296.8004418262151</v>
      </c>
      <c r="L380">
        <f>IFERROR(tblMoeHistory[[#This Row],[State and Local Total Amount]]/tblMoeHistory[[#This Row],[Child Count]],0)</f>
        <v>8221.0915758468327</v>
      </c>
      <c r="M380">
        <v>0</v>
      </c>
      <c r="N380" t="s">
        <v>241</v>
      </c>
      <c r="O380">
        <v>1973709.07</v>
      </c>
      <c r="P380">
        <v>10310.82</v>
      </c>
      <c r="Q380">
        <f>tblMoeHistory[[#This Row],[Amount of IDEA Part B, Section 611 award]]+tblMoeHistory[[#This Row],[Amount of IDEA Part B, Section 619 award]]</f>
        <v>1984019.8900000001</v>
      </c>
      <c r="U3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0" t="str">
        <f>IF(OR(IFERROR(SEARCH("Met",tblMoeHistory[[#This Row],[State and Local Per Capita Result]]),0)&gt;0,IFERROR(SEARCH("Met",tblMoeHistory[[#This Row],[State and Local Total Result]]),0)&gt;0),"Met","Not Met")</f>
        <v>Met</v>
      </c>
    </row>
    <row r="381" spans="1:22" x14ac:dyDescent="0.35">
      <c r="A381" t="s">
        <v>205</v>
      </c>
      <c r="B381">
        <v>2197</v>
      </c>
      <c r="C381" t="s">
        <v>159</v>
      </c>
      <c r="D381">
        <v>236</v>
      </c>
      <c r="E381">
        <v>2285528.37</v>
      </c>
      <c r="F381">
        <v>208805</v>
      </c>
      <c r="G381">
        <f>tblMoeHistory[[#This Row],[LEA State and Local Amount]]+tblMoeHistory[[#This Row],[ESD State and Local Amount]]</f>
        <v>2494333.37</v>
      </c>
      <c r="H381">
        <v>0</v>
      </c>
      <c r="I381" t="s">
        <v>241</v>
      </c>
      <c r="J381">
        <f>IFERROR(tblMoeHistory[[#This Row],[LEA State and Local Amount]]/tblMoeHistory[[#This Row],[Child Count]],0)</f>
        <v>9684.4422457627115</v>
      </c>
      <c r="K381">
        <f>IFERROR(tblMoeHistory[[#This Row],[ESD State and Local Amount]]/tblMoeHistory[[#This Row],[Child Count]],0)</f>
        <v>884.76694915254234</v>
      </c>
      <c r="L381">
        <f>IFERROR(tblMoeHistory[[#This Row],[State and Local Total Amount]]/tblMoeHistory[[#This Row],[Child Count]],0)</f>
        <v>10569.209194915255</v>
      </c>
      <c r="M381">
        <v>0</v>
      </c>
      <c r="N381" t="s">
        <v>241</v>
      </c>
      <c r="O381">
        <v>351286.57</v>
      </c>
      <c r="P381">
        <v>3737.9</v>
      </c>
      <c r="Q381">
        <f>tblMoeHistory[[#This Row],[Amount of IDEA Part B, Section 611 award]]+tblMoeHistory[[#This Row],[Amount of IDEA Part B, Section 619 award]]</f>
        <v>355024.47000000003</v>
      </c>
      <c r="U3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1" t="str">
        <f>IF(OR(IFERROR(SEARCH("Met",tblMoeHistory[[#This Row],[State and Local Per Capita Result]]),0)&gt;0,IFERROR(SEARCH("Met",tblMoeHistory[[#This Row],[State and Local Total Result]]),0)&gt;0),"Met","Not Met")</f>
        <v>Met</v>
      </c>
    </row>
    <row r="382" spans="1:22" x14ac:dyDescent="0.35">
      <c r="A382" t="s">
        <v>206</v>
      </c>
      <c r="B382">
        <v>2222</v>
      </c>
      <c r="C382" t="s">
        <v>159</v>
      </c>
      <c r="D382">
        <v>0</v>
      </c>
      <c r="E382">
        <v>0</v>
      </c>
      <c r="F382">
        <v>3700</v>
      </c>
      <c r="G382">
        <f>tblMoeHistory[[#This Row],[LEA State and Local Amount]]+tblMoeHistory[[#This Row],[ESD State and Local Amount]]</f>
        <v>3700</v>
      </c>
      <c r="H382">
        <v>0</v>
      </c>
      <c r="I382" t="s">
        <v>241</v>
      </c>
      <c r="J382">
        <f>IFERROR(tblMoeHistory[[#This Row],[LEA State and Local Amount]]/tblMoeHistory[[#This Row],[Child Count]],0)</f>
        <v>0</v>
      </c>
      <c r="K382">
        <f>IFERROR(tblMoeHistory[[#This Row],[ESD State and Local Amount]]/tblMoeHistory[[#This Row],[Child Count]],0)</f>
        <v>0</v>
      </c>
      <c r="L382">
        <f>IFERROR(tblMoeHistory[[#This Row],[State and Local Total Amount]]/tblMoeHistory[[#This Row],[Child Count]],0)</f>
        <v>0</v>
      </c>
      <c r="M382">
        <v>0</v>
      </c>
      <c r="N382" t="s">
        <v>241</v>
      </c>
      <c r="O382">
        <v>3036.58</v>
      </c>
      <c r="P382">
        <v>0.76</v>
      </c>
      <c r="Q382">
        <f>tblMoeHistory[[#This Row],[Amount of IDEA Part B, Section 611 award]]+tblMoeHistory[[#This Row],[Amount of IDEA Part B, Section 619 award]]</f>
        <v>3037.34</v>
      </c>
      <c r="U3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2" t="str">
        <f>IF(OR(IFERROR(SEARCH("Met",tblMoeHistory[[#This Row],[State and Local Per Capita Result]]),0)&gt;0,IFERROR(SEARCH("Met",tblMoeHistory[[#This Row],[State and Local Total Result]]),0)&gt;0),"Met","Not Met")</f>
        <v>Met</v>
      </c>
    </row>
    <row r="383" spans="1:22" x14ac:dyDescent="0.35">
      <c r="A383" t="s">
        <v>207</v>
      </c>
      <c r="B383">
        <v>2210</v>
      </c>
      <c r="C383" t="s">
        <v>159</v>
      </c>
      <c r="D383">
        <v>4</v>
      </c>
      <c r="E383">
        <v>4110.7</v>
      </c>
      <c r="F383">
        <v>7921.91</v>
      </c>
      <c r="G383">
        <f>tblMoeHistory[[#This Row],[LEA State and Local Amount]]+tblMoeHistory[[#This Row],[ESD State and Local Amount]]</f>
        <v>12032.61</v>
      </c>
      <c r="H383">
        <v>0</v>
      </c>
      <c r="I383" t="s">
        <v>241</v>
      </c>
      <c r="J383">
        <f>IFERROR(tblMoeHistory[[#This Row],[LEA State and Local Amount]]/tblMoeHistory[[#This Row],[Child Count]],0)</f>
        <v>1027.675</v>
      </c>
      <c r="K383">
        <f>IFERROR(tblMoeHistory[[#This Row],[ESD State and Local Amount]]/tblMoeHistory[[#This Row],[Child Count]],0)</f>
        <v>1980.4775</v>
      </c>
      <c r="L383">
        <f>IFERROR(tblMoeHistory[[#This Row],[State and Local Total Amount]]/tblMoeHistory[[#This Row],[Child Count]],0)</f>
        <v>3008.1525000000001</v>
      </c>
      <c r="M383">
        <v>0</v>
      </c>
      <c r="N383" t="s">
        <v>241</v>
      </c>
      <c r="O383">
        <v>8911.4500000000007</v>
      </c>
      <c r="P383">
        <v>4.5599999999999996</v>
      </c>
      <c r="Q383">
        <f>tblMoeHistory[[#This Row],[Amount of IDEA Part B, Section 611 award]]+tblMoeHistory[[#This Row],[Amount of IDEA Part B, Section 619 award]]</f>
        <v>8916.01</v>
      </c>
      <c r="U3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3" t="str">
        <f>IF(OR(IFERROR(SEARCH("Met",tblMoeHistory[[#This Row],[State and Local Per Capita Result]]),0)&gt;0,IFERROR(SEARCH("Met",tblMoeHistory[[#This Row],[State and Local Total Result]]),0)&gt;0),"Met","Not Met")</f>
        <v>Met</v>
      </c>
    </row>
    <row r="384" spans="1:22" x14ac:dyDescent="0.35">
      <c r="A384" t="s">
        <v>208</v>
      </c>
      <c r="B384">
        <v>2204</v>
      </c>
      <c r="C384" t="s">
        <v>159</v>
      </c>
      <c r="D384">
        <v>153</v>
      </c>
      <c r="E384">
        <v>1082904.6299999999</v>
      </c>
      <c r="F384">
        <v>223001.79</v>
      </c>
      <c r="G384">
        <f>tblMoeHistory[[#This Row],[LEA State and Local Amount]]+tblMoeHistory[[#This Row],[ESD State and Local Amount]]</f>
        <v>1305906.42</v>
      </c>
      <c r="H384">
        <v>0</v>
      </c>
      <c r="I384" t="s">
        <v>241</v>
      </c>
      <c r="J384">
        <f>IFERROR(tblMoeHistory[[#This Row],[LEA State and Local Amount]]/tblMoeHistory[[#This Row],[Child Count]],0)</f>
        <v>7077.8080392156853</v>
      </c>
      <c r="K384">
        <f>IFERROR(tblMoeHistory[[#This Row],[ESD State and Local Amount]]/tblMoeHistory[[#This Row],[Child Count]],0)</f>
        <v>1457.5280392156862</v>
      </c>
      <c r="L384">
        <f>IFERROR(tblMoeHistory[[#This Row],[State and Local Total Amount]]/tblMoeHistory[[#This Row],[Child Count]],0)</f>
        <v>8535.3360784313718</v>
      </c>
      <c r="M384">
        <v>0</v>
      </c>
      <c r="N384" t="s">
        <v>240</v>
      </c>
      <c r="O384">
        <v>215435.43</v>
      </c>
      <c r="P384">
        <v>2242.2199999999998</v>
      </c>
      <c r="Q384">
        <f>tblMoeHistory[[#This Row],[Amount of IDEA Part B, Section 611 award]]+tblMoeHistory[[#This Row],[Amount of IDEA Part B, Section 619 award]]</f>
        <v>217677.65</v>
      </c>
      <c r="U3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4" t="str">
        <f>IF(OR(IFERROR(SEARCH("Met",tblMoeHistory[[#This Row],[State and Local Per Capita Result]]),0)&gt;0,IFERROR(SEARCH("Met",tblMoeHistory[[#This Row],[State and Local Total Result]]),0)&gt;0),"Met","Not Met")</f>
        <v>Met</v>
      </c>
    </row>
    <row r="385" spans="1:22" x14ac:dyDescent="0.35">
      <c r="A385" t="s">
        <v>209</v>
      </c>
      <c r="B385">
        <v>2213</v>
      </c>
      <c r="C385" t="s">
        <v>159</v>
      </c>
      <c r="D385">
        <v>53</v>
      </c>
      <c r="E385">
        <v>365817.58</v>
      </c>
      <c r="F385">
        <v>126750.57</v>
      </c>
      <c r="G385">
        <f>tblMoeHistory[[#This Row],[LEA State and Local Amount]]+tblMoeHistory[[#This Row],[ESD State and Local Amount]]</f>
        <v>492568.15</v>
      </c>
      <c r="H385">
        <v>0</v>
      </c>
      <c r="I385" t="s">
        <v>240</v>
      </c>
      <c r="J385">
        <f>IFERROR(tblMoeHistory[[#This Row],[LEA State and Local Amount]]/tblMoeHistory[[#This Row],[Child Count]],0)</f>
        <v>6902.2184905660379</v>
      </c>
      <c r="K385">
        <f>IFERROR(tblMoeHistory[[#This Row],[ESD State and Local Amount]]/tblMoeHistory[[#This Row],[Child Count]],0)</f>
        <v>2391.5201886792456</v>
      </c>
      <c r="L385">
        <f>IFERROR(tblMoeHistory[[#This Row],[State and Local Total Amount]]/tblMoeHistory[[#This Row],[Child Count]],0)</f>
        <v>9293.7386792452835</v>
      </c>
      <c r="M385">
        <v>0</v>
      </c>
      <c r="N385" t="s">
        <v>240</v>
      </c>
      <c r="O385">
        <v>61269.71</v>
      </c>
      <c r="P385">
        <v>47.61</v>
      </c>
      <c r="Q385">
        <f>tblMoeHistory[[#This Row],[Amount of IDEA Part B, Section 611 award]]+tblMoeHistory[[#This Row],[Amount of IDEA Part B, Section 619 award]]</f>
        <v>61317.32</v>
      </c>
      <c r="U3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5" t="str">
        <f>IF(OR(IFERROR(SEARCH("Met",tblMoeHistory[[#This Row],[State and Local Per Capita Result]]),0)&gt;0,IFERROR(SEARCH("Met",tblMoeHistory[[#This Row],[State and Local Total Result]]),0)&gt;0),"Met","Not Met")</f>
        <v>Not Met</v>
      </c>
    </row>
    <row r="386" spans="1:22" x14ac:dyDescent="0.35">
      <c r="A386" t="s">
        <v>210</v>
      </c>
      <c r="B386">
        <v>2116</v>
      </c>
      <c r="C386" t="s">
        <v>159</v>
      </c>
      <c r="D386">
        <v>103</v>
      </c>
      <c r="E386">
        <v>589652.96</v>
      </c>
      <c r="F386">
        <v>254604.78</v>
      </c>
      <c r="G386">
        <f>tblMoeHistory[[#This Row],[LEA State and Local Amount]]+tblMoeHistory[[#This Row],[ESD State and Local Amount]]</f>
        <v>844257.74</v>
      </c>
      <c r="H386">
        <v>0</v>
      </c>
      <c r="I386" t="s">
        <v>242</v>
      </c>
      <c r="J386">
        <f>IFERROR(tblMoeHistory[[#This Row],[LEA State and Local Amount]]/tblMoeHistory[[#This Row],[Child Count]],0)</f>
        <v>5724.7860194174755</v>
      </c>
      <c r="K386">
        <f>IFERROR(tblMoeHistory[[#This Row],[ESD State and Local Amount]]/tblMoeHistory[[#This Row],[Child Count]],0)</f>
        <v>2471.8910679611649</v>
      </c>
      <c r="L386">
        <f>IFERROR(tblMoeHistory[[#This Row],[State and Local Total Amount]]/tblMoeHistory[[#This Row],[Child Count]],0)</f>
        <v>8196.6770873786409</v>
      </c>
      <c r="M386">
        <v>0</v>
      </c>
      <c r="N386" t="s">
        <v>241</v>
      </c>
      <c r="O386">
        <v>164165.88</v>
      </c>
      <c r="P386">
        <v>452.39</v>
      </c>
      <c r="Q386">
        <f>tblMoeHistory[[#This Row],[Amount of IDEA Part B, Section 611 award]]+tblMoeHistory[[#This Row],[Amount of IDEA Part B, Section 619 award]]</f>
        <v>164618.27000000002</v>
      </c>
      <c r="S386">
        <v>111607.71</v>
      </c>
      <c r="T386">
        <v>111607.71</v>
      </c>
      <c r="U3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6" t="str">
        <f>IF(OR(IFERROR(SEARCH("Met",tblMoeHistory[[#This Row],[State and Local Per Capita Result]]),0)&gt;0,IFERROR(SEARCH("Met",tblMoeHistory[[#This Row],[State and Local Total Result]]),0)&gt;0),"Met","Not Met")</f>
        <v>Met</v>
      </c>
    </row>
    <row r="387" spans="1:22" x14ac:dyDescent="0.35">
      <c r="A387" t="s">
        <v>211</v>
      </c>
      <c r="B387">
        <v>1947</v>
      </c>
      <c r="C387" t="s">
        <v>159</v>
      </c>
      <c r="D387">
        <v>92</v>
      </c>
      <c r="E387">
        <v>688322.8</v>
      </c>
      <c r="F387">
        <v>132983</v>
      </c>
      <c r="G387">
        <f>tblMoeHistory[[#This Row],[LEA State and Local Amount]]+tblMoeHistory[[#This Row],[ESD State and Local Amount]]</f>
        <v>821305.8</v>
      </c>
      <c r="H387">
        <v>0</v>
      </c>
      <c r="I387" t="s">
        <v>241</v>
      </c>
      <c r="J387">
        <f>IFERROR(tblMoeHistory[[#This Row],[LEA State and Local Amount]]/tblMoeHistory[[#This Row],[Child Count]],0)</f>
        <v>7481.7695652173916</v>
      </c>
      <c r="K387">
        <f>IFERROR(tblMoeHistory[[#This Row],[ESD State and Local Amount]]/tblMoeHistory[[#This Row],[Child Count]],0)</f>
        <v>1445.4673913043478</v>
      </c>
      <c r="L387">
        <f>IFERROR(tblMoeHistory[[#This Row],[State and Local Total Amount]]/tblMoeHistory[[#This Row],[Child Count]],0)</f>
        <v>8927.2369565217396</v>
      </c>
      <c r="M387">
        <v>0</v>
      </c>
      <c r="N387" t="s">
        <v>241</v>
      </c>
      <c r="O387">
        <v>115675.17</v>
      </c>
      <c r="P387">
        <v>2160.98</v>
      </c>
      <c r="Q387">
        <f>tblMoeHistory[[#This Row],[Amount of IDEA Part B, Section 611 award]]+tblMoeHistory[[#This Row],[Amount of IDEA Part B, Section 619 award]]</f>
        <v>117836.15</v>
      </c>
      <c r="U3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7" t="str">
        <f>IF(OR(IFERROR(SEARCH("Met",tblMoeHistory[[#This Row],[State and Local Per Capita Result]]),0)&gt;0,IFERROR(SEARCH("Met",tblMoeHistory[[#This Row],[State and Local Total Result]]),0)&gt;0),"Met","Not Met")</f>
        <v>Met</v>
      </c>
    </row>
    <row r="388" spans="1:22" x14ac:dyDescent="0.35">
      <c r="A388" t="s">
        <v>212</v>
      </c>
      <c r="B388">
        <v>2220</v>
      </c>
      <c r="C388" t="s">
        <v>159</v>
      </c>
      <c r="D388">
        <v>30</v>
      </c>
      <c r="E388">
        <v>63855.45</v>
      </c>
      <c r="F388">
        <v>148791.98000000001</v>
      </c>
      <c r="G388">
        <f>tblMoeHistory[[#This Row],[LEA State and Local Amount]]+tblMoeHistory[[#This Row],[ESD State and Local Amount]]</f>
        <v>212647.43</v>
      </c>
      <c r="H388">
        <v>0</v>
      </c>
      <c r="I388" t="s">
        <v>240</v>
      </c>
      <c r="J388">
        <f>IFERROR(tblMoeHistory[[#This Row],[LEA State and Local Amount]]/tblMoeHistory[[#This Row],[Child Count]],0)</f>
        <v>2128.5149999999999</v>
      </c>
      <c r="K388">
        <f>IFERROR(tblMoeHistory[[#This Row],[ESD State and Local Amount]]/tblMoeHistory[[#This Row],[Child Count]],0)</f>
        <v>4959.7326666666668</v>
      </c>
      <c r="L388">
        <f>IFERROR(tblMoeHistory[[#This Row],[State and Local Total Amount]]/tblMoeHistory[[#This Row],[Child Count]],0)</f>
        <v>7088.2476666666662</v>
      </c>
      <c r="M388">
        <v>0</v>
      </c>
      <c r="N388" t="s">
        <v>240</v>
      </c>
      <c r="O388">
        <v>57395.61</v>
      </c>
      <c r="P388">
        <v>0</v>
      </c>
      <c r="Q388">
        <f>tblMoeHistory[[#This Row],[Amount of IDEA Part B, Section 611 award]]+tblMoeHistory[[#This Row],[Amount of IDEA Part B, Section 619 award]]</f>
        <v>57395.61</v>
      </c>
      <c r="U3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8" t="str">
        <f>IF(OR(IFERROR(SEARCH("Met",tblMoeHistory[[#This Row],[State and Local Per Capita Result]]),0)&gt;0,IFERROR(SEARCH("Met",tblMoeHistory[[#This Row],[State and Local Total Result]]),0)&gt;0),"Met","Not Met")</f>
        <v>Not Met</v>
      </c>
    </row>
    <row r="389" spans="1:22" x14ac:dyDescent="0.35">
      <c r="A389" t="s">
        <v>213</v>
      </c>
      <c r="B389">
        <v>1936</v>
      </c>
      <c r="C389" t="s">
        <v>159</v>
      </c>
      <c r="D389">
        <v>140</v>
      </c>
      <c r="E389">
        <v>976091.28</v>
      </c>
      <c r="F389">
        <v>282131</v>
      </c>
      <c r="G389">
        <f>tblMoeHistory[[#This Row],[LEA State and Local Amount]]+tblMoeHistory[[#This Row],[ESD State and Local Amount]]</f>
        <v>1258222.28</v>
      </c>
      <c r="H389">
        <v>0</v>
      </c>
      <c r="I389" t="s">
        <v>241</v>
      </c>
      <c r="J389">
        <f>IFERROR(tblMoeHistory[[#This Row],[LEA State and Local Amount]]/tblMoeHistory[[#This Row],[Child Count]],0)</f>
        <v>6972.0805714285716</v>
      </c>
      <c r="K389">
        <f>IFERROR(tblMoeHistory[[#This Row],[ESD State and Local Amount]]/tblMoeHistory[[#This Row],[Child Count]],0)</f>
        <v>2015.2214285714285</v>
      </c>
      <c r="L389">
        <f>IFERROR(tblMoeHistory[[#This Row],[State and Local Total Amount]]/tblMoeHistory[[#This Row],[Child Count]],0)</f>
        <v>8987.3019999999997</v>
      </c>
      <c r="M389">
        <v>0</v>
      </c>
      <c r="N389" t="s">
        <v>241</v>
      </c>
      <c r="O389">
        <v>147330.72</v>
      </c>
      <c r="P389">
        <v>1507.66</v>
      </c>
      <c r="Q389">
        <f>tblMoeHistory[[#This Row],[Amount of IDEA Part B, Section 611 award]]+tblMoeHistory[[#This Row],[Amount of IDEA Part B, Section 619 award]]</f>
        <v>148838.38</v>
      </c>
      <c r="U3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9" t="str">
        <f>IF(OR(IFERROR(SEARCH("Met",tblMoeHistory[[#This Row],[State and Local Per Capita Result]]),0)&gt;0,IFERROR(SEARCH("Met",tblMoeHistory[[#This Row],[State and Local Total Result]]),0)&gt;0),"Met","Not Met")</f>
        <v>Met</v>
      </c>
    </row>
    <row r="390" spans="1:22" x14ac:dyDescent="0.35">
      <c r="A390" t="s">
        <v>214</v>
      </c>
      <c r="B390">
        <v>1922</v>
      </c>
      <c r="C390" t="s">
        <v>159</v>
      </c>
      <c r="D390">
        <v>878</v>
      </c>
      <c r="E390">
        <v>6314292.4400000004</v>
      </c>
      <c r="F390">
        <v>277818</v>
      </c>
      <c r="G390">
        <f>tblMoeHistory[[#This Row],[LEA State and Local Amount]]+tblMoeHistory[[#This Row],[ESD State and Local Amount]]</f>
        <v>6592110.4400000004</v>
      </c>
      <c r="H390">
        <v>0</v>
      </c>
      <c r="I390" t="s">
        <v>242</v>
      </c>
      <c r="J390">
        <f>IFERROR(tblMoeHistory[[#This Row],[LEA State and Local Amount]]/tblMoeHistory[[#This Row],[Child Count]],0)</f>
        <v>7191.6770387243741</v>
      </c>
      <c r="K390">
        <f>IFERROR(tblMoeHistory[[#This Row],[ESD State and Local Amount]]/tblMoeHistory[[#This Row],[Child Count]],0)</f>
        <v>316.42141230068336</v>
      </c>
      <c r="L390">
        <f>IFERROR(tblMoeHistory[[#This Row],[State and Local Total Amount]]/tblMoeHistory[[#This Row],[Child Count]],0)</f>
        <v>7508.0984510250573</v>
      </c>
      <c r="M390">
        <v>0</v>
      </c>
      <c r="N390" t="s">
        <v>241</v>
      </c>
      <c r="O390">
        <v>1172702.55</v>
      </c>
      <c r="P390">
        <v>6416.95</v>
      </c>
      <c r="Q390">
        <f>tblMoeHistory[[#This Row],[Amount of IDEA Part B, Section 611 award]]+tblMoeHistory[[#This Row],[Amount of IDEA Part B, Section 619 award]]</f>
        <v>1179119.5</v>
      </c>
      <c r="S390">
        <v>268958.52</v>
      </c>
      <c r="T390">
        <v>268958.52</v>
      </c>
      <c r="U3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0" t="str">
        <f>IF(OR(IFERROR(SEARCH("Met",tblMoeHistory[[#This Row],[State and Local Per Capita Result]]),0)&gt;0,IFERROR(SEARCH("Met",tblMoeHistory[[#This Row],[State and Local Total Result]]),0)&gt;0),"Met","Not Met")</f>
        <v>Met</v>
      </c>
    </row>
    <row r="391" spans="1:22" x14ac:dyDescent="0.35">
      <c r="A391" t="s">
        <v>215</v>
      </c>
      <c r="B391">
        <v>2255</v>
      </c>
      <c r="C391" t="s">
        <v>159</v>
      </c>
      <c r="D391">
        <v>120</v>
      </c>
      <c r="E391">
        <v>886791.81</v>
      </c>
      <c r="F391">
        <v>133260.57</v>
      </c>
      <c r="G391">
        <f>tblMoeHistory[[#This Row],[LEA State and Local Amount]]+tblMoeHistory[[#This Row],[ESD State and Local Amount]]</f>
        <v>1020052.3800000001</v>
      </c>
      <c r="H391">
        <v>0</v>
      </c>
      <c r="I391" t="s">
        <v>241</v>
      </c>
      <c r="J391">
        <f>IFERROR(tblMoeHistory[[#This Row],[LEA State and Local Amount]]/tblMoeHistory[[#This Row],[Child Count]],0)</f>
        <v>7389.9317500000006</v>
      </c>
      <c r="K391">
        <f>IFERROR(tblMoeHistory[[#This Row],[ESD State and Local Amount]]/tblMoeHistory[[#This Row],[Child Count]],0)</f>
        <v>1110.5047500000001</v>
      </c>
      <c r="L391">
        <f>IFERROR(tblMoeHistory[[#This Row],[State and Local Total Amount]]/tblMoeHistory[[#This Row],[Child Count]],0)</f>
        <v>8500.4365000000016</v>
      </c>
      <c r="M391">
        <v>0</v>
      </c>
      <c r="N391" t="s">
        <v>241</v>
      </c>
      <c r="O391">
        <v>203598.19</v>
      </c>
      <c r="P391">
        <v>2789.91</v>
      </c>
      <c r="Q391">
        <f>tblMoeHistory[[#This Row],[Amount of IDEA Part B, Section 611 award]]+tblMoeHistory[[#This Row],[Amount of IDEA Part B, Section 619 award]]</f>
        <v>206388.1</v>
      </c>
      <c r="U3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1" t="str">
        <f>IF(OR(IFERROR(SEARCH("Met",tblMoeHistory[[#This Row],[State and Local Per Capita Result]]),0)&gt;0,IFERROR(SEARCH("Met",tblMoeHistory[[#This Row],[State and Local Total Result]]),0)&gt;0),"Met","Not Met")</f>
        <v>Met</v>
      </c>
    </row>
    <row r="392" spans="1:22" x14ac:dyDescent="0.35">
      <c r="A392" t="s">
        <v>216</v>
      </c>
      <c r="B392">
        <v>2002</v>
      </c>
      <c r="C392" t="s">
        <v>159</v>
      </c>
      <c r="D392">
        <v>203</v>
      </c>
      <c r="E392">
        <v>1482541.88</v>
      </c>
      <c r="F392">
        <v>221885.08</v>
      </c>
      <c r="G392">
        <f>tblMoeHistory[[#This Row],[LEA State and Local Amount]]+tblMoeHistory[[#This Row],[ESD State and Local Amount]]</f>
        <v>1704426.96</v>
      </c>
      <c r="H392">
        <v>0</v>
      </c>
      <c r="I392" t="s">
        <v>241</v>
      </c>
      <c r="J392">
        <f>IFERROR(tblMoeHistory[[#This Row],[LEA State and Local Amount]]/tblMoeHistory[[#This Row],[Child Count]],0)</f>
        <v>7303.1619704433488</v>
      </c>
      <c r="K392">
        <f>IFERROR(tblMoeHistory[[#This Row],[ESD State and Local Amount]]/tblMoeHistory[[#This Row],[Child Count]],0)</f>
        <v>1093.0299507389161</v>
      </c>
      <c r="L392">
        <f>IFERROR(tblMoeHistory[[#This Row],[State and Local Total Amount]]/tblMoeHistory[[#This Row],[Child Count]],0)</f>
        <v>8396.191921182266</v>
      </c>
      <c r="M392">
        <v>0</v>
      </c>
      <c r="N392" t="s">
        <v>241</v>
      </c>
      <c r="O392">
        <v>280681.49</v>
      </c>
      <c r="P392">
        <v>4231.6400000000003</v>
      </c>
      <c r="Q392">
        <f>tblMoeHistory[[#This Row],[Amount of IDEA Part B, Section 611 award]]+tblMoeHistory[[#This Row],[Amount of IDEA Part B, Section 619 award]]</f>
        <v>284913.13</v>
      </c>
      <c r="U3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2" t="str">
        <f>IF(OR(IFERROR(SEARCH("Met",tblMoeHistory[[#This Row],[State and Local Per Capita Result]]),0)&gt;0,IFERROR(SEARCH("Met",tblMoeHistory[[#This Row],[State and Local Total Result]]),0)&gt;0),"Met","Not Met")</f>
        <v>Met</v>
      </c>
    </row>
    <row r="393" spans="1:22" x14ac:dyDescent="0.35">
      <c r="A393" t="s">
        <v>217</v>
      </c>
      <c r="B393">
        <v>2146</v>
      </c>
      <c r="C393" t="s">
        <v>159</v>
      </c>
      <c r="D393">
        <v>649</v>
      </c>
      <c r="E393">
        <v>5187077.24</v>
      </c>
      <c r="F393">
        <v>194422.53</v>
      </c>
      <c r="G393">
        <f>tblMoeHistory[[#This Row],[LEA State and Local Amount]]+tblMoeHistory[[#This Row],[ESD State and Local Amount]]</f>
        <v>5381499.7700000005</v>
      </c>
      <c r="H393">
        <v>0</v>
      </c>
      <c r="I393" t="s">
        <v>241</v>
      </c>
      <c r="J393">
        <f>IFERROR(tblMoeHistory[[#This Row],[LEA State and Local Amount]]/tblMoeHistory[[#This Row],[Child Count]],0)</f>
        <v>7992.4148536209559</v>
      </c>
      <c r="K393">
        <f>IFERROR(tblMoeHistory[[#This Row],[ESD State and Local Amount]]/tblMoeHistory[[#This Row],[Child Count]],0)</f>
        <v>299.57246533127886</v>
      </c>
      <c r="L393">
        <f>IFERROR(tblMoeHistory[[#This Row],[State and Local Total Amount]]/tblMoeHistory[[#This Row],[Child Count]],0)</f>
        <v>8291.987318952235</v>
      </c>
      <c r="M393">
        <v>0</v>
      </c>
      <c r="N393" t="s">
        <v>241</v>
      </c>
      <c r="O393">
        <v>739957.45</v>
      </c>
      <c r="P393">
        <v>2540.86</v>
      </c>
      <c r="Q393">
        <f>tblMoeHistory[[#This Row],[Amount of IDEA Part B, Section 611 award]]+tblMoeHistory[[#This Row],[Amount of IDEA Part B, Section 619 award]]</f>
        <v>742498.30999999994</v>
      </c>
      <c r="U3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3" t="str">
        <f>IF(OR(IFERROR(SEARCH("Met",tblMoeHistory[[#This Row],[State and Local Per Capita Result]]),0)&gt;0,IFERROR(SEARCH("Met",tblMoeHistory[[#This Row],[State and Local Total Result]]),0)&gt;0),"Met","Not Met")</f>
        <v>Met</v>
      </c>
    </row>
    <row r="394" spans="1:22" x14ac:dyDescent="0.35">
      <c r="A394" t="s">
        <v>218</v>
      </c>
      <c r="B394">
        <v>2251</v>
      </c>
      <c r="C394" t="s">
        <v>159</v>
      </c>
      <c r="D394">
        <v>154</v>
      </c>
      <c r="E394">
        <v>1040621.35</v>
      </c>
      <c r="F394">
        <v>20469.28</v>
      </c>
      <c r="G394">
        <f>tblMoeHistory[[#This Row],[LEA State and Local Amount]]+tblMoeHistory[[#This Row],[ESD State and Local Amount]]</f>
        <v>1061090.6299999999</v>
      </c>
      <c r="H394">
        <v>0</v>
      </c>
      <c r="I394" t="s">
        <v>241</v>
      </c>
      <c r="J394">
        <f>IFERROR(tblMoeHistory[[#This Row],[LEA State and Local Amount]]/tblMoeHistory[[#This Row],[Child Count]],0)</f>
        <v>6757.2814935064935</v>
      </c>
      <c r="K394">
        <f>IFERROR(tblMoeHistory[[#This Row],[ESD State and Local Amount]]/tblMoeHistory[[#This Row],[Child Count]],0)</f>
        <v>132.9174025974026</v>
      </c>
      <c r="L394">
        <f>IFERROR(tblMoeHistory[[#This Row],[State and Local Total Amount]]/tblMoeHistory[[#This Row],[Child Count]],0)</f>
        <v>6890.1988961038951</v>
      </c>
      <c r="M394">
        <v>0</v>
      </c>
      <c r="N394" t="s">
        <v>240</v>
      </c>
      <c r="O394">
        <v>203719.77</v>
      </c>
      <c r="P394">
        <v>1048.8699999999999</v>
      </c>
      <c r="Q394">
        <f>tblMoeHistory[[#This Row],[Amount of IDEA Part B, Section 611 award]]+tblMoeHistory[[#This Row],[Amount of IDEA Part B, Section 619 award]]</f>
        <v>204768.63999999998</v>
      </c>
      <c r="U3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4" t="str">
        <f>IF(OR(IFERROR(SEARCH("Met",tblMoeHistory[[#This Row],[State and Local Per Capita Result]]),0)&gt;0,IFERROR(SEARCH("Met",tblMoeHistory[[#This Row],[State and Local Total Result]]),0)&gt;0),"Met","Not Met")</f>
        <v>Met</v>
      </c>
    </row>
    <row r="395" spans="1:22" x14ac:dyDescent="0.35">
      <c r="A395" t="s">
        <v>219</v>
      </c>
      <c r="B395">
        <v>1997</v>
      </c>
      <c r="C395" t="s">
        <v>159</v>
      </c>
      <c r="D395">
        <v>39</v>
      </c>
      <c r="E395">
        <v>203793.64</v>
      </c>
      <c r="F395">
        <v>50531.72</v>
      </c>
      <c r="G395">
        <f>tblMoeHistory[[#This Row],[LEA State and Local Amount]]+tblMoeHistory[[#This Row],[ESD State and Local Amount]]</f>
        <v>254325.36000000002</v>
      </c>
      <c r="H395">
        <v>0</v>
      </c>
      <c r="I395" t="s">
        <v>241</v>
      </c>
      <c r="J395">
        <f>IFERROR(tblMoeHistory[[#This Row],[LEA State and Local Amount]]/tblMoeHistory[[#This Row],[Child Count]],0)</f>
        <v>5225.4779487179494</v>
      </c>
      <c r="K395">
        <f>IFERROR(tblMoeHistory[[#This Row],[ESD State and Local Amount]]/tblMoeHistory[[#This Row],[Child Count]],0)</f>
        <v>1295.6851282051282</v>
      </c>
      <c r="L395">
        <f>IFERROR(tblMoeHistory[[#This Row],[State and Local Total Amount]]/tblMoeHistory[[#This Row],[Child Count]],0)</f>
        <v>6521.1630769230769</v>
      </c>
      <c r="M395">
        <v>0</v>
      </c>
      <c r="N395" t="s">
        <v>241</v>
      </c>
      <c r="O395">
        <v>67173.55</v>
      </c>
      <c r="P395">
        <v>987.35</v>
      </c>
      <c r="Q395">
        <f>tblMoeHistory[[#This Row],[Amount of IDEA Part B, Section 611 award]]+tblMoeHistory[[#This Row],[Amount of IDEA Part B, Section 619 award]]</f>
        <v>68160.900000000009</v>
      </c>
      <c r="U3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5" t="str">
        <f>IF(OR(IFERROR(SEARCH("Met",tblMoeHistory[[#This Row],[State and Local Per Capita Result]]),0)&gt;0,IFERROR(SEARCH("Met",tblMoeHistory[[#This Row],[State and Local Total Result]]),0)&gt;0),"Met","Not Met")</f>
        <v>Met</v>
      </c>
    </row>
    <row r="396" spans="1:22" x14ac:dyDescent="0.35">
      <c r="A396" t="s">
        <v>14</v>
      </c>
      <c r="B396">
        <v>2063</v>
      </c>
      <c r="C396" t="s">
        <v>22</v>
      </c>
      <c r="D396">
        <v>2</v>
      </c>
      <c r="E396">
        <v>4601.6400000000003</v>
      </c>
      <c r="F396">
        <v>15192.86</v>
      </c>
      <c r="G396">
        <f>tblMoeHistory[[#This Row],[LEA State and Local Amount]]+tblMoeHistory[[#This Row],[ESD State and Local Amount]]</f>
        <v>19794.5</v>
      </c>
      <c r="H396">
        <v>0</v>
      </c>
      <c r="I396" t="s">
        <v>240</v>
      </c>
      <c r="J396">
        <f>IFERROR(tblMoeHistory[[#This Row],[LEA State and Local Amount]]/tblMoeHistory[[#This Row],[Child Count]],0)</f>
        <v>2300.8200000000002</v>
      </c>
      <c r="K396">
        <f>IFERROR(tblMoeHistory[[#This Row],[ESD State and Local Amount]]/tblMoeHistory[[#This Row],[Child Count]],0)</f>
        <v>7596.43</v>
      </c>
      <c r="L396">
        <f>IFERROR(tblMoeHistory[[#This Row],[State and Local Total Amount]]/tblMoeHistory[[#This Row],[Child Count]],0)</f>
        <v>9897.25</v>
      </c>
      <c r="M396">
        <v>0</v>
      </c>
      <c r="N396" t="s">
        <v>240</v>
      </c>
      <c r="O396">
        <v>2057.9499999999998</v>
      </c>
      <c r="P396">
        <v>0</v>
      </c>
      <c r="Q396">
        <f>tblMoeHistory[[#This Row],[Amount of IDEA Part B, Section 611 award]]+tblMoeHistory[[#This Row],[Amount of IDEA Part B, Section 619 award]]</f>
        <v>2057.9499999999998</v>
      </c>
      <c r="U3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6" t="str">
        <f>IF(OR(IFERROR(SEARCH("Met",tblMoeHistory[[#This Row],[State and Local Per Capita Result]]),0)&gt;0,IFERROR(SEARCH("Met",tblMoeHistory[[#This Row],[State and Local Total Result]]),0)&gt;0),"Met","Not Met")</f>
        <v>Not Met</v>
      </c>
    </row>
    <row r="397" spans="1:22" x14ac:dyDescent="0.35">
      <c r="A397" t="s">
        <v>17</v>
      </c>
      <c r="B397">
        <v>2113</v>
      </c>
      <c r="C397" t="s">
        <v>22</v>
      </c>
      <c r="D397">
        <v>42</v>
      </c>
      <c r="E397">
        <v>186763.08</v>
      </c>
      <c r="F397">
        <v>70508.13</v>
      </c>
      <c r="G397">
        <f>tblMoeHistory[[#This Row],[LEA State and Local Amount]]+tblMoeHistory[[#This Row],[ESD State and Local Amount]]</f>
        <v>257271.21</v>
      </c>
      <c r="H397">
        <v>0</v>
      </c>
      <c r="I397" t="s">
        <v>241</v>
      </c>
      <c r="J397">
        <f>IFERROR(tblMoeHistory[[#This Row],[LEA State and Local Amount]]/tblMoeHistory[[#This Row],[Child Count]],0)</f>
        <v>4446.74</v>
      </c>
      <c r="K397">
        <f>IFERROR(tblMoeHistory[[#This Row],[ESD State and Local Amount]]/tblMoeHistory[[#This Row],[Child Count]],0)</f>
        <v>1678.7650000000001</v>
      </c>
      <c r="L397">
        <f>IFERROR(tblMoeHistory[[#This Row],[State and Local Total Amount]]/tblMoeHistory[[#This Row],[Child Count]],0)</f>
        <v>6125.5050000000001</v>
      </c>
      <c r="M397">
        <v>0</v>
      </c>
      <c r="N397" t="s">
        <v>240</v>
      </c>
      <c r="O397">
        <v>45031.199999999997</v>
      </c>
      <c r="P397">
        <v>0</v>
      </c>
      <c r="Q397">
        <f>tblMoeHistory[[#This Row],[Amount of IDEA Part B, Section 611 award]]+tblMoeHistory[[#This Row],[Amount of IDEA Part B, Section 619 award]]</f>
        <v>45031.199999999997</v>
      </c>
      <c r="U3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7" t="str">
        <f>IF(OR(IFERROR(SEARCH("Met",tblMoeHistory[[#This Row],[State and Local Per Capita Result]]),0)&gt;0,IFERROR(SEARCH("Met",tblMoeHistory[[#This Row],[State and Local Total Result]]),0)&gt;0),"Met","Not Met")</f>
        <v>Met</v>
      </c>
    </row>
    <row r="398" spans="1:22" x14ac:dyDescent="0.35">
      <c r="A398" t="s">
        <v>20</v>
      </c>
      <c r="B398">
        <v>1899</v>
      </c>
      <c r="C398" t="s">
        <v>22</v>
      </c>
      <c r="D398">
        <v>27</v>
      </c>
      <c r="E398">
        <v>166352.26</v>
      </c>
      <c r="F398">
        <v>14672</v>
      </c>
      <c r="G398">
        <f>tblMoeHistory[[#This Row],[LEA State and Local Amount]]+tblMoeHistory[[#This Row],[ESD State and Local Amount]]</f>
        <v>181024.26</v>
      </c>
      <c r="H398">
        <v>0</v>
      </c>
      <c r="I398" t="s">
        <v>241</v>
      </c>
      <c r="J398">
        <f>IFERROR(tblMoeHistory[[#This Row],[LEA State and Local Amount]]/tblMoeHistory[[#This Row],[Child Count]],0)</f>
        <v>6161.1948148148149</v>
      </c>
      <c r="K398">
        <f>IFERROR(tblMoeHistory[[#This Row],[ESD State and Local Amount]]/tblMoeHistory[[#This Row],[Child Count]],0)</f>
        <v>543.40740740740739</v>
      </c>
      <c r="L398">
        <f>IFERROR(tblMoeHistory[[#This Row],[State and Local Total Amount]]/tblMoeHistory[[#This Row],[Child Count]],0)</f>
        <v>6704.6022222222227</v>
      </c>
      <c r="M398">
        <v>0</v>
      </c>
      <c r="N398" t="s">
        <v>240</v>
      </c>
      <c r="O398">
        <v>27247.84</v>
      </c>
      <c r="P398">
        <v>0</v>
      </c>
      <c r="Q398">
        <f>tblMoeHistory[[#This Row],[Amount of IDEA Part B, Section 611 award]]+tblMoeHistory[[#This Row],[Amount of IDEA Part B, Section 619 award]]</f>
        <v>27247.84</v>
      </c>
      <c r="U3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8" t="str">
        <f>IF(OR(IFERROR(SEARCH("Met",tblMoeHistory[[#This Row],[State and Local Per Capita Result]]),0)&gt;0,IFERROR(SEARCH("Met",tblMoeHistory[[#This Row],[State and Local Total Result]]),0)&gt;0),"Met","Not Met")</f>
        <v>Met</v>
      </c>
    </row>
    <row r="399" spans="1:22" x14ac:dyDescent="0.35">
      <c r="A399" t="s">
        <v>21</v>
      </c>
      <c r="B399">
        <v>2252</v>
      </c>
      <c r="C399" t="s">
        <v>22</v>
      </c>
      <c r="D399">
        <v>103</v>
      </c>
      <c r="E399">
        <v>633103.72</v>
      </c>
      <c r="F399">
        <v>140710.43</v>
      </c>
      <c r="G399">
        <f>tblMoeHistory[[#This Row],[LEA State and Local Amount]]+tblMoeHistory[[#This Row],[ESD State and Local Amount]]</f>
        <v>773814.14999999991</v>
      </c>
      <c r="H399">
        <v>0</v>
      </c>
      <c r="I399" t="s">
        <v>242</v>
      </c>
      <c r="J399">
        <f>IFERROR(tblMoeHistory[[#This Row],[LEA State and Local Amount]]/tblMoeHistory[[#This Row],[Child Count]],0)</f>
        <v>6146.6380582524271</v>
      </c>
      <c r="K399">
        <f>IFERROR(tblMoeHistory[[#This Row],[ESD State and Local Amount]]/tblMoeHistory[[#This Row],[Child Count]],0)</f>
        <v>1366.1206796116505</v>
      </c>
      <c r="L399">
        <f>IFERROR(tblMoeHistory[[#This Row],[State and Local Total Amount]]/tblMoeHistory[[#This Row],[Child Count]],0)</f>
        <v>7512.7587378640765</v>
      </c>
      <c r="M399">
        <v>0</v>
      </c>
      <c r="N399" t="s">
        <v>241</v>
      </c>
      <c r="O399">
        <v>145886.75</v>
      </c>
      <c r="P399">
        <v>1810.37</v>
      </c>
      <c r="Q399">
        <f>tblMoeHistory[[#This Row],[Amount of IDEA Part B, Section 611 award]]+tblMoeHistory[[#This Row],[Amount of IDEA Part B, Section 619 award]]</f>
        <v>147697.12</v>
      </c>
      <c r="S399">
        <v>15025.5</v>
      </c>
      <c r="T399">
        <v>15025.5</v>
      </c>
      <c r="U3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9" t="str">
        <f>IF(OR(IFERROR(SEARCH("Met",tblMoeHistory[[#This Row],[State and Local Per Capita Result]]),0)&gt;0,IFERROR(SEARCH("Met",tblMoeHistory[[#This Row],[State and Local Total Result]]),0)&gt;0),"Met","Not Met")</f>
        <v>Met</v>
      </c>
    </row>
    <row r="400" spans="1:22" x14ac:dyDescent="0.35">
      <c r="A400" t="s">
        <v>23</v>
      </c>
      <c r="B400">
        <v>2111</v>
      </c>
      <c r="C400" t="s">
        <v>22</v>
      </c>
      <c r="D400">
        <v>10</v>
      </c>
      <c r="E400">
        <v>9077.5400000000009</v>
      </c>
      <c r="F400">
        <v>21960.68</v>
      </c>
      <c r="G400">
        <f>tblMoeHistory[[#This Row],[LEA State and Local Amount]]+tblMoeHistory[[#This Row],[ESD State and Local Amount]]</f>
        <v>31038.22</v>
      </c>
      <c r="H400">
        <v>0</v>
      </c>
      <c r="I400" t="s">
        <v>241</v>
      </c>
      <c r="J400">
        <f>IFERROR(tblMoeHistory[[#This Row],[LEA State and Local Amount]]/tblMoeHistory[[#This Row],[Child Count]],0)</f>
        <v>907.75400000000013</v>
      </c>
      <c r="K400">
        <f>IFERROR(tblMoeHistory[[#This Row],[ESD State and Local Amount]]/tblMoeHistory[[#This Row],[Child Count]],0)</f>
        <v>2196.0680000000002</v>
      </c>
      <c r="L400">
        <f>IFERROR(tblMoeHistory[[#This Row],[State and Local Total Amount]]/tblMoeHistory[[#This Row],[Child Count]],0)</f>
        <v>3103.8220000000001</v>
      </c>
      <c r="M400">
        <v>0</v>
      </c>
      <c r="N400" t="s">
        <v>240</v>
      </c>
      <c r="O400">
        <v>18848.82</v>
      </c>
      <c r="P400">
        <v>6.87</v>
      </c>
      <c r="Q400">
        <f>tblMoeHistory[[#This Row],[Amount of IDEA Part B, Section 611 award]]+tblMoeHistory[[#This Row],[Amount of IDEA Part B, Section 619 award]]</f>
        <v>18855.689999999999</v>
      </c>
      <c r="U4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0" t="str">
        <f>IF(OR(IFERROR(SEARCH("Met",tblMoeHistory[[#This Row],[State and Local Per Capita Result]]),0)&gt;0,IFERROR(SEARCH("Met",tblMoeHistory[[#This Row],[State and Local Total Result]]),0)&gt;0),"Met","Not Met")</f>
        <v>Met</v>
      </c>
    </row>
    <row r="401" spans="1:22" x14ac:dyDescent="0.35">
      <c r="A401" t="s">
        <v>24</v>
      </c>
      <c r="B401">
        <v>2005</v>
      </c>
      <c r="C401" t="s">
        <v>22</v>
      </c>
      <c r="D401">
        <v>24</v>
      </c>
      <c r="E401">
        <v>28120.44</v>
      </c>
      <c r="F401">
        <v>107985</v>
      </c>
      <c r="G401">
        <f>tblMoeHistory[[#This Row],[LEA State and Local Amount]]+tblMoeHistory[[#This Row],[ESD State and Local Amount]]</f>
        <v>136105.44</v>
      </c>
      <c r="H401">
        <v>0</v>
      </c>
      <c r="I401" t="s">
        <v>241</v>
      </c>
      <c r="J401">
        <f>IFERROR(tblMoeHistory[[#This Row],[LEA State and Local Amount]]/tblMoeHistory[[#This Row],[Child Count]],0)</f>
        <v>1171.6849999999999</v>
      </c>
      <c r="K401">
        <f>IFERROR(tblMoeHistory[[#This Row],[ESD State and Local Amount]]/tblMoeHistory[[#This Row],[Child Count]],0)</f>
        <v>4499.375</v>
      </c>
      <c r="L401">
        <f>IFERROR(tblMoeHistory[[#This Row],[State and Local Total Amount]]/tblMoeHistory[[#This Row],[Child Count]],0)</f>
        <v>5671.06</v>
      </c>
      <c r="M401">
        <v>0</v>
      </c>
      <c r="N401" t="s">
        <v>240</v>
      </c>
      <c r="O401">
        <v>19720.43</v>
      </c>
      <c r="P401">
        <v>0</v>
      </c>
      <c r="Q401">
        <f>tblMoeHistory[[#This Row],[Amount of IDEA Part B, Section 611 award]]+tblMoeHistory[[#This Row],[Amount of IDEA Part B, Section 619 award]]</f>
        <v>19720.43</v>
      </c>
      <c r="U4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1" t="str">
        <f>IF(OR(IFERROR(SEARCH("Met",tblMoeHistory[[#This Row],[State and Local Per Capita Result]]),0)&gt;0,IFERROR(SEARCH("Met",tblMoeHistory[[#This Row],[State and Local Total Result]]),0)&gt;0),"Met","Not Met")</f>
        <v>Met</v>
      </c>
    </row>
    <row r="402" spans="1:22" x14ac:dyDescent="0.35">
      <c r="A402" t="s">
        <v>25</v>
      </c>
      <c r="B402">
        <v>2115</v>
      </c>
      <c r="C402" t="s">
        <v>22</v>
      </c>
      <c r="D402">
        <v>0</v>
      </c>
      <c r="E402">
        <v>0</v>
      </c>
      <c r="F402">
        <v>1190.2</v>
      </c>
      <c r="G402">
        <f>tblMoeHistory[[#This Row],[LEA State and Local Amount]]+tblMoeHistory[[#This Row],[ESD State and Local Amount]]</f>
        <v>1190.2</v>
      </c>
      <c r="H402">
        <v>0</v>
      </c>
      <c r="I402" t="s">
        <v>240</v>
      </c>
      <c r="J402">
        <f>IFERROR(tblMoeHistory[[#This Row],[LEA State and Local Amount]]/tblMoeHistory[[#This Row],[Child Count]],0)</f>
        <v>0</v>
      </c>
      <c r="K402">
        <f>IFERROR(tblMoeHistory[[#This Row],[ESD State and Local Amount]]/tblMoeHistory[[#This Row],[Child Count]],0)</f>
        <v>0</v>
      </c>
      <c r="L402">
        <f>IFERROR(tblMoeHistory[[#This Row],[State and Local Total Amount]]/tblMoeHistory[[#This Row],[Child Count]],0)</f>
        <v>0</v>
      </c>
      <c r="M402">
        <v>0</v>
      </c>
      <c r="N402" t="s">
        <v>241</v>
      </c>
      <c r="O402">
        <v>2656.61</v>
      </c>
      <c r="P402">
        <v>0.75</v>
      </c>
      <c r="Q402">
        <f>tblMoeHistory[[#This Row],[Amount of IDEA Part B, Section 611 award]]+tblMoeHistory[[#This Row],[Amount of IDEA Part B, Section 619 award]]</f>
        <v>2657.36</v>
      </c>
      <c r="U4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2" t="str">
        <f>IF(OR(IFERROR(SEARCH("Met",tblMoeHistory[[#This Row],[State and Local Per Capita Result]]),0)&gt;0,IFERROR(SEARCH("Met",tblMoeHistory[[#This Row],[State and Local Total Result]]),0)&gt;0),"Met","Not Met")</f>
        <v>Met</v>
      </c>
    </row>
    <row r="403" spans="1:22" x14ac:dyDescent="0.35">
      <c r="A403" t="s">
        <v>26</v>
      </c>
      <c r="B403">
        <v>2041</v>
      </c>
      <c r="C403" t="s">
        <v>22</v>
      </c>
      <c r="D403">
        <v>334</v>
      </c>
      <c r="E403">
        <v>1941666.27</v>
      </c>
      <c r="F403">
        <v>369888.46</v>
      </c>
      <c r="G403">
        <f>tblMoeHistory[[#This Row],[LEA State and Local Amount]]+tblMoeHistory[[#This Row],[ESD State and Local Amount]]</f>
        <v>2311554.73</v>
      </c>
      <c r="H403">
        <v>0</v>
      </c>
      <c r="I403" t="s">
        <v>241</v>
      </c>
      <c r="J403">
        <f>IFERROR(tblMoeHistory[[#This Row],[LEA State and Local Amount]]/tblMoeHistory[[#This Row],[Child Count]],0)</f>
        <v>5813.3720658682632</v>
      </c>
      <c r="K403">
        <f>IFERROR(tblMoeHistory[[#This Row],[ESD State and Local Amount]]/tblMoeHistory[[#This Row],[Child Count]],0)</f>
        <v>1107.4504790419162</v>
      </c>
      <c r="L403">
        <f>IFERROR(tblMoeHistory[[#This Row],[State and Local Total Amount]]/tblMoeHistory[[#This Row],[Child Count]],0)</f>
        <v>6920.8225449101792</v>
      </c>
      <c r="M403">
        <v>0</v>
      </c>
      <c r="N403" t="s">
        <v>240</v>
      </c>
      <c r="O403">
        <v>436673.17</v>
      </c>
      <c r="P403">
        <v>3369.38</v>
      </c>
      <c r="Q403">
        <f>tblMoeHistory[[#This Row],[Amount of IDEA Part B, Section 611 award]]+tblMoeHistory[[#This Row],[Amount of IDEA Part B, Section 619 award]]</f>
        <v>440042.55</v>
      </c>
      <c r="U4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3" t="str">
        <f>IF(OR(IFERROR(SEARCH("Met",tblMoeHistory[[#This Row],[State and Local Per Capita Result]]),0)&gt;0,IFERROR(SEARCH("Met",tblMoeHistory[[#This Row],[State and Local Total Result]]),0)&gt;0),"Met","Not Met")</f>
        <v>Met</v>
      </c>
    </row>
    <row r="404" spans="1:22" x14ac:dyDescent="0.35">
      <c r="A404" t="s">
        <v>27</v>
      </c>
      <c r="B404">
        <v>2051</v>
      </c>
      <c r="C404" t="s">
        <v>22</v>
      </c>
      <c r="D404">
        <v>0</v>
      </c>
      <c r="E404">
        <v>0</v>
      </c>
      <c r="F404">
        <v>7674.88</v>
      </c>
      <c r="G404">
        <f>tblMoeHistory[[#This Row],[LEA State and Local Amount]]+tblMoeHistory[[#This Row],[ESD State and Local Amount]]</f>
        <v>7674.88</v>
      </c>
      <c r="H404">
        <v>0</v>
      </c>
      <c r="I404" t="s">
        <v>241</v>
      </c>
      <c r="J404">
        <f>IFERROR(tblMoeHistory[[#This Row],[LEA State and Local Amount]]/tblMoeHistory[[#This Row],[Child Count]],0)</f>
        <v>0</v>
      </c>
      <c r="K404">
        <f>IFERROR(tblMoeHistory[[#This Row],[ESD State and Local Amount]]/tblMoeHistory[[#This Row],[Child Count]],0)</f>
        <v>0</v>
      </c>
      <c r="L404">
        <f>IFERROR(tblMoeHistory[[#This Row],[State and Local Total Amount]]/tblMoeHistory[[#This Row],[Child Count]],0)</f>
        <v>0</v>
      </c>
      <c r="M404">
        <v>0</v>
      </c>
      <c r="N404" t="s">
        <v>241</v>
      </c>
      <c r="O404">
        <v>1598.06</v>
      </c>
      <c r="P404">
        <v>1.0900000000000001</v>
      </c>
      <c r="Q404">
        <f>tblMoeHistory[[#This Row],[Amount of IDEA Part B, Section 611 award]]+tblMoeHistory[[#This Row],[Amount of IDEA Part B, Section 619 award]]</f>
        <v>1599.1499999999999</v>
      </c>
      <c r="U4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4" t="str">
        <f>IF(OR(IFERROR(SEARCH("Met",tblMoeHistory[[#This Row],[State and Local Per Capita Result]]),0)&gt;0,IFERROR(SEARCH("Met",tblMoeHistory[[#This Row],[State and Local Total Result]]),0)&gt;0),"Met","Not Met")</f>
        <v>Met</v>
      </c>
    </row>
    <row r="405" spans="1:22" x14ac:dyDescent="0.35">
      <c r="A405" t="s">
        <v>28</v>
      </c>
      <c r="B405">
        <v>1933</v>
      </c>
      <c r="C405" t="s">
        <v>22</v>
      </c>
      <c r="D405">
        <v>266</v>
      </c>
      <c r="E405">
        <v>1850846.27</v>
      </c>
      <c r="F405">
        <v>397531</v>
      </c>
      <c r="G405">
        <f>tblMoeHistory[[#This Row],[LEA State and Local Amount]]+tblMoeHistory[[#This Row],[ESD State and Local Amount]]</f>
        <v>2248377.27</v>
      </c>
      <c r="H405">
        <v>0</v>
      </c>
      <c r="I405" t="s">
        <v>241</v>
      </c>
      <c r="J405">
        <f>IFERROR(tblMoeHistory[[#This Row],[LEA State and Local Amount]]/tblMoeHistory[[#This Row],[Child Count]],0)</f>
        <v>6958.068684210526</v>
      </c>
      <c r="K405">
        <f>IFERROR(tblMoeHistory[[#This Row],[ESD State and Local Amount]]/tblMoeHistory[[#This Row],[Child Count]],0)</f>
        <v>1494.4774436090227</v>
      </c>
      <c r="L405">
        <f>IFERROR(tblMoeHistory[[#This Row],[State and Local Total Amount]]/tblMoeHistory[[#This Row],[Child Count]],0)</f>
        <v>8452.5461278195489</v>
      </c>
      <c r="M405">
        <v>0</v>
      </c>
      <c r="N405" t="s">
        <v>240</v>
      </c>
      <c r="O405">
        <v>258155.89</v>
      </c>
      <c r="P405">
        <v>1764.37</v>
      </c>
      <c r="Q405">
        <f>tblMoeHistory[[#This Row],[Amount of IDEA Part B, Section 611 award]]+tblMoeHistory[[#This Row],[Amount of IDEA Part B, Section 619 award]]</f>
        <v>259920.26</v>
      </c>
      <c r="U4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5" t="str">
        <f>IF(OR(IFERROR(SEARCH("Met",tblMoeHistory[[#This Row],[State and Local Per Capita Result]]),0)&gt;0,IFERROR(SEARCH("Met",tblMoeHistory[[#This Row],[State and Local Total Result]]),0)&gt;0),"Met","Not Met")</f>
        <v>Met</v>
      </c>
    </row>
    <row r="406" spans="1:22" x14ac:dyDescent="0.35">
      <c r="A406" t="s">
        <v>29</v>
      </c>
      <c r="B406">
        <v>2208</v>
      </c>
      <c r="C406" t="s">
        <v>22</v>
      </c>
      <c r="D406">
        <v>78</v>
      </c>
      <c r="E406">
        <v>343617.59</v>
      </c>
      <c r="F406">
        <v>117148.95</v>
      </c>
      <c r="G406">
        <f>tblMoeHistory[[#This Row],[LEA State and Local Amount]]+tblMoeHistory[[#This Row],[ESD State and Local Amount]]</f>
        <v>460766.54000000004</v>
      </c>
      <c r="H406">
        <v>0</v>
      </c>
      <c r="I406" t="s">
        <v>242</v>
      </c>
      <c r="J406">
        <f>IFERROR(tblMoeHistory[[#This Row],[LEA State and Local Amount]]/tblMoeHistory[[#This Row],[Child Count]],0)</f>
        <v>4405.3537179487184</v>
      </c>
      <c r="K406">
        <f>IFERROR(tblMoeHistory[[#This Row],[ESD State and Local Amount]]/tblMoeHistory[[#This Row],[Child Count]],0)</f>
        <v>1501.9096153846153</v>
      </c>
      <c r="L406">
        <f>IFERROR(tblMoeHistory[[#This Row],[State and Local Total Amount]]/tblMoeHistory[[#This Row],[Child Count]],0)</f>
        <v>5907.2633333333342</v>
      </c>
      <c r="M406">
        <v>0</v>
      </c>
      <c r="N406" t="s">
        <v>241</v>
      </c>
      <c r="O406">
        <v>90975.51</v>
      </c>
      <c r="P406">
        <v>1634</v>
      </c>
      <c r="Q406">
        <f>tblMoeHistory[[#This Row],[Amount of IDEA Part B, Section 611 award]]+tblMoeHistory[[#This Row],[Amount of IDEA Part B, Section 619 award]]</f>
        <v>92609.51</v>
      </c>
      <c r="S406">
        <v>5593.84</v>
      </c>
      <c r="T406">
        <v>5593.84</v>
      </c>
      <c r="U4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6" t="str">
        <f>IF(OR(IFERROR(SEARCH("Met",tblMoeHistory[[#This Row],[State and Local Per Capita Result]]),0)&gt;0,IFERROR(SEARCH("Met",tblMoeHistory[[#This Row],[State and Local Total Result]]),0)&gt;0),"Met","Not Met")</f>
        <v>Met</v>
      </c>
    </row>
    <row r="407" spans="1:22" x14ac:dyDescent="0.35">
      <c r="A407" t="s">
        <v>30</v>
      </c>
      <c r="B407">
        <v>1894</v>
      </c>
      <c r="C407" t="s">
        <v>22</v>
      </c>
      <c r="D407">
        <v>277</v>
      </c>
      <c r="E407">
        <v>2105043.11</v>
      </c>
      <c r="F407">
        <v>0</v>
      </c>
      <c r="G407">
        <f>tblMoeHistory[[#This Row],[LEA State and Local Amount]]+tblMoeHistory[[#This Row],[ESD State and Local Amount]]</f>
        <v>2105043.11</v>
      </c>
      <c r="H407">
        <v>0</v>
      </c>
      <c r="I407" t="s">
        <v>241</v>
      </c>
      <c r="J407">
        <f>IFERROR(tblMoeHistory[[#This Row],[LEA State and Local Amount]]/tblMoeHistory[[#This Row],[Child Count]],0)</f>
        <v>7599.4336101083027</v>
      </c>
      <c r="K407">
        <f>IFERROR(tblMoeHistory[[#This Row],[ESD State and Local Amount]]/tblMoeHistory[[#This Row],[Child Count]],0)</f>
        <v>0</v>
      </c>
      <c r="L407">
        <f>IFERROR(tblMoeHistory[[#This Row],[State and Local Total Amount]]/tblMoeHistory[[#This Row],[Child Count]],0)</f>
        <v>7599.4336101083027</v>
      </c>
      <c r="M407">
        <v>0</v>
      </c>
      <c r="N407" t="s">
        <v>241</v>
      </c>
      <c r="O407">
        <v>386062.1</v>
      </c>
      <c r="P407">
        <v>5944.54</v>
      </c>
      <c r="Q407">
        <f>tblMoeHistory[[#This Row],[Amount of IDEA Part B, Section 611 award]]+tblMoeHistory[[#This Row],[Amount of IDEA Part B, Section 619 award]]</f>
        <v>392006.63999999996</v>
      </c>
      <c r="U4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7" t="str">
        <f>IF(OR(IFERROR(SEARCH("Met",tblMoeHistory[[#This Row],[State and Local Per Capita Result]]),0)&gt;0,IFERROR(SEARCH("Met",tblMoeHistory[[#This Row],[State and Local Total Result]]),0)&gt;0),"Met","Not Met")</f>
        <v>Met</v>
      </c>
    </row>
    <row r="408" spans="1:22" x14ac:dyDescent="0.35">
      <c r="A408" t="s">
        <v>32</v>
      </c>
      <c r="B408">
        <v>1969</v>
      </c>
      <c r="C408" t="s">
        <v>22</v>
      </c>
      <c r="D408">
        <v>91</v>
      </c>
      <c r="E408">
        <v>552816.42000000004</v>
      </c>
      <c r="F408">
        <v>576586</v>
      </c>
      <c r="G408">
        <f>tblMoeHistory[[#This Row],[LEA State and Local Amount]]+tblMoeHistory[[#This Row],[ESD State and Local Amount]]</f>
        <v>1129402.42</v>
      </c>
      <c r="H408">
        <v>0</v>
      </c>
      <c r="I408" t="s">
        <v>241</v>
      </c>
      <c r="J408">
        <f>IFERROR(tblMoeHistory[[#This Row],[LEA State and Local Amount]]/tblMoeHistory[[#This Row],[Child Count]],0)</f>
        <v>6074.9057142857146</v>
      </c>
      <c r="K408">
        <f>IFERROR(tblMoeHistory[[#This Row],[ESD State and Local Amount]]/tblMoeHistory[[#This Row],[Child Count]],0)</f>
        <v>6336.1098901098903</v>
      </c>
      <c r="L408">
        <f>IFERROR(tblMoeHistory[[#This Row],[State and Local Total Amount]]/tblMoeHistory[[#This Row],[Child Count]],0)</f>
        <v>12411.015604395603</v>
      </c>
      <c r="M408">
        <v>0</v>
      </c>
      <c r="N408" t="s">
        <v>241</v>
      </c>
      <c r="O408">
        <v>144059.29999999999</v>
      </c>
      <c r="P408">
        <v>2460.04</v>
      </c>
      <c r="Q408">
        <f>tblMoeHistory[[#This Row],[Amount of IDEA Part B, Section 611 award]]+tblMoeHistory[[#This Row],[Amount of IDEA Part B, Section 619 award]]</f>
        <v>146519.34</v>
      </c>
      <c r="U4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8" t="str">
        <f>IF(OR(IFERROR(SEARCH("Met",tblMoeHistory[[#This Row],[State and Local Per Capita Result]]),0)&gt;0,IFERROR(SEARCH("Met",tblMoeHistory[[#This Row],[State and Local Total Result]]),0)&gt;0),"Met","Not Met")</f>
        <v>Met</v>
      </c>
    </row>
    <row r="409" spans="1:22" x14ac:dyDescent="0.35">
      <c r="A409" t="s">
        <v>33</v>
      </c>
      <c r="B409">
        <v>2240</v>
      </c>
      <c r="C409" t="s">
        <v>22</v>
      </c>
      <c r="D409">
        <v>164</v>
      </c>
      <c r="E409">
        <v>1200216.17</v>
      </c>
      <c r="F409">
        <v>254512</v>
      </c>
      <c r="G409">
        <f>tblMoeHistory[[#This Row],[LEA State and Local Amount]]+tblMoeHistory[[#This Row],[ESD State and Local Amount]]</f>
        <v>1454728.17</v>
      </c>
      <c r="H409">
        <v>0</v>
      </c>
      <c r="I409" t="s">
        <v>241</v>
      </c>
      <c r="J409">
        <f>IFERROR(tblMoeHistory[[#This Row],[LEA State and Local Amount]]/tblMoeHistory[[#This Row],[Child Count]],0)</f>
        <v>7318.3912804878046</v>
      </c>
      <c r="K409">
        <f>IFERROR(tblMoeHistory[[#This Row],[ESD State and Local Amount]]/tblMoeHistory[[#This Row],[Child Count]],0)</f>
        <v>1551.9024390243903</v>
      </c>
      <c r="L409">
        <f>IFERROR(tblMoeHistory[[#This Row],[State and Local Total Amount]]/tblMoeHistory[[#This Row],[Child Count]],0)</f>
        <v>8870.293719512194</v>
      </c>
      <c r="M409">
        <v>0</v>
      </c>
      <c r="N409" t="s">
        <v>240</v>
      </c>
      <c r="O409">
        <v>197630.05</v>
      </c>
      <c r="P409">
        <v>1044.57</v>
      </c>
      <c r="Q409">
        <f>tblMoeHistory[[#This Row],[Amount of IDEA Part B, Section 611 award]]+tblMoeHistory[[#This Row],[Amount of IDEA Part B, Section 619 award]]</f>
        <v>198674.62</v>
      </c>
      <c r="U4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9" t="str">
        <f>IF(OR(IFERROR(SEARCH("Met",tblMoeHistory[[#This Row],[State and Local Per Capita Result]]),0)&gt;0,IFERROR(SEARCH("Met",tblMoeHistory[[#This Row],[State and Local Total Result]]),0)&gt;0),"Met","Not Met")</f>
        <v>Met</v>
      </c>
    </row>
    <row r="410" spans="1:22" x14ac:dyDescent="0.35">
      <c r="A410" t="s">
        <v>34</v>
      </c>
      <c r="B410">
        <v>2243</v>
      </c>
      <c r="C410" t="s">
        <v>22</v>
      </c>
      <c r="D410">
        <v>4938</v>
      </c>
      <c r="E410">
        <v>43573053.590000004</v>
      </c>
      <c r="F410">
        <v>3771830</v>
      </c>
      <c r="G410">
        <f>tblMoeHistory[[#This Row],[LEA State and Local Amount]]+tblMoeHistory[[#This Row],[ESD State and Local Amount]]</f>
        <v>47344883.590000004</v>
      </c>
      <c r="H410">
        <v>0</v>
      </c>
      <c r="I410" t="s">
        <v>241</v>
      </c>
      <c r="J410">
        <f>IFERROR(tblMoeHistory[[#This Row],[LEA State and Local Amount]]/tblMoeHistory[[#This Row],[Child Count]],0)</f>
        <v>8824.0286735520458</v>
      </c>
      <c r="K410">
        <f>IFERROR(tblMoeHistory[[#This Row],[ESD State and Local Amount]]/tblMoeHistory[[#This Row],[Child Count]],0)</f>
        <v>763.8375860672337</v>
      </c>
      <c r="L410">
        <f>IFERROR(tblMoeHistory[[#This Row],[State and Local Total Amount]]/tblMoeHistory[[#This Row],[Child Count]],0)</f>
        <v>9587.8662596192789</v>
      </c>
      <c r="M410">
        <v>0</v>
      </c>
      <c r="N410" t="s">
        <v>240</v>
      </c>
      <c r="O410">
        <v>6772088.96</v>
      </c>
      <c r="P410">
        <v>28097.98</v>
      </c>
      <c r="Q410">
        <f>tblMoeHistory[[#This Row],[Amount of IDEA Part B, Section 611 award]]+tblMoeHistory[[#This Row],[Amount of IDEA Part B, Section 619 award]]</f>
        <v>6800186.9400000004</v>
      </c>
      <c r="U4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0" t="str">
        <f>IF(OR(IFERROR(SEARCH("Met",tblMoeHistory[[#This Row],[State and Local Per Capita Result]]),0)&gt;0,IFERROR(SEARCH("Met",tblMoeHistory[[#This Row],[State and Local Total Result]]),0)&gt;0),"Met","Not Met")</f>
        <v>Met</v>
      </c>
    </row>
    <row r="411" spans="1:22" x14ac:dyDescent="0.35">
      <c r="A411" t="s">
        <v>35</v>
      </c>
      <c r="B411">
        <v>1976</v>
      </c>
      <c r="C411" t="s">
        <v>22</v>
      </c>
      <c r="D411">
        <v>2097</v>
      </c>
      <c r="E411">
        <v>16493212</v>
      </c>
      <c r="F411">
        <v>2461247.75</v>
      </c>
      <c r="G411">
        <f>tblMoeHistory[[#This Row],[LEA State and Local Amount]]+tblMoeHistory[[#This Row],[ESD State and Local Amount]]</f>
        <v>18954459.75</v>
      </c>
      <c r="H411">
        <v>0</v>
      </c>
      <c r="I411" t="s">
        <v>241</v>
      </c>
      <c r="J411">
        <f>IFERROR(tblMoeHistory[[#This Row],[LEA State and Local Amount]]/tblMoeHistory[[#This Row],[Child Count]],0)</f>
        <v>7865.146399618503</v>
      </c>
      <c r="K411">
        <f>IFERROR(tblMoeHistory[[#This Row],[ESD State and Local Amount]]/tblMoeHistory[[#This Row],[Child Count]],0)</f>
        <v>1173.6994515975202</v>
      </c>
      <c r="L411">
        <f>IFERROR(tblMoeHistory[[#This Row],[State and Local Total Amount]]/tblMoeHistory[[#This Row],[Child Count]],0)</f>
        <v>9038.8458512160232</v>
      </c>
      <c r="M411">
        <v>0</v>
      </c>
      <c r="N411" t="s">
        <v>241</v>
      </c>
      <c r="O411">
        <v>2634156.9900000002</v>
      </c>
      <c r="P411">
        <v>18187.96</v>
      </c>
      <c r="Q411">
        <f>tblMoeHistory[[#This Row],[Amount of IDEA Part B, Section 611 award]]+tblMoeHistory[[#This Row],[Amount of IDEA Part B, Section 619 award]]</f>
        <v>2652344.9500000002</v>
      </c>
      <c r="U4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1" t="str">
        <f>IF(OR(IFERROR(SEARCH("Met",tblMoeHistory[[#This Row],[State and Local Per Capita Result]]),0)&gt;0,IFERROR(SEARCH("Met",tblMoeHistory[[#This Row],[State and Local Total Result]]),0)&gt;0),"Met","Not Met")</f>
        <v>Met</v>
      </c>
    </row>
    <row r="412" spans="1:22" x14ac:dyDescent="0.35">
      <c r="A412" t="s">
        <v>36</v>
      </c>
      <c r="B412">
        <v>2088</v>
      </c>
      <c r="C412" t="s">
        <v>22</v>
      </c>
      <c r="D412">
        <v>932</v>
      </c>
      <c r="E412">
        <v>7292708.9699999997</v>
      </c>
      <c r="F412">
        <v>1371316</v>
      </c>
      <c r="G412">
        <f>tblMoeHistory[[#This Row],[LEA State and Local Amount]]+tblMoeHistory[[#This Row],[ESD State and Local Amount]]</f>
        <v>8664024.9699999988</v>
      </c>
      <c r="H412">
        <v>0</v>
      </c>
      <c r="I412" t="s">
        <v>242</v>
      </c>
      <c r="J412">
        <f>IFERROR(tblMoeHistory[[#This Row],[LEA State and Local Amount]]/tblMoeHistory[[#This Row],[Child Count]],0)</f>
        <v>7824.7950321888411</v>
      </c>
      <c r="K412">
        <f>IFERROR(tblMoeHistory[[#This Row],[ESD State and Local Amount]]/tblMoeHistory[[#This Row],[Child Count]],0)</f>
        <v>1471.3690987124464</v>
      </c>
      <c r="L412">
        <f>IFERROR(tblMoeHistory[[#This Row],[State and Local Total Amount]]/tblMoeHistory[[#This Row],[Child Count]],0)</f>
        <v>9296.1641309012866</v>
      </c>
      <c r="M412">
        <v>0</v>
      </c>
      <c r="N412" t="s">
        <v>242</v>
      </c>
      <c r="O412">
        <v>1022018.87</v>
      </c>
      <c r="P412">
        <v>6624.3</v>
      </c>
      <c r="Q412">
        <f>tblMoeHistory[[#This Row],[Amount of IDEA Part B, Section 611 award]]+tblMoeHistory[[#This Row],[Amount of IDEA Part B, Section 619 award]]</f>
        <v>1028643.17</v>
      </c>
      <c r="S412">
        <v>24588.11</v>
      </c>
      <c r="T412">
        <v>24588.11</v>
      </c>
      <c r="U4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2" t="str">
        <f>IF(OR(IFERROR(SEARCH("Met",tblMoeHistory[[#This Row],[State and Local Per Capita Result]]),0)&gt;0,IFERROR(SEARCH("Met",tblMoeHistory[[#This Row],[State and Local Total Result]]),0)&gt;0),"Met","Not Met")</f>
        <v>Met</v>
      </c>
    </row>
    <row r="413" spans="1:22" x14ac:dyDescent="0.35">
      <c r="A413" t="s">
        <v>37</v>
      </c>
      <c r="B413">
        <v>2095</v>
      </c>
      <c r="C413" t="s">
        <v>22</v>
      </c>
      <c r="D413">
        <v>34</v>
      </c>
      <c r="E413">
        <v>236900.82</v>
      </c>
      <c r="F413">
        <v>50845</v>
      </c>
      <c r="G413">
        <f>tblMoeHistory[[#This Row],[LEA State and Local Amount]]+tblMoeHistory[[#This Row],[ESD State and Local Amount]]</f>
        <v>287745.82</v>
      </c>
      <c r="H413">
        <v>0</v>
      </c>
      <c r="I413" t="s">
        <v>241</v>
      </c>
      <c r="J413">
        <f>IFERROR(tblMoeHistory[[#This Row],[LEA State and Local Amount]]/tblMoeHistory[[#This Row],[Child Count]],0)</f>
        <v>6967.6711764705888</v>
      </c>
      <c r="K413">
        <f>IFERROR(tblMoeHistory[[#This Row],[ESD State and Local Amount]]/tblMoeHistory[[#This Row],[Child Count]],0)</f>
        <v>1495.4411764705883</v>
      </c>
      <c r="L413">
        <f>IFERROR(tblMoeHistory[[#This Row],[State and Local Total Amount]]/tblMoeHistory[[#This Row],[Child Count]],0)</f>
        <v>8463.1123529411761</v>
      </c>
      <c r="M413">
        <v>0</v>
      </c>
      <c r="N413" t="s">
        <v>240</v>
      </c>
      <c r="O413">
        <v>40610.300000000003</v>
      </c>
      <c r="P413">
        <v>0</v>
      </c>
      <c r="Q413">
        <f>tblMoeHistory[[#This Row],[Amount of IDEA Part B, Section 611 award]]+tblMoeHistory[[#This Row],[Amount of IDEA Part B, Section 619 award]]</f>
        <v>40610.300000000003</v>
      </c>
      <c r="U4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3" t="str">
        <f>IF(OR(IFERROR(SEARCH("Met",tblMoeHistory[[#This Row],[State and Local Per Capita Result]]),0)&gt;0,IFERROR(SEARCH("Met",tblMoeHistory[[#This Row],[State and Local Total Result]]),0)&gt;0),"Met","Not Met")</f>
        <v>Met</v>
      </c>
    </row>
    <row r="414" spans="1:22" x14ac:dyDescent="0.35">
      <c r="A414" t="s">
        <v>38</v>
      </c>
      <c r="B414">
        <v>2052</v>
      </c>
      <c r="C414" t="s">
        <v>22</v>
      </c>
      <c r="D414">
        <v>0</v>
      </c>
      <c r="E414">
        <v>19006.71</v>
      </c>
      <c r="F414">
        <v>11641.12</v>
      </c>
      <c r="G414">
        <f>tblMoeHistory[[#This Row],[LEA State and Local Amount]]+tblMoeHistory[[#This Row],[ESD State and Local Amount]]</f>
        <v>30647.83</v>
      </c>
      <c r="H414">
        <v>0</v>
      </c>
      <c r="I414" t="s">
        <v>241</v>
      </c>
      <c r="J414">
        <f>IFERROR(tblMoeHistory[[#This Row],[LEA State and Local Amount]]/tblMoeHistory[[#This Row],[Child Count]],0)</f>
        <v>0</v>
      </c>
      <c r="K414">
        <f>IFERROR(tblMoeHistory[[#This Row],[ESD State and Local Amount]]/tblMoeHistory[[#This Row],[Child Count]],0)</f>
        <v>0</v>
      </c>
      <c r="L414">
        <f>IFERROR(tblMoeHistory[[#This Row],[State and Local Total Amount]]/tblMoeHistory[[#This Row],[Child Count]],0)</f>
        <v>0</v>
      </c>
      <c r="M414">
        <v>0</v>
      </c>
      <c r="N414" t="s">
        <v>240</v>
      </c>
      <c r="O414">
        <v>3218.35</v>
      </c>
      <c r="P414">
        <v>2.2000000000000002</v>
      </c>
      <c r="Q414">
        <f>tblMoeHistory[[#This Row],[Amount of IDEA Part B, Section 611 award]]+tblMoeHistory[[#This Row],[Amount of IDEA Part B, Section 619 award]]</f>
        <v>3220.5499999999997</v>
      </c>
      <c r="U4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4" t="str">
        <f>IF(OR(IFERROR(SEARCH("Met",tblMoeHistory[[#This Row],[State and Local Per Capita Result]]),0)&gt;0,IFERROR(SEARCH("Met",tblMoeHistory[[#This Row],[State and Local Total Result]]),0)&gt;0),"Met","Not Met")</f>
        <v>Met</v>
      </c>
    </row>
    <row r="415" spans="1:22" x14ac:dyDescent="0.35">
      <c r="A415" t="s">
        <v>39</v>
      </c>
      <c r="B415">
        <v>1974</v>
      </c>
      <c r="C415" t="s">
        <v>22</v>
      </c>
      <c r="D415">
        <v>162</v>
      </c>
      <c r="E415">
        <v>1061894.31</v>
      </c>
      <c r="F415">
        <v>485376</v>
      </c>
      <c r="G415">
        <f>tblMoeHistory[[#This Row],[LEA State and Local Amount]]+tblMoeHistory[[#This Row],[ESD State and Local Amount]]</f>
        <v>1547270.31</v>
      </c>
      <c r="H415">
        <v>0</v>
      </c>
      <c r="I415" t="s">
        <v>241</v>
      </c>
      <c r="J415">
        <f>IFERROR(tblMoeHistory[[#This Row],[LEA State and Local Amount]]/tblMoeHistory[[#This Row],[Child Count]],0)</f>
        <v>6554.9031481481488</v>
      </c>
      <c r="K415">
        <f>IFERROR(tblMoeHistory[[#This Row],[ESD State and Local Amount]]/tblMoeHistory[[#This Row],[Child Count]],0)</f>
        <v>2996.1481481481483</v>
      </c>
      <c r="L415">
        <f>IFERROR(tblMoeHistory[[#This Row],[State and Local Total Amount]]/tblMoeHistory[[#This Row],[Child Count]],0)</f>
        <v>9551.0512962962966</v>
      </c>
      <c r="M415">
        <v>0</v>
      </c>
      <c r="N415" t="s">
        <v>241</v>
      </c>
      <c r="O415">
        <v>241862.94</v>
      </c>
      <c r="P415">
        <v>2276.06</v>
      </c>
      <c r="Q415">
        <f>tblMoeHistory[[#This Row],[Amount of IDEA Part B, Section 611 award]]+tblMoeHistory[[#This Row],[Amount of IDEA Part B, Section 619 award]]</f>
        <v>244139</v>
      </c>
      <c r="U4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5" t="str">
        <f>IF(OR(IFERROR(SEARCH("Met",tblMoeHistory[[#This Row],[State and Local Per Capita Result]]),0)&gt;0,IFERROR(SEARCH("Met",tblMoeHistory[[#This Row],[State and Local Total Result]]),0)&gt;0),"Met","Not Met")</f>
        <v>Met</v>
      </c>
    </row>
    <row r="416" spans="1:22" x14ac:dyDescent="0.35">
      <c r="A416" t="s">
        <v>40</v>
      </c>
      <c r="B416">
        <v>1896</v>
      </c>
      <c r="C416" t="s">
        <v>22</v>
      </c>
      <c r="D416">
        <v>4</v>
      </c>
      <c r="E416">
        <v>43763</v>
      </c>
      <c r="F416">
        <v>13862.62</v>
      </c>
      <c r="G416">
        <f>tblMoeHistory[[#This Row],[LEA State and Local Amount]]+tblMoeHistory[[#This Row],[ESD State and Local Amount]]</f>
        <v>57625.62</v>
      </c>
      <c r="H416">
        <v>0</v>
      </c>
      <c r="I416" t="s">
        <v>240</v>
      </c>
      <c r="J416">
        <f>IFERROR(tblMoeHistory[[#This Row],[LEA State and Local Amount]]/tblMoeHistory[[#This Row],[Child Count]],0)</f>
        <v>10940.75</v>
      </c>
      <c r="K416">
        <f>IFERROR(tblMoeHistory[[#This Row],[ESD State and Local Amount]]/tblMoeHistory[[#This Row],[Child Count]],0)</f>
        <v>3465.6550000000002</v>
      </c>
      <c r="L416">
        <f>IFERROR(tblMoeHistory[[#This Row],[State and Local Total Amount]]/tblMoeHistory[[#This Row],[Child Count]],0)</f>
        <v>14406.405000000001</v>
      </c>
      <c r="M416">
        <v>0</v>
      </c>
      <c r="N416" t="s">
        <v>240</v>
      </c>
      <c r="O416">
        <v>13650.11</v>
      </c>
      <c r="P416">
        <v>2.6</v>
      </c>
      <c r="Q416">
        <f>tblMoeHistory[[#This Row],[Amount of IDEA Part B, Section 611 award]]+tblMoeHistory[[#This Row],[Amount of IDEA Part B, Section 619 award]]</f>
        <v>13652.710000000001</v>
      </c>
      <c r="U4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6" t="str">
        <f>IF(OR(IFERROR(SEARCH("Met",tblMoeHistory[[#This Row],[State and Local Per Capita Result]]),0)&gt;0,IFERROR(SEARCH("Met",tblMoeHistory[[#This Row],[State and Local Total Result]]),0)&gt;0),"Met","Not Met")</f>
        <v>Not Met</v>
      </c>
    </row>
    <row r="417" spans="1:22" x14ac:dyDescent="0.35">
      <c r="A417" t="s">
        <v>42</v>
      </c>
      <c r="B417">
        <v>2046</v>
      </c>
      <c r="C417" t="s">
        <v>22</v>
      </c>
      <c r="D417">
        <v>31</v>
      </c>
      <c r="E417">
        <v>146645.68</v>
      </c>
      <c r="F417">
        <v>60363.11</v>
      </c>
      <c r="G417">
        <f>tblMoeHistory[[#This Row],[LEA State and Local Amount]]+tblMoeHistory[[#This Row],[ESD State and Local Amount]]</f>
        <v>207008.78999999998</v>
      </c>
      <c r="H417">
        <v>0</v>
      </c>
      <c r="I417" t="s">
        <v>240</v>
      </c>
      <c r="J417">
        <f>IFERROR(tblMoeHistory[[#This Row],[LEA State and Local Amount]]/tblMoeHistory[[#This Row],[Child Count]],0)</f>
        <v>4730.5058064516124</v>
      </c>
      <c r="K417">
        <f>IFERROR(tblMoeHistory[[#This Row],[ESD State and Local Amount]]/tblMoeHistory[[#This Row],[Child Count]],0)</f>
        <v>1947.1970967741936</v>
      </c>
      <c r="L417">
        <f>IFERROR(tblMoeHistory[[#This Row],[State and Local Total Amount]]/tblMoeHistory[[#This Row],[Child Count]],0)</f>
        <v>6677.702903225806</v>
      </c>
      <c r="M417">
        <v>0</v>
      </c>
      <c r="N417" t="s">
        <v>240</v>
      </c>
      <c r="O417">
        <v>25342.62</v>
      </c>
      <c r="P417">
        <v>498.59</v>
      </c>
      <c r="Q417">
        <f>tblMoeHistory[[#This Row],[Amount of IDEA Part B, Section 611 award]]+tblMoeHistory[[#This Row],[Amount of IDEA Part B, Section 619 award]]</f>
        <v>25841.21</v>
      </c>
      <c r="U4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7" t="str">
        <f>IF(OR(IFERROR(SEARCH("Met",tblMoeHistory[[#This Row],[State and Local Per Capita Result]]),0)&gt;0,IFERROR(SEARCH("Met",tblMoeHistory[[#This Row],[State and Local Total Result]]),0)&gt;0),"Met","Not Met")</f>
        <v>Not Met</v>
      </c>
    </row>
    <row r="418" spans="1:22" x14ac:dyDescent="0.35">
      <c r="A418" t="s">
        <v>43</v>
      </c>
      <c r="B418">
        <v>1995</v>
      </c>
      <c r="C418" t="s">
        <v>22</v>
      </c>
      <c r="D418">
        <v>21</v>
      </c>
      <c r="E418">
        <v>148872.14000000001</v>
      </c>
      <c r="F418">
        <v>39807.589999999997</v>
      </c>
      <c r="G418">
        <f>tblMoeHistory[[#This Row],[LEA State and Local Amount]]+tblMoeHistory[[#This Row],[ESD State and Local Amount]]</f>
        <v>188679.73</v>
      </c>
      <c r="H418">
        <v>0</v>
      </c>
      <c r="I418" t="s">
        <v>242</v>
      </c>
      <c r="J418">
        <f>IFERROR(tblMoeHistory[[#This Row],[LEA State and Local Amount]]/tblMoeHistory[[#This Row],[Child Count]],0)</f>
        <v>7089.1495238095249</v>
      </c>
      <c r="K418">
        <f>IFERROR(tblMoeHistory[[#This Row],[ESD State and Local Amount]]/tblMoeHistory[[#This Row],[Child Count]],0)</f>
        <v>1895.5995238095236</v>
      </c>
      <c r="L418">
        <f>IFERROR(tblMoeHistory[[#This Row],[State and Local Total Amount]]/tblMoeHistory[[#This Row],[Child Count]],0)</f>
        <v>8984.7490476190487</v>
      </c>
      <c r="M418">
        <v>0</v>
      </c>
      <c r="N418" t="s">
        <v>241</v>
      </c>
      <c r="O418">
        <v>38237.57</v>
      </c>
      <c r="P418">
        <v>14.6</v>
      </c>
      <c r="Q418">
        <f>tblMoeHistory[[#This Row],[Amount of IDEA Part B, Section 611 award]]+tblMoeHistory[[#This Row],[Amount of IDEA Part B, Section 619 award]]</f>
        <v>38252.17</v>
      </c>
      <c r="S418">
        <v>31416.6</v>
      </c>
      <c r="T418">
        <v>31416.6</v>
      </c>
      <c r="U4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8" t="str">
        <f>IF(OR(IFERROR(SEARCH("Met",tblMoeHistory[[#This Row],[State and Local Per Capita Result]]),0)&gt;0,IFERROR(SEARCH("Met",tblMoeHistory[[#This Row],[State and Local Total Result]]),0)&gt;0),"Met","Not Met")</f>
        <v>Met</v>
      </c>
    </row>
    <row r="419" spans="1:22" x14ac:dyDescent="0.35">
      <c r="A419" t="s">
        <v>44</v>
      </c>
      <c r="B419">
        <v>1929</v>
      </c>
      <c r="C419" t="s">
        <v>22</v>
      </c>
      <c r="D419">
        <v>535</v>
      </c>
      <c r="E419">
        <v>4201568.4400000004</v>
      </c>
      <c r="F419">
        <v>664584</v>
      </c>
      <c r="G419">
        <f>tblMoeHistory[[#This Row],[LEA State and Local Amount]]+tblMoeHistory[[#This Row],[ESD State and Local Amount]]</f>
        <v>4866152.4400000004</v>
      </c>
      <c r="H419">
        <v>0</v>
      </c>
      <c r="I419" t="s">
        <v>241</v>
      </c>
      <c r="J419">
        <f>IFERROR(tblMoeHistory[[#This Row],[LEA State and Local Amount]]/tblMoeHistory[[#This Row],[Child Count]],0)</f>
        <v>7853.3989532710284</v>
      </c>
      <c r="K419">
        <f>IFERROR(tblMoeHistory[[#This Row],[ESD State and Local Amount]]/tblMoeHistory[[#This Row],[Child Count]],0)</f>
        <v>1242.2130841121495</v>
      </c>
      <c r="L419">
        <f>IFERROR(tblMoeHistory[[#This Row],[State and Local Total Amount]]/tblMoeHistory[[#This Row],[Child Count]],0)</f>
        <v>9095.6120373831782</v>
      </c>
      <c r="M419">
        <v>0</v>
      </c>
      <c r="N419" t="s">
        <v>241</v>
      </c>
      <c r="O419">
        <v>739391.24</v>
      </c>
      <c r="P419">
        <v>2140.73</v>
      </c>
      <c r="Q419">
        <f>tblMoeHistory[[#This Row],[Amount of IDEA Part B, Section 611 award]]+tblMoeHistory[[#This Row],[Amount of IDEA Part B, Section 619 award]]</f>
        <v>741531.97</v>
      </c>
      <c r="U4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9" t="str">
        <f>IF(OR(IFERROR(SEARCH("Met",tblMoeHistory[[#This Row],[State and Local Per Capita Result]]),0)&gt;0,IFERROR(SEARCH("Met",tblMoeHistory[[#This Row],[State and Local Total Result]]),0)&gt;0),"Met","Not Met")</f>
        <v>Met</v>
      </c>
    </row>
    <row r="420" spans="1:22" x14ac:dyDescent="0.35">
      <c r="A420" t="s">
        <v>45</v>
      </c>
      <c r="B420">
        <v>2139</v>
      </c>
      <c r="C420" t="s">
        <v>22</v>
      </c>
      <c r="D420">
        <v>300</v>
      </c>
      <c r="E420">
        <v>2433376.7200000002</v>
      </c>
      <c r="F420">
        <v>150347.31</v>
      </c>
      <c r="G420">
        <f>tblMoeHistory[[#This Row],[LEA State and Local Amount]]+tblMoeHistory[[#This Row],[ESD State and Local Amount]]</f>
        <v>2583724.0300000003</v>
      </c>
      <c r="H420">
        <v>0</v>
      </c>
      <c r="I420" t="s">
        <v>241</v>
      </c>
      <c r="J420">
        <f>IFERROR(tblMoeHistory[[#This Row],[LEA State and Local Amount]]/tblMoeHistory[[#This Row],[Child Count]],0)</f>
        <v>8111.2557333333343</v>
      </c>
      <c r="K420">
        <f>IFERROR(tblMoeHistory[[#This Row],[ESD State and Local Amount]]/tblMoeHistory[[#This Row],[Child Count]],0)</f>
        <v>501.15769999999998</v>
      </c>
      <c r="L420">
        <f>IFERROR(tblMoeHistory[[#This Row],[State and Local Total Amount]]/tblMoeHistory[[#This Row],[Child Count]],0)</f>
        <v>8612.413433333335</v>
      </c>
      <c r="M420">
        <v>0</v>
      </c>
      <c r="N420" t="s">
        <v>241</v>
      </c>
      <c r="O420">
        <v>372286.05</v>
      </c>
      <c r="P420">
        <v>4408.0200000000004</v>
      </c>
      <c r="Q420">
        <f>tblMoeHistory[[#This Row],[Amount of IDEA Part B, Section 611 award]]+tblMoeHistory[[#This Row],[Amount of IDEA Part B, Section 619 award]]</f>
        <v>376694.07</v>
      </c>
      <c r="U4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0" t="str">
        <f>IF(OR(IFERROR(SEARCH("Met",tblMoeHistory[[#This Row],[State and Local Per Capita Result]]),0)&gt;0,IFERROR(SEARCH("Met",tblMoeHistory[[#This Row],[State and Local Total Result]]),0)&gt;0),"Met","Not Met")</f>
        <v>Met</v>
      </c>
    </row>
    <row r="421" spans="1:22" x14ac:dyDescent="0.35">
      <c r="A421" t="s">
        <v>46</v>
      </c>
      <c r="B421">
        <v>2185</v>
      </c>
      <c r="C421" t="s">
        <v>22</v>
      </c>
      <c r="D421">
        <v>865</v>
      </c>
      <c r="E421">
        <v>7641635.9699999997</v>
      </c>
      <c r="F421">
        <v>1326961</v>
      </c>
      <c r="G421">
        <f>tblMoeHistory[[#This Row],[LEA State and Local Amount]]+tblMoeHistory[[#This Row],[ESD State and Local Amount]]</f>
        <v>8968596.9699999988</v>
      </c>
      <c r="H421">
        <v>0</v>
      </c>
      <c r="I421" t="s">
        <v>241</v>
      </c>
      <c r="J421">
        <f>IFERROR(tblMoeHistory[[#This Row],[LEA State and Local Amount]]/tblMoeHistory[[#This Row],[Child Count]],0)</f>
        <v>8834.2612369942199</v>
      </c>
      <c r="K421">
        <f>IFERROR(tblMoeHistory[[#This Row],[ESD State and Local Amount]]/tblMoeHistory[[#This Row],[Child Count]],0)</f>
        <v>1534.0589595375723</v>
      </c>
      <c r="L421">
        <f>IFERROR(tblMoeHistory[[#This Row],[State and Local Total Amount]]/tblMoeHistory[[#This Row],[Child Count]],0)</f>
        <v>10368.320196531791</v>
      </c>
      <c r="M421">
        <v>0</v>
      </c>
      <c r="N421" t="s">
        <v>241</v>
      </c>
      <c r="O421">
        <v>1037551.75</v>
      </c>
      <c r="P421">
        <v>7404.96</v>
      </c>
      <c r="Q421">
        <f>tblMoeHistory[[#This Row],[Amount of IDEA Part B, Section 611 award]]+tblMoeHistory[[#This Row],[Amount of IDEA Part B, Section 619 award]]</f>
        <v>1044956.71</v>
      </c>
      <c r="U4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1" t="str">
        <f>IF(OR(IFERROR(SEARCH("Met",tblMoeHistory[[#This Row],[State and Local Per Capita Result]]),0)&gt;0,IFERROR(SEARCH("Met",tblMoeHistory[[#This Row],[State and Local Total Result]]),0)&gt;0),"Met","Not Met")</f>
        <v>Met</v>
      </c>
    </row>
    <row r="422" spans="1:22" x14ac:dyDescent="0.35">
      <c r="A422" t="s">
        <v>47</v>
      </c>
      <c r="B422">
        <v>1972</v>
      </c>
      <c r="C422" t="s">
        <v>22</v>
      </c>
      <c r="D422">
        <v>50</v>
      </c>
      <c r="E422">
        <v>370591.66</v>
      </c>
      <c r="F422">
        <v>176022</v>
      </c>
      <c r="G422">
        <f>tblMoeHistory[[#This Row],[LEA State and Local Amount]]+tblMoeHistory[[#This Row],[ESD State and Local Amount]]</f>
        <v>546613.65999999992</v>
      </c>
      <c r="H422">
        <v>0</v>
      </c>
      <c r="I422" t="s">
        <v>242</v>
      </c>
      <c r="J422">
        <f>IFERROR(tblMoeHistory[[#This Row],[LEA State and Local Amount]]/tblMoeHistory[[#This Row],[Child Count]],0)</f>
        <v>7411.8331999999991</v>
      </c>
      <c r="K422">
        <f>IFERROR(tblMoeHistory[[#This Row],[ESD State and Local Amount]]/tblMoeHistory[[#This Row],[Child Count]],0)</f>
        <v>3520.44</v>
      </c>
      <c r="L422">
        <f>IFERROR(tblMoeHistory[[#This Row],[State and Local Total Amount]]/tblMoeHistory[[#This Row],[Child Count]],0)</f>
        <v>10932.273199999998</v>
      </c>
      <c r="M422">
        <v>0</v>
      </c>
      <c r="N422" t="s">
        <v>241</v>
      </c>
      <c r="O422">
        <v>107072.49</v>
      </c>
      <c r="P422">
        <v>1123.32</v>
      </c>
      <c r="Q422">
        <f>tblMoeHistory[[#This Row],[Amount of IDEA Part B, Section 611 award]]+tblMoeHistory[[#This Row],[Amount of IDEA Part B, Section 619 award]]</f>
        <v>108195.81000000001</v>
      </c>
      <c r="S422">
        <v>63021.18</v>
      </c>
      <c r="T422">
        <v>63021.18</v>
      </c>
      <c r="U4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2" t="str">
        <f>IF(OR(IFERROR(SEARCH("Met",tblMoeHistory[[#This Row],[State and Local Per Capita Result]]),0)&gt;0,IFERROR(SEARCH("Met",tblMoeHistory[[#This Row],[State and Local Total Result]]),0)&gt;0),"Met","Not Met")</f>
        <v>Met</v>
      </c>
    </row>
    <row r="423" spans="1:22" x14ac:dyDescent="0.35">
      <c r="A423" t="s">
        <v>48</v>
      </c>
      <c r="B423">
        <v>2105</v>
      </c>
      <c r="C423" t="s">
        <v>22</v>
      </c>
      <c r="D423">
        <v>102</v>
      </c>
      <c r="E423">
        <v>441241.83</v>
      </c>
      <c r="F423">
        <v>60758</v>
      </c>
      <c r="G423">
        <f>tblMoeHistory[[#This Row],[LEA State and Local Amount]]+tblMoeHistory[[#This Row],[ESD State and Local Amount]]</f>
        <v>501999.83</v>
      </c>
      <c r="H423">
        <v>0</v>
      </c>
      <c r="I423" t="s">
        <v>240</v>
      </c>
      <c r="J423">
        <f>IFERROR(tblMoeHistory[[#This Row],[LEA State and Local Amount]]/tblMoeHistory[[#This Row],[Child Count]],0)</f>
        <v>4325.9002941176468</v>
      </c>
      <c r="K423">
        <f>IFERROR(tblMoeHistory[[#This Row],[ESD State and Local Amount]]/tblMoeHistory[[#This Row],[Child Count]],0)</f>
        <v>595.66666666666663</v>
      </c>
      <c r="L423">
        <f>IFERROR(tblMoeHistory[[#This Row],[State and Local Total Amount]]/tblMoeHistory[[#This Row],[Child Count]],0)</f>
        <v>4921.5669607843138</v>
      </c>
      <c r="M423">
        <v>0</v>
      </c>
      <c r="N423" t="s">
        <v>240</v>
      </c>
      <c r="O423">
        <v>106532.41</v>
      </c>
      <c r="P423">
        <v>1754.84</v>
      </c>
      <c r="Q423">
        <f>tblMoeHistory[[#This Row],[Amount of IDEA Part B, Section 611 award]]+tblMoeHistory[[#This Row],[Amount of IDEA Part B, Section 619 award]]</f>
        <v>108287.25</v>
      </c>
      <c r="U4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3" t="str">
        <f>IF(OR(IFERROR(SEARCH("Met",tblMoeHistory[[#This Row],[State and Local Per Capita Result]]),0)&gt;0,IFERROR(SEARCH("Met",tblMoeHistory[[#This Row],[State and Local Total Result]]),0)&gt;0),"Met","Not Met")</f>
        <v>Not Met</v>
      </c>
    </row>
    <row r="424" spans="1:22" x14ac:dyDescent="0.35">
      <c r="A424" t="s">
        <v>49</v>
      </c>
      <c r="B424">
        <v>2042</v>
      </c>
      <c r="C424" t="s">
        <v>22</v>
      </c>
      <c r="D424">
        <v>613</v>
      </c>
      <c r="E424">
        <v>3412967.38</v>
      </c>
      <c r="F424">
        <v>1057399.01</v>
      </c>
      <c r="G424">
        <f>tblMoeHistory[[#This Row],[LEA State and Local Amount]]+tblMoeHistory[[#This Row],[ESD State and Local Amount]]</f>
        <v>4470366.3899999997</v>
      </c>
      <c r="H424">
        <v>0</v>
      </c>
      <c r="I424" t="s">
        <v>241</v>
      </c>
      <c r="J424">
        <f>IFERROR(tblMoeHistory[[#This Row],[LEA State and Local Amount]]/tblMoeHistory[[#This Row],[Child Count]],0)</f>
        <v>5567.6466231647637</v>
      </c>
      <c r="K424">
        <f>IFERROR(tblMoeHistory[[#This Row],[ESD State and Local Amount]]/tblMoeHistory[[#This Row],[Child Count]],0)</f>
        <v>1724.9576019575857</v>
      </c>
      <c r="L424">
        <f>IFERROR(tblMoeHistory[[#This Row],[State and Local Total Amount]]/tblMoeHistory[[#This Row],[Child Count]],0)</f>
        <v>7292.6042251223489</v>
      </c>
      <c r="M424">
        <v>0</v>
      </c>
      <c r="N424" t="s">
        <v>241</v>
      </c>
      <c r="O424">
        <v>689069.29</v>
      </c>
      <c r="P424">
        <v>9248.23</v>
      </c>
      <c r="Q424">
        <f>tblMoeHistory[[#This Row],[Amount of IDEA Part B, Section 611 award]]+tblMoeHistory[[#This Row],[Amount of IDEA Part B, Section 619 award]]</f>
        <v>698317.52</v>
      </c>
      <c r="U4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4" t="str">
        <f>IF(OR(IFERROR(SEARCH("Met",tblMoeHistory[[#This Row],[State and Local Per Capita Result]]),0)&gt;0,IFERROR(SEARCH("Met",tblMoeHistory[[#This Row],[State and Local Total Result]]),0)&gt;0),"Met","Not Met")</f>
        <v>Met</v>
      </c>
    </row>
    <row r="425" spans="1:22" x14ac:dyDescent="0.35">
      <c r="A425" t="s">
        <v>50</v>
      </c>
      <c r="B425">
        <v>2191</v>
      </c>
      <c r="C425" t="s">
        <v>22</v>
      </c>
      <c r="D425">
        <v>341</v>
      </c>
      <c r="E425">
        <v>4127688.32</v>
      </c>
      <c r="F425">
        <v>356412.91</v>
      </c>
      <c r="G425">
        <f>tblMoeHistory[[#This Row],[LEA State and Local Amount]]+tblMoeHistory[[#This Row],[ESD State and Local Amount]]</f>
        <v>4484101.2299999995</v>
      </c>
      <c r="H425">
        <v>0</v>
      </c>
      <c r="I425" t="s">
        <v>241</v>
      </c>
      <c r="J425">
        <f>IFERROR(tblMoeHistory[[#This Row],[LEA State and Local Amount]]/tblMoeHistory[[#This Row],[Child Count]],0)</f>
        <v>12104.657829912023</v>
      </c>
      <c r="K425">
        <f>IFERROR(tblMoeHistory[[#This Row],[ESD State and Local Amount]]/tblMoeHistory[[#This Row],[Child Count]],0)</f>
        <v>1045.1991495601171</v>
      </c>
      <c r="L425">
        <f>IFERROR(tblMoeHistory[[#This Row],[State and Local Total Amount]]/tblMoeHistory[[#This Row],[Child Count]],0)</f>
        <v>13149.856979472139</v>
      </c>
      <c r="M425">
        <v>0</v>
      </c>
      <c r="N425" t="s">
        <v>241</v>
      </c>
      <c r="O425">
        <v>424439.12</v>
      </c>
      <c r="P425">
        <v>4406.7</v>
      </c>
      <c r="Q425">
        <f>tblMoeHistory[[#This Row],[Amount of IDEA Part B, Section 611 award]]+tblMoeHistory[[#This Row],[Amount of IDEA Part B, Section 619 award]]</f>
        <v>428845.82</v>
      </c>
      <c r="U4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5" t="str">
        <f>IF(OR(IFERROR(SEARCH("Met",tblMoeHistory[[#This Row],[State and Local Per Capita Result]]),0)&gt;0,IFERROR(SEARCH("Met",tblMoeHistory[[#This Row],[State and Local Total Result]]),0)&gt;0),"Met","Not Met")</f>
        <v>Met</v>
      </c>
    </row>
    <row r="426" spans="1:22" x14ac:dyDescent="0.35">
      <c r="A426" t="s">
        <v>51</v>
      </c>
      <c r="B426">
        <v>1945</v>
      </c>
      <c r="C426" t="s">
        <v>22</v>
      </c>
      <c r="D426">
        <v>114</v>
      </c>
      <c r="E426">
        <v>975262.97</v>
      </c>
      <c r="F426">
        <v>195168</v>
      </c>
      <c r="G426">
        <f>tblMoeHistory[[#This Row],[LEA State and Local Amount]]+tblMoeHistory[[#This Row],[ESD State and Local Amount]]</f>
        <v>1170430.97</v>
      </c>
      <c r="H426">
        <v>0</v>
      </c>
      <c r="I426" t="s">
        <v>241</v>
      </c>
      <c r="J426">
        <f>IFERROR(tblMoeHistory[[#This Row],[LEA State and Local Amount]]/tblMoeHistory[[#This Row],[Child Count]],0)</f>
        <v>8554.9383333333335</v>
      </c>
      <c r="K426">
        <f>IFERROR(tblMoeHistory[[#This Row],[ESD State and Local Amount]]/tblMoeHistory[[#This Row],[Child Count]],0)</f>
        <v>1712</v>
      </c>
      <c r="L426">
        <f>IFERROR(tblMoeHistory[[#This Row],[State and Local Total Amount]]/tblMoeHistory[[#This Row],[Child Count]],0)</f>
        <v>10266.938333333334</v>
      </c>
      <c r="M426">
        <v>0</v>
      </c>
      <c r="N426" t="s">
        <v>240</v>
      </c>
      <c r="O426">
        <v>131755.78</v>
      </c>
      <c r="P426">
        <v>3527.26</v>
      </c>
      <c r="Q426">
        <f>tblMoeHistory[[#This Row],[Amount of IDEA Part B, Section 611 award]]+tblMoeHistory[[#This Row],[Amount of IDEA Part B, Section 619 award]]</f>
        <v>135283.04</v>
      </c>
      <c r="U4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6" t="str">
        <f>IF(OR(IFERROR(SEARCH("Met",tblMoeHistory[[#This Row],[State and Local Per Capita Result]]),0)&gt;0,IFERROR(SEARCH("Met",tblMoeHistory[[#This Row],[State and Local Total Result]]),0)&gt;0),"Met","Not Met")</f>
        <v>Met</v>
      </c>
    </row>
    <row r="427" spans="1:22" x14ac:dyDescent="0.35">
      <c r="A427" t="s">
        <v>52</v>
      </c>
      <c r="B427">
        <v>1927</v>
      </c>
      <c r="C427" t="s">
        <v>22</v>
      </c>
      <c r="D427">
        <v>76</v>
      </c>
      <c r="E427">
        <v>599485.42000000004</v>
      </c>
      <c r="F427">
        <v>304825</v>
      </c>
      <c r="G427">
        <f>tblMoeHistory[[#This Row],[LEA State and Local Amount]]+tblMoeHistory[[#This Row],[ESD State and Local Amount]]</f>
        <v>904310.42</v>
      </c>
      <c r="H427">
        <v>0</v>
      </c>
      <c r="I427" t="s">
        <v>241</v>
      </c>
      <c r="J427">
        <f>IFERROR(tblMoeHistory[[#This Row],[LEA State and Local Amount]]/tblMoeHistory[[#This Row],[Child Count]],0)</f>
        <v>7887.9660526315793</v>
      </c>
      <c r="K427">
        <f>IFERROR(tblMoeHistory[[#This Row],[ESD State and Local Amount]]/tblMoeHistory[[#This Row],[Child Count]],0)</f>
        <v>4010.8552631578946</v>
      </c>
      <c r="L427">
        <f>IFERROR(tblMoeHistory[[#This Row],[State and Local Total Amount]]/tblMoeHistory[[#This Row],[Child Count]],0)</f>
        <v>11898.821315789473</v>
      </c>
      <c r="M427">
        <v>0</v>
      </c>
      <c r="N427" t="s">
        <v>241</v>
      </c>
      <c r="O427">
        <v>118930.62</v>
      </c>
      <c r="P427">
        <v>2023.01</v>
      </c>
      <c r="Q427">
        <f>tblMoeHistory[[#This Row],[Amount of IDEA Part B, Section 611 award]]+tblMoeHistory[[#This Row],[Amount of IDEA Part B, Section 619 award]]</f>
        <v>120953.62999999999</v>
      </c>
      <c r="U4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7" t="str">
        <f>IF(OR(IFERROR(SEARCH("Met",tblMoeHistory[[#This Row],[State and Local Per Capita Result]]),0)&gt;0,IFERROR(SEARCH("Met",tblMoeHistory[[#This Row],[State and Local Total Result]]),0)&gt;0),"Met","Not Met")</f>
        <v>Met</v>
      </c>
    </row>
    <row r="428" spans="1:22" x14ac:dyDescent="0.35">
      <c r="A428" t="s">
        <v>53</v>
      </c>
      <c r="B428">
        <v>2006</v>
      </c>
      <c r="C428" t="s">
        <v>22</v>
      </c>
      <c r="D428">
        <v>18</v>
      </c>
      <c r="E428">
        <v>17193.62</v>
      </c>
      <c r="F428">
        <v>127362</v>
      </c>
      <c r="G428">
        <f>tblMoeHistory[[#This Row],[LEA State and Local Amount]]+tblMoeHistory[[#This Row],[ESD State and Local Amount]]</f>
        <v>144555.62</v>
      </c>
      <c r="H428">
        <v>0</v>
      </c>
      <c r="I428" t="s">
        <v>241</v>
      </c>
      <c r="J428">
        <f>IFERROR(tblMoeHistory[[#This Row],[LEA State and Local Amount]]/tblMoeHistory[[#This Row],[Child Count]],0)</f>
        <v>955.201111111111</v>
      </c>
      <c r="K428">
        <f>IFERROR(tblMoeHistory[[#This Row],[ESD State and Local Amount]]/tblMoeHistory[[#This Row],[Child Count]],0)</f>
        <v>7075.666666666667</v>
      </c>
      <c r="L428">
        <f>IFERROR(tblMoeHistory[[#This Row],[State and Local Total Amount]]/tblMoeHistory[[#This Row],[Child Count]],0)</f>
        <v>8030.8677777777775</v>
      </c>
      <c r="M428">
        <v>0</v>
      </c>
      <c r="N428" t="s">
        <v>241</v>
      </c>
      <c r="O428">
        <v>26564.14</v>
      </c>
      <c r="P428">
        <v>12.18</v>
      </c>
      <c r="Q428">
        <f>tblMoeHistory[[#This Row],[Amount of IDEA Part B, Section 611 award]]+tblMoeHistory[[#This Row],[Amount of IDEA Part B, Section 619 award]]</f>
        <v>26576.32</v>
      </c>
      <c r="U4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8" t="str">
        <f>IF(OR(IFERROR(SEARCH("Met",tblMoeHistory[[#This Row],[State and Local Per Capita Result]]),0)&gt;0,IFERROR(SEARCH("Met",tblMoeHistory[[#This Row],[State and Local Total Result]]),0)&gt;0),"Met","Not Met")</f>
        <v>Met</v>
      </c>
    </row>
    <row r="429" spans="1:22" x14ac:dyDescent="0.35">
      <c r="A429" t="s">
        <v>54</v>
      </c>
      <c r="B429">
        <v>1965</v>
      </c>
      <c r="C429" t="s">
        <v>22</v>
      </c>
      <c r="D429">
        <v>470</v>
      </c>
      <c r="E429">
        <v>3190534.7</v>
      </c>
      <c r="F429">
        <v>1383621</v>
      </c>
      <c r="G429">
        <f>tblMoeHistory[[#This Row],[LEA State and Local Amount]]+tblMoeHistory[[#This Row],[ESD State and Local Amount]]</f>
        <v>4574155.7</v>
      </c>
      <c r="H429">
        <v>0</v>
      </c>
      <c r="I429" t="s">
        <v>242</v>
      </c>
      <c r="J429">
        <f>IFERROR(tblMoeHistory[[#This Row],[LEA State and Local Amount]]/tblMoeHistory[[#This Row],[Child Count]],0)</f>
        <v>6788.3717021276598</v>
      </c>
      <c r="K429">
        <f>IFERROR(tblMoeHistory[[#This Row],[ESD State and Local Amount]]/tblMoeHistory[[#This Row],[Child Count]],0)</f>
        <v>2943.8744680851064</v>
      </c>
      <c r="L429">
        <f>IFERROR(tblMoeHistory[[#This Row],[State and Local Total Amount]]/tblMoeHistory[[#This Row],[Child Count]],0)</f>
        <v>9732.2461702127657</v>
      </c>
      <c r="M429">
        <v>0</v>
      </c>
      <c r="N429" t="s">
        <v>241</v>
      </c>
      <c r="O429">
        <v>657954.71</v>
      </c>
      <c r="P429">
        <v>7854.07</v>
      </c>
      <c r="Q429">
        <f>tblMoeHistory[[#This Row],[Amount of IDEA Part B, Section 611 award]]+tblMoeHistory[[#This Row],[Amount of IDEA Part B, Section 619 award]]</f>
        <v>665808.77999999991</v>
      </c>
      <c r="S429">
        <v>319967.44</v>
      </c>
      <c r="T429">
        <v>319967.44</v>
      </c>
      <c r="U4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9" t="str">
        <f>IF(OR(IFERROR(SEARCH("Met",tblMoeHistory[[#This Row],[State and Local Per Capita Result]]),0)&gt;0,IFERROR(SEARCH("Met",tblMoeHistory[[#This Row],[State and Local Total Result]]),0)&gt;0),"Met","Not Met")</f>
        <v>Met</v>
      </c>
    </row>
    <row r="430" spans="1:22" x14ac:dyDescent="0.35">
      <c r="A430" t="s">
        <v>55</v>
      </c>
      <c r="B430">
        <v>1964</v>
      </c>
      <c r="C430" t="s">
        <v>22</v>
      </c>
      <c r="D430">
        <v>119</v>
      </c>
      <c r="E430">
        <v>405231.1</v>
      </c>
      <c r="F430">
        <v>671839</v>
      </c>
      <c r="G430">
        <f>tblMoeHistory[[#This Row],[LEA State and Local Amount]]+tblMoeHistory[[#This Row],[ESD State and Local Amount]]</f>
        <v>1077070.1000000001</v>
      </c>
      <c r="H430">
        <v>0</v>
      </c>
      <c r="I430" t="s">
        <v>241</v>
      </c>
      <c r="J430">
        <f>IFERROR(tblMoeHistory[[#This Row],[LEA State and Local Amount]]/tblMoeHistory[[#This Row],[Child Count]],0)</f>
        <v>3405.3033613445377</v>
      </c>
      <c r="K430">
        <f>IFERROR(tblMoeHistory[[#This Row],[ESD State and Local Amount]]/tblMoeHistory[[#This Row],[Child Count]],0)</f>
        <v>5645.7058823529414</v>
      </c>
      <c r="L430">
        <f>IFERROR(tblMoeHistory[[#This Row],[State and Local Total Amount]]/tblMoeHistory[[#This Row],[Child Count]],0)</f>
        <v>9051.0092436974792</v>
      </c>
      <c r="M430">
        <v>0</v>
      </c>
      <c r="N430" t="s">
        <v>241</v>
      </c>
      <c r="O430">
        <v>162351.92000000001</v>
      </c>
      <c r="P430">
        <v>2405.85</v>
      </c>
      <c r="Q430">
        <f>tblMoeHistory[[#This Row],[Amount of IDEA Part B, Section 611 award]]+tblMoeHistory[[#This Row],[Amount of IDEA Part B, Section 619 award]]</f>
        <v>164757.77000000002</v>
      </c>
      <c r="U4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0" t="str">
        <f>IF(OR(IFERROR(SEARCH("Met",tblMoeHistory[[#This Row],[State and Local Per Capita Result]]),0)&gt;0,IFERROR(SEARCH("Met",tblMoeHistory[[#This Row],[State and Local Total Result]]),0)&gt;0),"Met","Not Met")</f>
        <v>Met</v>
      </c>
    </row>
    <row r="431" spans="1:22" x14ac:dyDescent="0.35">
      <c r="A431" t="s">
        <v>56</v>
      </c>
      <c r="B431">
        <v>2186</v>
      </c>
      <c r="C431" t="s">
        <v>22</v>
      </c>
      <c r="D431">
        <v>87</v>
      </c>
      <c r="E431">
        <v>517899.04</v>
      </c>
      <c r="F431">
        <v>383845</v>
      </c>
      <c r="G431">
        <f>tblMoeHistory[[#This Row],[LEA State and Local Amount]]+tblMoeHistory[[#This Row],[ESD State and Local Amount]]</f>
        <v>901744.04</v>
      </c>
      <c r="H431">
        <v>0</v>
      </c>
      <c r="I431" t="s">
        <v>241</v>
      </c>
      <c r="J431">
        <f>IFERROR(tblMoeHistory[[#This Row],[LEA State and Local Amount]]/tblMoeHistory[[#This Row],[Child Count]],0)</f>
        <v>5952.8625287356317</v>
      </c>
      <c r="K431">
        <f>IFERROR(tblMoeHistory[[#This Row],[ESD State and Local Amount]]/tblMoeHistory[[#This Row],[Child Count]],0)</f>
        <v>4412.0114942528735</v>
      </c>
      <c r="L431">
        <f>IFERROR(tblMoeHistory[[#This Row],[State and Local Total Amount]]/tblMoeHistory[[#This Row],[Child Count]],0)</f>
        <v>10364.874022988506</v>
      </c>
      <c r="M431">
        <v>0</v>
      </c>
      <c r="N431" t="s">
        <v>240</v>
      </c>
      <c r="O431">
        <v>145422.07</v>
      </c>
      <c r="P431">
        <v>2220.7399999999998</v>
      </c>
      <c r="Q431">
        <f>tblMoeHistory[[#This Row],[Amount of IDEA Part B, Section 611 award]]+tblMoeHistory[[#This Row],[Amount of IDEA Part B, Section 619 award]]</f>
        <v>147642.81</v>
      </c>
      <c r="U4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1" t="str">
        <f>IF(OR(IFERROR(SEARCH("Met",tblMoeHistory[[#This Row],[State and Local Per Capita Result]]),0)&gt;0,IFERROR(SEARCH("Met",tblMoeHistory[[#This Row],[State and Local Total Result]]),0)&gt;0),"Met","Not Met")</f>
        <v>Met</v>
      </c>
    </row>
    <row r="432" spans="1:22" x14ac:dyDescent="0.35">
      <c r="A432" t="s">
        <v>58</v>
      </c>
      <c r="B432">
        <v>1901</v>
      </c>
      <c r="C432" t="s">
        <v>22</v>
      </c>
      <c r="D432">
        <v>660</v>
      </c>
      <c r="E432">
        <v>6037665.3300000001</v>
      </c>
      <c r="F432">
        <v>610368</v>
      </c>
      <c r="G432">
        <f>tblMoeHistory[[#This Row],[LEA State and Local Amount]]+tblMoeHistory[[#This Row],[ESD State and Local Amount]]</f>
        <v>6648033.3300000001</v>
      </c>
      <c r="H432">
        <v>0</v>
      </c>
      <c r="I432" t="s">
        <v>241</v>
      </c>
      <c r="J432">
        <f>IFERROR(tblMoeHistory[[#This Row],[LEA State and Local Amount]]/tblMoeHistory[[#This Row],[Child Count]],0)</f>
        <v>9147.9777727272722</v>
      </c>
      <c r="K432">
        <f>IFERROR(tblMoeHistory[[#This Row],[ESD State and Local Amount]]/tblMoeHistory[[#This Row],[Child Count]],0)</f>
        <v>924.8</v>
      </c>
      <c r="L432">
        <f>IFERROR(tblMoeHistory[[#This Row],[State and Local Total Amount]]/tblMoeHistory[[#This Row],[Child Count]],0)</f>
        <v>10072.777772727273</v>
      </c>
      <c r="M432">
        <v>0</v>
      </c>
      <c r="N432" t="s">
        <v>240</v>
      </c>
      <c r="O432">
        <v>986625.46</v>
      </c>
      <c r="P432">
        <v>9484.48</v>
      </c>
      <c r="Q432">
        <f>tblMoeHistory[[#This Row],[Amount of IDEA Part B, Section 611 award]]+tblMoeHistory[[#This Row],[Amount of IDEA Part B, Section 619 award]]</f>
        <v>996109.94</v>
      </c>
      <c r="U4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2" t="str">
        <f>IF(OR(IFERROR(SEARCH("Met",tblMoeHistory[[#This Row],[State and Local Per Capita Result]]),0)&gt;0,IFERROR(SEARCH("Met",tblMoeHistory[[#This Row],[State and Local Total Result]]),0)&gt;0),"Met","Not Met")</f>
        <v>Met</v>
      </c>
    </row>
    <row r="433" spans="1:22" x14ac:dyDescent="0.35">
      <c r="A433" t="s">
        <v>59</v>
      </c>
      <c r="B433">
        <v>2216</v>
      </c>
      <c r="C433" t="s">
        <v>22</v>
      </c>
      <c r="D433">
        <v>27</v>
      </c>
      <c r="E433">
        <v>133104.24</v>
      </c>
      <c r="F433">
        <v>42954.61</v>
      </c>
      <c r="G433">
        <f>tblMoeHistory[[#This Row],[LEA State and Local Amount]]+tblMoeHistory[[#This Row],[ESD State and Local Amount]]</f>
        <v>176058.84999999998</v>
      </c>
      <c r="H433">
        <v>0</v>
      </c>
      <c r="I433" t="s">
        <v>242</v>
      </c>
      <c r="J433">
        <f>IFERROR(tblMoeHistory[[#This Row],[LEA State and Local Amount]]/tblMoeHistory[[#This Row],[Child Count]],0)</f>
        <v>4929.786666666666</v>
      </c>
      <c r="K433">
        <f>IFERROR(tblMoeHistory[[#This Row],[ESD State and Local Amount]]/tblMoeHistory[[#This Row],[Child Count]],0)</f>
        <v>1590.9114814814816</v>
      </c>
      <c r="L433">
        <f>IFERROR(tblMoeHistory[[#This Row],[State and Local Total Amount]]/tblMoeHistory[[#This Row],[Child Count]],0)</f>
        <v>6520.6981481481471</v>
      </c>
      <c r="M433">
        <v>0</v>
      </c>
      <c r="N433" t="s">
        <v>240</v>
      </c>
      <c r="O433">
        <v>44708.95</v>
      </c>
      <c r="P433">
        <v>1480.41</v>
      </c>
      <c r="Q433">
        <f>tblMoeHistory[[#This Row],[Amount of IDEA Part B, Section 611 award]]+tblMoeHistory[[#This Row],[Amount of IDEA Part B, Section 619 award]]</f>
        <v>46189.36</v>
      </c>
      <c r="S433">
        <v>25879.69</v>
      </c>
      <c r="U4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3" t="str">
        <f>IF(OR(IFERROR(SEARCH("Met",tblMoeHistory[[#This Row],[State and Local Per Capita Result]]),0)&gt;0,IFERROR(SEARCH("Met",tblMoeHistory[[#This Row],[State and Local Total Result]]),0)&gt;0),"Met","Not Met")</f>
        <v>Met</v>
      </c>
    </row>
    <row r="434" spans="1:22" x14ac:dyDescent="0.35">
      <c r="A434" t="s">
        <v>60</v>
      </c>
      <c r="B434">
        <v>2086</v>
      </c>
      <c r="C434" t="s">
        <v>22</v>
      </c>
      <c r="D434">
        <v>248</v>
      </c>
      <c r="E434">
        <v>1662151.74</v>
      </c>
      <c r="F434">
        <v>682001</v>
      </c>
      <c r="G434">
        <f>tblMoeHistory[[#This Row],[LEA State and Local Amount]]+tblMoeHistory[[#This Row],[ESD State and Local Amount]]</f>
        <v>2344152.7400000002</v>
      </c>
      <c r="H434">
        <v>0</v>
      </c>
      <c r="I434" t="s">
        <v>241</v>
      </c>
      <c r="J434">
        <f>IFERROR(tblMoeHistory[[#This Row],[LEA State and Local Amount]]/tblMoeHistory[[#This Row],[Child Count]],0)</f>
        <v>6702.2247580645162</v>
      </c>
      <c r="K434">
        <f>IFERROR(tblMoeHistory[[#This Row],[ESD State and Local Amount]]/tblMoeHistory[[#This Row],[Child Count]],0)</f>
        <v>2750.0040322580644</v>
      </c>
      <c r="L434">
        <f>IFERROR(tblMoeHistory[[#This Row],[State and Local Total Amount]]/tblMoeHistory[[#This Row],[Child Count]],0)</f>
        <v>9452.2287903225824</v>
      </c>
      <c r="M434">
        <v>0</v>
      </c>
      <c r="N434" t="s">
        <v>240</v>
      </c>
      <c r="O434">
        <v>216878.57</v>
      </c>
      <c r="P434">
        <v>1572.01</v>
      </c>
      <c r="Q434">
        <f>tblMoeHistory[[#This Row],[Amount of IDEA Part B, Section 611 award]]+tblMoeHistory[[#This Row],[Amount of IDEA Part B, Section 619 award]]</f>
        <v>218450.58000000002</v>
      </c>
      <c r="U4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4" t="str">
        <f>IF(OR(IFERROR(SEARCH("Met",tblMoeHistory[[#This Row],[State and Local Per Capita Result]]),0)&gt;0,IFERROR(SEARCH("Met",tblMoeHistory[[#This Row],[State and Local Total Result]]),0)&gt;0),"Met","Not Met")</f>
        <v>Met</v>
      </c>
    </row>
    <row r="435" spans="1:22" x14ac:dyDescent="0.35">
      <c r="A435" t="s">
        <v>61</v>
      </c>
      <c r="B435">
        <v>1970</v>
      </c>
      <c r="C435" t="s">
        <v>22</v>
      </c>
      <c r="D435">
        <v>421</v>
      </c>
      <c r="E435">
        <v>3083167.27</v>
      </c>
      <c r="F435">
        <v>166750.51999999999</v>
      </c>
      <c r="G435">
        <f>tblMoeHistory[[#This Row],[LEA State and Local Amount]]+tblMoeHistory[[#This Row],[ESD State and Local Amount]]</f>
        <v>3249917.79</v>
      </c>
      <c r="H435">
        <v>0</v>
      </c>
      <c r="I435" t="s">
        <v>241</v>
      </c>
      <c r="J435">
        <f>IFERROR(tblMoeHistory[[#This Row],[LEA State and Local Amount]]/tblMoeHistory[[#This Row],[Child Count]],0)</f>
        <v>7323.4376959619949</v>
      </c>
      <c r="K435">
        <f>IFERROR(tblMoeHistory[[#This Row],[ESD State and Local Amount]]/tblMoeHistory[[#This Row],[Child Count]],0)</f>
        <v>396.08199524940613</v>
      </c>
      <c r="L435">
        <f>IFERROR(tblMoeHistory[[#This Row],[State and Local Total Amount]]/tblMoeHistory[[#This Row],[Child Count]],0)</f>
        <v>7719.5196912114016</v>
      </c>
      <c r="M435">
        <v>0</v>
      </c>
      <c r="N435" t="s">
        <v>240</v>
      </c>
      <c r="O435">
        <v>552716.67000000004</v>
      </c>
      <c r="P435">
        <v>5416.29</v>
      </c>
      <c r="Q435">
        <f>tblMoeHistory[[#This Row],[Amount of IDEA Part B, Section 611 award]]+tblMoeHistory[[#This Row],[Amount of IDEA Part B, Section 619 award]]</f>
        <v>558132.96000000008</v>
      </c>
      <c r="U4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5" t="str">
        <f>IF(OR(IFERROR(SEARCH("Met",tblMoeHistory[[#This Row],[State and Local Per Capita Result]]),0)&gt;0,IFERROR(SEARCH("Met",tblMoeHistory[[#This Row],[State and Local Total Result]]),0)&gt;0),"Met","Not Met")</f>
        <v>Met</v>
      </c>
    </row>
    <row r="436" spans="1:22" x14ac:dyDescent="0.35">
      <c r="A436" t="s">
        <v>62</v>
      </c>
      <c r="B436">
        <v>2089</v>
      </c>
      <c r="C436" t="s">
        <v>22</v>
      </c>
      <c r="D436">
        <v>54</v>
      </c>
      <c r="E436">
        <v>447854.09</v>
      </c>
      <c r="F436">
        <v>118119</v>
      </c>
      <c r="G436">
        <f>tblMoeHistory[[#This Row],[LEA State and Local Amount]]+tblMoeHistory[[#This Row],[ESD State and Local Amount]]</f>
        <v>565973.09000000008</v>
      </c>
      <c r="H436">
        <v>0</v>
      </c>
      <c r="I436" t="s">
        <v>241</v>
      </c>
      <c r="J436">
        <f>IFERROR(tblMoeHistory[[#This Row],[LEA State and Local Amount]]/tblMoeHistory[[#This Row],[Child Count]],0)</f>
        <v>8293.5942592592601</v>
      </c>
      <c r="K436">
        <f>IFERROR(tblMoeHistory[[#This Row],[ESD State and Local Amount]]/tblMoeHistory[[#This Row],[Child Count]],0)</f>
        <v>2187.3888888888887</v>
      </c>
      <c r="L436">
        <f>IFERROR(tblMoeHistory[[#This Row],[State and Local Total Amount]]/tblMoeHistory[[#This Row],[Child Count]],0)</f>
        <v>10480.983148148151</v>
      </c>
      <c r="M436">
        <v>0</v>
      </c>
      <c r="N436" t="s">
        <v>240</v>
      </c>
      <c r="O436">
        <v>60904.68</v>
      </c>
      <c r="P436">
        <v>247.28</v>
      </c>
      <c r="Q436">
        <f>tblMoeHistory[[#This Row],[Amount of IDEA Part B, Section 611 award]]+tblMoeHistory[[#This Row],[Amount of IDEA Part B, Section 619 award]]</f>
        <v>61151.96</v>
      </c>
      <c r="U4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6" t="str">
        <f>IF(OR(IFERROR(SEARCH("Met",tblMoeHistory[[#This Row],[State and Local Per Capita Result]]),0)&gt;0,IFERROR(SEARCH("Met",tblMoeHistory[[#This Row],[State and Local Total Result]]),0)&gt;0),"Met","Not Met")</f>
        <v>Met</v>
      </c>
    </row>
    <row r="437" spans="1:22" x14ac:dyDescent="0.35">
      <c r="A437" t="s">
        <v>63</v>
      </c>
      <c r="B437">
        <v>2050</v>
      </c>
      <c r="C437" t="s">
        <v>22</v>
      </c>
      <c r="D437">
        <v>75</v>
      </c>
      <c r="E437">
        <v>525550.56000000006</v>
      </c>
      <c r="F437">
        <v>196386.84</v>
      </c>
      <c r="G437">
        <f>tblMoeHistory[[#This Row],[LEA State and Local Amount]]+tblMoeHistory[[#This Row],[ESD State and Local Amount]]</f>
        <v>721937.4</v>
      </c>
      <c r="H437">
        <v>0</v>
      </c>
      <c r="I437" t="s">
        <v>241</v>
      </c>
      <c r="J437">
        <f>IFERROR(tblMoeHistory[[#This Row],[LEA State and Local Amount]]/tblMoeHistory[[#This Row],[Child Count]],0)</f>
        <v>7007.3408000000009</v>
      </c>
      <c r="K437">
        <f>IFERROR(tblMoeHistory[[#This Row],[ESD State and Local Amount]]/tblMoeHistory[[#This Row],[Child Count]],0)</f>
        <v>2618.4911999999999</v>
      </c>
      <c r="L437">
        <f>IFERROR(tblMoeHistory[[#This Row],[State and Local Total Amount]]/tblMoeHistory[[#This Row],[Child Count]],0)</f>
        <v>9625.8320000000003</v>
      </c>
      <c r="M437">
        <v>0</v>
      </c>
      <c r="N437" t="s">
        <v>240</v>
      </c>
      <c r="O437">
        <v>114777.14</v>
      </c>
      <c r="P437">
        <v>3944.54</v>
      </c>
      <c r="Q437">
        <f>tblMoeHistory[[#This Row],[Amount of IDEA Part B, Section 611 award]]+tblMoeHistory[[#This Row],[Amount of IDEA Part B, Section 619 award]]</f>
        <v>118721.68</v>
      </c>
      <c r="U4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7" t="str">
        <f>IF(OR(IFERROR(SEARCH("Met",tblMoeHistory[[#This Row],[State and Local Per Capita Result]]),0)&gt;0,IFERROR(SEARCH("Met",tblMoeHistory[[#This Row],[State and Local Total Result]]),0)&gt;0),"Met","Not Met")</f>
        <v>Met</v>
      </c>
    </row>
    <row r="438" spans="1:22" x14ac:dyDescent="0.35">
      <c r="A438" t="s">
        <v>64</v>
      </c>
      <c r="B438">
        <v>2190</v>
      </c>
      <c r="C438" t="s">
        <v>22</v>
      </c>
      <c r="D438">
        <v>423</v>
      </c>
      <c r="E438">
        <v>3467288.27</v>
      </c>
      <c r="F438">
        <v>254493.98</v>
      </c>
      <c r="G438">
        <f>tblMoeHistory[[#This Row],[LEA State and Local Amount]]+tblMoeHistory[[#This Row],[ESD State and Local Amount]]</f>
        <v>3721782.25</v>
      </c>
      <c r="H438">
        <v>0</v>
      </c>
      <c r="I438" t="s">
        <v>242</v>
      </c>
      <c r="J438">
        <f>IFERROR(tblMoeHistory[[#This Row],[LEA State and Local Amount]]/tblMoeHistory[[#This Row],[Child Count]],0)</f>
        <v>8196.898983451536</v>
      </c>
      <c r="K438">
        <f>IFERROR(tblMoeHistory[[#This Row],[ESD State and Local Amount]]/tblMoeHistory[[#This Row],[Child Count]],0)</f>
        <v>601.64061465721045</v>
      </c>
      <c r="L438">
        <f>IFERROR(tblMoeHistory[[#This Row],[State and Local Total Amount]]/tblMoeHistory[[#This Row],[Child Count]],0)</f>
        <v>8798.5395981087477</v>
      </c>
      <c r="M438">
        <v>0</v>
      </c>
      <c r="N438" t="s">
        <v>241</v>
      </c>
      <c r="O438">
        <v>472314.06</v>
      </c>
      <c r="P438">
        <v>5522.91</v>
      </c>
      <c r="Q438">
        <f>tblMoeHistory[[#This Row],[Amount of IDEA Part B, Section 611 award]]+tblMoeHistory[[#This Row],[Amount of IDEA Part B, Section 619 award]]</f>
        <v>477836.97</v>
      </c>
      <c r="S438">
        <v>78607.360000000001</v>
      </c>
      <c r="T438">
        <v>78607.360000000001</v>
      </c>
      <c r="U4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8" t="str">
        <f>IF(OR(IFERROR(SEARCH("Met",tblMoeHistory[[#This Row],[State and Local Per Capita Result]]),0)&gt;0,IFERROR(SEARCH("Met",tblMoeHistory[[#This Row],[State and Local Total Result]]),0)&gt;0),"Met","Not Met")</f>
        <v>Met</v>
      </c>
    </row>
    <row r="439" spans="1:22" x14ac:dyDescent="0.35">
      <c r="A439" t="s">
        <v>65</v>
      </c>
      <c r="B439">
        <v>2187</v>
      </c>
      <c r="C439" t="s">
        <v>22</v>
      </c>
      <c r="D439">
        <v>1385</v>
      </c>
      <c r="E439">
        <v>10437596.66</v>
      </c>
      <c r="F439">
        <v>2017362</v>
      </c>
      <c r="G439">
        <f>tblMoeHistory[[#This Row],[LEA State and Local Amount]]+tblMoeHistory[[#This Row],[ESD State and Local Amount]]</f>
        <v>12454958.66</v>
      </c>
      <c r="H439">
        <v>0</v>
      </c>
      <c r="I439" t="s">
        <v>241</v>
      </c>
      <c r="J439">
        <f>IFERROR(tblMoeHistory[[#This Row],[LEA State and Local Amount]]/tblMoeHistory[[#This Row],[Child Count]],0)</f>
        <v>7536.1708736462097</v>
      </c>
      <c r="K439">
        <f>IFERROR(tblMoeHistory[[#This Row],[ESD State and Local Amount]]/tblMoeHistory[[#This Row],[Child Count]],0)</f>
        <v>1456.5790613718411</v>
      </c>
      <c r="L439">
        <f>IFERROR(tblMoeHistory[[#This Row],[State and Local Total Amount]]/tblMoeHistory[[#This Row],[Child Count]],0)</f>
        <v>8992.7499350180515</v>
      </c>
      <c r="M439">
        <v>0</v>
      </c>
      <c r="N439" t="s">
        <v>241</v>
      </c>
      <c r="O439">
        <v>1703178.72</v>
      </c>
      <c r="P439">
        <v>12809.8</v>
      </c>
      <c r="Q439">
        <f>tblMoeHistory[[#This Row],[Amount of IDEA Part B, Section 611 award]]+tblMoeHistory[[#This Row],[Amount of IDEA Part B, Section 619 award]]</f>
        <v>1715988.52</v>
      </c>
      <c r="U4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9" t="str">
        <f>IF(OR(IFERROR(SEARCH("Met",tblMoeHistory[[#This Row],[State and Local Per Capita Result]]),0)&gt;0,IFERROR(SEARCH("Met",tblMoeHistory[[#This Row],[State and Local Total Result]]),0)&gt;0),"Met","Not Met")</f>
        <v>Met</v>
      </c>
    </row>
    <row r="440" spans="1:22" x14ac:dyDescent="0.35">
      <c r="A440" t="s">
        <v>66</v>
      </c>
      <c r="B440">
        <v>2253</v>
      </c>
      <c r="C440" t="s">
        <v>22</v>
      </c>
      <c r="D440">
        <v>127</v>
      </c>
      <c r="E440">
        <v>886008.41</v>
      </c>
      <c r="F440">
        <v>38278.99</v>
      </c>
      <c r="G440">
        <f>tblMoeHistory[[#This Row],[LEA State and Local Amount]]+tblMoeHistory[[#This Row],[ESD State and Local Amount]]</f>
        <v>924287.4</v>
      </c>
      <c r="H440">
        <v>0</v>
      </c>
      <c r="I440" t="s">
        <v>241</v>
      </c>
      <c r="J440">
        <f>IFERROR(tblMoeHistory[[#This Row],[LEA State and Local Amount]]/tblMoeHistory[[#This Row],[Child Count]],0)</f>
        <v>6976.4441732283467</v>
      </c>
      <c r="K440">
        <f>IFERROR(tblMoeHistory[[#This Row],[ESD State and Local Amount]]/tblMoeHistory[[#This Row],[Child Count]],0)</f>
        <v>301.40937007874015</v>
      </c>
      <c r="L440">
        <f>IFERROR(tblMoeHistory[[#This Row],[State and Local Total Amount]]/tblMoeHistory[[#This Row],[Child Count]],0)</f>
        <v>7277.8535433070865</v>
      </c>
      <c r="M440">
        <v>0</v>
      </c>
      <c r="N440" t="s">
        <v>241</v>
      </c>
      <c r="O440">
        <v>149954.29</v>
      </c>
      <c r="P440">
        <v>686.12</v>
      </c>
      <c r="Q440">
        <f>tblMoeHistory[[#This Row],[Amount of IDEA Part B, Section 611 award]]+tblMoeHistory[[#This Row],[Amount of IDEA Part B, Section 619 award]]</f>
        <v>150640.41</v>
      </c>
      <c r="U4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0" t="str">
        <f>IF(OR(IFERROR(SEARCH("Met",tblMoeHistory[[#This Row],[State and Local Per Capita Result]]),0)&gt;0,IFERROR(SEARCH("Met",tblMoeHistory[[#This Row],[State and Local Total Result]]),0)&gt;0),"Met","Not Met")</f>
        <v>Met</v>
      </c>
    </row>
    <row r="441" spans="1:22" x14ac:dyDescent="0.35">
      <c r="A441" t="s">
        <v>67</v>
      </c>
      <c r="B441">
        <v>2011</v>
      </c>
      <c r="C441" t="s">
        <v>22</v>
      </c>
      <c r="D441">
        <v>10</v>
      </c>
      <c r="E441">
        <v>4676.3999999999996</v>
      </c>
      <c r="F441">
        <v>69882.94</v>
      </c>
      <c r="G441">
        <f>tblMoeHistory[[#This Row],[LEA State and Local Amount]]+tblMoeHistory[[#This Row],[ESD State and Local Amount]]</f>
        <v>74559.34</v>
      </c>
      <c r="H441">
        <v>0</v>
      </c>
      <c r="I441" t="s">
        <v>240</v>
      </c>
      <c r="J441">
        <f>IFERROR(tblMoeHistory[[#This Row],[LEA State and Local Amount]]/tblMoeHistory[[#This Row],[Child Count]],0)</f>
        <v>467.64</v>
      </c>
      <c r="K441">
        <f>IFERROR(tblMoeHistory[[#This Row],[ESD State and Local Amount]]/tblMoeHistory[[#This Row],[Child Count]],0)</f>
        <v>6988.2939999999999</v>
      </c>
      <c r="L441">
        <f>IFERROR(tblMoeHistory[[#This Row],[State and Local Total Amount]]/tblMoeHistory[[#This Row],[Child Count]],0)</f>
        <v>7455.9339999999993</v>
      </c>
      <c r="M441">
        <v>0</v>
      </c>
      <c r="N441" t="s">
        <v>240</v>
      </c>
      <c r="O441">
        <v>11301.54</v>
      </c>
      <c r="P441">
        <v>1947.8</v>
      </c>
      <c r="Q441">
        <f>tblMoeHistory[[#This Row],[Amount of IDEA Part B, Section 611 award]]+tblMoeHistory[[#This Row],[Amount of IDEA Part B, Section 619 award]]</f>
        <v>13249.34</v>
      </c>
      <c r="U4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1" t="str">
        <f>IF(OR(IFERROR(SEARCH("Met",tblMoeHistory[[#This Row],[State and Local Per Capita Result]]),0)&gt;0,IFERROR(SEARCH("Met",tblMoeHistory[[#This Row],[State and Local Total Result]]),0)&gt;0),"Met","Not Met")</f>
        <v>Not Met</v>
      </c>
    </row>
    <row r="442" spans="1:22" x14ac:dyDescent="0.35">
      <c r="A442" t="s">
        <v>68</v>
      </c>
      <c r="B442">
        <v>2017</v>
      </c>
      <c r="C442" t="s">
        <v>22</v>
      </c>
      <c r="D442">
        <v>2</v>
      </c>
      <c r="E442">
        <v>6682</v>
      </c>
      <c r="F442">
        <v>2450</v>
      </c>
      <c r="G442">
        <f>tblMoeHistory[[#This Row],[LEA State and Local Amount]]+tblMoeHistory[[#This Row],[ESD State and Local Amount]]</f>
        <v>9132</v>
      </c>
      <c r="H442">
        <v>0</v>
      </c>
      <c r="I442" t="s">
        <v>241</v>
      </c>
      <c r="J442">
        <f>IFERROR(tblMoeHistory[[#This Row],[LEA State and Local Amount]]/tblMoeHistory[[#This Row],[Child Count]],0)</f>
        <v>3341</v>
      </c>
      <c r="K442">
        <f>IFERROR(tblMoeHistory[[#This Row],[ESD State and Local Amount]]/tblMoeHistory[[#This Row],[Child Count]],0)</f>
        <v>1225</v>
      </c>
      <c r="L442">
        <f>IFERROR(tblMoeHistory[[#This Row],[State and Local Total Amount]]/tblMoeHistory[[#This Row],[Child Count]],0)</f>
        <v>4566</v>
      </c>
      <c r="M442">
        <v>0</v>
      </c>
      <c r="N442" t="s">
        <v>241</v>
      </c>
      <c r="O442">
        <v>2535.38</v>
      </c>
      <c r="P442">
        <v>1.73</v>
      </c>
      <c r="Q442">
        <f>tblMoeHistory[[#This Row],[Amount of IDEA Part B, Section 611 award]]+tblMoeHistory[[#This Row],[Amount of IDEA Part B, Section 619 award]]</f>
        <v>2537.11</v>
      </c>
      <c r="U4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2" t="str">
        <f>IF(OR(IFERROR(SEARCH("Met",tblMoeHistory[[#This Row],[State and Local Per Capita Result]]),0)&gt;0,IFERROR(SEARCH("Met",tblMoeHistory[[#This Row],[State and Local Total Result]]),0)&gt;0),"Met","Not Met")</f>
        <v>Met</v>
      </c>
    </row>
    <row r="443" spans="1:22" x14ac:dyDescent="0.35">
      <c r="A443" t="s">
        <v>69</v>
      </c>
      <c r="B443">
        <v>2021</v>
      </c>
      <c r="C443" t="s">
        <v>22</v>
      </c>
      <c r="D443">
        <v>0</v>
      </c>
      <c r="E443">
        <v>5636.98</v>
      </c>
      <c r="F443">
        <v>190</v>
      </c>
      <c r="G443">
        <f>tblMoeHistory[[#This Row],[LEA State and Local Amount]]+tblMoeHistory[[#This Row],[ESD State and Local Amount]]</f>
        <v>5826.98</v>
      </c>
      <c r="H443">
        <v>0</v>
      </c>
      <c r="J443">
        <f>IFERROR(tblMoeHistory[[#This Row],[LEA State and Local Amount]]/tblMoeHistory[[#This Row],[Child Count]],0)</f>
        <v>0</v>
      </c>
      <c r="K443">
        <f>IFERROR(tblMoeHistory[[#This Row],[ESD State and Local Amount]]/tblMoeHistory[[#This Row],[Child Count]],0)</f>
        <v>0</v>
      </c>
      <c r="L443">
        <f>IFERROR(tblMoeHistory[[#This Row],[State and Local Total Amount]]/tblMoeHistory[[#This Row],[Child Count]],0)</f>
        <v>0</v>
      </c>
      <c r="M443">
        <v>0</v>
      </c>
      <c r="O443">
        <v>0</v>
      </c>
      <c r="P443">
        <v>0</v>
      </c>
      <c r="Q443">
        <f>tblMoeHistory[[#This Row],[Amount of IDEA Part B, Section 611 award]]+tblMoeHistory[[#This Row],[Amount of IDEA Part B, Section 619 award]]</f>
        <v>0</v>
      </c>
      <c r="U4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3" t="str">
        <f>IF(OR(IFERROR(SEARCH("Met",tblMoeHistory[[#This Row],[State and Local Per Capita Result]]),0)&gt;0,IFERROR(SEARCH("Met",tblMoeHistory[[#This Row],[State and Local Total Result]]),0)&gt;0),"Met","Not Met")</f>
        <v>Not Met</v>
      </c>
    </row>
    <row r="444" spans="1:22" x14ac:dyDescent="0.35">
      <c r="A444" t="s">
        <v>70</v>
      </c>
      <c r="B444">
        <v>1993</v>
      </c>
      <c r="C444" t="s">
        <v>22</v>
      </c>
      <c r="D444">
        <v>29</v>
      </c>
      <c r="E444">
        <v>142260.18</v>
      </c>
      <c r="F444">
        <v>32257</v>
      </c>
      <c r="G444">
        <f>tblMoeHistory[[#This Row],[LEA State and Local Amount]]+tblMoeHistory[[#This Row],[ESD State and Local Amount]]</f>
        <v>174517.18</v>
      </c>
      <c r="H444">
        <v>0</v>
      </c>
      <c r="I444" t="s">
        <v>240</v>
      </c>
      <c r="J444">
        <f>IFERROR(tblMoeHistory[[#This Row],[LEA State and Local Amount]]/tblMoeHistory[[#This Row],[Child Count]],0)</f>
        <v>4905.5234482758615</v>
      </c>
      <c r="K444">
        <f>IFERROR(tblMoeHistory[[#This Row],[ESD State and Local Amount]]/tblMoeHistory[[#This Row],[Child Count]],0)</f>
        <v>1112.3103448275863</v>
      </c>
      <c r="L444">
        <f>IFERROR(tblMoeHistory[[#This Row],[State and Local Total Amount]]/tblMoeHistory[[#This Row],[Child Count]],0)</f>
        <v>6017.8337931034484</v>
      </c>
      <c r="M444">
        <v>0</v>
      </c>
      <c r="N444" t="s">
        <v>240</v>
      </c>
      <c r="O444">
        <v>53138.06</v>
      </c>
      <c r="P444">
        <v>1483.42</v>
      </c>
      <c r="Q444">
        <f>tblMoeHistory[[#This Row],[Amount of IDEA Part B, Section 611 award]]+tblMoeHistory[[#This Row],[Amount of IDEA Part B, Section 619 award]]</f>
        <v>54621.479999999996</v>
      </c>
      <c r="U4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4" t="str">
        <f>IF(OR(IFERROR(SEARCH("Met",tblMoeHistory[[#This Row],[State and Local Per Capita Result]]),0)&gt;0,IFERROR(SEARCH("Met",tblMoeHistory[[#This Row],[State and Local Total Result]]),0)&gt;0),"Met","Not Met")</f>
        <v>Not Met</v>
      </c>
    </row>
    <row r="445" spans="1:22" x14ac:dyDescent="0.35">
      <c r="A445" t="s">
        <v>71</v>
      </c>
      <c r="B445">
        <v>1991</v>
      </c>
      <c r="C445" t="s">
        <v>22</v>
      </c>
      <c r="D445">
        <v>685</v>
      </c>
      <c r="E445">
        <v>4710538.12</v>
      </c>
      <c r="F445">
        <v>1265534</v>
      </c>
      <c r="G445">
        <f>tblMoeHistory[[#This Row],[LEA State and Local Amount]]+tblMoeHistory[[#This Row],[ESD State and Local Amount]]</f>
        <v>5976072.1200000001</v>
      </c>
      <c r="H445">
        <v>0</v>
      </c>
      <c r="I445" t="s">
        <v>241</v>
      </c>
      <c r="J445">
        <f>IFERROR(tblMoeHistory[[#This Row],[LEA State and Local Amount]]/tblMoeHistory[[#This Row],[Child Count]],0)</f>
        <v>6876.6979854014598</v>
      </c>
      <c r="K445">
        <f>IFERROR(tblMoeHistory[[#This Row],[ESD State and Local Amount]]/tblMoeHistory[[#This Row],[Child Count]],0)</f>
        <v>1847.4948905109488</v>
      </c>
      <c r="L445">
        <f>IFERROR(tblMoeHistory[[#This Row],[State and Local Total Amount]]/tblMoeHistory[[#This Row],[Child Count]],0)</f>
        <v>8724.1928759124094</v>
      </c>
      <c r="M445">
        <v>0</v>
      </c>
      <c r="N445" t="s">
        <v>241</v>
      </c>
      <c r="O445">
        <v>1073170.22</v>
      </c>
      <c r="P445">
        <v>10260.52</v>
      </c>
      <c r="Q445">
        <f>tblMoeHistory[[#This Row],[Amount of IDEA Part B, Section 611 award]]+tblMoeHistory[[#This Row],[Amount of IDEA Part B, Section 619 award]]</f>
        <v>1083430.74</v>
      </c>
      <c r="U4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5" t="str">
        <f>IF(OR(IFERROR(SEARCH("Met",tblMoeHistory[[#This Row],[State and Local Per Capita Result]]),0)&gt;0,IFERROR(SEARCH("Met",tblMoeHistory[[#This Row],[State and Local Total Result]]),0)&gt;0),"Met","Not Met")</f>
        <v>Met</v>
      </c>
    </row>
    <row r="446" spans="1:22" x14ac:dyDescent="0.35">
      <c r="A446" t="s">
        <v>72</v>
      </c>
      <c r="B446">
        <v>2019</v>
      </c>
      <c r="C446" t="s">
        <v>22</v>
      </c>
      <c r="D446">
        <v>2</v>
      </c>
      <c r="E446">
        <v>9168.9</v>
      </c>
      <c r="F446">
        <v>2070</v>
      </c>
      <c r="G446">
        <f>tblMoeHistory[[#This Row],[LEA State and Local Amount]]+tblMoeHistory[[#This Row],[ESD State and Local Amount]]</f>
        <v>11238.9</v>
      </c>
      <c r="H446">
        <v>0</v>
      </c>
      <c r="I446" t="s">
        <v>240</v>
      </c>
      <c r="J446">
        <f>IFERROR(tblMoeHistory[[#This Row],[LEA State and Local Amount]]/tblMoeHistory[[#This Row],[Child Count]],0)</f>
        <v>4584.45</v>
      </c>
      <c r="K446">
        <f>IFERROR(tblMoeHistory[[#This Row],[ESD State and Local Amount]]/tblMoeHistory[[#This Row],[Child Count]],0)</f>
        <v>1035</v>
      </c>
      <c r="L446">
        <f>IFERROR(tblMoeHistory[[#This Row],[State and Local Total Amount]]/tblMoeHistory[[#This Row],[Child Count]],0)</f>
        <v>5619.45</v>
      </c>
      <c r="M446">
        <v>0</v>
      </c>
      <c r="N446" t="s">
        <v>240</v>
      </c>
      <c r="O446">
        <v>1049.81</v>
      </c>
      <c r="P446">
        <v>0</v>
      </c>
      <c r="Q446">
        <f>tblMoeHistory[[#This Row],[Amount of IDEA Part B, Section 611 award]]+tblMoeHistory[[#This Row],[Amount of IDEA Part B, Section 619 award]]</f>
        <v>1049.81</v>
      </c>
      <c r="U4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6" t="str">
        <f>IF(OR(IFERROR(SEARCH("Met",tblMoeHistory[[#This Row],[State and Local Per Capita Result]]),0)&gt;0,IFERROR(SEARCH("Met",tblMoeHistory[[#This Row],[State and Local Total Result]]),0)&gt;0),"Met","Not Met")</f>
        <v>Not Met</v>
      </c>
    </row>
    <row r="447" spans="1:22" x14ac:dyDescent="0.35">
      <c r="A447" t="s">
        <v>73</v>
      </c>
      <c r="B447">
        <v>2229</v>
      </c>
      <c r="C447" t="s">
        <v>22</v>
      </c>
      <c r="D447">
        <v>39</v>
      </c>
      <c r="E447">
        <v>186658.84</v>
      </c>
      <c r="F447">
        <v>0</v>
      </c>
      <c r="G447">
        <f>tblMoeHistory[[#This Row],[LEA State and Local Amount]]+tblMoeHistory[[#This Row],[ESD State and Local Amount]]</f>
        <v>186658.84</v>
      </c>
      <c r="H447">
        <v>0</v>
      </c>
      <c r="I447" t="s">
        <v>241</v>
      </c>
      <c r="J447">
        <f>IFERROR(tblMoeHistory[[#This Row],[LEA State and Local Amount]]/tblMoeHistory[[#This Row],[Child Count]],0)</f>
        <v>4786.124102564102</v>
      </c>
      <c r="K447">
        <f>IFERROR(tblMoeHistory[[#This Row],[ESD State and Local Amount]]/tblMoeHistory[[#This Row],[Child Count]],0)</f>
        <v>0</v>
      </c>
      <c r="L447">
        <f>IFERROR(tblMoeHistory[[#This Row],[State and Local Total Amount]]/tblMoeHistory[[#This Row],[Child Count]],0)</f>
        <v>4786.124102564102</v>
      </c>
      <c r="M447">
        <v>0</v>
      </c>
      <c r="N447" t="s">
        <v>240</v>
      </c>
      <c r="O447">
        <v>39277.99</v>
      </c>
      <c r="P447">
        <v>370.14</v>
      </c>
      <c r="Q447">
        <f>tblMoeHistory[[#This Row],[Amount of IDEA Part B, Section 611 award]]+tblMoeHistory[[#This Row],[Amount of IDEA Part B, Section 619 award]]</f>
        <v>39648.129999999997</v>
      </c>
      <c r="U4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7" t="str">
        <f>IF(OR(IFERROR(SEARCH("Met",tblMoeHistory[[#This Row],[State and Local Per Capita Result]]),0)&gt;0,IFERROR(SEARCH("Met",tblMoeHistory[[#This Row],[State and Local Total Result]]),0)&gt;0),"Met","Not Met")</f>
        <v>Met</v>
      </c>
    </row>
    <row r="448" spans="1:22" x14ac:dyDescent="0.35">
      <c r="A448" t="s">
        <v>74</v>
      </c>
      <c r="B448">
        <v>2043</v>
      </c>
      <c r="C448" t="s">
        <v>22</v>
      </c>
      <c r="D448">
        <v>505</v>
      </c>
      <c r="E448">
        <v>2900159.96</v>
      </c>
      <c r="F448">
        <v>933903.62</v>
      </c>
      <c r="G448">
        <f>tblMoeHistory[[#This Row],[LEA State and Local Amount]]+tblMoeHistory[[#This Row],[ESD State and Local Amount]]</f>
        <v>3834063.58</v>
      </c>
      <c r="H448">
        <v>0</v>
      </c>
      <c r="I448" t="s">
        <v>241</v>
      </c>
      <c r="J448">
        <f>IFERROR(tblMoeHistory[[#This Row],[LEA State and Local Amount]]/tblMoeHistory[[#This Row],[Child Count]],0)</f>
        <v>5742.89100990099</v>
      </c>
      <c r="K448">
        <f>IFERROR(tblMoeHistory[[#This Row],[ESD State and Local Amount]]/tblMoeHistory[[#This Row],[Child Count]],0)</f>
        <v>1849.3140990099009</v>
      </c>
      <c r="L448">
        <f>IFERROR(tblMoeHistory[[#This Row],[State and Local Total Amount]]/tblMoeHistory[[#This Row],[Child Count]],0)</f>
        <v>7592.2051089108909</v>
      </c>
      <c r="M448">
        <v>0</v>
      </c>
      <c r="N448" t="s">
        <v>240</v>
      </c>
      <c r="O448">
        <v>696968.39</v>
      </c>
      <c r="P448">
        <v>6418.88</v>
      </c>
      <c r="Q448">
        <f>tblMoeHistory[[#This Row],[Amount of IDEA Part B, Section 611 award]]+tblMoeHistory[[#This Row],[Amount of IDEA Part B, Section 619 award]]</f>
        <v>703387.27</v>
      </c>
      <c r="U4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8" t="str">
        <f>IF(OR(IFERROR(SEARCH("Met",tblMoeHistory[[#This Row],[State and Local Per Capita Result]]),0)&gt;0,IFERROR(SEARCH("Met",tblMoeHistory[[#This Row],[State and Local Total Result]]),0)&gt;0),"Met","Not Met")</f>
        <v>Met</v>
      </c>
    </row>
    <row r="449" spans="1:22" x14ac:dyDescent="0.35">
      <c r="A449" t="s">
        <v>75</v>
      </c>
      <c r="B449">
        <v>2203</v>
      </c>
      <c r="C449" t="s">
        <v>22</v>
      </c>
      <c r="D449">
        <v>35</v>
      </c>
      <c r="E449">
        <v>137916.35</v>
      </c>
      <c r="F449">
        <v>52326.53</v>
      </c>
      <c r="G449">
        <f>tblMoeHistory[[#This Row],[LEA State and Local Amount]]+tblMoeHistory[[#This Row],[ESD State and Local Amount]]</f>
        <v>190242.88</v>
      </c>
      <c r="H449">
        <v>0</v>
      </c>
      <c r="I449" t="s">
        <v>240</v>
      </c>
      <c r="J449">
        <f>IFERROR(tblMoeHistory[[#This Row],[LEA State and Local Amount]]/tblMoeHistory[[#This Row],[Child Count]],0)</f>
        <v>3940.4671428571432</v>
      </c>
      <c r="K449">
        <f>IFERROR(tblMoeHistory[[#This Row],[ESD State and Local Amount]]/tblMoeHistory[[#This Row],[Child Count]],0)</f>
        <v>1495.0437142857143</v>
      </c>
      <c r="L449">
        <f>IFERROR(tblMoeHistory[[#This Row],[State and Local Total Amount]]/tblMoeHistory[[#This Row],[Child Count]],0)</f>
        <v>5435.5108571428573</v>
      </c>
      <c r="M449">
        <v>0</v>
      </c>
      <c r="N449" t="s">
        <v>240</v>
      </c>
      <c r="O449">
        <v>36914.730000000003</v>
      </c>
      <c r="P449">
        <v>0</v>
      </c>
      <c r="Q449">
        <f>tblMoeHistory[[#This Row],[Amount of IDEA Part B, Section 611 award]]+tblMoeHistory[[#This Row],[Amount of IDEA Part B, Section 619 award]]</f>
        <v>36914.730000000003</v>
      </c>
      <c r="U4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9" t="str">
        <f>IF(OR(IFERROR(SEARCH("Met",tblMoeHistory[[#This Row],[State and Local Per Capita Result]]),0)&gt;0,IFERROR(SEARCH("Met",tblMoeHistory[[#This Row],[State and Local Total Result]]),0)&gt;0),"Met","Not Met")</f>
        <v>Not Met</v>
      </c>
    </row>
    <row r="450" spans="1:22" x14ac:dyDescent="0.35">
      <c r="A450" t="s">
        <v>76</v>
      </c>
      <c r="B450">
        <v>2217</v>
      </c>
      <c r="C450" t="s">
        <v>22</v>
      </c>
      <c r="D450">
        <v>58</v>
      </c>
      <c r="E450">
        <v>392198.37</v>
      </c>
      <c r="F450">
        <v>117539.45</v>
      </c>
      <c r="G450">
        <f>tblMoeHistory[[#This Row],[LEA State and Local Amount]]+tblMoeHistory[[#This Row],[ESD State and Local Amount]]</f>
        <v>509737.82</v>
      </c>
      <c r="H450">
        <v>0</v>
      </c>
      <c r="I450" t="s">
        <v>242</v>
      </c>
      <c r="J450">
        <f>IFERROR(tblMoeHistory[[#This Row],[LEA State and Local Amount]]/tblMoeHistory[[#This Row],[Child Count]],0)</f>
        <v>6762.040862068965</v>
      </c>
      <c r="K450">
        <f>IFERROR(tblMoeHistory[[#This Row],[ESD State and Local Amount]]/tblMoeHistory[[#This Row],[Child Count]],0)</f>
        <v>2026.5422413793103</v>
      </c>
      <c r="L450">
        <f>IFERROR(tblMoeHistory[[#This Row],[State and Local Total Amount]]/tblMoeHistory[[#This Row],[Child Count]],0)</f>
        <v>8788.5831034482762</v>
      </c>
      <c r="M450">
        <v>0</v>
      </c>
      <c r="N450" t="s">
        <v>241</v>
      </c>
      <c r="O450">
        <v>75592.149999999994</v>
      </c>
      <c r="P450">
        <v>64.900000000000006</v>
      </c>
      <c r="Q450">
        <f>tblMoeHistory[[#This Row],[Amount of IDEA Part B, Section 611 award]]+tblMoeHistory[[#This Row],[Amount of IDEA Part B, Section 619 award]]</f>
        <v>75657.049999999988</v>
      </c>
      <c r="S450">
        <v>99134.38</v>
      </c>
      <c r="T450">
        <v>99134.38</v>
      </c>
      <c r="U4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0" t="str">
        <f>IF(OR(IFERROR(SEARCH("Met",tblMoeHistory[[#This Row],[State and Local Per Capita Result]]),0)&gt;0,IFERROR(SEARCH("Met",tblMoeHistory[[#This Row],[State and Local Total Result]]),0)&gt;0),"Met","Not Met")</f>
        <v>Met</v>
      </c>
    </row>
    <row r="451" spans="1:22" x14ac:dyDescent="0.35">
      <c r="A451" t="s">
        <v>77</v>
      </c>
      <c r="B451">
        <v>1998</v>
      </c>
      <c r="C451" t="s">
        <v>22</v>
      </c>
      <c r="D451">
        <v>33</v>
      </c>
      <c r="E451">
        <v>93248.24</v>
      </c>
      <c r="F451">
        <v>35559.03</v>
      </c>
      <c r="G451">
        <f>tblMoeHistory[[#This Row],[LEA State and Local Amount]]+tblMoeHistory[[#This Row],[ESD State and Local Amount]]</f>
        <v>128807.27</v>
      </c>
      <c r="H451">
        <v>0</v>
      </c>
      <c r="I451" t="s">
        <v>242</v>
      </c>
      <c r="J451">
        <f>IFERROR(tblMoeHistory[[#This Row],[LEA State and Local Amount]]/tblMoeHistory[[#This Row],[Child Count]],0)</f>
        <v>2825.7042424242427</v>
      </c>
      <c r="K451">
        <f>IFERROR(tblMoeHistory[[#This Row],[ESD State and Local Amount]]/tblMoeHistory[[#This Row],[Child Count]],0)</f>
        <v>1077.5463636363636</v>
      </c>
      <c r="L451">
        <f>IFERROR(tblMoeHistory[[#This Row],[State and Local Total Amount]]/tblMoeHistory[[#This Row],[Child Count]],0)</f>
        <v>3903.2506060606061</v>
      </c>
      <c r="M451">
        <v>0</v>
      </c>
      <c r="N451" t="s">
        <v>240</v>
      </c>
      <c r="O451">
        <v>39341.480000000003</v>
      </c>
      <c r="P451">
        <v>0</v>
      </c>
      <c r="Q451">
        <f>tblMoeHistory[[#This Row],[Amount of IDEA Part B, Section 611 award]]+tblMoeHistory[[#This Row],[Amount of IDEA Part B, Section 619 award]]</f>
        <v>39341.480000000003</v>
      </c>
      <c r="S451">
        <v>10524.64</v>
      </c>
      <c r="U4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1" t="str">
        <f>IF(OR(IFERROR(SEARCH("Met",tblMoeHistory[[#This Row],[State and Local Per Capita Result]]),0)&gt;0,IFERROR(SEARCH("Met",tblMoeHistory[[#This Row],[State and Local Total Result]]),0)&gt;0),"Met","Not Met")</f>
        <v>Met</v>
      </c>
    </row>
    <row r="452" spans="1:22" x14ac:dyDescent="0.35">
      <c r="A452" t="s">
        <v>78</v>
      </c>
      <c r="B452">
        <v>2221</v>
      </c>
      <c r="C452" t="s">
        <v>22</v>
      </c>
      <c r="D452">
        <v>45</v>
      </c>
      <c r="E452">
        <v>5510.63</v>
      </c>
      <c r="F452">
        <v>278032.7</v>
      </c>
      <c r="G452">
        <f>tblMoeHistory[[#This Row],[LEA State and Local Amount]]+tblMoeHistory[[#This Row],[ESD State and Local Amount]]</f>
        <v>283543.33</v>
      </c>
      <c r="H452">
        <v>0</v>
      </c>
      <c r="I452" t="s">
        <v>242</v>
      </c>
      <c r="J452">
        <f>IFERROR(tblMoeHistory[[#This Row],[LEA State and Local Amount]]/tblMoeHistory[[#This Row],[Child Count]],0)</f>
        <v>122.45844444444445</v>
      </c>
      <c r="K452">
        <f>IFERROR(tblMoeHistory[[#This Row],[ESD State and Local Amount]]/tblMoeHistory[[#This Row],[Child Count]],0)</f>
        <v>6178.5044444444447</v>
      </c>
      <c r="L452">
        <f>IFERROR(tblMoeHistory[[#This Row],[State and Local Total Amount]]/tblMoeHistory[[#This Row],[Child Count]],0)</f>
        <v>6300.9628888888892</v>
      </c>
      <c r="M452">
        <v>0</v>
      </c>
      <c r="N452" t="s">
        <v>241</v>
      </c>
      <c r="O452">
        <v>79721.119999999995</v>
      </c>
      <c r="P452">
        <v>821.12</v>
      </c>
      <c r="Q452">
        <f>tblMoeHistory[[#This Row],[Amount of IDEA Part B, Section 611 award]]+tblMoeHistory[[#This Row],[Amount of IDEA Part B, Section 619 award]]</f>
        <v>80542.239999999991</v>
      </c>
      <c r="S452">
        <v>48480.88</v>
      </c>
      <c r="T452">
        <v>48480.88</v>
      </c>
      <c r="U4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2" t="str">
        <f>IF(OR(IFERROR(SEARCH("Met",tblMoeHistory[[#This Row],[State and Local Per Capita Result]]),0)&gt;0,IFERROR(SEARCH("Met",tblMoeHistory[[#This Row],[State and Local Total Result]]),0)&gt;0),"Met","Not Met")</f>
        <v>Met</v>
      </c>
    </row>
    <row r="453" spans="1:22" x14ac:dyDescent="0.35">
      <c r="A453" t="s">
        <v>79</v>
      </c>
      <c r="B453">
        <v>1930</v>
      </c>
      <c r="C453" t="s">
        <v>22</v>
      </c>
      <c r="D453">
        <v>384</v>
      </c>
      <c r="E453">
        <v>2484319.79</v>
      </c>
      <c r="F453">
        <v>680465</v>
      </c>
      <c r="G453">
        <f>tblMoeHistory[[#This Row],[LEA State and Local Amount]]+tblMoeHistory[[#This Row],[ESD State and Local Amount]]</f>
        <v>3164784.79</v>
      </c>
      <c r="H453">
        <v>0</v>
      </c>
      <c r="I453" t="s">
        <v>241</v>
      </c>
      <c r="J453">
        <f>IFERROR(tblMoeHistory[[#This Row],[LEA State and Local Amount]]/tblMoeHistory[[#This Row],[Child Count]],0)</f>
        <v>6469.5827864583334</v>
      </c>
      <c r="K453">
        <f>IFERROR(tblMoeHistory[[#This Row],[ESD State and Local Amount]]/tblMoeHistory[[#This Row],[Child Count]],0)</f>
        <v>1772.0442708333333</v>
      </c>
      <c r="L453">
        <f>IFERROR(tblMoeHistory[[#This Row],[State and Local Total Amount]]/tblMoeHistory[[#This Row],[Child Count]],0)</f>
        <v>8241.6270572916674</v>
      </c>
      <c r="M453">
        <v>0</v>
      </c>
      <c r="N453" t="s">
        <v>240</v>
      </c>
      <c r="O453">
        <v>454909.38</v>
      </c>
      <c r="P453">
        <v>3559.95</v>
      </c>
      <c r="Q453">
        <f>tblMoeHistory[[#This Row],[Amount of IDEA Part B, Section 611 award]]+tblMoeHistory[[#This Row],[Amount of IDEA Part B, Section 619 award]]</f>
        <v>458469.33</v>
      </c>
      <c r="U4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3" t="str">
        <f>IF(OR(IFERROR(SEARCH("Met",tblMoeHistory[[#This Row],[State and Local Per Capita Result]]),0)&gt;0,IFERROR(SEARCH("Met",tblMoeHistory[[#This Row],[State and Local Total Result]]),0)&gt;0),"Met","Not Met")</f>
        <v>Met</v>
      </c>
    </row>
    <row r="454" spans="1:22" x14ac:dyDescent="0.35">
      <c r="A454" t="s">
        <v>80</v>
      </c>
      <c r="B454">
        <v>2082</v>
      </c>
      <c r="C454" t="s">
        <v>22</v>
      </c>
      <c r="D454">
        <v>2306</v>
      </c>
      <c r="E454">
        <v>18049941.649999999</v>
      </c>
      <c r="F454">
        <v>3881905</v>
      </c>
      <c r="G454">
        <f>tblMoeHistory[[#This Row],[LEA State and Local Amount]]+tblMoeHistory[[#This Row],[ESD State and Local Amount]]</f>
        <v>21931846.649999999</v>
      </c>
      <c r="H454">
        <v>0</v>
      </c>
      <c r="I454" t="s">
        <v>241</v>
      </c>
      <c r="J454">
        <f>IFERROR(tblMoeHistory[[#This Row],[LEA State and Local Amount]]/tblMoeHistory[[#This Row],[Child Count]],0)</f>
        <v>7827.3814614050298</v>
      </c>
      <c r="K454">
        <f>IFERROR(tblMoeHistory[[#This Row],[ESD State and Local Amount]]/tblMoeHistory[[#This Row],[Child Count]],0)</f>
        <v>1683.3933217692975</v>
      </c>
      <c r="L454">
        <f>IFERROR(tblMoeHistory[[#This Row],[State and Local Total Amount]]/tblMoeHistory[[#This Row],[Child Count]],0)</f>
        <v>9510.7747831743272</v>
      </c>
      <c r="M454">
        <v>0</v>
      </c>
      <c r="N454" t="s">
        <v>241</v>
      </c>
      <c r="O454">
        <v>3022848.3</v>
      </c>
      <c r="P454">
        <v>23682.06</v>
      </c>
      <c r="Q454">
        <f>tblMoeHistory[[#This Row],[Amount of IDEA Part B, Section 611 award]]+tblMoeHistory[[#This Row],[Amount of IDEA Part B, Section 619 award]]</f>
        <v>3046530.36</v>
      </c>
      <c r="U4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4" t="str">
        <f>IF(OR(IFERROR(SEARCH("Met",tblMoeHistory[[#This Row],[State and Local Per Capita Result]]),0)&gt;0,IFERROR(SEARCH("Met",tblMoeHistory[[#This Row],[State and Local Total Result]]),0)&gt;0),"Met","Not Met")</f>
        <v>Met</v>
      </c>
    </row>
    <row r="455" spans="1:22" x14ac:dyDescent="0.35">
      <c r="A455" t="s">
        <v>81</v>
      </c>
      <c r="B455">
        <v>2193</v>
      </c>
      <c r="C455" t="s">
        <v>22</v>
      </c>
      <c r="D455">
        <v>32</v>
      </c>
      <c r="E455">
        <v>286385.25</v>
      </c>
      <c r="F455">
        <v>27435.06</v>
      </c>
      <c r="G455">
        <f>tblMoeHistory[[#This Row],[LEA State and Local Amount]]+tblMoeHistory[[#This Row],[ESD State and Local Amount]]</f>
        <v>313820.31</v>
      </c>
      <c r="H455">
        <v>0</v>
      </c>
      <c r="I455" t="s">
        <v>241</v>
      </c>
      <c r="J455">
        <f>IFERROR(tblMoeHistory[[#This Row],[LEA State and Local Amount]]/tblMoeHistory[[#This Row],[Child Count]],0)</f>
        <v>8949.5390625</v>
      </c>
      <c r="K455">
        <f>IFERROR(tblMoeHistory[[#This Row],[ESD State and Local Amount]]/tblMoeHistory[[#This Row],[Child Count]],0)</f>
        <v>857.34562500000004</v>
      </c>
      <c r="L455">
        <f>IFERROR(tblMoeHistory[[#This Row],[State and Local Total Amount]]/tblMoeHistory[[#This Row],[Child Count]],0)</f>
        <v>9806.8846874999999</v>
      </c>
      <c r="M455">
        <v>0</v>
      </c>
      <c r="N455" t="s">
        <v>241</v>
      </c>
      <c r="O455">
        <v>37612.89</v>
      </c>
      <c r="P455">
        <v>657.02</v>
      </c>
      <c r="Q455">
        <f>tblMoeHistory[[#This Row],[Amount of IDEA Part B, Section 611 award]]+tblMoeHistory[[#This Row],[Amount of IDEA Part B, Section 619 award]]</f>
        <v>38269.909999999996</v>
      </c>
      <c r="U4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5" t="str">
        <f>IF(OR(IFERROR(SEARCH("Met",tblMoeHistory[[#This Row],[State and Local Per Capita Result]]),0)&gt;0,IFERROR(SEARCH("Met",tblMoeHistory[[#This Row],[State and Local Total Result]]),0)&gt;0),"Met","Not Met")</f>
        <v>Met</v>
      </c>
    </row>
    <row r="456" spans="1:22" x14ac:dyDescent="0.35">
      <c r="A456" t="s">
        <v>82</v>
      </c>
      <c r="B456">
        <v>2084</v>
      </c>
      <c r="C456" t="s">
        <v>22</v>
      </c>
      <c r="D456">
        <v>241</v>
      </c>
      <c r="E456">
        <v>2105510.7200000002</v>
      </c>
      <c r="F456">
        <v>569221</v>
      </c>
      <c r="G456">
        <f>tblMoeHistory[[#This Row],[LEA State and Local Amount]]+tblMoeHistory[[#This Row],[ESD State and Local Amount]]</f>
        <v>2674731.7200000002</v>
      </c>
      <c r="H456">
        <v>0</v>
      </c>
      <c r="I456" t="s">
        <v>242</v>
      </c>
      <c r="J456">
        <f>IFERROR(tblMoeHistory[[#This Row],[LEA State and Local Amount]]/tblMoeHistory[[#This Row],[Child Count]],0)</f>
        <v>8736.5590041493779</v>
      </c>
      <c r="K456">
        <f>IFERROR(tblMoeHistory[[#This Row],[ESD State and Local Amount]]/tblMoeHistory[[#This Row],[Child Count]],0)</f>
        <v>2361.9128630705395</v>
      </c>
      <c r="L456">
        <f>IFERROR(tblMoeHistory[[#This Row],[State and Local Total Amount]]/tblMoeHistory[[#This Row],[Child Count]],0)</f>
        <v>11098.471867219918</v>
      </c>
      <c r="M456">
        <v>0</v>
      </c>
      <c r="N456" t="s">
        <v>241</v>
      </c>
      <c r="O456">
        <v>329504.90999999997</v>
      </c>
      <c r="P456">
        <v>2482.9699999999998</v>
      </c>
      <c r="Q456">
        <f>tblMoeHistory[[#This Row],[Amount of IDEA Part B, Section 611 award]]+tblMoeHistory[[#This Row],[Amount of IDEA Part B, Section 619 award]]</f>
        <v>331987.87999999995</v>
      </c>
      <c r="S456">
        <v>580090.44999999995</v>
      </c>
      <c r="T456">
        <v>580090.44999999995</v>
      </c>
      <c r="U4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6" t="str">
        <f>IF(OR(IFERROR(SEARCH("Met",tblMoeHistory[[#This Row],[State and Local Per Capita Result]]),0)&gt;0,IFERROR(SEARCH("Met",tblMoeHistory[[#This Row],[State and Local Total Result]]),0)&gt;0),"Met","Not Met")</f>
        <v>Met</v>
      </c>
    </row>
    <row r="457" spans="1:22" x14ac:dyDescent="0.35">
      <c r="A457" t="s">
        <v>83</v>
      </c>
      <c r="B457">
        <v>2241</v>
      </c>
      <c r="C457" t="s">
        <v>22</v>
      </c>
      <c r="D457">
        <v>831</v>
      </c>
      <c r="E457">
        <v>9105897.0099999998</v>
      </c>
      <c r="F457">
        <v>848757</v>
      </c>
      <c r="G457">
        <f>tblMoeHistory[[#This Row],[LEA State and Local Amount]]+tblMoeHistory[[#This Row],[ESD State and Local Amount]]</f>
        <v>9954654.0099999998</v>
      </c>
      <c r="H457">
        <v>0</v>
      </c>
      <c r="I457" t="s">
        <v>241</v>
      </c>
      <c r="J457">
        <f>IFERROR(tblMoeHistory[[#This Row],[LEA State and Local Amount]]/tblMoeHistory[[#This Row],[Child Count]],0)</f>
        <v>10957.758134777376</v>
      </c>
      <c r="K457">
        <f>IFERROR(tblMoeHistory[[#This Row],[ESD State and Local Amount]]/tblMoeHistory[[#This Row],[Child Count]],0)</f>
        <v>1021.3682310469314</v>
      </c>
      <c r="L457">
        <f>IFERROR(tblMoeHistory[[#This Row],[State and Local Total Amount]]/tblMoeHistory[[#This Row],[Child Count]],0)</f>
        <v>11979.126365824308</v>
      </c>
      <c r="M457">
        <v>0</v>
      </c>
      <c r="N457" t="s">
        <v>240</v>
      </c>
      <c r="O457">
        <v>927118.53</v>
      </c>
      <c r="P457">
        <v>5151.83</v>
      </c>
      <c r="Q457">
        <f>tblMoeHistory[[#This Row],[Amount of IDEA Part B, Section 611 award]]+tblMoeHistory[[#This Row],[Amount of IDEA Part B, Section 619 award]]</f>
        <v>932270.36</v>
      </c>
      <c r="U4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7" t="str">
        <f>IF(OR(IFERROR(SEARCH("Met",tblMoeHistory[[#This Row],[State and Local Per Capita Result]]),0)&gt;0,IFERROR(SEARCH("Met",tblMoeHistory[[#This Row],[State and Local Total Result]]),0)&gt;0),"Met","Not Met")</f>
        <v>Met</v>
      </c>
    </row>
    <row r="458" spans="1:22" x14ac:dyDescent="0.35">
      <c r="A458" t="s">
        <v>84</v>
      </c>
      <c r="B458">
        <v>2248</v>
      </c>
      <c r="C458" t="s">
        <v>22</v>
      </c>
      <c r="D458">
        <v>19</v>
      </c>
      <c r="E458">
        <v>53767.69</v>
      </c>
      <c r="F458">
        <v>80454</v>
      </c>
      <c r="G458">
        <f>tblMoeHistory[[#This Row],[LEA State and Local Amount]]+tblMoeHistory[[#This Row],[ESD State and Local Amount]]</f>
        <v>134221.69</v>
      </c>
      <c r="H458">
        <v>0</v>
      </c>
      <c r="I458" t="s">
        <v>241</v>
      </c>
      <c r="J458">
        <f>IFERROR(tblMoeHistory[[#This Row],[LEA State and Local Amount]]/tblMoeHistory[[#This Row],[Child Count]],0)</f>
        <v>2829.8784210526319</v>
      </c>
      <c r="K458">
        <f>IFERROR(tblMoeHistory[[#This Row],[ESD State and Local Amount]]/tblMoeHistory[[#This Row],[Child Count]],0)</f>
        <v>4234.4210526315792</v>
      </c>
      <c r="L458">
        <f>IFERROR(tblMoeHistory[[#This Row],[State and Local Total Amount]]/tblMoeHistory[[#This Row],[Child Count]],0)</f>
        <v>7064.2994736842111</v>
      </c>
      <c r="M458">
        <v>0</v>
      </c>
      <c r="N458" t="s">
        <v>241</v>
      </c>
      <c r="O458">
        <v>22799.24</v>
      </c>
      <c r="P458">
        <v>13.74</v>
      </c>
      <c r="Q458">
        <f>tblMoeHistory[[#This Row],[Amount of IDEA Part B, Section 611 award]]+tblMoeHistory[[#This Row],[Amount of IDEA Part B, Section 619 award]]</f>
        <v>22812.980000000003</v>
      </c>
      <c r="U4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8" t="str">
        <f>IF(OR(IFERROR(SEARCH("Met",tblMoeHistory[[#This Row],[State and Local Per Capita Result]]),0)&gt;0,IFERROR(SEARCH("Met",tblMoeHistory[[#This Row],[State and Local Total Result]]),0)&gt;0),"Met","Not Met")</f>
        <v>Met</v>
      </c>
    </row>
    <row r="459" spans="1:22" x14ac:dyDescent="0.35">
      <c r="A459" t="s">
        <v>85</v>
      </c>
      <c r="B459">
        <v>2020</v>
      </c>
      <c r="C459" t="s">
        <v>22</v>
      </c>
      <c r="D459">
        <v>1</v>
      </c>
      <c r="E459">
        <v>10297.94</v>
      </c>
      <c r="F459">
        <v>1880</v>
      </c>
      <c r="G459">
        <f>tblMoeHistory[[#This Row],[LEA State and Local Amount]]+tblMoeHistory[[#This Row],[ESD State and Local Amount]]</f>
        <v>12177.94</v>
      </c>
      <c r="H459">
        <v>0</v>
      </c>
      <c r="I459" t="s">
        <v>241</v>
      </c>
      <c r="J459">
        <f>IFERROR(tblMoeHistory[[#This Row],[LEA State and Local Amount]]/tblMoeHistory[[#This Row],[Child Count]],0)</f>
        <v>10297.94</v>
      </c>
      <c r="K459">
        <f>IFERROR(tblMoeHistory[[#This Row],[ESD State and Local Amount]]/tblMoeHistory[[#This Row],[Child Count]],0)</f>
        <v>1880</v>
      </c>
      <c r="L459">
        <f>IFERROR(tblMoeHistory[[#This Row],[State and Local Total Amount]]/tblMoeHistory[[#This Row],[Child Count]],0)</f>
        <v>12177.94</v>
      </c>
      <c r="M459">
        <v>0</v>
      </c>
      <c r="N459" t="s">
        <v>241</v>
      </c>
      <c r="O459">
        <v>0</v>
      </c>
      <c r="P459">
        <v>0</v>
      </c>
      <c r="Q459">
        <f>tblMoeHistory[[#This Row],[Amount of IDEA Part B, Section 611 award]]+tblMoeHistory[[#This Row],[Amount of IDEA Part B, Section 619 award]]</f>
        <v>0</v>
      </c>
      <c r="U4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9" t="str">
        <f>IF(OR(IFERROR(SEARCH("Met",tblMoeHistory[[#This Row],[State and Local Per Capita Result]]),0)&gt;0,IFERROR(SEARCH("Met",tblMoeHistory[[#This Row],[State and Local Total Result]]),0)&gt;0),"Met","Not Met")</f>
        <v>Met</v>
      </c>
    </row>
    <row r="460" spans="1:22" x14ac:dyDescent="0.35">
      <c r="A460" t="s">
        <v>86</v>
      </c>
      <c r="B460">
        <v>2245</v>
      </c>
      <c r="C460" t="s">
        <v>22</v>
      </c>
      <c r="D460">
        <v>94</v>
      </c>
      <c r="E460">
        <v>740671.48</v>
      </c>
      <c r="F460">
        <v>29871</v>
      </c>
      <c r="G460">
        <f>tblMoeHistory[[#This Row],[LEA State and Local Amount]]+tblMoeHistory[[#This Row],[ESD State and Local Amount]]</f>
        <v>770542.48</v>
      </c>
      <c r="H460">
        <v>0</v>
      </c>
      <c r="I460" t="s">
        <v>241</v>
      </c>
      <c r="J460">
        <f>IFERROR(tblMoeHistory[[#This Row],[LEA State and Local Amount]]/tblMoeHistory[[#This Row],[Child Count]],0)</f>
        <v>7879.4838297872338</v>
      </c>
      <c r="K460">
        <f>IFERROR(tblMoeHistory[[#This Row],[ESD State and Local Amount]]/tblMoeHistory[[#This Row],[Child Count]],0)</f>
        <v>317.77659574468083</v>
      </c>
      <c r="L460">
        <f>IFERROR(tblMoeHistory[[#This Row],[State and Local Total Amount]]/tblMoeHistory[[#This Row],[Child Count]],0)</f>
        <v>8197.2604255319147</v>
      </c>
      <c r="M460">
        <v>0</v>
      </c>
      <c r="N460" t="s">
        <v>240</v>
      </c>
      <c r="O460">
        <v>87262.88</v>
      </c>
      <c r="P460">
        <v>0</v>
      </c>
      <c r="Q460">
        <f>tblMoeHistory[[#This Row],[Amount of IDEA Part B, Section 611 award]]+tblMoeHistory[[#This Row],[Amount of IDEA Part B, Section 619 award]]</f>
        <v>87262.88</v>
      </c>
      <c r="U4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0" t="str">
        <f>IF(OR(IFERROR(SEARCH("Met",tblMoeHistory[[#This Row],[State and Local Per Capita Result]]),0)&gt;0,IFERROR(SEARCH("Met",tblMoeHistory[[#This Row],[State and Local Total Result]]),0)&gt;0),"Met","Not Met")</f>
        <v>Met</v>
      </c>
    </row>
    <row r="461" spans="1:22" x14ac:dyDescent="0.35">
      <c r="A461" t="s">
        <v>87</v>
      </c>
      <c r="B461">
        <v>2137</v>
      </c>
      <c r="C461" t="s">
        <v>22</v>
      </c>
      <c r="D461">
        <v>158</v>
      </c>
      <c r="E461">
        <v>1298854.2</v>
      </c>
      <c r="F461">
        <v>116406.66</v>
      </c>
      <c r="G461">
        <f>tblMoeHistory[[#This Row],[LEA State and Local Amount]]+tblMoeHistory[[#This Row],[ESD State and Local Amount]]</f>
        <v>1415260.8599999999</v>
      </c>
      <c r="H461">
        <v>0</v>
      </c>
      <c r="I461" t="s">
        <v>241</v>
      </c>
      <c r="J461">
        <f>IFERROR(tblMoeHistory[[#This Row],[LEA State and Local Amount]]/tblMoeHistory[[#This Row],[Child Count]],0)</f>
        <v>8220.5962025316458</v>
      </c>
      <c r="K461">
        <f>IFERROR(tblMoeHistory[[#This Row],[ESD State and Local Amount]]/tblMoeHistory[[#This Row],[Child Count]],0)</f>
        <v>736.75101265822786</v>
      </c>
      <c r="L461">
        <f>IFERROR(tblMoeHistory[[#This Row],[State and Local Total Amount]]/tblMoeHistory[[#This Row],[Child Count]],0)</f>
        <v>8957.3472151898732</v>
      </c>
      <c r="M461">
        <v>0</v>
      </c>
      <c r="N461" t="s">
        <v>241</v>
      </c>
      <c r="O461">
        <v>216008.83</v>
      </c>
      <c r="P461">
        <v>1102.68</v>
      </c>
      <c r="Q461">
        <f>tblMoeHistory[[#This Row],[Amount of IDEA Part B, Section 611 award]]+tblMoeHistory[[#This Row],[Amount of IDEA Part B, Section 619 award]]</f>
        <v>217111.50999999998</v>
      </c>
      <c r="U4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1" t="str">
        <f>IF(OR(IFERROR(SEARCH("Met",tblMoeHistory[[#This Row],[State and Local Per Capita Result]]),0)&gt;0,IFERROR(SEARCH("Met",tblMoeHistory[[#This Row],[State and Local Total Result]]),0)&gt;0),"Met","Not Met")</f>
        <v>Met</v>
      </c>
    </row>
    <row r="462" spans="1:22" x14ac:dyDescent="0.35">
      <c r="A462" t="s">
        <v>88</v>
      </c>
      <c r="B462">
        <v>1931</v>
      </c>
      <c r="C462" t="s">
        <v>22</v>
      </c>
      <c r="D462">
        <v>301</v>
      </c>
      <c r="E462">
        <v>2342600.73</v>
      </c>
      <c r="F462">
        <v>273291</v>
      </c>
      <c r="G462">
        <f>tblMoeHistory[[#This Row],[LEA State and Local Amount]]+tblMoeHistory[[#This Row],[ESD State and Local Amount]]</f>
        <v>2615891.73</v>
      </c>
      <c r="H462">
        <v>0</v>
      </c>
      <c r="I462" t="s">
        <v>241</v>
      </c>
      <c r="J462">
        <f>IFERROR(tblMoeHistory[[#This Row],[LEA State and Local Amount]]/tblMoeHistory[[#This Row],[Child Count]],0)</f>
        <v>7782.726677740864</v>
      </c>
      <c r="K462">
        <f>IFERROR(tblMoeHistory[[#This Row],[ESD State and Local Amount]]/tblMoeHistory[[#This Row],[Child Count]],0)</f>
        <v>907.9435215946844</v>
      </c>
      <c r="L462">
        <f>IFERROR(tblMoeHistory[[#This Row],[State and Local Total Amount]]/tblMoeHistory[[#This Row],[Child Count]],0)</f>
        <v>8690.6701993355473</v>
      </c>
      <c r="M462">
        <v>0</v>
      </c>
      <c r="N462" t="s">
        <v>240</v>
      </c>
      <c r="O462">
        <v>392237.85</v>
      </c>
      <c r="P462">
        <v>1110.1600000000001</v>
      </c>
      <c r="Q462">
        <f>tblMoeHistory[[#This Row],[Amount of IDEA Part B, Section 611 award]]+tblMoeHistory[[#This Row],[Amount of IDEA Part B, Section 619 award]]</f>
        <v>393348.00999999995</v>
      </c>
      <c r="U4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2" t="str">
        <f>IF(OR(IFERROR(SEARCH("Met",tblMoeHistory[[#This Row],[State and Local Per Capita Result]]),0)&gt;0,IFERROR(SEARCH("Met",tblMoeHistory[[#This Row],[State and Local Total Result]]),0)&gt;0),"Met","Not Met")</f>
        <v>Met</v>
      </c>
    </row>
    <row r="463" spans="1:22" x14ac:dyDescent="0.35">
      <c r="A463" t="s">
        <v>89</v>
      </c>
      <c r="B463">
        <v>2000</v>
      </c>
      <c r="C463" t="s">
        <v>22</v>
      </c>
      <c r="D463">
        <v>38</v>
      </c>
      <c r="E463">
        <v>380068</v>
      </c>
      <c r="F463">
        <v>58721.08</v>
      </c>
      <c r="G463">
        <f>tblMoeHistory[[#This Row],[LEA State and Local Amount]]+tblMoeHistory[[#This Row],[ESD State and Local Amount]]</f>
        <v>438789.08</v>
      </c>
      <c r="H463">
        <v>0</v>
      </c>
      <c r="I463" t="s">
        <v>241</v>
      </c>
      <c r="J463">
        <f>IFERROR(tblMoeHistory[[#This Row],[LEA State and Local Amount]]/tblMoeHistory[[#This Row],[Child Count]],0)</f>
        <v>10001.78947368421</v>
      </c>
      <c r="K463">
        <f>IFERROR(tblMoeHistory[[#This Row],[ESD State and Local Amount]]/tblMoeHistory[[#This Row],[Child Count]],0)</f>
        <v>1545.2915789473684</v>
      </c>
      <c r="L463">
        <f>IFERROR(tblMoeHistory[[#This Row],[State and Local Total Amount]]/tblMoeHistory[[#This Row],[Child Count]],0)</f>
        <v>11547.08105263158</v>
      </c>
      <c r="M463">
        <v>0</v>
      </c>
      <c r="N463" t="s">
        <v>241</v>
      </c>
      <c r="O463">
        <v>64472.959999999999</v>
      </c>
      <c r="P463">
        <v>518.62</v>
      </c>
      <c r="Q463">
        <f>tblMoeHistory[[#This Row],[Amount of IDEA Part B, Section 611 award]]+tblMoeHistory[[#This Row],[Amount of IDEA Part B, Section 619 award]]</f>
        <v>64991.58</v>
      </c>
      <c r="U4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3" t="str">
        <f>IF(OR(IFERROR(SEARCH("Met",tblMoeHistory[[#This Row],[State and Local Per Capita Result]]),0)&gt;0,IFERROR(SEARCH("Met",tblMoeHistory[[#This Row],[State and Local Total Result]]),0)&gt;0),"Met","Not Met")</f>
        <v>Met</v>
      </c>
    </row>
    <row r="464" spans="1:22" x14ac:dyDescent="0.35">
      <c r="A464" t="s">
        <v>90</v>
      </c>
      <c r="B464">
        <v>1992</v>
      </c>
      <c r="C464" t="s">
        <v>22</v>
      </c>
      <c r="D464">
        <v>74</v>
      </c>
      <c r="E464">
        <v>521162.23</v>
      </c>
      <c r="F464">
        <v>117055.33</v>
      </c>
      <c r="G464">
        <f>tblMoeHistory[[#This Row],[LEA State and Local Amount]]+tblMoeHistory[[#This Row],[ESD State and Local Amount]]</f>
        <v>638217.55999999994</v>
      </c>
      <c r="H464">
        <v>0</v>
      </c>
      <c r="I464" t="s">
        <v>241</v>
      </c>
      <c r="J464">
        <f>IFERROR(tblMoeHistory[[#This Row],[LEA State and Local Amount]]/tblMoeHistory[[#This Row],[Child Count]],0)</f>
        <v>7042.7328378378379</v>
      </c>
      <c r="K464">
        <f>IFERROR(tblMoeHistory[[#This Row],[ESD State and Local Amount]]/tblMoeHistory[[#This Row],[Child Count]],0)</f>
        <v>1581.8287837837838</v>
      </c>
      <c r="L464">
        <f>IFERROR(tblMoeHistory[[#This Row],[State and Local Total Amount]]/tblMoeHistory[[#This Row],[Child Count]],0)</f>
        <v>8624.5616216216204</v>
      </c>
      <c r="M464">
        <v>0</v>
      </c>
      <c r="N464" t="s">
        <v>241</v>
      </c>
      <c r="O464">
        <v>148932.07</v>
      </c>
      <c r="P464">
        <v>1129.57</v>
      </c>
      <c r="Q464">
        <f>tblMoeHistory[[#This Row],[Amount of IDEA Part B, Section 611 award]]+tblMoeHistory[[#This Row],[Amount of IDEA Part B, Section 619 award]]</f>
        <v>150061.64000000001</v>
      </c>
      <c r="U4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4" t="str">
        <f>IF(OR(IFERROR(SEARCH("Met",tblMoeHistory[[#This Row],[State and Local Per Capita Result]]),0)&gt;0,IFERROR(SEARCH("Met",tblMoeHistory[[#This Row],[State and Local Total Result]]),0)&gt;0),"Met","Not Met")</f>
        <v>Met</v>
      </c>
    </row>
    <row r="465" spans="1:22" x14ac:dyDescent="0.35">
      <c r="A465" t="s">
        <v>91</v>
      </c>
      <c r="B465">
        <v>2054</v>
      </c>
      <c r="C465" t="s">
        <v>22</v>
      </c>
      <c r="D465">
        <v>596</v>
      </c>
      <c r="E465">
        <v>3875862.57</v>
      </c>
      <c r="F465">
        <v>200146.89</v>
      </c>
      <c r="G465">
        <f>tblMoeHistory[[#This Row],[LEA State and Local Amount]]+tblMoeHistory[[#This Row],[ESD State and Local Amount]]</f>
        <v>4076009.46</v>
      </c>
      <c r="H465">
        <v>0</v>
      </c>
      <c r="I465" t="s">
        <v>241</v>
      </c>
      <c r="J465">
        <f>IFERROR(tblMoeHistory[[#This Row],[LEA State and Local Amount]]/tblMoeHistory[[#This Row],[Child Count]],0)</f>
        <v>6503.1251174496638</v>
      </c>
      <c r="K465">
        <f>IFERROR(tblMoeHistory[[#This Row],[ESD State and Local Amount]]/tblMoeHistory[[#This Row],[Child Count]],0)</f>
        <v>335.81692953020138</v>
      </c>
      <c r="L465">
        <f>IFERROR(tblMoeHistory[[#This Row],[State and Local Total Amount]]/tblMoeHistory[[#This Row],[Child Count]],0)</f>
        <v>6838.9420469798661</v>
      </c>
      <c r="M465">
        <v>0</v>
      </c>
      <c r="N465" t="s">
        <v>241</v>
      </c>
      <c r="O465">
        <v>779230.48</v>
      </c>
      <c r="P465">
        <v>7286.5</v>
      </c>
      <c r="Q465">
        <f>tblMoeHistory[[#This Row],[Amount of IDEA Part B, Section 611 award]]+tblMoeHistory[[#This Row],[Amount of IDEA Part B, Section 619 award]]</f>
        <v>786516.98</v>
      </c>
      <c r="U4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5" t="str">
        <f>IF(OR(IFERROR(SEARCH("Met",tblMoeHistory[[#This Row],[State and Local Per Capita Result]]),0)&gt;0,IFERROR(SEARCH("Met",tblMoeHistory[[#This Row],[State and Local Total Result]]),0)&gt;0),"Met","Not Met")</f>
        <v>Met</v>
      </c>
    </row>
    <row r="466" spans="1:22" x14ac:dyDescent="0.35">
      <c r="A466" t="s">
        <v>92</v>
      </c>
      <c r="B466">
        <v>2100</v>
      </c>
      <c r="C466" t="s">
        <v>22</v>
      </c>
      <c r="D466">
        <v>1202</v>
      </c>
      <c r="E466">
        <v>10309098.109999999</v>
      </c>
      <c r="F466">
        <v>836032</v>
      </c>
      <c r="G466">
        <f>tblMoeHistory[[#This Row],[LEA State and Local Amount]]+tblMoeHistory[[#This Row],[ESD State and Local Amount]]</f>
        <v>11145130.109999999</v>
      </c>
      <c r="H466">
        <v>0</v>
      </c>
      <c r="I466" t="s">
        <v>241</v>
      </c>
      <c r="J466">
        <f>IFERROR(tblMoeHistory[[#This Row],[LEA State and Local Amount]]/tblMoeHistory[[#This Row],[Child Count]],0)</f>
        <v>8576.620723793676</v>
      </c>
      <c r="K466">
        <f>IFERROR(tblMoeHistory[[#This Row],[ESD State and Local Amount]]/tblMoeHistory[[#This Row],[Child Count]],0)</f>
        <v>695.53410981697175</v>
      </c>
      <c r="L466">
        <f>IFERROR(tblMoeHistory[[#This Row],[State and Local Total Amount]]/tblMoeHistory[[#This Row],[Child Count]],0)</f>
        <v>9272.154833610648</v>
      </c>
      <c r="M466">
        <v>0</v>
      </c>
      <c r="N466" t="s">
        <v>241</v>
      </c>
      <c r="O466">
        <v>1470421.37</v>
      </c>
      <c r="P466">
        <v>17132.080000000002</v>
      </c>
      <c r="Q466">
        <f>tblMoeHistory[[#This Row],[Amount of IDEA Part B, Section 611 award]]+tblMoeHistory[[#This Row],[Amount of IDEA Part B, Section 619 award]]</f>
        <v>1487553.4500000002</v>
      </c>
      <c r="U4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6" t="str">
        <f>IF(OR(IFERROR(SEARCH("Met",tblMoeHistory[[#This Row],[State and Local Per Capita Result]]),0)&gt;0,IFERROR(SEARCH("Met",tblMoeHistory[[#This Row],[State and Local Total Result]]),0)&gt;0),"Met","Not Met")</f>
        <v>Met</v>
      </c>
    </row>
    <row r="467" spans="1:22" x14ac:dyDescent="0.35">
      <c r="A467" t="s">
        <v>93</v>
      </c>
      <c r="B467">
        <v>2183</v>
      </c>
      <c r="C467" t="s">
        <v>22</v>
      </c>
      <c r="D467">
        <v>1329</v>
      </c>
      <c r="E467">
        <v>11920044.92</v>
      </c>
      <c r="F467">
        <v>1946326</v>
      </c>
      <c r="G467">
        <f>tblMoeHistory[[#This Row],[LEA State and Local Amount]]+tblMoeHistory[[#This Row],[ESD State and Local Amount]]</f>
        <v>13866370.92</v>
      </c>
      <c r="H467">
        <v>0</v>
      </c>
      <c r="I467" t="s">
        <v>241</v>
      </c>
      <c r="J467">
        <f>IFERROR(tblMoeHistory[[#This Row],[LEA State and Local Amount]]/tblMoeHistory[[#This Row],[Child Count]],0)</f>
        <v>8969.1835364936051</v>
      </c>
      <c r="K467">
        <f>IFERROR(tblMoeHistory[[#This Row],[ESD State and Local Amount]]/tblMoeHistory[[#This Row],[Child Count]],0)</f>
        <v>1464.5041384499623</v>
      </c>
      <c r="L467">
        <f>IFERROR(tblMoeHistory[[#This Row],[State and Local Total Amount]]/tblMoeHistory[[#This Row],[Child Count]],0)</f>
        <v>10433.687674943567</v>
      </c>
      <c r="M467">
        <v>0</v>
      </c>
      <c r="N467" t="s">
        <v>240</v>
      </c>
      <c r="O467">
        <v>2088181.16</v>
      </c>
      <c r="P467">
        <v>14015.35</v>
      </c>
      <c r="Q467">
        <f>tblMoeHistory[[#This Row],[Amount of IDEA Part B, Section 611 award]]+tblMoeHistory[[#This Row],[Amount of IDEA Part B, Section 619 award]]</f>
        <v>2102196.5099999998</v>
      </c>
      <c r="U4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7" t="str">
        <f>IF(OR(IFERROR(SEARCH("Met",tblMoeHistory[[#This Row],[State and Local Per Capita Result]]),0)&gt;0,IFERROR(SEARCH("Met",tblMoeHistory[[#This Row],[State and Local Total Result]]),0)&gt;0),"Met","Not Met")</f>
        <v>Met</v>
      </c>
    </row>
    <row r="468" spans="1:22" x14ac:dyDescent="0.35">
      <c r="A468" t="s">
        <v>94</v>
      </c>
      <c r="B468">
        <v>2014</v>
      </c>
      <c r="C468" t="s">
        <v>22</v>
      </c>
      <c r="D468">
        <v>121</v>
      </c>
      <c r="E468">
        <v>1198198.1200000001</v>
      </c>
      <c r="F468">
        <v>139957</v>
      </c>
      <c r="G468">
        <f>tblMoeHistory[[#This Row],[LEA State and Local Amount]]+tblMoeHistory[[#This Row],[ESD State and Local Amount]]</f>
        <v>1338155.1200000001</v>
      </c>
      <c r="H468">
        <v>0</v>
      </c>
      <c r="I468" t="s">
        <v>242</v>
      </c>
      <c r="J468">
        <f>IFERROR(tblMoeHistory[[#This Row],[LEA State and Local Amount]]/tblMoeHistory[[#This Row],[Child Count]],0)</f>
        <v>9902.4638016528934</v>
      </c>
      <c r="K468">
        <f>IFERROR(tblMoeHistory[[#This Row],[ESD State and Local Amount]]/tblMoeHistory[[#This Row],[Child Count]],0)</f>
        <v>1156.6694214876034</v>
      </c>
      <c r="L468">
        <f>IFERROR(tblMoeHistory[[#This Row],[State and Local Total Amount]]/tblMoeHistory[[#This Row],[Child Count]],0)</f>
        <v>11059.133223140498</v>
      </c>
      <c r="M468">
        <v>0</v>
      </c>
      <c r="N468" t="s">
        <v>241</v>
      </c>
      <c r="O468">
        <v>188659.03</v>
      </c>
      <c r="P468">
        <v>3428.88</v>
      </c>
      <c r="Q468">
        <f>tblMoeHistory[[#This Row],[Amount of IDEA Part B, Section 611 award]]+tblMoeHistory[[#This Row],[Amount of IDEA Part B, Section 619 award]]</f>
        <v>192087.91</v>
      </c>
      <c r="S468">
        <v>223354.61</v>
      </c>
      <c r="T468">
        <v>223354.61</v>
      </c>
      <c r="U4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8" t="str">
        <f>IF(OR(IFERROR(SEARCH("Met",tblMoeHistory[[#This Row],[State and Local Per Capita Result]]),0)&gt;0,IFERROR(SEARCH("Met",tblMoeHistory[[#This Row],[State and Local Total Result]]),0)&gt;0),"Met","Not Met")</f>
        <v>Met</v>
      </c>
    </row>
    <row r="469" spans="1:22" x14ac:dyDescent="0.35">
      <c r="A469" t="s">
        <v>95</v>
      </c>
      <c r="B469">
        <v>2015</v>
      </c>
      <c r="C469" t="s">
        <v>22</v>
      </c>
      <c r="D469">
        <v>5</v>
      </c>
      <c r="E469">
        <v>44593</v>
      </c>
      <c r="F469">
        <v>4460</v>
      </c>
      <c r="G469">
        <f>tblMoeHistory[[#This Row],[LEA State and Local Amount]]+tblMoeHistory[[#This Row],[ESD State and Local Amount]]</f>
        <v>49053</v>
      </c>
      <c r="H469">
        <v>0</v>
      </c>
      <c r="I469" t="s">
        <v>241</v>
      </c>
      <c r="J469">
        <f>IFERROR(tblMoeHistory[[#This Row],[LEA State and Local Amount]]/tblMoeHistory[[#This Row],[Child Count]],0)</f>
        <v>8918.6</v>
      </c>
      <c r="K469">
        <f>IFERROR(tblMoeHistory[[#This Row],[ESD State and Local Amount]]/tblMoeHistory[[#This Row],[Child Count]],0)</f>
        <v>892</v>
      </c>
      <c r="L469">
        <f>IFERROR(tblMoeHistory[[#This Row],[State and Local Total Amount]]/tblMoeHistory[[#This Row],[Child Count]],0)</f>
        <v>9810.6</v>
      </c>
      <c r="M469">
        <v>0</v>
      </c>
      <c r="N469" t="s">
        <v>241</v>
      </c>
      <c r="O469">
        <v>12218.87</v>
      </c>
      <c r="P469">
        <v>0</v>
      </c>
      <c r="Q469">
        <f>tblMoeHistory[[#This Row],[Amount of IDEA Part B, Section 611 award]]+tblMoeHistory[[#This Row],[Amount of IDEA Part B, Section 619 award]]</f>
        <v>12218.87</v>
      </c>
      <c r="U4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9" t="str">
        <f>IF(OR(IFERROR(SEARCH("Met",tblMoeHistory[[#This Row],[State and Local Per Capita Result]]),0)&gt;0,IFERROR(SEARCH("Met",tblMoeHistory[[#This Row],[State and Local Total Result]]),0)&gt;0),"Met","Not Met")</f>
        <v>Met</v>
      </c>
    </row>
    <row r="470" spans="1:22" x14ac:dyDescent="0.35">
      <c r="A470" t="s">
        <v>96</v>
      </c>
      <c r="B470">
        <v>2023</v>
      </c>
      <c r="C470" t="s">
        <v>22</v>
      </c>
      <c r="D470">
        <v>3</v>
      </c>
      <c r="E470">
        <v>42998.45</v>
      </c>
      <c r="F470">
        <v>5533</v>
      </c>
      <c r="G470">
        <f>tblMoeHistory[[#This Row],[LEA State and Local Amount]]+tblMoeHistory[[#This Row],[ESD State and Local Amount]]</f>
        <v>48531.45</v>
      </c>
      <c r="H470">
        <v>0</v>
      </c>
      <c r="I470" t="s">
        <v>241</v>
      </c>
      <c r="J470">
        <f>IFERROR(tblMoeHistory[[#This Row],[LEA State and Local Amount]]/tblMoeHistory[[#This Row],[Child Count]],0)</f>
        <v>14332.816666666666</v>
      </c>
      <c r="K470">
        <f>IFERROR(tblMoeHistory[[#This Row],[ESD State and Local Amount]]/tblMoeHistory[[#This Row],[Child Count]],0)</f>
        <v>1844.3333333333333</v>
      </c>
      <c r="L470">
        <f>IFERROR(tblMoeHistory[[#This Row],[State and Local Total Amount]]/tblMoeHistory[[#This Row],[Child Count]],0)</f>
        <v>16177.15</v>
      </c>
      <c r="M470">
        <v>0</v>
      </c>
      <c r="N470" t="s">
        <v>241</v>
      </c>
      <c r="O470">
        <v>15929.13</v>
      </c>
      <c r="P470">
        <v>0</v>
      </c>
      <c r="Q470">
        <f>tblMoeHistory[[#This Row],[Amount of IDEA Part B, Section 611 award]]+tblMoeHistory[[#This Row],[Amount of IDEA Part B, Section 619 award]]</f>
        <v>15929.13</v>
      </c>
      <c r="U4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0" t="str">
        <f>IF(OR(IFERROR(SEARCH("Met",tblMoeHistory[[#This Row],[State and Local Per Capita Result]]),0)&gt;0,IFERROR(SEARCH("Met",tblMoeHistory[[#This Row],[State and Local Total Result]]),0)&gt;0),"Met","Not Met")</f>
        <v>Met</v>
      </c>
    </row>
    <row r="471" spans="1:22" x14ac:dyDescent="0.35">
      <c r="A471" t="s">
        <v>97</v>
      </c>
      <c r="B471">
        <v>2114</v>
      </c>
      <c r="C471" t="s">
        <v>22</v>
      </c>
      <c r="D471">
        <v>17</v>
      </c>
      <c r="E471">
        <v>31069.200000000001</v>
      </c>
      <c r="F471">
        <v>22678.2</v>
      </c>
      <c r="G471">
        <f>tblMoeHistory[[#This Row],[LEA State and Local Amount]]+tblMoeHistory[[#This Row],[ESD State and Local Amount]]</f>
        <v>53747.4</v>
      </c>
      <c r="H471">
        <v>0</v>
      </c>
      <c r="I471" t="s">
        <v>241</v>
      </c>
      <c r="J471">
        <f>IFERROR(tblMoeHistory[[#This Row],[LEA State and Local Amount]]/tblMoeHistory[[#This Row],[Child Count]],0)</f>
        <v>1827.6000000000001</v>
      </c>
      <c r="K471">
        <f>IFERROR(tblMoeHistory[[#This Row],[ESD State and Local Amount]]/tblMoeHistory[[#This Row],[Child Count]],0)</f>
        <v>1334.0117647058823</v>
      </c>
      <c r="L471">
        <f>IFERROR(tblMoeHistory[[#This Row],[State and Local Total Amount]]/tblMoeHistory[[#This Row],[Child Count]],0)</f>
        <v>3161.6117647058823</v>
      </c>
      <c r="M471">
        <v>0</v>
      </c>
      <c r="N471" t="s">
        <v>240</v>
      </c>
      <c r="O471">
        <v>13138.49</v>
      </c>
      <c r="P471">
        <v>977.6</v>
      </c>
      <c r="Q471">
        <f>tblMoeHistory[[#This Row],[Amount of IDEA Part B, Section 611 award]]+tblMoeHistory[[#This Row],[Amount of IDEA Part B, Section 619 award]]</f>
        <v>14116.09</v>
      </c>
      <c r="U4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1" t="str">
        <f>IF(OR(IFERROR(SEARCH("Met",tblMoeHistory[[#This Row],[State and Local Per Capita Result]]),0)&gt;0,IFERROR(SEARCH("Met",tblMoeHistory[[#This Row],[State and Local Total Result]]),0)&gt;0),"Met","Not Met")</f>
        <v>Met</v>
      </c>
    </row>
    <row r="472" spans="1:22" x14ac:dyDescent="0.35">
      <c r="A472" t="s">
        <v>98</v>
      </c>
      <c r="B472">
        <v>2099</v>
      </c>
      <c r="C472" t="s">
        <v>22</v>
      </c>
      <c r="D472">
        <v>128</v>
      </c>
      <c r="E472">
        <v>954526</v>
      </c>
      <c r="F472">
        <v>96526</v>
      </c>
      <c r="G472">
        <f>tblMoeHistory[[#This Row],[LEA State and Local Amount]]+tblMoeHistory[[#This Row],[ESD State and Local Amount]]</f>
        <v>1051052</v>
      </c>
      <c r="H472">
        <v>0</v>
      </c>
      <c r="I472" t="s">
        <v>241</v>
      </c>
      <c r="J472">
        <f>IFERROR(tblMoeHistory[[#This Row],[LEA State and Local Amount]]/tblMoeHistory[[#This Row],[Child Count]],0)</f>
        <v>7457.234375</v>
      </c>
      <c r="K472">
        <f>IFERROR(tblMoeHistory[[#This Row],[ESD State and Local Amount]]/tblMoeHistory[[#This Row],[Child Count]],0)</f>
        <v>754.109375</v>
      </c>
      <c r="L472">
        <f>IFERROR(tblMoeHistory[[#This Row],[State and Local Total Amount]]/tblMoeHistory[[#This Row],[Child Count]],0)</f>
        <v>8211.34375</v>
      </c>
      <c r="M472">
        <v>0</v>
      </c>
      <c r="N472" t="s">
        <v>241</v>
      </c>
      <c r="O472">
        <v>137889.44</v>
      </c>
      <c r="P472">
        <v>406.15</v>
      </c>
      <c r="Q472">
        <f>tblMoeHistory[[#This Row],[Amount of IDEA Part B, Section 611 award]]+tblMoeHistory[[#This Row],[Amount of IDEA Part B, Section 619 award]]</f>
        <v>138295.59</v>
      </c>
      <c r="U4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2" t="str">
        <f>IF(OR(IFERROR(SEARCH("Met",tblMoeHistory[[#This Row],[State and Local Per Capita Result]]),0)&gt;0,IFERROR(SEARCH("Met",tblMoeHistory[[#This Row],[State and Local Total Result]]),0)&gt;0),"Met","Not Met")</f>
        <v>Met</v>
      </c>
    </row>
    <row r="473" spans="1:22" x14ac:dyDescent="0.35">
      <c r="A473" t="s">
        <v>99</v>
      </c>
      <c r="B473">
        <v>2201</v>
      </c>
      <c r="C473" t="s">
        <v>22</v>
      </c>
      <c r="D473">
        <v>11</v>
      </c>
      <c r="E473">
        <v>80081.850000000006</v>
      </c>
      <c r="F473">
        <v>16400.86</v>
      </c>
      <c r="G473">
        <f>tblMoeHistory[[#This Row],[LEA State and Local Amount]]+tblMoeHistory[[#This Row],[ESD State and Local Amount]]</f>
        <v>96482.71</v>
      </c>
      <c r="H473">
        <v>0</v>
      </c>
      <c r="I473" t="s">
        <v>241</v>
      </c>
      <c r="J473">
        <f>IFERROR(tblMoeHistory[[#This Row],[LEA State and Local Amount]]/tblMoeHistory[[#This Row],[Child Count]],0)</f>
        <v>7280.1681818181823</v>
      </c>
      <c r="K473">
        <f>IFERROR(tblMoeHistory[[#This Row],[ESD State and Local Amount]]/tblMoeHistory[[#This Row],[Child Count]],0)</f>
        <v>1490.9872727272727</v>
      </c>
      <c r="L473">
        <f>IFERROR(tblMoeHistory[[#This Row],[State and Local Total Amount]]/tblMoeHistory[[#This Row],[Child Count]],0)</f>
        <v>8771.1554545454546</v>
      </c>
      <c r="M473">
        <v>0</v>
      </c>
      <c r="N473" t="s">
        <v>241</v>
      </c>
      <c r="O473">
        <v>24268.560000000001</v>
      </c>
      <c r="P473">
        <v>985.61</v>
      </c>
      <c r="Q473">
        <f>tblMoeHistory[[#This Row],[Amount of IDEA Part B, Section 611 award]]+tblMoeHistory[[#This Row],[Amount of IDEA Part B, Section 619 award]]</f>
        <v>25254.170000000002</v>
      </c>
      <c r="U4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3" t="str">
        <f>IF(OR(IFERROR(SEARCH("Met",tblMoeHistory[[#This Row],[State and Local Per Capita Result]]),0)&gt;0,IFERROR(SEARCH("Met",tblMoeHistory[[#This Row],[State and Local Total Result]]),0)&gt;0),"Met","Not Met")</f>
        <v>Met</v>
      </c>
    </row>
    <row r="474" spans="1:22" x14ac:dyDescent="0.35">
      <c r="A474" t="s">
        <v>100</v>
      </c>
      <c r="B474">
        <v>2206</v>
      </c>
      <c r="C474" t="s">
        <v>22</v>
      </c>
      <c r="D474">
        <v>623</v>
      </c>
      <c r="E474">
        <v>3470553.05</v>
      </c>
      <c r="F474">
        <v>975069.75</v>
      </c>
      <c r="G474">
        <f>tblMoeHistory[[#This Row],[LEA State and Local Amount]]+tblMoeHistory[[#This Row],[ESD State and Local Amount]]</f>
        <v>4445622.8</v>
      </c>
      <c r="H474">
        <v>0</v>
      </c>
      <c r="I474" t="s">
        <v>241</v>
      </c>
      <c r="J474">
        <f>IFERROR(tblMoeHistory[[#This Row],[LEA State and Local Amount]]/tblMoeHistory[[#This Row],[Child Count]],0)</f>
        <v>5570.7111556982336</v>
      </c>
      <c r="K474">
        <f>IFERROR(tblMoeHistory[[#This Row],[ESD State and Local Amount]]/tblMoeHistory[[#This Row],[Child Count]],0)</f>
        <v>1565.1199839486355</v>
      </c>
      <c r="L474">
        <f>IFERROR(tblMoeHistory[[#This Row],[State and Local Total Amount]]/tblMoeHistory[[#This Row],[Child Count]],0)</f>
        <v>7135.8311396468698</v>
      </c>
      <c r="M474">
        <v>0</v>
      </c>
      <c r="N474" t="s">
        <v>240</v>
      </c>
      <c r="O474">
        <v>752372.39</v>
      </c>
      <c r="P474">
        <v>4802.96</v>
      </c>
      <c r="Q474">
        <f>tblMoeHistory[[#This Row],[Amount of IDEA Part B, Section 611 award]]+tblMoeHistory[[#This Row],[Amount of IDEA Part B, Section 619 award]]</f>
        <v>757175.35</v>
      </c>
      <c r="U4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4" t="str">
        <f>IF(OR(IFERROR(SEARCH("Met",tblMoeHistory[[#This Row],[State and Local Per Capita Result]]),0)&gt;0,IFERROR(SEARCH("Met",tblMoeHistory[[#This Row],[State and Local Total Result]]),0)&gt;0),"Met","Not Met")</f>
        <v>Met</v>
      </c>
    </row>
    <row r="475" spans="1:22" x14ac:dyDescent="0.35">
      <c r="A475" t="s">
        <v>101</v>
      </c>
      <c r="B475">
        <v>2239</v>
      </c>
      <c r="C475" t="s">
        <v>22</v>
      </c>
      <c r="D475">
        <v>2678</v>
      </c>
      <c r="E475">
        <v>24137581.18</v>
      </c>
      <c r="F475">
        <v>4454383</v>
      </c>
      <c r="G475">
        <f>tblMoeHistory[[#This Row],[LEA State and Local Amount]]+tblMoeHistory[[#This Row],[ESD State and Local Amount]]</f>
        <v>28591964.18</v>
      </c>
      <c r="H475">
        <v>0</v>
      </c>
      <c r="I475" t="s">
        <v>241</v>
      </c>
      <c r="J475">
        <f>IFERROR(tblMoeHistory[[#This Row],[LEA State and Local Amount]]/tblMoeHistory[[#This Row],[Child Count]],0)</f>
        <v>9013.2864749813289</v>
      </c>
      <c r="K475">
        <f>IFERROR(tblMoeHistory[[#This Row],[ESD State and Local Amount]]/tblMoeHistory[[#This Row],[Child Count]],0)</f>
        <v>1663.324495892457</v>
      </c>
      <c r="L475">
        <f>IFERROR(tblMoeHistory[[#This Row],[State and Local Total Amount]]/tblMoeHistory[[#This Row],[Child Count]],0)</f>
        <v>10676.610970873786</v>
      </c>
      <c r="M475">
        <v>0</v>
      </c>
      <c r="N475" t="s">
        <v>241</v>
      </c>
      <c r="O475">
        <v>2984346.08</v>
      </c>
      <c r="P475">
        <v>15473.7</v>
      </c>
      <c r="Q475">
        <f>tblMoeHistory[[#This Row],[Amount of IDEA Part B, Section 611 award]]+tblMoeHistory[[#This Row],[Amount of IDEA Part B, Section 619 award]]</f>
        <v>2999819.7800000003</v>
      </c>
      <c r="U4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5" t="str">
        <f>IF(OR(IFERROR(SEARCH("Met",tblMoeHistory[[#This Row],[State and Local Per Capita Result]]),0)&gt;0,IFERROR(SEARCH("Met",tblMoeHistory[[#This Row],[State and Local Total Result]]),0)&gt;0),"Met","Not Met")</f>
        <v>Met</v>
      </c>
    </row>
    <row r="476" spans="1:22" x14ac:dyDescent="0.35">
      <c r="A476" t="s">
        <v>102</v>
      </c>
      <c r="B476">
        <v>2024</v>
      </c>
      <c r="C476" t="s">
        <v>22</v>
      </c>
      <c r="D476">
        <v>543</v>
      </c>
      <c r="E476">
        <v>3596025.64</v>
      </c>
      <c r="F476">
        <v>0</v>
      </c>
      <c r="G476">
        <f>tblMoeHistory[[#This Row],[LEA State and Local Amount]]+tblMoeHistory[[#This Row],[ESD State and Local Amount]]</f>
        <v>3596025.64</v>
      </c>
      <c r="H476">
        <v>0</v>
      </c>
      <c r="I476" t="s">
        <v>241</v>
      </c>
      <c r="J476">
        <f>IFERROR(tblMoeHistory[[#This Row],[LEA State and Local Amount]]/tblMoeHistory[[#This Row],[Child Count]],0)</f>
        <v>6622.5149907918967</v>
      </c>
      <c r="K476">
        <f>IFERROR(tblMoeHistory[[#This Row],[ESD State and Local Amount]]/tblMoeHistory[[#This Row],[Child Count]],0)</f>
        <v>0</v>
      </c>
      <c r="L476">
        <f>IFERROR(tblMoeHistory[[#This Row],[State and Local Total Amount]]/tblMoeHistory[[#This Row],[Child Count]],0)</f>
        <v>6622.5149907918967</v>
      </c>
      <c r="M476">
        <v>0</v>
      </c>
      <c r="N476" t="s">
        <v>241</v>
      </c>
      <c r="O476">
        <v>691513.7</v>
      </c>
      <c r="P476">
        <v>7276.12</v>
      </c>
      <c r="Q476">
        <f>tblMoeHistory[[#This Row],[Amount of IDEA Part B, Section 611 award]]+tblMoeHistory[[#This Row],[Amount of IDEA Part B, Section 619 award]]</f>
        <v>698789.82</v>
      </c>
      <c r="U4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6" t="str">
        <f>IF(OR(IFERROR(SEARCH("Met",tblMoeHistory[[#This Row],[State and Local Per Capita Result]]),0)&gt;0,IFERROR(SEARCH("Met",tblMoeHistory[[#This Row],[State and Local Total Result]]),0)&gt;0),"Met","Not Met")</f>
        <v>Met</v>
      </c>
    </row>
    <row r="477" spans="1:22" x14ac:dyDescent="0.35">
      <c r="A477" t="s">
        <v>103</v>
      </c>
      <c r="B477">
        <v>1895</v>
      </c>
      <c r="C477" t="s">
        <v>22</v>
      </c>
      <c r="D477">
        <v>7</v>
      </c>
      <c r="E477">
        <v>79065.23</v>
      </c>
      <c r="F477">
        <v>18629.259999999998</v>
      </c>
      <c r="G477">
        <f>tblMoeHistory[[#This Row],[LEA State and Local Amount]]+tblMoeHistory[[#This Row],[ESD State and Local Amount]]</f>
        <v>97694.489999999991</v>
      </c>
      <c r="H477">
        <v>0</v>
      </c>
      <c r="I477" t="s">
        <v>242</v>
      </c>
      <c r="J477">
        <f>IFERROR(tblMoeHistory[[#This Row],[LEA State and Local Amount]]/tblMoeHistory[[#This Row],[Child Count]],0)</f>
        <v>11295.032857142856</v>
      </c>
      <c r="K477">
        <f>IFERROR(tblMoeHistory[[#This Row],[ESD State and Local Amount]]/tblMoeHistory[[#This Row],[Child Count]],0)</f>
        <v>2661.3228571428567</v>
      </c>
      <c r="L477">
        <f>IFERROR(tblMoeHistory[[#This Row],[State and Local Total Amount]]/tblMoeHistory[[#This Row],[Child Count]],0)</f>
        <v>13956.355714285713</v>
      </c>
      <c r="M477">
        <v>0</v>
      </c>
      <c r="N477" t="s">
        <v>241</v>
      </c>
      <c r="O477">
        <v>12715.59</v>
      </c>
      <c r="P477">
        <v>0</v>
      </c>
      <c r="Q477">
        <f>tblMoeHistory[[#This Row],[Amount of IDEA Part B, Section 611 award]]+tblMoeHistory[[#This Row],[Amount of IDEA Part B, Section 619 award]]</f>
        <v>12715.59</v>
      </c>
      <c r="S477">
        <v>45224.31</v>
      </c>
      <c r="T477">
        <v>45224.31</v>
      </c>
      <c r="U4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7" t="str">
        <f>IF(OR(IFERROR(SEARCH("Met",tblMoeHistory[[#This Row],[State and Local Per Capita Result]]),0)&gt;0,IFERROR(SEARCH("Met",tblMoeHistory[[#This Row],[State and Local Total Result]]),0)&gt;0),"Met","Not Met")</f>
        <v>Met</v>
      </c>
    </row>
    <row r="478" spans="1:22" x14ac:dyDescent="0.35">
      <c r="A478" t="s">
        <v>104</v>
      </c>
      <c r="B478">
        <v>2215</v>
      </c>
      <c r="C478" t="s">
        <v>22</v>
      </c>
      <c r="D478">
        <v>50</v>
      </c>
      <c r="E478">
        <v>153535.65</v>
      </c>
      <c r="F478">
        <v>83175.759999999995</v>
      </c>
      <c r="G478">
        <f>tblMoeHistory[[#This Row],[LEA State and Local Amount]]+tblMoeHistory[[#This Row],[ESD State and Local Amount]]</f>
        <v>236711.40999999997</v>
      </c>
      <c r="H478">
        <v>0</v>
      </c>
      <c r="I478" t="s">
        <v>241</v>
      </c>
      <c r="J478">
        <f>IFERROR(tblMoeHistory[[#This Row],[LEA State and Local Amount]]/tblMoeHistory[[#This Row],[Child Count]],0)</f>
        <v>3070.7129999999997</v>
      </c>
      <c r="K478">
        <f>IFERROR(tblMoeHistory[[#This Row],[ESD State and Local Amount]]/tblMoeHistory[[#This Row],[Child Count]],0)</f>
        <v>1663.5151999999998</v>
      </c>
      <c r="L478">
        <f>IFERROR(tblMoeHistory[[#This Row],[State and Local Total Amount]]/tblMoeHistory[[#This Row],[Child Count]],0)</f>
        <v>4734.2281999999996</v>
      </c>
      <c r="M478">
        <v>0</v>
      </c>
      <c r="N478" t="s">
        <v>240</v>
      </c>
      <c r="O478">
        <v>65724.509999999995</v>
      </c>
      <c r="P478">
        <v>511.3</v>
      </c>
      <c r="Q478">
        <f>tblMoeHistory[[#This Row],[Amount of IDEA Part B, Section 611 award]]+tblMoeHistory[[#This Row],[Amount of IDEA Part B, Section 619 award]]</f>
        <v>66235.81</v>
      </c>
      <c r="U4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8" t="str">
        <f>IF(OR(IFERROR(SEARCH("Met",tblMoeHistory[[#This Row],[State and Local Per Capita Result]]),0)&gt;0,IFERROR(SEARCH("Met",tblMoeHistory[[#This Row],[State and Local Total Result]]),0)&gt;0),"Met","Not Met")</f>
        <v>Met</v>
      </c>
    </row>
    <row r="479" spans="1:22" x14ac:dyDescent="0.35">
      <c r="A479" t="s">
        <v>105</v>
      </c>
      <c r="B479">
        <v>3997</v>
      </c>
      <c r="C479" t="s">
        <v>22</v>
      </c>
      <c r="D479">
        <v>30</v>
      </c>
      <c r="E479">
        <v>108680.45</v>
      </c>
      <c r="F479">
        <v>44907.1</v>
      </c>
      <c r="G479">
        <f>tblMoeHistory[[#This Row],[LEA State and Local Amount]]+tblMoeHistory[[#This Row],[ESD State and Local Amount]]</f>
        <v>153587.54999999999</v>
      </c>
      <c r="H479">
        <v>0</v>
      </c>
      <c r="I479" t="s">
        <v>241</v>
      </c>
      <c r="J479">
        <f>IFERROR(tblMoeHistory[[#This Row],[LEA State and Local Amount]]/tblMoeHistory[[#This Row],[Child Count]],0)</f>
        <v>3622.6816666666664</v>
      </c>
      <c r="K479">
        <f>IFERROR(tblMoeHistory[[#This Row],[ESD State and Local Amount]]/tblMoeHistory[[#This Row],[Child Count]],0)</f>
        <v>1496.9033333333332</v>
      </c>
      <c r="L479">
        <f>IFERROR(tblMoeHistory[[#This Row],[State and Local Total Amount]]/tblMoeHistory[[#This Row],[Child Count]],0)</f>
        <v>5119.585</v>
      </c>
      <c r="M479">
        <v>0</v>
      </c>
      <c r="N479" t="s">
        <v>240</v>
      </c>
      <c r="O479">
        <v>25690.01</v>
      </c>
      <c r="P479">
        <v>501.47</v>
      </c>
      <c r="Q479">
        <f>tblMoeHistory[[#This Row],[Amount of IDEA Part B, Section 611 award]]+tblMoeHistory[[#This Row],[Amount of IDEA Part B, Section 619 award]]</f>
        <v>26191.48</v>
      </c>
      <c r="U4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9" t="str">
        <f>IF(OR(IFERROR(SEARCH("Met",tblMoeHistory[[#This Row],[State and Local Per Capita Result]]),0)&gt;0,IFERROR(SEARCH("Met",tblMoeHistory[[#This Row],[State and Local Total Result]]),0)&gt;0),"Met","Not Met")</f>
        <v>Met</v>
      </c>
    </row>
    <row r="480" spans="1:22" x14ac:dyDescent="0.35">
      <c r="A480" t="s">
        <v>106</v>
      </c>
      <c r="B480">
        <v>2053</v>
      </c>
      <c r="C480" t="s">
        <v>22</v>
      </c>
      <c r="D480">
        <v>383</v>
      </c>
      <c r="E480">
        <v>3110631.95</v>
      </c>
      <c r="F480">
        <v>897133.77</v>
      </c>
      <c r="G480">
        <f>tblMoeHistory[[#This Row],[LEA State and Local Amount]]+tblMoeHistory[[#This Row],[ESD State and Local Amount]]</f>
        <v>4007765.72</v>
      </c>
      <c r="H480">
        <v>0</v>
      </c>
      <c r="I480" t="s">
        <v>241</v>
      </c>
      <c r="J480">
        <f>IFERROR(tblMoeHistory[[#This Row],[LEA State and Local Amount]]/tblMoeHistory[[#This Row],[Child Count]],0)</f>
        <v>8121.7544386422978</v>
      </c>
      <c r="K480">
        <f>IFERROR(tblMoeHistory[[#This Row],[ESD State and Local Amount]]/tblMoeHistory[[#This Row],[Child Count]],0)</f>
        <v>2342.3858224543083</v>
      </c>
      <c r="L480">
        <f>IFERROR(tblMoeHistory[[#This Row],[State and Local Total Amount]]/tblMoeHistory[[#This Row],[Child Count]],0)</f>
        <v>10464.140261096607</v>
      </c>
      <c r="M480">
        <v>0</v>
      </c>
      <c r="N480" t="s">
        <v>241</v>
      </c>
      <c r="O480">
        <v>470995.1</v>
      </c>
      <c r="P480">
        <v>7531.71</v>
      </c>
      <c r="Q480">
        <f>tblMoeHistory[[#This Row],[Amount of IDEA Part B, Section 611 award]]+tblMoeHistory[[#This Row],[Amount of IDEA Part B, Section 619 award]]</f>
        <v>478526.81</v>
      </c>
      <c r="U4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0" t="str">
        <f>IF(OR(IFERROR(SEARCH("Met",tblMoeHistory[[#This Row],[State and Local Per Capita Result]]),0)&gt;0,IFERROR(SEARCH("Met",tblMoeHistory[[#This Row],[State and Local Total Result]]),0)&gt;0),"Met","Not Met")</f>
        <v>Met</v>
      </c>
    </row>
    <row r="481" spans="1:22" x14ac:dyDescent="0.35">
      <c r="A481" t="s">
        <v>107</v>
      </c>
      <c r="B481">
        <v>2140</v>
      </c>
      <c r="C481" t="s">
        <v>22</v>
      </c>
      <c r="D481">
        <v>165</v>
      </c>
      <c r="E481">
        <v>922243.43</v>
      </c>
      <c r="F481">
        <v>88033.29</v>
      </c>
      <c r="G481">
        <f>tblMoeHistory[[#This Row],[LEA State and Local Amount]]+tblMoeHistory[[#This Row],[ESD State and Local Amount]]</f>
        <v>1010276.7200000001</v>
      </c>
      <c r="H481">
        <v>0</v>
      </c>
      <c r="I481" t="s">
        <v>241</v>
      </c>
      <c r="J481">
        <f>IFERROR(tblMoeHistory[[#This Row],[LEA State and Local Amount]]/tblMoeHistory[[#This Row],[Child Count]],0)</f>
        <v>5589.3541212121218</v>
      </c>
      <c r="K481">
        <f>IFERROR(tblMoeHistory[[#This Row],[ESD State and Local Amount]]/tblMoeHistory[[#This Row],[Child Count]],0)</f>
        <v>533.53509090909085</v>
      </c>
      <c r="L481">
        <f>IFERROR(tblMoeHistory[[#This Row],[State and Local Total Amount]]/tblMoeHistory[[#This Row],[Child Count]],0)</f>
        <v>6122.8892121212129</v>
      </c>
      <c r="M481">
        <v>0</v>
      </c>
      <c r="N481" t="s">
        <v>240</v>
      </c>
      <c r="O481">
        <v>157400.56</v>
      </c>
      <c r="P481">
        <v>837.57</v>
      </c>
      <c r="Q481">
        <f>tblMoeHistory[[#This Row],[Amount of IDEA Part B, Section 611 award]]+tblMoeHistory[[#This Row],[Amount of IDEA Part B, Section 619 award]]</f>
        <v>158238.13</v>
      </c>
      <c r="U4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1" t="str">
        <f>IF(OR(IFERROR(SEARCH("Met",tblMoeHistory[[#This Row],[State and Local Per Capita Result]]),0)&gt;0,IFERROR(SEARCH("Met",tblMoeHistory[[#This Row],[State and Local Total Result]]),0)&gt;0),"Met","Not Met")</f>
        <v>Met</v>
      </c>
    </row>
    <row r="482" spans="1:22" x14ac:dyDescent="0.35">
      <c r="A482" t="s">
        <v>108</v>
      </c>
      <c r="B482">
        <v>1934</v>
      </c>
      <c r="C482" t="s">
        <v>22</v>
      </c>
      <c r="D482">
        <v>26</v>
      </c>
      <c r="E482">
        <v>217769.64</v>
      </c>
      <c r="F482">
        <v>41752</v>
      </c>
      <c r="G482">
        <f>tblMoeHistory[[#This Row],[LEA State and Local Amount]]+tblMoeHistory[[#This Row],[ESD State and Local Amount]]</f>
        <v>259521.64</v>
      </c>
      <c r="H482">
        <v>0</v>
      </c>
      <c r="I482" t="s">
        <v>241</v>
      </c>
      <c r="J482">
        <f>IFERROR(tblMoeHistory[[#This Row],[LEA State and Local Amount]]/tblMoeHistory[[#This Row],[Child Count]],0)</f>
        <v>8375.755384615386</v>
      </c>
      <c r="K482">
        <f>IFERROR(tblMoeHistory[[#This Row],[ESD State and Local Amount]]/tblMoeHistory[[#This Row],[Child Count]],0)</f>
        <v>1605.8461538461538</v>
      </c>
      <c r="L482">
        <f>IFERROR(tblMoeHistory[[#This Row],[State and Local Total Amount]]/tblMoeHistory[[#This Row],[Child Count]],0)</f>
        <v>9981.6015384615384</v>
      </c>
      <c r="M482">
        <v>0</v>
      </c>
      <c r="N482" t="s">
        <v>240</v>
      </c>
      <c r="O482">
        <v>21120.05</v>
      </c>
      <c r="P482">
        <v>983.62</v>
      </c>
      <c r="Q482">
        <f>tblMoeHistory[[#This Row],[Amount of IDEA Part B, Section 611 award]]+tblMoeHistory[[#This Row],[Amount of IDEA Part B, Section 619 award]]</f>
        <v>22103.67</v>
      </c>
      <c r="U4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2" t="str">
        <f>IF(OR(IFERROR(SEARCH("Met",tblMoeHistory[[#This Row],[State and Local Per Capita Result]]),0)&gt;0,IFERROR(SEARCH("Met",tblMoeHistory[[#This Row],[State and Local Total Result]]),0)&gt;0),"Met","Not Met")</f>
        <v>Met</v>
      </c>
    </row>
    <row r="483" spans="1:22" x14ac:dyDescent="0.35">
      <c r="A483" t="s">
        <v>109</v>
      </c>
      <c r="B483">
        <v>2008</v>
      </c>
      <c r="C483" t="s">
        <v>22</v>
      </c>
      <c r="D483">
        <v>86</v>
      </c>
      <c r="E483">
        <v>750789.22</v>
      </c>
      <c r="F483">
        <v>147620.10999999999</v>
      </c>
      <c r="G483">
        <f>tblMoeHistory[[#This Row],[LEA State and Local Amount]]+tblMoeHistory[[#This Row],[ESD State and Local Amount]]</f>
        <v>898409.33</v>
      </c>
      <c r="H483">
        <v>0</v>
      </c>
      <c r="I483" t="s">
        <v>242</v>
      </c>
      <c r="J483">
        <f>IFERROR(tblMoeHistory[[#This Row],[LEA State and Local Amount]]/tblMoeHistory[[#This Row],[Child Count]],0)</f>
        <v>8730.1072093023249</v>
      </c>
      <c r="K483">
        <f>IFERROR(tblMoeHistory[[#This Row],[ESD State and Local Amount]]/tblMoeHistory[[#This Row],[Child Count]],0)</f>
        <v>1716.512906976744</v>
      </c>
      <c r="L483">
        <f>IFERROR(tblMoeHistory[[#This Row],[State and Local Total Amount]]/tblMoeHistory[[#This Row],[Child Count]],0)</f>
        <v>10446.620116279069</v>
      </c>
      <c r="M483">
        <v>0</v>
      </c>
      <c r="N483" t="s">
        <v>241</v>
      </c>
      <c r="O483">
        <v>150919.06</v>
      </c>
      <c r="P483">
        <v>2158.73</v>
      </c>
      <c r="Q483">
        <f>tblMoeHistory[[#This Row],[Amount of IDEA Part B, Section 611 award]]+tblMoeHistory[[#This Row],[Amount of IDEA Part B, Section 619 award]]</f>
        <v>153077.79</v>
      </c>
      <c r="S483">
        <v>19134.080000000002</v>
      </c>
      <c r="T483">
        <v>19134.080000000002</v>
      </c>
      <c r="U4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3" t="str">
        <f>IF(OR(IFERROR(SEARCH("Met",tblMoeHistory[[#This Row],[State and Local Per Capita Result]]),0)&gt;0,IFERROR(SEARCH("Met",tblMoeHistory[[#This Row],[State and Local Total Result]]),0)&gt;0),"Met","Not Met")</f>
        <v>Met</v>
      </c>
    </row>
    <row r="484" spans="1:22" x14ac:dyDescent="0.35">
      <c r="A484" t="s">
        <v>110</v>
      </c>
      <c r="B484">
        <v>2107</v>
      </c>
      <c r="C484" t="s">
        <v>22</v>
      </c>
      <c r="D484">
        <v>9</v>
      </c>
      <c r="E484">
        <v>74509.7</v>
      </c>
      <c r="F484">
        <v>22278.02</v>
      </c>
      <c r="G484">
        <f>tblMoeHistory[[#This Row],[LEA State and Local Amount]]+tblMoeHistory[[#This Row],[ESD State and Local Amount]]</f>
        <v>96787.72</v>
      </c>
      <c r="H484">
        <v>0</v>
      </c>
      <c r="I484" t="s">
        <v>241</v>
      </c>
      <c r="J484">
        <f>IFERROR(tblMoeHistory[[#This Row],[LEA State and Local Amount]]/tblMoeHistory[[#This Row],[Child Count]],0)</f>
        <v>8278.8555555555558</v>
      </c>
      <c r="K484">
        <f>IFERROR(tblMoeHistory[[#This Row],[ESD State and Local Amount]]/tblMoeHistory[[#This Row],[Child Count]],0)</f>
        <v>2475.3355555555554</v>
      </c>
      <c r="L484">
        <f>IFERROR(tblMoeHistory[[#This Row],[State and Local Total Amount]]/tblMoeHistory[[#This Row],[Child Count]],0)</f>
        <v>10754.191111111111</v>
      </c>
      <c r="M484">
        <v>0</v>
      </c>
      <c r="N484" t="s">
        <v>241</v>
      </c>
      <c r="O484">
        <v>17124.63</v>
      </c>
      <c r="P484">
        <v>492.3</v>
      </c>
      <c r="Q484">
        <f>tblMoeHistory[[#This Row],[Amount of IDEA Part B, Section 611 award]]+tblMoeHistory[[#This Row],[Amount of IDEA Part B, Section 619 award]]</f>
        <v>17616.93</v>
      </c>
      <c r="U4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4" t="str">
        <f>IF(OR(IFERROR(SEARCH("Met",tblMoeHistory[[#This Row],[State and Local Per Capita Result]]),0)&gt;0,IFERROR(SEARCH("Met",tblMoeHistory[[#This Row],[State and Local Total Result]]),0)&gt;0),"Met","Not Met")</f>
        <v>Met</v>
      </c>
    </row>
    <row r="485" spans="1:22" x14ac:dyDescent="0.35">
      <c r="A485" t="s">
        <v>111</v>
      </c>
      <c r="B485">
        <v>2219</v>
      </c>
      <c r="C485" t="s">
        <v>22</v>
      </c>
      <c r="D485">
        <v>33</v>
      </c>
      <c r="E485">
        <v>105539.25</v>
      </c>
      <c r="F485">
        <v>110405.9</v>
      </c>
      <c r="G485">
        <f>tblMoeHistory[[#This Row],[LEA State and Local Amount]]+tblMoeHistory[[#This Row],[ESD State and Local Amount]]</f>
        <v>215945.15</v>
      </c>
      <c r="H485">
        <v>0</v>
      </c>
      <c r="I485" t="s">
        <v>240</v>
      </c>
      <c r="J485">
        <f>IFERROR(tblMoeHistory[[#This Row],[LEA State and Local Amount]]/tblMoeHistory[[#This Row],[Child Count]],0)</f>
        <v>3198.159090909091</v>
      </c>
      <c r="K485">
        <f>IFERROR(tblMoeHistory[[#This Row],[ESD State and Local Amount]]/tblMoeHistory[[#This Row],[Child Count]],0)</f>
        <v>3345.6333333333332</v>
      </c>
      <c r="L485">
        <f>IFERROR(tblMoeHistory[[#This Row],[State and Local Total Amount]]/tblMoeHistory[[#This Row],[Child Count]],0)</f>
        <v>6543.7924242424242</v>
      </c>
      <c r="M485">
        <v>0</v>
      </c>
      <c r="N485" t="s">
        <v>240</v>
      </c>
      <c r="O485">
        <v>51750.34</v>
      </c>
      <c r="P485">
        <v>2448.59</v>
      </c>
      <c r="Q485">
        <f>tblMoeHistory[[#This Row],[Amount of IDEA Part B, Section 611 award]]+tblMoeHistory[[#This Row],[Amount of IDEA Part B, Section 619 award]]</f>
        <v>54198.929999999993</v>
      </c>
      <c r="U4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5" t="str">
        <f>IF(OR(IFERROR(SEARCH("Met",tblMoeHistory[[#This Row],[State and Local Per Capita Result]]),0)&gt;0,IFERROR(SEARCH("Met",tblMoeHistory[[#This Row],[State and Local Total Result]]),0)&gt;0),"Met","Not Met")</f>
        <v>Not Met</v>
      </c>
    </row>
    <row r="486" spans="1:22" x14ac:dyDescent="0.35">
      <c r="A486" t="s">
        <v>112</v>
      </c>
      <c r="B486">
        <v>2091</v>
      </c>
      <c r="C486" t="s">
        <v>22</v>
      </c>
      <c r="D486">
        <v>224</v>
      </c>
      <c r="E486">
        <v>1530963.62</v>
      </c>
      <c r="F486">
        <v>531547</v>
      </c>
      <c r="G486">
        <f>tblMoeHistory[[#This Row],[LEA State and Local Amount]]+tblMoeHistory[[#This Row],[ESD State and Local Amount]]</f>
        <v>2062510.62</v>
      </c>
      <c r="H486">
        <v>0</v>
      </c>
      <c r="I486" t="s">
        <v>241</v>
      </c>
      <c r="J486">
        <f>IFERROR(tblMoeHistory[[#This Row],[LEA State and Local Amount]]/tblMoeHistory[[#This Row],[Child Count]],0)</f>
        <v>6834.6590178571432</v>
      </c>
      <c r="K486">
        <f>IFERROR(tblMoeHistory[[#This Row],[ESD State and Local Amount]]/tblMoeHistory[[#This Row],[Child Count]],0)</f>
        <v>2372.9776785714284</v>
      </c>
      <c r="L486">
        <f>IFERROR(tblMoeHistory[[#This Row],[State and Local Total Amount]]/tblMoeHistory[[#This Row],[Child Count]],0)</f>
        <v>9207.6366964285717</v>
      </c>
      <c r="M486">
        <v>0</v>
      </c>
      <c r="N486" t="s">
        <v>241</v>
      </c>
      <c r="O486">
        <v>292806.71999999997</v>
      </c>
      <c r="P486">
        <v>4086.93</v>
      </c>
      <c r="Q486">
        <f>tblMoeHistory[[#This Row],[Amount of IDEA Part B, Section 611 award]]+tblMoeHistory[[#This Row],[Amount of IDEA Part B, Section 619 award]]</f>
        <v>296893.64999999997</v>
      </c>
      <c r="U4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6" t="str">
        <f>IF(OR(IFERROR(SEARCH("Met",tblMoeHistory[[#This Row],[State and Local Per Capita Result]]),0)&gt;0,IFERROR(SEARCH("Met",tblMoeHistory[[#This Row],[State and Local Total Result]]),0)&gt;0),"Met","Not Met")</f>
        <v>Met</v>
      </c>
    </row>
    <row r="487" spans="1:22" x14ac:dyDescent="0.35">
      <c r="A487" t="s">
        <v>113</v>
      </c>
      <c r="B487">
        <v>2109</v>
      </c>
      <c r="C487" t="s">
        <v>22</v>
      </c>
      <c r="D487">
        <v>1</v>
      </c>
      <c r="E487">
        <v>0</v>
      </c>
      <c r="F487">
        <v>1355.26</v>
      </c>
      <c r="G487">
        <f>tblMoeHistory[[#This Row],[LEA State and Local Amount]]+tblMoeHistory[[#This Row],[ESD State and Local Amount]]</f>
        <v>1355.26</v>
      </c>
      <c r="H487">
        <v>0</v>
      </c>
      <c r="I487" t="s">
        <v>240</v>
      </c>
      <c r="J487">
        <f>IFERROR(tblMoeHistory[[#This Row],[LEA State and Local Amount]]/tblMoeHistory[[#This Row],[Child Count]],0)</f>
        <v>0</v>
      </c>
      <c r="K487">
        <f>IFERROR(tblMoeHistory[[#This Row],[ESD State and Local Amount]]/tblMoeHistory[[#This Row],[Child Count]],0)</f>
        <v>1355.26</v>
      </c>
      <c r="L487">
        <f>IFERROR(tblMoeHistory[[#This Row],[State and Local Total Amount]]/tblMoeHistory[[#This Row],[Child Count]],0)</f>
        <v>1355.26</v>
      </c>
      <c r="M487">
        <v>0</v>
      </c>
      <c r="N487" t="s">
        <v>240</v>
      </c>
      <c r="O487">
        <v>647.85</v>
      </c>
      <c r="P487">
        <v>0.44</v>
      </c>
      <c r="Q487">
        <f>tblMoeHistory[[#This Row],[Amount of IDEA Part B, Section 611 award]]+tblMoeHistory[[#This Row],[Amount of IDEA Part B, Section 619 award]]</f>
        <v>648.29000000000008</v>
      </c>
      <c r="U4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7" t="str">
        <f>IF(OR(IFERROR(SEARCH("Met",tblMoeHistory[[#This Row],[State and Local Per Capita Result]]),0)&gt;0,IFERROR(SEARCH("Met",tblMoeHistory[[#This Row],[State and Local Total Result]]),0)&gt;0),"Met","Not Met")</f>
        <v>Not Met</v>
      </c>
    </row>
    <row r="488" spans="1:22" x14ac:dyDescent="0.35">
      <c r="A488" t="s">
        <v>114</v>
      </c>
      <c r="B488">
        <v>2057</v>
      </c>
      <c r="C488" t="s">
        <v>22</v>
      </c>
      <c r="D488">
        <v>869</v>
      </c>
      <c r="E488">
        <v>4921933.49</v>
      </c>
      <c r="F488">
        <v>837318.82</v>
      </c>
      <c r="G488">
        <f>tblMoeHistory[[#This Row],[LEA State and Local Amount]]+tblMoeHistory[[#This Row],[ESD State and Local Amount]]</f>
        <v>5759252.3100000005</v>
      </c>
      <c r="H488">
        <v>0</v>
      </c>
      <c r="I488" t="s">
        <v>241</v>
      </c>
      <c r="J488">
        <f>IFERROR(tblMoeHistory[[#This Row],[LEA State and Local Amount]]/tblMoeHistory[[#This Row],[Child Count]],0)</f>
        <v>5663.9050517836595</v>
      </c>
      <c r="K488">
        <f>IFERROR(tblMoeHistory[[#This Row],[ESD State and Local Amount]]/tblMoeHistory[[#This Row],[Child Count]],0)</f>
        <v>963.54294591484461</v>
      </c>
      <c r="L488">
        <f>IFERROR(tblMoeHistory[[#This Row],[State and Local Total Amount]]/tblMoeHistory[[#This Row],[Child Count]],0)</f>
        <v>6627.4479976985049</v>
      </c>
      <c r="M488">
        <v>0</v>
      </c>
      <c r="N488" t="s">
        <v>240</v>
      </c>
      <c r="O488">
        <v>1211652.81</v>
      </c>
      <c r="P488">
        <v>9285.06</v>
      </c>
      <c r="Q488">
        <f>tblMoeHistory[[#This Row],[Amount of IDEA Part B, Section 611 award]]+tblMoeHistory[[#This Row],[Amount of IDEA Part B, Section 619 award]]</f>
        <v>1220937.8700000001</v>
      </c>
      <c r="U4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8" t="str">
        <f>IF(OR(IFERROR(SEARCH("Met",tblMoeHistory[[#This Row],[State and Local Per Capita Result]]),0)&gt;0,IFERROR(SEARCH("Met",tblMoeHistory[[#This Row],[State and Local Total Result]]),0)&gt;0),"Met","Not Met")</f>
        <v>Met</v>
      </c>
    </row>
    <row r="489" spans="1:22" x14ac:dyDescent="0.35">
      <c r="A489" t="s">
        <v>115</v>
      </c>
      <c r="B489">
        <v>2056</v>
      </c>
      <c r="C489" t="s">
        <v>22</v>
      </c>
      <c r="D489">
        <v>528</v>
      </c>
      <c r="E489">
        <v>3219052.85</v>
      </c>
      <c r="F489">
        <v>102219.45</v>
      </c>
      <c r="G489">
        <f>tblMoeHistory[[#This Row],[LEA State and Local Amount]]+tblMoeHistory[[#This Row],[ESD State and Local Amount]]</f>
        <v>3321272.3000000003</v>
      </c>
      <c r="H489">
        <v>0</v>
      </c>
      <c r="I489" t="s">
        <v>241</v>
      </c>
      <c r="J489">
        <f>IFERROR(tblMoeHistory[[#This Row],[LEA State and Local Amount]]/tblMoeHistory[[#This Row],[Child Count]],0)</f>
        <v>6096.6910037878788</v>
      </c>
      <c r="K489">
        <f>IFERROR(tblMoeHistory[[#This Row],[ESD State and Local Amount]]/tblMoeHistory[[#This Row],[Child Count]],0)</f>
        <v>193.59744318181816</v>
      </c>
      <c r="L489">
        <f>IFERROR(tblMoeHistory[[#This Row],[State and Local Total Amount]]/tblMoeHistory[[#This Row],[Child Count]],0)</f>
        <v>6290.2884469696974</v>
      </c>
      <c r="M489">
        <v>0</v>
      </c>
      <c r="N489" t="s">
        <v>240</v>
      </c>
      <c r="O489">
        <v>641393.21</v>
      </c>
      <c r="P489">
        <v>7936.72</v>
      </c>
      <c r="Q489">
        <f>tblMoeHistory[[#This Row],[Amount of IDEA Part B, Section 611 award]]+tblMoeHistory[[#This Row],[Amount of IDEA Part B, Section 619 award]]</f>
        <v>649329.92999999993</v>
      </c>
      <c r="U4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9" t="str">
        <f>IF(OR(IFERROR(SEARCH("Met",tblMoeHistory[[#This Row],[State and Local Per Capita Result]]),0)&gt;0,IFERROR(SEARCH("Met",tblMoeHistory[[#This Row],[State and Local Total Result]]),0)&gt;0),"Met","Not Met")</f>
        <v>Met</v>
      </c>
    </row>
    <row r="490" spans="1:22" x14ac:dyDescent="0.35">
      <c r="A490" t="s">
        <v>116</v>
      </c>
      <c r="B490">
        <v>2262</v>
      </c>
      <c r="C490" t="s">
        <v>22</v>
      </c>
      <c r="D490">
        <v>82</v>
      </c>
      <c r="E490">
        <v>494809.96</v>
      </c>
      <c r="F490">
        <v>95169</v>
      </c>
      <c r="G490">
        <f>tblMoeHistory[[#This Row],[LEA State and Local Amount]]+tblMoeHistory[[#This Row],[ESD State and Local Amount]]</f>
        <v>589978.96</v>
      </c>
      <c r="H490">
        <v>0</v>
      </c>
      <c r="I490" t="s">
        <v>240</v>
      </c>
      <c r="J490">
        <f>IFERROR(tblMoeHistory[[#This Row],[LEA State and Local Amount]]/tblMoeHistory[[#This Row],[Child Count]],0)</f>
        <v>6034.267804878049</v>
      </c>
      <c r="K490">
        <f>IFERROR(tblMoeHistory[[#This Row],[ESD State and Local Amount]]/tblMoeHistory[[#This Row],[Child Count]],0)</f>
        <v>1160.5975609756097</v>
      </c>
      <c r="L490">
        <f>IFERROR(tblMoeHistory[[#This Row],[State and Local Total Amount]]/tblMoeHistory[[#This Row],[Child Count]],0)</f>
        <v>7194.8653658536577</v>
      </c>
      <c r="M490">
        <v>0</v>
      </c>
      <c r="N490" t="s">
        <v>240</v>
      </c>
      <c r="O490">
        <v>70841.789999999994</v>
      </c>
      <c r="P490">
        <v>2867.16</v>
      </c>
      <c r="Q490">
        <f>tblMoeHistory[[#This Row],[Amount of IDEA Part B, Section 611 award]]+tblMoeHistory[[#This Row],[Amount of IDEA Part B, Section 619 award]]</f>
        <v>73708.95</v>
      </c>
      <c r="U4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0" t="str">
        <f>IF(OR(IFERROR(SEARCH("Met",tblMoeHistory[[#This Row],[State and Local Per Capita Result]]),0)&gt;0,IFERROR(SEARCH("Met",tblMoeHistory[[#This Row],[State and Local Total Result]]),0)&gt;0),"Met","Not Met")</f>
        <v>Not Met</v>
      </c>
    </row>
    <row r="491" spans="1:22" x14ac:dyDescent="0.35">
      <c r="A491" t="s">
        <v>117</v>
      </c>
      <c r="B491">
        <v>2212</v>
      </c>
      <c r="C491" t="s">
        <v>22</v>
      </c>
      <c r="D491">
        <v>302</v>
      </c>
      <c r="E491">
        <v>1924896.61</v>
      </c>
      <c r="F491">
        <v>492025.58</v>
      </c>
      <c r="G491">
        <f>tblMoeHistory[[#This Row],[LEA State and Local Amount]]+tblMoeHistory[[#This Row],[ESD State and Local Amount]]</f>
        <v>2416922.19</v>
      </c>
      <c r="H491">
        <v>0</v>
      </c>
      <c r="I491" t="s">
        <v>242</v>
      </c>
      <c r="J491">
        <f>IFERROR(tblMoeHistory[[#This Row],[LEA State and Local Amount]]/tblMoeHistory[[#This Row],[Child Count]],0)</f>
        <v>6373.829834437086</v>
      </c>
      <c r="K491">
        <f>IFERROR(tblMoeHistory[[#This Row],[ESD State and Local Amount]]/tblMoeHistory[[#This Row],[Child Count]],0)</f>
        <v>1629.2237748344371</v>
      </c>
      <c r="L491">
        <f>IFERROR(tblMoeHistory[[#This Row],[State and Local Total Amount]]/tblMoeHistory[[#This Row],[Child Count]],0)</f>
        <v>8003.0536092715229</v>
      </c>
      <c r="M491">
        <v>0</v>
      </c>
      <c r="N491" t="s">
        <v>241</v>
      </c>
      <c r="O491">
        <v>418880.12</v>
      </c>
      <c r="P491">
        <v>2872.53</v>
      </c>
      <c r="Q491">
        <f>tblMoeHistory[[#This Row],[Amount of IDEA Part B, Section 611 award]]+tblMoeHistory[[#This Row],[Amount of IDEA Part B, Section 619 award]]</f>
        <v>421752.65</v>
      </c>
      <c r="S491">
        <v>249115.79</v>
      </c>
      <c r="T491">
        <v>249115.79</v>
      </c>
      <c r="U4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1" t="str">
        <f>IF(OR(IFERROR(SEARCH("Met",tblMoeHistory[[#This Row],[State and Local Per Capita Result]]),0)&gt;0,IFERROR(SEARCH("Met",tblMoeHistory[[#This Row],[State and Local Total Result]]),0)&gt;0),"Met","Not Met")</f>
        <v>Met</v>
      </c>
    </row>
    <row r="492" spans="1:22" x14ac:dyDescent="0.35">
      <c r="A492" t="s">
        <v>118</v>
      </c>
      <c r="B492">
        <v>2059</v>
      </c>
      <c r="C492" t="s">
        <v>22</v>
      </c>
      <c r="D492">
        <v>96</v>
      </c>
      <c r="E492">
        <v>275579.67</v>
      </c>
      <c r="F492">
        <v>245667.59</v>
      </c>
      <c r="G492">
        <f>tblMoeHistory[[#This Row],[LEA State and Local Amount]]+tblMoeHistory[[#This Row],[ESD State and Local Amount]]</f>
        <v>521247.26</v>
      </c>
      <c r="H492">
        <v>0</v>
      </c>
      <c r="I492" t="s">
        <v>241</v>
      </c>
      <c r="J492">
        <f>IFERROR(tblMoeHistory[[#This Row],[LEA State and Local Amount]]/tblMoeHistory[[#This Row],[Child Count]],0)</f>
        <v>2870.6215625</v>
      </c>
      <c r="K492">
        <f>IFERROR(tblMoeHistory[[#This Row],[ESD State and Local Amount]]/tblMoeHistory[[#This Row],[Child Count]],0)</f>
        <v>2559.0373958333334</v>
      </c>
      <c r="L492">
        <f>IFERROR(tblMoeHistory[[#This Row],[State and Local Total Amount]]/tblMoeHistory[[#This Row],[Child Count]],0)</f>
        <v>5429.6589583333334</v>
      </c>
      <c r="M492">
        <v>0</v>
      </c>
      <c r="N492" t="s">
        <v>240</v>
      </c>
      <c r="O492">
        <v>122979.75</v>
      </c>
      <c r="P492">
        <v>2716.98</v>
      </c>
      <c r="Q492">
        <f>tblMoeHistory[[#This Row],[Amount of IDEA Part B, Section 611 award]]+tblMoeHistory[[#This Row],[Amount of IDEA Part B, Section 619 award]]</f>
        <v>125696.73</v>
      </c>
      <c r="U4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2" t="str">
        <f>IF(OR(IFERROR(SEARCH("Met",tblMoeHistory[[#This Row],[State and Local Per Capita Result]]),0)&gt;0,IFERROR(SEARCH("Met",tblMoeHistory[[#This Row],[State and Local Total Result]]),0)&gt;0),"Met","Not Met")</f>
        <v>Met</v>
      </c>
    </row>
    <row r="493" spans="1:22" x14ac:dyDescent="0.35">
      <c r="A493" t="s">
        <v>119</v>
      </c>
      <c r="B493">
        <v>1923</v>
      </c>
      <c r="C493" t="s">
        <v>22</v>
      </c>
      <c r="D493">
        <v>559</v>
      </c>
      <c r="E493">
        <v>8545406.4399999995</v>
      </c>
      <c r="F493">
        <v>406511</v>
      </c>
      <c r="G493">
        <f>tblMoeHistory[[#This Row],[LEA State and Local Amount]]+tblMoeHistory[[#This Row],[ESD State and Local Amount]]</f>
        <v>8951917.4399999995</v>
      </c>
      <c r="H493">
        <v>0</v>
      </c>
      <c r="I493" t="s">
        <v>241</v>
      </c>
      <c r="J493">
        <f>IFERROR(tblMoeHistory[[#This Row],[LEA State and Local Amount]]/tblMoeHistory[[#This Row],[Child Count]],0)</f>
        <v>15286.952486583183</v>
      </c>
      <c r="K493">
        <f>IFERROR(tblMoeHistory[[#This Row],[ESD State and Local Amount]]/tblMoeHistory[[#This Row],[Child Count]],0)</f>
        <v>727.21109123434701</v>
      </c>
      <c r="L493">
        <f>IFERROR(tblMoeHistory[[#This Row],[State and Local Total Amount]]/tblMoeHistory[[#This Row],[Child Count]],0)</f>
        <v>16014.16357781753</v>
      </c>
      <c r="M493">
        <v>0</v>
      </c>
      <c r="N493" t="s">
        <v>241</v>
      </c>
      <c r="O493">
        <v>907411.42</v>
      </c>
      <c r="P493">
        <v>2919.15</v>
      </c>
      <c r="Q493">
        <f>tblMoeHistory[[#This Row],[Amount of IDEA Part B, Section 611 award]]+tblMoeHistory[[#This Row],[Amount of IDEA Part B, Section 619 award]]</f>
        <v>910330.57000000007</v>
      </c>
      <c r="U4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3" t="str">
        <f>IF(OR(IFERROR(SEARCH("Met",tblMoeHistory[[#This Row],[State and Local Per Capita Result]]),0)&gt;0,IFERROR(SEARCH("Met",tblMoeHistory[[#This Row],[State and Local Total Result]]),0)&gt;0),"Met","Not Met")</f>
        <v>Met</v>
      </c>
    </row>
    <row r="494" spans="1:22" x14ac:dyDescent="0.35">
      <c r="A494" t="s">
        <v>120</v>
      </c>
      <c r="B494">
        <v>2101</v>
      </c>
      <c r="C494" t="s">
        <v>22</v>
      </c>
      <c r="D494">
        <v>606</v>
      </c>
      <c r="E494">
        <v>3907522.34</v>
      </c>
      <c r="F494">
        <v>487603</v>
      </c>
      <c r="G494">
        <f>tblMoeHistory[[#This Row],[LEA State and Local Amount]]+tblMoeHistory[[#This Row],[ESD State and Local Amount]]</f>
        <v>4395125.34</v>
      </c>
      <c r="H494">
        <v>0</v>
      </c>
      <c r="I494" t="s">
        <v>241</v>
      </c>
      <c r="J494">
        <f>IFERROR(tblMoeHistory[[#This Row],[LEA State and Local Amount]]/tblMoeHistory[[#This Row],[Child Count]],0)</f>
        <v>6448.0566666666664</v>
      </c>
      <c r="K494">
        <f>IFERROR(tblMoeHistory[[#This Row],[ESD State and Local Amount]]/tblMoeHistory[[#This Row],[Child Count]],0)</f>
        <v>804.62541254125415</v>
      </c>
      <c r="L494">
        <f>IFERROR(tblMoeHistory[[#This Row],[State and Local Total Amount]]/tblMoeHistory[[#This Row],[Child Count]],0)</f>
        <v>7252.6820792079207</v>
      </c>
      <c r="M494">
        <v>0</v>
      </c>
      <c r="N494" t="s">
        <v>240</v>
      </c>
      <c r="O494">
        <v>770130.81</v>
      </c>
      <c r="P494">
        <v>8022.73</v>
      </c>
      <c r="Q494">
        <f>tblMoeHistory[[#This Row],[Amount of IDEA Part B, Section 611 award]]+tblMoeHistory[[#This Row],[Amount of IDEA Part B, Section 619 award]]</f>
        <v>778153.54</v>
      </c>
      <c r="U4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4" t="str">
        <f>IF(OR(IFERROR(SEARCH("Met",tblMoeHistory[[#This Row],[State and Local Per Capita Result]]),0)&gt;0,IFERROR(SEARCH("Met",tblMoeHistory[[#This Row],[State and Local Total Result]]),0)&gt;0),"Met","Not Met")</f>
        <v>Met</v>
      </c>
    </row>
    <row r="495" spans="1:22" x14ac:dyDescent="0.35">
      <c r="A495" t="s">
        <v>121</v>
      </c>
      <c r="B495">
        <v>2097</v>
      </c>
      <c r="C495" t="s">
        <v>22</v>
      </c>
      <c r="D495">
        <v>627</v>
      </c>
      <c r="E495">
        <v>5585902.4400000004</v>
      </c>
      <c r="F495">
        <v>459315</v>
      </c>
      <c r="G495">
        <f>tblMoeHistory[[#This Row],[LEA State and Local Amount]]+tblMoeHistory[[#This Row],[ESD State and Local Amount]]</f>
        <v>6045217.4400000004</v>
      </c>
      <c r="H495">
        <v>0</v>
      </c>
      <c r="I495" t="s">
        <v>241</v>
      </c>
      <c r="J495">
        <f>IFERROR(tblMoeHistory[[#This Row],[LEA State and Local Amount]]/tblMoeHistory[[#This Row],[Child Count]],0)</f>
        <v>8908.935311004785</v>
      </c>
      <c r="K495">
        <f>IFERROR(tblMoeHistory[[#This Row],[ESD State and Local Amount]]/tblMoeHistory[[#This Row],[Child Count]],0)</f>
        <v>732.55980861244018</v>
      </c>
      <c r="L495">
        <f>IFERROR(tblMoeHistory[[#This Row],[State and Local Total Amount]]/tblMoeHistory[[#This Row],[Child Count]],0)</f>
        <v>9641.495119617226</v>
      </c>
      <c r="M495">
        <v>0</v>
      </c>
      <c r="N495" t="s">
        <v>241</v>
      </c>
      <c r="O495">
        <v>924050.32</v>
      </c>
      <c r="P495">
        <v>10485.98</v>
      </c>
      <c r="Q495">
        <f>tblMoeHistory[[#This Row],[Amount of IDEA Part B, Section 611 award]]+tblMoeHistory[[#This Row],[Amount of IDEA Part B, Section 619 award]]</f>
        <v>934536.29999999993</v>
      </c>
      <c r="U4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5" t="str">
        <f>IF(OR(IFERROR(SEARCH("Met",tblMoeHistory[[#This Row],[State and Local Per Capita Result]]),0)&gt;0,IFERROR(SEARCH("Met",tblMoeHistory[[#This Row],[State and Local Total Result]]),0)&gt;0),"Met","Not Met")</f>
        <v>Met</v>
      </c>
    </row>
    <row r="496" spans="1:22" x14ac:dyDescent="0.35">
      <c r="A496" t="s">
        <v>122</v>
      </c>
      <c r="B496">
        <v>2012</v>
      </c>
      <c r="C496" t="s">
        <v>22</v>
      </c>
      <c r="D496">
        <v>4</v>
      </c>
      <c r="E496">
        <v>30986.89</v>
      </c>
      <c r="F496">
        <v>55671.28</v>
      </c>
      <c r="G496">
        <f>tblMoeHistory[[#This Row],[LEA State and Local Amount]]+tblMoeHistory[[#This Row],[ESD State and Local Amount]]</f>
        <v>86658.17</v>
      </c>
      <c r="H496">
        <v>0</v>
      </c>
      <c r="I496" t="s">
        <v>240</v>
      </c>
      <c r="J496">
        <f>IFERROR(tblMoeHistory[[#This Row],[LEA State and Local Amount]]/tblMoeHistory[[#This Row],[Child Count]],0)</f>
        <v>7746.7224999999999</v>
      </c>
      <c r="K496">
        <f>IFERROR(tblMoeHistory[[#This Row],[ESD State and Local Amount]]/tblMoeHistory[[#This Row],[Child Count]],0)</f>
        <v>13917.82</v>
      </c>
      <c r="L496">
        <f>IFERROR(tblMoeHistory[[#This Row],[State and Local Total Amount]]/tblMoeHistory[[#This Row],[Child Count]],0)</f>
        <v>21664.5425</v>
      </c>
      <c r="M496">
        <v>0</v>
      </c>
      <c r="N496" t="s">
        <v>240</v>
      </c>
      <c r="O496">
        <v>6741.56</v>
      </c>
      <c r="P496">
        <v>3.67</v>
      </c>
      <c r="Q496">
        <f>tblMoeHistory[[#This Row],[Amount of IDEA Part B, Section 611 award]]+tblMoeHistory[[#This Row],[Amount of IDEA Part B, Section 619 award]]</f>
        <v>6745.2300000000005</v>
      </c>
      <c r="U4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6" t="str">
        <f>IF(OR(IFERROR(SEARCH("Met",tblMoeHistory[[#This Row],[State and Local Per Capita Result]]),0)&gt;0,IFERROR(SEARCH("Met",tblMoeHistory[[#This Row],[State and Local Total Result]]),0)&gt;0),"Met","Not Met")</f>
        <v>Not Met</v>
      </c>
    </row>
    <row r="497" spans="1:22" x14ac:dyDescent="0.35">
      <c r="A497" t="s">
        <v>123</v>
      </c>
      <c r="B497">
        <v>2092</v>
      </c>
      <c r="C497" t="s">
        <v>22</v>
      </c>
      <c r="D497">
        <v>58</v>
      </c>
      <c r="E497">
        <v>457973.27</v>
      </c>
      <c r="F497">
        <v>137920</v>
      </c>
      <c r="G497">
        <f>tblMoeHistory[[#This Row],[LEA State and Local Amount]]+tblMoeHistory[[#This Row],[ESD State and Local Amount]]</f>
        <v>595893.27</v>
      </c>
      <c r="H497">
        <v>0</v>
      </c>
      <c r="I497" t="s">
        <v>241</v>
      </c>
      <c r="J497">
        <f>IFERROR(tblMoeHistory[[#This Row],[LEA State and Local Amount]]/tblMoeHistory[[#This Row],[Child Count]],0)</f>
        <v>7896.0908620689661</v>
      </c>
      <c r="K497">
        <f>IFERROR(tblMoeHistory[[#This Row],[ESD State and Local Amount]]/tblMoeHistory[[#This Row],[Child Count]],0)</f>
        <v>2377.9310344827586</v>
      </c>
      <c r="L497">
        <f>IFERROR(tblMoeHistory[[#This Row],[State and Local Total Amount]]/tblMoeHistory[[#This Row],[Child Count]],0)</f>
        <v>10274.021896551725</v>
      </c>
      <c r="M497">
        <v>0</v>
      </c>
      <c r="N497" t="s">
        <v>240</v>
      </c>
      <c r="O497">
        <v>57767.57</v>
      </c>
      <c r="P497">
        <v>296.32</v>
      </c>
      <c r="Q497">
        <f>tblMoeHistory[[#This Row],[Amount of IDEA Part B, Section 611 award]]+tblMoeHistory[[#This Row],[Amount of IDEA Part B, Section 619 award]]</f>
        <v>58063.89</v>
      </c>
      <c r="U4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7" t="str">
        <f>IF(OR(IFERROR(SEARCH("Met",tblMoeHistory[[#This Row],[State and Local Per Capita Result]]),0)&gt;0,IFERROR(SEARCH("Met",tblMoeHistory[[#This Row],[State and Local Total Result]]),0)&gt;0),"Met","Not Met")</f>
        <v>Met</v>
      </c>
    </row>
    <row r="498" spans="1:22" x14ac:dyDescent="0.35">
      <c r="A498" t="s">
        <v>124</v>
      </c>
      <c r="B498">
        <v>2112</v>
      </c>
      <c r="C498" t="s">
        <v>22</v>
      </c>
      <c r="D498">
        <v>0</v>
      </c>
      <c r="E498">
        <v>0</v>
      </c>
      <c r="F498">
        <v>305.36</v>
      </c>
      <c r="G498">
        <f>tblMoeHistory[[#This Row],[LEA State and Local Amount]]+tblMoeHistory[[#This Row],[ESD State and Local Amount]]</f>
        <v>305.36</v>
      </c>
      <c r="H498">
        <v>0</v>
      </c>
      <c r="I498" t="s">
        <v>240</v>
      </c>
      <c r="J498">
        <f>IFERROR(tblMoeHistory[[#This Row],[LEA State and Local Amount]]/tblMoeHistory[[#This Row],[Child Count]],0)</f>
        <v>0</v>
      </c>
      <c r="K498">
        <f>IFERROR(tblMoeHistory[[#This Row],[ESD State and Local Amount]]/tblMoeHistory[[#This Row],[Child Count]],0)</f>
        <v>0</v>
      </c>
      <c r="L498">
        <f>IFERROR(tblMoeHistory[[#This Row],[State and Local Total Amount]]/tblMoeHistory[[#This Row],[Child Count]],0)</f>
        <v>0</v>
      </c>
      <c r="M498">
        <v>0</v>
      </c>
      <c r="N498" t="s">
        <v>241</v>
      </c>
      <c r="O498">
        <v>801.64</v>
      </c>
      <c r="P498">
        <v>0.55000000000000004</v>
      </c>
      <c r="Q498">
        <f>tblMoeHistory[[#This Row],[Amount of IDEA Part B, Section 611 award]]+tblMoeHistory[[#This Row],[Amount of IDEA Part B, Section 619 award]]</f>
        <v>802.18999999999994</v>
      </c>
      <c r="U4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8" t="str">
        <f>IF(OR(IFERROR(SEARCH("Met",tblMoeHistory[[#This Row],[State and Local Per Capita Result]]),0)&gt;0,IFERROR(SEARCH("Met",tblMoeHistory[[#This Row],[State and Local Total Result]]),0)&gt;0),"Met","Not Met")</f>
        <v>Met</v>
      </c>
    </row>
    <row r="499" spans="1:22" x14ac:dyDescent="0.35">
      <c r="A499" t="s">
        <v>125</v>
      </c>
      <c r="B499">
        <v>2085</v>
      </c>
      <c r="C499" t="s">
        <v>22</v>
      </c>
      <c r="D499">
        <v>35</v>
      </c>
      <c r="E499">
        <v>240773.74</v>
      </c>
      <c r="F499">
        <v>33202</v>
      </c>
      <c r="G499">
        <f>tblMoeHistory[[#This Row],[LEA State and Local Amount]]+tblMoeHistory[[#This Row],[ESD State and Local Amount]]</f>
        <v>273975.74</v>
      </c>
      <c r="H499">
        <v>0</v>
      </c>
      <c r="I499" t="s">
        <v>241</v>
      </c>
      <c r="J499">
        <f>IFERROR(tblMoeHistory[[#This Row],[LEA State and Local Amount]]/tblMoeHistory[[#This Row],[Child Count]],0)</f>
        <v>6879.2497142857137</v>
      </c>
      <c r="K499">
        <f>IFERROR(tblMoeHistory[[#This Row],[ESD State and Local Amount]]/tblMoeHistory[[#This Row],[Child Count]],0)</f>
        <v>948.62857142857138</v>
      </c>
      <c r="L499">
        <f>IFERROR(tblMoeHistory[[#This Row],[State and Local Total Amount]]/tblMoeHistory[[#This Row],[Child Count]],0)</f>
        <v>7827.8782857142851</v>
      </c>
      <c r="M499">
        <v>0</v>
      </c>
      <c r="N499" t="s">
        <v>241</v>
      </c>
      <c r="O499">
        <v>56140.43</v>
      </c>
      <c r="P499">
        <v>736.98</v>
      </c>
      <c r="Q499">
        <f>tblMoeHistory[[#This Row],[Amount of IDEA Part B, Section 611 award]]+tblMoeHistory[[#This Row],[Amount of IDEA Part B, Section 619 award]]</f>
        <v>56877.41</v>
      </c>
      <c r="U4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9" t="str">
        <f>IF(OR(IFERROR(SEARCH("Met",tblMoeHistory[[#This Row],[State and Local Per Capita Result]]),0)&gt;0,IFERROR(SEARCH("Met",tblMoeHistory[[#This Row],[State and Local Total Result]]),0)&gt;0),"Met","Not Met")</f>
        <v>Met</v>
      </c>
    </row>
    <row r="500" spans="1:22" x14ac:dyDescent="0.35">
      <c r="A500" t="s">
        <v>126</v>
      </c>
      <c r="B500">
        <v>2094</v>
      </c>
      <c r="C500" t="s">
        <v>22</v>
      </c>
      <c r="D500">
        <v>34</v>
      </c>
      <c r="E500">
        <v>137780.72</v>
      </c>
      <c r="F500">
        <v>44453</v>
      </c>
      <c r="G500">
        <f>tblMoeHistory[[#This Row],[LEA State and Local Amount]]+tblMoeHistory[[#This Row],[ESD State and Local Amount]]</f>
        <v>182233.72</v>
      </c>
      <c r="H500">
        <v>0</v>
      </c>
      <c r="I500" t="s">
        <v>240</v>
      </c>
      <c r="J500">
        <f>IFERROR(tblMoeHistory[[#This Row],[LEA State and Local Amount]]/tblMoeHistory[[#This Row],[Child Count]],0)</f>
        <v>4052.3741176470589</v>
      </c>
      <c r="K500">
        <f>IFERROR(tblMoeHistory[[#This Row],[ESD State and Local Amount]]/tblMoeHistory[[#This Row],[Child Count]],0)</f>
        <v>1307.4411764705883</v>
      </c>
      <c r="L500">
        <f>IFERROR(tblMoeHistory[[#This Row],[State and Local Total Amount]]/tblMoeHistory[[#This Row],[Child Count]],0)</f>
        <v>5359.8152941176468</v>
      </c>
      <c r="M500">
        <v>0</v>
      </c>
      <c r="N500" t="s">
        <v>240</v>
      </c>
      <c r="O500">
        <v>38701.68</v>
      </c>
      <c r="P500">
        <v>549.08000000000004</v>
      </c>
      <c r="Q500">
        <f>tblMoeHistory[[#This Row],[Amount of IDEA Part B, Section 611 award]]+tblMoeHistory[[#This Row],[Amount of IDEA Part B, Section 619 award]]</f>
        <v>39250.76</v>
      </c>
      <c r="U5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0" t="str">
        <f>IF(OR(IFERROR(SEARCH("Met",tblMoeHistory[[#This Row],[State and Local Per Capita Result]]),0)&gt;0,IFERROR(SEARCH("Met",tblMoeHistory[[#This Row],[State and Local Total Result]]),0)&gt;0),"Met","Not Met")</f>
        <v>Not Met</v>
      </c>
    </row>
    <row r="501" spans="1:22" x14ac:dyDescent="0.35">
      <c r="A501" t="s">
        <v>127</v>
      </c>
      <c r="B501">
        <v>2090</v>
      </c>
      <c r="C501" t="s">
        <v>22</v>
      </c>
      <c r="D501">
        <v>36</v>
      </c>
      <c r="E501">
        <v>228645.93</v>
      </c>
      <c r="F501">
        <v>74962</v>
      </c>
      <c r="G501">
        <f>tblMoeHistory[[#This Row],[LEA State and Local Amount]]+tblMoeHistory[[#This Row],[ESD State and Local Amount]]</f>
        <v>303607.93</v>
      </c>
      <c r="H501">
        <v>0</v>
      </c>
      <c r="I501" t="s">
        <v>241</v>
      </c>
      <c r="J501">
        <f>IFERROR(tblMoeHistory[[#This Row],[LEA State and Local Amount]]/tblMoeHistory[[#This Row],[Child Count]],0)</f>
        <v>6351.2758333333331</v>
      </c>
      <c r="K501">
        <f>IFERROR(tblMoeHistory[[#This Row],[ESD State and Local Amount]]/tblMoeHistory[[#This Row],[Child Count]],0)</f>
        <v>2082.2777777777778</v>
      </c>
      <c r="L501">
        <f>IFERROR(tblMoeHistory[[#This Row],[State and Local Total Amount]]/tblMoeHistory[[#This Row],[Child Count]],0)</f>
        <v>8433.5536111111105</v>
      </c>
      <c r="M501">
        <v>0</v>
      </c>
      <c r="N501" t="s">
        <v>240</v>
      </c>
      <c r="O501">
        <v>45154.720000000001</v>
      </c>
      <c r="P501">
        <v>101.51</v>
      </c>
      <c r="Q501">
        <f>tblMoeHistory[[#This Row],[Amount of IDEA Part B, Section 611 award]]+tblMoeHistory[[#This Row],[Amount of IDEA Part B, Section 619 award]]</f>
        <v>45256.23</v>
      </c>
      <c r="U5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1" t="str">
        <f>IF(OR(IFERROR(SEARCH("Met",tblMoeHistory[[#This Row],[State and Local Per Capita Result]]),0)&gt;0,IFERROR(SEARCH("Met",tblMoeHistory[[#This Row],[State and Local Total Result]]),0)&gt;0),"Met","Not Met")</f>
        <v>Met</v>
      </c>
    </row>
    <row r="502" spans="1:22" x14ac:dyDescent="0.35">
      <c r="A502" t="s">
        <v>128</v>
      </c>
      <c r="B502">
        <v>2256</v>
      </c>
      <c r="C502" t="s">
        <v>22</v>
      </c>
      <c r="D502">
        <v>800</v>
      </c>
      <c r="E502">
        <v>5531254.6399999997</v>
      </c>
      <c r="F502">
        <v>24517.759999999998</v>
      </c>
      <c r="G502">
        <f>tblMoeHistory[[#This Row],[LEA State and Local Amount]]+tblMoeHistory[[#This Row],[ESD State and Local Amount]]</f>
        <v>5555772.3999999994</v>
      </c>
      <c r="H502">
        <v>0</v>
      </c>
      <c r="I502" t="s">
        <v>241</v>
      </c>
      <c r="J502">
        <f>IFERROR(tblMoeHistory[[#This Row],[LEA State and Local Amount]]/tblMoeHistory[[#This Row],[Child Count]],0)</f>
        <v>6914.0682999999999</v>
      </c>
      <c r="K502">
        <f>IFERROR(tblMoeHistory[[#This Row],[ESD State and Local Amount]]/tblMoeHistory[[#This Row],[Child Count]],0)</f>
        <v>30.647199999999998</v>
      </c>
      <c r="L502">
        <f>IFERROR(tblMoeHistory[[#This Row],[State and Local Total Amount]]/tblMoeHistory[[#This Row],[Child Count]],0)</f>
        <v>6944.7154999999993</v>
      </c>
      <c r="M502">
        <v>0</v>
      </c>
      <c r="N502" t="s">
        <v>241</v>
      </c>
      <c r="O502">
        <v>902436.23</v>
      </c>
      <c r="P502">
        <v>10122.65</v>
      </c>
      <c r="Q502">
        <f>tblMoeHistory[[#This Row],[Amount of IDEA Part B, Section 611 award]]+tblMoeHistory[[#This Row],[Amount of IDEA Part B, Section 619 award]]</f>
        <v>912558.88</v>
      </c>
      <c r="U5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2" t="str">
        <f>IF(OR(IFERROR(SEARCH("Met",tblMoeHistory[[#This Row],[State and Local Per Capita Result]]),0)&gt;0,IFERROR(SEARCH("Met",tblMoeHistory[[#This Row],[State and Local Total Result]]),0)&gt;0),"Met","Not Met")</f>
        <v>Met</v>
      </c>
    </row>
    <row r="503" spans="1:22" x14ac:dyDescent="0.35">
      <c r="A503" t="s">
        <v>129</v>
      </c>
      <c r="B503">
        <v>2048</v>
      </c>
      <c r="C503" t="s">
        <v>22</v>
      </c>
      <c r="D503">
        <v>1472</v>
      </c>
      <c r="E503">
        <v>8613380.6999999993</v>
      </c>
      <c r="F503">
        <v>2944378.81</v>
      </c>
      <c r="G503">
        <f>tblMoeHistory[[#This Row],[LEA State and Local Amount]]+tblMoeHistory[[#This Row],[ESD State and Local Amount]]</f>
        <v>11557759.51</v>
      </c>
      <c r="H503">
        <v>0</v>
      </c>
      <c r="I503" t="s">
        <v>241</v>
      </c>
      <c r="J503">
        <f>IFERROR(tblMoeHistory[[#This Row],[LEA State and Local Amount]]/tblMoeHistory[[#This Row],[Child Count]],0)</f>
        <v>5851.4814538043474</v>
      </c>
      <c r="K503">
        <f>IFERROR(tblMoeHistory[[#This Row],[ESD State and Local Amount]]/tblMoeHistory[[#This Row],[Child Count]],0)</f>
        <v>2000.25734375</v>
      </c>
      <c r="L503">
        <f>IFERROR(tblMoeHistory[[#This Row],[State and Local Total Amount]]/tblMoeHistory[[#This Row],[Child Count]],0)</f>
        <v>7851.7387975543479</v>
      </c>
      <c r="M503">
        <v>0</v>
      </c>
      <c r="N503" t="s">
        <v>240</v>
      </c>
      <c r="O503">
        <v>1970146.6</v>
      </c>
      <c r="P503">
        <v>20214.14</v>
      </c>
      <c r="Q503">
        <f>tblMoeHistory[[#This Row],[Amount of IDEA Part B, Section 611 award]]+tblMoeHistory[[#This Row],[Amount of IDEA Part B, Section 619 award]]</f>
        <v>1990360.74</v>
      </c>
      <c r="U5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3" t="str">
        <f>IF(OR(IFERROR(SEARCH("Met",tblMoeHistory[[#This Row],[State and Local Per Capita Result]]),0)&gt;0,IFERROR(SEARCH("Met",tblMoeHistory[[#This Row],[State and Local Total Result]]),0)&gt;0),"Met","Not Met")</f>
        <v>Met</v>
      </c>
    </row>
    <row r="504" spans="1:22" x14ac:dyDescent="0.35">
      <c r="A504" t="s">
        <v>130</v>
      </c>
      <c r="B504">
        <v>2205</v>
      </c>
      <c r="C504" t="s">
        <v>22</v>
      </c>
      <c r="D504">
        <v>190</v>
      </c>
      <c r="E504">
        <v>1947572.32</v>
      </c>
      <c r="F504">
        <v>285452.94</v>
      </c>
      <c r="G504">
        <f>tblMoeHistory[[#This Row],[LEA State and Local Amount]]+tblMoeHistory[[#This Row],[ESD State and Local Amount]]</f>
        <v>2233025.2600000002</v>
      </c>
      <c r="H504">
        <v>0</v>
      </c>
      <c r="I504" t="s">
        <v>240</v>
      </c>
      <c r="J504">
        <f>IFERROR(tblMoeHistory[[#This Row],[LEA State and Local Amount]]/tblMoeHistory[[#This Row],[Child Count]],0)</f>
        <v>10250.380631578948</v>
      </c>
      <c r="K504">
        <f>IFERROR(tblMoeHistory[[#This Row],[ESD State and Local Amount]]/tblMoeHistory[[#This Row],[Child Count]],0)</f>
        <v>1502.3838947368422</v>
      </c>
      <c r="L504">
        <f>IFERROR(tblMoeHistory[[#This Row],[State and Local Total Amount]]/tblMoeHistory[[#This Row],[Child Count]],0)</f>
        <v>11752.76452631579</v>
      </c>
      <c r="M504">
        <v>0</v>
      </c>
      <c r="N504" t="s">
        <v>240</v>
      </c>
      <c r="O504">
        <v>317387.37</v>
      </c>
      <c r="P504">
        <v>4727.5200000000004</v>
      </c>
      <c r="Q504">
        <f>tblMoeHistory[[#This Row],[Amount of IDEA Part B, Section 611 award]]+tblMoeHistory[[#This Row],[Amount of IDEA Part B, Section 619 award]]</f>
        <v>322114.89</v>
      </c>
      <c r="U5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4" t="str">
        <f>IF(OR(IFERROR(SEARCH("Met",tblMoeHistory[[#This Row],[State and Local Per Capita Result]]),0)&gt;0,IFERROR(SEARCH("Met",tblMoeHistory[[#This Row],[State and Local Total Result]]),0)&gt;0),"Met","Not Met")</f>
        <v>Not Met</v>
      </c>
    </row>
    <row r="505" spans="1:22" x14ac:dyDescent="0.35">
      <c r="A505" t="s">
        <v>131</v>
      </c>
      <c r="B505">
        <v>2249</v>
      </c>
      <c r="C505" t="s">
        <v>22</v>
      </c>
      <c r="D505">
        <v>6</v>
      </c>
      <c r="E505">
        <v>8061.55</v>
      </c>
      <c r="F505">
        <v>26818</v>
      </c>
      <c r="G505">
        <f>tblMoeHistory[[#This Row],[LEA State and Local Amount]]+tblMoeHistory[[#This Row],[ESD State and Local Amount]]</f>
        <v>34879.550000000003</v>
      </c>
      <c r="H505">
        <v>0</v>
      </c>
      <c r="I505" t="s">
        <v>240</v>
      </c>
      <c r="J505">
        <f>IFERROR(tblMoeHistory[[#This Row],[LEA State and Local Amount]]/tblMoeHistory[[#This Row],[Child Count]],0)</f>
        <v>1343.5916666666667</v>
      </c>
      <c r="K505">
        <f>IFERROR(tblMoeHistory[[#This Row],[ESD State and Local Amount]]/tblMoeHistory[[#This Row],[Child Count]],0)</f>
        <v>4469.666666666667</v>
      </c>
      <c r="L505">
        <f>IFERROR(tblMoeHistory[[#This Row],[State and Local Total Amount]]/tblMoeHistory[[#This Row],[Child Count]],0)</f>
        <v>5813.2583333333341</v>
      </c>
      <c r="M505">
        <v>0</v>
      </c>
      <c r="N505" t="s">
        <v>240</v>
      </c>
      <c r="O505">
        <v>14973.45</v>
      </c>
      <c r="P505">
        <v>6.7</v>
      </c>
      <c r="Q505">
        <f>tblMoeHistory[[#This Row],[Amount of IDEA Part B, Section 611 award]]+tblMoeHistory[[#This Row],[Amount of IDEA Part B, Section 619 award]]</f>
        <v>14980.150000000001</v>
      </c>
      <c r="U5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5" t="str">
        <f>IF(OR(IFERROR(SEARCH("Met",tblMoeHistory[[#This Row],[State and Local Per Capita Result]]),0)&gt;0,IFERROR(SEARCH("Met",tblMoeHistory[[#This Row],[State and Local Total Result]]),0)&gt;0),"Met","Not Met")</f>
        <v>Not Met</v>
      </c>
    </row>
    <row r="506" spans="1:22" x14ac:dyDescent="0.35">
      <c r="A506" t="s">
        <v>132</v>
      </c>
      <c r="B506">
        <v>1925</v>
      </c>
      <c r="C506" t="s">
        <v>22</v>
      </c>
      <c r="D506">
        <v>427</v>
      </c>
      <c r="E506">
        <v>3274191.64</v>
      </c>
      <c r="F506">
        <v>498704</v>
      </c>
      <c r="G506">
        <f>tblMoeHistory[[#This Row],[LEA State and Local Amount]]+tblMoeHistory[[#This Row],[ESD State and Local Amount]]</f>
        <v>3772895.64</v>
      </c>
      <c r="H506">
        <v>0</v>
      </c>
      <c r="I506" t="s">
        <v>241</v>
      </c>
      <c r="J506">
        <f>IFERROR(tblMoeHistory[[#This Row],[LEA State and Local Amount]]/tblMoeHistory[[#This Row],[Child Count]],0)</f>
        <v>7667.8961124121779</v>
      </c>
      <c r="K506">
        <f>IFERROR(tblMoeHistory[[#This Row],[ESD State and Local Amount]]/tblMoeHistory[[#This Row],[Child Count]],0)</f>
        <v>1167.9250585480095</v>
      </c>
      <c r="L506">
        <f>IFERROR(tblMoeHistory[[#This Row],[State and Local Total Amount]]/tblMoeHistory[[#This Row],[Child Count]],0)</f>
        <v>8835.8211709601874</v>
      </c>
      <c r="M506">
        <v>0</v>
      </c>
      <c r="N506" t="s">
        <v>241</v>
      </c>
      <c r="O506">
        <v>446089.45</v>
      </c>
      <c r="P506">
        <v>1889.42</v>
      </c>
      <c r="Q506">
        <f>tblMoeHistory[[#This Row],[Amount of IDEA Part B, Section 611 award]]+tblMoeHistory[[#This Row],[Amount of IDEA Part B, Section 619 award]]</f>
        <v>447978.87</v>
      </c>
      <c r="S506">
        <v>77567</v>
      </c>
      <c r="T506">
        <v>77567</v>
      </c>
      <c r="U5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6" t="str">
        <f>IF(OR(IFERROR(SEARCH("Met",tblMoeHistory[[#This Row],[State and Local Per Capita Result]]),0)&gt;0,IFERROR(SEARCH("Met",tblMoeHistory[[#This Row],[State and Local Total Result]]),0)&gt;0),"Met","Not Met")</f>
        <v>Met</v>
      </c>
    </row>
    <row r="507" spans="1:22" x14ac:dyDescent="0.35">
      <c r="A507" t="s">
        <v>133</v>
      </c>
      <c r="B507">
        <v>1898</v>
      </c>
      <c r="C507" t="s">
        <v>22</v>
      </c>
      <c r="D507">
        <v>61</v>
      </c>
      <c r="E507">
        <v>587357.98</v>
      </c>
      <c r="F507">
        <v>40947</v>
      </c>
      <c r="G507">
        <f>tblMoeHistory[[#This Row],[LEA State and Local Amount]]+tblMoeHistory[[#This Row],[ESD State and Local Amount]]</f>
        <v>628304.98</v>
      </c>
      <c r="H507">
        <v>0</v>
      </c>
      <c r="I507" t="s">
        <v>240</v>
      </c>
      <c r="J507">
        <f>IFERROR(tblMoeHistory[[#This Row],[LEA State and Local Amount]]/tblMoeHistory[[#This Row],[Child Count]],0)</f>
        <v>9628.8193442622942</v>
      </c>
      <c r="K507">
        <f>IFERROR(tblMoeHistory[[#This Row],[ESD State and Local Amount]]/tblMoeHistory[[#This Row],[Child Count]],0)</f>
        <v>671.26229508196718</v>
      </c>
      <c r="L507">
        <f>IFERROR(tblMoeHistory[[#This Row],[State and Local Total Amount]]/tblMoeHistory[[#This Row],[Child Count]],0)</f>
        <v>10300.081639344262</v>
      </c>
      <c r="M507">
        <v>0</v>
      </c>
      <c r="N507" t="s">
        <v>240</v>
      </c>
      <c r="O507">
        <v>78844.66</v>
      </c>
      <c r="P507">
        <v>749.97</v>
      </c>
      <c r="Q507">
        <f>tblMoeHistory[[#This Row],[Amount of IDEA Part B, Section 611 award]]+tblMoeHistory[[#This Row],[Amount of IDEA Part B, Section 619 award]]</f>
        <v>79594.63</v>
      </c>
      <c r="U5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7" t="str">
        <f>IF(OR(IFERROR(SEARCH("Met",tblMoeHistory[[#This Row],[State and Local Per Capita Result]]),0)&gt;0,IFERROR(SEARCH("Met",tblMoeHistory[[#This Row],[State and Local Total Result]]),0)&gt;0),"Met","Not Met")</f>
        <v>Not Met</v>
      </c>
    </row>
    <row r="508" spans="1:22" x14ac:dyDescent="0.35">
      <c r="A508" t="s">
        <v>134</v>
      </c>
      <c r="B508">
        <v>2010</v>
      </c>
      <c r="C508" t="s">
        <v>22</v>
      </c>
      <c r="D508">
        <v>5</v>
      </c>
      <c r="E508">
        <v>2119</v>
      </c>
      <c r="F508">
        <v>93653.13</v>
      </c>
      <c r="G508">
        <f>tblMoeHistory[[#This Row],[LEA State and Local Amount]]+tblMoeHistory[[#This Row],[ESD State and Local Amount]]</f>
        <v>95772.13</v>
      </c>
      <c r="H508">
        <v>0</v>
      </c>
      <c r="I508" t="s">
        <v>241</v>
      </c>
      <c r="J508">
        <f>IFERROR(tblMoeHistory[[#This Row],[LEA State and Local Amount]]/tblMoeHistory[[#This Row],[Child Count]],0)</f>
        <v>423.8</v>
      </c>
      <c r="K508">
        <f>IFERROR(tblMoeHistory[[#This Row],[ESD State and Local Amount]]/tblMoeHistory[[#This Row],[Child Count]],0)</f>
        <v>18730.626</v>
      </c>
      <c r="L508">
        <f>IFERROR(tblMoeHistory[[#This Row],[State and Local Total Amount]]/tblMoeHistory[[#This Row],[Child Count]],0)</f>
        <v>19154.425999999999</v>
      </c>
      <c r="M508">
        <v>0</v>
      </c>
      <c r="N508" t="s">
        <v>241</v>
      </c>
      <c r="O508">
        <v>8552.25</v>
      </c>
      <c r="P508">
        <v>486.98</v>
      </c>
      <c r="Q508">
        <f>tblMoeHistory[[#This Row],[Amount of IDEA Part B, Section 611 award]]+tblMoeHistory[[#This Row],[Amount of IDEA Part B, Section 619 award]]</f>
        <v>9039.23</v>
      </c>
      <c r="U5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8" t="str">
        <f>IF(OR(IFERROR(SEARCH("Met",tblMoeHistory[[#This Row],[State and Local Per Capita Result]]),0)&gt;0,IFERROR(SEARCH("Met",tblMoeHistory[[#This Row],[State and Local Total Result]]),0)&gt;0),"Met","Not Met")</f>
        <v>Met</v>
      </c>
    </row>
    <row r="509" spans="1:22" x14ac:dyDescent="0.35">
      <c r="A509" t="s">
        <v>135</v>
      </c>
      <c r="B509">
        <v>2147</v>
      </c>
      <c r="C509" t="s">
        <v>22</v>
      </c>
      <c r="D509">
        <v>290</v>
      </c>
      <c r="E509">
        <v>1309154.74</v>
      </c>
      <c r="F509">
        <v>434957.55</v>
      </c>
      <c r="G509">
        <f>tblMoeHistory[[#This Row],[LEA State and Local Amount]]+tblMoeHistory[[#This Row],[ESD State and Local Amount]]</f>
        <v>1744112.29</v>
      </c>
      <c r="H509">
        <v>0</v>
      </c>
      <c r="I509" t="s">
        <v>240</v>
      </c>
      <c r="J509">
        <f>IFERROR(tblMoeHistory[[#This Row],[LEA State and Local Amount]]/tblMoeHistory[[#This Row],[Child Count]],0)</f>
        <v>4514.3266896551722</v>
      </c>
      <c r="K509">
        <f>IFERROR(tblMoeHistory[[#This Row],[ESD State and Local Amount]]/tblMoeHistory[[#This Row],[Child Count]],0)</f>
        <v>1499.8536206896551</v>
      </c>
      <c r="L509">
        <f>IFERROR(tblMoeHistory[[#This Row],[State and Local Total Amount]]/tblMoeHistory[[#This Row],[Child Count]],0)</f>
        <v>6014.1803103448274</v>
      </c>
      <c r="M509">
        <v>0</v>
      </c>
      <c r="N509" t="s">
        <v>240</v>
      </c>
      <c r="O509">
        <v>328029.75</v>
      </c>
      <c r="P509">
        <v>1129.6400000000001</v>
      </c>
      <c r="Q509">
        <f>tblMoeHistory[[#This Row],[Amount of IDEA Part B, Section 611 award]]+tblMoeHistory[[#This Row],[Amount of IDEA Part B, Section 619 award]]</f>
        <v>329159.39</v>
      </c>
      <c r="U5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9" t="str">
        <f>IF(OR(IFERROR(SEARCH("Met",tblMoeHistory[[#This Row],[State and Local Per Capita Result]]),0)&gt;0,IFERROR(SEARCH("Met",tblMoeHistory[[#This Row],[State and Local Total Result]]),0)&gt;0),"Met","Not Met")</f>
        <v>Not Met</v>
      </c>
    </row>
    <row r="510" spans="1:22" x14ac:dyDescent="0.35">
      <c r="A510" t="s">
        <v>136</v>
      </c>
      <c r="B510">
        <v>2145</v>
      </c>
      <c r="C510" t="s">
        <v>22</v>
      </c>
      <c r="D510">
        <v>74</v>
      </c>
      <c r="E510">
        <v>420453.17</v>
      </c>
      <c r="F510">
        <v>23339.91</v>
      </c>
      <c r="G510">
        <f>tblMoeHistory[[#This Row],[LEA State and Local Amount]]+tblMoeHistory[[#This Row],[ESD State and Local Amount]]</f>
        <v>443793.07999999996</v>
      </c>
      <c r="H510">
        <v>0</v>
      </c>
      <c r="I510" t="s">
        <v>240</v>
      </c>
      <c r="J510">
        <f>IFERROR(tblMoeHistory[[#This Row],[LEA State and Local Amount]]/tblMoeHistory[[#This Row],[Child Count]],0)</f>
        <v>5681.7995945945941</v>
      </c>
      <c r="K510">
        <f>IFERROR(tblMoeHistory[[#This Row],[ESD State and Local Amount]]/tblMoeHistory[[#This Row],[Child Count]],0)</f>
        <v>315.4041891891892</v>
      </c>
      <c r="L510">
        <f>IFERROR(tblMoeHistory[[#This Row],[State and Local Total Amount]]/tblMoeHistory[[#This Row],[Child Count]],0)</f>
        <v>5997.2037837837834</v>
      </c>
      <c r="M510">
        <v>0</v>
      </c>
      <c r="N510" t="s">
        <v>240</v>
      </c>
      <c r="O510">
        <v>107003.99</v>
      </c>
      <c r="P510">
        <v>432.83</v>
      </c>
      <c r="Q510">
        <f>tblMoeHistory[[#This Row],[Amount of IDEA Part B, Section 611 award]]+tblMoeHistory[[#This Row],[Amount of IDEA Part B, Section 619 award]]</f>
        <v>107436.82</v>
      </c>
      <c r="U5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0" t="str">
        <f>IF(OR(IFERROR(SEARCH("Met",tblMoeHistory[[#This Row],[State and Local Per Capita Result]]),0)&gt;0,IFERROR(SEARCH("Met",tblMoeHistory[[#This Row],[State and Local Total Result]]),0)&gt;0),"Met","Not Met")</f>
        <v>Not Met</v>
      </c>
    </row>
    <row r="511" spans="1:22" x14ac:dyDescent="0.35">
      <c r="A511" t="s">
        <v>137</v>
      </c>
      <c r="B511">
        <v>1968</v>
      </c>
      <c r="C511" t="s">
        <v>22</v>
      </c>
      <c r="D511">
        <v>86</v>
      </c>
      <c r="E511">
        <v>700051.23</v>
      </c>
      <c r="F511">
        <v>205137</v>
      </c>
      <c r="G511">
        <f>tblMoeHistory[[#This Row],[LEA State and Local Amount]]+tblMoeHistory[[#This Row],[ESD State and Local Amount]]</f>
        <v>905188.23</v>
      </c>
      <c r="H511">
        <v>0</v>
      </c>
      <c r="I511" t="s">
        <v>241</v>
      </c>
      <c r="J511">
        <f>IFERROR(tblMoeHistory[[#This Row],[LEA State and Local Amount]]/tblMoeHistory[[#This Row],[Child Count]],0)</f>
        <v>8140.1305813953486</v>
      </c>
      <c r="K511">
        <f>IFERROR(tblMoeHistory[[#This Row],[ESD State and Local Amount]]/tblMoeHistory[[#This Row],[Child Count]],0)</f>
        <v>2385.3139534883721</v>
      </c>
      <c r="L511">
        <f>IFERROR(tblMoeHistory[[#This Row],[State and Local Total Amount]]/tblMoeHistory[[#This Row],[Child Count]],0)</f>
        <v>10525.44453488372</v>
      </c>
      <c r="M511">
        <v>0</v>
      </c>
      <c r="N511" t="s">
        <v>241</v>
      </c>
      <c r="O511">
        <v>150912.47</v>
      </c>
      <c r="P511">
        <v>980.78</v>
      </c>
      <c r="Q511">
        <f>tblMoeHistory[[#This Row],[Amount of IDEA Part B, Section 611 award]]+tblMoeHistory[[#This Row],[Amount of IDEA Part B, Section 619 award]]</f>
        <v>151893.25</v>
      </c>
      <c r="U5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1" t="str">
        <f>IF(OR(IFERROR(SEARCH("Met",tblMoeHistory[[#This Row],[State and Local Per Capita Result]]),0)&gt;0,IFERROR(SEARCH("Met",tblMoeHistory[[#This Row],[State and Local Total Result]]),0)&gt;0),"Met","Not Met")</f>
        <v>Met</v>
      </c>
    </row>
    <row r="512" spans="1:22" x14ac:dyDescent="0.35">
      <c r="A512" t="s">
        <v>138</v>
      </c>
      <c r="B512">
        <v>2198</v>
      </c>
      <c r="C512" t="s">
        <v>22</v>
      </c>
      <c r="D512">
        <v>90</v>
      </c>
      <c r="E512">
        <v>1324903.9099999999</v>
      </c>
      <c r="F512">
        <v>176021</v>
      </c>
      <c r="G512">
        <f>tblMoeHistory[[#This Row],[LEA State and Local Amount]]+tblMoeHistory[[#This Row],[ESD State and Local Amount]]</f>
        <v>1500924.91</v>
      </c>
      <c r="H512">
        <v>0</v>
      </c>
      <c r="I512" t="s">
        <v>241</v>
      </c>
      <c r="J512">
        <f>IFERROR(tblMoeHistory[[#This Row],[LEA State and Local Amount]]/tblMoeHistory[[#This Row],[Child Count]],0)</f>
        <v>14721.154555555555</v>
      </c>
      <c r="K512">
        <f>IFERROR(tblMoeHistory[[#This Row],[ESD State and Local Amount]]/tblMoeHistory[[#This Row],[Child Count]],0)</f>
        <v>1955.7888888888888</v>
      </c>
      <c r="L512">
        <f>IFERROR(tblMoeHistory[[#This Row],[State and Local Total Amount]]/tblMoeHistory[[#This Row],[Child Count]],0)</f>
        <v>16676.943444444445</v>
      </c>
      <c r="M512">
        <v>0</v>
      </c>
      <c r="N512" t="s">
        <v>240</v>
      </c>
      <c r="O512">
        <v>110162.68</v>
      </c>
      <c r="P512">
        <v>2427.12</v>
      </c>
      <c r="Q512">
        <f>tblMoeHistory[[#This Row],[Amount of IDEA Part B, Section 611 award]]+tblMoeHistory[[#This Row],[Amount of IDEA Part B, Section 619 award]]</f>
        <v>112589.79999999999</v>
      </c>
      <c r="U5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2" t="str">
        <f>IF(OR(IFERROR(SEARCH("Met",tblMoeHistory[[#This Row],[State and Local Per Capita Result]]),0)&gt;0,IFERROR(SEARCH("Met",tblMoeHistory[[#This Row],[State and Local Total Result]]),0)&gt;0),"Met","Not Met")</f>
        <v>Met</v>
      </c>
    </row>
    <row r="513" spans="1:22" x14ac:dyDescent="0.35">
      <c r="A513" t="s">
        <v>139</v>
      </c>
      <c r="B513">
        <v>2199</v>
      </c>
      <c r="C513" t="s">
        <v>22</v>
      </c>
      <c r="D513">
        <v>79</v>
      </c>
      <c r="E513">
        <v>622521.32999999996</v>
      </c>
      <c r="F513">
        <v>90098</v>
      </c>
      <c r="G513">
        <f>tblMoeHistory[[#This Row],[LEA State and Local Amount]]+tblMoeHistory[[#This Row],[ESD State and Local Amount]]</f>
        <v>712619.33</v>
      </c>
      <c r="H513">
        <v>0</v>
      </c>
      <c r="I513" t="s">
        <v>241</v>
      </c>
      <c r="J513">
        <f>IFERROR(tblMoeHistory[[#This Row],[LEA State and Local Amount]]/tblMoeHistory[[#This Row],[Child Count]],0)</f>
        <v>7880.0168354430371</v>
      </c>
      <c r="K513">
        <f>IFERROR(tblMoeHistory[[#This Row],[ESD State and Local Amount]]/tblMoeHistory[[#This Row],[Child Count]],0)</f>
        <v>1140.4810126582279</v>
      </c>
      <c r="L513">
        <f>IFERROR(tblMoeHistory[[#This Row],[State and Local Total Amount]]/tblMoeHistory[[#This Row],[Child Count]],0)</f>
        <v>9020.4978481012658</v>
      </c>
      <c r="M513">
        <v>0</v>
      </c>
      <c r="N513" t="s">
        <v>240</v>
      </c>
      <c r="O513">
        <v>107421.75</v>
      </c>
      <c r="P513">
        <v>0</v>
      </c>
      <c r="Q513">
        <f>tblMoeHistory[[#This Row],[Amount of IDEA Part B, Section 611 award]]+tblMoeHistory[[#This Row],[Amount of IDEA Part B, Section 619 award]]</f>
        <v>107421.75</v>
      </c>
      <c r="U5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3" t="str">
        <f>IF(OR(IFERROR(SEARCH("Met",tblMoeHistory[[#This Row],[State and Local Per Capita Result]]),0)&gt;0,IFERROR(SEARCH("Met",tblMoeHistory[[#This Row],[State and Local Total Result]]),0)&gt;0),"Met","Not Met")</f>
        <v>Met</v>
      </c>
    </row>
    <row r="514" spans="1:22" x14ac:dyDescent="0.35">
      <c r="A514" t="s">
        <v>140</v>
      </c>
      <c r="B514">
        <v>2254</v>
      </c>
      <c r="C514" t="s">
        <v>22</v>
      </c>
      <c r="D514">
        <v>643</v>
      </c>
      <c r="E514">
        <v>5228563.79</v>
      </c>
      <c r="F514">
        <v>89674.15</v>
      </c>
      <c r="G514">
        <f>tblMoeHistory[[#This Row],[LEA State and Local Amount]]+tblMoeHistory[[#This Row],[ESD State and Local Amount]]</f>
        <v>5318237.9400000004</v>
      </c>
      <c r="H514">
        <v>0</v>
      </c>
      <c r="I514" t="s">
        <v>241</v>
      </c>
      <c r="J514">
        <f>IFERROR(tblMoeHistory[[#This Row],[LEA State and Local Amount]]/tblMoeHistory[[#This Row],[Child Count]],0)</f>
        <v>8131.5144479004666</v>
      </c>
      <c r="K514">
        <f>IFERROR(tblMoeHistory[[#This Row],[ESD State and Local Amount]]/tblMoeHistory[[#This Row],[Child Count]],0)</f>
        <v>139.46213063763608</v>
      </c>
      <c r="L514">
        <f>IFERROR(tblMoeHistory[[#This Row],[State and Local Total Amount]]/tblMoeHistory[[#This Row],[Child Count]],0)</f>
        <v>8270.9765785381041</v>
      </c>
      <c r="M514">
        <v>0</v>
      </c>
      <c r="N514" t="s">
        <v>240</v>
      </c>
      <c r="O514">
        <v>787578.88</v>
      </c>
      <c r="P514">
        <v>5932.58</v>
      </c>
      <c r="Q514">
        <f>tblMoeHistory[[#This Row],[Amount of IDEA Part B, Section 611 award]]+tblMoeHistory[[#This Row],[Amount of IDEA Part B, Section 619 award]]</f>
        <v>793511.46</v>
      </c>
      <c r="U5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4" t="str">
        <f>IF(OR(IFERROR(SEARCH("Met",tblMoeHistory[[#This Row],[State and Local Per Capita Result]]),0)&gt;0,IFERROR(SEARCH("Met",tblMoeHistory[[#This Row],[State and Local Total Result]]),0)&gt;0),"Met","Not Met")</f>
        <v>Met</v>
      </c>
    </row>
    <row r="515" spans="1:22" x14ac:dyDescent="0.35">
      <c r="A515" t="s">
        <v>141</v>
      </c>
      <c r="B515">
        <v>1966</v>
      </c>
      <c r="C515" t="s">
        <v>22</v>
      </c>
      <c r="D515">
        <v>492</v>
      </c>
      <c r="E515">
        <v>2893055.57</v>
      </c>
      <c r="F515">
        <v>825440</v>
      </c>
      <c r="G515">
        <f>tblMoeHistory[[#This Row],[LEA State and Local Amount]]+tblMoeHistory[[#This Row],[ESD State and Local Amount]]</f>
        <v>3718495.57</v>
      </c>
      <c r="H515">
        <v>0</v>
      </c>
      <c r="I515" t="s">
        <v>241</v>
      </c>
      <c r="J515">
        <f>IFERROR(tblMoeHistory[[#This Row],[LEA State and Local Amount]]/tblMoeHistory[[#This Row],[Child Count]],0)</f>
        <v>5880.194247967479</v>
      </c>
      <c r="K515">
        <f>IFERROR(tblMoeHistory[[#This Row],[ESD State and Local Amount]]/tblMoeHistory[[#This Row],[Child Count]],0)</f>
        <v>1677.7235772357724</v>
      </c>
      <c r="L515">
        <f>IFERROR(tblMoeHistory[[#This Row],[State and Local Total Amount]]/tblMoeHistory[[#This Row],[Child Count]],0)</f>
        <v>7557.9178252032516</v>
      </c>
      <c r="M515">
        <v>0</v>
      </c>
      <c r="N515" t="s">
        <v>240</v>
      </c>
      <c r="O515">
        <v>536998.99</v>
      </c>
      <c r="P515">
        <v>4941.25</v>
      </c>
      <c r="Q515">
        <f>tblMoeHistory[[#This Row],[Amount of IDEA Part B, Section 611 award]]+tblMoeHistory[[#This Row],[Amount of IDEA Part B, Section 619 award]]</f>
        <v>541940.24</v>
      </c>
      <c r="U5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5" t="str">
        <f>IF(OR(IFERROR(SEARCH("Met",tblMoeHistory[[#This Row],[State and Local Per Capita Result]]),0)&gt;0,IFERROR(SEARCH("Met",tblMoeHistory[[#This Row],[State and Local Total Result]]),0)&gt;0),"Met","Not Met")</f>
        <v>Met</v>
      </c>
    </row>
    <row r="516" spans="1:22" x14ac:dyDescent="0.35">
      <c r="A516" t="s">
        <v>142</v>
      </c>
      <c r="B516">
        <v>1924</v>
      </c>
      <c r="C516" t="s">
        <v>22</v>
      </c>
      <c r="D516">
        <v>2465</v>
      </c>
      <c r="E516">
        <v>16002137.75</v>
      </c>
      <c r="F516">
        <v>3220126</v>
      </c>
      <c r="G516">
        <f>tblMoeHistory[[#This Row],[LEA State and Local Amount]]+tblMoeHistory[[#This Row],[ESD State and Local Amount]]</f>
        <v>19222263.75</v>
      </c>
      <c r="H516">
        <v>0</v>
      </c>
      <c r="I516" t="s">
        <v>241</v>
      </c>
      <c r="J516">
        <f>IFERROR(tblMoeHistory[[#This Row],[LEA State and Local Amount]]/tblMoeHistory[[#This Row],[Child Count]],0)</f>
        <v>6491.7394523326575</v>
      </c>
      <c r="K516">
        <f>IFERROR(tblMoeHistory[[#This Row],[ESD State and Local Amount]]/tblMoeHistory[[#This Row],[Child Count]],0)</f>
        <v>1306.3391480730222</v>
      </c>
      <c r="L516">
        <f>IFERROR(tblMoeHistory[[#This Row],[State and Local Total Amount]]/tblMoeHistory[[#This Row],[Child Count]],0)</f>
        <v>7798.0786004056799</v>
      </c>
      <c r="M516">
        <v>0</v>
      </c>
      <c r="N516" t="s">
        <v>241</v>
      </c>
      <c r="O516">
        <v>2594099.84</v>
      </c>
      <c r="P516">
        <v>20051.38</v>
      </c>
      <c r="Q516">
        <f>tblMoeHistory[[#This Row],[Amount of IDEA Part B, Section 611 award]]+tblMoeHistory[[#This Row],[Amount of IDEA Part B, Section 619 award]]</f>
        <v>2614151.2199999997</v>
      </c>
      <c r="U5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6" t="str">
        <f>IF(OR(IFERROR(SEARCH("Met",tblMoeHistory[[#This Row],[State and Local Per Capita Result]]),0)&gt;0,IFERROR(SEARCH("Met",tblMoeHistory[[#This Row],[State and Local Total Result]]),0)&gt;0),"Met","Not Met")</f>
        <v>Met</v>
      </c>
    </row>
    <row r="517" spans="1:22" x14ac:dyDescent="0.35">
      <c r="A517" t="s">
        <v>143</v>
      </c>
      <c r="B517">
        <v>1996</v>
      </c>
      <c r="C517" t="s">
        <v>22</v>
      </c>
      <c r="D517">
        <v>48</v>
      </c>
      <c r="E517">
        <v>348495.09</v>
      </c>
      <c r="F517">
        <v>70600.34</v>
      </c>
      <c r="G517">
        <f>tblMoeHistory[[#This Row],[LEA State and Local Amount]]+tblMoeHistory[[#This Row],[ESD State and Local Amount]]</f>
        <v>419095.43000000005</v>
      </c>
      <c r="H517">
        <v>0</v>
      </c>
      <c r="I517" t="s">
        <v>242</v>
      </c>
      <c r="J517">
        <f>IFERROR(tblMoeHistory[[#This Row],[LEA State and Local Amount]]/tblMoeHistory[[#This Row],[Child Count]],0)</f>
        <v>7260.3143750000008</v>
      </c>
      <c r="K517">
        <f>IFERROR(tblMoeHistory[[#This Row],[ESD State and Local Amount]]/tblMoeHistory[[#This Row],[Child Count]],0)</f>
        <v>1470.8404166666667</v>
      </c>
      <c r="L517">
        <f>IFERROR(tblMoeHistory[[#This Row],[State and Local Total Amount]]/tblMoeHistory[[#This Row],[Child Count]],0)</f>
        <v>8731.1547916666677</v>
      </c>
      <c r="M517">
        <v>0</v>
      </c>
      <c r="N517" t="s">
        <v>240</v>
      </c>
      <c r="O517">
        <v>57873.68</v>
      </c>
      <c r="P517">
        <v>1002.82</v>
      </c>
      <c r="Q517">
        <f>tblMoeHistory[[#This Row],[Amount of IDEA Part B, Section 611 award]]+tblMoeHistory[[#This Row],[Amount of IDEA Part B, Section 619 award]]</f>
        <v>58876.5</v>
      </c>
      <c r="S517">
        <v>46573.29</v>
      </c>
      <c r="U5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7" t="str">
        <f>IF(OR(IFERROR(SEARCH("Met",tblMoeHistory[[#This Row],[State and Local Per Capita Result]]),0)&gt;0,IFERROR(SEARCH("Met",tblMoeHistory[[#This Row],[State and Local Total Result]]),0)&gt;0),"Met","Not Met")</f>
        <v>Met</v>
      </c>
    </row>
    <row r="518" spans="1:22" x14ac:dyDescent="0.35">
      <c r="A518" t="s">
        <v>144</v>
      </c>
      <c r="B518">
        <v>2061</v>
      </c>
      <c r="C518" t="s">
        <v>22</v>
      </c>
      <c r="D518">
        <v>31</v>
      </c>
      <c r="E518">
        <v>147053.32</v>
      </c>
      <c r="F518">
        <v>51052.89</v>
      </c>
      <c r="G518">
        <f>tblMoeHistory[[#This Row],[LEA State and Local Amount]]+tblMoeHistory[[#This Row],[ESD State and Local Amount]]</f>
        <v>198106.21000000002</v>
      </c>
      <c r="H518">
        <v>0</v>
      </c>
      <c r="I518" t="s">
        <v>242</v>
      </c>
      <c r="J518">
        <f>IFERROR(tblMoeHistory[[#This Row],[LEA State and Local Amount]]/tblMoeHistory[[#This Row],[Child Count]],0)</f>
        <v>4743.6554838709681</v>
      </c>
      <c r="K518">
        <f>IFERROR(tblMoeHistory[[#This Row],[ESD State and Local Amount]]/tblMoeHistory[[#This Row],[Child Count]],0)</f>
        <v>1646.8674193548386</v>
      </c>
      <c r="L518">
        <f>IFERROR(tblMoeHistory[[#This Row],[State and Local Total Amount]]/tblMoeHistory[[#This Row],[Child Count]],0)</f>
        <v>6390.5229032258076</v>
      </c>
      <c r="M518">
        <v>0</v>
      </c>
      <c r="N518" t="s">
        <v>241</v>
      </c>
      <c r="O518">
        <v>49593.88</v>
      </c>
      <c r="P518">
        <v>817.32</v>
      </c>
      <c r="Q518">
        <f>tblMoeHistory[[#This Row],[Amount of IDEA Part B, Section 611 award]]+tblMoeHistory[[#This Row],[Amount of IDEA Part B, Section 619 award]]</f>
        <v>50411.199999999997</v>
      </c>
      <c r="S518">
        <v>18046.330000000002</v>
      </c>
      <c r="T518">
        <v>18046.330000000002</v>
      </c>
      <c r="U5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8" t="str">
        <f>IF(OR(IFERROR(SEARCH("Met",tblMoeHistory[[#This Row],[State and Local Per Capita Result]]),0)&gt;0,IFERROR(SEARCH("Met",tblMoeHistory[[#This Row],[State and Local Total Result]]),0)&gt;0),"Met","Not Met")</f>
        <v>Met</v>
      </c>
    </row>
    <row r="519" spans="1:22" x14ac:dyDescent="0.35">
      <c r="A519" t="s">
        <v>145</v>
      </c>
      <c r="B519">
        <v>2141</v>
      </c>
      <c r="C519" t="s">
        <v>22</v>
      </c>
      <c r="D519">
        <v>244</v>
      </c>
      <c r="E519">
        <v>2148928.6800000002</v>
      </c>
      <c r="F519">
        <v>136602.96</v>
      </c>
      <c r="G519">
        <f>tblMoeHistory[[#This Row],[LEA State and Local Amount]]+tblMoeHistory[[#This Row],[ESD State and Local Amount]]</f>
        <v>2285531.64</v>
      </c>
      <c r="H519">
        <v>0</v>
      </c>
      <c r="I519" t="s">
        <v>241</v>
      </c>
      <c r="J519">
        <f>IFERROR(tblMoeHistory[[#This Row],[LEA State and Local Amount]]/tblMoeHistory[[#This Row],[Child Count]],0)</f>
        <v>8807.0847540983614</v>
      </c>
      <c r="K519">
        <f>IFERROR(tblMoeHistory[[#This Row],[ESD State and Local Amount]]/tblMoeHistory[[#This Row],[Child Count]],0)</f>
        <v>559.84819672131141</v>
      </c>
      <c r="L519">
        <f>IFERROR(tblMoeHistory[[#This Row],[State and Local Total Amount]]/tblMoeHistory[[#This Row],[Child Count]],0)</f>
        <v>9366.9329508196734</v>
      </c>
      <c r="M519">
        <v>0</v>
      </c>
      <c r="N519" t="s">
        <v>241</v>
      </c>
      <c r="O519">
        <v>271692.69</v>
      </c>
      <c r="P519">
        <v>3406.09</v>
      </c>
      <c r="Q519">
        <f>tblMoeHistory[[#This Row],[Amount of IDEA Part B, Section 611 award]]+tblMoeHistory[[#This Row],[Amount of IDEA Part B, Section 619 award]]</f>
        <v>275098.78000000003</v>
      </c>
      <c r="U5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9" t="str">
        <f>IF(OR(IFERROR(SEARCH("Met",tblMoeHistory[[#This Row],[State and Local Per Capita Result]]),0)&gt;0,IFERROR(SEARCH("Met",tblMoeHistory[[#This Row],[State and Local Total Result]]),0)&gt;0),"Met","Not Met")</f>
        <v>Met</v>
      </c>
    </row>
    <row r="520" spans="1:22" x14ac:dyDescent="0.35">
      <c r="A520" t="s">
        <v>146</v>
      </c>
      <c r="B520">
        <v>2214</v>
      </c>
      <c r="C520" t="s">
        <v>22</v>
      </c>
      <c r="D520">
        <v>43</v>
      </c>
      <c r="E520">
        <v>175273.02</v>
      </c>
      <c r="F520">
        <v>23429.79</v>
      </c>
      <c r="G520">
        <f>tblMoeHistory[[#This Row],[LEA State and Local Amount]]+tblMoeHistory[[#This Row],[ESD State and Local Amount]]</f>
        <v>198702.81</v>
      </c>
      <c r="H520">
        <v>0</v>
      </c>
      <c r="I520" t="s">
        <v>241</v>
      </c>
      <c r="J520">
        <f>IFERROR(tblMoeHistory[[#This Row],[LEA State and Local Amount]]/tblMoeHistory[[#This Row],[Child Count]],0)</f>
        <v>4076.1167441860462</v>
      </c>
      <c r="K520">
        <f>IFERROR(tblMoeHistory[[#This Row],[ESD State and Local Amount]]/tblMoeHistory[[#This Row],[Child Count]],0)</f>
        <v>544.87883720930233</v>
      </c>
      <c r="L520">
        <f>IFERROR(tblMoeHistory[[#This Row],[State and Local Total Amount]]/tblMoeHistory[[#This Row],[Child Count]],0)</f>
        <v>4620.9955813953484</v>
      </c>
      <c r="M520">
        <v>0</v>
      </c>
      <c r="N520" t="s">
        <v>241</v>
      </c>
      <c r="O520">
        <v>42937.52</v>
      </c>
      <c r="P520">
        <v>0</v>
      </c>
      <c r="Q520">
        <f>tblMoeHistory[[#This Row],[Amount of IDEA Part B, Section 611 award]]+tblMoeHistory[[#This Row],[Amount of IDEA Part B, Section 619 award]]</f>
        <v>42937.52</v>
      </c>
      <c r="U5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0" t="str">
        <f>IF(OR(IFERROR(SEARCH("Met",tblMoeHistory[[#This Row],[State and Local Per Capita Result]]),0)&gt;0,IFERROR(SEARCH("Met",tblMoeHistory[[#This Row],[State and Local Total Result]]),0)&gt;0),"Met","Not Met")</f>
        <v>Met</v>
      </c>
    </row>
    <row r="521" spans="1:22" x14ac:dyDescent="0.35">
      <c r="A521" t="s">
        <v>147</v>
      </c>
      <c r="B521">
        <v>2143</v>
      </c>
      <c r="C521" t="s">
        <v>22</v>
      </c>
      <c r="D521">
        <v>281</v>
      </c>
      <c r="E521">
        <v>2248283.89</v>
      </c>
      <c r="F521">
        <v>133842.10999999999</v>
      </c>
      <c r="G521">
        <f>tblMoeHistory[[#This Row],[LEA State and Local Amount]]+tblMoeHistory[[#This Row],[ESD State and Local Amount]]</f>
        <v>2382126</v>
      </c>
      <c r="H521">
        <v>0</v>
      </c>
      <c r="I521" t="s">
        <v>241</v>
      </c>
      <c r="J521">
        <f>IFERROR(tblMoeHistory[[#This Row],[LEA State and Local Amount]]/tblMoeHistory[[#This Row],[Child Count]],0)</f>
        <v>8001.0102846975096</v>
      </c>
      <c r="K521">
        <f>IFERROR(tblMoeHistory[[#This Row],[ESD State and Local Amount]]/tblMoeHistory[[#This Row],[Child Count]],0)</f>
        <v>476.30644128113875</v>
      </c>
      <c r="L521">
        <f>IFERROR(tblMoeHistory[[#This Row],[State and Local Total Amount]]/tblMoeHistory[[#This Row],[Child Count]],0)</f>
        <v>8477.3167259786478</v>
      </c>
      <c r="M521">
        <v>0</v>
      </c>
      <c r="N521" t="s">
        <v>240</v>
      </c>
      <c r="O521">
        <v>435085.03</v>
      </c>
      <c r="P521">
        <v>2605.19</v>
      </c>
      <c r="Q521">
        <f>tblMoeHistory[[#This Row],[Amount of IDEA Part B, Section 611 award]]+tblMoeHistory[[#This Row],[Amount of IDEA Part B, Section 619 award]]</f>
        <v>437690.22000000003</v>
      </c>
      <c r="U5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1" t="str">
        <f>IF(OR(IFERROR(SEARCH("Met",tblMoeHistory[[#This Row],[State and Local Per Capita Result]]),0)&gt;0,IFERROR(SEARCH("Met",tblMoeHistory[[#This Row],[State and Local Total Result]]),0)&gt;0),"Met","Not Met")</f>
        <v>Met</v>
      </c>
    </row>
    <row r="522" spans="1:22" x14ac:dyDescent="0.35">
      <c r="A522" t="s">
        <v>148</v>
      </c>
      <c r="B522">
        <v>4131</v>
      </c>
      <c r="C522" t="s">
        <v>22</v>
      </c>
      <c r="D522">
        <v>421</v>
      </c>
      <c r="E522">
        <v>3404960.52</v>
      </c>
      <c r="F522">
        <v>0</v>
      </c>
      <c r="G522">
        <f>tblMoeHistory[[#This Row],[LEA State and Local Amount]]+tblMoeHistory[[#This Row],[ESD State and Local Amount]]</f>
        <v>3404960.52</v>
      </c>
      <c r="H522">
        <v>0</v>
      </c>
      <c r="I522" t="s">
        <v>241</v>
      </c>
      <c r="J522">
        <f>IFERROR(tblMoeHistory[[#This Row],[LEA State and Local Amount]]/tblMoeHistory[[#This Row],[Child Count]],0)</f>
        <v>8087.7922090261281</v>
      </c>
      <c r="K522">
        <f>IFERROR(tblMoeHistory[[#This Row],[ESD State and Local Amount]]/tblMoeHistory[[#This Row],[Child Count]],0)</f>
        <v>0</v>
      </c>
      <c r="L522">
        <f>IFERROR(tblMoeHistory[[#This Row],[State and Local Total Amount]]/tblMoeHistory[[#This Row],[Child Count]],0)</f>
        <v>8087.7922090261281</v>
      </c>
      <c r="M522">
        <v>0</v>
      </c>
      <c r="N522" t="s">
        <v>241</v>
      </c>
      <c r="O522">
        <v>486169.66</v>
      </c>
      <c r="P522">
        <v>6265.93</v>
      </c>
      <c r="Q522">
        <f>tblMoeHistory[[#This Row],[Amount of IDEA Part B, Section 611 award]]+tblMoeHistory[[#This Row],[Amount of IDEA Part B, Section 619 award]]</f>
        <v>492435.58999999997</v>
      </c>
      <c r="U5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2" t="str">
        <f>IF(OR(IFERROR(SEARCH("Met",tblMoeHistory[[#This Row],[State and Local Per Capita Result]]),0)&gt;0,IFERROR(SEARCH("Met",tblMoeHistory[[#This Row],[State and Local Total Result]]),0)&gt;0),"Met","Not Met")</f>
        <v>Met</v>
      </c>
    </row>
    <row r="523" spans="1:22" x14ac:dyDescent="0.35">
      <c r="A523" t="s">
        <v>149</v>
      </c>
      <c r="B523">
        <v>2110</v>
      </c>
      <c r="C523" t="s">
        <v>22</v>
      </c>
      <c r="D523">
        <v>162</v>
      </c>
      <c r="E523">
        <v>743016.46</v>
      </c>
      <c r="F523">
        <v>341281.56</v>
      </c>
      <c r="G523">
        <f>tblMoeHistory[[#This Row],[LEA State and Local Amount]]+tblMoeHistory[[#This Row],[ESD State and Local Amount]]</f>
        <v>1084298.02</v>
      </c>
      <c r="H523">
        <v>0</v>
      </c>
      <c r="I523" t="s">
        <v>241</v>
      </c>
      <c r="J523">
        <f>IFERROR(tblMoeHistory[[#This Row],[LEA State and Local Amount]]/tblMoeHistory[[#This Row],[Child Count]],0)</f>
        <v>4586.5213580246909</v>
      </c>
      <c r="K523">
        <f>IFERROR(tblMoeHistory[[#This Row],[ESD State and Local Amount]]/tblMoeHistory[[#This Row],[Child Count]],0)</f>
        <v>2106.6762962962962</v>
      </c>
      <c r="L523">
        <f>IFERROR(tblMoeHistory[[#This Row],[State and Local Total Amount]]/tblMoeHistory[[#This Row],[Child Count]],0)</f>
        <v>6693.1976543209876</v>
      </c>
      <c r="M523">
        <v>0</v>
      </c>
      <c r="N523" t="s">
        <v>240</v>
      </c>
      <c r="O523">
        <v>208175.35</v>
      </c>
      <c r="P523">
        <v>406.96</v>
      </c>
      <c r="Q523">
        <f>tblMoeHistory[[#This Row],[Amount of IDEA Part B, Section 611 award]]+tblMoeHistory[[#This Row],[Amount of IDEA Part B, Section 619 award]]</f>
        <v>208582.31</v>
      </c>
      <c r="U5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3" t="str">
        <f>IF(OR(IFERROR(SEARCH("Met",tblMoeHistory[[#This Row],[State and Local Per Capita Result]]),0)&gt;0,IFERROR(SEARCH("Met",tblMoeHistory[[#This Row],[State and Local Total Result]]),0)&gt;0),"Met","Not Met")</f>
        <v>Met</v>
      </c>
    </row>
    <row r="524" spans="1:22" x14ac:dyDescent="0.35">
      <c r="A524" t="s">
        <v>150</v>
      </c>
      <c r="B524">
        <v>1990</v>
      </c>
      <c r="C524" t="s">
        <v>22</v>
      </c>
      <c r="D524">
        <v>57</v>
      </c>
      <c r="E524">
        <v>331036.73</v>
      </c>
      <c r="F524">
        <v>100721</v>
      </c>
      <c r="G524">
        <f>tblMoeHistory[[#This Row],[LEA State and Local Amount]]+tblMoeHistory[[#This Row],[ESD State and Local Amount]]</f>
        <v>431757.73</v>
      </c>
      <c r="H524">
        <v>0</v>
      </c>
      <c r="I524" t="s">
        <v>241</v>
      </c>
      <c r="J524">
        <f>IFERROR(tblMoeHistory[[#This Row],[LEA State and Local Amount]]/tblMoeHistory[[#This Row],[Child Count]],0)</f>
        <v>5807.6619298245614</v>
      </c>
      <c r="K524">
        <f>IFERROR(tblMoeHistory[[#This Row],[ESD State and Local Amount]]/tblMoeHistory[[#This Row],[Child Count]],0)</f>
        <v>1767.0350877192982</v>
      </c>
      <c r="L524">
        <f>IFERROR(tblMoeHistory[[#This Row],[State and Local Total Amount]]/tblMoeHistory[[#This Row],[Child Count]],0)</f>
        <v>7574.6970175438591</v>
      </c>
      <c r="M524">
        <v>0</v>
      </c>
      <c r="N524" t="s">
        <v>241</v>
      </c>
      <c r="O524">
        <v>92424.99</v>
      </c>
      <c r="P524">
        <v>2209.56</v>
      </c>
      <c r="Q524">
        <f>tblMoeHistory[[#This Row],[Amount of IDEA Part B, Section 611 award]]+tblMoeHistory[[#This Row],[Amount of IDEA Part B, Section 619 award]]</f>
        <v>94634.55</v>
      </c>
      <c r="U5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4" t="str">
        <f>IF(OR(IFERROR(SEARCH("Met",tblMoeHistory[[#This Row],[State and Local Per Capita Result]]),0)&gt;0,IFERROR(SEARCH("Met",tblMoeHistory[[#This Row],[State and Local Total Result]]),0)&gt;0),"Met","Not Met")</f>
        <v>Met</v>
      </c>
    </row>
    <row r="525" spans="1:22" x14ac:dyDescent="0.35">
      <c r="A525" t="s">
        <v>151</v>
      </c>
      <c r="B525">
        <v>2093</v>
      </c>
      <c r="C525" t="s">
        <v>22</v>
      </c>
      <c r="D525">
        <v>78</v>
      </c>
      <c r="E525">
        <v>388283.82</v>
      </c>
      <c r="F525">
        <v>216907</v>
      </c>
      <c r="G525">
        <f>tblMoeHistory[[#This Row],[LEA State and Local Amount]]+tblMoeHistory[[#This Row],[ESD State and Local Amount]]</f>
        <v>605190.82000000007</v>
      </c>
      <c r="H525">
        <v>0</v>
      </c>
      <c r="I525" t="s">
        <v>242</v>
      </c>
      <c r="J525">
        <f>IFERROR(tblMoeHistory[[#This Row],[LEA State and Local Amount]]/tblMoeHistory[[#This Row],[Child Count]],0)</f>
        <v>4977.997692307692</v>
      </c>
      <c r="K525">
        <f>IFERROR(tblMoeHistory[[#This Row],[ESD State and Local Amount]]/tblMoeHistory[[#This Row],[Child Count]],0)</f>
        <v>2780.8589743589741</v>
      </c>
      <c r="L525">
        <f>IFERROR(tblMoeHistory[[#This Row],[State and Local Total Amount]]/tblMoeHistory[[#This Row],[Child Count]],0)</f>
        <v>7758.8566666666675</v>
      </c>
      <c r="M525">
        <v>0</v>
      </c>
      <c r="N525" t="s">
        <v>241</v>
      </c>
      <c r="O525">
        <v>122587.27</v>
      </c>
      <c r="P525">
        <v>2562.1</v>
      </c>
      <c r="Q525">
        <f>tblMoeHistory[[#This Row],[Amount of IDEA Part B, Section 611 award]]+tblMoeHistory[[#This Row],[Amount of IDEA Part B, Section 619 award]]</f>
        <v>125149.37000000001</v>
      </c>
      <c r="S525">
        <v>61652.91</v>
      </c>
      <c r="T525">
        <v>61652.91</v>
      </c>
      <c r="U5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5" t="str">
        <f>IF(OR(IFERROR(SEARCH("Met",tblMoeHistory[[#This Row],[State and Local Per Capita Result]]),0)&gt;0,IFERROR(SEARCH("Met",tblMoeHistory[[#This Row],[State and Local Total Result]]),0)&gt;0),"Met","Not Met")</f>
        <v>Met</v>
      </c>
    </row>
    <row r="526" spans="1:22" x14ac:dyDescent="0.35">
      <c r="A526" t="s">
        <v>152</v>
      </c>
      <c r="B526">
        <v>2108</v>
      </c>
      <c r="C526" t="s">
        <v>22</v>
      </c>
      <c r="D526">
        <v>316</v>
      </c>
      <c r="E526">
        <v>1688601.58</v>
      </c>
      <c r="F526">
        <v>660509.18000000005</v>
      </c>
      <c r="G526">
        <f>tblMoeHistory[[#This Row],[LEA State and Local Amount]]+tblMoeHistory[[#This Row],[ESD State and Local Amount]]</f>
        <v>2349110.7600000002</v>
      </c>
      <c r="H526">
        <v>0</v>
      </c>
      <c r="I526" t="s">
        <v>241</v>
      </c>
      <c r="J526">
        <f>IFERROR(tblMoeHistory[[#This Row],[LEA State and Local Amount]]/tblMoeHistory[[#This Row],[Child Count]],0)</f>
        <v>5343.6758860759492</v>
      </c>
      <c r="K526">
        <f>IFERROR(tblMoeHistory[[#This Row],[ESD State and Local Amount]]/tblMoeHistory[[#This Row],[Child Count]],0)</f>
        <v>2090.2189240506332</v>
      </c>
      <c r="L526">
        <f>IFERROR(tblMoeHistory[[#This Row],[State and Local Total Amount]]/tblMoeHistory[[#This Row],[Child Count]],0)</f>
        <v>7433.8948101265833</v>
      </c>
      <c r="M526">
        <v>0</v>
      </c>
      <c r="N526" t="s">
        <v>240</v>
      </c>
      <c r="O526">
        <v>447185.09</v>
      </c>
      <c r="P526">
        <v>3848.8</v>
      </c>
      <c r="Q526">
        <f>tblMoeHistory[[#This Row],[Amount of IDEA Part B, Section 611 award]]+tblMoeHistory[[#This Row],[Amount of IDEA Part B, Section 619 award]]</f>
        <v>451033.89</v>
      </c>
      <c r="U5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6" t="str">
        <f>IF(OR(IFERROR(SEARCH("Met",tblMoeHistory[[#This Row],[State and Local Per Capita Result]]),0)&gt;0,IFERROR(SEARCH("Met",tblMoeHistory[[#This Row],[State and Local Total Result]]),0)&gt;0),"Met","Not Met")</f>
        <v>Met</v>
      </c>
    </row>
    <row r="527" spans="1:22" x14ac:dyDescent="0.35">
      <c r="A527" t="s">
        <v>153</v>
      </c>
      <c r="B527">
        <v>1928</v>
      </c>
      <c r="C527" t="s">
        <v>22</v>
      </c>
      <c r="D527">
        <v>1195</v>
      </c>
      <c r="E527">
        <v>11157746.34</v>
      </c>
      <c r="F527">
        <v>1995343</v>
      </c>
      <c r="G527">
        <f>tblMoeHistory[[#This Row],[LEA State and Local Amount]]+tblMoeHistory[[#This Row],[ESD State and Local Amount]]</f>
        <v>13153089.34</v>
      </c>
      <c r="H527">
        <v>0</v>
      </c>
      <c r="I527" t="s">
        <v>241</v>
      </c>
      <c r="J527">
        <f>IFERROR(tblMoeHistory[[#This Row],[LEA State and Local Amount]]/tblMoeHistory[[#This Row],[Child Count]],0)</f>
        <v>9337.026225941423</v>
      </c>
      <c r="K527">
        <f>IFERROR(tblMoeHistory[[#This Row],[ESD State and Local Amount]]/tblMoeHistory[[#This Row],[Child Count]],0)</f>
        <v>1669.7430962343096</v>
      </c>
      <c r="L527">
        <f>IFERROR(tblMoeHistory[[#This Row],[State and Local Total Amount]]/tblMoeHistory[[#This Row],[Child Count]],0)</f>
        <v>11006.769322175733</v>
      </c>
      <c r="M527">
        <v>0</v>
      </c>
      <c r="N527" t="s">
        <v>241</v>
      </c>
      <c r="O527">
        <v>1309725.19</v>
      </c>
      <c r="P527">
        <v>11829.2</v>
      </c>
      <c r="Q527">
        <f>tblMoeHistory[[#This Row],[Amount of IDEA Part B, Section 611 award]]+tblMoeHistory[[#This Row],[Amount of IDEA Part B, Section 619 award]]</f>
        <v>1321554.3899999999</v>
      </c>
      <c r="U5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7" t="str">
        <f>IF(OR(IFERROR(SEARCH("Met",tblMoeHistory[[#This Row],[State and Local Per Capita Result]]),0)&gt;0,IFERROR(SEARCH("Met",tblMoeHistory[[#This Row],[State and Local Total Result]]),0)&gt;0),"Met","Not Met")</f>
        <v>Met</v>
      </c>
    </row>
    <row r="528" spans="1:22" x14ac:dyDescent="0.35">
      <c r="A528" t="s">
        <v>154</v>
      </c>
      <c r="B528">
        <v>1926</v>
      </c>
      <c r="C528" t="s">
        <v>22</v>
      </c>
      <c r="D528">
        <v>642</v>
      </c>
      <c r="E528">
        <v>5428718.8700000001</v>
      </c>
      <c r="F528">
        <v>617604</v>
      </c>
      <c r="G528">
        <f>tblMoeHistory[[#This Row],[LEA State and Local Amount]]+tblMoeHistory[[#This Row],[ESD State and Local Amount]]</f>
        <v>6046322.8700000001</v>
      </c>
      <c r="H528">
        <v>0</v>
      </c>
      <c r="I528" t="s">
        <v>242</v>
      </c>
      <c r="J528">
        <f>IFERROR(tblMoeHistory[[#This Row],[LEA State and Local Amount]]/tblMoeHistory[[#This Row],[Child Count]],0)</f>
        <v>8455.9483956386302</v>
      </c>
      <c r="K528">
        <f>IFERROR(tblMoeHistory[[#This Row],[ESD State and Local Amount]]/tblMoeHistory[[#This Row],[Child Count]],0)</f>
        <v>962</v>
      </c>
      <c r="L528">
        <f>IFERROR(tblMoeHistory[[#This Row],[State and Local Total Amount]]/tblMoeHistory[[#This Row],[Child Count]],0)</f>
        <v>9417.9483956386302</v>
      </c>
      <c r="M528">
        <v>0</v>
      </c>
      <c r="N528" t="s">
        <v>241</v>
      </c>
      <c r="O528">
        <v>686492.98</v>
      </c>
      <c r="P528">
        <v>5764.61</v>
      </c>
      <c r="Q528">
        <f>tblMoeHistory[[#This Row],[Amount of IDEA Part B, Section 611 award]]+tblMoeHistory[[#This Row],[Amount of IDEA Part B, Section 619 award]]</f>
        <v>692257.59</v>
      </c>
      <c r="S528">
        <v>374373.81</v>
      </c>
      <c r="T528">
        <v>374373.81</v>
      </c>
      <c r="U5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8" t="str">
        <f>IF(OR(IFERROR(SEARCH("Met",tblMoeHistory[[#This Row],[State and Local Per Capita Result]]),0)&gt;0,IFERROR(SEARCH("Met",tblMoeHistory[[#This Row],[State and Local Total Result]]),0)&gt;0),"Met","Not Met")</f>
        <v>Met</v>
      </c>
    </row>
    <row r="529" spans="1:22" x14ac:dyDescent="0.35">
      <c r="A529" t="s">
        <v>155</v>
      </c>
      <c r="B529">
        <v>2060</v>
      </c>
      <c r="C529" t="s">
        <v>22</v>
      </c>
      <c r="D529">
        <v>10</v>
      </c>
      <c r="E529">
        <v>20731.54</v>
      </c>
      <c r="F529">
        <v>41231.46</v>
      </c>
      <c r="G529">
        <f>tblMoeHistory[[#This Row],[LEA State and Local Amount]]+tblMoeHistory[[#This Row],[ESD State and Local Amount]]</f>
        <v>61963</v>
      </c>
      <c r="H529">
        <v>0</v>
      </c>
      <c r="I529" t="s">
        <v>241</v>
      </c>
      <c r="J529">
        <f>IFERROR(tblMoeHistory[[#This Row],[LEA State and Local Amount]]/tblMoeHistory[[#This Row],[Child Count]],0)</f>
        <v>2073.154</v>
      </c>
      <c r="K529">
        <f>IFERROR(tblMoeHistory[[#This Row],[ESD State and Local Amount]]/tblMoeHistory[[#This Row],[Child Count]],0)</f>
        <v>4123.1459999999997</v>
      </c>
      <c r="L529">
        <f>IFERROR(tblMoeHistory[[#This Row],[State and Local Total Amount]]/tblMoeHistory[[#This Row],[Child Count]],0)</f>
        <v>6196.3</v>
      </c>
      <c r="M529">
        <v>0</v>
      </c>
      <c r="N529" t="s">
        <v>240</v>
      </c>
      <c r="O529">
        <v>22623.84</v>
      </c>
      <c r="P529">
        <v>0</v>
      </c>
      <c r="Q529">
        <f>tblMoeHistory[[#This Row],[Amount of IDEA Part B, Section 611 award]]+tblMoeHistory[[#This Row],[Amount of IDEA Part B, Section 619 award]]</f>
        <v>22623.84</v>
      </c>
      <c r="U5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9" t="str">
        <f>IF(OR(IFERROR(SEARCH("Met",tblMoeHistory[[#This Row],[State and Local Per Capita Result]]),0)&gt;0,IFERROR(SEARCH("Met",tblMoeHistory[[#This Row],[State and Local Total Result]]),0)&gt;0),"Met","Not Met")</f>
        <v>Met</v>
      </c>
    </row>
    <row r="530" spans="1:22" x14ac:dyDescent="0.35">
      <c r="A530" t="s">
        <v>156</v>
      </c>
      <c r="B530">
        <v>2181</v>
      </c>
      <c r="C530" t="s">
        <v>22</v>
      </c>
      <c r="D530">
        <v>438</v>
      </c>
      <c r="E530">
        <v>4783196.0199999996</v>
      </c>
      <c r="F530">
        <v>747468</v>
      </c>
      <c r="G530">
        <f>tblMoeHistory[[#This Row],[LEA State and Local Amount]]+tblMoeHistory[[#This Row],[ESD State and Local Amount]]</f>
        <v>5530664.0199999996</v>
      </c>
      <c r="H530">
        <v>0</v>
      </c>
      <c r="I530" t="s">
        <v>241</v>
      </c>
      <c r="J530">
        <f>IFERROR(tblMoeHistory[[#This Row],[LEA State and Local Amount]]/tblMoeHistory[[#This Row],[Child Count]],0)</f>
        <v>10920.538858447488</v>
      </c>
      <c r="K530">
        <f>IFERROR(tblMoeHistory[[#This Row],[ESD State and Local Amount]]/tblMoeHistory[[#This Row],[Child Count]],0)</f>
        <v>1706.5479452054794</v>
      </c>
      <c r="L530">
        <f>IFERROR(tblMoeHistory[[#This Row],[State and Local Total Amount]]/tblMoeHistory[[#This Row],[Child Count]],0)</f>
        <v>12627.086803652966</v>
      </c>
      <c r="M530">
        <v>0</v>
      </c>
      <c r="N530" t="s">
        <v>241</v>
      </c>
      <c r="O530">
        <v>621064.16</v>
      </c>
      <c r="P530">
        <v>4354.6099999999997</v>
      </c>
      <c r="Q530">
        <f>tblMoeHistory[[#This Row],[Amount of IDEA Part B, Section 611 award]]+tblMoeHistory[[#This Row],[Amount of IDEA Part B, Section 619 award]]</f>
        <v>625418.77</v>
      </c>
      <c r="S530">
        <v>127989</v>
      </c>
      <c r="U5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0" t="str">
        <f>IF(OR(IFERROR(SEARCH("Met",tblMoeHistory[[#This Row],[State and Local Per Capita Result]]),0)&gt;0,IFERROR(SEARCH("Met",tblMoeHistory[[#This Row],[State and Local Total Result]]),0)&gt;0),"Met","Not Met")</f>
        <v>Met</v>
      </c>
    </row>
    <row r="531" spans="1:22" x14ac:dyDescent="0.35">
      <c r="A531" t="s">
        <v>157</v>
      </c>
      <c r="B531">
        <v>2207</v>
      </c>
      <c r="C531" t="s">
        <v>22</v>
      </c>
      <c r="D531">
        <v>448</v>
      </c>
      <c r="E531">
        <v>3344964.63</v>
      </c>
      <c r="F531">
        <v>689616.81</v>
      </c>
      <c r="G531">
        <f>tblMoeHistory[[#This Row],[LEA State and Local Amount]]+tblMoeHistory[[#This Row],[ESD State and Local Amount]]</f>
        <v>4034581.44</v>
      </c>
      <c r="H531">
        <v>0</v>
      </c>
      <c r="I531" t="s">
        <v>241</v>
      </c>
      <c r="J531">
        <f>IFERROR(tblMoeHistory[[#This Row],[LEA State and Local Amount]]/tblMoeHistory[[#This Row],[Child Count]],0)</f>
        <v>7466.4389062499995</v>
      </c>
      <c r="K531">
        <f>IFERROR(tblMoeHistory[[#This Row],[ESD State and Local Amount]]/tblMoeHistory[[#This Row],[Child Count]],0)</f>
        <v>1539.3232366071429</v>
      </c>
      <c r="L531">
        <f>IFERROR(tblMoeHistory[[#This Row],[State and Local Total Amount]]/tblMoeHistory[[#This Row],[Child Count]],0)</f>
        <v>9005.762142857142</v>
      </c>
      <c r="M531">
        <v>0</v>
      </c>
      <c r="N531" t="s">
        <v>241</v>
      </c>
      <c r="O531">
        <v>579171.78</v>
      </c>
      <c r="P531">
        <v>6514.76</v>
      </c>
      <c r="Q531">
        <f>tblMoeHistory[[#This Row],[Amount of IDEA Part B, Section 611 award]]+tblMoeHistory[[#This Row],[Amount of IDEA Part B, Section 619 award]]</f>
        <v>585686.54</v>
      </c>
      <c r="U5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1" t="str">
        <f>IF(OR(IFERROR(SEARCH("Met",tblMoeHistory[[#This Row],[State and Local Per Capita Result]]),0)&gt;0,IFERROR(SEARCH("Met",tblMoeHistory[[#This Row],[State and Local Total Result]]),0)&gt;0),"Met","Not Met")</f>
        <v>Met</v>
      </c>
    </row>
    <row r="532" spans="1:22" x14ac:dyDescent="0.35">
      <c r="A532" t="s">
        <v>158</v>
      </c>
      <c r="B532">
        <v>2192</v>
      </c>
      <c r="C532" t="s">
        <v>22</v>
      </c>
      <c r="D532">
        <v>15</v>
      </c>
      <c r="E532">
        <v>203159.59</v>
      </c>
      <c r="F532">
        <v>58165.33</v>
      </c>
      <c r="G532">
        <f>tblMoeHistory[[#This Row],[LEA State and Local Amount]]+tblMoeHistory[[#This Row],[ESD State and Local Amount]]</f>
        <v>261324.91999999998</v>
      </c>
      <c r="H532">
        <v>0</v>
      </c>
      <c r="I532" t="s">
        <v>241</v>
      </c>
      <c r="J532">
        <f>IFERROR(tblMoeHistory[[#This Row],[LEA State and Local Amount]]/tblMoeHistory[[#This Row],[Child Count]],0)</f>
        <v>13543.972666666667</v>
      </c>
      <c r="K532">
        <f>IFERROR(tblMoeHistory[[#This Row],[ESD State and Local Amount]]/tblMoeHistory[[#This Row],[Child Count]],0)</f>
        <v>3877.6886666666669</v>
      </c>
      <c r="L532">
        <f>IFERROR(tblMoeHistory[[#This Row],[State and Local Total Amount]]/tblMoeHistory[[#This Row],[Child Count]],0)</f>
        <v>17421.661333333333</v>
      </c>
      <c r="M532">
        <v>0</v>
      </c>
      <c r="N532" t="s">
        <v>240</v>
      </c>
      <c r="O532">
        <v>34333.53</v>
      </c>
      <c r="P532">
        <v>0</v>
      </c>
      <c r="Q532">
        <f>tblMoeHistory[[#This Row],[Amount of IDEA Part B, Section 611 award]]+tblMoeHistory[[#This Row],[Amount of IDEA Part B, Section 619 award]]</f>
        <v>34333.53</v>
      </c>
      <c r="U5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2" t="str">
        <f>IF(OR(IFERROR(SEARCH("Met",tblMoeHistory[[#This Row],[State and Local Per Capita Result]]),0)&gt;0,IFERROR(SEARCH("Met",tblMoeHistory[[#This Row],[State and Local Total Result]]),0)&gt;0),"Met","Not Met")</f>
        <v>Met</v>
      </c>
    </row>
    <row r="533" spans="1:22" x14ac:dyDescent="0.35">
      <c r="A533" t="s">
        <v>160</v>
      </c>
      <c r="B533">
        <v>1900</v>
      </c>
      <c r="C533" t="s">
        <v>22</v>
      </c>
      <c r="D533">
        <v>172</v>
      </c>
      <c r="E533">
        <v>1096169.52</v>
      </c>
      <c r="F533">
        <v>104087</v>
      </c>
      <c r="G533">
        <f>tblMoeHistory[[#This Row],[LEA State and Local Amount]]+tblMoeHistory[[#This Row],[ESD State and Local Amount]]</f>
        <v>1200256.52</v>
      </c>
      <c r="H533">
        <v>0</v>
      </c>
      <c r="I533" t="s">
        <v>241</v>
      </c>
      <c r="J533">
        <f>IFERROR(tblMoeHistory[[#This Row],[LEA State and Local Amount]]/tblMoeHistory[[#This Row],[Child Count]],0)</f>
        <v>6373.078604651163</v>
      </c>
      <c r="K533">
        <f>IFERROR(tblMoeHistory[[#This Row],[ESD State and Local Amount]]/tblMoeHistory[[#This Row],[Child Count]],0)</f>
        <v>605.15697674418607</v>
      </c>
      <c r="L533">
        <f>IFERROR(tblMoeHistory[[#This Row],[State and Local Total Amount]]/tblMoeHistory[[#This Row],[Child Count]],0)</f>
        <v>6978.2355813953491</v>
      </c>
      <c r="M533">
        <v>0</v>
      </c>
      <c r="N533" t="s">
        <v>241</v>
      </c>
      <c r="O533">
        <v>242392.19</v>
      </c>
      <c r="P533">
        <v>4909.84</v>
      </c>
      <c r="Q533">
        <f>tblMoeHistory[[#This Row],[Amount of IDEA Part B, Section 611 award]]+tblMoeHistory[[#This Row],[Amount of IDEA Part B, Section 619 award]]</f>
        <v>247302.03</v>
      </c>
      <c r="U5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3" t="str">
        <f>IF(OR(IFERROR(SEARCH("Met",tblMoeHistory[[#This Row],[State and Local Per Capita Result]]),0)&gt;0,IFERROR(SEARCH("Met",tblMoeHistory[[#This Row],[State and Local Total Result]]),0)&gt;0),"Met","Not Met")</f>
        <v>Met</v>
      </c>
    </row>
    <row r="534" spans="1:22" x14ac:dyDescent="0.35">
      <c r="A534" t="s">
        <v>161</v>
      </c>
      <c r="B534">
        <v>2039</v>
      </c>
      <c r="C534" t="s">
        <v>22</v>
      </c>
      <c r="D534">
        <v>384</v>
      </c>
      <c r="E534">
        <v>2332448.34</v>
      </c>
      <c r="F534">
        <v>634547.84</v>
      </c>
      <c r="G534">
        <f>tblMoeHistory[[#This Row],[LEA State and Local Amount]]+tblMoeHistory[[#This Row],[ESD State and Local Amount]]</f>
        <v>2966996.1799999997</v>
      </c>
      <c r="H534">
        <v>0</v>
      </c>
      <c r="I534" t="s">
        <v>241</v>
      </c>
      <c r="J534">
        <f>IFERROR(tblMoeHistory[[#This Row],[LEA State and Local Amount]]/tblMoeHistory[[#This Row],[Child Count]],0)</f>
        <v>6074.0842187499993</v>
      </c>
      <c r="K534">
        <f>IFERROR(tblMoeHistory[[#This Row],[ESD State and Local Amount]]/tblMoeHistory[[#This Row],[Child Count]],0)</f>
        <v>1652.4683333333332</v>
      </c>
      <c r="L534">
        <f>IFERROR(tblMoeHistory[[#This Row],[State and Local Total Amount]]/tblMoeHistory[[#This Row],[Child Count]],0)</f>
        <v>7726.5525520833326</v>
      </c>
      <c r="M534">
        <v>0</v>
      </c>
      <c r="N534" t="s">
        <v>240</v>
      </c>
      <c r="O534">
        <v>449565.42</v>
      </c>
      <c r="P534">
        <v>8756.93</v>
      </c>
      <c r="Q534">
        <f>tblMoeHistory[[#This Row],[Amount of IDEA Part B, Section 611 award]]+tblMoeHistory[[#This Row],[Amount of IDEA Part B, Section 619 award]]</f>
        <v>458322.35</v>
      </c>
      <c r="U5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4" t="str">
        <f>IF(OR(IFERROR(SEARCH("Met",tblMoeHistory[[#This Row],[State and Local Per Capita Result]]),0)&gt;0,IFERROR(SEARCH("Met",tblMoeHistory[[#This Row],[State and Local Total Result]]),0)&gt;0),"Met","Not Met")</f>
        <v>Met</v>
      </c>
    </row>
    <row r="535" spans="1:22" x14ac:dyDescent="0.35">
      <c r="A535" t="s">
        <v>162</v>
      </c>
      <c r="B535">
        <v>2202</v>
      </c>
      <c r="C535" t="s">
        <v>22</v>
      </c>
      <c r="D535">
        <v>44</v>
      </c>
      <c r="E535">
        <v>245978.41</v>
      </c>
      <c r="F535">
        <v>66384.41</v>
      </c>
      <c r="G535">
        <f>tblMoeHistory[[#This Row],[LEA State and Local Amount]]+tblMoeHistory[[#This Row],[ESD State and Local Amount]]</f>
        <v>312362.82</v>
      </c>
      <c r="H535">
        <v>0</v>
      </c>
      <c r="I535" t="s">
        <v>240</v>
      </c>
      <c r="J535">
        <f>IFERROR(tblMoeHistory[[#This Row],[LEA State and Local Amount]]/tblMoeHistory[[#This Row],[Child Count]],0)</f>
        <v>5590.4184090909093</v>
      </c>
      <c r="K535">
        <f>IFERROR(tblMoeHistory[[#This Row],[ESD State and Local Amount]]/tblMoeHistory[[#This Row],[Child Count]],0)</f>
        <v>1508.7365909090911</v>
      </c>
      <c r="L535">
        <f>IFERROR(tblMoeHistory[[#This Row],[State and Local Total Amount]]/tblMoeHistory[[#This Row],[Child Count]],0)</f>
        <v>7099.1549999999997</v>
      </c>
      <c r="M535">
        <v>0</v>
      </c>
      <c r="N535" t="s">
        <v>240</v>
      </c>
      <c r="O535">
        <v>72246.490000000005</v>
      </c>
      <c r="P535">
        <v>495.95</v>
      </c>
      <c r="Q535">
        <f>tblMoeHistory[[#This Row],[Amount of IDEA Part B, Section 611 award]]+tblMoeHistory[[#This Row],[Amount of IDEA Part B, Section 619 award]]</f>
        <v>72742.44</v>
      </c>
      <c r="U5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5" t="str">
        <f>IF(OR(IFERROR(SEARCH("Met",tblMoeHistory[[#This Row],[State and Local Per Capita Result]]),0)&gt;0,IFERROR(SEARCH("Met",tblMoeHistory[[#This Row],[State and Local Total Result]]),0)&gt;0),"Met","Not Met")</f>
        <v>Not Met</v>
      </c>
    </row>
    <row r="536" spans="1:22" x14ac:dyDescent="0.35">
      <c r="A536" t="s">
        <v>163</v>
      </c>
      <c r="B536">
        <v>2016</v>
      </c>
      <c r="C536" t="s">
        <v>22</v>
      </c>
      <c r="D536">
        <v>3</v>
      </c>
      <c r="E536">
        <v>42551.98</v>
      </c>
      <c r="F536">
        <v>365</v>
      </c>
      <c r="G536">
        <f>tblMoeHistory[[#This Row],[LEA State and Local Amount]]+tblMoeHistory[[#This Row],[ESD State and Local Amount]]</f>
        <v>42916.98</v>
      </c>
      <c r="H536">
        <v>0</v>
      </c>
      <c r="I536" t="s">
        <v>241</v>
      </c>
      <c r="J536">
        <f>IFERROR(tblMoeHistory[[#This Row],[LEA State and Local Amount]]/tblMoeHistory[[#This Row],[Child Count]],0)</f>
        <v>14183.993333333334</v>
      </c>
      <c r="K536">
        <f>IFERROR(tblMoeHistory[[#This Row],[ESD State and Local Amount]]/tblMoeHistory[[#This Row],[Child Count]],0)</f>
        <v>121.66666666666667</v>
      </c>
      <c r="L536">
        <f>IFERROR(tblMoeHistory[[#This Row],[State and Local Total Amount]]/tblMoeHistory[[#This Row],[Child Count]],0)</f>
        <v>14305.660000000002</v>
      </c>
      <c r="M536">
        <v>0</v>
      </c>
      <c r="N536" t="s">
        <v>240</v>
      </c>
      <c r="O536">
        <v>0</v>
      </c>
      <c r="P536">
        <v>0</v>
      </c>
      <c r="Q536">
        <f>tblMoeHistory[[#This Row],[Amount of IDEA Part B, Section 611 award]]+tblMoeHistory[[#This Row],[Amount of IDEA Part B, Section 619 award]]</f>
        <v>0</v>
      </c>
      <c r="U5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6" t="str">
        <f>IF(OR(IFERROR(SEARCH("Met",tblMoeHistory[[#This Row],[State and Local Per Capita Result]]),0)&gt;0,IFERROR(SEARCH("Met",tblMoeHistory[[#This Row],[State and Local Total Result]]),0)&gt;0),"Met","Not Met")</f>
        <v>Met</v>
      </c>
    </row>
    <row r="537" spans="1:22" x14ac:dyDescent="0.35">
      <c r="A537" t="s">
        <v>164</v>
      </c>
      <c r="B537">
        <v>1897</v>
      </c>
      <c r="C537" t="s">
        <v>22</v>
      </c>
      <c r="D537">
        <v>28</v>
      </c>
      <c r="E537">
        <v>157932.15</v>
      </c>
      <c r="F537">
        <v>0</v>
      </c>
      <c r="G537">
        <f>tblMoeHistory[[#This Row],[LEA State and Local Amount]]+tblMoeHistory[[#This Row],[ESD State and Local Amount]]</f>
        <v>157932.15</v>
      </c>
      <c r="H537">
        <v>0</v>
      </c>
      <c r="I537" t="s">
        <v>241</v>
      </c>
      <c r="J537">
        <f>IFERROR(tblMoeHistory[[#This Row],[LEA State and Local Amount]]/tblMoeHistory[[#This Row],[Child Count]],0)</f>
        <v>5640.4339285714286</v>
      </c>
      <c r="K537">
        <f>IFERROR(tblMoeHistory[[#This Row],[ESD State and Local Amount]]/tblMoeHistory[[#This Row],[Child Count]],0)</f>
        <v>0</v>
      </c>
      <c r="L537">
        <f>IFERROR(tblMoeHistory[[#This Row],[State and Local Total Amount]]/tblMoeHistory[[#This Row],[Child Count]],0)</f>
        <v>5640.4339285714286</v>
      </c>
      <c r="M537">
        <v>0</v>
      </c>
      <c r="N537" t="s">
        <v>240</v>
      </c>
      <c r="O537">
        <v>34327.050000000003</v>
      </c>
      <c r="P537">
        <v>16.22</v>
      </c>
      <c r="Q537">
        <f>tblMoeHistory[[#This Row],[Amount of IDEA Part B, Section 611 award]]+tblMoeHistory[[#This Row],[Amount of IDEA Part B, Section 619 award]]</f>
        <v>34343.270000000004</v>
      </c>
      <c r="U5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7" t="str">
        <f>IF(OR(IFERROR(SEARCH("Met",tblMoeHistory[[#This Row],[State and Local Per Capita Result]]),0)&gt;0,IFERROR(SEARCH("Met",tblMoeHistory[[#This Row],[State and Local Total Result]]),0)&gt;0),"Met","Not Met")</f>
        <v>Met</v>
      </c>
    </row>
    <row r="538" spans="1:22" x14ac:dyDescent="0.35">
      <c r="A538" t="s">
        <v>165</v>
      </c>
      <c r="B538">
        <v>2047</v>
      </c>
      <c r="C538" t="s">
        <v>22</v>
      </c>
      <c r="D538">
        <v>2</v>
      </c>
      <c r="E538">
        <v>7641</v>
      </c>
      <c r="F538">
        <v>4818.3100000000004</v>
      </c>
      <c r="G538">
        <f>tblMoeHistory[[#This Row],[LEA State and Local Amount]]+tblMoeHistory[[#This Row],[ESD State and Local Amount]]</f>
        <v>12459.310000000001</v>
      </c>
      <c r="H538">
        <v>0</v>
      </c>
      <c r="I538" t="s">
        <v>242</v>
      </c>
      <c r="J538">
        <f>IFERROR(tblMoeHistory[[#This Row],[LEA State and Local Amount]]/tblMoeHistory[[#This Row],[Child Count]],0)</f>
        <v>3820.5</v>
      </c>
      <c r="K538">
        <f>IFERROR(tblMoeHistory[[#This Row],[ESD State and Local Amount]]/tblMoeHistory[[#This Row],[Child Count]],0)</f>
        <v>2409.1550000000002</v>
      </c>
      <c r="L538">
        <f>IFERROR(tblMoeHistory[[#This Row],[State and Local Total Amount]]/tblMoeHistory[[#This Row],[Child Count]],0)</f>
        <v>6229.6550000000007</v>
      </c>
      <c r="M538">
        <v>0</v>
      </c>
      <c r="N538" t="s">
        <v>241</v>
      </c>
      <c r="O538">
        <v>9133.68</v>
      </c>
      <c r="P538">
        <v>974.51</v>
      </c>
      <c r="Q538">
        <f>tblMoeHistory[[#This Row],[Amount of IDEA Part B, Section 611 award]]+tblMoeHistory[[#This Row],[Amount of IDEA Part B, Section 619 award]]</f>
        <v>10108.19</v>
      </c>
      <c r="S538">
        <v>9157.6200000000008</v>
      </c>
      <c r="T538">
        <v>9157.6200000000008</v>
      </c>
      <c r="U5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8" t="str">
        <f>IF(OR(IFERROR(SEARCH("Met",tblMoeHistory[[#This Row],[State and Local Per Capita Result]]),0)&gt;0,IFERROR(SEARCH("Met",tblMoeHistory[[#This Row],[State and Local Total Result]]),0)&gt;0),"Met","Not Met")</f>
        <v>Met</v>
      </c>
    </row>
    <row r="539" spans="1:22" x14ac:dyDescent="0.35">
      <c r="A539" t="s">
        <v>166</v>
      </c>
      <c r="B539">
        <v>2081</v>
      </c>
      <c r="C539" t="s">
        <v>22</v>
      </c>
      <c r="D539">
        <v>116</v>
      </c>
      <c r="E539">
        <v>1008186.87</v>
      </c>
      <c r="F539">
        <v>234437</v>
      </c>
      <c r="G539">
        <f>tblMoeHistory[[#This Row],[LEA State and Local Amount]]+tblMoeHistory[[#This Row],[ESD State and Local Amount]]</f>
        <v>1242623.8700000001</v>
      </c>
      <c r="H539">
        <v>0</v>
      </c>
      <c r="I539" t="s">
        <v>241</v>
      </c>
      <c r="J539">
        <f>IFERROR(tblMoeHistory[[#This Row],[LEA State and Local Amount]]/tblMoeHistory[[#This Row],[Child Count]],0)</f>
        <v>8691.2661206896555</v>
      </c>
      <c r="K539">
        <f>IFERROR(tblMoeHistory[[#This Row],[ESD State and Local Amount]]/tblMoeHistory[[#This Row],[Child Count]],0)</f>
        <v>2021.0086206896551</v>
      </c>
      <c r="L539">
        <f>IFERROR(tblMoeHistory[[#This Row],[State and Local Total Amount]]/tblMoeHistory[[#This Row],[Child Count]],0)</f>
        <v>10712.274741379311</v>
      </c>
      <c r="M539">
        <v>0</v>
      </c>
      <c r="N539" t="s">
        <v>240</v>
      </c>
      <c r="O539">
        <v>154800.79999999999</v>
      </c>
      <c r="P539">
        <v>1149.77</v>
      </c>
      <c r="Q539">
        <f>tblMoeHistory[[#This Row],[Amount of IDEA Part B, Section 611 award]]+tblMoeHistory[[#This Row],[Amount of IDEA Part B, Section 619 award]]</f>
        <v>155950.56999999998</v>
      </c>
      <c r="U5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9" t="str">
        <f>IF(OR(IFERROR(SEARCH("Met",tblMoeHistory[[#This Row],[State and Local Per Capita Result]]),0)&gt;0,IFERROR(SEARCH("Met",tblMoeHistory[[#This Row],[State and Local Total Result]]),0)&gt;0),"Met","Not Met")</f>
        <v>Met</v>
      </c>
    </row>
    <row r="540" spans="1:22" x14ac:dyDescent="0.35">
      <c r="A540" t="s">
        <v>167</v>
      </c>
      <c r="B540">
        <v>2062</v>
      </c>
      <c r="C540" t="s">
        <v>22</v>
      </c>
      <c r="D540">
        <v>1</v>
      </c>
      <c r="E540">
        <v>0</v>
      </c>
      <c r="F540">
        <v>9723.93</v>
      </c>
      <c r="G540">
        <f>tblMoeHistory[[#This Row],[LEA State and Local Amount]]+tblMoeHistory[[#This Row],[ESD State and Local Amount]]</f>
        <v>9723.93</v>
      </c>
      <c r="H540">
        <v>0</v>
      </c>
      <c r="I540" t="s">
        <v>240</v>
      </c>
      <c r="J540">
        <f>IFERROR(tblMoeHistory[[#This Row],[LEA State and Local Amount]]/tblMoeHistory[[#This Row],[Child Count]],0)</f>
        <v>0</v>
      </c>
      <c r="K540">
        <f>IFERROR(tblMoeHistory[[#This Row],[ESD State and Local Amount]]/tblMoeHistory[[#This Row],[Child Count]],0)</f>
        <v>9723.93</v>
      </c>
      <c r="L540">
        <f>IFERROR(tblMoeHistory[[#This Row],[State and Local Total Amount]]/tblMoeHistory[[#This Row],[Child Count]],0)</f>
        <v>9723.93</v>
      </c>
      <c r="M540">
        <v>0</v>
      </c>
      <c r="N540" t="s">
        <v>240</v>
      </c>
      <c r="O540">
        <v>2700.2</v>
      </c>
      <c r="P540">
        <v>0.43</v>
      </c>
      <c r="Q540">
        <f>tblMoeHistory[[#This Row],[Amount of IDEA Part B, Section 611 award]]+tblMoeHistory[[#This Row],[Amount of IDEA Part B, Section 619 award]]</f>
        <v>2700.6299999999997</v>
      </c>
      <c r="U5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0" t="str">
        <f>IF(OR(IFERROR(SEARCH("Met",tblMoeHistory[[#This Row],[State and Local Per Capita Result]]),0)&gt;0,IFERROR(SEARCH("Met",tblMoeHistory[[#This Row],[State and Local Total Result]]),0)&gt;0),"Met","Not Met")</f>
        <v>Not Met</v>
      </c>
    </row>
    <row r="541" spans="1:22" x14ac:dyDescent="0.35">
      <c r="A541" t="s">
        <v>168</v>
      </c>
      <c r="B541">
        <v>1973</v>
      </c>
      <c r="C541" t="s">
        <v>22</v>
      </c>
      <c r="D541">
        <v>24</v>
      </c>
      <c r="E541">
        <v>188375.75</v>
      </c>
      <c r="F541">
        <v>137201</v>
      </c>
      <c r="G541">
        <f>tblMoeHistory[[#This Row],[LEA State and Local Amount]]+tblMoeHistory[[#This Row],[ESD State and Local Amount]]</f>
        <v>325576.75</v>
      </c>
      <c r="H541">
        <v>0</v>
      </c>
      <c r="I541" t="s">
        <v>242</v>
      </c>
      <c r="J541">
        <f>IFERROR(tblMoeHistory[[#This Row],[LEA State and Local Amount]]/tblMoeHistory[[#This Row],[Child Count]],0)</f>
        <v>7848.989583333333</v>
      </c>
      <c r="K541">
        <f>IFERROR(tblMoeHistory[[#This Row],[ESD State and Local Amount]]/tblMoeHistory[[#This Row],[Child Count]],0)</f>
        <v>5716.708333333333</v>
      </c>
      <c r="L541">
        <f>IFERROR(tblMoeHistory[[#This Row],[State and Local Total Amount]]/tblMoeHistory[[#This Row],[Child Count]],0)</f>
        <v>13565.697916666666</v>
      </c>
      <c r="M541">
        <v>0</v>
      </c>
      <c r="N541" t="s">
        <v>241</v>
      </c>
      <c r="O541">
        <v>66875.14</v>
      </c>
      <c r="P541">
        <v>817.13</v>
      </c>
      <c r="Q541">
        <f>tblMoeHistory[[#This Row],[Amount of IDEA Part B, Section 611 award]]+tblMoeHistory[[#This Row],[Amount of IDEA Part B, Section 619 award]]</f>
        <v>67692.27</v>
      </c>
      <c r="S541">
        <v>109704.96000000001</v>
      </c>
      <c r="T541">
        <v>109704.96000000001</v>
      </c>
      <c r="U5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1" t="str">
        <f>IF(OR(IFERROR(SEARCH("Met",tblMoeHistory[[#This Row],[State and Local Per Capita Result]]),0)&gt;0,IFERROR(SEARCH("Met",tblMoeHistory[[#This Row],[State and Local Total Result]]),0)&gt;0),"Met","Not Met")</f>
        <v>Met</v>
      </c>
    </row>
    <row r="542" spans="1:22" x14ac:dyDescent="0.35">
      <c r="A542" t="s">
        <v>169</v>
      </c>
      <c r="B542">
        <v>2180</v>
      </c>
      <c r="C542" t="s">
        <v>22</v>
      </c>
      <c r="D542">
        <v>6691</v>
      </c>
      <c r="E542">
        <v>70860907.909999996</v>
      </c>
      <c r="F542">
        <v>1064006</v>
      </c>
      <c r="G542">
        <f>tblMoeHistory[[#This Row],[LEA State and Local Amount]]+tblMoeHistory[[#This Row],[ESD State and Local Amount]]</f>
        <v>71924913.909999996</v>
      </c>
      <c r="H542">
        <v>0</v>
      </c>
      <c r="I542" t="s">
        <v>241</v>
      </c>
      <c r="J542">
        <f>IFERROR(tblMoeHistory[[#This Row],[LEA State and Local Amount]]/tblMoeHistory[[#This Row],[Child Count]],0)</f>
        <v>10590.48093110148</v>
      </c>
      <c r="K542">
        <f>IFERROR(tblMoeHistory[[#This Row],[ESD State and Local Amount]]/tblMoeHistory[[#This Row],[Child Count]],0)</f>
        <v>159.02047526528173</v>
      </c>
      <c r="L542">
        <f>IFERROR(tblMoeHistory[[#This Row],[State and Local Total Amount]]/tblMoeHistory[[#This Row],[Child Count]],0)</f>
        <v>10749.50140636676</v>
      </c>
      <c r="M542">
        <v>0</v>
      </c>
      <c r="N542" t="s">
        <v>240</v>
      </c>
      <c r="O542">
        <v>7754500.2400000002</v>
      </c>
      <c r="P542">
        <v>87302.29</v>
      </c>
      <c r="Q542">
        <f>tblMoeHistory[[#This Row],[Amount of IDEA Part B, Section 611 award]]+tblMoeHistory[[#This Row],[Amount of IDEA Part B, Section 619 award]]</f>
        <v>7841802.5300000003</v>
      </c>
      <c r="U5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2" t="str">
        <f>IF(OR(IFERROR(SEARCH("Met",tblMoeHistory[[#This Row],[State and Local Per Capita Result]]),0)&gt;0,IFERROR(SEARCH("Met",tblMoeHistory[[#This Row],[State and Local Total Result]]),0)&gt;0),"Met","Not Met")</f>
        <v>Met</v>
      </c>
    </row>
    <row r="543" spans="1:22" x14ac:dyDescent="0.35">
      <c r="A543" t="s">
        <v>170</v>
      </c>
      <c r="B543">
        <v>1967</v>
      </c>
      <c r="C543" t="s">
        <v>22</v>
      </c>
      <c r="D543">
        <v>19</v>
      </c>
      <c r="E543">
        <v>127057.28</v>
      </c>
      <c r="F543">
        <v>32401</v>
      </c>
      <c r="G543">
        <f>tblMoeHistory[[#This Row],[LEA State and Local Amount]]+tblMoeHistory[[#This Row],[ESD State and Local Amount]]</f>
        <v>159458.28</v>
      </c>
      <c r="H543">
        <v>0</v>
      </c>
      <c r="I543" t="s">
        <v>241</v>
      </c>
      <c r="J543">
        <f>IFERROR(tblMoeHistory[[#This Row],[LEA State and Local Amount]]/tblMoeHistory[[#This Row],[Child Count]],0)</f>
        <v>6687.2252631578949</v>
      </c>
      <c r="K543">
        <f>IFERROR(tblMoeHistory[[#This Row],[ESD State and Local Amount]]/tblMoeHistory[[#This Row],[Child Count]],0)</f>
        <v>1705.3157894736842</v>
      </c>
      <c r="L543">
        <f>IFERROR(tblMoeHistory[[#This Row],[State and Local Total Amount]]/tblMoeHistory[[#This Row],[Child Count]],0)</f>
        <v>8392.5410526315791</v>
      </c>
      <c r="M543">
        <v>0</v>
      </c>
      <c r="N543" t="s">
        <v>240</v>
      </c>
      <c r="O543">
        <v>26871.74</v>
      </c>
      <c r="P543">
        <v>11.02</v>
      </c>
      <c r="Q543">
        <f>tblMoeHistory[[#This Row],[Amount of IDEA Part B, Section 611 award]]+tblMoeHistory[[#This Row],[Amount of IDEA Part B, Section 619 award]]</f>
        <v>26882.760000000002</v>
      </c>
      <c r="U5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3" t="str">
        <f>IF(OR(IFERROR(SEARCH("Met",tblMoeHistory[[#This Row],[State and Local Per Capita Result]]),0)&gt;0,IFERROR(SEARCH("Met",tblMoeHistory[[#This Row],[State and Local Total Result]]),0)&gt;0),"Met","Not Met")</f>
        <v>Met</v>
      </c>
    </row>
    <row r="544" spans="1:22" x14ac:dyDescent="0.35">
      <c r="A544" t="s">
        <v>171</v>
      </c>
      <c r="B544">
        <v>2009</v>
      </c>
      <c r="C544" t="s">
        <v>22</v>
      </c>
      <c r="D544">
        <v>25</v>
      </c>
      <c r="E544">
        <v>83252.759999999995</v>
      </c>
      <c r="F544">
        <v>99082.89</v>
      </c>
      <c r="G544">
        <f>tblMoeHistory[[#This Row],[LEA State and Local Amount]]+tblMoeHistory[[#This Row],[ESD State and Local Amount]]</f>
        <v>182335.65</v>
      </c>
      <c r="H544">
        <v>0</v>
      </c>
      <c r="I544" t="s">
        <v>240</v>
      </c>
      <c r="J544">
        <f>IFERROR(tblMoeHistory[[#This Row],[LEA State and Local Amount]]/tblMoeHistory[[#This Row],[Child Count]],0)</f>
        <v>3330.1103999999996</v>
      </c>
      <c r="K544">
        <f>IFERROR(tblMoeHistory[[#This Row],[ESD State and Local Amount]]/tblMoeHistory[[#This Row],[Child Count]],0)</f>
        <v>3963.3155999999999</v>
      </c>
      <c r="L544">
        <f>IFERROR(tblMoeHistory[[#This Row],[State and Local Total Amount]]/tblMoeHistory[[#This Row],[Child Count]],0)</f>
        <v>7293.4259999999995</v>
      </c>
      <c r="M544">
        <v>0</v>
      </c>
      <c r="N544" t="s">
        <v>240</v>
      </c>
      <c r="O544">
        <v>29803.22</v>
      </c>
      <c r="P544">
        <v>977.65</v>
      </c>
      <c r="Q544">
        <f>tblMoeHistory[[#This Row],[Amount of IDEA Part B, Section 611 award]]+tblMoeHistory[[#This Row],[Amount of IDEA Part B, Section 619 award]]</f>
        <v>30780.870000000003</v>
      </c>
      <c r="U5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4" t="str">
        <f>IF(OR(IFERROR(SEARCH("Met",tblMoeHistory[[#This Row],[State and Local Per Capita Result]]),0)&gt;0,IFERROR(SEARCH("Met",tblMoeHistory[[#This Row],[State and Local Total Result]]),0)&gt;0),"Met","Not Met")</f>
        <v>Not Met</v>
      </c>
    </row>
    <row r="545" spans="1:22" x14ac:dyDescent="0.35">
      <c r="A545" t="s">
        <v>172</v>
      </c>
      <c r="B545">
        <v>2045</v>
      </c>
      <c r="C545" t="s">
        <v>22</v>
      </c>
      <c r="D545">
        <v>38</v>
      </c>
      <c r="E545">
        <v>219075.17</v>
      </c>
      <c r="F545">
        <v>80062.25</v>
      </c>
      <c r="G545">
        <f>tblMoeHistory[[#This Row],[LEA State and Local Amount]]+tblMoeHistory[[#This Row],[ESD State and Local Amount]]</f>
        <v>299137.42000000004</v>
      </c>
      <c r="H545">
        <v>0</v>
      </c>
      <c r="I545" t="s">
        <v>241</v>
      </c>
      <c r="J545">
        <f>IFERROR(tblMoeHistory[[#This Row],[LEA State and Local Amount]]/tblMoeHistory[[#This Row],[Child Count]],0)</f>
        <v>5765.1360526315793</v>
      </c>
      <c r="K545">
        <f>IFERROR(tblMoeHistory[[#This Row],[ESD State and Local Amount]]/tblMoeHistory[[#This Row],[Child Count]],0)</f>
        <v>2106.9013157894738</v>
      </c>
      <c r="L545">
        <f>IFERROR(tblMoeHistory[[#This Row],[State and Local Total Amount]]/tblMoeHistory[[#This Row],[Child Count]],0)</f>
        <v>7872.0373684210535</v>
      </c>
      <c r="M545">
        <v>0</v>
      </c>
      <c r="N545" t="s">
        <v>240</v>
      </c>
      <c r="O545">
        <v>44586.49</v>
      </c>
      <c r="P545">
        <v>0</v>
      </c>
      <c r="Q545">
        <f>tblMoeHistory[[#This Row],[Amount of IDEA Part B, Section 611 award]]+tblMoeHistory[[#This Row],[Amount of IDEA Part B, Section 619 award]]</f>
        <v>44586.49</v>
      </c>
      <c r="U5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5" t="str">
        <f>IF(OR(IFERROR(SEARCH("Met",tblMoeHistory[[#This Row],[State and Local Per Capita Result]]),0)&gt;0,IFERROR(SEARCH("Met",tblMoeHistory[[#This Row],[State and Local Total Result]]),0)&gt;0),"Met","Not Met")</f>
        <v>Met</v>
      </c>
    </row>
    <row r="546" spans="1:22" x14ac:dyDescent="0.35">
      <c r="A546" t="s">
        <v>173</v>
      </c>
      <c r="B546">
        <v>1946</v>
      </c>
      <c r="C546" t="s">
        <v>22</v>
      </c>
      <c r="D546">
        <v>128</v>
      </c>
      <c r="E546">
        <v>1577030.52</v>
      </c>
      <c r="F546">
        <v>84804</v>
      </c>
      <c r="G546">
        <f>tblMoeHistory[[#This Row],[LEA State and Local Amount]]+tblMoeHistory[[#This Row],[ESD State and Local Amount]]</f>
        <v>1661834.52</v>
      </c>
      <c r="H546">
        <v>0</v>
      </c>
      <c r="I546" t="s">
        <v>241</v>
      </c>
      <c r="J546">
        <f>IFERROR(tblMoeHistory[[#This Row],[LEA State and Local Amount]]/tblMoeHistory[[#This Row],[Child Count]],0)</f>
        <v>12320.5509375</v>
      </c>
      <c r="K546">
        <f>IFERROR(tblMoeHistory[[#This Row],[ESD State and Local Amount]]/tblMoeHistory[[#This Row],[Child Count]],0)</f>
        <v>662.53125</v>
      </c>
      <c r="L546">
        <f>IFERROR(tblMoeHistory[[#This Row],[State and Local Total Amount]]/tblMoeHistory[[#This Row],[Child Count]],0)</f>
        <v>12983.0821875</v>
      </c>
      <c r="M546">
        <v>0</v>
      </c>
      <c r="N546" t="s">
        <v>241</v>
      </c>
      <c r="O546">
        <v>207708.84</v>
      </c>
      <c r="P546">
        <v>1414.54</v>
      </c>
      <c r="Q546">
        <f>tblMoeHistory[[#This Row],[Amount of IDEA Part B, Section 611 award]]+tblMoeHistory[[#This Row],[Amount of IDEA Part B, Section 619 award]]</f>
        <v>209123.38</v>
      </c>
      <c r="U5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6" t="str">
        <f>IF(OR(IFERROR(SEARCH("Met",tblMoeHistory[[#This Row],[State and Local Per Capita Result]]),0)&gt;0,IFERROR(SEARCH("Met",tblMoeHistory[[#This Row],[State and Local Total Result]]),0)&gt;0),"Met","Not Met")</f>
        <v>Met</v>
      </c>
    </row>
    <row r="547" spans="1:22" x14ac:dyDescent="0.35">
      <c r="A547" t="s">
        <v>174</v>
      </c>
      <c r="B547">
        <v>1977</v>
      </c>
      <c r="C547" t="s">
        <v>22</v>
      </c>
      <c r="D547">
        <v>955</v>
      </c>
      <c r="E547">
        <v>6434380.2199999997</v>
      </c>
      <c r="F547">
        <v>1208701.5900000001</v>
      </c>
      <c r="G547">
        <f>tblMoeHistory[[#This Row],[LEA State and Local Amount]]+tblMoeHistory[[#This Row],[ESD State and Local Amount]]</f>
        <v>7643081.8099999996</v>
      </c>
      <c r="H547">
        <v>0</v>
      </c>
      <c r="I547" t="s">
        <v>242</v>
      </c>
      <c r="J547">
        <f>IFERROR(tblMoeHistory[[#This Row],[LEA State and Local Amount]]/tblMoeHistory[[#This Row],[Child Count]],0)</f>
        <v>6737.5709109947638</v>
      </c>
      <c r="K547">
        <f>IFERROR(tblMoeHistory[[#This Row],[ESD State and Local Amount]]/tblMoeHistory[[#This Row],[Child Count]],0)</f>
        <v>1265.6561151832461</v>
      </c>
      <c r="L547">
        <f>IFERROR(tblMoeHistory[[#This Row],[State and Local Total Amount]]/tblMoeHistory[[#This Row],[Child Count]],0)</f>
        <v>8003.2270261780104</v>
      </c>
      <c r="M547">
        <v>0</v>
      </c>
      <c r="N547" t="s">
        <v>242</v>
      </c>
      <c r="O547">
        <v>1002204.69</v>
      </c>
      <c r="P547">
        <v>5973.47</v>
      </c>
      <c r="Q547">
        <f>tblMoeHistory[[#This Row],[Amount of IDEA Part B, Section 611 award]]+tblMoeHistory[[#This Row],[Amount of IDEA Part B, Section 619 award]]</f>
        <v>1008178.1599999999</v>
      </c>
      <c r="S547">
        <v>32675</v>
      </c>
      <c r="T547">
        <v>32675</v>
      </c>
      <c r="U5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7" t="str">
        <f>IF(OR(IFERROR(SEARCH("Met",tblMoeHistory[[#This Row],[State and Local Per Capita Result]]),0)&gt;0,IFERROR(SEARCH("Met",tblMoeHistory[[#This Row],[State and Local Total Result]]),0)&gt;0),"Met","Not Met")</f>
        <v>Met</v>
      </c>
    </row>
    <row r="548" spans="1:22" x14ac:dyDescent="0.35">
      <c r="A548" t="s">
        <v>175</v>
      </c>
      <c r="B548">
        <v>2001</v>
      </c>
      <c r="C548" t="s">
        <v>22</v>
      </c>
      <c r="D548">
        <v>85</v>
      </c>
      <c r="E548">
        <v>539771.42000000004</v>
      </c>
      <c r="F548">
        <v>308713</v>
      </c>
      <c r="G548">
        <f>tblMoeHistory[[#This Row],[LEA State and Local Amount]]+tblMoeHistory[[#This Row],[ESD State and Local Amount]]</f>
        <v>848484.42</v>
      </c>
      <c r="H548">
        <v>0</v>
      </c>
      <c r="I548" t="s">
        <v>241</v>
      </c>
      <c r="J548">
        <f>IFERROR(tblMoeHistory[[#This Row],[LEA State and Local Amount]]/tblMoeHistory[[#This Row],[Child Count]],0)</f>
        <v>6350.2520000000004</v>
      </c>
      <c r="K548">
        <f>IFERROR(tblMoeHistory[[#This Row],[ESD State and Local Amount]]/tblMoeHistory[[#This Row],[Child Count]],0)</f>
        <v>3631.9176470588236</v>
      </c>
      <c r="L548">
        <f>IFERROR(tblMoeHistory[[#This Row],[State and Local Total Amount]]/tblMoeHistory[[#This Row],[Child Count]],0)</f>
        <v>9982.1696470588249</v>
      </c>
      <c r="M548">
        <v>0</v>
      </c>
      <c r="N548" t="s">
        <v>241</v>
      </c>
      <c r="O548">
        <v>132696.74</v>
      </c>
      <c r="P548">
        <v>3094.82</v>
      </c>
      <c r="Q548">
        <f>tblMoeHistory[[#This Row],[Amount of IDEA Part B, Section 611 award]]+tblMoeHistory[[#This Row],[Amount of IDEA Part B, Section 619 award]]</f>
        <v>135791.56</v>
      </c>
      <c r="U5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8" t="str">
        <f>IF(OR(IFERROR(SEARCH("Met",tblMoeHistory[[#This Row],[State and Local Per Capita Result]]),0)&gt;0,IFERROR(SEARCH("Met",tblMoeHistory[[#This Row],[State and Local Total Result]]),0)&gt;0),"Met","Not Met")</f>
        <v>Met</v>
      </c>
    </row>
    <row r="549" spans="1:22" x14ac:dyDescent="0.35">
      <c r="A549" t="s">
        <v>176</v>
      </c>
      <c r="B549">
        <v>2182</v>
      </c>
      <c r="C549" t="s">
        <v>22</v>
      </c>
      <c r="D549">
        <v>1688</v>
      </c>
      <c r="E549">
        <v>15690582</v>
      </c>
      <c r="F549">
        <v>2172242</v>
      </c>
      <c r="G549">
        <f>tblMoeHistory[[#This Row],[LEA State and Local Amount]]+tblMoeHistory[[#This Row],[ESD State and Local Amount]]</f>
        <v>17862824</v>
      </c>
      <c r="H549">
        <v>0</v>
      </c>
      <c r="I549" t="s">
        <v>241</v>
      </c>
      <c r="J549">
        <f>IFERROR(tblMoeHistory[[#This Row],[LEA State and Local Amount]]/tblMoeHistory[[#This Row],[Child Count]],0)</f>
        <v>9295.3684834123214</v>
      </c>
      <c r="K549">
        <f>IFERROR(tblMoeHistory[[#This Row],[ESD State and Local Amount]]/tblMoeHistory[[#This Row],[Child Count]],0)</f>
        <v>1286.8732227488151</v>
      </c>
      <c r="L549">
        <f>IFERROR(tblMoeHistory[[#This Row],[State and Local Total Amount]]/tblMoeHistory[[#This Row],[Child Count]],0)</f>
        <v>10582.241706161138</v>
      </c>
      <c r="M549">
        <v>0</v>
      </c>
      <c r="N549" t="s">
        <v>241</v>
      </c>
      <c r="O549">
        <v>1795033.23</v>
      </c>
      <c r="P549">
        <v>9509.94</v>
      </c>
      <c r="Q549">
        <f>tblMoeHistory[[#This Row],[Amount of IDEA Part B, Section 611 award]]+tblMoeHistory[[#This Row],[Amount of IDEA Part B, Section 619 award]]</f>
        <v>1804543.17</v>
      </c>
      <c r="U5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9" t="str">
        <f>IF(OR(IFERROR(SEARCH("Met",tblMoeHistory[[#This Row],[State and Local Per Capita Result]]),0)&gt;0,IFERROR(SEARCH("Met",tblMoeHistory[[#This Row],[State and Local Total Result]]),0)&gt;0),"Met","Not Met")</f>
        <v>Met</v>
      </c>
    </row>
    <row r="550" spans="1:22" x14ac:dyDescent="0.35">
      <c r="A550" t="s">
        <v>177</v>
      </c>
      <c r="B550">
        <v>1999</v>
      </c>
      <c r="C550" t="s">
        <v>22</v>
      </c>
      <c r="D550">
        <v>63</v>
      </c>
      <c r="E550">
        <v>397661.48</v>
      </c>
      <c r="F550">
        <v>73359.02</v>
      </c>
      <c r="G550">
        <f>tblMoeHistory[[#This Row],[LEA State and Local Amount]]+tblMoeHistory[[#This Row],[ESD State and Local Amount]]</f>
        <v>471020.5</v>
      </c>
      <c r="H550">
        <v>0</v>
      </c>
      <c r="I550" t="s">
        <v>241</v>
      </c>
      <c r="J550">
        <f>IFERROR(tblMoeHistory[[#This Row],[LEA State and Local Amount]]/tblMoeHistory[[#This Row],[Child Count]],0)</f>
        <v>6312.0869841269841</v>
      </c>
      <c r="K550">
        <f>IFERROR(tblMoeHistory[[#This Row],[ESD State and Local Amount]]/tblMoeHistory[[#This Row],[Child Count]],0)</f>
        <v>1164.4288888888889</v>
      </c>
      <c r="L550">
        <f>IFERROR(tblMoeHistory[[#This Row],[State and Local Total Amount]]/tblMoeHistory[[#This Row],[Child Count]],0)</f>
        <v>7476.5158730158728</v>
      </c>
      <c r="M550">
        <v>0</v>
      </c>
      <c r="N550" t="s">
        <v>241</v>
      </c>
      <c r="O550">
        <v>67978.42</v>
      </c>
      <c r="P550">
        <v>116.17</v>
      </c>
      <c r="Q550">
        <f>tblMoeHistory[[#This Row],[Amount of IDEA Part B, Section 611 award]]+tblMoeHistory[[#This Row],[Amount of IDEA Part B, Section 619 award]]</f>
        <v>68094.59</v>
      </c>
      <c r="U5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0" t="str">
        <f>IF(OR(IFERROR(SEARCH("Met",tblMoeHistory[[#This Row],[State and Local Per Capita Result]]),0)&gt;0,IFERROR(SEARCH("Met",tblMoeHistory[[#This Row],[State and Local Total Result]]),0)&gt;0),"Met","Not Met")</f>
        <v>Met</v>
      </c>
    </row>
    <row r="551" spans="1:22" x14ac:dyDescent="0.35">
      <c r="A551" t="s">
        <v>178</v>
      </c>
      <c r="B551">
        <v>2188</v>
      </c>
      <c r="C551" t="s">
        <v>22</v>
      </c>
      <c r="D551">
        <v>61</v>
      </c>
      <c r="E551">
        <v>260318.97</v>
      </c>
      <c r="F551">
        <v>117356</v>
      </c>
      <c r="G551">
        <f>tblMoeHistory[[#This Row],[LEA State and Local Amount]]+tblMoeHistory[[#This Row],[ESD State and Local Amount]]</f>
        <v>377674.97</v>
      </c>
      <c r="H551">
        <v>0</v>
      </c>
      <c r="I551" t="s">
        <v>241</v>
      </c>
      <c r="J551">
        <f>IFERROR(tblMoeHistory[[#This Row],[LEA State and Local Amount]]/tblMoeHistory[[#This Row],[Child Count]],0)</f>
        <v>4267.5240983606554</v>
      </c>
      <c r="K551">
        <f>IFERROR(tblMoeHistory[[#This Row],[ESD State and Local Amount]]/tblMoeHistory[[#This Row],[Child Count]],0)</f>
        <v>1923.8688524590164</v>
      </c>
      <c r="L551">
        <f>IFERROR(tblMoeHistory[[#This Row],[State and Local Total Amount]]/tblMoeHistory[[#This Row],[Child Count]],0)</f>
        <v>6191.3929508196716</v>
      </c>
      <c r="M551">
        <v>0</v>
      </c>
      <c r="N551" t="s">
        <v>240</v>
      </c>
      <c r="O551">
        <v>67902.960000000006</v>
      </c>
      <c r="P551">
        <v>0</v>
      </c>
      <c r="Q551">
        <f>tblMoeHistory[[#This Row],[Amount of IDEA Part B, Section 611 award]]+tblMoeHistory[[#This Row],[Amount of IDEA Part B, Section 619 award]]</f>
        <v>67902.960000000006</v>
      </c>
      <c r="U5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1" t="str">
        <f>IF(OR(IFERROR(SEARCH("Met",tblMoeHistory[[#This Row],[State and Local Per Capita Result]]),0)&gt;0,IFERROR(SEARCH("Met",tblMoeHistory[[#This Row],[State and Local Total Result]]),0)&gt;0),"Met","Not Met")</f>
        <v>Met</v>
      </c>
    </row>
    <row r="552" spans="1:22" x14ac:dyDescent="0.35">
      <c r="A552" t="s">
        <v>179</v>
      </c>
      <c r="B552">
        <v>2044</v>
      </c>
      <c r="C552" t="s">
        <v>22</v>
      </c>
      <c r="D552">
        <v>162</v>
      </c>
      <c r="E552">
        <v>963765.08</v>
      </c>
      <c r="F552">
        <v>435577.74</v>
      </c>
      <c r="G552">
        <f>tblMoeHistory[[#This Row],[LEA State and Local Amount]]+tblMoeHistory[[#This Row],[ESD State and Local Amount]]</f>
        <v>1399342.8199999998</v>
      </c>
      <c r="H552">
        <v>0</v>
      </c>
      <c r="I552" t="s">
        <v>241</v>
      </c>
      <c r="J552">
        <f>IFERROR(tblMoeHistory[[#This Row],[LEA State and Local Amount]]/tblMoeHistory[[#This Row],[Child Count]],0)</f>
        <v>5949.1671604938265</v>
      </c>
      <c r="K552">
        <f>IFERROR(tblMoeHistory[[#This Row],[ESD State and Local Amount]]/tblMoeHistory[[#This Row],[Child Count]],0)</f>
        <v>2688.7514814814813</v>
      </c>
      <c r="L552">
        <f>IFERROR(tblMoeHistory[[#This Row],[State and Local Total Amount]]/tblMoeHistory[[#This Row],[Child Count]],0)</f>
        <v>8637.9186419753078</v>
      </c>
      <c r="M552">
        <v>0</v>
      </c>
      <c r="N552" t="s">
        <v>240</v>
      </c>
      <c r="O552">
        <v>171416.8</v>
      </c>
      <c r="P552">
        <v>981.41</v>
      </c>
      <c r="Q552">
        <f>tblMoeHistory[[#This Row],[Amount of IDEA Part B, Section 611 award]]+tblMoeHistory[[#This Row],[Amount of IDEA Part B, Section 619 award]]</f>
        <v>172398.21</v>
      </c>
      <c r="U5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2" t="str">
        <f>IF(OR(IFERROR(SEARCH("Met",tblMoeHistory[[#This Row],[State and Local Per Capita Result]]),0)&gt;0,IFERROR(SEARCH("Met",tblMoeHistory[[#This Row],[State and Local Total Result]]),0)&gt;0),"Met","Not Met")</f>
        <v>Met</v>
      </c>
    </row>
    <row r="553" spans="1:22" x14ac:dyDescent="0.35">
      <c r="A553" t="s">
        <v>180</v>
      </c>
      <c r="B553">
        <v>2142</v>
      </c>
      <c r="C553" t="s">
        <v>22</v>
      </c>
      <c r="D553">
        <v>5888</v>
      </c>
      <c r="E553">
        <v>60205044.960000001</v>
      </c>
      <c r="F553">
        <v>0</v>
      </c>
      <c r="G553">
        <f>tblMoeHistory[[#This Row],[LEA State and Local Amount]]+tblMoeHistory[[#This Row],[ESD State and Local Amount]]</f>
        <v>60205044.960000001</v>
      </c>
      <c r="H553">
        <v>0</v>
      </c>
      <c r="I553" t="s">
        <v>241</v>
      </c>
      <c r="J553">
        <f>IFERROR(tblMoeHistory[[#This Row],[LEA State and Local Amount]]/tblMoeHistory[[#This Row],[Child Count]],0)</f>
        <v>10225.04160326087</v>
      </c>
      <c r="K553">
        <f>IFERROR(tblMoeHistory[[#This Row],[ESD State and Local Amount]]/tblMoeHistory[[#This Row],[Child Count]],0)</f>
        <v>0</v>
      </c>
      <c r="L553">
        <f>IFERROR(tblMoeHistory[[#This Row],[State and Local Total Amount]]/tblMoeHistory[[#This Row],[Child Count]],0)</f>
        <v>10225.04160326087</v>
      </c>
      <c r="M553">
        <v>0</v>
      </c>
      <c r="N553" t="s">
        <v>241</v>
      </c>
      <c r="O553">
        <v>6818716.1600000001</v>
      </c>
      <c r="P553">
        <v>37629.06</v>
      </c>
      <c r="Q553">
        <f>tblMoeHistory[[#This Row],[Amount of IDEA Part B, Section 611 award]]+tblMoeHistory[[#This Row],[Amount of IDEA Part B, Section 619 award]]</f>
        <v>6856345.2199999997</v>
      </c>
      <c r="U5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3" t="str">
        <f>IF(OR(IFERROR(SEARCH("Met",tblMoeHistory[[#This Row],[State and Local Per Capita Result]]),0)&gt;0,IFERROR(SEARCH("Met",tblMoeHistory[[#This Row],[State and Local Total Result]]),0)&gt;0),"Met","Not Met")</f>
        <v>Met</v>
      </c>
    </row>
    <row r="554" spans="1:22" x14ac:dyDescent="0.35">
      <c r="A554" t="s">
        <v>181</v>
      </c>
      <c r="B554">
        <v>2104</v>
      </c>
      <c r="C554" t="s">
        <v>22</v>
      </c>
      <c r="D554">
        <v>78</v>
      </c>
      <c r="E554">
        <v>504534.53</v>
      </c>
      <c r="F554">
        <v>77990</v>
      </c>
      <c r="G554">
        <f>tblMoeHistory[[#This Row],[LEA State and Local Amount]]+tblMoeHistory[[#This Row],[ESD State and Local Amount]]</f>
        <v>582524.53</v>
      </c>
      <c r="H554">
        <v>0</v>
      </c>
      <c r="I554" t="s">
        <v>240</v>
      </c>
      <c r="J554">
        <f>IFERROR(tblMoeHistory[[#This Row],[LEA State and Local Amount]]/tblMoeHistory[[#This Row],[Child Count]],0)</f>
        <v>6468.3914102564104</v>
      </c>
      <c r="K554">
        <f>IFERROR(tblMoeHistory[[#This Row],[ESD State and Local Amount]]/tblMoeHistory[[#This Row],[Child Count]],0)</f>
        <v>999.87179487179492</v>
      </c>
      <c r="L554">
        <f>IFERROR(tblMoeHistory[[#This Row],[State and Local Total Amount]]/tblMoeHistory[[#This Row],[Child Count]],0)</f>
        <v>7468.2632051282053</v>
      </c>
      <c r="M554">
        <v>0</v>
      </c>
      <c r="N554" t="s">
        <v>240</v>
      </c>
      <c r="O554">
        <v>140313.53</v>
      </c>
      <c r="P554">
        <v>2476.86</v>
      </c>
      <c r="Q554">
        <f>tblMoeHistory[[#This Row],[Amount of IDEA Part B, Section 611 award]]+tblMoeHistory[[#This Row],[Amount of IDEA Part B, Section 619 award]]</f>
        <v>142790.38999999998</v>
      </c>
      <c r="U5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4" t="str">
        <f>IF(OR(IFERROR(SEARCH("Met",tblMoeHistory[[#This Row],[State and Local Per Capita Result]]),0)&gt;0,IFERROR(SEARCH("Met",tblMoeHistory[[#This Row],[State and Local Total Result]]),0)&gt;0),"Met","Not Met")</f>
        <v>Not Met</v>
      </c>
    </row>
    <row r="555" spans="1:22" x14ac:dyDescent="0.35">
      <c r="A555" t="s">
        <v>182</v>
      </c>
      <c r="B555">
        <v>1944</v>
      </c>
      <c r="C555" t="s">
        <v>22</v>
      </c>
      <c r="D555">
        <v>246</v>
      </c>
      <c r="E555">
        <v>2248605.9</v>
      </c>
      <c r="F555">
        <v>247860</v>
      </c>
      <c r="G555">
        <f>tblMoeHistory[[#This Row],[LEA State and Local Amount]]+tblMoeHistory[[#This Row],[ESD State and Local Amount]]</f>
        <v>2496465.9</v>
      </c>
      <c r="H555">
        <v>0</v>
      </c>
      <c r="I555" t="s">
        <v>241</v>
      </c>
      <c r="J555">
        <f>IFERROR(tblMoeHistory[[#This Row],[LEA State and Local Amount]]/tblMoeHistory[[#This Row],[Child Count]],0)</f>
        <v>9140.674390243903</v>
      </c>
      <c r="K555">
        <f>IFERROR(tblMoeHistory[[#This Row],[ESD State and Local Amount]]/tblMoeHistory[[#This Row],[Child Count]],0)</f>
        <v>1007.560975609756</v>
      </c>
      <c r="L555">
        <f>IFERROR(tblMoeHistory[[#This Row],[State and Local Total Amount]]/tblMoeHistory[[#This Row],[Child Count]],0)</f>
        <v>10148.235365853658</v>
      </c>
      <c r="M555">
        <v>0</v>
      </c>
      <c r="N555" t="s">
        <v>241</v>
      </c>
      <c r="O555">
        <v>333644.37</v>
      </c>
      <c r="P555">
        <v>1357.12</v>
      </c>
      <c r="Q555">
        <f>tblMoeHistory[[#This Row],[Amount of IDEA Part B, Section 611 award]]+tblMoeHistory[[#This Row],[Amount of IDEA Part B, Section 619 award]]</f>
        <v>335001.49</v>
      </c>
      <c r="U5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5" t="str">
        <f>IF(OR(IFERROR(SEARCH("Met",tblMoeHistory[[#This Row],[State and Local Per Capita Result]]),0)&gt;0,IFERROR(SEARCH("Met",tblMoeHistory[[#This Row],[State and Local Total Result]]),0)&gt;0),"Met","Not Met")</f>
        <v>Met</v>
      </c>
    </row>
    <row r="556" spans="1:22" x14ac:dyDescent="0.35">
      <c r="A556" t="s">
        <v>183</v>
      </c>
      <c r="B556">
        <v>2103</v>
      </c>
      <c r="C556" t="s">
        <v>22</v>
      </c>
      <c r="D556">
        <v>428</v>
      </c>
      <c r="E556">
        <v>1714681.51</v>
      </c>
      <c r="F556">
        <v>342270</v>
      </c>
      <c r="G556">
        <f>tblMoeHistory[[#This Row],[LEA State and Local Amount]]+tblMoeHistory[[#This Row],[ESD State and Local Amount]]</f>
        <v>2056951.51</v>
      </c>
      <c r="H556">
        <v>0</v>
      </c>
      <c r="I556" t="s">
        <v>241</v>
      </c>
      <c r="J556">
        <f>IFERROR(tblMoeHistory[[#This Row],[LEA State and Local Amount]]/tblMoeHistory[[#This Row],[Child Count]],0)</f>
        <v>4006.265210280374</v>
      </c>
      <c r="K556">
        <f>IFERROR(tblMoeHistory[[#This Row],[ESD State and Local Amount]]/tblMoeHistory[[#This Row],[Child Count]],0)</f>
        <v>799.69626168224295</v>
      </c>
      <c r="L556">
        <f>IFERROR(tblMoeHistory[[#This Row],[State and Local Total Amount]]/tblMoeHistory[[#This Row],[Child Count]],0)</f>
        <v>4805.961471962617</v>
      </c>
      <c r="M556">
        <v>0</v>
      </c>
      <c r="N556" t="s">
        <v>240</v>
      </c>
      <c r="O556">
        <v>399624.13</v>
      </c>
      <c r="P556">
        <v>0</v>
      </c>
      <c r="Q556">
        <f>tblMoeHistory[[#This Row],[Amount of IDEA Part B, Section 611 award]]+tblMoeHistory[[#This Row],[Amount of IDEA Part B, Section 619 award]]</f>
        <v>399624.13</v>
      </c>
      <c r="U5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6" t="str">
        <f>IF(OR(IFERROR(SEARCH("Met",tblMoeHistory[[#This Row],[State and Local Per Capita Result]]),0)&gt;0,IFERROR(SEARCH("Met",tblMoeHistory[[#This Row],[State and Local Total Result]]),0)&gt;0),"Met","Not Met")</f>
        <v>Met</v>
      </c>
    </row>
    <row r="557" spans="1:22" x14ac:dyDescent="0.35">
      <c r="A557" t="s">
        <v>184</v>
      </c>
      <c r="B557">
        <v>1935</v>
      </c>
      <c r="C557" t="s">
        <v>22</v>
      </c>
      <c r="D557">
        <v>256</v>
      </c>
      <c r="E557">
        <v>2151432.8199999998</v>
      </c>
      <c r="F557">
        <v>442544</v>
      </c>
      <c r="G557">
        <f>tblMoeHistory[[#This Row],[LEA State and Local Amount]]+tblMoeHistory[[#This Row],[ESD State and Local Amount]]</f>
        <v>2593976.8199999998</v>
      </c>
      <c r="H557">
        <v>0</v>
      </c>
      <c r="I557" t="s">
        <v>241</v>
      </c>
      <c r="J557">
        <f>IFERROR(tblMoeHistory[[#This Row],[LEA State and Local Amount]]/tblMoeHistory[[#This Row],[Child Count]],0)</f>
        <v>8404.0344531249993</v>
      </c>
      <c r="K557">
        <f>IFERROR(tblMoeHistory[[#This Row],[ESD State and Local Amount]]/tblMoeHistory[[#This Row],[Child Count]],0)</f>
        <v>1728.6875</v>
      </c>
      <c r="L557">
        <f>IFERROR(tblMoeHistory[[#This Row],[State and Local Total Amount]]/tblMoeHistory[[#This Row],[Child Count]],0)</f>
        <v>10132.721953124999</v>
      </c>
      <c r="M557">
        <v>0</v>
      </c>
      <c r="N557" t="s">
        <v>241</v>
      </c>
      <c r="O557">
        <v>222612.79</v>
      </c>
      <c r="P557">
        <v>2272.0100000000002</v>
      </c>
      <c r="Q557">
        <f>tblMoeHistory[[#This Row],[Amount of IDEA Part B, Section 611 award]]+tblMoeHistory[[#This Row],[Amount of IDEA Part B, Section 619 award]]</f>
        <v>224884.80000000002</v>
      </c>
      <c r="U5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7" t="str">
        <f>IF(OR(IFERROR(SEARCH("Met",tblMoeHistory[[#This Row],[State and Local Per Capita Result]]),0)&gt;0,IFERROR(SEARCH("Met",tblMoeHistory[[#This Row],[State and Local Total Result]]),0)&gt;0),"Met","Not Met")</f>
        <v>Met</v>
      </c>
    </row>
    <row r="558" spans="1:22" x14ac:dyDescent="0.35">
      <c r="A558" t="s">
        <v>185</v>
      </c>
      <c r="B558">
        <v>2257</v>
      </c>
      <c r="C558" t="s">
        <v>22</v>
      </c>
      <c r="D558">
        <v>127</v>
      </c>
      <c r="E558">
        <v>856520.71</v>
      </c>
      <c r="F558">
        <v>14406.09</v>
      </c>
      <c r="G558">
        <f>tblMoeHistory[[#This Row],[LEA State and Local Amount]]+tblMoeHistory[[#This Row],[ESD State and Local Amount]]</f>
        <v>870926.79999999993</v>
      </c>
      <c r="H558">
        <v>0</v>
      </c>
      <c r="I558" t="s">
        <v>240</v>
      </c>
      <c r="J558">
        <f>IFERROR(tblMoeHistory[[#This Row],[LEA State and Local Amount]]/tblMoeHistory[[#This Row],[Child Count]],0)</f>
        <v>6744.2575590551178</v>
      </c>
      <c r="K558">
        <f>IFERROR(tblMoeHistory[[#This Row],[ESD State and Local Amount]]/tblMoeHistory[[#This Row],[Child Count]],0)</f>
        <v>113.43377952755905</v>
      </c>
      <c r="L558">
        <f>IFERROR(tblMoeHistory[[#This Row],[State and Local Total Amount]]/tblMoeHistory[[#This Row],[Child Count]],0)</f>
        <v>6857.6913385826765</v>
      </c>
      <c r="M558">
        <v>0</v>
      </c>
      <c r="N558" t="s">
        <v>240</v>
      </c>
      <c r="O558">
        <v>174885.72</v>
      </c>
      <c r="P558">
        <v>1692.37</v>
      </c>
      <c r="Q558">
        <f>tblMoeHistory[[#This Row],[Amount of IDEA Part B, Section 611 award]]+tblMoeHistory[[#This Row],[Amount of IDEA Part B, Section 619 award]]</f>
        <v>176578.09</v>
      </c>
      <c r="U5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8" t="str">
        <f>IF(OR(IFERROR(SEARCH("Met",tblMoeHistory[[#This Row],[State and Local Per Capita Result]]),0)&gt;0,IFERROR(SEARCH("Met",tblMoeHistory[[#This Row],[State and Local Total Result]]),0)&gt;0),"Met","Not Met")</f>
        <v>Not Met</v>
      </c>
    </row>
    <row r="559" spans="1:22" x14ac:dyDescent="0.35">
      <c r="A559" t="s">
        <v>186</v>
      </c>
      <c r="B559">
        <v>2195</v>
      </c>
      <c r="C559" t="s">
        <v>22</v>
      </c>
      <c r="D559">
        <v>43</v>
      </c>
      <c r="E559">
        <v>183713.56</v>
      </c>
      <c r="F559">
        <v>171934</v>
      </c>
      <c r="G559">
        <f>tblMoeHistory[[#This Row],[LEA State and Local Amount]]+tblMoeHistory[[#This Row],[ESD State and Local Amount]]</f>
        <v>355647.56</v>
      </c>
      <c r="H559">
        <v>0</v>
      </c>
      <c r="I559" t="s">
        <v>240</v>
      </c>
      <c r="J559">
        <f>IFERROR(tblMoeHistory[[#This Row],[LEA State and Local Amount]]/tblMoeHistory[[#This Row],[Child Count]],0)</f>
        <v>4272.408372093023</v>
      </c>
      <c r="K559">
        <f>IFERROR(tblMoeHistory[[#This Row],[ESD State and Local Amount]]/tblMoeHistory[[#This Row],[Child Count]],0)</f>
        <v>3998.4651162790697</v>
      </c>
      <c r="L559">
        <f>IFERROR(tblMoeHistory[[#This Row],[State and Local Total Amount]]/tblMoeHistory[[#This Row],[Child Count]],0)</f>
        <v>8270.8734883720936</v>
      </c>
      <c r="M559">
        <v>0</v>
      </c>
      <c r="N559" t="s">
        <v>240</v>
      </c>
      <c r="O559">
        <v>52249.55</v>
      </c>
      <c r="P559">
        <v>0</v>
      </c>
      <c r="Q559">
        <f>tblMoeHistory[[#This Row],[Amount of IDEA Part B, Section 611 award]]+tblMoeHistory[[#This Row],[Amount of IDEA Part B, Section 619 award]]</f>
        <v>52249.55</v>
      </c>
      <c r="U5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9" t="str">
        <f>IF(OR(IFERROR(SEARCH("Met",tblMoeHistory[[#This Row],[State and Local Per Capita Result]]),0)&gt;0,IFERROR(SEARCH("Met",tblMoeHistory[[#This Row],[State and Local Total Result]]),0)&gt;0),"Met","Not Met")</f>
        <v>Not Met</v>
      </c>
    </row>
    <row r="560" spans="1:22" x14ac:dyDescent="0.35">
      <c r="A560" t="s">
        <v>187</v>
      </c>
      <c r="B560">
        <v>2244</v>
      </c>
      <c r="C560" t="s">
        <v>22</v>
      </c>
      <c r="D560">
        <v>503</v>
      </c>
      <c r="E560">
        <v>3419832.67</v>
      </c>
      <c r="F560">
        <v>648607</v>
      </c>
      <c r="G560">
        <f>tblMoeHistory[[#This Row],[LEA State and Local Amount]]+tblMoeHistory[[#This Row],[ESD State and Local Amount]]</f>
        <v>4068439.67</v>
      </c>
      <c r="H560">
        <v>0</v>
      </c>
      <c r="I560" t="s">
        <v>241</v>
      </c>
      <c r="J560">
        <f>IFERROR(tblMoeHistory[[#This Row],[LEA State and Local Amount]]/tblMoeHistory[[#This Row],[Child Count]],0)</f>
        <v>6798.8721073558645</v>
      </c>
      <c r="K560">
        <f>IFERROR(tblMoeHistory[[#This Row],[ESD State and Local Amount]]/tblMoeHistory[[#This Row],[Child Count]],0)</f>
        <v>1289.4771371769384</v>
      </c>
      <c r="L560">
        <f>IFERROR(tblMoeHistory[[#This Row],[State and Local Total Amount]]/tblMoeHistory[[#This Row],[Child Count]],0)</f>
        <v>8088.3492445328029</v>
      </c>
      <c r="M560">
        <v>0</v>
      </c>
      <c r="N560" t="s">
        <v>241</v>
      </c>
      <c r="O560">
        <v>657771.93999999994</v>
      </c>
      <c r="P560">
        <v>2096.6799999999998</v>
      </c>
      <c r="Q560">
        <f>tblMoeHistory[[#This Row],[Amount of IDEA Part B, Section 611 award]]+tblMoeHistory[[#This Row],[Amount of IDEA Part B, Section 619 award]]</f>
        <v>659868.62</v>
      </c>
      <c r="U5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0" t="str">
        <f>IF(OR(IFERROR(SEARCH("Met",tblMoeHistory[[#This Row],[State and Local Per Capita Result]]),0)&gt;0,IFERROR(SEARCH("Met",tblMoeHistory[[#This Row],[State and Local Total Result]]),0)&gt;0),"Met","Not Met")</f>
        <v>Met</v>
      </c>
    </row>
    <row r="561" spans="1:22" x14ac:dyDescent="0.35">
      <c r="A561" t="s">
        <v>188</v>
      </c>
      <c r="B561">
        <v>2138</v>
      </c>
      <c r="C561" t="s">
        <v>22</v>
      </c>
      <c r="D561">
        <v>472</v>
      </c>
      <c r="E561">
        <v>3551676.03</v>
      </c>
      <c r="F561">
        <v>285574.2</v>
      </c>
      <c r="G561">
        <f>tblMoeHistory[[#This Row],[LEA State and Local Amount]]+tblMoeHistory[[#This Row],[ESD State and Local Amount]]</f>
        <v>3837250.23</v>
      </c>
      <c r="H561">
        <v>0</v>
      </c>
      <c r="I561" t="s">
        <v>241</v>
      </c>
      <c r="J561">
        <f>IFERROR(tblMoeHistory[[#This Row],[LEA State and Local Amount]]/tblMoeHistory[[#This Row],[Child Count]],0)</f>
        <v>7524.7373516949147</v>
      </c>
      <c r="K561">
        <f>IFERROR(tblMoeHistory[[#This Row],[ESD State and Local Amount]]/tblMoeHistory[[#This Row],[Child Count]],0)</f>
        <v>605.03008474576279</v>
      </c>
      <c r="L561">
        <f>IFERROR(tblMoeHistory[[#This Row],[State and Local Total Amount]]/tblMoeHistory[[#This Row],[Child Count]],0)</f>
        <v>8129.7674364406776</v>
      </c>
      <c r="M561">
        <v>0</v>
      </c>
      <c r="N561" t="s">
        <v>241</v>
      </c>
      <c r="O561">
        <v>522391.36</v>
      </c>
      <c r="P561">
        <v>5885.07</v>
      </c>
      <c r="Q561">
        <f>tblMoeHistory[[#This Row],[Amount of IDEA Part B, Section 611 award]]+tblMoeHistory[[#This Row],[Amount of IDEA Part B, Section 619 award]]</f>
        <v>528276.42999999993</v>
      </c>
      <c r="U5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1" t="str">
        <f>IF(OR(IFERROR(SEARCH("Met",tblMoeHistory[[#This Row],[State and Local Per Capita Result]]),0)&gt;0,IFERROR(SEARCH("Met",tblMoeHistory[[#This Row],[State and Local Total Result]]),0)&gt;0),"Met","Not Met")</f>
        <v>Met</v>
      </c>
    </row>
    <row r="562" spans="1:22" x14ac:dyDescent="0.35">
      <c r="A562" t="s">
        <v>189</v>
      </c>
      <c r="B562">
        <v>1978</v>
      </c>
      <c r="C562" t="s">
        <v>22</v>
      </c>
      <c r="D562">
        <v>124</v>
      </c>
      <c r="E562">
        <v>787439.35</v>
      </c>
      <c r="F562">
        <v>107685.23</v>
      </c>
      <c r="G562">
        <f>tblMoeHistory[[#This Row],[LEA State and Local Amount]]+tblMoeHistory[[#This Row],[ESD State and Local Amount]]</f>
        <v>895124.58</v>
      </c>
      <c r="H562">
        <v>0</v>
      </c>
      <c r="I562" t="s">
        <v>241</v>
      </c>
      <c r="J562">
        <f>IFERROR(tblMoeHistory[[#This Row],[LEA State and Local Amount]]/tblMoeHistory[[#This Row],[Child Count]],0)</f>
        <v>6350.3173387096776</v>
      </c>
      <c r="K562">
        <f>IFERROR(tblMoeHistory[[#This Row],[ESD State and Local Amount]]/tblMoeHistory[[#This Row],[Child Count]],0)</f>
        <v>868.42927419354839</v>
      </c>
      <c r="L562">
        <f>IFERROR(tblMoeHistory[[#This Row],[State and Local Total Amount]]/tblMoeHistory[[#This Row],[Child Count]],0)</f>
        <v>7218.7466129032255</v>
      </c>
      <c r="M562">
        <v>0</v>
      </c>
      <c r="N562" t="s">
        <v>241</v>
      </c>
      <c r="O562">
        <v>202865.83</v>
      </c>
      <c r="P562">
        <v>1691.03</v>
      </c>
      <c r="Q562">
        <f>tblMoeHistory[[#This Row],[Amount of IDEA Part B, Section 611 award]]+tblMoeHistory[[#This Row],[Amount of IDEA Part B, Section 619 award]]</f>
        <v>204556.86</v>
      </c>
      <c r="U5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2" t="str">
        <f>IF(OR(IFERROR(SEARCH("Met",tblMoeHistory[[#This Row],[State and Local Per Capita Result]]),0)&gt;0,IFERROR(SEARCH("Met",tblMoeHistory[[#This Row],[State and Local Total Result]]),0)&gt;0),"Met","Not Met")</f>
        <v>Met</v>
      </c>
    </row>
    <row r="563" spans="1:22" x14ac:dyDescent="0.35">
      <c r="A563" t="s">
        <v>190</v>
      </c>
      <c r="B563">
        <v>2096</v>
      </c>
      <c r="C563" t="s">
        <v>22</v>
      </c>
      <c r="D563">
        <v>193</v>
      </c>
      <c r="E563">
        <v>1325156.33</v>
      </c>
      <c r="F563">
        <v>506682</v>
      </c>
      <c r="G563">
        <f>tblMoeHistory[[#This Row],[LEA State and Local Amount]]+tblMoeHistory[[#This Row],[ESD State and Local Amount]]</f>
        <v>1831838.33</v>
      </c>
      <c r="H563">
        <v>0</v>
      </c>
      <c r="I563" t="s">
        <v>241</v>
      </c>
      <c r="J563">
        <f>IFERROR(tblMoeHistory[[#This Row],[LEA State and Local Amount]]/tblMoeHistory[[#This Row],[Child Count]],0)</f>
        <v>6866.0949740932647</v>
      </c>
      <c r="K563">
        <f>IFERROR(tblMoeHistory[[#This Row],[ESD State and Local Amount]]/tblMoeHistory[[#This Row],[Child Count]],0)</f>
        <v>2625.2953367875648</v>
      </c>
      <c r="L563">
        <f>IFERROR(tblMoeHistory[[#This Row],[State and Local Total Amount]]/tblMoeHistory[[#This Row],[Child Count]],0)</f>
        <v>9491.3903108808299</v>
      </c>
      <c r="M563">
        <v>0</v>
      </c>
      <c r="N563" t="s">
        <v>241</v>
      </c>
      <c r="O563">
        <v>189352.3</v>
      </c>
      <c r="P563">
        <v>3314.9</v>
      </c>
      <c r="Q563">
        <f>tblMoeHistory[[#This Row],[Amount of IDEA Part B, Section 611 award]]+tblMoeHistory[[#This Row],[Amount of IDEA Part B, Section 619 award]]</f>
        <v>192667.19999999998</v>
      </c>
      <c r="U5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3" t="str">
        <f>IF(OR(IFERROR(SEARCH("Met",tblMoeHistory[[#This Row],[State and Local Per Capita Result]]),0)&gt;0,IFERROR(SEARCH("Met",tblMoeHistory[[#This Row],[State and Local Total Result]]),0)&gt;0),"Met","Not Met")</f>
        <v>Met</v>
      </c>
    </row>
    <row r="564" spans="1:22" x14ac:dyDescent="0.35">
      <c r="A564" t="s">
        <v>191</v>
      </c>
      <c r="B564">
        <v>2022</v>
      </c>
      <c r="C564" t="s">
        <v>22</v>
      </c>
      <c r="D564">
        <v>4</v>
      </c>
      <c r="E564">
        <v>9354.1</v>
      </c>
      <c r="F564">
        <v>716</v>
      </c>
      <c r="G564">
        <f>tblMoeHistory[[#This Row],[LEA State and Local Amount]]+tblMoeHistory[[#This Row],[ESD State and Local Amount]]</f>
        <v>10070.1</v>
      </c>
      <c r="H564">
        <v>0</v>
      </c>
      <c r="I564" t="s">
        <v>241</v>
      </c>
      <c r="J564">
        <f>IFERROR(tblMoeHistory[[#This Row],[LEA State and Local Amount]]/tblMoeHistory[[#This Row],[Child Count]],0)</f>
        <v>2338.5250000000001</v>
      </c>
      <c r="K564">
        <f>IFERROR(tblMoeHistory[[#This Row],[ESD State and Local Amount]]/tblMoeHistory[[#This Row],[Child Count]],0)</f>
        <v>179</v>
      </c>
      <c r="L564">
        <f>IFERROR(tblMoeHistory[[#This Row],[State and Local Total Amount]]/tblMoeHistory[[#This Row],[Child Count]],0)</f>
        <v>2517.5250000000001</v>
      </c>
      <c r="M564">
        <v>0</v>
      </c>
      <c r="N564" t="s">
        <v>240</v>
      </c>
      <c r="O564">
        <v>2440.1999999999998</v>
      </c>
      <c r="P564">
        <v>0.61</v>
      </c>
      <c r="Q564">
        <f>tblMoeHistory[[#This Row],[Amount of IDEA Part B, Section 611 award]]+tblMoeHistory[[#This Row],[Amount of IDEA Part B, Section 619 award]]</f>
        <v>2440.81</v>
      </c>
      <c r="U5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4" t="str">
        <f>IF(OR(IFERROR(SEARCH("Met",tblMoeHistory[[#This Row],[State and Local Per Capita Result]]),0)&gt;0,IFERROR(SEARCH("Met",tblMoeHistory[[#This Row],[State and Local Total Result]]),0)&gt;0),"Met","Not Met")</f>
        <v>Met</v>
      </c>
    </row>
    <row r="565" spans="1:22" x14ac:dyDescent="0.35">
      <c r="A565" t="s">
        <v>192</v>
      </c>
      <c r="B565">
        <v>2087</v>
      </c>
      <c r="C565" t="s">
        <v>22</v>
      </c>
      <c r="D565">
        <v>445</v>
      </c>
      <c r="E565">
        <v>2940772.06</v>
      </c>
      <c r="F565">
        <v>828187</v>
      </c>
      <c r="G565">
        <f>tblMoeHistory[[#This Row],[LEA State and Local Amount]]+tblMoeHistory[[#This Row],[ESD State and Local Amount]]</f>
        <v>3768959.06</v>
      </c>
      <c r="H565">
        <v>0</v>
      </c>
      <c r="I565" t="s">
        <v>241</v>
      </c>
      <c r="J565">
        <f>IFERROR(tblMoeHistory[[#This Row],[LEA State and Local Amount]]/tblMoeHistory[[#This Row],[Child Count]],0)</f>
        <v>6608.4765393258431</v>
      </c>
      <c r="K565">
        <f>IFERROR(tblMoeHistory[[#This Row],[ESD State and Local Amount]]/tblMoeHistory[[#This Row],[Child Count]],0)</f>
        <v>1861.094382022472</v>
      </c>
      <c r="L565">
        <f>IFERROR(tblMoeHistory[[#This Row],[State and Local Total Amount]]/tblMoeHistory[[#This Row],[Child Count]],0)</f>
        <v>8469.5709213483151</v>
      </c>
      <c r="M565">
        <v>0</v>
      </c>
      <c r="N565" t="s">
        <v>241</v>
      </c>
      <c r="O565">
        <v>519927.8</v>
      </c>
      <c r="P565">
        <v>3462.56</v>
      </c>
      <c r="Q565">
        <f>tblMoeHistory[[#This Row],[Amount of IDEA Part B, Section 611 award]]+tblMoeHistory[[#This Row],[Amount of IDEA Part B, Section 619 award]]</f>
        <v>523390.36</v>
      </c>
      <c r="U5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5" t="str">
        <f>IF(OR(IFERROR(SEARCH("Met",tblMoeHistory[[#This Row],[State and Local Per Capita Result]]),0)&gt;0,IFERROR(SEARCH("Met",tblMoeHistory[[#This Row],[State and Local Total Result]]),0)&gt;0),"Met","Not Met")</f>
        <v>Met</v>
      </c>
    </row>
    <row r="566" spans="1:22" x14ac:dyDescent="0.35">
      <c r="A566" t="s">
        <v>193</v>
      </c>
      <c r="B566">
        <v>1994</v>
      </c>
      <c r="C566" t="s">
        <v>22</v>
      </c>
      <c r="D566">
        <v>205</v>
      </c>
      <c r="E566">
        <v>1800938.35</v>
      </c>
      <c r="F566">
        <v>304512.90000000002</v>
      </c>
      <c r="G566">
        <f>tblMoeHistory[[#This Row],[LEA State and Local Amount]]+tblMoeHistory[[#This Row],[ESD State and Local Amount]]</f>
        <v>2105451.25</v>
      </c>
      <c r="H566">
        <v>0</v>
      </c>
      <c r="I566" t="s">
        <v>242</v>
      </c>
      <c r="J566">
        <f>IFERROR(tblMoeHistory[[#This Row],[LEA State and Local Amount]]/tblMoeHistory[[#This Row],[Child Count]],0)</f>
        <v>8785.0651219512201</v>
      </c>
      <c r="K566">
        <f>IFERROR(tblMoeHistory[[#This Row],[ESD State and Local Amount]]/tblMoeHistory[[#This Row],[Child Count]],0)</f>
        <v>1485.4287804878049</v>
      </c>
      <c r="L566">
        <f>IFERROR(tblMoeHistory[[#This Row],[State and Local Total Amount]]/tblMoeHistory[[#This Row],[Child Count]],0)</f>
        <v>10270.493902439024</v>
      </c>
      <c r="M566">
        <v>0</v>
      </c>
      <c r="N566" t="s">
        <v>241</v>
      </c>
      <c r="O566">
        <v>313348.23</v>
      </c>
      <c r="P566">
        <v>3017.05</v>
      </c>
      <c r="Q566">
        <f>tblMoeHistory[[#This Row],[Amount of IDEA Part B, Section 611 award]]+tblMoeHistory[[#This Row],[Amount of IDEA Part B, Section 619 award]]</f>
        <v>316365.27999999997</v>
      </c>
      <c r="S566">
        <v>222633.56</v>
      </c>
      <c r="T566">
        <v>222633.56</v>
      </c>
      <c r="U5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6" t="str">
        <f>IF(OR(IFERROR(SEARCH("Met",tblMoeHistory[[#This Row],[State and Local Per Capita Result]]),0)&gt;0,IFERROR(SEARCH("Met",tblMoeHistory[[#This Row],[State and Local Total Result]]),0)&gt;0),"Met","Not Met")</f>
        <v>Met</v>
      </c>
    </row>
    <row r="567" spans="1:22" x14ac:dyDescent="0.35">
      <c r="A567" t="s">
        <v>194</v>
      </c>
      <c r="B567">
        <v>2225</v>
      </c>
      <c r="C567" t="s">
        <v>22</v>
      </c>
      <c r="D567">
        <v>34</v>
      </c>
      <c r="E567">
        <v>177996.83</v>
      </c>
      <c r="F567">
        <v>48646</v>
      </c>
      <c r="G567">
        <f>tblMoeHistory[[#This Row],[LEA State and Local Amount]]+tblMoeHistory[[#This Row],[ESD State and Local Amount]]</f>
        <v>226642.83</v>
      </c>
      <c r="H567">
        <v>0</v>
      </c>
      <c r="I567" t="s">
        <v>241</v>
      </c>
      <c r="J567">
        <f>IFERROR(tblMoeHistory[[#This Row],[LEA State and Local Amount]]/tblMoeHistory[[#This Row],[Child Count]],0)</f>
        <v>5235.2008823529404</v>
      </c>
      <c r="K567">
        <f>IFERROR(tblMoeHistory[[#This Row],[ESD State and Local Amount]]/tblMoeHistory[[#This Row],[Child Count]],0)</f>
        <v>1430.7647058823529</v>
      </c>
      <c r="L567">
        <f>IFERROR(tblMoeHistory[[#This Row],[State and Local Total Amount]]/tblMoeHistory[[#This Row],[Child Count]],0)</f>
        <v>6665.9655882352936</v>
      </c>
      <c r="M567">
        <v>0</v>
      </c>
      <c r="N567" t="s">
        <v>241</v>
      </c>
      <c r="O567">
        <v>51812.71</v>
      </c>
      <c r="P567">
        <v>0</v>
      </c>
      <c r="Q567">
        <f>tblMoeHistory[[#This Row],[Amount of IDEA Part B, Section 611 award]]+tblMoeHistory[[#This Row],[Amount of IDEA Part B, Section 619 award]]</f>
        <v>51812.71</v>
      </c>
      <c r="U5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7" t="str">
        <f>IF(OR(IFERROR(SEARCH("Met",tblMoeHistory[[#This Row],[State and Local Per Capita Result]]),0)&gt;0,IFERROR(SEARCH("Met",tblMoeHistory[[#This Row],[State and Local Total Result]]),0)&gt;0),"Met","Not Met")</f>
        <v>Met</v>
      </c>
    </row>
    <row r="568" spans="1:22" x14ac:dyDescent="0.35">
      <c r="A568" t="s">
        <v>195</v>
      </c>
      <c r="B568">
        <v>2247</v>
      </c>
      <c r="C568" t="s">
        <v>22</v>
      </c>
      <c r="D568">
        <v>5</v>
      </c>
      <c r="E568">
        <v>24217.27</v>
      </c>
      <c r="F568">
        <v>17879</v>
      </c>
      <c r="G568">
        <f>tblMoeHistory[[#This Row],[LEA State and Local Amount]]+tblMoeHistory[[#This Row],[ESD State and Local Amount]]</f>
        <v>42096.270000000004</v>
      </c>
      <c r="H568">
        <v>0</v>
      </c>
      <c r="I568" t="s">
        <v>240</v>
      </c>
      <c r="J568">
        <f>IFERROR(tblMoeHistory[[#This Row],[LEA State and Local Amount]]/tblMoeHistory[[#This Row],[Child Count]],0)</f>
        <v>4843.4539999999997</v>
      </c>
      <c r="K568">
        <f>IFERROR(tblMoeHistory[[#This Row],[ESD State and Local Amount]]/tblMoeHistory[[#This Row],[Child Count]],0)</f>
        <v>3575.8</v>
      </c>
      <c r="L568">
        <f>IFERROR(tblMoeHistory[[#This Row],[State and Local Total Amount]]/tblMoeHistory[[#This Row],[Child Count]],0)</f>
        <v>8419.2540000000008</v>
      </c>
      <c r="M568">
        <v>0</v>
      </c>
      <c r="N568" t="s">
        <v>240</v>
      </c>
      <c r="O568">
        <v>3956.82</v>
      </c>
      <c r="P568">
        <v>0</v>
      </c>
      <c r="Q568">
        <f>tblMoeHistory[[#This Row],[Amount of IDEA Part B, Section 611 award]]+tblMoeHistory[[#This Row],[Amount of IDEA Part B, Section 619 award]]</f>
        <v>3956.82</v>
      </c>
      <c r="U5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8" t="str">
        <f>IF(OR(IFERROR(SEARCH("Met",tblMoeHistory[[#This Row],[State and Local Per Capita Result]]),0)&gt;0,IFERROR(SEARCH("Met",tblMoeHistory[[#This Row],[State and Local Total Result]]),0)&gt;0),"Met","Not Met")</f>
        <v>Not Met</v>
      </c>
    </row>
    <row r="569" spans="1:22" x14ac:dyDescent="0.35">
      <c r="A569" t="s">
        <v>196</v>
      </c>
      <c r="B569">
        <v>2083</v>
      </c>
      <c r="C569" t="s">
        <v>22</v>
      </c>
      <c r="D569">
        <v>1506</v>
      </c>
      <c r="E569">
        <v>13074619.300000001</v>
      </c>
      <c r="F569">
        <v>2749096</v>
      </c>
      <c r="G569">
        <f>tblMoeHistory[[#This Row],[LEA State and Local Amount]]+tblMoeHistory[[#This Row],[ESD State and Local Amount]]</f>
        <v>15823715.300000001</v>
      </c>
      <c r="H569">
        <v>0</v>
      </c>
      <c r="I569" t="s">
        <v>241</v>
      </c>
      <c r="J569">
        <f>IFERROR(tblMoeHistory[[#This Row],[LEA State and Local Amount]]/tblMoeHistory[[#This Row],[Child Count]],0)</f>
        <v>8681.6861221779545</v>
      </c>
      <c r="K569">
        <f>IFERROR(tblMoeHistory[[#This Row],[ESD State and Local Amount]]/tblMoeHistory[[#This Row],[Child Count]],0)</f>
        <v>1825.4289508632139</v>
      </c>
      <c r="L569">
        <f>IFERROR(tblMoeHistory[[#This Row],[State and Local Total Amount]]/tblMoeHistory[[#This Row],[Child Count]],0)</f>
        <v>10507.11507304117</v>
      </c>
      <c r="M569">
        <v>0</v>
      </c>
      <c r="N569" t="s">
        <v>241</v>
      </c>
      <c r="O569">
        <v>1840439.26</v>
      </c>
      <c r="P569">
        <v>18291.62</v>
      </c>
      <c r="Q569">
        <f>tblMoeHistory[[#This Row],[Amount of IDEA Part B, Section 611 award]]+tblMoeHistory[[#This Row],[Amount of IDEA Part B, Section 619 award]]</f>
        <v>1858730.8800000001</v>
      </c>
      <c r="U5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9" t="str">
        <f>IF(OR(IFERROR(SEARCH("Met",tblMoeHistory[[#This Row],[State and Local Per Capita Result]]),0)&gt;0,IFERROR(SEARCH("Met",tblMoeHistory[[#This Row],[State and Local Total Result]]),0)&gt;0),"Met","Not Met")</f>
        <v>Met</v>
      </c>
    </row>
    <row r="570" spans="1:22" x14ac:dyDescent="0.35">
      <c r="A570" t="s">
        <v>197</v>
      </c>
      <c r="B570">
        <v>1948</v>
      </c>
      <c r="C570" t="s">
        <v>22</v>
      </c>
      <c r="D570">
        <v>472</v>
      </c>
      <c r="E570">
        <v>3373778.05</v>
      </c>
      <c r="F570">
        <v>660165</v>
      </c>
      <c r="G570">
        <f>tblMoeHistory[[#This Row],[LEA State and Local Amount]]+tblMoeHistory[[#This Row],[ESD State and Local Amount]]</f>
        <v>4033943.05</v>
      </c>
      <c r="H570">
        <v>0</v>
      </c>
      <c r="I570" t="s">
        <v>242</v>
      </c>
      <c r="J570">
        <f>IFERROR(tblMoeHistory[[#This Row],[LEA State and Local Amount]]/tblMoeHistory[[#This Row],[Child Count]],0)</f>
        <v>7147.8348516949145</v>
      </c>
      <c r="K570">
        <f>IFERROR(tblMoeHistory[[#This Row],[ESD State and Local Amount]]/tblMoeHistory[[#This Row],[Child Count]],0)</f>
        <v>1398.6546610169491</v>
      </c>
      <c r="L570">
        <f>IFERROR(tblMoeHistory[[#This Row],[State and Local Total Amount]]/tblMoeHistory[[#This Row],[Child Count]],0)</f>
        <v>8546.4895127118634</v>
      </c>
      <c r="M570">
        <v>0</v>
      </c>
      <c r="N570" t="s">
        <v>241</v>
      </c>
      <c r="O570">
        <v>560265.63</v>
      </c>
      <c r="P570">
        <v>6948.81</v>
      </c>
      <c r="Q570">
        <f>tblMoeHistory[[#This Row],[Amount of IDEA Part B, Section 611 award]]+tblMoeHistory[[#This Row],[Amount of IDEA Part B, Section 619 award]]</f>
        <v>567214.44000000006</v>
      </c>
      <c r="S570">
        <v>151260.60999999999</v>
      </c>
      <c r="T570">
        <v>151260.60999999999</v>
      </c>
      <c r="U5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0" t="str">
        <f>IF(OR(IFERROR(SEARCH("Met",tblMoeHistory[[#This Row],[State and Local Per Capita Result]]),0)&gt;0,IFERROR(SEARCH("Met",tblMoeHistory[[#This Row],[State and Local Total Result]]),0)&gt;0),"Met","Not Met")</f>
        <v>Met</v>
      </c>
    </row>
    <row r="571" spans="1:22" x14ac:dyDescent="0.35">
      <c r="A571" t="s">
        <v>198</v>
      </c>
      <c r="B571">
        <v>2144</v>
      </c>
      <c r="C571" t="s">
        <v>22</v>
      </c>
      <c r="D571">
        <v>33</v>
      </c>
      <c r="E571">
        <v>297351.71999999997</v>
      </c>
      <c r="F571">
        <v>22806.61</v>
      </c>
      <c r="G571">
        <f>tblMoeHistory[[#This Row],[LEA State and Local Amount]]+tblMoeHistory[[#This Row],[ESD State and Local Amount]]</f>
        <v>320158.32999999996</v>
      </c>
      <c r="H571">
        <v>0</v>
      </c>
      <c r="I571" t="s">
        <v>241</v>
      </c>
      <c r="J571">
        <f>IFERROR(tblMoeHistory[[#This Row],[LEA State and Local Amount]]/tblMoeHistory[[#This Row],[Child Count]],0)</f>
        <v>9010.6581818181803</v>
      </c>
      <c r="K571">
        <f>IFERROR(tblMoeHistory[[#This Row],[ESD State and Local Amount]]/tblMoeHistory[[#This Row],[Child Count]],0)</f>
        <v>691.10939393939395</v>
      </c>
      <c r="L571">
        <f>IFERROR(tblMoeHistory[[#This Row],[State and Local Total Amount]]/tblMoeHistory[[#This Row],[Child Count]],0)</f>
        <v>9701.7675757575744</v>
      </c>
      <c r="M571">
        <v>0</v>
      </c>
      <c r="N571" t="s">
        <v>241</v>
      </c>
      <c r="O571">
        <v>46915.41</v>
      </c>
      <c r="P571">
        <v>0</v>
      </c>
      <c r="Q571">
        <f>tblMoeHistory[[#This Row],[Amount of IDEA Part B, Section 611 award]]+tblMoeHistory[[#This Row],[Amount of IDEA Part B, Section 619 award]]</f>
        <v>46915.41</v>
      </c>
      <c r="U5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1" t="str">
        <f>IF(OR(IFERROR(SEARCH("Met",tblMoeHistory[[#This Row],[State and Local Per Capita Result]]),0)&gt;0,IFERROR(SEARCH("Met",tblMoeHistory[[#This Row],[State and Local Total Result]]),0)&gt;0),"Met","Not Met")</f>
        <v>Met</v>
      </c>
    </row>
    <row r="572" spans="1:22" x14ac:dyDescent="0.35">
      <c r="A572" t="s">
        <v>199</v>
      </c>
      <c r="B572">
        <v>2209</v>
      </c>
      <c r="C572" t="s">
        <v>22</v>
      </c>
      <c r="D572">
        <v>73</v>
      </c>
      <c r="E572">
        <v>458044.95</v>
      </c>
      <c r="F572">
        <v>102310.08</v>
      </c>
      <c r="G572">
        <f>tblMoeHistory[[#This Row],[LEA State and Local Amount]]+tblMoeHistory[[#This Row],[ESD State and Local Amount]]</f>
        <v>560355.03</v>
      </c>
      <c r="H572">
        <v>0</v>
      </c>
      <c r="I572" t="s">
        <v>240</v>
      </c>
      <c r="J572">
        <f>IFERROR(tblMoeHistory[[#This Row],[LEA State and Local Amount]]/tblMoeHistory[[#This Row],[Child Count]],0)</f>
        <v>6274.5883561643841</v>
      </c>
      <c r="K572">
        <f>IFERROR(tblMoeHistory[[#This Row],[ESD State and Local Amount]]/tblMoeHistory[[#This Row],[Child Count]],0)</f>
        <v>1401.5079452054795</v>
      </c>
      <c r="L572">
        <f>IFERROR(tblMoeHistory[[#This Row],[State and Local Total Amount]]/tblMoeHistory[[#This Row],[Child Count]],0)</f>
        <v>7676.0963013698638</v>
      </c>
      <c r="M572">
        <v>0</v>
      </c>
      <c r="N572" t="s">
        <v>240</v>
      </c>
      <c r="O572">
        <v>91384.03</v>
      </c>
      <c r="P572">
        <v>634.85</v>
      </c>
      <c r="Q572">
        <f>tblMoeHistory[[#This Row],[Amount of IDEA Part B, Section 611 award]]+tblMoeHistory[[#This Row],[Amount of IDEA Part B, Section 619 award]]</f>
        <v>92018.880000000005</v>
      </c>
      <c r="U5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2" t="str">
        <f>IF(OR(IFERROR(SEARCH("Met",tblMoeHistory[[#This Row],[State and Local Per Capita Result]]),0)&gt;0,IFERROR(SEARCH("Met",tblMoeHistory[[#This Row],[State and Local Total Result]]),0)&gt;0),"Met","Not Met")</f>
        <v>Not Met</v>
      </c>
    </row>
    <row r="573" spans="1:22" x14ac:dyDescent="0.35">
      <c r="A573" t="s">
        <v>200</v>
      </c>
      <c r="B573">
        <v>2018</v>
      </c>
      <c r="C573" t="s">
        <v>22</v>
      </c>
      <c r="D573">
        <v>1</v>
      </c>
      <c r="E573">
        <v>9078.9</v>
      </c>
      <c r="F573">
        <v>1880</v>
      </c>
      <c r="G573">
        <f>tblMoeHistory[[#This Row],[LEA State and Local Amount]]+tblMoeHistory[[#This Row],[ESD State and Local Amount]]</f>
        <v>10958.9</v>
      </c>
      <c r="H573">
        <v>0</v>
      </c>
      <c r="I573" t="s">
        <v>242</v>
      </c>
      <c r="J573">
        <f>IFERROR(tblMoeHistory[[#This Row],[LEA State and Local Amount]]/tblMoeHistory[[#This Row],[Child Count]],0)</f>
        <v>9078.9</v>
      </c>
      <c r="K573">
        <f>IFERROR(tblMoeHistory[[#This Row],[ESD State and Local Amount]]/tblMoeHistory[[#This Row],[Child Count]],0)</f>
        <v>1880</v>
      </c>
      <c r="L573">
        <f>IFERROR(tblMoeHistory[[#This Row],[State and Local Total Amount]]/tblMoeHistory[[#This Row],[Child Count]],0)</f>
        <v>10958.9</v>
      </c>
      <c r="M573">
        <v>0</v>
      </c>
      <c r="N573" t="s">
        <v>241</v>
      </c>
      <c r="O573">
        <v>0</v>
      </c>
      <c r="P573">
        <v>0</v>
      </c>
      <c r="Q573">
        <f>tblMoeHistory[[#This Row],[Amount of IDEA Part B, Section 611 award]]+tblMoeHistory[[#This Row],[Amount of IDEA Part B, Section 619 award]]</f>
        <v>0</v>
      </c>
      <c r="S573">
        <v>6300</v>
      </c>
      <c r="T573">
        <v>6300</v>
      </c>
      <c r="U5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3" t="str">
        <f>IF(OR(IFERROR(SEARCH("Met",tblMoeHistory[[#This Row],[State and Local Per Capita Result]]),0)&gt;0,IFERROR(SEARCH("Met",tblMoeHistory[[#This Row],[State and Local Total Result]]),0)&gt;0),"Met","Not Met")</f>
        <v>Met</v>
      </c>
    </row>
    <row r="574" spans="1:22" x14ac:dyDescent="0.35">
      <c r="A574" t="s">
        <v>201</v>
      </c>
      <c r="B574">
        <v>2003</v>
      </c>
      <c r="C574" t="s">
        <v>22</v>
      </c>
      <c r="D574">
        <v>159</v>
      </c>
      <c r="E574">
        <v>1012763.78</v>
      </c>
      <c r="F574">
        <v>268560.95</v>
      </c>
      <c r="G574">
        <f>tblMoeHistory[[#This Row],[LEA State and Local Amount]]+tblMoeHistory[[#This Row],[ESD State and Local Amount]]</f>
        <v>1281324.73</v>
      </c>
      <c r="H574">
        <v>0</v>
      </c>
      <c r="I574" t="s">
        <v>241</v>
      </c>
      <c r="J574">
        <f>IFERROR(tblMoeHistory[[#This Row],[LEA State and Local Amount]]/tblMoeHistory[[#This Row],[Child Count]],0)</f>
        <v>6369.5835220125791</v>
      </c>
      <c r="K574">
        <f>IFERROR(tblMoeHistory[[#This Row],[ESD State and Local Amount]]/tblMoeHistory[[#This Row],[Child Count]],0)</f>
        <v>1689.0625786163523</v>
      </c>
      <c r="L574">
        <f>IFERROR(tblMoeHistory[[#This Row],[State and Local Total Amount]]/tblMoeHistory[[#This Row],[Child Count]],0)</f>
        <v>8058.646100628931</v>
      </c>
      <c r="M574">
        <v>0</v>
      </c>
      <c r="N574" t="s">
        <v>241</v>
      </c>
      <c r="O574">
        <v>225878.62</v>
      </c>
      <c r="P574">
        <v>2631.46</v>
      </c>
      <c r="Q574">
        <f>tblMoeHistory[[#This Row],[Amount of IDEA Part B, Section 611 award]]+tblMoeHistory[[#This Row],[Amount of IDEA Part B, Section 619 award]]</f>
        <v>228510.07999999999</v>
      </c>
      <c r="U5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4" t="str">
        <f>IF(OR(IFERROR(SEARCH("Met",tblMoeHistory[[#This Row],[State and Local Per Capita Result]]),0)&gt;0,IFERROR(SEARCH("Met",tblMoeHistory[[#This Row],[State and Local Total Result]]),0)&gt;0),"Met","Not Met")</f>
        <v>Met</v>
      </c>
    </row>
    <row r="575" spans="1:22" x14ac:dyDescent="0.35">
      <c r="A575" t="s">
        <v>202</v>
      </c>
      <c r="B575">
        <v>2102</v>
      </c>
      <c r="C575" t="s">
        <v>22</v>
      </c>
      <c r="D575">
        <v>394</v>
      </c>
      <c r="E575">
        <v>2068911.51</v>
      </c>
      <c r="F575">
        <v>304026</v>
      </c>
      <c r="G575">
        <f>tblMoeHistory[[#This Row],[LEA State and Local Amount]]+tblMoeHistory[[#This Row],[ESD State and Local Amount]]</f>
        <v>2372937.5099999998</v>
      </c>
      <c r="H575">
        <v>0</v>
      </c>
      <c r="I575" t="s">
        <v>241</v>
      </c>
      <c r="J575">
        <f>IFERROR(tblMoeHistory[[#This Row],[LEA State and Local Amount]]/tblMoeHistory[[#This Row],[Child Count]],0)</f>
        <v>5251.0444416243654</v>
      </c>
      <c r="K575">
        <f>IFERROR(tblMoeHistory[[#This Row],[ESD State and Local Amount]]/tblMoeHistory[[#This Row],[Child Count]],0)</f>
        <v>771.63959390862942</v>
      </c>
      <c r="L575">
        <f>IFERROR(tblMoeHistory[[#This Row],[State and Local Total Amount]]/tblMoeHistory[[#This Row],[Child Count]],0)</f>
        <v>6022.6840355329941</v>
      </c>
      <c r="M575">
        <v>0</v>
      </c>
      <c r="N575" t="s">
        <v>240</v>
      </c>
      <c r="O575">
        <v>400798.95</v>
      </c>
      <c r="P575">
        <v>5059.97</v>
      </c>
      <c r="Q575">
        <f>tblMoeHistory[[#This Row],[Amount of IDEA Part B, Section 611 award]]+tblMoeHistory[[#This Row],[Amount of IDEA Part B, Section 619 award]]</f>
        <v>405858.92</v>
      </c>
      <c r="U5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5" t="str">
        <f>IF(OR(IFERROR(SEARCH("Met",tblMoeHistory[[#This Row],[State and Local Per Capita Result]]),0)&gt;0,IFERROR(SEARCH("Met",tblMoeHistory[[#This Row],[State and Local Total Result]]),0)&gt;0),"Met","Not Met")</f>
        <v>Met</v>
      </c>
    </row>
    <row r="576" spans="1:22" x14ac:dyDescent="0.35">
      <c r="A576" t="s">
        <v>203</v>
      </c>
      <c r="B576">
        <v>2055</v>
      </c>
      <c r="C576" t="s">
        <v>22</v>
      </c>
      <c r="D576">
        <v>606</v>
      </c>
      <c r="E576">
        <v>5334442.83</v>
      </c>
      <c r="F576">
        <v>274749.17</v>
      </c>
      <c r="G576">
        <f>tblMoeHistory[[#This Row],[LEA State and Local Amount]]+tblMoeHistory[[#This Row],[ESD State and Local Amount]]</f>
        <v>5609192</v>
      </c>
      <c r="H576">
        <v>0</v>
      </c>
      <c r="I576" t="s">
        <v>241</v>
      </c>
      <c r="J576">
        <f>IFERROR(tblMoeHistory[[#This Row],[LEA State and Local Amount]]/tblMoeHistory[[#This Row],[Child Count]],0)</f>
        <v>8802.7109405940591</v>
      </c>
      <c r="K576">
        <f>IFERROR(tblMoeHistory[[#This Row],[ESD State and Local Amount]]/tblMoeHistory[[#This Row],[Child Count]],0)</f>
        <v>453.38146864686468</v>
      </c>
      <c r="L576">
        <f>IFERROR(tblMoeHistory[[#This Row],[State and Local Total Amount]]/tblMoeHistory[[#This Row],[Child Count]],0)</f>
        <v>9256.0924092409241</v>
      </c>
      <c r="M576">
        <v>0</v>
      </c>
      <c r="N576" t="s">
        <v>240</v>
      </c>
      <c r="O576">
        <v>873309.29</v>
      </c>
      <c r="P576">
        <v>7461.14</v>
      </c>
      <c r="Q576">
        <f>tblMoeHistory[[#This Row],[Amount of IDEA Part B, Section 611 award]]+tblMoeHistory[[#This Row],[Amount of IDEA Part B, Section 619 award]]</f>
        <v>880770.43</v>
      </c>
      <c r="U5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6" t="str">
        <f>IF(OR(IFERROR(SEARCH("Met",tblMoeHistory[[#This Row],[State and Local Per Capita Result]]),0)&gt;0,IFERROR(SEARCH("Met",tblMoeHistory[[#This Row],[State and Local Total Result]]),0)&gt;0),"Met","Not Met")</f>
        <v>Met</v>
      </c>
    </row>
    <row r="577" spans="1:22" x14ac:dyDescent="0.35">
      <c r="A577" t="s">
        <v>204</v>
      </c>
      <c r="B577">
        <v>2242</v>
      </c>
      <c r="C577" t="s">
        <v>22</v>
      </c>
      <c r="D577">
        <v>1291</v>
      </c>
      <c r="E577">
        <v>9641492.2200000007</v>
      </c>
      <c r="F577">
        <v>1573920</v>
      </c>
      <c r="G577">
        <f>tblMoeHistory[[#This Row],[LEA State and Local Amount]]+tblMoeHistory[[#This Row],[ESD State and Local Amount]]</f>
        <v>11215412.220000001</v>
      </c>
      <c r="H577">
        <v>0</v>
      </c>
      <c r="I577" t="s">
        <v>241</v>
      </c>
      <c r="J577">
        <f>IFERROR(tblMoeHistory[[#This Row],[LEA State and Local Amount]]/tblMoeHistory[[#This Row],[Child Count]],0)</f>
        <v>7468.2356467854379</v>
      </c>
      <c r="K577">
        <f>IFERROR(tblMoeHistory[[#This Row],[ESD State and Local Amount]]/tblMoeHistory[[#This Row],[Child Count]],0)</f>
        <v>1219.1479473276529</v>
      </c>
      <c r="L577">
        <f>IFERROR(tblMoeHistory[[#This Row],[State and Local Total Amount]]/tblMoeHistory[[#This Row],[Child Count]],0)</f>
        <v>8687.383594113091</v>
      </c>
      <c r="M577">
        <v>0</v>
      </c>
      <c r="N577" t="s">
        <v>241</v>
      </c>
      <c r="O577">
        <v>1981793.01</v>
      </c>
      <c r="P577">
        <v>9971.56</v>
      </c>
      <c r="Q577">
        <f>tblMoeHistory[[#This Row],[Amount of IDEA Part B, Section 611 award]]+tblMoeHistory[[#This Row],[Amount of IDEA Part B, Section 619 award]]</f>
        <v>1991764.57</v>
      </c>
      <c r="U5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7" t="str">
        <f>IF(OR(IFERROR(SEARCH("Met",tblMoeHistory[[#This Row],[State and Local Per Capita Result]]),0)&gt;0,IFERROR(SEARCH("Met",tblMoeHistory[[#This Row],[State and Local Total Result]]),0)&gt;0),"Met","Not Met")</f>
        <v>Met</v>
      </c>
    </row>
    <row r="578" spans="1:22" x14ac:dyDescent="0.35">
      <c r="A578" t="s">
        <v>205</v>
      </c>
      <c r="B578">
        <v>2197</v>
      </c>
      <c r="C578" t="s">
        <v>22</v>
      </c>
      <c r="D578">
        <v>254</v>
      </c>
      <c r="E578">
        <v>2323791.58</v>
      </c>
      <c r="F578">
        <v>216873</v>
      </c>
      <c r="G578">
        <f>tblMoeHistory[[#This Row],[LEA State and Local Amount]]+tblMoeHistory[[#This Row],[ESD State and Local Amount]]</f>
        <v>2540664.58</v>
      </c>
      <c r="H578">
        <v>0</v>
      </c>
      <c r="I578" t="s">
        <v>241</v>
      </c>
      <c r="J578">
        <f>IFERROR(tblMoeHistory[[#This Row],[LEA State and Local Amount]]/tblMoeHistory[[#This Row],[Child Count]],0)</f>
        <v>9148.785748031496</v>
      </c>
      <c r="K578">
        <f>IFERROR(tblMoeHistory[[#This Row],[ESD State and Local Amount]]/tblMoeHistory[[#This Row],[Child Count]],0)</f>
        <v>853.83070866141736</v>
      </c>
      <c r="L578">
        <f>IFERROR(tblMoeHistory[[#This Row],[State and Local Total Amount]]/tblMoeHistory[[#This Row],[Child Count]],0)</f>
        <v>10002.616456692913</v>
      </c>
      <c r="M578">
        <v>0</v>
      </c>
      <c r="N578" t="s">
        <v>240</v>
      </c>
      <c r="O578">
        <v>353319.19</v>
      </c>
      <c r="P578">
        <v>2929.32</v>
      </c>
      <c r="Q578">
        <f>tblMoeHistory[[#This Row],[Amount of IDEA Part B, Section 611 award]]+tblMoeHistory[[#This Row],[Amount of IDEA Part B, Section 619 award]]</f>
        <v>356248.51</v>
      </c>
      <c r="U5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8" t="str">
        <f>IF(OR(IFERROR(SEARCH("Met",tblMoeHistory[[#This Row],[State and Local Per Capita Result]]),0)&gt;0,IFERROR(SEARCH("Met",tblMoeHistory[[#This Row],[State and Local Total Result]]),0)&gt;0),"Met","Not Met")</f>
        <v>Met</v>
      </c>
    </row>
    <row r="579" spans="1:22" x14ac:dyDescent="0.35">
      <c r="A579" t="s">
        <v>206</v>
      </c>
      <c r="B579">
        <v>2222</v>
      </c>
      <c r="C579" t="s">
        <v>22</v>
      </c>
      <c r="D579">
        <v>0</v>
      </c>
      <c r="E579">
        <v>0</v>
      </c>
      <c r="F579">
        <v>3700</v>
      </c>
      <c r="G579">
        <f>tblMoeHistory[[#This Row],[LEA State and Local Amount]]+tblMoeHistory[[#This Row],[ESD State and Local Amount]]</f>
        <v>3700</v>
      </c>
      <c r="H579">
        <v>0</v>
      </c>
      <c r="I579" t="s">
        <v>241</v>
      </c>
      <c r="J579">
        <f>IFERROR(tblMoeHistory[[#This Row],[LEA State and Local Amount]]/tblMoeHistory[[#This Row],[Child Count]],0)</f>
        <v>0</v>
      </c>
      <c r="K579">
        <f>IFERROR(tblMoeHistory[[#This Row],[ESD State and Local Amount]]/tblMoeHistory[[#This Row],[Child Count]],0)</f>
        <v>0</v>
      </c>
      <c r="L579">
        <f>IFERROR(tblMoeHistory[[#This Row],[State and Local Total Amount]]/tblMoeHistory[[#This Row],[Child Count]],0)</f>
        <v>0</v>
      </c>
      <c r="M579">
        <v>0</v>
      </c>
      <c r="N579" t="s">
        <v>241</v>
      </c>
      <c r="O579">
        <v>2494.44</v>
      </c>
      <c r="P579">
        <v>0.28999999999999998</v>
      </c>
      <c r="Q579">
        <f>tblMoeHistory[[#This Row],[Amount of IDEA Part B, Section 611 award]]+tblMoeHistory[[#This Row],[Amount of IDEA Part B, Section 619 award]]</f>
        <v>2494.73</v>
      </c>
      <c r="U5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9" t="str">
        <f>IF(OR(IFERROR(SEARCH("Met",tblMoeHistory[[#This Row],[State and Local Per Capita Result]]),0)&gt;0,IFERROR(SEARCH("Met",tblMoeHistory[[#This Row],[State and Local Total Result]]),0)&gt;0),"Met","Not Met")</f>
        <v>Met</v>
      </c>
    </row>
    <row r="580" spans="1:22" x14ac:dyDescent="0.35">
      <c r="A580" t="s">
        <v>207</v>
      </c>
      <c r="B580">
        <v>2210</v>
      </c>
      <c r="C580" t="s">
        <v>22</v>
      </c>
      <c r="D580">
        <v>4</v>
      </c>
      <c r="E580">
        <v>4116.75</v>
      </c>
      <c r="F580">
        <v>5857.45</v>
      </c>
      <c r="G580">
        <f>tblMoeHistory[[#This Row],[LEA State and Local Amount]]+tblMoeHistory[[#This Row],[ESD State and Local Amount]]</f>
        <v>9974.2000000000007</v>
      </c>
      <c r="H580">
        <v>0</v>
      </c>
      <c r="I580" t="s">
        <v>240</v>
      </c>
      <c r="J580">
        <f>IFERROR(tblMoeHistory[[#This Row],[LEA State and Local Amount]]/tblMoeHistory[[#This Row],[Child Count]],0)</f>
        <v>1029.1875</v>
      </c>
      <c r="K580">
        <f>IFERROR(tblMoeHistory[[#This Row],[ESD State and Local Amount]]/tblMoeHistory[[#This Row],[Child Count]],0)</f>
        <v>1464.3625</v>
      </c>
      <c r="L580">
        <f>IFERROR(tblMoeHistory[[#This Row],[State and Local Total Amount]]/tblMoeHistory[[#This Row],[Child Count]],0)</f>
        <v>2493.5500000000002</v>
      </c>
      <c r="M580">
        <v>0</v>
      </c>
      <c r="N580" t="s">
        <v>240</v>
      </c>
      <c r="O580">
        <v>9045.11</v>
      </c>
      <c r="P580">
        <v>4.0599999999999996</v>
      </c>
      <c r="Q580">
        <f>tblMoeHistory[[#This Row],[Amount of IDEA Part B, Section 611 award]]+tblMoeHistory[[#This Row],[Amount of IDEA Part B, Section 619 award]]</f>
        <v>9049.17</v>
      </c>
      <c r="U5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0" t="str">
        <f>IF(OR(IFERROR(SEARCH("Met",tblMoeHistory[[#This Row],[State and Local Per Capita Result]]),0)&gt;0,IFERROR(SEARCH("Met",tblMoeHistory[[#This Row],[State and Local Total Result]]),0)&gt;0),"Met","Not Met")</f>
        <v>Not Met</v>
      </c>
    </row>
    <row r="581" spans="1:22" x14ac:dyDescent="0.35">
      <c r="A581" t="s">
        <v>208</v>
      </c>
      <c r="B581">
        <v>2204</v>
      </c>
      <c r="C581" t="s">
        <v>22</v>
      </c>
      <c r="D581">
        <v>144</v>
      </c>
      <c r="E581">
        <v>1205550.78</v>
      </c>
      <c r="F581">
        <v>214773.07</v>
      </c>
      <c r="G581">
        <f>tblMoeHistory[[#This Row],[LEA State and Local Amount]]+tblMoeHistory[[#This Row],[ESD State and Local Amount]]</f>
        <v>1420323.85</v>
      </c>
      <c r="H581">
        <v>0</v>
      </c>
      <c r="I581" t="s">
        <v>241</v>
      </c>
      <c r="J581">
        <f>IFERROR(tblMoeHistory[[#This Row],[LEA State and Local Amount]]/tblMoeHistory[[#This Row],[Child Count]],0)</f>
        <v>8371.8804166666669</v>
      </c>
      <c r="K581">
        <f>IFERROR(tblMoeHistory[[#This Row],[ESD State and Local Amount]]/tblMoeHistory[[#This Row],[Child Count]],0)</f>
        <v>1491.4796527777778</v>
      </c>
      <c r="L581">
        <f>IFERROR(tblMoeHistory[[#This Row],[State and Local Total Amount]]/tblMoeHistory[[#This Row],[Child Count]],0)</f>
        <v>9863.3600694444449</v>
      </c>
      <c r="M581">
        <v>0</v>
      </c>
      <c r="N581" t="s">
        <v>241</v>
      </c>
      <c r="O581">
        <v>212750.79</v>
      </c>
      <c r="P581">
        <v>1568.25</v>
      </c>
      <c r="Q581">
        <f>tblMoeHistory[[#This Row],[Amount of IDEA Part B, Section 611 award]]+tblMoeHistory[[#This Row],[Amount of IDEA Part B, Section 619 award]]</f>
        <v>214319.04</v>
      </c>
      <c r="U5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1" t="str">
        <f>IF(OR(IFERROR(SEARCH("Met",tblMoeHistory[[#This Row],[State and Local Per Capita Result]]),0)&gt;0,IFERROR(SEARCH("Met",tblMoeHistory[[#This Row],[State and Local Total Result]]),0)&gt;0),"Met","Not Met")</f>
        <v>Met</v>
      </c>
    </row>
    <row r="582" spans="1:22" x14ac:dyDescent="0.35">
      <c r="A582" t="s">
        <v>209</v>
      </c>
      <c r="B582">
        <v>2213</v>
      </c>
      <c r="C582" t="s">
        <v>22</v>
      </c>
      <c r="D582">
        <v>50</v>
      </c>
      <c r="E582">
        <v>313810.42</v>
      </c>
      <c r="F582">
        <v>126911.36</v>
      </c>
      <c r="G582">
        <f>tblMoeHistory[[#This Row],[LEA State and Local Amount]]+tblMoeHistory[[#This Row],[ESD State and Local Amount]]</f>
        <v>440721.77999999997</v>
      </c>
      <c r="H582">
        <v>0</v>
      </c>
      <c r="I582" t="s">
        <v>242</v>
      </c>
      <c r="J582">
        <f>IFERROR(tblMoeHistory[[#This Row],[LEA State and Local Amount]]/tblMoeHistory[[#This Row],[Child Count]],0)</f>
        <v>6276.2083999999995</v>
      </c>
      <c r="K582">
        <f>IFERROR(tblMoeHistory[[#This Row],[ESD State and Local Amount]]/tblMoeHistory[[#This Row],[Child Count]],0)</f>
        <v>2538.2271999999998</v>
      </c>
      <c r="L582">
        <f>IFERROR(tblMoeHistory[[#This Row],[State and Local Total Amount]]/tblMoeHistory[[#This Row],[Child Count]],0)</f>
        <v>8814.4355999999989</v>
      </c>
      <c r="M582">
        <v>0</v>
      </c>
      <c r="N582" t="s">
        <v>242</v>
      </c>
      <c r="O582">
        <v>65845.89</v>
      </c>
      <c r="P582">
        <v>283.45</v>
      </c>
      <c r="Q582">
        <f>tblMoeHistory[[#This Row],[Amount of IDEA Part B, Section 611 award]]+tblMoeHistory[[#This Row],[Amount of IDEA Part B, Section 619 award]]</f>
        <v>66129.34</v>
      </c>
      <c r="S582">
        <v>26578.78</v>
      </c>
      <c r="T582">
        <v>26578.78</v>
      </c>
      <c r="U5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2" t="str">
        <f>IF(OR(IFERROR(SEARCH("Met",tblMoeHistory[[#This Row],[State and Local Per Capita Result]]),0)&gt;0,IFERROR(SEARCH("Met",tblMoeHistory[[#This Row],[State and Local Total Result]]),0)&gt;0),"Met","Not Met")</f>
        <v>Met</v>
      </c>
    </row>
    <row r="583" spans="1:22" x14ac:dyDescent="0.35">
      <c r="A583" t="s">
        <v>210</v>
      </c>
      <c r="B583">
        <v>2116</v>
      </c>
      <c r="C583" t="s">
        <v>22</v>
      </c>
      <c r="D583">
        <v>106</v>
      </c>
      <c r="E583">
        <v>594509.34</v>
      </c>
      <c r="F583">
        <v>265747.28999999998</v>
      </c>
      <c r="G583">
        <f>tblMoeHistory[[#This Row],[LEA State and Local Amount]]+tblMoeHistory[[#This Row],[ESD State and Local Amount]]</f>
        <v>860256.62999999989</v>
      </c>
      <c r="H583">
        <v>0</v>
      </c>
      <c r="I583" t="s">
        <v>241</v>
      </c>
      <c r="J583">
        <f>IFERROR(tblMoeHistory[[#This Row],[LEA State and Local Amount]]/tblMoeHistory[[#This Row],[Child Count]],0)</f>
        <v>5608.5786792452827</v>
      </c>
      <c r="K583">
        <f>IFERROR(tblMoeHistory[[#This Row],[ESD State and Local Amount]]/tblMoeHistory[[#This Row],[Child Count]],0)</f>
        <v>2507.0499056603771</v>
      </c>
      <c r="L583">
        <f>IFERROR(tblMoeHistory[[#This Row],[State and Local Total Amount]]/tblMoeHistory[[#This Row],[Child Count]],0)</f>
        <v>8115.6285849056594</v>
      </c>
      <c r="M583">
        <v>0</v>
      </c>
      <c r="N583" t="s">
        <v>241</v>
      </c>
      <c r="O583">
        <v>154748.81</v>
      </c>
      <c r="P583">
        <v>475.58</v>
      </c>
      <c r="Q583">
        <f>tblMoeHistory[[#This Row],[Amount of IDEA Part B, Section 611 award]]+tblMoeHistory[[#This Row],[Amount of IDEA Part B, Section 619 award]]</f>
        <v>155224.38999999998</v>
      </c>
      <c r="U5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3" t="str">
        <f>IF(OR(IFERROR(SEARCH("Met",tblMoeHistory[[#This Row],[State and Local Per Capita Result]]),0)&gt;0,IFERROR(SEARCH("Met",tblMoeHistory[[#This Row],[State and Local Total Result]]),0)&gt;0),"Met","Not Met")</f>
        <v>Met</v>
      </c>
    </row>
    <row r="584" spans="1:22" x14ac:dyDescent="0.35">
      <c r="A584" t="s">
        <v>211</v>
      </c>
      <c r="B584">
        <v>1947</v>
      </c>
      <c r="C584" t="s">
        <v>22</v>
      </c>
      <c r="D584">
        <v>88</v>
      </c>
      <c r="E584">
        <v>764207.13</v>
      </c>
      <c r="F584">
        <v>140187</v>
      </c>
      <c r="G584">
        <f>tblMoeHistory[[#This Row],[LEA State and Local Amount]]+tblMoeHistory[[#This Row],[ESD State and Local Amount]]</f>
        <v>904394.13</v>
      </c>
      <c r="H584">
        <v>0</v>
      </c>
      <c r="I584" t="s">
        <v>241</v>
      </c>
      <c r="J584">
        <f>IFERROR(tblMoeHistory[[#This Row],[LEA State and Local Amount]]/tblMoeHistory[[#This Row],[Child Count]],0)</f>
        <v>8684.1719318181822</v>
      </c>
      <c r="K584">
        <f>IFERROR(tblMoeHistory[[#This Row],[ESD State and Local Amount]]/tblMoeHistory[[#This Row],[Child Count]],0)</f>
        <v>1593.034090909091</v>
      </c>
      <c r="L584">
        <f>IFERROR(tblMoeHistory[[#This Row],[State and Local Total Amount]]/tblMoeHistory[[#This Row],[Child Count]],0)</f>
        <v>10277.206022727272</v>
      </c>
      <c r="M584">
        <v>0</v>
      </c>
      <c r="N584" t="s">
        <v>241</v>
      </c>
      <c r="O584">
        <v>107448.75</v>
      </c>
      <c r="P584">
        <v>1540.41</v>
      </c>
      <c r="Q584">
        <f>tblMoeHistory[[#This Row],[Amount of IDEA Part B, Section 611 award]]+tblMoeHistory[[#This Row],[Amount of IDEA Part B, Section 619 award]]</f>
        <v>108989.16</v>
      </c>
      <c r="U5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4" t="str">
        <f>IF(OR(IFERROR(SEARCH("Met",tblMoeHistory[[#This Row],[State and Local Per Capita Result]]),0)&gt;0,IFERROR(SEARCH("Met",tblMoeHistory[[#This Row],[State and Local Total Result]]),0)&gt;0),"Met","Not Met")</f>
        <v>Met</v>
      </c>
    </row>
    <row r="585" spans="1:22" x14ac:dyDescent="0.35">
      <c r="A585" t="s">
        <v>212</v>
      </c>
      <c r="B585">
        <v>2220</v>
      </c>
      <c r="C585" t="s">
        <v>22</v>
      </c>
      <c r="D585">
        <v>28</v>
      </c>
      <c r="E585">
        <v>76708.37</v>
      </c>
      <c r="F585">
        <v>130114.47</v>
      </c>
      <c r="G585">
        <f>tblMoeHistory[[#This Row],[LEA State and Local Amount]]+tblMoeHistory[[#This Row],[ESD State and Local Amount]]</f>
        <v>206822.84</v>
      </c>
      <c r="H585">
        <v>0</v>
      </c>
      <c r="I585" t="s">
        <v>240</v>
      </c>
      <c r="J585">
        <f>IFERROR(tblMoeHistory[[#This Row],[LEA State and Local Amount]]/tblMoeHistory[[#This Row],[Child Count]],0)</f>
        <v>2739.5846428571426</v>
      </c>
      <c r="K585">
        <f>IFERROR(tblMoeHistory[[#This Row],[ESD State and Local Amount]]/tblMoeHistory[[#This Row],[Child Count]],0)</f>
        <v>4646.9453571428576</v>
      </c>
      <c r="L585">
        <f>IFERROR(tblMoeHistory[[#This Row],[State and Local Total Amount]]/tblMoeHistory[[#This Row],[Child Count]],0)</f>
        <v>7386.53</v>
      </c>
      <c r="M585">
        <v>0</v>
      </c>
      <c r="N585" t="s">
        <v>240</v>
      </c>
      <c r="O585">
        <v>57196.25</v>
      </c>
      <c r="P585">
        <v>654.11</v>
      </c>
      <c r="Q585">
        <f>tblMoeHistory[[#This Row],[Amount of IDEA Part B, Section 611 award]]+tblMoeHistory[[#This Row],[Amount of IDEA Part B, Section 619 award]]</f>
        <v>57850.36</v>
      </c>
      <c r="U5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5" t="str">
        <f>IF(OR(IFERROR(SEARCH("Met",tblMoeHistory[[#This Row],[State and Local Per Capita Result]]),0)&gt;0,IFERROR(SEARCH("Met",tblMoeHistory[[#This Row],[State and Local Total Result]]),0)&gt;0),"Met","Not Met")</f>
        <v>Not Met</v>
      </c>
    </row>
    <row r="586" spans="1:22" x14ac:dyDescent="0.35">
      <c r="A586" t="s">
        <v>213</v>
      </c>
      <c r="B586">
        <v>1936</v>
      </c>
      <c r="C586" t="s">
        <v>22</v>
      </c>
      <c r="D586">
        <v>149</v>
      </c>
      <c r="E586">
        <v>1200932.97</v>
      </c>
      <c r="F586">
        <v>235785</v>
      </c>
      <c r="G586">
        <f>tblMoeHistory[[#This Row],[LEA State and Local Amount]]+tblMoeHistory[[#This Row],[ESD State and Local Amount]]</f>
        <v>1436717.97</v>
      </c>
      <c r="H586">
        <v>0</v>
      </c>
      <c r="I586" t="s">
        <v>241</v>
      </c>
      <c r="J586">
        <f>IFERROR(tblMoeHistory[[#This Row],[LEA State and Local Amount]]/tblMoeHistory[[#This Row],[Child Count]],0)</f>
        <v>8059.9528187919459</v>
      </c>
      <c r="K586">
        <f>IFERROR(tblMoeHistory[[#This Row],[ESD State and Local Amount]]/tblMoeHistory[[#This Row],[Child Count]],0)</f>
        <v>1582.4496644295302</v>
      </c>
      <c r="L586">
        <f>IFERROR(tblMoeHistory[[#This Row],[State and Local Total Amount]]/tblMoeHistory[[#This Row],[Child Count]],0)</f>
        <v>9642.4024832214764</v>
      </c>
      <c r="M586">
        <v>0</v>
      </c>
      <c r="N586" t="s">
        <v>241</v>
      </c>
      <c r="O586">
        <v>136884.76999999999</v>
      </c>
      <c r="P586">
        <v>1235.6400000000001</v>
      </c>
      <c r="Q586">
        <f>tblMoeHistory[[#This Row],[Amount of IDEA Part B, Section 611 award]]+tblMoeHistory[[#This Row],[Amount of IDEA Part B, Section 619 award]]</f>
        <v>138120.41</v>
      </c>
      <c r="U5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6" t="str">
        <f>IF(OR(IFERROR(SEARCH("Met",tblMoeHistory[[#This Row],[State and Local Per Capita Result]]),0)&gt;0,IFERROR(SEARCH("Met",tblMoeHistory[[#This Row],[State and Local Total Result]]),0)&gt;0),"Met","Not Met")</f>
        <v>Met</v>
      </c>
    </row>
    <row r="587" spans="1:22" x14ac:dyDescent="0.35">
      <c r="A587" t="s">
        <v>214</v>
      </c>
      <c r="B587">
        <v>1922</v>
      </c>
      <c r="C587" t="s">
        <v>22</v>
      </c>
      <c r="D587">
        <v>857</v>
      </c>
      <c r="E587">
        <v>6187501.8899999997</v>
      </c>
      <c r="F587">
        <v>415338</v>
      </c>
      <c r="G587">
        <f>tblMoeHistory[[#This Row],[LEA State and Local Amount]]+tblMoeHistory[[#This Row],[ESD State and Local Amount]]</f>
        <v>6602839.8899999997</v>
      </c>
      <c r="H587">
        <v>0</v>
      </c>
      <c r="I587" t="s">
        <v>241</v>
      </c>
      <c r="J587">
        <f>IFERROR(tblMoeHistory[[#This Row],[LEA State and Local Amount]]/tblMoeHistory[[#This Row],[Child Count]],0)</f>
        <v>7219.9555309218204</v>
      </c>
      <c r="K587">
        <f>IFERROR(tblMoeHistory[[#This Row],[ESD State and Local Amount]]/tblMoeHistory[[#This Row],[Child Count]],0)</f>
        <v>484.64177362893815</v>
      </c>
      <c r="L587">
        <f>IFERROR(tblMoeHistory[[#This Row],[State and Local Total Amount]]/tblMoeHistory[[#This Row],[Child Count]],0)</f>
        <v>7704.5973045507581</v>
      </c>
      <c r="M587">
        <v>0</v>
      </c>
      <c r="N587" t="s">
        <v>241</v>
      </c>
      <c r="O587">
        <v>1215053.27</v>
      </c>
      <c r="P587">
        <v>8268.76</v>
      </c>
      <c r="Q587">
        <f>tblMoeHistory[[#This Row],[Amount of IDEA Part B, Section 611 award]]+tblMoeHistory[[#This Row],[Amount of IDEA Part B, Section 619 award]]</f>
        <v>1223322.03</v>
      </c>
      <c r="U5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7" t="str">
        <f>IF(OR(IFERROR(SEARCH("Met",tblMoeHistory[[#This Row],[State and Local Per Capita Result]]),0)&gt;0,IFERROR(SEARCH("Met",tblMoeHistory[[#This Row],[State and Local Total Result]]),0)&gt;0),"Met","Not Met")</f>
        <v>Met</v>
      </c>
    </row>
    <row r="588" spans="1:22" x14ac:dyDescent="0.35">
      <c r="A588" t="s">
        <v>215</v>
      </c>
      <c r="B588">
        <v>2255</v>
      </c>
      <c r="C588" t="s">
        <v>22</v>
      </c>
      <c r="D588">
        <v>112</v>
      </c>
      <c r="E588">
        <v>887643.83</v>
      </c>
      <c r="F588">
        <v>132408.54999999999</v>
      </c>
      <c r="G588">
        <f>tblMoeHistory[[#This Row],[LEA State and Local Amount]]+tblMoeHistory[[#This Row],[ESD State and Local Amount]]</f>
        <v>1020052.3799999999</v>
      </c>
      <c r="H588">
        <v>0</v>
      </c>
      <c r="I588" t="s">
        <v>241</v>
      </c>
      <c r="J588">
        <f>IFERROR(tblMoeHistory[[#This Row],[LEA State and Local Amount]]/tblMoeHistory[[#This Row],[Child Count]],0)</f>
        <v>7925.3913392857139</v>
      </c>
      <c r="K588">
        <f>IFERROR(tblMoeHistory[[#This Row],[ESD State and Local Amount]]/tblMoeHistory[[#This Row],[Child Count]],0)</f>
        <v>1182.2191964285714</v>
      </c>
      <c r="L588">
        <f>IFERROR(tblMoeHistory[[#This Row],[State and Local Total Amount]]/tblMoeHistory[[#This Row],[Child Count]],0)</f>
        <v>9107.6105357142842</v>
      </c>
      <c r="M588">
        <v>0</v>
      </c>
      <c r="N588" t="s">
        <v>241</v>
      </c>
      <c r="O588">
        <v>208358.84</v>
      </c>
      <c r="P588">
        <v>2504.66</v>
      </c>
      <c r="Q588">
        <f>tblMoeHistory[[#This Row],[Amount of IDEA Part B, Section 611 award]]+tblMoeHistory[[#This Row],[Amount of IDEA Part B, Section 619 award]]</f>
        <v>210863.5</v>
      </c>
      <c r="U5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8" t="str">
        <f>IF(OR(IFERROR(SEARCH("Met",tblMoeHistory[[#This Row],[State and Local Per Capita Result]]),0)&gt;0,IFERROR(SEARCH("Met",tblMoeHistory[[#This Row],[State and Local Total Result]]),0)&gt;0),"Met","Not Met")</f>
        <v>Met</v>
      </c>
    </row>
    <row r="589" spans="1:22" x14ac:dyDescent="0.35">
      <c r="A589" t="s">
        <v>216</v>
      </c>
      <c r="B589">
        <v>2002</v>
      </c>
      <c r="C589" t="s">
        <v>22</v>
      </c>
      <c r="D589">
        <v>196</v>
      </c>
      <c r="E589">
        <v>1492513.56</v>
      </c>
      <c r="F589">
        <v>242135.26</v>
      </c>
      <c r="G589">
        <f>tblMoeHistory[[#This Row],[LEA State and Local Amount]]+tblMoeHistory[[#This Row],[ESD State and Local Amount]]</f>
        <v>1734648.82</v>
      </c>
      <c r="H589">
        <v>0</v>
      </c>
      <c r="I589" t="s">
        <v>241</v>
      </c>
      <c r="J589">
        <f>IFERROR(tblMoeHistory[[#This Row],[LEA State and Local Amount]]/tblMoeHistory[[#This Row],[Child Count]],0)</f>
        <v>7614.865102040817</v>
      </c>
      <c r="K589">
        <f>IFERROR(tblMoeHistory[[#This Row],[ESD State and Local Amount]]/tblMoeHistory[[#This Row],[Child Count]],0)</f>
        <v>1235.3839795918368</v>
      </c>
      <c r="L589">
        <f>IFERROR(tblMoeHistory[[#This Row],[State and Local Total Amount]]/tblMoeHistory[[#This Row],[Child Count]],0)</f>
        <v>8850.2490816326535</v>
      </c>
      <c r="M589">
        <v>0</v>
      </c>
      <c r="N589" t="s">
        <v>241</v>
      </c>
      <c r="O589">
        <v>275912.64</v>
      </c>
      <c r="P589">
        <v>5229.9799999999996</v>
      </c>
      <c r="Q589">
        <f>tblMoeHistory[[#This Row],[Amount of IDEA Part B, Section 611 award]]+tblMoeHistory[[#This Row],[Amount of IDEA Part B, Section 619 award]]</f>
        <v>281142.62</v>
      </c>
      <c r="U5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9" t="str">
        <f>IF(OR(IFERROR(SEARCH("Met",tblMoeHistory[[#This Row],[State and Local Per Capita Result]]),0)&gt;0,IFERROR(SEARCH("Met",tblMoeHistory[[#This Row],[State and Local Total Result]]),0)&gt;0),"Met","Not Met")</f>
        <v>Met</v>
      </c>
    </row>
    <row r="590" spans="1:22" x14ac:dyDescent="0.35">
      <c r="A590" t="s">
        <v>217</v>
      </c>
      <c r="B590">
        <v>2146</v>
      </c>
      <c r="C590" t="s">
        <v>22</v>
      </c>
      <c r="D590">
        <v>650</v>
      </c>
      <c r="E590">
        <v>5141284.4800000004</v>
      </c>
      <c r="F590">
        <v>237535.48</v>
      </c>
      <c r="G590">
        <f>tblMoeHistory[[#This Row],[LEA State and Local Amount]]+tblMoeHistory[[#This Row],[ESD State and Local Amount]]</f>
        <v>5378819.9600000009</v>
      </c>
      <c r="H590">
        <v>0</v>
      </c>
      <c r="I590" t="s">
        <v>240</v>
      </c>
      <c r="J590">
        <f>IFERROR(tblMoeHistory[[#This Row],[LEA State and Local Amount]]/tblMoeHistory[[#This Row],[Child Count]],0)</f>
        <v>7909.6684307692312</v>
      </c>
      <c r="K590">
        <f>IFERROR(tblMoeHistory[[#This Row],[ESD State and Local Amount]]/tblMoeHistory[[#This Row],[Child Count]],0)</f>
        <v>365.43920000000003</v>
      </c>
      <c r="L590">
        <f>IFERROR(tblMoeHistory[[#This Row],[State and Local Total Amount]]/tblMoeHistory[[#This Row],[Child Count]],0)</f>
        <v>8275.1076307692329</v>
      </c>
      <c r="M590">
        <v>0</v>
      </c>
      <c r="N590" t="s">
        <v>240</v>
      </c>
      <c r="O590">
        <v>735737.81</v>
      </c>
      <c r="P590">
        <v>3178.98</v>
      </c>
      <c r="Q590">
        <f>tblMoeHistory[[#This Row],[Amount of IDEA Part B, Section 611 award]]+tblMoeHistory[[#This Row],[Amount of IDEA Part B, Section 619 award]]</f>
        <v>738916.79</v>
      </c>
      <c r="U5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0" t="str">
        <f>IF(OR(IFERROR(SEARCH("Met",tblMoeHistory[[#This Row],[State and Local Per Capita Result]]),0)&gt;0,IFERROR(SEARCH("Met",tblMoeHistory[[#This Row],[State and Local Total Result]]),0)&gt;0),"Met","Not Met")</f>
        <v>Not Met</v>
      </c>
    </row>
    <row r="591" spans="1:22" x14ac:dyDescent="0.35">
      <c r="A591" t="s">
        <v>218</v>
      </c>
      <c r="B591">
        <v>2251</v>
      </c>
      <c r="C591" t="s">
        <v>22</v>
      </c>
      <c r="D591">
        <v>164</v>
      </c>
      <c r="E591">
        <v>1027670.1</v>
      </c>
      <c r="F591">
        <v>44686.64</v>
      </c>
      <c r="G591">
        <f>tblMoeHistory[[#This Row],[LEA State and Local Amount]]+tblMoeHistory[[#This Row],[ESD State and Local Amount]]</f>
        <v>1072356.74</v>
      </c>
      <c r="H591">
        <v>0</v>
      </c>
      <c r="I591" t="s">
        <v>241</v>
      </c>
      <c r="J591">
        <f>IFERROR(tblMoeHistory[[#This Row],[LEA State and Local Amount]]/tblMoeHistory[[#This Row],[Child Count]],0)</f>
        <v>6266.2810975609755</v>
      </c>
      <c r="K591">
        <f>IFERROR(tblMoeHistory[[#This Row],[ESD State and Local Amount]]/tblMoeHistory[[#This Row],[Child Count]],0)</f>
        <v>272.47951219512197</v>
      </c>
      <c r="L591">
        <f>IFERROR(tblMoeHistory[[#This Row],[State and Local Total Amount]]/tblMoeHistory[[#This Row],[Child Count]],0)</f>
        <v>6538.7606097560974</v>
      </c>
      <c r="M591">
        <v>0</v>
      </c>
      <c r="N591" t="s">
        <v>240</v>
      </c>
      <c r="O591">
        <v>203130.29</v>
      </c>
      <c r="P591">
        <v>2305.41</v>
      </c>
      <c r="Q591">
        <f>tblMoeHistory[[#This Row],[Amount of IDEA Part B, Section 611 award]]+tblMoeHistory[[#This Row],[Amount of IDEA Part B, Section 619 award]]</f>
        <v>205435.7</v>
      </c>
      <c r="U5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1" t="str">
        <f>IF(OR(IFERROR(SEARCH("Met",tblMoeHistory[[#This Row],[State and Local Per Capita Result]]),0)&gt;0,IFERROR(SEARCH("Met",tblMoeHistory[[#This Row],[State and Local Total Result]]),0)&gt;0),"Met","Not Met")</f>
        <v>Met</v>
      </c>
    </row>
    <row r="592" spans="1:22" x14ac:dyDescent="0.35">
      <c r="A592" t="s">
        <v>219</v>
      </c>
      <c r="B592">
        <v>1997</v>
      </c>
      <c r="C592" t="s">
        <v>22</v>
      </c>
      <c r="D592">
        <v>37</v>
      </c>
      <c r="E592">
        <v>212102.74</v>
      </c>
      <c r="F592">
        <v>47491.76</v>
      </c>
      <c r="G592">
        <f>tblMoeHistory[[#This Row],[LEA State and Local Amount]]+tblMoeHistory[[#This Row],[ESD State and Local Amount]]</f>
        <v>259594.5</v>
      </c>
      <c r="H592">
        <v>0</v>
      </c>
      <c r="I592" t="s">
        <v>241</v>
      </c>
      <c r="J592">
        <f>IFERROR(tblMoeHistory[[#This Row],[LEA State and Local Amount]]/tblMoeHistory[[#This Row],[Child Count]],0)</f>
        <v>5732.5064864864862</v>
      </c>
      <c r="K592">
        <f>IFERROR(tblMoeHistory[[#This Row],[ESD State and Local Amount]]/tblMoeHistory[[#This Row],[Child Count]],0)</f>
        <v>1283.5610810810811</v>
      </c>
      <c r="L592">
        <f>IFERROR(tblMoeHistory[[#This Row],[State and Local Total Amount]]/tblMoeHistory[[#This Row],[Child Count]],0)</f>
        <v>7016.0675675675675</v>
      </c>
      <c r="M592">
        <v>0</v>
      </c>
      <c r="N592" t="s">
        <v>241</v>
      </c>
      <c r="O592">
        <v>67487.990000000005</v>
      </c>
      <c r="P592">
        <v>493.43</v>
      </c>
      <c r="Q592">
        <f>tblMoeHistory[[#This Row],[Amount of IDEA Part B, Section 611 award]]+tblMoeHistory[[#This Row],[Amount of IDEA Part B, Section 619 award]]</f>
        <v>67981.42</v>
      </c>
      <c r="U5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2" t="str">
        <f>IF(OR(IFERROR(SEARCH("Met",tblMoeHistory[[#This Row],[State and Local Per Capita Result]]),0)&gt;0,IFERROR(SEARCH("Met",tblMoeHistory[[#This Row],[State and Local Total Result]]),0)&gt;0),"Met","Not Met")</f>
        <v>Met</v>
      </c>
    </row>
    <row r="593" spans="1:22" x14ac:dyDescent="0.35">
      <c r="A593" t="s">
        <v>14</v>
      </c>
      <c r="B593">
        <v>2063</v>
      </c>
      <c r="C593" t="s">
        <v>31</v>
      </c>
      <c r="D593">
        <v>2</v>
      </c>
      <c r="E593">
        <v>4555.24</v>
      </c>
      <c r="F593">
        <v>11447.59</v>
      </c>
      <c r="G593">
        <f>tblMoeHistory[[#This Row],[LEA State and Local Amount]]+tblMoeHistory[[#This Row],[ESD State and Local Amount]]</f>
        <v>16002.83</v>
      </c>
      <c r="H593">
        <v>0</v>
      </c>
      <c r="I593" t="s">
        <v>240</v>
      </c>
      <c r="J593">
        <f>IFERROR(tblMoeHistory[[#This Row],[LEA State and Local Amount]]/tblMoeHistory[[#This Row],[Child Count]],0)</f>
        <v>2277.62</v>
      </c>
      <c r="K593">
        <f>IFERROR(tblMoeHistory[[#This Row],[ESD State and Local Amount]]/tblMoeHistory[[#This Row],[Child Count]],0)</f>
        <v>5723.7950000000001</v>
      </c>
      <c r="L593">
        <f>IFERROR(tblMoeHistory[[#This Row],[State and Local Total Amount]]/tblMoeHistory[[#This Row],[Child Count]],0)</f>
        <v>8001.415</v>
      </c>
      <c r="M593">
        <v>0</v>
      </c>
      <c r="N593" t="s">
        <v>240</v>
      </c>
      <c r="O593">
        <v>3360.18</v>
      </c>
      <c r="P593">
        <v>466.97</v>
      </c>
      <c r="Q593">
        <f>tblMoeHistory[[#This Row],[Amount of IDEA Part B, Section 611 award]]+tblMoeHistory[[#This Row],[Amount of IDEA Part B, Section 619 award]]</f>
        <v>3827.1499999999996</v>
      </c>
      <c r="U5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3" t="str">
        <f>IF(OR(IFERROR(SEARCH("Met",tblMoeHistory[[#This Row],[State and Local Per Capita Result]]),0)&gt;0,IFERROR(SEARCH("Met",tblMoeHistory[[#This Row],[State and Local Total Result]]),0)&gt;0),"Met","Not Met")</f>
        <v>Not Met</v>
      </c>
    </row>
    <row r="594" spans="1:22" x14ac:dyDescent="0.35">
      <c r="A594" t="s">
        <v>17</v>
      </c>
      <c r="B594">
        <v>2113</v>
      </c>
      <c r="C594" t="s">
        <v>31</v>
      </c>
      <c r="D594">
        <v>33</v>
      </c>
      <c r="E594">
        <v>199283.56</v>
      </c>
      <c r="F594">
        <v>72325.38</v>
      </c>
      <c r="G594">
        <f>tblMoeHistory[[#This Row],[LEA State and Local Amount]]+tblMoeHistory[[#This Row],[ESD State and Local Amount]]</f>
        <v>271608.94</v>
      </c>
      <c r="H594">
        <v>0</v>
      </c>
      <c r="I594" t="s">
        <v>241</v>
      </c>
      <c r="J594">
        <f>IFERROR(tblMoeHistory[[#This Row],[LEA State and Local Amount]]/tblMoeHistory[[#This Row],[Child Count]],0)</f>
        <v>6038.8957575757577</v>
      </c>
      <c r="K594">
        <f>IFERROR(tblMoeHistory[[#This Row],[ESD State and Local Amount]]/tblMoeHistory[[#This Row],[Child Count]],0)</f>
        <v>2191.6781818181821</v>
      </c>
      <c r="L594">
        <f>IFERROR(tblMoeHistory[[#This Row],[State and Local Total Amount]]/tblMoeHistory[[#This Row],[Child Count]],0)</f>
        <v>8230.5739393939402</v>
      </c>
      <c r="M594">
        <v>0</v>
      </c>
      <c r="N594" t="s">
        <v>241</v>
      </c>
      <c r="O594">
        <v>43330.62</v>
      </c>
      <c r="P594">
        <v>0</v>
      </c>
      <c r="Q594">
        <f>tblMoeHistory[[#This Row],[Amount of IDEA Part B, Section 611 award]]+tblMoeHistory[[#This Row],[Amount of IDEA Part B, Section 619 award]]</f>
        <v>43330.62</v>
      </c>
      <c r="U5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4" t="str">
        <f>IF(OR(IFERROR(SEARCH("Met",tblMoeHistory[[#This Row],[State and Local Per Capita Result]]),0)&gt;0,IFERROR(SEARCH("Met",tblMoeHistory[[#This Row],[State and Local Total Result]]),0)&gt;0),"Met","Not Met")</f>
        <v>Met</v>
      </c>
    </row>
    <row r="595" spans="1:22" x14ac:dyDescent="0.35">
      <c r="A595" t="s">
        <v>20</v>
      </c>
      <c r="B595">
        <v>1899</v>
      </c>
      <c r="C595" t="s">
        <v>31</v>
      </c>
      <c r="D595">
        <v>21</v>
      </c>
      <c r="E595">
        <v>197116.28</v>
      </c>
      <c r="F595">
        <v>14068</v>
      </c>
      <c r="G595">
        <f>tblMoeHistory[[#This Row],[LEA State and Local Amount]]+tblMoeHistory[[#This Row],[ESD State and Local Amount]]</f>
        <v>211184.28</v>
      </c>
      <c r="H595">
        <v>0</v>
      </c>
      <c r="I595" t="s">
        <v>241</v>
      </c>
      <c r="J595">
        <f>IFERROR(tblMoeHistory[[#This Row],[LEA State and Local Amount]]/tblMoeHistory[[#This Row],[Child Count]],0)</f>
        <v>9386.4895238095232</v>
      </c>
      <c r="K595">
        <f>IFERROR(tblMoeHistory[[#This Row],[ESD State and Local Amount]]/tblMoeHistory[[#This Row],[Child Count]],0)</f>
        <v>669.90476190476193</v>
      </c>
      <c r="L595">
        <f>IFERROR(tblMoeHistory[[#This Row],[State and Local Total Amount]]/tblMoeHistory[[#This Row],[Child Count]],0)</f>
        <v>10056.394285714287</v>
      </c>
      <c r="M595">
        <v>0</v>
      </c>
      <c r="N595" t="s">
        <v>241</v>
      </c>
      <c r="O595">
        <v>27179.23</v>
      </c>
      <c r="P595">
        <v>1120.72</v>
      </c>
      <c r="Q595">
        <f>tblMoeHistory[[#This Row],[Amount of IDEA Part B, Section 611 award]]+tblMoeHistory[[#This Row],[Amount of IDEA Part B, Section 619 award]]</f>
        <v>28299.95</v>
      </c>
      <c r="U5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5" t="str">
        <f>IF(OR(IFERROR(SEARCH("Met",tblMoeHistory[[#This Row],[State and Local Per Capita Result]]),0)&gt;0,IFERROR(SEARCH("Met",tblMoeHistory[[#This Row],[State and Local Total Result]]),0)&gt;0),"Met","Not Met")</f>
        <v>Met</v>
      </c>
    </row>
    <row r="596" spans="1:22" x14ac:dyDescent="0.35">
      <c r="A596" t="s">
        <v>21</v>
      </c>
      <c r="B596">
        <v>2252</v>
      </c>
      <c r="C596" t="s">
        <v>31</v>
      </c>
      <c r="D596">
        <v>108</v>
      </c>
      <c r="E596">
        <v>634375.93999999994</v>
      </c>
      <c r="F596">
        <v>139515.54999999999</v>
      </c>
      <c r="G596">
        <f>tblMoeHistory[[#This Row],[LEA State and Local Amount]]+tblMoeHistory[[#This Row],[ESD State and Local Amount]]</f>
        <v>773891.49</v>
      </c>
      <c r="H596">
        <v>0</v>
      </c>
      <c r="I596" t="s">
        <v>241</v>
      </c>
      <c r="J596">
        <f>IFERROR(tblMoeHistory[[#This Row],[LEA State and Local Amount]]/tblMoeHistory[[#This Row],[Child Count]],0)</f>
        <v>5873.8512962962959</v>
      </c>
      <c r="K596">
        <f>IFERROR(tblMoeHistory[[#This Row],[ESD State and Local Amount]]/tblMoeHistory[[#This Row],[Child Count]],0)</f>
        <v>1291.8106481481479</v>
      </c>
      <c r="L596">
        <f>IFERROR(tblMoeHistory[[#This Row],[State and Local Total Amount]]/tblMoeHistory[[#This Row],[Child Count]],0)</f>
        <v>7165.6619444444441</v>
      </c>
      <c r="M596">
        <v>0</v>
      </c>
      <c r="N596" t="s">
        <v>240</v>
      </c>
      <c r="O596">
        <v>145481.56</v>
      </c>
      <c r="P596">
        <v>2490.5</v>
      </c>
      <c r="Q596">
        <f>tblMoeHistory[[#This Row],[Amount of IDEA Part B, Section 611 award]]+tblMoeHistory[[#This Row],[Amount of IDEA Part B, Section 619 award]]</f>
        <v>147972.06</v>
      </c>
      <c r="U5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6" t="str">
        <f>IF(OR(IFERROR(SEARCH("Met",tblMoeHistory[[#This Row],[State and Local Per Capita Result]]),0)&gt;0,IFERROR(SEARCH("Met",tblMoeHistory[[#This Row],[State and Local Total Result]]),0)&gt;0),"Met","Not Met")</f>
        <v>Met</v>
      </c>
    </row>
    <row r="597" spans="1:22" x14ac:dyDescent="0.35">
      <c r="A597" t="s">
        <v>23</v>
      </c>
      <c r="B597">
        <v>2111</v>
      </c>
      <c r="C597" t="s">
        <v>31</v>
      </c>
      <c r="D597">
        <v>8</v>
      </c>
      <c r="E597">
        <v>9473.66</v>
      </c>
      <c r="F597">
        <v>9983.07</v>
      </c>
      <c r="G597">
        <f>tblMoeHistory[[#This Row],[LEA State and Local Amount]]+tblMoeHistory[[#This Row],[ESD State and Local Amount]]</f>
        <v>19456.73</v>
      </c>
      <c r="H597">
        <v>0</v>
      </c>
      <c r="I597" t="s">
        <v>240</v>
      </c>
      <c r="J597">
        <f>IFERROR(tblMoeHistory[[#This Row],[LEA State and Local Amount]]/tblMoeHistory[[#This Row],[Child Count]],0)</f>
        <v>1184.2075</v>
      </c>
      <c r="K597">
        <f>IFERROR(tblMoeHistory[[#This Row],[ESD State and Local Amount]]/tblMoeHistory[[#This Row],[Child Count]],0)</f>
        <v>1247.88375</v>
      </c>
      <c r="L597">
        <f>IFERROR(tblMoeHistory[[#This Row],[State and Local Total Amount]]/tblMoeHistory[[#This Row],[Child Count]],0)</f>
        <v>2432.0912499999999</v>
      </c>
      <c r="M597">
        <v>0</v>
      </c>
      <c r="N597" t="s">
        <v>240</v>
      </c>
      <c r="O597">
        <v>17760.689999999999</v>
      </c>
      <c r="P597">
        <v>0</v>
      </c>
      <c r="Q597">
        <f>tblMoeHistory[[#This Row],[Amount of IDEA Part B, Section 611 award]]+tblMoeHistory[[#This Row],[Amount of IDEA Part B, Section 619 award]]</f>
        <v>17760.689999999999</v>
      </c>
      <c r="U5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7" t="str">
        <f>IF(OR(IFERROR(SEARCH("Met",tblMoeHistory[[#This Row],[State and Local Per Capita Result]]),0)&gt;0,IFERROR(SEARCH("Met",tblMoeHistory[[#This Row],[State and Local Total Result]]),0)&gt;0),"Met","Not Met")</f>
        <v>Not Met</v>
      </c>
    </row>
    <row r="598" spans="1:22" x14ac:dyDescent="0.35">
      <c r="A598" t="s">
        <v>24</v>
      </c>
      <c r="B598">
        <v>2005</v>
      </c>
      <c r="C598" t="s">
        <v>31</v>
      </c>
      <c r="D598">
        <v>24</v>
      </c>
      <c r="E598">
        <v>32300.14</v>
      </c>
      <c r="F598">
        <v>77186</v>
      </c>
      <c r="G598">
        <f>tblMoeHistory[[#This Row],[LEA State and Local Amount]]+tblMoeHistory[[#This Row],[ESD State and Local Amount]]</f>
        <v>109486.14</v>
      </c>
      <c r="H598">
        <v>0</v>
      </c>
      <c r="I598" t="s">
        <v>240</v>
      </c>
      <c r="J598">
        <f>IFERROR(tblMoeHistory[[#This Row],[LEA State and Local Amount]]/tblMoeHistory[[#This Row],[Child Count]],0)</f>
        <v>1345.8391666666666</v>
      </c>
      <c r="K598">
        <f>IFERROR(tblMoeHistory[[#This Row],[ESD State and Local Amount]]/tblMoeHistory[[#This Row],[Child Count]],0)</f>
        <v>3216.0833333333335</v>
      </c>
      <c r="L598">
        <f>IFERROR(tblMoeHistory[[#This Row],[State and Local Total Amount]]/tblMoeHistory[[#This Row],[Child Count]],0)</f>
        <v>4561.9224999999997</v>
      </c>
      <c r="M598">
        <v>0</v>
      </c>
      <c r="N598" t="s">
        <v>240</v>
      </c>
      <c r="O598">
        <v>23213.8</v>
      </c>
      <c r="P598">
        <v>0</v>
      </c>
      <c r="Q598">
        <f>tblMoeHistory[[#This Row],[Amount of IDEA Part B, Section 611 award]]+tblMoeHistory[[#This Row],[Amount of IDEA Part B, Section 619 award]]</f>
        <v>23213.8</v>
      </c>
      <c r="U5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8" t="str">
        <f>IF(OR(IFERROR(SEARCH("Met",tblMoeHistory[[#This Row],[State and Local Per Capita Result]]),0)&gt;0,IFERROR(SEARCH("Met",tblMoeHistory[[#This Row],[State and Local Total Result]]),0)&gt;0),"Met","Not Met")</f>
        <v>Not Met</v>
      </c>
    </row>
    <row r="599" spans="1:22" x14ac:dyDescent="0.35">
      <c r="A599" t="s">
        <v>25</v>
      </c>
      <c r="B599">
        <v>2115</v>
      </c>
      <c r="C599" t="s">
        <v>31</v>
      </c>
      <c r="D599">
        <v>0</v>
      </c>
      <c r="E599">
        <v>0</v>
      </c>
      <c r="F599">
        <v>1252.58</v>
      </c>
      <c r="G599">
        <f>tblMoeHistory[[#This Row],[LEA State and Local Amount]]+tblMoeHistory[[#This Row],[ESD State and Local Amount]]</f>
        <v>1252.58</v>
      </c>
      <c r="H599">
        <v>0</v>
      </c>
      <c r="I599" t="s">
        <v>240</v>
      </c>
      <c r="J599">
        <f>IFERROR(tblMoeHistory[[#This Row],[LEA State and Local Amount]]/tblMoeHistory[[#This Row],[Child Count]],0)</f>
        <v>0</v>
      </c>
      <c r="K599">
        <f>IFERROR(tblMoeHistory[[#This Row],[ESD State and Local Amount]]/tblMoeHistory[[#This Row],[Child Count]],0)</f>
        <v>0</v>
      </c>
      <c r="L599">
        <f>IFERROR(tblMoeHistory[[#This Row],[State and Local Total Amount]]/tblMoeHistory[[#This Row],[Child Count]],0)</f>
        <v>0</v>
      </c>
      <c r="M599">
        <v>0</v>
      </c>
      <c r="N599" t="s">
        <v>241</v>
      </c>
      <c r="O599">
        <v>2663.36</v>
      </c>
      <c r="P599">
        <v>0</v>
      </c>
      <c r="Q599">
        <f>tblMoeHistory[[#This Row],[Amount of IDEA Part B, Section 611 award]]+tblMoeHistory[[#This Row],[Amount of IDEA Part B, Section 619 award]]</f>
        <v>2663.36</v>
      </c>
      <c r="U5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9" t="str">
        <f>IF(OR(IFERROR(SEARCH("Met",tblMoeHistory[[#This Row],[State and Local Per Capita Result]]),0)&gt;0,IFERROR(SEARCH("Met",tblMoeHistory[[#This Row],[State and Local Total Result]]),0)&gt;0),"Met","Not Met")</f>
        <v>Met</v>
      </c>
    </row>
    <row r="600" spans="1:22" x14ac:dyDescent="0.35">
      <c r="A600" t="s">
        <v>26</v>
      </c>
      <c r="B600">
        <v>2041</v>
      </c>
      <c r="C600" t="s">
        <v>31</v>
      </c>
      <c r="D600">
        <v>325</v>
      </c>
      <c r="E600">
        <v>2055739.72</v>
      </c>
      <c r="F600">
        <v>409545.2</v>
      </c>
      <c r="G600">
        <f>tblMoeHistory[[#This Row],[LEA State and Local Amount]]+tblMoeHistory[[#This Row],[ESD State and Local Amount]]</f>
        <v>2465284.92</v>
      </c>
      <c r="H600">
        <v>0</v>
      </c>
      <c r="I600" t="s">
        <v>241</v>
      </c>
      <c r="J600">
        <f>IFERROR(tblMoeHistory[[#This Row],[LEA State and Local Amount]]/tblMoeHistory[[#This Row],[Child Count]],0)</f>
        <v>6325.3529846153842</v>
      </c>
      <c r="K600">
        <f>IFERROR(tblMoeHistory[[#This Row],[ESD State and Local Amount]]/tblMoeHistory[[#This Row],[Child Count]],0)</f>
        <v>1260.139076923077</v>
      </c>
      <c r="L600">
        <f>IFERROR(tblMoeHistory[[#This Row],[State and Local Total Amount]]/tblMoeHistory[[#This Row],[Child Count]],0)</f>
        <v>7585.4920615384617</v>
      </c>
      <c r="M600">
        <v>0</v>
      </c>
      <c r="N600" t="s">
        <v>241</v>
      </c>
      <c r="O600">
        <v>420629.8</v>
      </c>
      <c r="P600">
        <v>3296.26</v>
      </c>
      <c r="Q600">
        <f>tblMoeHistory[[#This Row],[Amount of IDEA Part B, Section 611 award]]+tblMoeHistory[[#This Row],[Amount of IDEA Part B, Section 619 award]]</f>
        <v>423926.06</v>
      </c>
      <c r="U6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0" t="str">
        <f>IF(OR(IFERROR(SEARCH("Met",tblMoeHistory[[#This Row],[State and Local Per Capita Result]]),0)&gt;0,IFERROR(SEARCH("Met",tblMoeHistory[[#This Row],[State and Local Total Result]]),0)&gt;0),"Met","Not Met")</f>
        <v>Met</v>
      </c>
    </row>
    <row r="601" spans="1:22" x14ac:dyDescent="0.35">
      <c r="A601" t="s">
        <v>27</v>
      </c>
      <c r="B601">
        <v>2051</v>
      </c>
      <c r="C601" t="s">
        <v>31</v>
      </c>
      <c r="D601">
        <v>0</v>
      </c>
      <c r="E601">
        <v>0</v>
      </c>
      <c r="F601">
        <v>8354.9</v>
      </c>
      <c r="G601">
        <f>tblMoeHistory[[#This Row],[LEA State and Local Amount]]+tblMoeHistory[[#This Row],[ESD State and Local Amount]]</f>
        <v>8354.9</v>
      </c>
      <c r="H601">
        <v>0</v>
      </c>
      <c r="I601" t="s">
        <v>241</v>
      </c>
      <c r="J601">
        <f>IFERROR(tblMoeHistory[[#This Row],[LEA State and Local Amount]]/tblMoeHistory[[#This Row],[Child Count]],0)</f>
        <v>0</v>
      </c>
      <c r="K601">
        <f>IFERROR(tblMoeHistory[[#This Row],[ESD State and Local Amount]]/tblMoeHistory[[#This Row],[Child Count]],0)</f>
        <v>0</v>
      </c>
      <c r="L601">
        <f>IFERROR(tblMoeHistory[[#This Row],[State and Local Total Amount]]/tblMoeHistory[[#This Row],[Child Count]],0)</f>
        <v>0</v>
      </c>
      <c r="M601">
        <v>0</v>
      </c>
      <c r="N601" t="s">
        <v>241</v>
      </c>
      <c r="O601">
        <v>1154.52</v>
      </c>
      <c r="P601">
        <v>0</v>
      </c>
      <c r="Q601">
        <f>tblMoeHistory[[#This Row],[Amount of IDEA Part B, Section 611 award]]+tblMoeHistory[[#This Row],[Amount of IDEA Part B, Section 619 award]]</f>
        <v>1154.52</v>
      </c>
      <c r="U6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1" t="str">
        <f>IF(OR(IFERROR(SEARCH("Met",tblMoeHistory[[#This Row],[State and Local Per Capita Result]]),0)&gt;0,IFERROR(SEARCH("Met",tblMoeHistory[[#This Row],[State and Local Total Result]]),0)&gt;0),"Met","Not Met")</f>
        <v>Met</v>
      </c>
    </row>
    <row r="602" spans="1:22" x14ac:dyDescent="0.35">
      <c r="A602" t="s">
        <v>28</v>
      </c>
      <c r="B602">
        <v>1933</v>
      </c>
      <c r="C602" t="s">
        <v>31</v>
      </c>
      <c r="D602">
        <v>276</v>
      </c>
      <c r="E602">
        <v>1978954.56</v>
      </c>
      <c r="F602">
        <v>416884</v>
      </c>
      <c r="G602">
        <f>tblMoeHistory[[#This Row],[LEA State and Local Amount]]+tblMoeHistory[[#This Row],[ESD State and Local Amount]]</f>
        <v>2395838.56</v>
      </c>
      <c r="H602">
        <v>0</v>
      </c>
      <c r="I602" t="s">
        <v>241</v>
      </c>
      <c r="J602">
        <f>IFERROR(tblMoeHistory[[#This Row],[LEA State and Local Amount]]/tblMoeHistory[[#This Row],[Child Count]],0)</f>
        <v>7170.1252173913044</v>
      </c>
      <c r="K602">
        <f>IFERROR(tblMoeHistory[[#This Row],[ESD State and Local Amount]]/tblMoeHistory[[#This Row],[Child Count]],0)</f>
        <v>1510.4492753623188</v>
      </c>
      <c r="L602">
        <f>IFERROR(tblMoeHistory[[#This Row],[State and Local Total Amount]]/tblMoeHistory[[#This Row],[Child Count]],0)</f>
        <v>8680.5744927536234</v>
      </c>
      <c r="M602">
        <v>0</v>
      </c>
      <c r="N602" t="s">
        <v>240</v>
      </c>
      <c r="O602">
        <v>247815.43</v>
      </c>
      <c r="P602">
        <v>2197.5100000000002</v>
      </c>
      <c r="Q602">
        <f>tblMoeHistory[[#This Row],[Amount of IDEA Part B, Section 611 award]]+tblMoeHistory[[#This Row],[Amount of IDEA Part B, Section 619 award]]</f>
        <v>250012.94</v>
      </c>
      <c r="U6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2" t="str">
        <f>IF(OR(IFERROR(SEARCH("Met",tblMoeHistory[[#This Row],[State and Local Per Capita Result]]),0)&gt;0,IFERROR(SEARCH("Met",tblMoeHistory[[#This Row],[State and Local Total Result]]),0)&gt;0),"Met","Not Met")</f>
        <v>Met</v>
      </c>
    </row>
    <row r="603" spans="1:22" x14ac:dyDescent="0.35">
      <c r="A603" t="s">
        <v>29</v>
      </c>
      <c r="B603">
        <v>2208</v>
      </c>
      <c r="C603" t="s">
        <v>31</v>
      </c>
      <c r="D603">
        <v>75</v>
      </c>
      <c r="E603">
        <v>343400.56</v>
      </c>
      <c r="F603">
        <v>120248.39</v>
      </c>
      <c r="G603">
        <f>tblMoeHistory[[#This Row],[LEA State and Local Amount]]+tblMoeHistory[[#This Row],[ESD State and Local Amount]]</f>
        <v>463648.95</v>
      </c>
      <c r="H603">
        <v>0</v>
      </c>
      <c r="I603" t="s">
        <v>241</v>
      </c>
      <c r="J603">
        <f>IFERROR(tblMoeHistory[[#This Row],[LEA State and Local Amount]]/tblMoeHistory[[#This Row],[Child Count]],0)</f>
        <v>4578.674133333333</v>
      </c>
      <c r="K603">
        <f>IFERROR(tblMoeHistory[[#This Row],[ESD State and Local Amount]]/tblMoeHistory[[#This Row],[Child Count]],0)</f>
        <v>1603.3118666666667</v>
      </c>
      <c r="L603">
        <f>IFERROR(tblMoeHistory[[#This Row],[State and Local Total Amount]]/tblMoeHistory[[#This Row],[Child Count]],0)</f>
        <v>6181.9859999999999</v>
      </c>
      <c r="M603">
        <v>0</v>
      </c>
      <c r="N603" t="s">
        <v>241</v>
      </c>
      <c r="O603">
        <v>92225.52</v>
      </c>
      <c r="P603">
        <v>1867.88</v>
      </c>
      <c r="Q603">
        <f>tblMoeHistory[[#This Row],[Amount of IDEA Part B, Section 611 award]]+tblMoeHistory[[#This Row],[Amount of IDEA Part B, Section 619 award]]</f>
        <v>94093.400000000009</v>
      </c>
      <c r="U6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3" t="str">
        <f>IF(OR(IFERROR(SEARCH("Met",tblMoeHistory[[#This Row],[State and Local Per Capita Result]]),0)&gt;0,IFERROR(SEARCH("Met",tblMoeHistory[[#This Row],[State and Local Total Result]]),0)&gt;0),"Met","Not Met")</f>
        <v>Met</v>
      </c>
    </row>
    <row r="604" spans="1:22" x14ac:dyDescent="0.35">
      <c r="A604" t="s">
        <v>30</v>
      </c>
      <c r="B604">
        <v>1894</v>
      </c>
      <c r="C604" t="s">
        <v>31</v>
      </c>
      <c r="D604">
        <v>281</v>
      </c>
      <c r="E604">
        <v>2156425.85</v>
      </c>
      <c r="F604">
        <v>0</v>
      </c>
      <c r="G604">
        <f>tblMoeHistory[[#This Row],[LEA State and Local Amount]]+tblMoeHistory[[#This Row],[ESD State and Local Amount]]</f>
        <v>2156425.85</v>
      </c>
      <c r="H604">
        <v>0</v>
      </c>
      <c r="I604" t="s">
        <v>241</v>
      </c>
      <c r="J604">
        <f>IFERROR(tblMoeHistory[[#This Row],[LEA State and Local Amount]]/tblMoeHistory[[#This Row],[Child Count]],0)</f>
        <v>7674.1133451957303</v>
      </c>
      <c r="K604">
        <f>IFERROR(tblMoeHistory[[#This Row],[ESD State and Local Amount]]/tblMoeHistory[[#This Row],[Child Count]],0)</f>
        <v>0</v>
      </c>
      <c r="L604">
        <f>IFERROR(tblMoeHistory[[#This Row],[State and Local Total Amount]]/tblMoeHistory[[#This Row],[Child Count]],0)</f>
        <v>7674.1133451957303</v>
      </c>
      <c r="M604">
        <v>0</v>
      </c>
      <c r="N604" t="s">
        <v>241</v>
      </c>
      <c r="O604">
        <v>359068.5</v>
      </c>
      <c r="P604">
        <v>3693.31</v>
      </c>
      <c r="Q604">
        <f>tblMoeHistory[[#This Row],[Amount of IDEA Part B, Section 611 award]]+tblMoeHistory[[#This Row],[Amount of IDEA Part B, Section 619 award]]</f>
        <v>362761.81</v>
      </c>
      <c r="U6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4" t="str">
        <f>IF(OR(IFERROR(SEARCH("Met",tblMoeHistory[[#This Row],[State and Local Per Capita Result]]),0)&gt;0,IFERROR(SEARCH("Met",tblMoeHistory[[#This Row],[State and Local Total Result]]),0)&gt;0),"Met","Not Met")</f>
        <v>Met</v>
      </c>
    </row>
    <row r="605" spans="1:22" x14ac:dyDescent="0.35">
      <c r="A605" t="s">
        <v>32</v>
      </c>
      <c r="B605">
        <v>1969</v>
      </c>
      <c r="C605" t="s">
        <v>31</v>
      </c>
      <c r="D605">
        <v>85</v>
      </c>
      <c r="E605">
        <v>565455.96</v>
      </c>
      <c r="F605">
        <v>526574</v>
      </c>
      <c r="G605">
        <f>tblMoeHistory[[#This Row],[LEA State and Local Amount]]+tblMoeHistory[[#This Row],[ESD State and Local Amount]]</f>
        <v>1092029.96</v>
      </c>
      <c r="H605">
        <v>0</v>
      </c>
      <c r="I605" t="s">
        <v>242</v>
      </c>
      <c r="J605">
        <f>IFERROR(tblMoeHistory[[#This Row],[LEA State and Local Amount]]/tblMoeHistory[[#This Row],[Child Count]],0)</f>
        <v>6652.4230588235287</v>
      </c>
      <c r="K605">
        <f>IFERROR(tblMoeHistory[[#This Row],[ESD State and Local Amount]]/tblMoeHistory[[#This Row],[Child Count]],0)</f>
        <v>6194.9882352941177</v>
      </c>
      <c r="L605">
        <f>IFERROR(tblMoeHistory[[#This Row],[State and Local Total Amount]]/tblMoeHistory[[#This Row],[Child Count]],0)</f>
        <v>12847.411294117646</v>
      </c>
      <c r="M605">
        <v>0</v>
      </c>
      <c r="N605" t="s">
        <v>241</v>
      </c>
      <c r="O605">
        <v>136961.57999999999</v>
      </c>
      <c r="P605">
        <v>1926.25</v>
      </c>
      <c r="Q605">
        <f>tblMoeHistory[[#This Row],[Amount of IDEA Part B, Section 611 award]]+tblMoeHistory[[#This Row],[Amount of IDEA Part B, Section 619 award]]</f>
        <v>138887.82999999999</v>
      </c>
      <c r="S605">
        <v>74466.09</v>
      </c>
      <c r="T605">
        <v>74466.09</v>
      </c>
      <c r="U6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5" t="str">
        <f>IF(OR(IFERROR(SEARCH("Met",tblMoeHistory[[#This Row],[State and Local Per Capita Result]]),0)&gt;0,IFERROR(SEARCH("Met",tblMoeHistory[[#This Row],[State and Local Total Result]]),0)&gt;0),"Met","Not Met")</f>
        <v>Met</v>
      </c>
    </row>
    <row r="606" spans="1:22" x14ac:dyDescent="0.35">
      <c r="A606" t="s">
        <v>33</v>
      </c>
      <c r="B606">
        <v>2240</v>
      </c>
      <c r="C606" t="s">
        <v>31</v>
      </c>
      <c r="D606">
        <v>159</v>
      </c>
      <c r="E606">
        <v>1316256.76</v>
      </c>
      <c r="F606">
        <v>267189</v>
      </c>
      <c r="G606">
        <f>tblMoeHistory[[#This Row],[LEA State and Local Amount]]+tblMoeHistory[[#This Row],[ESD State and Local Amount]]</f>
        <v>1583445.76</v>
      </c>
      <c r="H606">
        <v>0</v>
      </c>
      <c r="I606" t="s">
        <v>241</v>
      </c>
      <c r="J606">
        <f>IFERROR(tblMoeHistory[[#This Row],[LEA State and Local Amount]]/tblMoeHistory[[#This Row],[Child Count]],0)</f>
        <v>8278.3444025157241</v>
      </c>
      <c r="K606">
        <f>IFERROR(tblMoeHistory[[#This Row],[ESD State and Local Amount]]/tblMoeHistory[[#This Row],[Child Count]],0)</f>
        <v>1680.433962264151</v>
      </c>
      <c r="L606">
        <f>IFERROR(tblMoeHistory[[#This Row],[State and Local Total Amount]]/tblMoeHistory[[#This Row],[Child Count]],0)</f>
        <v>9958.7783647798751</v>
      </c>
      <c r="M606">
        <v>0</v>
      </c>
      <c r="N606" t="s">
        <v>240</v>
      </c>
      <c r="O606">
        <v>182155.81</v>
      </c>
      <c r="P606">
        <v>700.46</v>
      </c>
      <c r="Q606">
        <f>tblMoeHistory[[#This Row],[Amount of IDEA Part B, Section 611 award]]+tblMoeHistory[[#This Row],[Amount of IDEA Part B, Section 619 award]]</f>
        <v>182856.27</v>
      </c>
      <c r="U6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6" t="str">
        <f>IF(OR(IFERROR(SEARCH("Met",tblMoeHistory[[#This Row],[State and Local Per Capita Result]]),0)&gt;0,IFERROR(SEARCH("Met",tblMoeHistory[[#This Row],[State and Local Total Result]]),0)&gt;0),"Met","Not Met")</f>
        <v>Met</v>
      </c>
    </row>
    <row r="607" spans="1:22" x14ac:dyDescent="0.35">
      <c r="A607" t="s">
        <v>34</v>
      </c>
      <c r="B607">
        <v>2243</v>
      </c>
      <c r="C607" t="s">
        <v>31</v>
      </c>
      <c r="D607">
        <v>4878</v>
      </c>
      <c r="E607">
        <v>45337082.700000003</v>
      </c>
      <c r="F607">
        <v>3779043</v>
      </c>
      <c r="G607">
        <f>tblMoeHistory[[#This Row],[LEA State and Local Amount]]+tblMoeHistory[[#This Row],[ESD State and Local Amount]]</f>
        <v>49116125.700000003</v>
      </c>
      <c r="H607">
        <v>0</v>
      </c>
      <c r="I607" t="s">
        <v>241</v>
      </c>
      <c r="J607">
        <f>IFERROR(tblMoeHistory[[#This Row],[LEA State and Local Amount]]/tblMoeHistory[[#This Row],[Child Count]],0)</f>
        <v>9294.1948954489544</v>
      </c>
      <c r="K607">
        <f>IFERROR(tblMoeHistory[[#This Row],[ESD State and Local Amount]]/tblMoeHistory[[#This Row],[Child Count]],0)</f>
        <v>774.71156211562118</v>
      </c>
      <c r="L607">
        <f>IFERROR(tblMoeHistory[[#This Row],[State and Local Total Amount]]/tblMoeHistory[[#This Row],[Child Count]],0)</f>
        <v>10068.906457564577</v>
      </c>
      <c r="M607">
        <v>0</v>
      </c>
      <c r="N607" t="s">
        <v>241</v>
      </c>
      <c r="O607">
        <v>6214263.71</v>
      </c>
      <c r="P607">
        <v>24778.76</v>
      </c>
      <c r="Q607">
        <f>tblMoeHistory[[#This Row],[Amount of IDEA Part B, Section 611 award]]+tblMoeHistory[[#This Row],[Amount of IDEA Part B, Section 619 award]]</f>
        <v>6239042.4699999997</v>
      </c>
      <c r="U6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7" t="str">
        <f>IF(OR(IFERROR(SEARCH("Met",tblMoeHistory[[#This Row],[State and Local Per Capita Result]]),0)&gt;0,IFERROR(SEARCH("Met",tblMoeHistory[[#This Row],[State and Local Total Result]]),0)&gt;0),"Met","Not Met")</f>
        <v>Met</v>
      </c>
    </row>
    <row r="608" spans="1:22" x14ac:dyDescent="0.35">
      <c r="A608" t="s">
        <v>35</v>
      </c>
      <c r="B608">
        <v>1976</v>
      </c>
      <c r="C608" t="s">
        <v>31</v>
      </c>
      <c r="D608">
        <v>2020</v>
      </c>
      <c r="E608">
        <v>17187057</v>
      </c>
      <c r="F608">
        <v>2692128.05</v>
      </c>
      <c r="G608">
        <f>tblMoeHistory[[#This Row],[LEA State and Local Amount]]+tblMoeHistory[[#This Row],[ESD State and Local Amount]]</f>
        <v>19879185.050000001</v>
      </c>
      <c r="H608">
        <v>0</v>
      </c>
      <c r="I608" t="s">
        <v>241</v>
      </c>
      <c r="J608">
        <f>IFERROR(tblMoeHistory[[#This Row],[LEA State and Local Amount]]/tblMoeHistory[[#This Row],[Child Count]],0)</f>
        <v>8508.4440594059397</v>
      </c>
      <c r="K608">
        <f>IFERROR(tblMoeHistory[[#This Row],[ESD State and Local Amount]]/tblMoeHistory[[#This Row],[Child Count]],0)</f>
        <v>1332.7366584158415</v>
      </c>
      <c r="L608">
        <f>IFERROR(tblMoeHistory[[#This Row],[State and Local Total Amount]]/tblMoeHistory[[#This Row],[Child Count]],0)</f>
        <v>9841.1807178217823</v>
      </c>
      <c r="M608">
        <v>0</v>
      </c>
      <c r="N608" t="s">
        <v>241</v>
      </c>
      <c r="O608">
        <v>2503100.92</v>
      </c>
      <c r="P608">
        <v>15923.69</v>
      </c>
      <c r="Q608">
        <f>tblMoeHistory[[#This Row],[Amount of IDEA Part B, Section 611 award]]+tblMoeHistory[[#This Row],[Amount of IDEA Part B, Section 619 award]]</f>
        <v>2519024.61</v>
      </c>
      <c r="U6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8" t="str">
        <f>IF(OR(IFERROR(SEARCH("Met",tblMoeHistory[[#This Row],[State and Local Per Capita Result]]),0)&gt;0,IFERROR(SEARCH("Met",tblMoeHistory[[#This Row],[State and Local Total Result]]),0)&gt;0),"Met","Not Met")</f>
        <v>Met</v>
      </c>
    </row>
    <row r="609" spans="1:22" x14ac:dyDescent="0.35">
      <c r="A609" t="s">
        <v>36</v>
      </c>
      <c r="B609">
        <v>2088</v>
      </c>
      <c r="C609" t="s">
        <v>31</v>
      </c>
      <c r="D609">
        <v>914</v>
      </c>
      <c r="E609">
        <v>7845532.8700000001</v>
      </c>
      <c r="F609">
        <v>899444</v>
      </c>
      <c r="G609">
        <f>tblMoeHistory[[#This Row],[LEA State and Local Amount]]+tblMoeHistory[[#This Row],[ESD State and Local Amount]]</f>
        <v>8744976.870000001</v>
      </c>
      <c r="H609">
        <v>0</v>
      </c>
      <c r="I609" t="s">
        <v>241</v>
      </c>
      <c r="J609">
        <f>IFERROR(tblMoeHistory[[#This Row],[LEA State and Local Amount]]/tblMoeHistory[[#This Row],[Child Count]],0)</f>
        <v>8583.7339934354495</v>
      </c>
      <c r="K609">
        <f>IFERROR(tblMoeHistory[[#This Row],[ESD State and Local Amount]]/tblMoeHistory[[#This Row],[Child Count]],0)</f>
        <v>984.074398249453</v>
      </c>
      <c r="L609">
        <f>IFERROR(tblMoeHistory[[#This Row],[State and Local Total Amount]]/tblMoeHistory[[#This Row],[Child Count]],0)</f>
        <v>9567.8083916849027</v>
      </c>
      <c r="M609">
        <v>0</v>
      </c>
      <c r="N609" t="s">
        <v>241</v>
      </c>
      <c r="O609">
        <v>974947.16</v>
      </c>
      <c r="P609">
        <v>8338.76</v>
      </c>
      <c r="Q609">
        <f>tblMoeHistory[[#This Row],[Amount of IDEA Part B, Section 611 award]]+tblMoeHistory[[#This Row],[Amount of IDEA Part B, Section 619 award]]</f>
        <v>983285.92</v>
      </c>
      <c r="U6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9" t="str">
        <f>IF(OR(IFERROR(SEARCH("Met",tblMoeHistory[[#This Row],[State and Local Per Capita Result]]),0)&gt;0,IFERROR(SEARCH("Met",tblMoeHistory[[#This Row],[State and Local Total Result]]),0)&gt;0),"Met","Not Met")</f>
        <v>Met</v>
      </c>
    </row>
    <row r="610" spans="1:22" x14ac:dyDescent="0.35">
      <c r="A610" t="s">
        <v>37</v>
      </c>
      <c r="B610">
        <v>2095</v>
      </c>
      <c r="C610" t="s">
        <v>31</v>
      </c>
      <c r="D610">
        <v>38</v>
      </c>
      <c r="E610">
        <v>237932.38</v>
      </c>
      <c r="F610">
        <v>51587</v>
      </c>
      <c r="G610">
        <f>tblMoeHistory[[#This Row],[LEA State and Local Amount]]+tblMoeHistory[[#This Row],[ESD State and Local Amount]]</f>
        <v>289519.38</v>
      </c>
      <c r="H610">
        <v>0</v>
      </c>
      <c r="I610" t="s">
        <v>241</v>
      </c>
      <c r="J610">
        <f>IFERROR(tblMoeHistory[[#This Row],[LEA State and Local Amount]]/tblMoeHistory[[#This Row],[Child Count]],0)</f>
        <v>6261.3784210526319</v>
      </c>
      <c r="K610">
        <f>IFERROR(tblMoeHistory[[#This Row],[ESD State and Local Amount]]/tblMoeHistory[[#This Row],[Child Count]],0)</f>
        <v>1357.5526315789473</v>
      </c>
      <c r="L610">
        <f>IFERROR(tblMoeHistory[[#This Row],[State and Local Total Amount]]/tblMoeHistory[[#This Row],[Child Count]],0)</f>
        <v>7618.9310526315794</v>
      </c>
      <c r="M610">
        <v>0</v>
      </c>
      <c r="N610" t="s">
        <v>240</v>
      </c>
      <c r="O610">
        <v>42116.86</v>
      </c>
      <c r="P610">
        <v>466.97</v>
      </c>
      <c r="Q610">
        <f>tblMoeHistory[[#This Row],[Amount of IDEA Part B, Section 611 award]]+tblMoeHistory[[#This Row],[Amount of IDEA Part B, Section 619 award]]</f>
        <v>42583.83</v>
      </c>
      <c r="U6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0" t="str">
        <f>IF(OR(IFERROR(SEARCH("Met",tblMoeHistory[[#This Row],[State and Local Per Capita Result]]),0)&gt;0,IFERROR(SEARCH("Met",tblMoeHistory[[#This Row],[State and Local Total Result]]),0)&gt;0),"Met","Not Met")</f>
        <v>Met</v>
      </c>
    </row>
    <row r="611" spans="1:22" x14ac:dyDescent="0.35">
      <c r="A611" t="s">
        <v>38</v>
      </c>
      <c r="B611">
        <v>2052</v>
      </c>
      <c r="C611" t="s">
        <v>31</v>
      </c>
      <c r="D611">
        <v>0</v>
      </c>
      <c r="E611">
        <v>2149.75</v>
      </c>
      <c r="F611">
        <v>15426.87</v>
      </c>
      <c r="G611">
        <f>tblMoeHistory[[#This Row],[LEA State and Local Amount]]+tblMoeHistory[[#This Row],[ESD State and Local Amount]]</f>
        <v>17576.620000000003</v>
      </c>
      <c r="H611">
        <v>0</v>
      </c>
      <c r="I611" t="s">
        <v>240</v>
      </c>
      <c r="J611">
        <f>IFERROR(tblMoeHistory[[#This Row],[LEA State and Local Amount]]/tblMoeHistory[[#This Row],[Child Count]],0)</f>
        <v>0</v>
      </c>
      <c r="K611">
        <f>IFERROR(tblMoeHistory[[#This Row],[ESD State and Local Amount]]/tblMoeHistory[[#This Row],[Child Count]],0)</f>
        <v>0</v>
      </c>
      <c r="L611">
        <f>IFERROR(tblMoeHistory[[#This Row],[State and Local Total Amount]]/tblMoeHistory[[#This Row],[Child Count]],0)</f>
        <v>0</v>
      </c>
      <c r="M611">
        <v>0</v>
      </c>
      <c r="N611" t="s">
        <v>240</v>
      </c>
      <c r="O611">
        <v>4085.38</v>
      </c>
      <c r="P611">
        <v>0</v>
      </c>
      <c r="Q611">
        <f>tblMoeHistory[[#This Row],[Amount of IDEA Part B, Section 611 award]]+tblMoeHistory[[#This Row],[Amount of IDEA Part B, Section 619 award]]</f>
        <v>4085.38</v>
      </c>
      <c r="U6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1" t="str">
        <f>IF(OR(IFERROR(SEARCH("Met",tblMoeHistory[[#This Row],[State and Local Per Capita Result]]),0)&gt;0,IFERROR(SEARCH("Met",tblMoeHistory[[#This Row],[State and Local Total Result]]),0)&gt;0),"Met","Not Met")</f>
        <v>Not Met</v>
      </c>
    </row>
    <row r="612" spans="1:22" x14ac:dyDescent="0.35">
      <c r="A612" t="s">
        <v>39</v>
      </c>
      <c r="B612">
        <v>1974</v>
      </c>
      <c r="C612" t="s">
        <v>31</v>
      </c>
      <c r="D612">
        <v>180</v>
      </c>
      <c r="E612">
        <v>1197957.83</v>
      </c>
      <c r="F612">
        <v>358513</v>
      </c>
      <c r="G612">
        <f>tblMoeHistory[[#This Row],[LEA State and Local Amount]]+tblMoeHistory[[#This Row],[ESD State and Local Amount]]</f>
        <v>1556470.83</v>
      </c>
      <c r="H612">
        <v>0</v>
      </c>
      <c r="I612" t="s">
        <v>241</v>
      </c>
      <c r="J612">
        <f>IFERROR(tblMoeHistory[[#This Row],[LEA State and Local Amount]]/tblMoeHistory[[#This Row],[Child Count]],0)</f>
        <v>6655.3212777777781</v>
      </c>
      <c r="K612">
        <f>IFERROR(tblMoeHistory[[#This Row],[ESD State and Local Amount]]/tblMoeHistory[[#This Row],[Child Count]],0)</f>
        <v>1991.7388888888888</v>
      </c>
      <c r="L612">
        <f>IFERROR(tblMoeHistory[[#This Row],[State and Local Total Amount]]/tblMoeHistory[[#This Row],[Child Count]],0)</f>
        <v>8647.0601666666662</v>
      </c>
      <c r="M612">
        <v>0</v>
      </c>
      <c r="N612" t="s">
        <v>240</v>
      </c>
      <c r="O612">
        <v>239878.06</v>
      </c>
      <c r="P612">
        <v>2708.43</v>
      </c>
      <c r="Q612">
        <f>tblMoeHistory[[#This Row],[Amount of IDEA Part B, Section 611 award]]+tblMoeHistory[[#This Row],[Amount of IDEA Part B, Section 619 award]]</f>
        <v>242586.49</v>
      </c>
      <c r="U6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2" t="str">
        <f>IF(OR(IFERROR(SEARCH("Met",tblMoeHistory[[#This Row],[State and Local Per Capita Result]]),0)&gt;0,IFERROR(SEARCH("Met",tblMoeHistory[[#This Row],[State and Local Total Result]]),0)&gt;0),"Met","Not Met")</f>
        <v>Met</v>
      </c>
    </row>
    <row r="613" spans="1:22" x14ac:dyDescent="0.35">
      <c r="A613" t="s">
        <v>40</v>
      </c>
      <c r="B613">
        <v>1896</v>
      </c>
      <c r="C613" t="s">
        <v>31</v>
      </c>
      <c r="D613">
        <v>2</v>
      </c>
      <c r="E613">
        <v>47036</v>
      </c>
      <c r="F613">
        <v>13863</v>
      </c>
      <c r="G613">
        <f>tblMoeHistory[[#This Row],[LEA State and Local Amount]]+tblMoeHistory[[#This Row],[ESD State and Local Amount]]</f>
        <v>60899</v>
      </c>
      <c r="H613">
        <v>0</v>
      </c>
      <c r="I613" t="s">
        <v>241</v>
      </c>
      <c r="J613">
        <f>IFERROR(tblMoeHistory[[#This Row],[LEA State and Local Amount]]/tblMoeHistory[[#This Row],[Child Count]],0)</f>
        <v>23518</v>
      </c>
      <c r="K613">
        <f>IFERROR(tblMoeHistory[[#This Row],[ESD State and Local Amount]]/tblMoeHistory[[#This Row],[Child Count]],0)</f>
        <v>6931.5</v>
      </c>
      <c r="L613">
        <f>IFERROR(tblMoeHistory[[#This Row],[State and Local Total Amount]]/tblMoeHistory[[#This Row],[Child Count]],0)</f>
        <v>30449.5</v>
      </c>
      <c r="M613">
        <v>0</v>
      </c>
      <c r="N613" t="s">
        <v>241</v>
      </c>
      <c r="O613">
        <v>13243.72</v>
      </c>
      <c r="P613">
        <v>0</v>
      </c>
      <c r="Q613">
        <f>tblMoeHistory[[#This Row],[Amount of IDEA Part B, Section 611 award]]+tblMoeHistory[[#This Row],[Amount of IDEA Part B, Section 619 award]]</f>
        <v>13243.72</v>
      </c>
      <c r="U6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3" t="str">
        <f>IF(OR(IFERROR(SEARCH("Met",tblMoeHistory[[#This Row],[State and Local Per Capita Result]]),0)&gt;0,IFERROR(SEARCH("Met",tblMoeHistory[[#This Row],[State and Local Total Result]]),0)&gt;0),"Met","Not Met")</f>
        <v>Met</v>
      </c>
    </row>
    <row r="614" spans="1:22" x14ac:dyDescent="0.35">
      <c r="A614" t="s">
        <v>42</v>
      </c>
      <c r="B614">
        <v>2046</v>
      </c>
      <c r="C614" t="s">
        <v>31</v>
      </c>
      <c r="D614">
        <v>28</v>
      </c>
      <c r="E614">
        <v>167155.35999999999</v>
      </c>
      <c r="F614">
        <v>53824.97</v>
      </c>
      <c r="G614">
        <f>tblMoeHistory[[#This Row],[LEA State and Local Amount]]+tblMoeHistory[[#This Row],[ESD State and Local Amount]]</f>
        <v>220980.33</v>
      </c>
      <c r="H614">
        <v>0</v>
      </c>
      <c r="I614" t="s">
        <v>241</v>
      </c>
      <c r="J614">
        <f>IFERROR(tblMoeHistory[[#This Row],[LEA State and Local Amount]]/tblMoeHistory[[#This Row],[Child Count]],0)</f>
        <v>5969.8342857142852</v>
      </c>
      <c r="K614">
        <f>IFERROR(tblMoeHistory[[#This Row],[ESD State and Local Amount]]/tblMoeHistory[[#This Row],[Child Count]],0)</f>
        <v>1922.3203571428571</v>
      </c>
      <c r="L614">
        <f>IFERROR(tblMoeHistory[[#This Row],[State and Local Total Amount]]/tblMoeHistory[[#This Row],[Child Count]],0)</f>
        <v>7892.1546428571428</v>
      </c>
      <c r="M614">
        <v>0</v>
      </c>
      <c r="N614" t="s">
        <v>240</v>
      </c>
      <c r="O614">
        <v>21637.46</v>
      </c>
      <c r="P614">
        <v>155.66</v>
      </c>
      <c r="Q614">
        <f>tblMoeHistory[[#This Row],[Amount of IDEA Part B, Section 611 award]]+tblMoeHistory[[#This Row],[Amount of IDEA Part B, Section 619 award]]</f>
        <v>21793.119999999999</v>
      </c>
      <c r="U6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4" t="str">
        <f>IF(OR(IFERROR(SEARCH("Met",tblMoeHistory[[#This Row],[State and Local Per Capita Result]]),0)&gt;0,IFERROR(SEARCH("Met",tblMoeHistory[[#This Row],[State and Local Total Result]]),0)&gt;0),"Met","Not Met")</f>
        <v>Met</v>
      </c>
    </row>
    <row r="615" spans="1:22" x14ac:dyDescent="0.35">
      <c r="A615" t="s">
        <v>43</v>
      </c>
      <c r="B615">
        <v>1995</v>
      </c>
      <c r="C615" t="s">
        <v>31</v>
      </c>
      <c r="D615">
        <v>33</v>
      </c>
      <c r="E615">
        <v>154869.07999999999</v>
      </c>
      <c r="F615">
        <v>46693.39</v>
      </c>
      <c r="G615">
        <f>tblMoeHistory[[#This Row],[LEA State and Local Amount]]+tblMoeHistory[[#This Row],[ESD State and Local Amount]]</f>
        <v>201562.46999999997</v>
      </c>
      <c r="H615">
        <v>0</v>
      </c>
      <c r="I615" t="s">
        <v>241</v>
      </c>
      <c r="J615">
        <f>IFERROR(tblMoeHistory[[#This Row],[LEA State and Local Amount]]/tblMoeHistory[[#This Row],[Child Count]],0)</f>
        <v>4693.0024242424242</v>
      </c>
      <c r="K615">
        <f>IFERROR(tblMoeHistory[[#This Row],[ESD State and Local Amount]]/tblMoeHistory[[#This Row],[Child Count]],0)</f>
        <v>1414.9512121212122</v>
      </c>
      <c r="L615">
        <f>IFERROR(tblMoeHistory[[#This Row],[State and Local Total Amount]]/tblMoeHistory[[#This Row],[Child Count]],0)</f>
        <v>6107.9536363636353</v>
      </c>
      <c r="M615">
        <v>0</v>
      </c>
      <c r="N615" t="s">
        <v>240</v>
      </c>
      <c r="O615">
        <v>35051.83</v>
      </c>
      <c r="P615">
        <v>0</v>
      </c>
      <c r="Q615">
        <f>tblMoeHistory[[#This Row],[Amount of IDEA Part B, Section 611 award]]+tblMoeHistory[[#This Row],[Amount of IDEA Part B, Section 619 award]]</f>
        <v>35051.83</v>
      </c>
      <c r="U6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5" t="str">
        <f>IF(OR(IFERROR(SEARCH("Met",tblMoeHistory[[#This Row],[State and Local Per Capita Result]]),0)&gt;0,IFERROR(SEARCH("Met",tblMoeHistory[[#This Row],[State and Local Total Result]]),0)&gt;0),"Met","Not Met")</f>
        <v>Met</v>
      </c>
    </row>
    <row r="616" spans="1:22" x14ac:dyDescent="0.35">
      <c r="A616" t="s">
        <v>44</v>
      </c>
      <c r="B616">
        <v>1929</v>
      </c>
      <c r="C616" t="s">
        <v>31</v>
      </c>
      <c r="D616">
        <v>524</v>
      </c>
      <c r="E616">
        <v>4585404.3099999996</v>
      </c>
      <c r="F616">
        <v>767768</v>
      </c>
      <c r="G616">
        <f>tblMoeHistory[[#This Row],[LEA State and Local Amount]]+tblMoeHistory[[#This Row],[ESD State and Local Amount]]</f>
        <v>5353172.3099999996</v>
      </c>
      <c r="H616">
        <v>0</v>
      </c>
      <c r="I616" t="s">
        <v>241</v>
      </c>
      <c r="J616">
        <f>IFERROR(tblMoeHistory[[#This Row],[LEA State and Local Amount]]/tblMoeHistory[[#This Row],[Child Count]],0)</f>
        <v>8750.7715839694647</v>
      </c>
      <c r="K616">
        <f>IFERROR(tblMoeHistory[[#This Row],[ESD State and Local Amount]]/tblMoeHistory[[#This Row],[Child Count]],0)</f>
        <v>1465.206106870229</v>
      </c>
      <c r="L616">
        <f>IFERROR(tblMoeHistory[[#This Row],[State and Local Total Amount]]/tblMoeHistory[[#This Row],[Child Count]],0)</f>
        <v>10215.977690839694</v>
      </c>
      <c r="M616">
        <v>0</v>
      </c>
      <c r="N616" t="s">
        <v>241</v>
      </c>
      <c r="O616">
        <v>730547.38</v>
      </c>
      <c r="P616">
        <v>3113.13</v>
      </c>
      <c r="Q616">
        <f>tblMoeHistory[[#This Row],[Amount of IDEA Part B, Section 611 award]]+tblMoeHistory[[#This Row],[Amount of IDEA Part B, Section 619 award]]</f>
        <v>733660.51</v>
      </c>
      <c r="U6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6" t="str">
        <f>IF(OR(IFERROR(SEARCH("Met",tblMoeHistory[[#This Row],[State and Local Per Capita Result]]),0)&gt;0,IFERROR(SEARCH("Met",tblMoeHistory[[#This Row],[State and Local Total Result]]),0)&gt;0),"Met","Not Met")</f>
        <v>Met</v>
      </c>
    </row>
    <row r="617" spans="1:22" x14ac:dyDescent="0.35">
      <c r="A617" t="s">
        <v>45</v>
      </c>
      <c r="B617">
        <v>2139</v>
      </c>
      <c r="C617" t="s">
        <v>31</v>
      </c>
      <c r="D617">
        <v>319</v>
      </c>
      <c r="E617">
        <v>2530194.23</v>
      </c>
      <c r="F617">
        <v>96839.82</v>
      </c>
      <c r="G617">
        <f>tblMoeHistory[[#This Row],[LEA State and Local Amount]]+tblMoeHistory[[#This Row],[ESD State and Local Amount]]</f>
        <v>2627034.0499999998</v>
      </c>
      <c r="H617">
        <v>0</v>
      </c>
      <c r="I617" t="s">
        <v>241</v>
      </c>
      <c r="J617">
        <f>IFERROR(tblMoeHistory[[#This Row],[LEA State and Local Amount]]/tblMoeHistory[[#This Row],[Child Count]],0)</f>
        <v>7931.6433542319746</v>
      </c>
      <c r="K617">
        <f>IFERROR(tblMoeHistory[[#This Row],[ESD State and Local Amount]]/tblMoeHistory[[#This Row],[Child Count]],0)</f>
        <v>303.5731034482759</v>
      </c>
      <c r="L617">
        <f>IFERROR(tblMoeHistory[[#This Row],[State and Local Total Amount]]/tblMoeHistory[[#This Row],[Child Count]],0)</f>
        <v>8235.2164576802497</v>
      </c>
      <c r="M617">
        <v>0</v>
      </c>
      <c r="N617" t="s">
        <v>240</v>
      </c>
      <c r="O617">
        <v>357921.15</v>
      </c>
      <c r="P617">
        <v>3602.34</v>
      </c>
      <c r="Q617">
        <f>tblMoeHistory[[#This Row],[Amount of IDEA Part B, Section 611 award]]+tblMoeHistory[[#This Row],[Amount of IDEA Part B, Section 619 award]]</f>
        <v>361523.49000000005</v>
      </c>
      <c r="U6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7" t="str">
        <f>IF(OR(IFERROR(SEARCH("Met",tblMoeHistory[[#This Row],[State and Local Per Capita Result]]),0)&gt;0,IFERROR(SEARCH("Met",tblMoeHistory[[#This Row],[State and Local Total Result]]),0)&gt;0),"Met","Not Met")</f>
        <v>Met</v>
      </c>
    </row>
    <row r="618" spans="1:22" x14ac:dyDescent="0.35">
      <c r="A618" t="s">
        <v>46</v>
      </c>
      <c r="B618">
        <v>2185</v>
      </c>
      <c r="C618" t="s">
        <v>31</v>
      </c>
      <c r="D618">
        <v>848</v>
      </c>
      <c r="E618">
        <v>9092074.6999999993</v>
      </c>
      <c r="F618">
        <v>1236939.3400000001</v>
      </c>
      <c r="G618">
        <f>tblMoeHistory[[#This Row],[LEA State and Local Amount]]+tblMoeHistory[[#This Row],[ESD State and Local Amount]]</f>
        <v>10329014.039999999</v>
      </c>
      <c r="H618">
        <v>0</v>
      </c>
      <c r="I618" t="s">
        <v>241</v>
      </c>
      <c r="J618">
        <f>IFERROR(tblMoeHistory[[#This Row],[LEA State and Local Amount]]/tblMoeHistory[[#This Row],[Child Count]],0)</f>
        <v>10721.786202830188</v>
      </c>
      <c r="K618">
        <f>IFERROR(tblMoeHistory[[#This Row],[ESD State and Local Amount]]/tblMoeHistory[[#This Row],[Child Count]],0)</f>
        <v>1458.6548820754717</v>
      </c>
      <c r="L618">
        <f>IFERROR(tblMoeHistory[[#This Row],[State and Local Total Amount]]/tblMoeHistory[[#This Row],[Child Count]],0)</f>
        <v>12180.441084905658</v>
      </c>
      <c r="M618">
        <v>0</v>
      </c>
      <c r="N618" t="s">
        <v>241</v>
      </c>
      <c r="O618">
        <v>934924.94</v>
      </c>
      <c r="P618">
        <v>7004.56</v>
      </c>
      <c r="Q618">
        <f>tblMoeHistory[[#This Row],[Amount of IDEA Part B, Section 611 award]]+tblMoeHistory[[#This Row],[Amount of IDEA Part B, Section 619 award]]</f>
        <v>941929.5</v>
      </c>
      <c r="U6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8" t="str">
        <f>IF(OR(IFERROR(SEARCH("Met",tblMoeHistory[[#This Row],[State and Local Per Capita Result]]),0)&gt;0,IFERROR(SEARCH("Met",tblMoeHistory[[#This Row],[State and Local Total Result]]),0)&gt;0),"Met","Not Met")</f>
        <v>Met</v>
      </c>
    </row>
    <row r="619" spans="1:22" x14ac:dyDescent="0.35">
      <c r="A619" t="s">
        <v>47</v>
      </c>
      <c r="B619">
        <v>1972</v>
      </c>
      <c r="C619" t="s">
        <v>31</v>
      </c>
      <c r="D619">
        <v>48</v>
      </c>
      <c r="E619">
        <v>311535.7</v>
      </c>
      <c r="F619">
        <v>235019</v>
      </c>
      <c r="G619">
        <f>tblMoeHistory[[#This Row],[LEA State and Local Amount]]+tblMoeHistory[[#This Row],[ESD State and Local Amount]]</f>
        <v>546554.69999999995</v>
      </c>
      <c r="H619">
        <v>0</v>
      </c>
      <c r="I619" t="s">
        <v>242</v>
      </c>
      <c r="J619">
        <f>IFERROR(tblMoeHistory[[#This Row],[LEA State and Local Amount]]/tblMoeHistory[[#This Row],[Child Count]],0)</f>
        <v>6490.3270833333336</v>
      </c>
      <c r="K619">
        <f>IFERROR(tblMoeHistory[[#This Row],[ESD State and Local Amount]]/tblMoeHistory[[#This Row],[Child Count]],0)</f>
        <v>4896.229166666667</v>
      </c>
      <c r="L619">
        <f>IFERROR(tblMoeHistory[[#This Row],[State and Local Total Amount]]/tblMoeHistory[[#This Row],[Child Count]],0)</f>
        <v>11386.55625</v>
      </c>
      <c r="M619">
        <v>0</v>
      </c>
      <c r="N619" t="s">
        <v>241</v>
      </c>
      <c r="O619">
        <v>103971.45</v>
      </c>
      <c r="P619">
        <v>747.15</v>
      </c>
      <c r="Q619">
        <f>tblMoeHistory[[#This Row],[Amount of IDEA Part B, Section 611 award]]+tblMoeHistory[[#This Row],[Amount of IDEA Part B, Section 619 award]]</f>
        <v>104718.59999999999</v>
      </c>
      <c r="S619">
        <v>21864.55</v>
      </c>
      <c r="T619">
        <v>21864.55</v>
      </c>
      <c r="U6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9" t="str">
        <f>IF(OR(IFERROR(SEARCH("Met",tblMoeHistory[[#This Row],[State and Local Per Capita Result]]),0)&gt;0,IFERROR(SEARCH("Met",tblMoeHistory[[#This Row],[State and Local Total Result]]),0)&gt;0),"Met","Not Met")</f>
        <v>Met</v>
      </c>
    </row>
    <row r="620" spans="1:22" x14ac:dyDescent="0.35">
      <c r="A620" t="s">
        <v>48</v>
      </c>
      <c r="B620">
        <v>2105</v>
      </c>
      <c r="C620" t="s">
        <v>31</v>
      </c>
      <c r="D620">
        <v>108</v>
      </c>
      <c r="E620">
        <v>523377.94</v>
      </c>
      <c r="F620">
        <v>77625</v>
      </c>
      <c r="G620">
        <f>tblMoeHistory[[#This Row],[LEA State and Local Amount]]+tblMoeHistory[[#This Row],[ESD State and Local Amount]]</f>
        <v>601002.93999999994</v>
      </c>
      <c r="H620">
        <v>0</v>
      </c>
      <c r="I620" t="s">
        <v>240</v>
      </c>
      <c r="J620">
        <f>IFERROR(tblMoeHistory[[#This Row],[LEA State and Local Amount]]/tblMoeHistory[[#This Row],[Child Count]],0)</f>
        <v>4846.0920370370368</v>
      </c>
      <c r="K620">
        <f>IFERROR(tblMoeHistory[[#This Row],[ESD State and Local Amount]]/tblMoeHistory[[#This Row],[Child Count]],0)</f>
        <v>718.75</v>
      </c>
      <c r="L620">
        <f>IFERROR(tblMoeHistory[[#This Row],[State and Local Total Amount]]/tblMoeHistory[[#This Row],[Child Count]],0)</f>
        <v>5564.8420370370368</v>
      </c>
      <c r="M620">
        <v>0</v>
      </c>
      <c r="N620" t="s">
        <v>240</v>
      </c>
      <c r="O620">
        <v>108214.08</v>
      </c>
      <c r="P620">
        <v>1494.31</v>
      </c>
      <c r="Q620">
        <f>tblMoeHistory[[#This Row],[Amount of IDEA Part B, Section 611 award]]+tblMoeHistory[[#This Row],[Amount of IDEA Part B, Section 619 award]]</f>
        <v>109708.39</v>
      </c>
      <c r="U6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0" t="str">
        <f>IF(OR(IFERROR(SEARCH("Met",tblMoeHistory[[#This Row],[State and Local Per Capita Result]]),0)&gt;0,IFERROR(SEARCH("Met",tblMoeHistory[[#This Row],[State and Local Total Result]]),0)&gt;0),"Met","Not Met")</f>
        <v>Not Met</v>
      </c>
    </row>
    <row r="621" spans="1:22" x14ac:dyDescent="0.35">
      <c r="A621" t="s">
        <v>49</v>
      </c>
      <c r="B621">
        <v>2042</v>
      </c>
      <c r="C621" t="s">
        <v>31</v>
      </c>
      <c r="D621">
        <v>625</v>
      </c>
      <c r="E621">
        <v>3324148.62</v>
      </c>
      <c r="F621">
        <v>1148428.94</v>
      </c>
      <c r="G621">
        <f>tblMoeHistory[[#This Row],[LEA State and Local Amount]]+tblMoeHistory[[#This Row],[ESD State and Local Amount]]</f>
        <v>4472577.5600000005</v>
      </c>
      <c r="H621">
        <v>0</v>
      </c>
      <c r="I621" t="s">
        <v>241</v>
      </c>
      <c r="J621">
        <f>IFERROR(tblMoeHistory[[#This Row],[LEA State and Local Amount]]/tblMoeHistory[[#This Row],[Child Count]],0)</f>
        <v>5318.6377920000004</v>
      </c>
      <c r="K621">
        <f>IFERROR(tblMoeHistory[[#This Row],[ESD State and Local Amount]]/tblMoeHistory[[#This Row],[Child Count]],0)</f>
        <v>1837.486304</v>
      </c>
      <c r="L621">
        <f>IFERROR(tblMoeHistory[[#This Row],[State and Local Total Amount]]/tblMoeHistory[[#This Row],[Child Count]],0)</f>
        <v>7156.1240960000005</v>
      </c>
      <c r="M621">
        <v>0</v>
      </c>
      <c r="N621" t="s">
        <v>240</v>
      </c>
      <c r="O621">
        <v>635601.91</v>
      </c>
      <c r="P621">
        <v>9650.73</v>
      </c>
      <c r="Q621">
        <f>tblMoeHistory[[#This Row],[Amount of IDEA Part B, Section 611 award]]+tblMoeHistory[[#This Row],[Amount of IDEA Part B, Section 619 award]]</f>
        <v>645252.64</v>
      </c>
      <c r="U6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1" t="str">
        <f>IF(OR(IFERROR(SEARCH("Met",tblMoeHistory[[#This Row],[State and Local Per Capita Result]]),0)&gt;0,IFERROR(SEARCH("Met",tblMoeHistory[[#This Row],[State and Local Total Result]]),0)&gt;0),"Met","Not Met")</f>
        <v>Met</v>
      </c>
    </row>
    <row r="622" spans="1:22" x14ac:dyDescent="0.35">
      <c r="A622" t="s">
        <v>50</v>
      </c>
      <c r="B622">
        <v>2191</v>
      </c>
      <c r="C622" t="s">
        <v>31</v>
      </c>
      <c r="D622">
        <v>356</v>
      </c>
      <c r="E622">
        <v>4577816.9000000004</v>
      </c>
      <c r="F622">
        <v>347168.79</v>
      </c>
      <c r="G622">
        <f>tblMoeHistory[[#This Row],[LEA State and Local Amount]]+tblMoeHistory[[#This Row],[ESD State and Local Amount]]</f>
        <v>4924985.6900000004</v>
      </c>
      <c r="H622">
        <v>0</v>
      </c>
      <c r="I622" t="s">
        <v>241</v>
      </c>
      <c r="J622">
        <f>IFERROR(tblMoeHistory[[#This Row],[LEA State and Local Amount]]/tblMoeHistory[[#This Row],[Child Count]],0)</f>
        <v>12859.036235955056</v>
      </c>
      <c r="K622">
        <f>IFERROR(tblMoeHistory[[#This Row],[ESD State and Local Amount]]/tblMoeHistory[[#This Row],[Child Count]],0)</f>
        <v>975.1932303370786</v>
      </c>
      <c r="L622">
        <f>IFERROR(tblMoeHistory[[#This Row],[State and Local Total Amount]]/tblMoeHistory[[#This Row],[Child Count]],0)</f>
        <v>13834.229466292136</v>
      </c>
      <c r="M622">
        <v>0</v>
      </c>
      <c r="N622" t="s">
        <v>241</v>
      </c>
      <c r="O622">
        <v>370661.81</v>
      </c>
      <c r="P622">
        <v>2110.96</v>
      </c>
      <c r="Q622">
        <f>tblMoeHistory[[#This Row],[Amount of IDEA Part B, Section 611 award]]+tblMoeHistory[[#This Row],[Amount of IDEA Part B, Section 619 award]]</f>
        <v>372772.77</v>
      </c>
      <c r="U6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2" t="str">
        <f>IF(OR(IFERROR(SEARCH("Met",tblMoeHistory[[#This Row],[State and Local Per Capita Result]]),0)&gt;0,IFERROR(SEARCH("Met",tblMoeHistory[[#This Row],[State and Local Total Result]]),0)&gt;0),"Met","Not Met")</f>
        <v>Met</v>
      </c>
    </row>
    <row r="623" spans="1:22" x14ac:dyDescent="0.35">
      <c r="A623" t="s">
        <v>51</v>
      </c>
      <c r="B623">
        <v>1945</v>
      </c>
      <c r="C623" t="s">
        <v>31</v>
      </c>
      <c r="D623">
        <v>116</v>
      </c>
      <c r="E623">
        <v>897057.74</v>
      </c>
      <c r="F623">
        <v>184139</v>
      </c>
      <c r="G623">
        <f>tblMoeHistory[[#This Row],[LEA State and Local Amount]]+tblMoeHistory[[#This Row],[ESD State and Local Amount]]</f>
        <v>1081196.74</v>
      </c>
      <c r="H623">
        <v>0</v>
      </c>
      <c r="I623" t="s">
        <v>240</v>
      </c>
      <c r="J623">
        <f>IFERROR(tblMoeHistory[[#This Row],[LEA State and Local Amount]]/tblMoeHistory[[#This Row],[Child Count]],0)</f>
        <v>7733.2563793103445</v>
      </c>
      <c r="K623">
        <f>IFERROR(tblMoeHistory[[#This Row],[ESD State and Local Amount]]/tblMoeHistory[[#This Row],[Child Count]],0)</f>
        <v>1587.405172413793</v>
      </c>
      <c r="L623">
        <f>IFERROR(tblMoeHistory[[#This Row],[State and Local Total Amount]]/tblMoeHistory[[#This Row],[Child Count]],0)</f>
        <v>9320.6615517241371</v>
      </c>
      <c r="M623">
        <v>0</v>
      </c>
      <c r="N623" t="s">
        <v>240</v>
      </c>
      <c r="O623">
        <v>124780.55</v>
      </c>
      <c r="P623">
        <v>2490.5100000000002</v>
      </c>
      <c r="Q623">
        <f>tblMoeHistory[[#This Row],[Amount of IDEA Part B, Section 611 award]]+tblMoeHistory[[#This Row],[Amount of IDEA Part B, Section 619 award]]</f>
        <v>127271.06</v>
      </c>
      <c r="U6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3" t="str">
        <f>IF(OR(IFERROR(SEARCH("Met",tblMoeHistory[[#This Row],[State and Local Per Capita Result]]),0)&gt;0,IFERROR(SEARCH("Met",tblMoeHistory[[#This Row],[State and Local Total Result]]),0)&gt;0),"Met","Not Met")</f>
        <v>Not Met</v>
      </c>
    </row>
    <row r="624" spans="1:22" x14ac:dyDescent="0.35">
      <c r="A624" t="s">
        <v>52</v>
      </c>
      <c r="B624">
        <v>1927</v>
      </c>
      <c r="C624" t="s">
        <v>31</v>
      </c>
      <c r="D624">
        <v>82</v>
      </c>
      <c r="E624">
        <v>728304.8</v>
      </c>
      <c r="F624">
        <v>221253</v>
      </c>
      <c r="G624">
        <f>tblMoeHistory[[#This Row],[LEA State and Local Amount]]+tblMoeHistory[[#This Row],[ESD State and Local Amount]]</f>
        <v>949557.8</v>
      </c>
      <c r="H624">
        <v>0</v>
      </c>
      <c r="I624" t="s">
        <v>241</v>
      </c>
      <c r="J624">
        <f>IFERROR(tblMoeHistory[[#This Row],[LEA State and Local Amount]]/tblMoeHistory[[#This Row],[Child Count]],0)</f>
        <v>8881.7658536585368</v>
      </c>
      <c r="K624">
        <f>IFERROR(tblMoeHistory[[#This Row],[ESD State and Local Amount]]/tblMoeHistory[[#This Row],[Child Count]],0)</f>
        <v>2698.2073170731705</v>
      </c>
      <c r="L624">
        <f>IFERROR(tblMoeHistory[[#This Row],[State and Local Total Amount]]/tblMoeHistory[[#This Row],[Child Count]],0)</f>
        <v>11579.973170731708</v>
      </c>
      <c r="M624">
        <v>0</v>
      </c>
      <c r="N624" t="s">
        <v>240</v>
      </c>
      <c r="O624">
        <v>125142.78</v>
      </c>
      <c r="P624">
        <v>1712.23</v>
      </c>
      <c r="Q624">
        <f>tblMoeHistory[[#This Row],[Amount of IDEA Part B, Section 611 award]]+tblMoeHistory[[#This Row],[Amount of IDEA Part B, Section 619 award]]</f>
        <v>126855.01</v>
      </c>
      <c r="U6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4" t="str">
        <f>IF(OR(IFERROR(SEARCH("Met",tblMoeHistory[[#This Row],[State and Local Per Capita Result]]),0)&gt;0,IFERROR(SEARCH("Met",tblMoeHistory[[#This Row],[State and Local Total Result]]),0)&gt;0),"Met","Not Met")</f>
        <v>Met</v>
      </c>
    </row>
    <row r="625" spans="1:22" x14ac:dyDescent="0.35">
      <c r="A625" t="s">
        <v>53</v>
      </c>
      <c r="B625">
        <v>2006</v>
      </c>
      <c r="C625" t="s">
        <v>31</v>
      </c>
      <c r="D625">
        <v>18</v>
      </c>
      <c r="E625">
        <v>4210.09</v>
      </c>
      <c r="F625">
        <v>120843</v>
      </c>
      <c r="G625">
        <f>tblMoeHistory[[#This Row],[LEA State and Local Amount]]+tblMoeHistory[[#This Row],[ESD State and Local Amount]]</f>
        <v>125053.09</v>
      </c>
      <c r="H625">
        <v>0</v>
      </c>
      <c r="I625" t="s">
        <v>240</v>
      </c>
      <c r="J625">
        <f>IFERROR(tblMoeHistory[[#This Row],[LEA State and Local Amount]]/tblMoeHistory[[#This Row],[Child Count]],0)</f>
        <v>233.89388888888891</v>
      </c>
      <c r="K625">
        <f>IFERROR(tblMoeHistory[[#This Row],[ESD State and Local Amount]]/tblMoeHistory[[#This Row],[Child Count]],0)</f>
        <v>6713.5</v>
      </c>
      <c r="L625">
        <f>IFERROR(tblMoeHistory[[#This Row],[State and Local Total Amount]]/tblMoeHistory[[#This Row],[Child Count]],0)</f>
        <v>6947.3938888888888</v>
      </c>
      <c r="M625">
        <v>0</v>
      </c>
      <c r="N625" t="s">
        <v>240</v>
      </c>
      <c r="O625">
        <v>24306.75</v>
      </c>
      <c r="P625">
        <v>0</v>
      </c>
      <c r="Q625">
        <f>tblMoeHistory[[#This Row],[Amount of IDEA Part B, Section 611 award]]+tblMoeHistory[[#This Row],[Amount of IDEA Part B, Section 619 award]]</f>
        <v>24306.75</v>
      </c>
      <c r="U6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5" t="str">
        <f>IF(OR(IFERROR(SEARCH("Met",tblMoeHistory[[#This Row],[State and Local Per Capita Result]]),0)&gt;0,IFERROR(SEARCH("Met",tblMoeHistory[[#This Row],[State and Local Total Result]]),0)&gt;0),"Met","Not Met")</f>
        <v>Not Met</v>
      </c>
    </row>
    <row r="626" spans="1:22" x14ac:dyDescent="0.35">
      <c r="A626" t="s">
        <v>54</v>
      </c>
      <c r="B626">
        <v>1965</v>
      </c>
      <c r="C626" t="s">
        <v>31</v>
      </c>
      <c r="D626">
        <v>485</v>
      </c>
      <c r="E626">
        <v>3633016.25</v>
      </c>
      <c r="F626">
        <v>1458673</v>
      </c>
      <c r="G626">
        <f>tblMoeHistory[[#This Row],[LEA State and Local Amount]]+tblMoeHistory[[#This Row],[ESD State and Local Amount]]</f>
        <v>5091689.25</v>
      </c>
      <c r="H626">
        <v>0</v>
      </c>
      <c r="I626" t="s">
        <v>241</v>
      </c>
      <c r="J626">
        <f>IFERROR(tblMoeHistory[[#This Row],[LEA State and Local Amount]]/tblMoeHistory[[#This Row],[Child Count]],0)</f>
        <v>7490.7551546391751</v>
      </c>
      <c r="K626">
        <f>IFERROR(tblMoeHistory[[#This Row],[ESD State and Local Amount]]/tblMoeHistory[[#This Row],[Child Count]],0)</f>
        <v>3007.5731958762885</v>
      </c>
      <c r="L626">
        <f>IFERROR(tblMoeHistory[[#This Row],[State and Local Total Amount]]/tblMoeHistory[[#This Row],[Child Count]],0)</f>
        <v>10498.328350515463</v>
      </c>
      <c r="M626">
        <v>0</v>
      </c>
      <c r="N626" t="s">
        <v>241</v>
      </c>
      <c r="O626">
        <v>612068.41</v>
      </c>
      <c r="P626">
        <v>4196.97</v>
      </c>
      <c r="Q626">
        <f>tblMoeHistory[[#This Row],[Amount of IDEA Part B, Section 611 award]]+tblMoeHistory[[#This Row],[Amount of IDEA Part B, Section 619 award]]</f>
        <v>616265.38</v>
      </c>
      <c r="U6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6" t="str">
        <f>IF(OR(IFERROR(SEARCH("Met",tblMoeHistory[[#This Row],[State and Local Per Capita Result]]),0)&gt;0,IFERROR(SEARCH("Met",tblMoeHistory[[#This Row],[State and Local Total Result]]),0)&gt;0),"Met","Not Met")</f>
        <v>Met</v>
      </c>
    </row>
    <row r="627" spans="1:22" x14ac:dyDescent="0.35">
      <c r="A627" t="s">
        <v>55</v>
      </c>
      <c r="B627">
        <v>1964</v>
      </c>
      <c r="C627" t="s">
        <v>31</v>
      </c>
      <c r="D627">
        <v>88</v>
      </c>
      <c r="E627">
        <v>544540.39</v>
      </c>
      <c r="F627">
        <v>566909</v>
      </c>
      <c r="G627">
        <f>tblMoeHistory[[#This Row],[LEA State and Local Amount]]+tblMoeHistory[[#This Row],[ESD State and Local Amount]]</f>
        <v>1111449.3900000001</v>
      </c>
      <c r="H627">
        <v>0</v>
      </c>
      <c r="I627" t="s">
        <v>241</v>
      </c>
      <c r="J627">
        <f>IFERROR(tblMoeHistory[[#This Row],[LEA State and Local Amount]]/tblMoeHistory[[#This Row],[Child Count]],0)</f>
        <v>6187.9589772727277</v>
      </c>
      <c r="K627">
        <f>IFERROR(tblMoeHistory[[#This Row],[ESD State and Local Amount]]/tblMoeHistory[[#This Row],[Child Count]],0)</f>
        <v>6442.147727272727</v>
      </c>
      <c r="L627">
        <f>IFERROR(tblMoeHistory[[#This Row],[State and Local Total Amount]]/tblMoeHistory[[#This Row],[Child Count]],0)</f>
        <v>12630.106704545457</v>
      </c>
      <c r="M627">
        <v>0</v>
      </c>
      <c r="N627" t="s">
        <v>241</v>
      </c>
      <c r="O627">
        <v>151221.01</v>
      </c>
      <c r="P627">
        <v>3152.05</v>
      </c>
      <c r="Q627">
        <f>tblMoeHistory[[#This Row],[Amount of IDEA Part B, Section 611 award]]+tblMoeHistory[[#This Row],[Amount of IDEA Part B, Section 619 award]]</f>
        <v>154373.06</v>
      </c>
      <c r="U6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7" t="str">
        <f>IF(OR(IFERROR(SEARCH("Met",tblMoeHistory[[#This Row],[State and Local Per Capita Result]]),0)&gt;0,IFERROR(SEARCH("Met",tblMoeHistory[[#This Row],[State and Local Total Result]]),0)&gt;0),"Met","Not Met")</f>
        <v>Met</v>
      </c>
    </row>
    <row r="628" spans="1:22" x14ac:dyDescent="0.35">
      <c r="A628" t="s">
        <v>56</v>
      </c>
      <c r="B628">
        <v>2186</v>
      </c>
      <c r="C628" t="s">
        <v>31</v>
      </c>
      <c r="D628">
        <v>101</v>
      </c>
      <c r="E628">
        <v>617557.6</v>
      </c>
      <c r="F628">
        <v>306536.11</v>
      </c>
      <c r="G628">
        <f>tblMoeHistory[[#This Row],[LEA State and Local Amount]]+tblMoeHistory[[#This Row],[ESD State and Local Amount]]</f>
        <v>924093.71</v>
      </c>
      <c r="H628">
        <v>0</v>
      </c>
      <c r="I628" t="s">
        <v>241</v>
      </c>
      <c r="J628">
        <f>IFERROR(tblMoeHistory[[#This Row],[LEA State and Local Amount]]/tblMoeHistory[[#This Row],[Child Count]],0)</f>
        <v>6114.4316831683163</v>
      </c>
      <c r="K628">
        <f>IFERROR(tblMoeHistory[[#This Row],[ESD State and Local Amount]]/tblMoeHistory[[#This Row],[Child Count]],0)</f>
        <v>3035.0109900990096</v>
      </c>
      <c r="L628">
        <f>IFERROR(tblMoeHistory[[#This Row],[State and Local Total Amount]]/tblMoeHistory[[#This Row],[Child Count]],0)</f>
        <v>9149.4426732673255</v>
      </c>
      <c r="M628">
        <v>0</v>
      </c>
      <c r="N628" t="s">
        <v>240</v>
      </c>
      <c r="O628">
        <v>156261.73000000001</v>
      </c>
      <c r="P628">
        <v>1225.8</v>
      </c>
      <c r="Q628">
        <f>tblMoeHistory[[#This Row],[Amount of IDEA Part B, Section 611 award]]+tblMoeHistory[[#This Row],[Amount of IDEA Part B, Section 619 award]]</f>
        <v>157487.53</v>
      </c>
      <c r="U6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8" t="str">
        <f>IF(OR(IFERROR(SEARCH("Met",tblMoeHistory[[#This Row],[State and Local Per Capita Result]]),0)&gt;0,IFERROR(SEARCH("Met",tblMoeHistory[[#This Row],[State and Local Total Result]]),0)&gt;0),"Met","Not Met")</f>
        <v>Met</v>
      </c>
    </row>
    <row r="629" spans="1:22" x14ac:dyDescent="0.35">
      <c r="A629" t="s">
        <v>58</v>
      </c>
      <c r="B629">
        <v>1901</v>
      </c>
      <c r="C629" t="s">
        <v>31</v>
      </c>
      <c r="D629">
        <v>687</v>
      </c>
      <c r="E629">
        <v>6628244.5499999998</v>
      </c>
      <c r="F629">
        <v>714362</v>
      </c>
      <c r="G629">
        <f>tblMoeHistory[[#This Row],[LEA State and Local Amount]]+tblMoeHistory[[#This Row],[ESD State and Local Amount]]</f>
        <v>7342606.5499999998</v>
      </c>
      <c r="H629">
        <v>0</v>
      </c>
      <c r="I629" t="s">
        <v>241</v>
      </c>
      <c r="J629">
        <f>IFERROR(tblMoeHistory[[#This Row],[LEA State and Local Amount]]/tblMoeHistory[[#This Row],[Child Count]],0)</f>
        <v>9648.0997816593881</v>
      </c>
      <c r="K629">
        <f>IFERROR(tblMoeHistory[[#This Row],[ESD State and Local Amount]]/tblMoeHistory[[#This Row],[Child Count]],0)</f>
        <v>1039.8282387190684</v>
      </c>
      <c r="L629">
        <f>IFERROR(tblMoeHistory[[#This Row],[State and Local Total Amount]]/tblMoeHistory[[#This Row],[Child Count]],0)</f>
        <v>10687.928020378456</v>
      </c>
      <c r="M629">
        <v>0</v>
      </c>
      <c r="N629" t="s">
        <v>241</v>
      </c>
      <c r="O629">
        <v>946017.9</v>
      </c>
      <c r="P629">
        <v>9037.67</v>
      </c>
      <c r="Q629">
        <f>tblMoeHistory[[#This Row],[Amount of IDEA Part B, Section 611 award]]+tblMoeHistory[[#This Row],[Amount of IDEA Part B, Section 619 award]]</f>
        <v>955055.57000000007</v>
      </c>
      <c r="U6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9" t="str">
        <f>IF(OR(IFERROR(SEARCH("Met",tblMoeHistory[[#This Row],[State and Local Per Capita Result]]),0)&gt;0,IFERROR(SEARCH("Met",tblMoeHistory[[#This Row],[State and Local Total Result]]),0)&gt;0),"Met","Not Met")</f>
        <v>Met</v>
      </c>
    </row>
    <row r="630" spans="1:22" x14ac:dyDescent="0.35">
      <c r="A630" t="s">
        <v>59</v>
      </c>
      <c r="B630">
        <v>2216</v>
      </c>
      <c r="C630" t="s">
        <v>31</v>
      </c>
      <c r="D630">
        <v>28</v>
      </c>
      <c r="E630">
        <v>117920.18</v>
      </c>
      <c r="F630">
        <v>58139</v>
      </c>
      <c r="G630">
        <f>tblMoeHistory[[#This Row],[LEA State and Local Amount]]+tblMoeHistory[[#This Row],[ESD State and Local Amount]]</f>
        <v>176059.18</v>
      </c>
      <c r="H630">
        <v>0</v>
      </c>
      <c r="I630" t="s">
        <v>241</v>
      </c>
      <c r="J630">
        <f>IFERROR(tblMoeHistory[[#This Row],[LEA State and Local Amount]]/tblMoeHistory[[#This Row],[Child Count]],0)</f>
        <v>4211.4349999999995</v>
      </c>
      <c r="K630">
        <f>IFERROR(tblMoeHistory[[#This Row],[ESD State and Local Amount]]/tblMoeHistory[[#This Row],[Child Count]],0)</f>
        <v>2076.3928571428573</v>
      </c>
      <c r="L630">
        <f>IFERROR(tblMoeHistory[[#This Row],[State and Local Total Amount]]/tblMoeHistory[[#This Row],[Child Count]],0)</f>
        <v>6287.8278571428573</v>
      </c>
      <c r="M630">
        <v>0</v>
      </c>
      <c r="N630" t="s">
        <v>240</v>
      </c>
      <c r="O630">
        <v>43304.31</v>
      </c>
      <c r="P630">
        <v>1400.91</v>
      </c>
      <c r="Q630">
        <f>tblMoeHistory[[#This Row],[Amount of IDEA Part B, Section 611 award]]+tblMoeHistory[[#This Row],[Amount of IDEA Part B, Section 619 award]]</f>
        <v>44705.22</v>
      </c>
      <c r="U6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0" t="str">
        <f>IF(OR(IFERROR(SEARCH("Met",tblMoeHistory[[#This Row],[State and Local Per Capita Result]]),0)&gt;0,IFERROR(SEARCH("Met",tblMoeHistory[[#This Row],[State and Local Total Result]]),0)&gt;0),"Met","Not Met")</f>
        <v>Met</v>
      </c>
    </row>
    <row r="631" spans="1:22" x14ac:dyDescent="0.35">
      <c r="A631" t="s">
        <v>60</v>
      </c>
      <c r="B631">
        <v>2086</v>
      </c>
      <c r="C631" t="s">
        <v>31</v>
      </c>
      <c r="D631">
        <v>221</v>
      </c>
      <c r="E631">
        <v>1552494.22</v>
      </c>
      <c r="F631">
        <v>674023</v>
      </c>
      <c r="G631">
        <f>tblMoeHistory[[#This Row],[LEA State and Local Amount]]+tblMoeHistory[[#This Row],[ESD State and Local Amount]]</f>
        <v>2226517.2199999997</v>
      </c>
      <c r="H631">
        <v>0</v>
      </c>
      <c r="I631" t="s">
        <v>242</v>
      </c>
      <c r="J631">
        <f>IFERROR(tblMoeHistory[[#This Row],[LEA State and Local Amount]]/tblMoeHistory[[#This Row],[Child Count]],0)</f>
        <v>7024.8607239819003</v>
      </c>
      <c r="K631">
        <f>IFERROR(tblMoeHistory[[#This Row],[ESD State and Local Amount]]/tblMoeHistory[[#This Row],[Child Count]],0)</f>
        <v>3049.8778280542988</v>
      </c>
      <c r="L631">
        <f>IFERROR(tblMoeHistory[[#This Row],[State and Local Total Amount]]/tblMoeHistory[[#This Row],[Child Count]],0)</f>
        <v>10074.738552036199</v>
      </c>
      <c r="M631">
        <v>0</v>
      </c>
      <c r="N631" t="s">
        <v>241</v>
      </c>
      <c r="O631">
        <v>212375.77</v>
      </c>
      <c r="P631">
        <v>1323.09</v>
      </c>
      <c r="Q631">
        <f>tblMoeHistory[[#This Row],[Amount of IDEA Part B, Section 611 award]]+tblMoeHistory[[#This Row],[Amount of IDEA Part B, Section 619 award]]</f>
        <v>213698.86</v>
      </c>
      <c r="S631">
        <v>255210.18</v>
      </c>
      <c r="T631">
        <v>255210.18</v>
      </c>
      <c r="U6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1" t="str">
        <f>IF(OR(IFERROR(SEARCH("Met",tblMoeHistory[[#This Row],[State and Local Per Capita Result]]),0)&gt;0,IFERROR(SEARCH("Met",tblMoeHistory[[#This Row],[State and Local Total Result]]),0)&gt;0),"Met","Not Met")</f>
        <v>Met</v>
      </c>
    </row>
    <row r="632" spans="1:22" x14ac:dyDescent="0.35">
      <c r="A632" t="s">
        <v>61</v>
      </c>
      <c r="B632">
        <v>1970</v>
      </c>
      <c r="C632" t="s">
        <v>31</v>
      </c>
      <c r="D632">
        <v>428</v>
      </c>
      <c r="E632">
        <v>3175845.73</v>
      </c>
      <c r="F632">
        <v>205450.19</v>
      </c>
      <c r="G632">
        <f>tblMoeHistory[[#This Row],[LEA State and Local Amount]]+tblMoeHistory[[#This Row],[ESD State and Local Amount]]</f>
        <v>3381295.92</v>
      </c>
      <c r="H632">
        <v>0</v>
      </c>
      <c r="I632" t="s">
        <v>241</v>
      </c>
      <c r="J632">
        <f>IFERROR(tblMoeHistory[[#This Row],[LEA State and Local Amount]]/tblMoeHistory[[#This Row],[Child Count]],0)</f>
        <v>7420.2003037383174</v>
      </c>
      <c r="K632">
        <f>IFERROR(tblMoeHistory[[#This Row],[ESD State and Local Amount]]/tblMoeHistory[[#This Row],[Child Count]],0)</f>
        <v>480.02380841121499</v>
      </c>
      <c r="L632">
        <f>IFERROR(tblMoeHistory[[#This Row],[State and Local Total Amount]]/tblMoeHistory[[#This Row],[Child Count]],0)</f>
        <v>7900.2241121495326</v>
      </c>
      <c r="M632">
        <v>0</v>
      </c>
      <c r="N632" t="s">
        <v>241</v>
      </c>
      <c r="O632">
        <v>554733.39</v>
      </c>
      <c r="P632">
        <v>7381.14</v>
      </c>
      <c r="Q632">
        <f>tblMoeHistory[[#This Row],[Amount of IDEA Part B, Section 611 award]]+tblMoeHistory[[#This Row],[Amount of IDEA Part B, Section 619 award]]</f>
        <v>562114.53</v>
      </c>
      <c r="U6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2" t="str">
        <f>IF(OR(IFERROR(SEARCH("Met",tblMoeHistory[[#This Row],[State and Local Per Capita Result]]),0)&gt;0,IFERROR(SEARCH("Met",tblMoeHistory[[#This Row],[State and Local Total Result]]),0)&gt;0),"Met","Not Met")</f>
        <v>Met</v>
      </c>
    </row>
    <row r="633" spans="1:22" x14ac:dyDescent="0.35">
      <c r="A633" t="s">
        <v>62</v>
      </c>
      <c r="B633">
        <v>2089</v>
      </c>
      <c r="C633" t="s">
        <v>31</v>
      </c>
      <c r="D633">
        <v>52</v>
      </c>
      <c r="E633">
        <v>406092.02</v>
      </c>
      <c r="F633">
        <v>141550</v>
      </c>
      <c r="G633">
        <f>tblMoeHistory[[#This Row],[LEA State and Local Amount]]+tblMoeHistory[[#This Row],[ESD State and Local Amount]]</f>
        <v>547642.02</v>
      </c>
      <c r="H633">
        <v>0</v>
      </c>
      <c r="I633" t="s">
        <v>242</v>
      </c>
      <c r="J633">
        <f>IFERROR(tblMoeHistory[[#This Row],[LEA State and Local Amount]]/tblMoeHistory[[#This Row],[Child Count]],0)</f>
        <v>7809.4619230769231</v>
      </c>
      <c r="K633">
        <f>IFERROR(tblMoeHistory[[#This Row],[ESD State and Local Amount]]/tblMoeHistory[[#This Row],[Child Count]],0)</f>
        <v>2722.1153846153848</v>
      </c>
      <c r="L633">
        <f>IFERROR(tblMoeHistory[[#This Row],[State and Local Total Amount]]/tblMoeHistory[[#This Row],[Child Count]],0)</f>
        <v>10531.577307692309</v>
      </c>
      <c r="M633">
        <v>0</v>
      </c>
      <c r="N633" t="s">
        <v>240</v>
      </c>
      <c r="O633">
        <v>58607.73</v>
      </c>
      <c r="P633">
        <v>311.31</v>
      </c>
      <c r="Q633">
        <f>tblMoeHistory[[#This Row],[Amount of IDEA Part B, Section 611 award]]+tblMoeHistory[[#This Row],[Amount of IDEA Part B, Section 619 award]]</f>
        <v>58919.040000000001</v>
      </c>
      <c r="S633">
        <v>20961.97</v>
      </c>
      <c r="U6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3" t="str">
        <f>IF(OR(IFERROR(SEARCH("Met",tblMoeHistory[[#This Row],[State and Local Per Capita Result]]),0)&gt;0,IFERROR(SEARCH("Met",tblMoeHistory[[#This Row],[State and Local Total Result]]),0)&gt;0),"Met","Not Met")</f>
        <v>Met</v>
      </c>
    </row>
    <row r="634" spans="1:22" x14ac:dyDescent="0.35">
      <c r="A634" t="s">
        <v>63</v>
      </c>
      <c r="B634">
        <v>2050</v>
      </c>
      <c r="C634" t="s">
        <v>31</v>
      </c>
      <c r="D634">
        <v>84</v>
      </c>
      <c r="E634">
        <v>623105.76</v>
      </c>
      <c r="F634">
        <v>234106.46</v>
      </c>
      <c r="G634">
        <f>tblMoeHistory[[#This Row],[LEA State and Local Amount]]+tblMoeHistory[[#This Row],[ESD State and Local Amount]]</f>
        <v>857212.22</v>
      </c>
      <c r="H634">
        <v>0</v>
      </c>
      <c r="I634" t="s">
        <v>241</v>
      </c>
      <c r="J634">
        <f>IFERROR(tblMoeHistory[[#This Row],[LEA State and Local Amount]]/tblMoeHistory[[#This Row],[Child Count]],0)</f>
        <v>7417.9257142857141</v>
      </c>
      <c r="K634">
        <f>IFERROR(tblMoeHistory[[#This Row],[ESD State and Local Amount]]/tblMoeHistory[[#This Row],[Child Count]],0)</f>
        <v>2786.9816666666666</v>
      </c>
      <c r="L634">
        <f>IFERROR(tblMoeHistory[[#This Row],[State and Local Total Amount]]/tblMoeHistory[[#This Row],[Child Count]],0)</f>
        <v>10204.90738095238</v>
      </c>
      <c r="M634">
        <v>0</v>
      </c>
      <c r="N634" t="s">
        <v>240</v>
      </c>
      <c r="O634">
        <v>110616.08</v>
      </c>
      <c r="P634">
        <v>1494.31</v>
      </c>
      <c r="Q634">
        <f>tblMoeHistory[[#This Row],[Amount of IDEA Part B, Section 611 award]]+tblMoeHistory[[#This Row],[Amount of IDEA Part B, Section 619 award]]</f>
        <v>112110.39</v>
      </c>
      <c r="U6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4" t="str">
        <f>IF(OR(IFERROR(SEARCH("Met",tblMoeHistory[[#This Row],[State and Local Per Capita Result]]),0)&gt;0,IFERROR(SEARCH("Met",tblMoeHistory[[#This Row],[State and Local Total Result]]),0)&gt;0),"Met","Not Met")</f>
        <v>Met</v>
      </c>
    </row>
    <row r="635" spans="1:22" x14ac:dyDescent="0.35">
      <c r="A635" t="s">
        <v>64</v>
      </c>
      <c r="B635">
        <v>2190</v>
      </c>
      <c r="C635" t="s">
        <v>31</v>
      </c>
      <c r="D635">
        <v>428</v>
      </c>
      <c r="E635">
        <v>3658481.75</v>
      </c>
      <c r="F635">
        <v>271947.86</v>
      </c>
      <c r="G635">
        <f>tblMoeHistory[[#This Row],[LEA State and Local Amount]]+tblMoeHistory[[#This Row],[ESD State and Local Amount]]</f>
        <v>3930429.61</v>
      </c>
      <c r="H635">
        <v>0</v>
      </c>
      <c r="I635" t="s">
        <v>241</v>
      </c>
      <c r="J635">
        <f>IFERROR(tblMoeHistory[[#This Row],[LEA State and Local Amount]]/tblMoeHistory[[#This Row],[Child Count]],0)</f>
        <v>8547.8545560747662</v>
      </c>
      <c r="K635">
        <f>IFERROR(tblMoeHistory[[#This Row],[ESD State and Local Amount]]/tblMoeHistory[[#This Row],[Child Count]],0)</f>
        <v>635.39219626168222</v>
      </c>
      <c r="L635">
        <f>IFERROR(tblMoeHistory[[#This Row],[State and Local Total Amount]]/tblMoeHistory[[#This Row],[Child Count]],0)</f>
        <v>9183.2467523364485</v>
      </c>
      <c r="M635">
        <v>0</v>
      </c>
      <c r="N635" t="s">
        <v>241</v>
      </c>
      <c r="O635">
        <v>437238.78</v>
      </c>
      <c r="P635">
        <v>4856.49</v>
      </c>
      <c r="Q635">
        <f>tblMoeHistory[[#This Row],[Amount of IDEA Part B, Section 611 award]]+tblMoeHistory[[#This Row],[Amount of IDEA Part B, Section 619 award]]</f>
        <v>442095.27</v>
      </c>
      <c r="U6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5" t="str">
        <f>IF(OR(IFERROR(SEARCH("Met",tblMoeHistory[[#This Row],[State and Local Per Capita Result]]),0)&gt;0,IFERROR(SEARCH("Met",tblMoeHistory[[#This Row],[State and Local Total Result]]),0)&gt;0),"Met","Not Met")</f>
        <v>Met</v>
      </c>
    </row>
    <row r="636" spans="1:22" x14ac:dyDescent="0.35">
      <c r="A636" t="s">
        <v>65</v>
      </c>
      <c r="B636">
        <v>2187</v>
      </c>
      <c r="C636" t="s">
        <v>31</v>
      </c>
      <c r="D636">
        <v>1391</v>
      </c>
      <c r="E636">
        <v>11228096.84</v>
      </c>
      <c r="F636">
        <v>1606524.81</v>
      </c>
      <c r="G636">
        <f>tblMoeHistory[[#This Row],[LEA State and Local Amount]]+tblMoeHistory[[#This Row],[ESD State and Local Amount]]</f>
        <v>12834621.65</v>
      </c>
      <c r="H636">
        <v>0</v>
      </c>
      <c r="I636" t="s">
        <v>241</v>
      </c>
      <c r="J636">
        <f>IFERROR(tblMoeHistory[[#This Row],[LEA State and Local Amount]]/tblMoeHistory[[#This Row],[Child Count]],0)</f>
        <v>8071.9603450754848</v>
      </c>
      <c r="K636">
        <f>IFERROR(tblMoeHistory[[#This Row],[ESD State and Local Amount]]/tblMoeHistory[[#This Row],[Child Count]],0)</f>
        <v>1154.9423508267434</v>
      </c>
      <c r="L636">
        <f>IFERROR(tblMoeHistory[[#This Row],[State and Local Total Amount]]/tblMoeHistory[[#This Row],[Child Count]],0)</f>
        <v>9226.9026959022285</v>
      </c>
      <c r="M636">
        <v>0</v>
      </c>
      <c r="N636" t="s">
        <v>241</v>
      </c>
      <c r="O636">
        <v>1595010.64</v>
      </c>
      <c r="P636">
        <v>9946.7000000000007</v>
      </c>
      <c r="Q636">
        <f>tblMoeHistory[[#This Row],[Amount of IDEA Part B, Section 611 award]]+tblMoeHistory[[#This Row],[Amount of IDEA Part B, Section 619 award]]</f>
        <v>1604957.3399999999</v>
      </c>
      <c r="U6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6" t="str">
        <f>IF(OR(IFERROR(SEARCH("Met",tblMoeHistory[[#This Row],[State and Local Per Capita Result]]),0)&gt;0,IFERROR(SEARCH("Met",tblMoeHistory[[#This Row],[State and Local Total Result]]),0)&gt;0),"Met","Not Met")</f>
        <v>Met</v>
      </c>
    </row>
    <row r="637" spans="1:22" x14ac:dyDescent="0.35">
      <c r="A637" t="s">
        <v>66</v>
      </c>
      <c r="B637">
        <v>2253</v>
      </c>
      <c r="C637" t="s">
        <v>31</v>
      </c>
      <c r="D637">
        <v>121</v>
      </c>
      <c r="E637">
        <v>894977.75</v>
      </c>
      <c r="F637">
        <v>29356.73</v>
      </c>
      <c r="G637">
        <f>tblMoeHistory[[#This Row],[LEA State and Local Amount]]+tblMoeHistory[[#This Row],[ESD State and Local Amount]]</f>
        <v>924334.48</v>
      </c>
      <c r="H637">
        <v>0</v>
      </c>
      <c r="I637" t="s">
        <v>241</v>
      </c>
      <c r="J637">
        <f>IFERROR(tblMoeHistory[[#This Row],[LEA State and Local Amount]]/tblMoeHistory[[#This Row],[Child Count]],0)</f>
        <v>7396.5103305785124</v>
      </c>
      <c r="K637">
        <f>IFERROR(tblMoeHistory[[#This Row],[ESD State and Local Amount]]/tblMoeHistory[[#This Row],[Child Count]],0)</f>
        <v>242.61760330578511</v>
      </c>
      <c r="L637">
        <f>IFERROR(tblMoeHistory[[#This Row],[State and Local Total Amount]]/tblMoeHistory[[#This Row],[Child Count]],0)</f>
        <v>7639.1279338842978</v>
      </c>
      <c r="M637">
        <v>0</v>
      </c>
      <c r="N637" t="s">
        <v>241</v>
      </c>
      <c r="O637">
        <v>142103.85999999999</v>
      </c>
      <c r="P637">
        <v>1293.1500000000001</v>
      </c>
      <c r="Q637">
        <f>tblMoeHistory[[#This Row],[Amount of IDEA Part B, Section 611 award]]+tblMoeHistory[[#This Row],[Amount of IDEA Part B, Section 619 award]]</f>
        <v>143397.00999999998</v>
      </c>
      <c r="U6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7" t="str">
        <f>IF(OR(IFERROR(SEARCH("Met",tblMoeHistory[[#This Row],[State and Local Per Capita Result]]),0)&gt;0,IFERROR(SEARCH("Met",tblMoeHistory[[#This Row],[State and Local Total Result]]),0)&gt;0),"Met","Not Met")</f>
        <v>Met</v>
      </c>
    </row>
    <row r="638" spans="1:22" x14ac:dyDescent="0.35">
      <c r="A638" t="s">
        <v>67</v>
      </c>
      <c r="B638">
        <v>2011</v>
      </c>
      <c r="C638" t="s">
        <v>31</v>
      </c>
      <c r="D638">
        <v>10</v>
      </c>
      <c r="E638">
        <v>10474.56</v>
      </c>
      <c r="F638">
        <v>79739.009999999995</v>
      </c>
      <c r="G638">
        <f>tblMoeHistory[[#This Row],[LEA State and Local Amount]]+tblMoeHistory[[#This Row],[ESD State and Local Amount]]</f>
        <v>90213.569999999992</v>
      </c>
      <c r="H638">
        <v>0</v>
      </c>
      <c r="I638" t="s">
        <v>240</v>
      </c>
      <c r="J638">
        <f>IFERROR(tblMoeHistory[[#This Row],[LEA State and Local Amount]]/tblMoeHistory[[#This Row],[Child Count]],0)</f>
        <v>1047.4559999999999</v>
      </c>
      <c r="K638">
        <f>IFERROR(tblMoeHistory[[#This Row],[ESD State and Local Amount]]/tblMoeHistory[[#This Row],[Child Count]],0)</f>
        <v>7973.9009999999998</v>
      </c>
      <c r="L638">
        <f>IFERROR(tblMoeHistory[[#This Row],[State and Local Total Amount]]/tblMoeHistory[[#This Row],[Child Count]],0)</f>
        <v>9021.357</v>
      </c>
      <c r="M638">
        <v>0</v>
      </c>
      <c r="N638" t="s">
        <v>240</v>
      </c>
      <c r="O638">
        <v>8951.1200000000008</v>
      </c>
      <c r="P638">
        <v>933.94</v>
      </c>
      <c r="Q638">
        <f>tblMoeHistory[[#This Row],[Amount of IDEA Part B, Section 611 award]]+tblMoeHistory[[#This Row],[Amount of IDEA Part B, Section 619 award]]</f>
        <v>9885.0600000000013</v>
      </c>
      <c r="U6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8" t="str">
        <f>IF(OR(IFERROR(SEARCH("Met",tblMoeHistory[[#This Row],[State and Local Per Capita Result]]),0)&gt;0,IFERROR(SEARCH("Met",tblMoeHistory[[#This Row],[State and Local Total Result]]),0)&gt;0),"Met","Not Met")</f>
        <v>Not Met</v>
      </c>
    </row>
    <row r="639" spans="1:22" x14ac:dyDescent="0.35">
      <c r="A639" t="s">
        <v>68</v>
      </c>
      <c r="B639">
        <v>2017</v>
      </c>
      <c r="C639" t="s">
        <v>31</v>
      </c>
      <c r="D639">
        <v>0</v>
      </c>
      <c r="E639">
        <v>0</v>
      </c>
      <c r="F639">
        <v>3821</v>
      </c>
      <c r="G639">
        <f>tblMoeHistory[[#This Row],[LEA State and Local Amount]]+tblMoeHistory[[#This Row],[ESD State and Local Amount]]</f>
        <v>3821</v>
      </c>
      <c r="H639">
        <v>0</v>
      </c>
      <c r="I639" t="s">
        <v>240</v>
      </c>
      <c r="J639">
        <f>IFERROR(tblMoeHistory[[#This Row],[LEA State and Local Amount]]/tblMoeHistory[[#This Row],[Child Count]],0)</f>
        <v>0</v>
      </c>
      <c r="K639">
        <f>IFERROR(tblMoeHistory[[#This Row],[ESD State and Local Amount]]/tblMoeHistory[[#This Row],[Child Count]],0)</f>
        <v>0</v>
      </c>
      <c r="L639">
        <f>IFERROR(tblMoeHistory[[#This Row],[State and Local Total Amount]]/tblMoeHistory[[#This Row],[Child Count]],0)</f>
        <v>0</v>
      </c>
      <c r="M639">
        <v>0</v>
      </c>
      <c r="N639" t="s">
        <v>240</v>
      </c>
      <c r="O639">
        <v>1945.33</v>
      </c>
      <c r="P639">
        <v>0</v>
      </c>
      <c r="Q639">
        <f>tblMoeHistory[[#This Row],[Amount of IDEA Part B, Section 611 award]]+tblMoeHistory[[#This Row],[Amount of IDEA Part B, Section 619 award]]</f>
        <v>1945.33</v>
      </c>
      <c r="U6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9" t="str">
        <f>IF(OR(IFERROR(SEARCH("Met",tblMoeHistory[[#This Row],[State and Local Per Capita Result]]),0)&gt;0,IFERROR(SEARCH("Met",tblMoeHistory[[#This Row],[State and Local Total Result]]),0)&gt;0),"Met","Not Met")</f>
        <v>Not Met</v>
      </c>
    </row>
    <row r="640" spans="1:22" x14ac:dyDescent="0.35">
      <c r="A640" t="s">
        <v>69</v>
      </c>
      <c r="B640">
        <v>2021</v>
      </c>
      <c r="C640" t="s">
        <v>31</v>
      </c>
      <c r="D640">
        <v>0</v>
      </c>
      <c r="E640">
        <v>3817</v>
      </c>
      <c r="F640">
        <v>760</v>
      </c>
      <c r="G640">
        <f>tblMoeHistory[[#This Row],[LEA State and Local Amount]]+tblMoeHistory[[#This Row],[ESD State and Local Amount]]</f>
        <v>4577</v>
      </c>
      <c r="H640">
        <v>0</v>
      </c>
      <c r="J640">
        <f>IFERROR(tblMoeHistory[[#This Row],[LEA State and Local Amount]]/tblMoeHistory[[#This Row],[Child Count]],0)</f>
        <v>0</v>
      </c>
      <c r="K640">
        <f>IFERROR(tblMoeHistory[[#This Row],[ESD State and Local Amount]]/tblMoeHistory[[#This Row],[Child Count]],0)</f>
        <v>0</v>
      </c>
      <c r="L640">
        <f>IFERROR(tblMoeHistory[[#This Row],[State and Local Total Amount]]/tblMoeHistory[[#This Row],[Child Count]],0)</f>
        <v>0</v>
      </c>
      <c r="M640">
        <v>0</v>
      </c>
      <c r="O640">
        <v>0</v>
      </c>
      <c r="P640">
        <v>0</v>
      </c>
      <c r="Q640">
        <f>tblMoeHistory[[#This Row],[Amount of IDEA Part B, Section 611 award]]+tblMoeHistory[[#This Row],[Amount of IDEA Part B, Section 619 award]]</f>
        <v>0</v>
      </c>
      <c r="U6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0" t="str">
        <f>IF(OR(IFERROR(SEARCH("Met",tblMoeHistory[[#This Row],[State and Local Per Capita Result]]),0)&gt;0,IFERROR(SEARCH("Met",tblMoeHistory[[#This Row],[State and Local Total Result]]),0)&gt;0),"Met","Not Met")</f>
        <v>Not Met</v>
      </c>
    </row>
    <row r="641" spans="1:22" x14ac:dyDescent="0.35">
      <c r="A641" t="s">
        <v>70</v>
      </c>
      <c r="B641">
        <v>1993</v>
      </c>
      <c r="C641" t="s">
        <v>31</v>
      </c>
      <c r="D641">
        <v>22</v>
      </c>
      <c r="E641">
        <v>143785.93</v>
      </c>
      <c r="F641">
        <v>38962.559999999998</v>
      </c>
      <c r="G641">
        <f>tblMoeHistory[[#This Row],[LEA State and Local Amount]]+tblMoeHistory[[#This Row],[ESD State and Local Amount]]</f>
        <v>182748.49</v>
      </c>
      <c r="H641">
        <v>0</v>
      </c>
      <c r="I641" t="s">
        <v>241</v>
      </c>
      <c r="J641">
        <f>IFERROR(tblMoeHistory[[#This Row],[LEA State and Local Amount]]/tblMoeHistory[[#This Row],[Child Count]],0)</f>
        <v>6535.7240909090906</v>
      </c>
      <c r="K641">
        <f>IFERROR(tblMoeHistory[[#This Row],[ESD State and Local Amount]]/tblMoeHistory[[#This Row],[Child Count]],0)</f>
        <v>1771.0254545454545</v>
      </c>
      <c r="L641">
        <f>IFERROR(tblMoeHistory[[#This Row],[State and Local Total Amount]]/tblMoeHistory[[#This Row],[Child Count]],0)</f>
        <v>8306.7495454545442</v>
      </c>
      <c r="M641">
        <v>0</v>
      </c>
      <c r="N641" t="s">
        <v>240</v>
      </c>
      <c r="O641">
        <v>46855.69</v>
      </c>
      <c r="P641">
        <v>0</v>
      </c>
      <c r="Q641">
        <f>tblMoeHistory[[#This Row],[Amount of IDEA Part B, Section 611 award]]+tblMoeHistory[[#This Row],[Amount of IDEA Part B, Section 619 award]]</f>
        <v>46855.69</v>
      </c>
      <c r="U6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1" t="str">
        <f>IF(OR(IFERROR(SEARCH("Met",tblMoeHistory[[#This Row],[State and Local Per Capita Result]]),0)&gt;0,IFERROR(SEARCH("Met",tblMoeHistory[[#This Row],[State and Local Total Result]]),0)&gt;0),"Met","Not Met")</f>
        <v>Met</v>
      </c>
    </row>
    <row r="642" spans="1:22" x14ac:dyDescent="0.35">
      <c r="A642" t="s">
        <v>71</v>
      </c>
      <c r="B642">
        <v>1991</v>
      </c>
      <c r="C642" t="s">
        <v>31</v>
      </c>
      <c r="D642">
        <v>684</v>
      </c>
      <c r="E642">
        <v>5035313.58</v>
      </c>
      <c r="F642">
        <v>1273734.6499999999</v>
      </c>
      <c r="G642">
        <f>tblMoeHistory[[#This Row],[LEA State and Local Amount]]+tblMoeHistory[[#This Row],[ESD State and Local Amount]]</f>
        <v>6309048.2300000004</v>
      </c>
      <c r="H642">
        <v>0</v>
      </c>
      <c r="I642" t="s">
        <v>241</v>
      </c>
      <c r="J642">
        <f>IFERROR(tblMoeHistory[[#This Row],[LEA State and Local Amount]]/tblMoeHistory[[#This Row],[Child Count]],0)</f>
        <v>7361.5695614035085</v>
      </c>
      <c r="K642">
        <f>IFERROR(tblMoeHistory[[#This Row],[ESD State and Local Amount]]/tblMoeHistory[[#This Row],[Child Count]],0)</f>
        <v>1862.1851608187133</v>
      </c>
      <c r="L642">
        <f>IFERROR(tblMoeHistory[[#This Row],[State and Local Total Amount]]/tblMoeHistory[[#This Row],[Child Count]],0)</f>
        <v>9223.754722222222</v>
      </c>
      <c r="M642">
        <v>0</v>
      </c>
      <c r="N642" t="s">
        <v>241</v>
      </c>
      <c r="O642">
        <v>1009327.15</v>
      </c>
      <c r="P642">
        <v>11661.65</v>
      </c>
      <c r="Q642">
        <f>tblMoeHistory[[#This Row],[Amount of IDEA Part B, Section 611 award]]+tblMoeHistory[[#This Row],[Amount of IDEA Part B, Section 619 award]]</f>
        <v>1020988.8</v>
      </c>
      <c r="U6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2" t="str">
        <f>IF(OR(IFERROR(SEARCH("Met",tblMoeHistory[[#This Row],[State and Local Per Capita Result]]),0)&gt;0,IFERROR(SEARCH("Met",tblMoeHistory[[#This Row],[State and Local Total Result]]),0)&gt;0),"Met","Not Met")</f>
        <v>Met</v>
      </c>
    </row>
    <row r="643" spans="1:22" x14ac:dyDescent="0.35">
      <c r="A643" t="s">
        <v>72</v>
      </c>
      <c r="B643">
        <v>2019</v>
      </c>
      <c r="C643" t="s">
        <v>31</v>
      </c>
      <c r="D643">
        <v>2</v>
      </c>
      <c r="E643">
        <v>5595</v>
      </c>
      <c r="F643">
        <v>3641</v>
      </c>
      <c r="G643">
        <f>tblMoeHistory[[#This Row],[LEA State and Local Amount]]+tblMoeHistory[[#This Row],[ESD State and Local Amount]]</f>
        <v>9236</v>
      </c>
      <c r="H643">
        <v>0</v>
      </c>
      <c r="I643" t="s">
        <v>240</v>
      </c>
      <c r="J643">
        <f>IFERROR(tblMoeHistory[[#This Row],[LEA State and Local Amount]]/tblMoeHistory[[#This Row],[Child Count]],0)</f>
        <v>2797.5</v>
      </c>
      <c r="K643">
        <f>IFERROR(tblMoeHistory[[#This Row],[ESD State and Local Amount]]/tblMoeHistory[[#This Row],[Child Count]],0)</f>
        <v>1820.5</v>
      </c>
      <c r="L643">
        <f>IFERROR(tblMoeHistory[[#This Row],[State and Local Total Amount]]/tblMoeHistory[[#This Row],[Child Count]],0)</f>
        <v>4618</v>
      </c>
      <c r="M643">
        <v>0</v>
      </c>
      <c r="N643" t="s">
        <v>240</v>
      </c>
      <c r="O643">
        <v>2329.42</v>
      </c>
      <c r="P643">
        <v>0</v>
      </c>
      <c r="Q643">
        <f>tblMoeHistory[[#This Row],[Amount of IDEA Part B, Section 611 award]]+tblMoeHistory[[#This Row],[Amount of IDEA Part B, Section 619 award]]</f>
        <v>2329.42</v>
      </c>
      <c r="U6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3" t="str">
        <f>IF(OR(IFERROR(SEARCH("Met",tblMoeHistory[[#This Row],[State and Local Per Capita Result]]),0)&gt;0,IFERROR(SEARCH("Met",tblMoeHistory[[#This Row],[State and Local Total Result]]),0)&gt;0),"Met","Not Met")</f>
        <v>Not Met</v>
      </c>
    </row>
    <row r="644" spans="1:22" x14ac:dyDescent="0.35">
      <c r="A644" t="s">
        <v>73</v>
      </c>
      <c r="B644">
        <v>2229</v>
      </c>
      <c r="C644" t="s">
        <v>31</v>
      </c>
      <c r="D644">
        <v>36</v>
      </c>
      <c r="E644">
        <v>184754.47</v>
      </c>
      <c r="F644">
        <v>0</v>
      </c>
      <c r="G644">
        <f>tblMoeHistory[[#This Row],[LEA State and Local Amount]]+tblMoeHistory[[#This Row],[ESD State and Local Amount]]</f>
        <v>184754.47</v>
      </c>
      <c r="H644">
        <v>0</v>
      </c>
      <c r="I644" t="s">
        <v>242</v>
      </c>
      <c r="J644">
        <f>IFERROR(tblMoeHistory[[#This Row],[LEA State and Local Amount]]/tblMoeHistory[[#This Row],[Child Count]],0)</f>
        <v>5132.0686111111108</v>
      </c>
      <c r="K644">
        <f>IFERROR(tblMoeHistory[[#This Row],[ESD State and Local Amount]]/tblMoeHistory[[#This Row],[Child Count]],0)</f>
        <v>0</v>
      </c>
      <c r="L644">
        <f>IFERROR(tblMoeHistory[[#This Row],[State and Local Total Amount]]/tblMoeHistory[[#This Row],[Child Count]],0)</f>
        <v>5132.0686111111108</v>
      </c>
      <c r="M644">
        <v>0</v>
      </c>
      <c r="N644" t="s">
        <v>240</v>
      </c>
      <c r="O644">
        <v>37686.67</v>
      </c>
      <c r="P644">
        <v>280.18</v>
      </c>
      <c r="Q644">
        <f>tblMoeHistory[[#This Row],[Amount of IDEA Part B, Section 611 award]]+tblMoeHistory[[#This Row],[Amount of IDEA Part B, Section 619 award]]</f>
        <v>37966.85</v>
      </c>
      <c r="S644">
        <v>14358.37</v>
      </c>
      <c r="U6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4" t="str">
        <f>IF(OR(IFERROR(SEARCH("Met",tblMoeHistory[[#This Row],[State and Local Per Capita Result]]),0)&gt;0,IFERROR(SEARCH("Met",tblMoeHistory[[#This Row],[State and Local Total Result]]),0)&gt;0),"Met","Not Met")</f>
        <v>Met</v>
      </c>
    </row>
    <row r="645" spans="1:22" x14ac:dyDescent="0.35">
      <c r="A645" t="s">
        <v>74</v>
      </c>
      <c r="B645">
        <v>2043</v>
      </c>
      <c r="C645" t="s">
        <v>31</v>
      </c>
      <c r="D645">
        <v>515</v>
      </c>
      <c r="E645">
        <v>2772120.21</v>
      </c>
      <c r="F645">
        <v>1064313.58</v>
      </c>
      <c r="G645">
        <f>tblMoeHistory[[#This Row],[LEA State and Local Amount]]+tblMoeHistory[[#This Row],[ESD State and Local Amount]]</f>
        <v>3836433.79</v>
      </c>
      <c r="H645">
        <v>0</v>
      </c>
      <c r="I645" t="s">
        <v>241</v>
      </c>
      <c r="J645">
        <f>IFERROR(tblMoeHistory[[#This Row],[LEA State and Local Amount]]/tblMoeHistory[[#This Row],[Child Count]],0)</f>
        <v>5382.7576893203886</v>
      </c>
      <c r="K645">
        <f>IFERROR(tblMoeHistory[[#This Row],[ESD State and Local Amount]]/tblMoeHistory[[#This Row],[Child Count]],0)</f>
        <v>2066.6283106796118</v>
      </c>
      <c r="L645">
        <f>IFERROR(tblMoeHistory[[#This Row],[State and Local Total Amount]]/tblMoeHistory[[#This Row],[Child Count]],0)</f>
        <v>7449.3860000000004</v>
      </c>
      <c r="M645">
        <v>0</v>
      </c>
      <c r="N645" t="s">
        <v>240</v>
      </c>
      <c r="O645">
        <v>640368.26</v>
      </c>
      <c r="P645">
        <v>6064.55</v>
      </c>
      <c r="Q645">
        <f>tblMoeHistory[[#This Row],[Amount of IDEA Part B, Section 611 award]]+tblMoeHistory[[#This Row],[Amount of IDEA Part B, Section 619 award]]</f>
        <v>646432.81000000006</v>
      </c>
      <c r="U6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5" t="str">
        <f>IF(OR(IFERROR(SEARCH("Met",tblMoeHistory[[#This Row],[State and Local Per Capita Result]]),0)&gt;0,IFERROR(SEARCH("Met",tblMoeHistory[[#This Row],[State and Local Total Result]]),0)&gt;0),"Met","Not Met")</f>
        <v>Met</v>
      </c>
    </row>
    <row r="646" spans="1:22" x14ac:dyDescent="0.35">
      <c r="A646" t="s">
        <v>75</v>
      </c>
      <c r="B646">
        <v>2203</v>
      </c>
      <c r="C646" t="s">
        <v>31</v>
      </c>
      <c r="D646">
        <v>30</v>
      </c>
      <c r="E646">
        <v>152460.85</v>
      </c>
      <c r="F646">
        <v>48255.02</v>
      </c>
      <c r="G646">
        <f>tblMoeHistory[[#This Row],[LEA State and Local Amount]]+tblMoeHistory[[#This Row],[ESD State and Local Amount]]</f>
        <v>200715.87</v>
      </c>
      <c r="H646">
        <v>0</v>
      </c>
      <c r="I646" t="s">
        <v>241</v>
      </c>
      <c r="J646">
        <f>IFERROR(tblMoeHistory[[#This Row],[LEA State and Local Amount]]/tblMoeHistory[[#This Row],[Child Count]],0)</f>
        <v>5082.0283333333336</v>
      </c>
      <c r="K646">
        <f>IFERROR(tblMoeHistory[[#This Row],[ESD State and Local Amount]]/tblMoeHistory[[#This Row],[Child Count]],0)</f>
        <v>1608.5006666666666</v>
      </c>
      <c r="L646">
        <f>IFERROR(tblMoeHistory[[#This Row],[State and Local Total Amount]]/tblMoeHistory[[#This Row],[Child Count]],0)</f>
        <v>6690.5289999999995</v>
      </c>
      <c r="M646">
        <v>0</v>
      </c>
      <c r="N646" t="s">
        <v>241</v>
      </c>
      <c r="O646">
        <v>34492.699999999997</v>
      </c>
      <c r="P646">
        <v>233.49</v>
      </c>
      <c r="Q646">
        <f>tblMoeHistory[[#This Row],[Amount of IDEA Part B, Section 611 award]]+tblMoeHistory[[#This Row],[Amount of IDEA Part B, Section 619 award]]</f>
        <v>34726.189999999995</v>
      </c>
      <c r="U6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6" t="str">
        <f>IF(OR(IFERROR(SEARCH("Met",tblMoeHistory[[#This Row],[State and Local Per Capita Result]]),0)&gt;0,IFERROR(SEARCH("Met",tblMoeHistory[[#This Row],[State and Local Total Result]]),0)&gt;0),"Met","Not Met")</f>
        <v>Met</v>
      </c>
    </row>
    <row r="647" spans="1:22" x14ac:dyDescent="0.35">
      <c r="A647" t="s">
        <v>76</v>
      </c>
      <c r="B647">
        <v>2217</v>
      </c>
      <c r="C647" t="s">
        <v>31</v>
      </c>
      <c r="D647">
        <v>54</v>
      </c>
      <c r="E647">
        <v>392292.89</v>
      </c>
      <c r="F647">
        <v>117539</v>
      </c>
      <c r="G647">
        <f>tblMoeHistory[[#This Row],[LEA State and Local Amount]]+tblMoeHistory[[#This Row],[ESD State and Local Amount]]</f>
        <v>509831.89</v>
      </c>
      <c r="H647">
        <v>0</v>
      </c>
      <c r="I647" t="s">
        <v>241</v>
      </c>
      <c r="J647">
        <f>IFERROR(tblMoeHistory[[#This Row],[LEA State and Local Amount]]/tblMoeHistory[[#This Row],[Child Count]],0)</f>
        <v>7264.6831481481486</v>
      </c>
      <c r="K647">
        <f>IFERROR(tblMoeHistory[[#This Row],[ESD State and Local Amount]]/tblMoeHistory[[#This Row],[Child Count]],0)</f>
        <v>2176.6481481481483</v>
      </c>
      <c r="L647">
        <f>IFERROR(tblMoeHistory[[#This Row],[State and Local Total Amount]]/tblMoeHistory[[#This Row],[Child Count]],0)</f>
        <v>9441.3312962962973</v>
      </c>
      <c r="M647">
        <v>0</v>
      </c>
      <c r="N647" t="s">
        <v>241</v>
      </c>
      <c r="O647">
        <v>66598.94</v>
      </c>
      <c r="P647">
        <v>58.37</v>
      </c>
      <c r="Q647">
        <f>tblMoeHistory[[#This Row],[Amount of IDEA Part B, Section 611 award]]+tblMoeHistory[[#This Row],[Amount of IDEA Part B, Section 619 award]]</f>
        <v>66657.31</v>
      </c>
      <c r="U6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7" t="str">
        <f>IF(OR(IFERROR(SEARCH("Met",tblMoeHistory[[#This Row],[State and Local Per Capita Result]]),0)&gt;0,IFERROR(SEARCH("Met",tblMoeHistory[[#This Row],[State and Local Total Result]]),0)&gt;0),"Met","Not Met")</f>
        <v>Met</v>
      </c>
    </row>
    <row r="648" spans="1:22" x14ac:dyDescent="0.35">
      <c r="A648" t="s">
        <v>77</v>
      </c>
      <c r="B648">
        <v>1998</v>
      </c>
      <c r="C648" t="s">
        <v>31</v>
      </c>
      <c r="D648">
        <v>43</v>
      </c>
      <c r="E648">
        <v>79231.66</v>
      </c>
      <c r="F648">
        <v>53359.89</v>
      </c>
      <c r="G648">
        <f>tblMoeHistory[[#This Row],[LEA State and Local Amount]]+tblMoeHistory[[#This Row],[ESD State and Local Amount]]</f>
        <v>132591.54999999999</v>
      </c>
      <c r="H648">
        <v>0</v>
      </c>
      <c r="I648" t="s">
        <v>241</v>
      </c>
      <c r="J648">
        <f>IFERROR(tblMoeHistory[[#This Row],[LEA State and Local Amount]]/tblMoeHistory[[#This Row],[Child Count]],0)</f>
        <v>1842.5967441860466</v>
      </c>
      <c r="K648">
        <f>IFERROR(tblMoeHistory[[#This Row],[ESD State and Local Amount]]/tblMoeHistory[[#This Row],[Child Count]],0)</f>
        <v>1240.9276744186047</v>
      </c>
      <c r="L648">
        <f>IFERROR(tblMoeHistory[[#This Row],[State and Local Total Amount]]/tblMoeHistory[[#This Row],[Child Count]],0)</f>
        <v>3083.5244186046507</v>
      </c>
      <c r="M648">
        <v>0</v>
      </c>
      <c r="N648" t="s">
        <v>240</v>
      </c>
      <c r="O648">
        <v>43072.26</v>
      </c>
      <c r="P648">
        <v>466.97</v>
      </c>
      <c r="Q648">
        <f>tblMoeHistory[[#This Row],[Amount of IDEA Part B, Section 611 award]]+tblMoeHistory[[#This Row],[Amount of IDEA Part B, Section 619 award]]</f>
        <v>43539.23</v>
      </c>
      <c r="U6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8" t="str">
        <f>IF(OR(IFERROR(SEARCH("Met",tblMoeHistory[[#This Row],[State and Local Per Capita Result]]),0)&gt;0,IFERROR(SEARCH("Met",tblMoeHistory[[#This Row],[State and Local Total Result]]),0)&gt;0),"Met","Not Met")</f>
        <v>Met</v>
      </c>
    </row>
    <row r="649" spans="1:22" x14ac:dyDescent="0.35">
      <c r="A649" t="s">
        <v>78</v>
      </c>
      <c r="B649">
        <v>2221</v>
      </c>
      <c r="C649" t="s">
        <v>31</v>
      </c>
      <c r="D649">
        <v>50</v>
      </c>
      <c r="E649">
        <v>87.99</v>
      </c>
      <c r="F649">
        <v>279538.34000000003</v>
      </c>
      <c r="G649">
        <f>tblMoeHistory[[#This Row],[LEA State and Local Amount]]+tblMoeHistory[[#This Row],[ESD State and Local Amount]]</f>
        <v>279626.33</v>
      </c>
      <c r="H649">
        <v>0</v>
      </c>
      <c r="I649" t="s">
        <v>240</v>
      </c>
      <c r="J649">
        <f>IFERROR(tblMoeHistory[[#This Row],[LEA State and Local Amount]]/tblMoeHistory[[#This Row],[Child Count]],0)</f>
        <v>1.7597999999999998</v>
      </c>
      <c r="K649">
        <f>IFERROR(tblMoeHistory[[#This Row],[ESD State and Local Amount]]/tblMoeHistory[[#This Row],[Child Count]],0)</f>
        <v>5590.7668000000003</v>
      </c>
      <c r="L649">
        <f>IFERROR(tblMoeHistory[[#This Row],[State and Local Total Amount]]/tblMoeHistory[[#This Row],[Child Count]],0)</f>
        <v>5592.5266000000001</v>
      </c>
      <c r="M649">
        <v>0</v>
      </c>
      <c r="N649" t="s">
        <v>240</v>
      </c>
      <c r="O649">
        <v>79708.570000000007</v>
      </c>
      <c r="P649">
        <v>933.94</v>
      </c>
      <c r="Q649">
        <f>tblMoeHistory[[#This Row],[Amount of IDEA Part B, Section 611 award]]+tblMoeHistory[[#This Row],[Amount of IDEA Part B, Section 619 award]]</f>
        <v>80642.510000000009</v>
      </c>
      <c r="U6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9" t="str">
        <f>IF(OR(IFERROR(SEARCH("Met",tblMoeHistory[[#This Row],[State and Local Per Capita Result]]),0)&gt;0,IFERROR(SEARCH("Met",tblMoeHistory[[#This Row],[State and Local Total Result]]),0)&gt;0),"Met","Not Met")</f>
        <v>Not Met</v>
      </c>
    </row>
    <row r="650" spans="1:22" x14ac:dyDescent="0.35">
      <c r="A650" t="s">
        <v>79</v>
      </c>
      <c r="B650">
        <v>1930</v>
      </c>
      <c r="C650" t="s">
        <v>31</v>
      </c>
      <c r="D650">
        <v>329</v>
      </c>
      <c r="E650">
        <v>2172498.2200000002</v>
      </c>
      <c r="F650">
        <v>655716</v>
      </c>
      <c r="G650">
        <f>tblMoeHistory[[#This Row],[LEA State and Local Amount]]+tblMoeHistory[[#This Row],[ESD State and Local Amount]]</f>
        <v>2828214.22</v>
      </c>
      <c r="H650">
        <v>0</v>
      </c>
      <c r="I650" t="s">
        <v>242</v>
      </c>
      <c r="J650">
        <f>IFERROR(tblMoeHistory[[#This Row],[LEA State and Local Amount]]/tblMoeHistory[[#This Row],[Child Count]],0)</f>
        <v>6603.3380547112465</v>
      </c>
      <c r="K650">
        <f>IFERROR(tblMoeHistory[[#This Row],[ESD State and Local Amount]]/tblMoeHistory[[#This Row],[Child Count]],0)</f>
        <v>1993.0577507598784</v>
      </c>
      <c r="L650">
        <f>IFERROR(tblMoeHistory[[#This Row],[State and Local Total Amount]]/tblMoeHistory[[#This Row],[Child Count]],0)</f>
        <v>8596.3958054711256</v>
      </c>
      <c r="M650">
        <v>0</v>
      </c>
      <c r="N650" t="s">
        <v>240</v>
      </c>
      <c r="O650">
        <v>423666.16</v>
      </c>
      <c r="P650">
        <v>3244.21</v>
      </c>
      <c r="Q650">
        <f>tblMoeHistory[[#This Row],[Amount of IDEA Part B, Section 611 award]]+tblMoeHistory[[#This Row],[Amount of IDEA Part B, Section 619 award]]</f>
        <v>426910.37</v>
      </c>
      <c r="S650">
        <v>453289.49</v>
      </c>
      <c r="U6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0" t="str">
        <f>IF(OR(IFERROR(SEARCH("Met",tblMoeHistory[[#This Row],[State and Local Per Capita Result]]),0)&gt;0,IFERROR(SEARCH("Met",tblMoeHistory[[#This Row],[State and Local Total Result]]),0)&gt;0),"Met","Not Met")</f>
        <v>Met</v>
      </c>
    </row>
    <row r="651" spans="1:22" x14ac:dyDescent="0.35">
      <c r="A651" t="s">
        <v>80</v>
      </c>
      <c r="B651">
        <v>2082</v>
      </c>
      <c r="C651" t="s">
        <v>31</v>
      </c>
      <c r="D651">
        <v>0</v>
      </c>
      <c r="E651">
        <v>19870099.620000001</v>
      </c>
      <c r="F651">
        <v>2191335</v>
      </c>
      <c r="G651">
        <f>tblMoeHistory[[#This Row],[LEA State and Local Amount]]+tblMoeHistory[[#This Row],[ESD State and Local Amount]]</f>
        <v>22061434.620000001</v>
      </c>
      <c r="H651">
        <v>0</v>
      </c>
      <c r="I651" t="s">
        <v>241</v>
      </c>
      <c r="J651">
        <f>IFERROR(tblMoeHistory[[#This Row],[LEA State and Local Amount]]/tblMoeHistory[[#This Row],[Child Count]],0)</f>
        <v>0</v>
      </c>
      <c r="K651">
        <f>IFERROR(tblMoeHistory[[#This Row],[ESD State and Local Amount]]/tblMoeHistory[[#This Row],[Child Count]],0)</f>
        <v>0</v>
      </c>
      <c r="L651">
        <f>IFERROR(tblMoeHistory[[#This Row],[State and Local Total Amount]]/tblMoeHistory[[#This Row],[Child Count]],0)</f>
        <v>0</v>
      </c>
      <c r="M651">
        <v>0</v>
      </c>
      <c r="N651" t="s">
        <v>241</v>
      </c>
      <c r="O651">
        <v>2856915.81</v>
      </c>
      <c r="P651">
        <v>27343.72</v>
      </c>
      <c r="Q651">
        <f>tblMoeHistory[[#This Row],[Amount of IDEA Part B, Section 611 award]]+tblMoeHistory[[#This Row],[Amount of IDEA Part B, Section 619 award]]</f>
        <v>2884259.5300000003</v>
      </c>
      <c r="U6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1" t="str">
        <f>IF(OR(IFERROR(SEARCH("Met",tblMoeHistory[[#This Row],[State and Local Per Capita Result]]),0)&gt;0,IFERROR(SEARCH("Met",tblMoeHistory[[#This Row],[State and Local Total Result]]),0)&gt;0),"Met","Not Met")</f>
        <v>Met</v>
      </c>
    </row>
    <row r="652" spans="1:22" x14ac:dyDescent="0.35">
      <c r="A652" t="s">
        <v>81</v>
      </c>
      <c r="B652">
        <v>2193</v>
      </c>
      <c r="C652" t="s">
        <v>31</v>
      </c>
      <c r="D652">
        <v>32</v>
      </c>
      <c r="E652">
        <v>314375.7</v>
      </c>
      <c r="F652">
        <v>26128.9</v>
      </c>
      <c r="G652">
        <f>tblMoeHistory[[#This Row],[LEA State and Local Amount]]+tblMoeHistory[[#This Row],[ESD State and Local Amount]]</f>
        <v>340504.60000000003</v>
      </c>
      <c r="H652">
        <v>0</v>
      </c>
      <c r="I652" t="s">
        <v>241</v>
      </c>
      <c r="J652">
        <f>IFERROR(tblMoeHistory[[#This Row],[LEA State and Local Amount]]/tblMoeHistory[[#This Row],[Child Count]],0)</f>
        <v>9824.2406250000004</v>
      </c>
      <c r="K652">
        <f>IFERROR(tblMoeHistory[[#This Row],[ESD State and Local Amount]]/tblMoeHistory[[#This Row],[Child Count]],0)</f>
        <v>816.52812500000005</v>
      </c>
      <c r="L652">
        <f>IFERROR(tblMoeHistory[[#This Row],[State and Local Total Amount]]/tblMoeHistory[[#This Row],[Child Count]],0)</f>
        <v>10640.768750000001</v>
      </c>
      <c r="M652">
        <v>0</v>
      </c>
      <c r="N652" t="s">
        <v>241</v>
      </c>
      <c r="O652">
        <v>35322.53</v>
      </c>
      <c r="P652">
        <v>0</v>
      </c>
      <c r="Q652">
        <f>tblMoeHistory[[#This Row],[Amount of IDEA Part B, Section 611 award]]+tblMoeHistory[[#This Row],[Amount of IDEA Part B, Section 619 award]]</f>
        <v>35322.53</v>
      </c>
      <c r="U6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2" t="str">
        <f>IF(OR(IFERROR(SEARCH("Met",tblMoeHistory[[#This Row],[State and Local Per Capita Result]]),0)&gt;0,IFERROR(SEARCH("Met",tblMoeHistory[[#This Row],[State and Local Total Result]]),0)&gt;0),"Met","Not Met")</f>
        <v>Met</v>
      </c>
    </row>
    <row r="653" spans="1:22" x14ac:dyDescent="0.35">
      <c r="A653" t="s">
        <v>82</v>
      </c>
      <c r="B653">
        <v>2084</v>
      </c>
      <c r="C653" t="s">
        <v>31</v>
      </c>
      <c r="D653">
        <v>262</v>
      </c>
      <c r="E653">
        <v>2404404.71</v>
      </c>
      <c r="F653">
        <v>516214</v>
      </c>
      <c r="G653">
        <f>tblMoeHistory[[#This Row],[LEA State and Local Amount]]+tblMoeHistory[[#This Row],[ESD State and Local Amount]]</f>
        <v>2920618.71</v>
      </c>
      <c r="H653">
        <v>0</v>
      </c>
      <c r="I653" t="s">
        <v>241</v>
      </c>
      <c r="J653">
        <f>IFERROR(tblMoeHistory[[#This Row],[LEA State and Local Amount]]/tblMoeHistory[[#This Row],[Child Count]],0)</f>
        <v>9177.1172137404574</v>
      </c>
      <c r="K653">
        <f>IFERROR(tblMoeHistory[[#This Row],[ESD State and Local Amount]]/tblMoeHistory[[#This Row],[Child Count]],0)</f>
        <v>1970.2824427480916</v>
      </c>
      <c r="L653">
        <f>IFERROR(tblMoeHistory[[#This Row],[State and Local Total Amount]]/tblMoeHistory[[#This Row],[Child Count]],0)</f>
        <v>11147.399656488549</v>
      </c>
      <c r="M653">
        <v>0</v>
      </c>
      <c r="N653" t="s">
        <v>241</v>
      </c>
      <c r="O653">
        <v>277232.24</v>
      </c>
      <c r="P653">
        <v>840.55</v>
      </c>
      <c r="Q653">
        <f>tblMoeHistory[[#This Row],[Amount of IDEA Part B, Section 611 award]]+tblMoeHistory[[#This Row],[Amount of IDEA Part B, Section 619 award]]</f>
        <v>278072.78999999998</v>
      </c>
      <c r="U6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3" t="str">
        <f>IF(OR(IFERROR(SEARCH("Met",tblMoeHistory[[#This Row],[State and Local Per Capita Result]]),0)&gt;0,IFERROR(SEARCH("Met",tblMoeHistory[[#This Row],[State and Local Total Result]]),0)&gt;0),"Met","Not Met")</f>
        <v>Met</v>
      </c>
    </row>
    <row r="654" spans="1:22" x14ac:dyDescent="0.35">
      <c r="A654" t="s">
        <v>83</v>
      </c>
      <c r="B654">
        <v>2241</v>
      </c>
      <c r="C654" t="s">
        <v>31</v>
      </c>
      <c r="D654">
        <v>871</v>
      </c>
      <c r="E654">
        <v>9883826.1500000004</v>
      </c>
      <c r="F654">
        <v>689621</v>
      </c>
      <c r="G654">
        <f>tblMoeHistory[[#This Row],[LEA State and Local Amount]]+tblMoeHistory[[#This Row],[ESD State and Local Amount]]</f>
        <v>10573447.15</v>
      </c>
      <c r="H654">
        <v>0</v>
      </c>
      <c r="I654" t="s">
        <v>241</v>
      </c>
      <c r="J654">
        <f>IFERROR(tblMoeHistory[[#This Row],[LEA State and Local Amount]]/tblMoeHistory[[#This Row],[Child Count]],0)</f>
        <v>11347.676406429391</v>
      </c>
      <c r="K654">
        <f>IFERROR(tblMoeHistory[[#This Row],[ESD State and Local Amount]]/tblMoeHistory[[#This Row],[Child Count]],0)</f>
        <v>791.75774971297358</v>
      </c>
      <c r="L654">
        <f>IFERROR(tblMoeHistory[[#This Row],[State and Local Total Amount]]/tblMoeHistory[[#This Row],[Child Count]],0)</f>
        <v>12139.434156142366</v>
      </c>
      <c r="M654">
        <v>0</v>
      </c>
      <c r="N654" t="s">
        <v>240</v>
      </c>
      <c r="O654">
        <v>853502.3</v>
      </c>
      <c r="P654">
        <v>5217.57</v>
      </c>
      <c r="Q654">
        <f>tblMoeHistory[[#This Row],[Amount of IDEA Part B, Section 611 award]]+tblMoeHistory[[#This Row],[Amount of IDEA Part B, Section 619 award]]</f>
        <v>858719.87</v>
      </c>
      <c r="U6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4" t="str">
        <f>IF(OR(IFERROR(SEARCH("Met",tblMoeHistory[[#This Row],[State and Local Per Capita Result]]),0)&gt;0,IFERROR(SEARCH("Met",tblMoeHistory[[#This Row],[State and Local Total Result]]),0)&gt;0),"Met","Not Met")</f>
        <v>Met</v>
      </c>
    </row>
    <row r="655" spans="1:22" x14ac:dyDescent="0.35">
      <c r="A655" t="s">
        <v>84</v>
      </c>
      <c r="B655">
        <v>2248</v>
      </c>
      <c r="C655" t="s">
        <v>31</v>
      </c>
      <c r="D655">
        <v>19</v>
      </c>
      <c r="E655">
        <v>85371.44</v>
      </c>
      <c r="F655">
        <v>87725</v>
      </c>
      <c r="G655">
        <f>tblMoeHistory[[#This Row],[LEA State and Local Amount]]+tblMoeHistory[[#This Row],[ESD State and Local Amount]]</f>
        <v>173096.44</v>
      </c>
      <c r="H655">
        <v>0</v>
      </c>
      <c r="I655" t="s">
        <v>241</v>
      </c>
      <c r="J655">
        <f>IFERROR(tblMoeHistory[[#This Row],[LEA State and Local Amount]]/tblMoeHistory[[#This Row],[Child Count]],0)</f>
        <v>4493.233684210526</v>
      </c>
      <c r="K655">
        <f>IFERROR(tblMoeHistory[[#This Row],[ESD State and Local Amount]]/tblMoeHistory[[#This Row],[Child Count]],0)</f>
        <v>4617.105263157895</v>
      </c>
      <c r="L655">
        <f>IFERROR(tblMoeHistory[[#This Row],[State and Local Total Amount]]/tblMoeHistory[[#This Row],[Child Count]],0)</f>
        <v>9110.3389473684219</v>
      </c>
      <c r="M655">
        <v>0</v>
      </c>
      <c r="N655" t="s">
        <v>241</v>
      </c>
      <c r="O655">
        <v>26496.09</v>
      </c>
      <c r="P655">
        <v>0</v>
      </c>
      <c r="Q655">
        <f>tblMoeHistory[[#This Row],[Amount of IDEA Part B, Section 611 award]]+tblMoeHistory[[#This Row],[Amount of IDEA Part B, Section 619 award]]</f>
        <v>26496.09</v>
      </c>
      <c r="U6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5" t="str">
        <f>IF(OR(IFERROR(SEARCH("Met",tblMoeHistory[[#This Row],[State and Local Per Capita Result]]),0)&gt;0,IFERROR(SEARCH("Met",tblMoeHistory[[#This Row],[State and Local Total Result]]),0)&gt;0),"Met","Not Met")</f>
        <v>Met</v>
      </c>
    </row>
    <row r="656" spans="1:22" x14ac:dyDescent="0.35">
      <c r="A656" t="s">
        <v>85</v>
      </c>
      <c r="B656">
        <v>2020</v>
      </c>
      <c r="C656" t="s">
        <v>31</v>
      </c>
      <c r="D656">
        <v>6</v>
      </c>
      <c r="E656">
        <v>19453.2</v>
      </c>
      <c r="F656">
        <v>3500</v>
      </c>
      <c r="G656">
        <f>tblMoeHistory[[#This Row],[LEA State and Local Amount]]+tblMoeHistory[[#This Row],[ESD State and Local Amount]]</f>
        <v>22953.200000000001</v>
      </c>
      <c r="H656">
        <v>0</v>
      </c>
      <c r="I656" t="s">
        <v>241</v>
      </c>
      <c r="J656">
        <f>IFERROR(tblMoeHistory[[#This Row],[LEA State and Local Amount]]/tblMoeHistory[[#This Row],[Child Count]],0)</f>
        <v>3242.2000000000003</v>
      </c>
      <c r="K656">
        <f>IFERROR(tblMoeHistory[[#This Row],[ESD State and Local Amount]]/tblMoeHistory[[#This Row],[Child Count]],0)</f>
        <v>583.33333333333337</v>
      </c>
      <c r="L656">
        <f>IFERROR(tblMoeHistory[[#This Row],[State and Local Total Amount]]/tblMoeHistory[[#This Row],[Child Count]],0)</f>
        <v>3825.5333333333333</v>
      </c>
      <c r="M656">
        <v>0</v>
      </c>
      <c r="N656" t="s">
        <v>240</v>
      </c>
      <c r="O656">
        <v>0</v>
      </c>
      <c r="P656">
        <v>0</v>
      </c>
      <c r="Q656">
        <f>tblMoeHistory[[#This Row],[Amount of IDEA Part B, Section 611 award]]+tblMoeHistory[[#This Row],[Amount of IDEA Part B, Section 619 award]]</f>
        <v>0</v>
      </c>
      <c r="U6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6" t="str">
        <f>IF(OR(IFERROR(SEARCH("Met",tblMoeHistory[[#This Row],[State and Local Per Capita Result]]),0)&gt;0,IFERROR(SEARCH("Met",tblMoeHistory[[#This Row],[State and Local Total Result]]),0)&gt;0),"Met","Not Met")</f>
        <v>Met</v>
      </c>
    </row>
    <row r="657" spans="1:22" x14ac:dyDescent="0.35">
      <c r="A657" t="s">
        <v>86</v>
      </c>
      <c r="B657">
        <v>2245</v>
      </c>
      <c r="C657" t="s">
        <v>31</v>
      </c>
      <c r="D657">
        <v>90</v>
      </c>
      <c r="E657">
        <v>819012.13</v>
      </c>
      <c r="F657">
        <v>32255</v>
      </c>
      <c r="G657">
        <f>tblMoeHistory[[#This Row],[LEA State and Local Amount]]+tblMoeHistory[[#This Row],[ESD State and Local Amount]]</f>
        <v>851267.13</v>
      </c>
      <c r="H657">
        <v>0</v>
      </c>
      <c r="I657" t="s">
        <v>241</v>
      </c>
      <c r="J657">
        <f>IFERROR(tblMoeHistory[[#This Row],[LEA State and Local Amount]]/tblMoeHistory[[#This Row],[Child Count]],0)</f>
        <v>9100.1347777777773</v>
      </c>
      <c r="K657">
        <f>IFERROR(tblMoeHistory[[#This Row],[ESD State and Local Amount]]/tblMoeHistory[[#This Row],[Child Count]],0)</f>
        <v>358.38888888888891</v>
      </c>
      <c r="L657">
        <f>IFERROR(tblMoeHistory[[#This Row],[State and Local Total Amount]]/tblMoeHistory[[#This Row],[Child Count]],0)</f>
        <v>9458.523666666666</v>
      </c>
      <c r="M657">
        <v>0</v>
      </c>
      <c r="N657" t="s">
        <v>240</v>
      </c>
      <c r="O657">
        <v>86877.87</v>
      </c>
      <c r="P657">
        <v>1167.43</v>
      </c>
      <c r="Q657">
        <f>tblMoeHistory[[#This Row],[Amount of IDEA Part B, Section 611 award]]+tblMoeHistory[[#This Row],[Amount of IDEA Part B, Section 619 award]]</f>
        <v>88045.299999999988</v>
      </c>
      <c r="U6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7" t="str">
        <f>IF(OR(IFERROR(SEARCH("Met",tblMoeHistory[[#This Row],[State and Local Per Capita Result]]),0)&gt;0,IFERROR(SEARCH("Met",tblMoeHistory[[#This Row],[State and Local Total Result]]),0)&gt;0),"Met","Not Met")</f>
        <v>Met</v>
      </c>
    </row>
    <row r="658" spans="1:22" x14ac:dyDescent="0.35">
      <c r="A658" t="s">
        <v>87</v>
      </c>
      <c r="B658">
        <v>2137</v>
      </c>
      <c r="C658" t="s">
        <v>31</v>
      </c>
      <c r="D658">
        <v>156</v>
      </c>
      <c r="E658">
        <v>1341933.8899999999</v>
      </c>
      <c r="F658">
        <v>80362.41</v>
      </c>
      <c r="G658">
        <f>tblMoeHistory[[#This Row],[LEA State and Local Amount]]+tblMoeHistory[[#This Row],[ESD State and Local Amount]]</f>
        <v>1422296.2999999998</v>
      </c>
      <c r="H658">
        <v>0</v>
      </c>
      <c r="I658" t="s">
        <v>241</v>
      </c>
      <c r="J658">
        <f>IFERROR(tblMoeHistory[[#This Row],[LEA State and Local Amount]]/tblMoeHistory[[#This Row],[Child Count]],0)</f>
        <v>8602.140320512819</v>
      </c>
      <c r="K658">
        <f>IFERROR(tblMoeHistory[[#This Row],[ESD State and Local Amount]]/tblMoeHistory[[#This Row],[Child Count]],0)</f>
        <v>515.14365384615382</v>
      </c>
      <c r="L658">
        <f>IFERROR(tblMoeHistory[[#This Row],[State and Local Total Amount]]/tblMoeHistory[[#This Row],[Child Count]],0)</f>
        <v>9117.2839743589739</v>
      </c>
      <c r="M658">
        <v>0</v>
      </c>
      <c r="N658" t="s">
        <v>241</v>
      </c>
      <c r="O658">
        <v>200711.6</v>
      </c>
      <c r="P658">
        <v>1508.67</v>
      </c>
      <c r="Q658">
        <f>tblMoeHistory[[#This Row],[Amount of IDEA Part B, Section 611 award]]+tblMoeHistory[[#This Row],[Amount of IDEA Part B, Section 619 award]]</f>
        <v>202220.27000000002</v>
      </c>
      <c r="U6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8" t="str">
        <f>IF(OR(IFERROR(SEARCH("Met",tblMoeHistory[[#This Row],[State and Local Per Capita Result]]),0)&gt;0,IFERROR(SEARCH("Met",tblMoeHistory[[#This Row],[State and Local Total Result]]),0)&gt;0),"Met","Not Met")</f>
        <v>Met</v>
      </c>
    </row>
    <row r="659" spans="1:22" x14ac:dyDescent="0.35">
      <c r="A659" t="s">
        <v>88</v>
      </c>
      <c r="B659">
        <v>1931</v>
      </c>
      <c r="C659" t="s">
        <v>31</v>
      </c>
      <c r="D659">
        <v>296</v>
      </c>
      <c r="E659">
        <v>2668219</v>
      </c>
      <c r="F659">
        <v>297195</v>
      </c>
      <c r="G659">
        <f>tblMoeHistory[[#This Row],[LEA State and Local Amount]]+tblMoeHistory[[#This Row],[ESD State and Local Amount]]</f>
        <v>2965414</v>
      </c>
      <c r="H659">
        <v>0</v>
      </c>
      <c r="I659" t="s">
        <v>241</v>
      </c>
      <c r="J659">
        <f>IFERROR(tblMoeHistory[[#This Row],[LEA State and Local Amount]]/tblMoeHistory[[#This Row],[Child Count]],0)</f>
        <v>9014.2533783783783</v>
      </c>
      <c r="K659">
        <f>IFERROR(tblMoeHistory[[#This Row],[ESD State and Local Amount]]/tblMoeHistory[[#This Row],[Child Count]],0)</f>
        <v>1004.0371621621622</v>
      </c>
      <c r="L659">
        <f>IFERROR(tblMoeHistory[[#This Row],[State and Local Total Amount]]/tblMoeHistory[[#This Row],[Child Count]],0)</f>
        <v>10018.29054054054</v>
      </c>
      <c r="M659">
        <v>0</v>
      </c>
      <c r="N659" t="s">
        <v>241</v>
      </c>
      <c r="O659">
        <v>353232.47</v>
      </c>
      <c r="P659">
        <v>922.55</v>
      </c>
      <c r="Q659">
        <f>tblMoeHistory[[#This Row],[Amount of IDEA Part B, Section 611 award]]+tblMoeHistory[[#This Row],[Amount of IDEA Part B, Section 619 award]]</f>
        <v>354155.01999999996</v>
      </c>
      <c r="U6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9" t="str">
        <f>IF(OR(IFERROR(SEARCH("Met",tblMoeHistory[[#This Row],[State and Local Per Capita Result]]),0)&gt;0,IFERROR(SEARCH("Met",tblMoeHistory[[#This Row],[State and Local Total Result]]),0)&gt;0),"Met","Not Met")</f>
        <v>Met</v>
      </c>
    </row>
    <row r="660" spans="1:22" x14ac:dyDescent="0.35">
      <c r="A660" t="s">
        <v>89</v>
      </c>
      <c r="B660">
        <v>2000</v>
      </c>
      <c r="C660" t="s">
        <v>31</v>
      </c>
      <c r="D660">
        <v>39</v>
      </c>
      <c r="E660">
        <v>463014.26</v>
      </c>
      <c r="F660">
        <v>56618.98</v>
      </c>
      <c r="G660">
        <f>tblMoeHistory[[#This Row],[LEA State and Local Amount]]+tblMoeHistory[[#This Row],[ESD State and Local Amount]]</f>
        <v>519633.24</v>
      </c>
      <c r="H660">
        <v>0</v>
      </c>
      <c r="I660" t="s">
        <v>241</v>
      </c>
      <c r="J660">
        <f>IFERROR(tblMoeHistory[[#This Row],[LEA State and Local Amount]]/tblMoeHistory[[#This Row],[Child Count]],0)</f>
        <v>11872.160512820514</v>
      </c>
      <c r="K660">
        <f>IFERROR(tblMoeHistory[[#This Row],[ESD State and Local Amount]]/tblMoeHistory[[#This Row],[Child Count]],0)</f>
        <v>1451.7687179487179</v>
      </c>
      <c r="L660">
        <f>IFERROR(tblMoeHistory[[#This Row],[State and Local Total Amount]]/tblMoeHistory[[#This Row],[Child Count]],0)</f>
        <v>13323.92923076923</v>
      </c>
      <c r="M660">
        <v>0</v>
      </c>
      <c r="N660" t="s">
        <v>241</v>
      </c>
      <c r="O660">
        <v>57515.360000000001</v>
      </c>
      <c r="P660">
        <v>233.49</v>
      </c>
      <c r="Q660">
        <f>tblMoeHistory[[#This Row],[Amount of IDEA Part B, Section 611 award]]+tblMoeHistory[[#This Row],[Amount of IDEA Part B, Section 619 award]]</f>
        <v>57748.85</v>
      </c>
      <c r="U6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0" t="str">
        <f>IF(OR(IFERROR(SEARCH("Met",tblMoeHistory[[#This Row],[State and Local Per Capita Result]]),0)&gt;0,IFERROR(SEARCH("Met",tblMoeHistory[[#This Row],[State and Local Total Result]]),0)&gt;0),"Met","Not Met")</f>
        <v>Met</v>
      </c>
    </row>
    <row r="661" spans="1:22" x14ac:dyDescent="0.35">
      <c r="A661" t="s">
        <v>90</v>
      </c>
      <c r="B661">
        <v>1992</v>
      </c>
      <c r="C661" t="s">
        <v>31</v>
      </c>
      <c r="D661">
        <v>76</v>
      </c>
      <c r="E661">
        <v>515417.41</v>
      </c>
      <c r="F661">
        <v>124571.25</v>
      </c>
      <c r="G661">
        <f>tblMoeHistory[[#This Row],[LEA State and Local Amount]]+tblMoeHistory[[#This Row],[ESD State and Local Amount]]</f>
        <v>639988.65999999992</v>
      </c>
      <c r="H661">
        <v>0</v>
      </c>
      <c r="I661" t="s">
        <v>241</v>
      </c>
      <c r="J661">
        <f>IFERROR(tblMoeHistory[[#This Row],[LEA State and Local Amount]]/tblMoeHistory[[#This Row],[Child Count]],0)</f>
        <v>6781.808026315789</v>
      </c>
      <c r="K661">
        <f>IFERROR(tblMoeHistory[[#This Row],[ESD State and Local Amount]]/tblMoeHistory[[#This Row],[Child Count]],0)</f>
        <v>1639.0953947368421</v>
      </c>
      <c r="L661">
        <f>IFERROR(tblMoeHistory[[#This Row],[State and Local Total Amount]]/tblMoeHistory[[#This Row],[Child Count]],0)</f>
        <v>8420.9034210526297</v>
      </c>
      <c r="M661">
        <v>0</v>
      </c>
      <c r="N661" t="s">
        <v>240</v>
      </c>
      <c r="O661">
        <v>146653.37</v>
      </c>
      <c r="P661">
        <v>0</v>
      </c>
      <c r="Q661">
        <f>tblMoeHistory[[#This Row],[Amount of IDEA Part B, Section 611 award]]+tblMoeHistory[[#This Row],[Amount of IDEA Part B, Section 619 award]]</f>
        <v>146653.37</v>
      </c>
      <c r="U6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1" t="str">
        <f>IF(OR(IFERROR(SEARCH("Met",tblMoeHistory[[#This Row],[State and Local Per Capita Result]]),0)&gt;0,IFERROR(SEARCH("Met",tblMoeHistory[[#This Row],[State and Local Total Result]]),0)&gt;0),"Met","Not Met")</f>
        <v>Met</v>
      </c>
    </row>
    <row r="662" spans="1:22" x14ac:dyDescent="0.35">
      <c r="A662" t="s">
        <v>91</v>
      </c>
      <c r="B662">
        <v>2054</v>
      </c>
      <c r="C662" t="s">
        <v>31</v>
      </c>
      <c r="D662">
        <v>636</v>
      </c>
      <c r="E662">
        <v>4398058.0199999996</v>
      </c>
      <c r="F662">
        <v>264105.19</v>
      </c>
      <c r="G662">
        <f>tblMoeHistory[[#This Row],[LEA State and Local Amount]]+tblMoeHistory[[#This Row],[ESD State and Local Amount]]</f>
        <v>4662163.21</v>
      </c>
      <c r="H662">
        <v>0</v>
      </c>
      <c r="I662" t="s">
        <v>241</v>
      </c>
      <c r="J662">
        <f>IFERROR(tblMoeHistory[[#This Row],[LEA State and Local Amount]]/tblMoeHistory[[#This Row],[Child Count]],0)</f>
        <v>6915.185566037735</v>
      </c>
      <c r="K662">
        <f>IFERROR(tblMoeHistory[[#This Row],[ESD State and Local Amount]]/tblMoeHistory[[#This Row],[Child Count]],0)</f>
        <v>415.2597327044025</v>
      </c>
      <c r="L662">
        <f>IFERROR(tblMoeHistory[[#This Row],[State and Local Total Amount]]/tblMoeHistory[[#This Row],[Child Count]],0)</f>
        <v>7330.4452987421382</v>
      </c>
      <c r="M662">
        <v>0</v>
      </c>
      <c r="N662" t="s">
        <v>241</v>
      </c>
      <c r="O662">
        <v>725120.07</v>
      </c>
      <c r="P662">
        <v>6872.4</v>
      </c>
      <c r="Q662">
        <f>tblMoeHistory[[#This Row],[Amount of IDEA Part B, Section 611 award]]+tblMoeHistory[[#This Row],[Amount of IDEA Part B, Section 619 award]]</f>
        <v>731992.47</v>
      </c>
      <c r="U6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2" t="str">
        <f>IF(OR(IFERROR(SEARCH("Met",tblMoeHistory[[#This Row],[State and Local Per Capita Result]]),0)&gt;0,IFERROR(SEARCH("Met",tblMoeHistory[[#This Row],[State and Local Total Result]]),0)&gt;0),"Met","Not Met")</f>
        <v>Met</v>
      </c>
    </row>
    <row r="663" spans="1:22" x14ac:dyDescent="0.35">
      <c r="A663" t="s">
        <v>92</v>
      </c>
      <c r="B663">
        <v>2100</v>
      </c>
      <c r="C663" t="s">
        <v>31</v>
      </c>
      <c r="D663">
        <v>1242</v>
      </c>
      <c r="E663">
        <v>10797024.98</v>
      </c>
      <c r="F663">
        <v>919007</v>
      </c>
      <c r="G663">
        <f>tblMoeHistory[[#This Row],[LEA State and Local Amount]]+tblMoeHistory[[#This Row],[ESD State and Local Amount]]</f>
        <v>11716031.98</v>
      </c>
      <c r="H663">
        <v>0</v>
      </c>
      <c r="I663" t="s">
        <v>241</v>
      </c>
      <c r="J663">
        <f>IFERROR(tblMoeHistory[[#This Row],[LEA State and Local Amount]]/tblMoeHistory[[#This Row],[Child Count]],0)</f>
        <v>8693.2568276972634</v>
      </c>
      <c r="K663">
        <f>IFERROR(tblMoeHistory[[#This Row],[ESD State and Local Amount]]/tblMoeHistory[[#This Row],[Child Count]],0)</f>
        <v>739.94122383252818</v>
      </c>
      <c r="L663">
        <f>IFERROR(tblMoeHistory[[#This Row],[State and Local Total Amount]]/tblMoeHistory[[#This Row],[Child Count]],0)</f>
        <v>9433.198051529791</v>
      </c>
      <c r="M663">
        <v>0</v>
      </c>
      <c r="N663" t="s">
        <v>241</v>
      </c>
      <c r="O663">
        <v>1377331.91</v>
      </c>
      <c r="P663">
        <v>15311.87</v>
      </c>
      <c r="Q663">
        <f>tblMoeHistory[[#This Row],[Amount of IDEA Part B, Section 611 award]]+tblMoeHistory[[#This Row],[Amount of IDEA Part B, Section 619 award]]</f>
        <v>1392643.78</v>
      </c>
      <c r="U6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3" t="str">
        <f>IF(OR(IFERROR(SEARCH("Met",tblMoeHistory[[#This Row],[State and Local Per Capita Result]]),0)&gt;0,IFERROR(SEARCH("Met",tblMoeHistory[[#This Row],[State and Local Total Result]]),0)&gt;0),"Met","Not Met")</f>
        <v>Met</v>
      </c>
    </row>
    <row r="664" spans="1:22" x14ac:dyDescent="0.35">
      <c r="A664" t="s">
        <v>93</v>
      </c>
      <c r="B664">
        <v>2183</v>
      </c>
      <c r="C664" t="s">
        <v>31</v>
      </c>
      <c r="D664">
        <v>1392</v>
      </c>
      <c r="E664">
        <v>14232908.16</v>
      </c>
      <c r="F664">
        <v>252896.64000000001</v>
      </c>
      <c r="G664">
        <f>tblMoeHistory[[#This Row],[LEA State and Local Amount]]+tblMoeHistory[[#This Row],[ESD State and Local Amount]]</f>
        <v>14485804.800000001</v>
      </c>
      <c r="H664">
        <v>0</v>
      </c>
      <c r="I664" t="s">
        <v>241</v>
      </c>
      <c r="J664">
        <f>IFERROR(tblMoeHistory[[#This Row],[LEA State and Local Amount]]/tblMoeHistory[[#This Row],[Child Count]],0)</f>
        <v>10224.790344827587</v>
      </c>
      <c r="K664">
        <f>IFERROR(tblMoeHistory[[#This Row],[ESD State and Local Amount]]/tblMoeHistory[[#This Row],[Child Count]],0)</f>
        <v>181.67862068965519</v>
      </c>
      <c r="L664">
        <f>IFERROR(tblMoeHistory[[#This Row],[State and Local Total Amount]]/tblMoeHistory[[#This Row],[Child Count]],0)</f>
        <v>10406.468965517242</v>
      </c>
      <c r="M664">
        <v>0</v>
      </c>
      <c r="N664" t="s">
        <v>240</v>
      </c>
      <c r="O664">
        <v>1963620.33</v>
      </c>
      <c r="P664">
        <v>15007.19</v>
      </c>
      <c r="Q664">
        <f>tblMoeHistory[[#This Row],[Amount of IDEA Part B, Section 611 award]]+tblMoeHistory[[#This Row],[Amount of IDEA Part B, Section 619 award]]</f>
        <v>1978627.52</v>
      </c>
      <c r="U6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4" t="str">
        <f>IF(OR(IFERROR(SEARCH("Met",tblMoeHistory[[#This Row],[State and Local Per Capita Result]]),0)&gt;0,IFERROR(SEARCH("Met",tblMoeHistory[[#This Row],[State and Local Total Result]]),0)&gt;0),"Met","Not Met")</f>
        <v>Met</v>
      </c>
    </row>
    <row r="665" spans="1:22" x14ac:dyDescent="0.35">
      <c r="A665" t="s">
        <v>94</v>
      </c>
      <c r="B665">
        <v>2014</v>
      </c>
      <c r="C665" t="s">
        <v>31</v>
      </c>
      <c r="D665">
        <v>113</v>
      </c>
      <c r="E665">
        <v>1141224.8500000001</v>
      </c>
      <c r="F665">
        <v>223839</v>
      </c>
      <c r="G665">
        <f>tblMoeHistory[[#This Row],[LEA State and Local Amount]]+tblMoeHistory[[#This Row],[ESD State and Local Amount]]</f>
        <v>1365063.85</v>
      </c>
      <c r="H665">
        <v>0</v>
      </c>
      <c r="I665" t="s">
        <v>241</v>
      </c>
      <c r="J665">
        <f>IFERROR(tblMoeHistory[[#This Row],[LEA State and Local Amount]]/tblMoeHistory[[#This Row],[Child Count]],0)</f>
        <v>10099.334955752212</v>
      </c>
      <c r="K665">
        <f>IFERROR(tblMoeHistory[[#This Row],[ESD State and Local Amount]]/tblMoeHistory[[#This Row],[Child Count]],0)</f>
        <v>1980.8761061946902</v>
      </c>
      <c r="L665">
        <f>IFERROR(tblMoeHistory[[#This Row],[State and Local Total Amount]]/tblMoeHistory[[#This Row],[Child Count]],0)</f>
        <v>12080.211061946904</v>
      </c>
      <c r="M665">
        <v>0</v>
      </c>
      <c r="N665" t="s">
        <v>241</v>
      </c>
      <c r="O665">
        <v>173967.44</v>
      </c>
      <c r="P665">
        <v>2957.48</v>
      </c>
      <c r="Q665">
        <f>tblMoeHistory[[#This Row],[Amount of IDEA Part B, Section 611 award]]+tblMoeHistory[[#This Row],[Amount of IDEA Part B, Section 619 award]]</f>
        <v>176924.92</v>
      </c>
      <c r="U6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5" t="str">
        <f>IF(OR(IFERROR(SEARCH("Met",tblMoeHistory[[#This Row],[State and Local Per Capita Result]]),0)&gt;0,IFERROR(SEARCH("Met",tblMoeHistory[[#This Row],[State and Local Total Result]]),0)&gt;0),"Met","Not Met")</f>
        <v>Met</v>
      </c>
    </row>
    <row r="666" spans="1:22" x14ac:dyDescent="0.35">
      <c r="A666" t="s">
        <v>95</v>
      </c>
      <c r="B666">
        <v>2015</v>
      </c>
      <c r="C666" t="s">
        <v>31</v>
      </c>
      <c r="D666">
        <v>5</v>
      </c>
      <c r="E666">
        <v>98178.75</v>
      </c>
      <c r="F666">
        <v>9300</v>
      </c>
      <c r="G666">
        <f>tblMoeHistory[[#This Row],[LEA State and Local Amount]]+tblMoeHistory[[#This Row],[ESD State and Local Amount]]</f>
        <v>107478.75</v>
      </c>
      <c r="H666">
        <v>0</v>
      </c>
      <c r="I666" t="s">
        <v>241</v>
      </c>
      <c r="J666">
        <f>IFERROR(tblMoeHistory[[#This Row],[LEA State and Local Amount]]/tblMoeHistory[[#This Row],[Child Count]],0)</f>
        <v>19635.75</v>
      </c>
      <c r="K666">
        <f>IFERROR(tblMoeHistory[[#This Row],[ESD State and Local Amount]]/tblMoeHistory[[#This Row],[Child Count]],0)</f>
        <v>1860</v>
      </c>
      <c r="L666">
        <f>IFERROR(tblMoeHistory[[#This Row],[State and Local Total Amount]]/tblMoeHistory[[#This Row],[Child Count]],0)</f>
        <v>21495.75</v>
      </c>
      <c r="M666">
        <v>0</v>
      </c>
      <c r="N666" t="s">
        <v>241</v>
      </c>
      <c r="O666">
        <v>10911.91</v>
      </c>
      <c r="P666">
        <v>0</v>
      </c>
      <c r="Q666">
        <f>tblMoeHistory[[#This Row],[Amount of IDEA Part B, Section 611 award]]+tblMoeHistory[[#This Row],[Amount of IDEA Part B, Section 619 award]]</f>
        <v>10911.91</v>
      </c>
      <c r="U6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6" t="str">
        <f>IF(OR(IFERROR(SEARCH("Met",tblMoeHistory[[#This Row],[State and Local Per Capita Result]]),0)&gt;0,IFERROR(SEARCH("Met",tblMoeHistory[[#This Row],[State and Local Total Result]]),0)&gt;0),"Met","Not Met")</f>
        <v>Met</v>
      </c>
    </row>
    <row r="667" spans="1:22" x14ac:dyDescent="0.35">
      <c r="A667" t="s">
        <v>96</v>
      </c>
      <c r="B667">
        <v>2023</v>
      </c>
      <c r="C667" t="s">
        <v>31</v>
      </c>
      <c r="D667">
        <v>0</v>
      </c>
      <c r="E667">
        <v>0</v>
      </c>
      <c r="F667">
        <v>11049</v>
      </c>
      <c r="G667">
        <f>tblMoeHistory[[#This Row],[LEA State and Local Amount]]+tblMoeHistory[[#This Row],[ESD State and Local Amount]]</f>
        <v>11049</v>
      </c>
      <c r="H667">
        <v>0</v>
      </c>
      <c r="I667" t="s">
        <v>240</v>
      </c>
      <c r="J667">
        <f>IFERROR(tblMoeHistory[[#This Row],[LEA State and Local Amount]]/tblMoeHistory[[#This Row],[Child Count]],0)</f>
        <v>0</v>
      </c>
      <c r="K667">
        <f>IFERROR(tblMoeHistory[[#This Row],[ESD State and Local Amount]]/tblMoeHistory[[#This Row],[Child Count]],0)</f>
        <v>0</v>
      </c>
      <c r="L667">
        <f>IFERROR(tblMoeHistory[[#This Row],[State and Local Total Amount]]/tblMoeHistory[[#This Row],[Child Count]],0)</f>
        <v>0</v>
      </c>
      <c r="M667">
        <v>0</v>
      </c>
      <c r="N667" t="s">
        <v>240</v>
      </c>
      <c r="O667">
        <v>14336.89</v>
      </c>
      <c r="P667">
        <v>0</v>
      </c>
      <c r="Q667">
        <f>tblMoeHistory[[#This Row],[Amount of IDEA Part B, Section 611 award]]+tblMoeHistory[[#This Row],[Amount of IDEA Part B, Section 619 award]]</f>
        <v>14336.89</v>
      </c>
      <c r="U6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7" t="str">
        <f>IF(OR(IFERROR(SEARCH("Met",tblMoeHistory[[#This Row],[State and Local Per Capita Result]]),0)&gt;0,IFERROR(SEARCH("Met",tblMoeHistory[[#This Row],[State and Local Total Result]]),0)&gt;0),"Met","Not Met")</f>
        <v>Not Met</v>
      </c>
    </row>
    <row r="668" spans="1:22" x14ac:dyDescent="0.35">
      <c r="A668" t="s">
        <v>97</v>
      </c>
      <c r="B668">
        <v>2114</v>
      </c>
      <c r="C668" t="s">
        <v>31</v>
      </c>
      <c r="D668">
        <v>16</v>
      </c>
      <c r="E668">
        <v>38493.71</v>
      </c>
      <c r="F668">
        <v>30633.62</v>
      </c>
      <c r="G668">
        <f>tblMoeHistory[[#This Row],[LEA State and Local Amount]]+tblMoeHistory[[#This Row],[ESD State and Local Amount]]</f>
        <v>69127.33</v>
      </c>
      <c r="H668">
        <v>0</v>
      </c>
      <c r="I668" t="s">
        <v>241</v>
      </c>
      <c r="J668">
        <f>IFERROR(tblMoeHistory[[#This Row],[LEA State and Local Amount]]/tblMoeHistory[[#This Row],[Child Count]],0)</f>
        <v>2405.8568749999999</v>
      </c>
      <c r="K668">
        <f>IFERROR(tblMoeHistory[[#This Row],[ESD State and Local Amount]]/tblMoeHistory[[#This Row],[Child Count]],0)</f>
        <v>1914.6012499999999</v>
      </c>
      <c r="L668">
        <f>IFERROR(tblMoeHistory[[#This Row],[State and Local Total Amount]]/tblMoeHistory[[#This Row],[Child Count]],0)</f>
        <v>4320.4581250000001</v>
      </c>
      <c r="M668">
        <v>0</v>
      </c>
      <c r="N668" t="s">
        <v>240</v>
      </c>
      <c r="O668">
        <v>15266.14</v>
      </c>
      <c r="P668">
        <v>933.94</v>
      </c>
      <c r="Q668">
        <f>tblMoeHistory[[#This Row],[Amount of IDEA Part B, Section 611 award]]+tblMoeHistory[[#This Row],[Amount of IDEA Part B, Section 619 award]]</f>
        <v>16200.08</v>
      </c>
      <c r="U6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8" t="str">
        <f>IF(OR(IFERROR(SEARCH("Met",tblMoeHistory[[#This Row],[State and Local Per Capita Result]]),0)&gt;0,IFERROR(SEARCH("Met",tblMoeHistory[[#This Row],[State and Local Total Result]]),0)&gt;0),"Met","Not Met")</f>
        <v>Met</v>
      </c>
    </row>
    <row r="669" spans="1:22" x14ac:dyDescent="0.35">
      <c r="A669" t="s">
        <v>98</v>
      </c>
      <c r="B669">
        <v>2099</v>
      </c>
      <c r="C669" t="s">
        <v>31</v>
      </c>
      <c r="D669">
        <v>137</v>
      </c>
      <c r="E669">
        <v>1097821.58</v>
      </c>
      <c r="F669">
        <v>103473</v>
      </c>
      <c r="G669">
        <f>tblMoeHistory[[#This Row],[LEA State and Local Amount]]+tblMoeHistory[[#This Row],[ESD State and Local Amount]]</f>
        <v>1201294.58</v>
      </c>
      <c r="H669">
        <v>0</v>
      </c>
      <c r="I669" t="s">
        <v>241</v>
      </c>
      <c r="J669">
        <f>IFERROR(tblMoeHistory[[#This Row],[LEA State and Local Amount]]/tblMoeHistory[[#This Row],[Child Count]],0)</f>
        <v>8013.2962043795624</v>
      </c>
      <c r="K669">
        <f>IFERROR(tblMoeHistory[[#This Row],[ESD State and Local Amount]]/tblMoeHistory[[#This Row],[Child Count]],0)</f>
        <v>755.27737226277372</v>
      </c>
      <c r="L669">
        <f>IFERROR(tblMoeHistory[[#This Row],[State and Local Total Amount]]/tblMoeHistory[[#This Row],[Child Count]],0)</f>
        <v>8768.5735766423368</v>
      </c>
      <c r="M669">
        <v>0</v>
      </c>
      <c r="N669" t="s">
        <v>241</v>
      </c>
      <c r="O669">
        <v>133508.07999999999</v>
      </c>
      <c r="P669">
        <v>538.80999999999995</v>
      </c>
      <c r="Q669">
        <f>tblMoeHistory[[#This Row],[Amount of IDEA Part B, Section 611 award]]+tblMoeHistory[[#This Row],[Amount of IDEA Part B, Section 619 award]]</f>
        <v>134046.88999999998</v>
      </c>
      <c r="U6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9" t="str">
        <f>IF(OR(IFERROR(SEARCH("Met",tblMoeHistory[[#This Row],[State and Local Per Capita Result]]),0)&gt;0,IFERROR(SEARCH("Met",tblMoeHistory[[#This Row],[State and Local Total Result]]),0)&gt;0),"Met","Not Met")</f>
        <v>Met</v>
      </c>
    </row>
    <row r="670" spans="1:22" x14ac:dyDescent="0.35">
      <c r="A670" t="s">
        <v>99</v>
      </c>
      <c r="B670">
        <v>2201</v>
      </c>
      <c r="C670" t="s">
        <v>31</v>
      </c>
      <c r="D670">
        <v>13</v>
      </c>
      <c r="E670">
        <v>65298.35</v>
      </c>
      <c r="F670">
        <v>21014.28</v>
      </c>
      <c r="G670">
        <f>tblMoeHistory[[#This Row],[LEA State and Local Amount]]+tblMoeHistory[[#This Row],[ESD State and Local Amount]]</f>
        <v>86312.63</v>
      </c>
      <c r="H670">
        <v>0</v>
      </c>
      <c r="I670" t="s">
        <v>240</v>
      </c>
      <c r="J670">
        <f>IFERROR(tblMoeHistory[[#This Row],[LEA State and Local Amount]]/tblMoeHistory[[#This Row],[Child Count]],0)</f>
        <v>5022.95</v>
      </c>
      <c r="K670">
        <f>IFERROR(tblMoeHistory[[#This Row],[ESD State and Local Amount]]/tblMoeHistory[[#This Row],[Child Count]],0)</f>
        <v>1616.4830769230769</v>
      </c>
      <c r="L670">
        <f>IFERROR(tblMoeHistory[[#This Row],[State and Local Total Amount]]/tblMoeHistory[[#This Row],[Child Count]],0)</f>
        <v>6639.4330769230774</v>
      </c>
      <c r="M670">
        <v>0</v>
      </c>
      <c r="N670" t="s">
        <v>240</v>
      </c>
      <c r="O670">
        <v>21396.9</v>
      </c>
      <c r="P670">
        <v>933.94</v>
      </c>
      <c r="Q670">
        <f>tblMoeHistory[[#This Row],[Amount of IDEA Part B, Section 611 award]]+tblMoeHistory[[#This Row],[Amount of IDEA Part B, Section 619 award]]</f>
        <v>22330.84</v>
      </c>
      <c r="U6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0" t="str">
        <f>IF(OR(IFERROR(SEARCH("Met",tblMoeHistory[[#This Row],[State and Local Per Capita Result]]),0)&gt;0,IFERROR(SEARCH("Met",tblMoeHistory[[#This Row],[State and Local Total Result]]),0)&gt;0),"Met","Not Met")</f>
        <v>Not Met</v>
      </c>
    </row>
    <row r="671" spans="1:22" x14ac:dyDescent="0.35">
      <c r="A671" t="s">
        <v>100</v>
      </c>
      <c r="B671">
        <v>2206</v>
      </c>
      <c r="C671" t="s">
        <v>31</v>
      </c>
      <c r="D671">
        <v>626</v>
      </c>
      <c r="E671">
        <v>3472439.49</v>
      </c>
      <c r="F671">
        <v>1004404.91</v>
      </c>
      <c r="G671">
        <f>tblMoeHistory[[#This Row],[LEA State and Local Amount]]+tblMoeHistory[[#This Row],[ESD State and Local Amount]]</f>
        <v>4476844.4000000004</v>
      </c>
      <c r="H671">
        <v>0</v>
      </c>
      <c r="I671" t="s">
        <v>241</v>
      </c>
      <c r="J671">
        <f>IFERROR(tblMoeHistory[[#This Row],[LEA State and Local Amount]]/tblMoeHistory[[#This Row],[Child Count]],0)</f>
        <v>5547.0279392971252</v>
      </c>
      <c r="K671">
        <f>IFERROR(tblMoeHistory[[#This Row],[ESD State and Local Amount]]/tblMoeHistory[[#This Row],[Child Count]],0)</f>
        <v>1604.4806869009585</v>
      </c>
      <c r="L671">
        <f>IFERROR(tblMoeHistory[[#This Row],[State and Local Total Amount]]/tblMoeHistory[[#This Row],[Child Count]],0)</f>
        <v>7151.5086261980832</v>
      </c>
      <c r="M671">
        <v>0</v>
      </c>
      <c r="N671" t="s">
        <v>240</v>
      </c>
      <c r="O671">
        <v>706672.12</v>
      </c>
      <c r="P671">
        <v>5012.1499999999996</v>
      </c>
      <c r="Q671">
        <f>tblMoeHistory[[#This Row],[Amount of IDEA Part B, Section 611 award]]+tblMoeHistory[[#This Row],[Amount of IDEA Part B, Section 619 award]]</f>
        <v>711684.27</v>
      </c>
      <c r="U6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1" t="str">
        <f>IF(OR(IFERROR(SEARCH("Met",tblMoeHistory[[#This Row],[State and Local Per Capita Result]]),0)&gt;0,IFERROR(SEARCH("Met",tblMoeHistory[[#This Row],[State and Local Total Result]]),0)&gt;0),"Met","Not Met")</f>
        <v>Met</v>
      </c>
    </row>
    <row r="672" spans="1:22" x14ac:dyDescent="0.35">
      <c r="A672" t="s">
        <v>101</v>
      </c>
      <c r="B672">
        <v>2239</v>
      </c>
      <c r="C672" t="s">
        <v>31</v>
      </c>
      <c r="D672">
        <v>2679</v>
      </c>
      <c r="E672">
        <v>24952249.719999999</v>
      </c>
      <c r="F672">
        <v>4083326</v>
      </c>
      <c r="G672">
        <f>tblMoeHistory[[#This Row],[LEA State and Local Amount]]+tblMoeHistory[[#This Row],[ESD State and Local Amount]]</f>
        <v>29035575.719999999</v>
      </c>
      <c r="H672">
        <v>0</v>
      </c>
      <c r="I672" t="s">
        <v>241</v>
      </c>
      <c r="J672">
        <f>IFERROR(tblMoeHistory[[#This Row],[LEA State and Local Amount]]/tblMoeHistory[[#This Row],[Child Count]],0)</f>
        <v>9314.0163195222085</v>
      </c>
      <c r="K672">
        <f>IFERROR(tblMoeHistory[[#This Row],[ESD State and Local Amount]]/tblMoeHistory[[#This Row],[Child Count]],0)</f>
        <v>1524.1978350130646</v>
      </c>
      <c r="L672">
        <f>IFERROR(tblMoeHistory[[#This Row],[State and Local Total Amount]]/tblMoeHistory[[#This Row],[Child Count]],0)</f>
        <v>10838.214154535273</v>
      </c>
      <c r="M672">
        <v>0</v>
      </c>
      <c r="N672" t="s">
        <v>241</v>
      </c>
      <c r="O672">
        <v>2745168.91</v>
      </c>
      <c r="P672">
        <v>14148.98</v>
      </c>
      <c r="Q672">
        <f>tblMoeHistory[[#This Row],[Amount of IDEA Part B, Section 611 award]]+tblMoeHistory[[#This Row],[Amount of IDEA Part B, Section 619 award]]</f>
        <v>2759317.89</v>
      </c>
      <c r="U6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2" t="str">
        <f>IF(OR(IFERROR(SEARCH("Met",tblMoeHistory[[#This Row],[State and Local Per Capita Result]]),0)&gt;0,IFERROR(SEARCH("Met",tblMoeHistory[[#This Row],[State and Local Total Result]]),0)&gt;0),"Met","Not Met")</f>
        <v>Met</v>
      </c>
    </row>
    <row r="673" spans="1:22" x14ac:dyDescent="0.35">
      <c r="A673" t="s">
        <v>102</v>
      </c>
      <c r="B673">
        <v>2024</v>
      </c>
      <c r="C673" t="s">
        <v>31</v>
      </c>
      <c r="D673">
        <v>554</v>
      </c>
      <c r="E673">
        <v>3599067.69</v>
      </c>
      <c r="F673">
        <v>0</v>
      </c>
      <c r="G673">
        <f>tblMoeHistory[[#This Row],[LEA State and Local Amount]]+tblMoeHistory[[#This Row],[ESD State and Local Amount]]</f>
        <v>3599067.69</v>
      </c>
      <c r="H673">
        <v>0</v>
      </c>
      <c r="I673" t="s">
        <v>241</v>
      </c>
      <c r="J673">
        <f>IFERROR(tblMoeHistory[[#This Row],[LEA State and Local Amount]]/tblMoeHistory[[#This Row],[Child Count]],0)</f>
        <v>6496.5120758122739</v>
      </c>
      <c r="K673">
        <f>IFERROR(tblMoeHistory[[#This Row],[ESD State and Local Amount]]/tblMoeHistory[[#This Row],[Child Count]],0)</f>
        <v>0</v>
      </c>
      <c r="L673">
        <f>IFERROR(tblMoeHistory[[#This Row],[State and Local Total Amount]]/tblMoeHistory[[#This Row],[Child Count]],0)</f>
        <v>6496.5120758122739</v>
      </c>
      <c r="M673">
        <v>0</v>
      </c>
      <c r="N673" t="s">
        <v>240</v>
      </c>
      <c r="O673">
        <v>661433.18000000005</v>
      </c>
      <c r="P673">
        <v>6768.71</v>
      </c>
      <c r="Q673">
        <f>tblMoeHistory[[#This Row],[Amount of IDEA Part B, Section 611 award]]+tblMoeHistory[[#This Row],[Amount of IDEA Part B, Section 619 award]]</f>
        <v>668201.89</v>
      </c>
      <c r="U6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3" t="str">
        <f>IF(OR(IFERROR(SEARCH("Met",tblMoeHistory[[#This Row],[State and Local Per Capita Result]]),0)&gt;0,IFERROR(SEARCH("Met",tblMoeHistory[[#This Row],[State and Local Total Result]]),0)&gt;0),"Met","Not Met")</f>
        <v>Met</v>
      </c>
    </row>
    <row r="674" spans="1:22" x14ac:dyDescent="0.35">
      <c r="A674" t="s">
        <v>103</v>
      </c>
      <c r="B674">
        <v>1895</v>
      </c>
      <c r="C674" t="s">
        <v>31</v>
      </c>
      <c r="D674">
        <v>8</v>
      </c>
      <c r="E674">
        <v>82073.09</v>
      </c>
      <c r="F674">
        <v>18817.79</v>
      </c>
      <c r="G674">
        <f>tblMoeHistory[[#This Row],[LEA State and Local Amount]]+tblMoeHistory[[#This Row],[ESD State and Local Amount]]</f>
        <v>100890.88</v>
      </c>
      <c r="H674">
        <v>0</v>
      </c>
      <c r="I674" t="s">
        <v>241</v>
      </c>
      <c r="J674">
        <f>IFERROR(tblMoeHistory[[#This Row],[LEA State and Local Amount]]/tblMoeHistory[[#This Row],[Child Count]],0)</f>
        <v>10259.13625</v>
      </c>
      <c r="K674">
        <f>IFERROR(tblMoeHistory[[#This Row],[ESD State and Local Amount]]/tblMoeHistory[[#This Row],[Child Count]],0)</f>
        <v>2352.2237500000001</v>
      </c>
      <c r="L674">
        <f>IFERROR(tblMoeHistory[[#This Row],[State and Local Total Amount]]/tblMoeHistory[[#This Row],[Child Count]],0)</f>
        <v>12611.36</v>
      </c>
      <c r="M674">
        <v>0</v>
      </c>
      <c r="N674" t="s">
        <v>240</v>
      </c>
      <c r="O674">
        <v>12360.7</v>
      </c>
      <c r="P674">
        <v>933.94</v>
      </c>
      <c r="Q674">
        <f>tblMoeHistory[[#This Row],[Amount of IDEA Part B, Section 611 award]]+tblMoeHistory[[#This Row],[Amount of IDEA Part B, Section 619 award]]</f>
        <v>13294.640000000001</v>
      </c>
      <c r="U6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4" t="str">
        <f>IF(OR(IFERROR(SEARCH("Met",tblMoeHistory[[#This Row],[State and Local Per Capita Result]]),0)&gt;0,IFERROR(SEARCH("Met",tblMoeHistory[[#This Row],[State and Local Total Result]]),0)&gt;0),"Met","Not Met")</f>
        <v>Met</v>
      </c>
    </row>
    <row r="675" spans="1:22" x14ac:dyDescent="0.35">
      <c r="A675" t="s">
        <v>104</v>
      </c>
      <c r="B675">
        <v>2215</v>
      </c>
      <c r="C675" t="s">
        <v>31</v>
      </c>
      <c r="D675">
        <v>47</v>
      </c>
      <c r="E675">
        <v>155636.97</v>
      </c>
      <c r="F675">
        <v>83176</v>
      </c>
      <c r="G675">
        <f>tblMoeHistory[[#This Row],[LEA State and Local Amount]]+tblMoeHistory[[#This Row],[ESD State and Local Amount]]</f>
        <v>238812.97</v>
      </c>
      <c r="H675">
        <v>0</v>
      </c>
      <c r="I675" t="s">
        <v>241</v>
      </c>
      <c r="J675">
        <f>IFERROR(tblMoeHistory[[#This Row],[LEA State and Local Amount]]/tblMoeHistory[[#This Row],[Child Count]],0)</f>
        <v>3311.4248936170211</v>
      </c>
      <c r="K675">
        <f>IFERROR(tblMoeHistory[[#This Row],[ESD State and Local Amount]]/tblMoeHistory[[#This Row],[Child Count]],0)</f>
        <v>1769.7021276595744</v>
      </c>
      <c r="L675">
        <f>IFERROR(tblMoeHistory[[#This Row],[State and Local Total Amount]]/tblMoeHistory[[#This Row],[Child Count]],0)</f>
        <v>5081.1270212765958</v>
      </c>
      <c r="M675">
        <v>0</v>
      </c>
      <c r="N675" t="s">
        <v>240</v>
      </c>
      <c r="O675">
        <v>67388.63</v>
      </c>
      <c r="P675">
        <v>466.97</v>
      </c>
      <c r="Q675">
        <f>tblMoeHistory[[#This Row],[Amount of IDEA Part B, Section 611 award]]+tblMoeHistory[[#This Row],[Amount of IDEA Part B, Section 619 award]]</f>
        <v>67855.600000000006</v>
      </c>
      <c r="U6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5" t="str">
        <f>IF(OR(IFERROR(SEARCH("Met",tblMoeHistory[[#This Row],[State and Local Per Capita Result]]),0)&gt;0,IFERROR(SEARCH("Met",tblMoeHistory[[#This Row],[State and Local Total Result]]),0)&gt;0),"Met","Not Met")</f>
        <v>Met</v>
      </c>
    </row>
    <row r="676" spans="1:22" x14ac:dyDescent="0.35">
      <c r="A676" t="s">
        <v>105</v>
      </c>
      <c r="B676">
        <v>3997</v>
      </c>
      <c r="C676" t="s">
        <v>31</v>
      </c>
      <c r="D676">
        <v>33</v>
      </c>
      <c r="E676">
        <v>116491.3</v>
      </c>
      <c r="F676">
        <v>52924.87</v>
      </c>
      <c r="G676">
        <f>tblMoeHistory[[#This Row],[LEA State and Local Amount]]+tblMoeHistory[[#This Row],[ESD State and Local Amount]]</f>
        <v>169416.17</v>
      </c>
      <c r="H676">
        <v>0</v>
      </c>
      <c r="I676" t="s">
        <v>241</v>
      </c>
      <c r="J676">
        <f>IFERROR(tblMoeHistory[[#This Row],[LEA State and Local Amount]]/tblMoeHistory[[#This Row],[Child Count]],0)</f>
        <v>3530.0393939393939</v>
      </c>
      <c r="K676">
        <f>IFERROR(tblMoeHistory[[#This Row],[ESD State and Local Amount]]/tblMoeHistory[[#This Row],[Child Count]],0)</f>
        <v>1603.7839393939394</v>
      </c>
      <c r="L676">
        <f>IFERROR(tblMoeHistory[[#This Row],[State and Local Total Amount]]/tblMoeHistory[[#This Row],[Child Count]],0)</f>
        <v>5133.8233333333337</v>
      </c>
      <c r="M676">
        <v>0</v>
      </c>
      <c r="N676" t="s">
        <v>240</v>
      </c>
      <c r="O676">
        <v>25161.08</v>
      </c>
      <c r="P676">
        <v>466.97</v>
      </c>
      <c r="Q676">
        <f>tblMoeHistory[[#This Row],[Amount of IDEA Part B, Section 611 award]]+tblMoeHistory[[#This Row],[Amount of IDEA Part B, Section 619 award]]</f>
        <v>25628.050000000003</v>
      </c>
      <c r="U6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6" t="str">
        <f>IF(OR(IFERROR(SEARCH("Met",tblMoeHistory[[#This Row],[State and Local Per Capita Result]]),0)&gt;0,IFERROR(SEARCH("Met",tblMoeHistory[[#This Row],[State and Local Total Result]]),0)&gt;0),"Met","Not Met")</f>
        <v>Met</v>
      </c>
    </row>
    <row r="677" spans="1:22" x14ac:dyDescent="0.35">
      <c r="A677" t="s">
        <v>106</v>
      </c>
      <c r="B677">
        <v>2053</v>
      </c>
      <c r="C677" t="s">
        <v>31</v>
      </c>
      <c r="D677">
        <v>428</v>
      </c>
      <c r="E677">
        <v>3186639.53</v>
      </c>
      <c r="F677">
        <v>970094.57</v>
      </c>
      <c r="G677">
        <f>tblMoeHistory[[#This Row],[LEA State and Local Amount]]+tblMoeHistory[[#This Row],[ESD State and Local Amount]]</f>
        <v>4156734.0999999996</v>
      </c>
      <c r="H677">
        <v>0</v>
      </c>
      <c r="I677" t="s">
        <v>241</v>
      </c>
      <c r="J677">
        <f>IFERROR(tblMoeHistory[[#This Row],[LEA State and Local Amount]]/tblMoeHistory[[#This Row],[Child Count]],0)</f>
        <v>7445.4194626168219</v>
      </c>
      <c r="K677">
        <f>IFERROR(tblMoeHistory[[#This Row],[ESD State and Local Amount]]/tblMoeHistory[[#This Row],[Child Count]],0)</f>
        <v>2266.5760981308408</v>
      </c>
      <c r="L677">
        <f>IFERROR(tblMoeHistory[[#This Row],[State and Local Total Amount]]/tblMoeHistory[[#This Row],[Child Count]],0)</f>
        <v>9711.9955607476622</v>
      </c>
      <c r="M677">
        <v>0</v>
      </c>
      <c r="N677" t="s">
        <v>240</v>
      </c>
      <c r="O677">
        <v>459972.23</v>
      </c>
      <c r="P677">
        <v>11288.74</v>
      </c>
      <c r="Q677">
        <f>tblMoeHistory[[#This Row],[Amount of IDEA Part B, Section 611 award]]+tblMoeHistory[[#This Row],[Amount of IDEA Part B, Section 619 award]]</f>
        <v>471260.97</v>
      </c>
      <c r="U6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7" t="str">
        <f>IF(OR(IFERROR(SEARCH("Met",tblMoeHistory[[#This Row],[State and Local Per Capita Result]]),0)&gt;0,IFERROR(SEARCH("Met",tblMoeHistory[[#This Row],[State and Local Total Result]]),0)&gt;0),"Met","Not Met")</f>
        <v>Met</v>
      </c>
    </row>
    <row r="678" spans="1:22" x14ac:dyDescent="0.35">
      <c r="A678" t="s">
        <v>107</v>
      </c>
      <c r="B678">
        <v>2140</v>
      </c>
      <c r="C678" t="s">
        <v>31</v>
      </c>
      <c r="D678">
        <v>144</v>
      </c>
      <c r="E678">
        <v>1063452.45</v>
      </c>
      <c r="F678">
        <v>74659.05</v>
      </c>
      <c r="G678">
        <f>tblMoeHistory[[#This Row],[LEA State and Local Amount]]+tblMoeHistory[[#This Row],[ESD State and Local Amount]]</f>
        <v>1138111.5</v>
      </c>
      <c r="H678">
        <v>0</v>
      </c>
      <c r="I678" t="s">
        <v>241</v>
      </c>
      <c r="J678">
        <f>IFERROR(tblMoeHistory[[#This Row],[LEA State and Local Amount]]/tblMoeHistory[[#This Row],[Child Count]],0)</f>
        <v>7385.0864583333332</v>
      </c>
      <c r="K678">
        <f>IFERROR(tblMoeHistory[[#This Row],[ESD State and Local Amount]]/tblMoeHistory[[#This Row],[Child Count]],0)</f>
        <v>518.46562500000005</v>
      </c>
      <c r="L678">
        <f>IFERROR(tblMoeHistory[[#This Row],[State and Local Total Amount]]/tblMoeHistory[[#This Row],[Child Count]],0)</f>
        <v>7903.552083333333</v>
      </c>
      <c r="M678">
        <v>0</v>
      </c>
      <c r="N678" t="s">
        <v>241</v>
      </c>
      <c r="O678">
        <v>143397.69</v>
      </c>
      <c r="P678">
        <v>500.33</v>
      </c>
      <c r="Q678">
        <f>tblMoeHistory[[#This Row],[Amount of IDEA Part B, Section 611 award]]+tblMoeHistory[[#This Row],[Amount of IDEA Part B, Section 619 award]]</f>
        <v>143898.01999999999</v>
      </c>
      <c r="U6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8" t="str">
        <f>IF(OR(IFERROR(SEARCH("Met",tblMoeHistory[[#This Row],[State and Local Per Capita Result]]),0)&gt;0,IFERROR(SEARCH("Met",tblMoeHistory[[#This Row],[State and Local Total Result]]),0)&gt;0),"Met","Not Met")</f>
        <v>Met</v>
      </c>
    </row>
    <row r="679" spans="1:22" x14ac:dyDescent="0.35">
      <c r="A679" t="s">
        <v>108</v>
      </c>
      <c r="B679">
        <v>1934</v>
      </c>
      <c r="C679" t="s">
        <v>31</v>
      </c>
      <c r="D679">
        <v>21</v>
      </c>
      <c r="E679">
        <v>244718.63</v>
      </c>
      <c r="F679">
        <v>36039</v>
      </c>
      <c r="G679">
        <f>tblMoeHistory[[#This Row],[LEA State and Local Amount]]+tblMoeHistory[[#This Row],[ESD State and Local Amount]]</f>
        <v>280757.63</v>
      </c>
      <c r="H679">
        <v>0</v>
      </c>
      <c r="I679" t="s">
        <v>241</v>
      </c>
      <c r="J679">
        <f>IFERROR(tblMoeHistory[[#This Row],[LEA State and Local Amount]]/tblMoeHistory[[#This Row],[Child Count]],0)</f>
        <v>11653.268095238096</v>
      </c>
      <c r="K679">
        <f>IFERROR(tblMoeHistory[[#This Row],[ESD State and Local Amount]]/tblMoeHistory[[#This Row],[Child Count]],0)</f>
        <v>1716.1428571428571</v>
      </c>
      <c r="L679">
        <f>IFERROR(tblMoeHistory[[#This Row],[State and Local Total Amount]]/tblMoeHistory[[#This Row],[Child Count]],0)</f>
        <v>13369.410952380953</v>
      </c>
      <c r="M679">
        <v>0</v>
      </c>
      <c r="N679" t="s">
        <v>241</v>
      </c>
      <c r="O679">
        <v>18897.59</v>
      </c>
      <c r="P679">
        <v>0</v>
      </c>
      <c r="Q679">
        <f>tblMoeHistory[[#This Row],[Amount of IDEA Part B, Section 611 award]]+tblMoeHistory[[#This Row],[Amount of IDEA Part B, Section 619 award]]</f>
        <v>18897.59</v>
      </c>
      <c r="U6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9" t="str">
        <f>IF(OR(IFERROR(SEARCH("Met",tblMoeHistory[[#This Row],[State and Local Per Capita Result]]),0)&gt;0,IFERROR(SEARCH("Met",tblMoeHistory[[#This Row],[State and Local Total Result]]),0)&gt;0),"Met","Not Met")</f>
        <v>Met</v>
      </c>
    </row>
    <row r="680" spans="1:22" x14ac:dyDescent="0.35">
      <c r="A680" t="s">
        <v>109</v>
      </c>
      <c r="B680">
        <v>2008</v>
      </c>
      <c r="C680" t="s">
        <v>31</v>
      </c>
      <c r="D680">
        <v>86</v>
      </c>
      <c r="E680">
        <v>666680.77</v>
      </c>
      <c r="F680">
        <v>120621.92</v>
      </c>
      <c r="G680">
        <f>tblMoeHistory[[#This Row],[LEA State and Local Amount]]+tblMoeHistory[[#This Row],[ESD State and Local Amount]]</f>
        <v>787302.69000000006</v>
      </c>
      <c r="H680">
        <v>0</v>
      </c>
      <c r="I680" t="s">
        <v>240</v>
      </c>
      <c r="J680">
        <f>IFERROR(tblMoeHistory[[#This Row],[LEA State and Local Amount]]/tblMoeHistory[[#This Row],[Child Count]],0)</f>
        <v>7752.1019767441867</v>
      </c>
      <c r="K680">
        <f>IFERROR(tblMoeHistory[[#This Row],[ESD State and Local Amount]]/tblMoeHistory[[#This Row],[Child Count]],0)</f>
        <v>1402.5804651162791</v>
      </c>
      <c r="L680">
        <f>IFERROR(tblMoeHistory[[#This Row],[State and Local Total Amount]]/tblMoeHistory[[#This Row],[Child Count]],0)</f>
        <v>9154.6824418604665</v>
      </c>
      <c r="M680">
        <v>0</v>
      </c>
      <c r="N680" t="s">
        <v>240</v>
      </c>
      <c r="O680">
        <v>130955.63</v>
      </c>
      <c r="P680">
        <v>1284.17</v>
      </c>
      <c r="Q680">
        <f>tblMoeHistory[[#This Row],[Amount of IDEA Part B, Section 611 award]]+tblMoeHistory[[#This Row],[Amount of IDEA Part B, Section 619 award]]</f>
        <v>132239.80000000002</v>
      </c>
      <c r="U6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0" t="str">
        <f>IF(OR(IFERROR(SEARCH("Met",tblMoeHistory[[#This Row],[State and Local Per Capita Result]]),0)&gt;0,IFERROR(SEARCH("Met",tblMoeHistory[[#This Row],[State and Local Total Result]]),0)&gt;0),"Met","Not Met")</f>
        <v>Not Met</v>
      </c>
    </row>
    <row r="681" spans="1:22" x14ac:dyDescent="0.35">
      <c r="A681" t="s">
        <v>110</v>
      </c>
      <c r="B681">
        <v>2107</v>
      </c>
      <c r="C681" t="s">
        <v>31</v>
      </c>
      <c r="D681">
        <v>11</v>
      </c>
      <c r="E681">
        <v>61129.599999999999</v>
      </c>
      <c r="F681">
        <v>24252.16</v>
      </c>
      <c r="G681">
        <f>tblMoeHistory[[#This Row],[LEA State and Local Amount]]+tblMoeHistory[[#This Row],[ESD State and Local Amount]]</f>
        <v>85381.759999999995</v>
      </c>
      <c r="H681">
        <v>0</v>
      </c>
      <c r="I681" t="s">
        <v>240</v>
      </c>
      <c r="J681">
        <f>IFERROR(tblMoeHistory[[#This Row],[LEA State and Local Amount]]/tblMoeHistory[[#This Row],[Child Count]],0)</f>
        <v>5557.2363636363634</v>
      </c>
      <c r="K681">
        <f>IFERROR(tblMoeHistory[[#This Row],[ESD State and Local Amount]]/tblMoeHistory[[#This Row],[Child Count]],0)</f>
        <v>2204.741818181818</v>
      </c>
      <c r="L681">
        <f>IFERROR(tblMoeHistory[[#This Row],[State and Local Total Amount]]/tblMoeHistory[[#This Row],[Child Count]],0)</f>
        <v>7761.9781818181809</v>
      </c>
      <c r="M681">
        <v>0</v>
      </c>
      <c r="N681" t="s">
        <v>240</v>
      </c>
      <c r="O681">
        <v>13844.84</v>
      </c>
      <c r="P681">
        <v>466.97</v>
      </c>
      <c r="Q681">
        <f>tblMoeHistory[[#This Row],[Amount of IDEA Part B, Section 611 award]]+tblMoeHistory[[#This Row],[Amount of IDEA Part B, Section 619 award]]</f>
        <v>14311.81</v>
      </c>
      <c r="U6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1" t="str">
        <f>IF(OR(IFERROR(SEARCH("Met",tblMoeHistory[[#This Row],[State and Local Per Capita Result]]),0)&gt;0,IFERROR(SEARCH("Met",tblMoeHistory[[#This Row],[State and Local Total Result]]),0)&gt;0),"Met","Not Met")</f>
        <v>Not Met</v>
      </c>
    </row>
    <row r="682" spans="1:22" x14ac:dyDescent="0.35">
      <c r="A682" t="s">
        <v>111</v>
      </c>
      <c r="B682">
        <v>2219</v>
      </c>
      <c r="C682" t="s">
        <v>31</v>
      </c>
      <c r="D682">
        <v>33</v>
      </c>
      <c r="E682">
        <v>107302.73</v>
      </c>
      <c r="F682">
        <v>150748.26999999999</v>
      </c>
      <c r="G682">
        <f>tblMoeHistory[[#This Row],[LEA State and Local Amount]]+tblMoeHistory[[#This Row],[ESD State and Local Amount]]</f>
        <v>258051</v>
      </c>
      <c r="H682">
        <v>0</v>
      </c>
      <c r="I682" t="s">
        <v>241</v>
      </c>
      <c r="J682">
        <f>IFERROR(tblMoeHistory[[#This Row],[LEA State and Local Amount]]/tblMoeHistory[[#This Row],[Child Count]],0)</f>
        <v>3251.5978787878785</v>
      </c>
      <c r="K682">
        <f>IFERROR(tblMoeHistory[[#This Row],[ESD State and Local Amount]]/tblMoeHistory[[#This Row],[Child Count]],0)</f>
        <v>4568.1293939393936</v>
      </c>
      <c r="L682">
        <f>IFERROR(tblMoeHistory[[#This Row],[State and Local Total Amount]]/tblMoeHistory[[#This Row],[Child Count]],0)</f>
        <v>7819.727272727273</v>
      </c>
      <c r="M682">
        <v>0</v>
      </c>
      <c r="N682" t="s">
        <v>240</v>
      </c>
      <c r="O682">
        <v>44706.47</v>
      </c>
      <c r="P682">
        <v>0</v>
      </c>
      <c r="Q682">
        <f>tblMoeHistory[[#This Row],[Amount of IDEA Part B, Section 611 award]]+tblMoeHistory[[#This Row],[Amount of IDEA Part B, Section 619 award]]</f>
        <v>44706.47</v>
      </c>
      <c r="U6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2" t="str">
        <f>IF(OR(IFERROR(SEARCH("Met",tblMoeHistory[[#This Row],[State and Local Per Capita Result]]),0)&gt;0,IFERROR(SEARCH("Met",tblMoeHistory[[#This Row],[State and Local Total Result]]),0)&gt;0),"Met","Not Met")</f>
        <v>Met</v>
      </c>
    </row>
    <row r="683" spans="1:22" x14ac:dyDescent="0.35">
      <c r="A683" t="s">
        <v>112</v>
      </c>
      <c r="B683">
        <v>2091</v>
      </c>
      <c r="C683" t="s">
        <v>31</v>
      </c>
      <c r="D683">
        <v>212</v>
      </c>
      <c r="E683">
        <v>1487620.24</v>
      </c>
      <c r="F683">
        <v>515545</v>
      </c>
      <c r="G683">
        <f>tblMoeHistory[[#This Row],[LEA State and Local Amount]]+tblMoeHistory[[#This Row],[ESD State and Local Amount]]</f>
        <v>2003165.24</v>
      </c>
      <c r="H683">
        <v>0</v>
      </c>
      <c r="I683" t="s">
        <v>242</v>
      </c>
      <c r="J683">
        <f>IFERROR(tblMoeHistory[[#This Row],[LEA State and Local Amount]]/tblMoeHistory[[#This Row],[Child Count]],0)</f>
        <v>7017.0766037735848</v>
      </c>
      <c r="K683">
        <f>IFERROR(tblMoeHistory[[#This Row],[ESD State and Local Amount]]/tblMoeHistory[[#This Row],[Child Count]],0)</f>
        <v>2431.816037735849</v>
      </c>
      <c r="L683">
        <f>IFERROR(tblMoeHistory[[#This Row],[State and Local Total Amount]]/tblMoeHistory[[#This Row],[Child Count]],0)</f>
        <v>9448.8926415094338</v>
      </c>
      <c r="M683">
        <v>0</v>
      </c>
      <c r="N683" t="s">
        <v>241</v>
      </c>
      <c r="O683">
        <v>284912.03999999998</v>
      </c>
      <c r="P683">
        <v>3677.4</v>
      </c>
      <c r="Q683">
        <f>tblMoeHistory[[#This Row],[Amount of IDEA Part B, Section 611 award]]+tblMoeHistory[[#This Row],[Amount of IDEA Part B, Section 619 award]]</f>
        <v>288589.44</v>
      </c>
      <c r="S683">
        <v>110491.64</v>
      </c>
      <c r="T683">
        <v>110491.64</v>
      </c>
      <c r="U6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3" t="str">
        <f>IF(OR(IFERROR(SEARCH("Met",tblMoeHistory[[#This Row],[State and Local Per Capita Result]]),0)&gt;0,IFERROR(SEARCH("Met",tblMoeHistory[[#This Row],[State and Local Total Result]]),0)&gt;0),"Met","Not Met")</f>
        <v>Met</v>
      </c>
    </row>
    <row r="684" spans="1:22" x14ac:dyDescent="0.35">
      <c r="A684" t="s">
        <v>113</v>
      </c>
      <c r="B684">
        <v>2109</v>
      </c>
      <c r="C684" t="s">
        <v>31</v>
      </c>
      <c r="D684">
        <v>1</v>
      </c>
      <c r="E684">
        <v>0</v>
      </c>
      <c r="F684">
        <v>1505.55</v>
      </c>
      <c r="G684">
        <f>tblMoeHistory[[#This Row],[LEA State and Local Amount]]+tblMoeHistory[[#This Row],[ESD State and Local Amount]]</f>
        <v>1505.55</v>
      </c>
      <c r="H684">
        <v>0</v>
      </c>
      <c r="I684" t="s">
        <v>241</v>
      </c>
      <c r="J684">
        <f>IFERROR(tblMoeHistory[[#This Row],[LEA State and Local Amount]]/tblMoeHistory[[#This Row],[Child Count]],0)</f>
        <v>0</v>
      </c>
      <c r="K684">
        <f>IFERROR(tblMoeHistory[[#This Row],[ESD State and Local Amount]]/tblMoeHistory[[#This Row],[Child Count]],0)</f>
        <v>1505.55</v>
      </c>
      <c r="L684">
        <f>IFERROR(tblMoeHistory[[#This Row],[State and Local Total Amount]]/tblMoeHistory[[#This Row],[Child Count]],0)</f>
        <v>1505.55</v>
      </c>
      <c r="M684">
        <v>0</v>
      </c>
      <c r="N684" t="s">
        <v>241</v>
      </c>
      <c r="O684">
        <v>547.1</v>
      </c>
      <c r="P684">
        <v>0</v>
      </c>
      <c r="Q684">
        <f>tblMoeHistory[[#This Row],[Amount of IDEA Part B, Section 611 award]]+tblMoeHistory[[#This Row],[Amount of IDEA Part B, Section 619 award]]</f>
        <v>547.1</v>
      </c>
      <c r="U6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4" t="str">
        <f>IF(OR(IFERROR(SEARCH("Met",tblMoeHistory[[#This Row],[State and Local Per Capita Result]]),0)&gt;0,IFERROR(SEARCH("Met",tblMoeHistory[[#This Row],[State and Local Total Result]]),0)&gt;0),"Met","Not Met")</f>
        <v>Met</v>
      </c>
    </row>
    <row r="685" spans="1:22" x14ac:dyDescent="0.35">
      <c r="A685" t="s">
        <v>114</v>
      </c>
      <c r="B685">
        <v>2057</v>
      </c>
      <c r="C685" t="s">
        <v>31</v>
      </c>
      <c r="D685">
        <v>880</v>
      </c>
      <c r="E685">
        <v>5212918.5</v>
      </c>
      <c r="F685">
        <v>942590.94</v>
      </c>
      <c r="G685">
        <f>tblMoeHistory[[#This Row],[LEA State and Local Amount]]+tblMoeHistory[[#This Row],[ESD State and Local Amount]]</f>
        <v>6155509.4399999995</v>
      </c>
      <c r="H685">
        <v>0</v>
      </c>
      <c r="I685" t="s">
        <v>241</v>
      </c>
      <c r="J685">
        <f>IFERROR(tblMoeHistory[[#This Row],[LEA State and Local Amount]]/tblMoeHistory[[#This Row],[Child Count]],0)</f>
        <v>5923.7710227272728</v>
      </c>
      <c r="K685">
        <f>IFERROR(tblMoeHistory[[#This Row],[ESD State and Local Amount]]/tblMoeHistory[[#This Row],[Child Count]],0)</f>
        <v>1071.126068181818</v>
      </c>
      <c r="L685">
        <f>IFERROR(tblMoeHistory[[#This Row],[State and Local Total Amount]]/tblMoeHistory[[#This Row],[Child Count]],0)</f>
        <v>6994.8970909090904</v>
      </c>
      <c r="M685">
        <v>0</v>
      </c>
      <c r="N685" t="s">
        <v>241</v>
      </c>
      <c r="O685">
        <v>1152579</v>
      </c>
      <c r="P685">
        <v>9185.18</v>
      </c>
      <c r="Q685">
        <f>tblMoeHistory[[#This Row],[Amount of IDEA Part B, Section 611 award]]+tblMoeHistory[[#This Row],[Amount of IDEA Part B, Section 619 award]]</f>
        <v>1161764.18</v>
      </c>
      <c r="U6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5" t="str">
        <f>IF(OR(IFERROR(SEARCH("Met",tblMoeHistory[[#This Row],[State and Local Per Capita Result]]),0)&gt;0,IFERROR(SEARCH("Met",tblMoeHistory[[#This Row],[State and Local Total Result]]),0)&gt;0),"Met","Not Met")</f>
        <v>Met</v>
      </c>
    </row>
    <row r="686" spans="1:22" x14ac:dyDescent="0.35">
      <c r="A686" t="s">
        <v>115</v>
      </c>
      <c r="B686">
        <v>2056</v>
      </c>
      <c r="C686" t="s">
        <v>31</v>
      </c>
      <c r="D686">
        <v>510</v>
      </c>
      <c r="E686">
        <v>3215724.31</v>
      </c>
      <c r="F686">
        <v>107355.57</v>
      </c>
      <c r="G686">
        <f>tblMoeHistory[[#This Row],[LEA State and Local Amount]]+tblMoeHistory[[#This Row],[ESD State and Local Amount]]</f>
        <v>3323079.88</v>
      </c>
      <c r="H686">
        <v>0</v>
      </c>
      <c r="I686" t="s">
        <v>241</v>
      </c>
      <c r="J686">
        <f>IFERROR(tblMoeHistory[[#This Row],[LEA State and Local Amount]]/tblMoeHistory[[#This Row],[Child Count]],0)</f>
        <v>6305.3417843137258</v>
      </c>
      <c r="K686">
        <f>IFERROR(tblMoeHistory[[#This Row],[ESD State and Local Amount]]/tblMoeHistory[[#This Row],[Child Count]],0)</f>
        <v>210.50111764705883</v>
      </c>
      <c r="L686">
        <f>IFERROR(tblMoeHistory[[#This Row],[State and Local Total Amount]]/tblMoeHistory[[#This Row],[Child Count]],0)</f>
        <v>6515.8429019607838</v>
      </c>
      <c r="M686">
        <v>0</v>
      </c>
      <c r="N686" t="s">
        <v>241</v>
      </c>
      <c r="O686">
        <v>609463.37</v>
      </c>
      <c r="P686">
        <v>7020.47</v>
      </c>
      <c r="Q686">
        <f>tblMoeHistory[[#This Row],[Amount of IDEA Part B, Section 611 award]]+tblMoeHistory[[#This Row],[Amount of IDEA Part B, Section 619 award]]</f>
        <v>616483.83999999997</v>
      </c>
      <c r="U6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6" t="str">
        <f>IF(OR(IFERROR(SEARCH("Met",tblMoeHistory[[#This Row],[State and Local Per Capita Result]]),0)&gt;0,IFERROR(SEARCH("Met",tblMoeHistory[[#This Row],[State and Local Total Result]]),0)&gt;0),"Met","Not Met")</f>
        <v>Met</v>
      </c>
    </row>
    <row r="687" spans="1:22" x14ac:dyDescent="0.35">
      <c r="A687" t="s">
        <v>116</v>
      </c>
      <c r="B687">
        <v>2262</v>
      </c>
      <c r="C687" t="s">
        <v>31</v>
      </c>
      <c r="D687">
        <v>85</v>
      </c>
      <c r="E687">
        <v>506265.48</v>
      </c>
      <c r="F687">
        <v>67338</v>
      </c>
      <c r="G687">
        <f>tblMoeHistory[[#This Row],[LEA State and Local Amount]]+tblMoeHistory[[#This Row],[ESD State and Local Amount]]</f>
        <v>573603.48</v>
      </c>
      <c r="H687">
        <v>0</v>
      </c>
      <c r="I687" t="s">
        <v>240</v>
      </c>
      <c r="J687">
        <f>IFERROR(tblMoeHistory[[#This Row],[LEA State and Local Amount]]/tblMoeHistory[[#This Row],[Child Count]],0)</f>
        <v>5956.0644705882351</v>
      </c>
      <c r="K687">
        <f>IFERROR(tblMoeHistory[[#This Row],[ESD State and Local Amount]]/tblMoeHistory[[#This Row],[Child Count]],0)</f>
        <v>792.21176470588239</v>
      </c>
      <c r="L687">
        <f>IFERROR(tblMoeHistory[[#This Row],[State and Local Total Amount]]/tblMoeHistory[[#This Row],[Child Count]],0)</f>
        <v>6748.2762352941172</v>
      </c>
      <c r="M687">
        <v>0</v>
      </c>
      <c r="N687" t="s">
        <v>240</v>
      </c>
      <c r="O687">
        <v>73108.78</v>
      </c>
      <c r="P687">
        <v>1961.28</v>
      </c>
      <c r="Q687">
        <f>tblMoeHistory[[#This Row],[Amount of IDEA Part B, Section 611 award]]+tblMoeHistory[[#This Row],[Amount of IDEA Part B, Section 619 award]]</f>
        <v>75070.06</v>
      </c>
      <c r="U6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7" t="str">
        <f>IF(OR(IFERROR(SEARCH("Met",tblMoeHistory[[#This Row],[State and Local Per Capita Result]]),0)&gt;0,IFERROR(SEARCH("Met",tblMoeHistory[[#This Row],[State and Local Total Result]]),0)&gt;0),"Met","Not Met")</f>
        <v>Not Met</v>
      </c>
    </row>
    <row r="688" spans="1:22" x14ac:dyDescent="0.35">
      <c r="A688" t="s">
        <v>117</v>
      </c>
      <c r="B688">
        <v>2212</v>
      </c>
      <c r="C688" t="s">
        <v>31</v>
      </c>
      <c r="D688">
        <v>278</v>
      </c>
      <c r="E688">
        <v>2164007.5499999998</v>
      </c>
      <c r="F688">
        <v>307151.69</v>
      </c>
      <c r="G688">
        <f>tblMoeHistory[[#This Row],[LEA State and Local Amount]]+tblMoeHistory[[#This Row],[ESD State and Local Amount]]</f>
        <v>2471159.2399999998</v>
      </c>
      <c r="H688">
        <v>0</v>
      </c>
      <c r="I688" t="s">
        <v>241</v>
      </c>
      <c r="J688">
        <f>IFERROR(tblMoeHistory[[#This Row],[LEA State and Local Amount]]/tblMoeHistory[[#This Row],[Child Count]],0)</f>
        <v>7784.1998201438846</v>
      </c>
      <c r="K688">
        <f>IFERROR(tblMoeHistory[[#This Row],[ESD State and Local Amount]]/tblMoeHistory[[#This Row],[Child Count]],0)</f>
        <v>1104.8621942446043</v>
      </c>
      <c r="L688">
        <f>IFERROR(tblMoeHistory[[#This Row],[State and Local Total Amount]]/tblMoeHistory[[#This Row],[Child Count]],0)</f>
        <v>8889.062014388488</v>
      </c>
      <c r="M688">
        <v>0</v>
      </c>
      <c r="N688" t="s">
        <v>241</v>
      </c>
      <c r="O688">
        <v>404747.89</v>
      </c>
      <c r="P688">
        <v>2101.37</v>
      </c>
      <c r="Q688">
        <f>tblMoeHistory[[#This Row],[Amount of IDEA Part B, Section 611 award]]+tblMoeHistory[[#This Row],[Amount of IDEA Part B, Section 619 award]]</f>
        <v>406849.26</v>
      </c>
      <c r="U6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8" t="str">
        <f>IF(OR(IFERROR(SEARCH("Met",tblMoeHistory[[#This Row],[State and Local Per Capita Result]]),0)&gt;0,IFERROR(SEARCH("Met",tblMoeHistory[[#This Row],[State and Local Total Result]]),0)&gt;0),"Met","Not Met")</f>
        <v>Met</v>
      </c>
    </row>
    <row r="689" spans="1:22" x14ac:dyDescent="0.35">
      <c r="A689" t="s">
        <v>118</v>
      </c>
      <c r="B689">
        <v>2059</v>
      </c>
      <c r="C689" t="s">
        <v>31</v>
      </c>
      <c r="D689">
        <v>91</v>
      </c>
      <c r="E689">
        <v>281019.31</v>
      </c>
      <c r="F689">
        <v>240500</v>
      </c>
      <c r="G689">
        <f>tblMoeHistory[[#This Row],[LEA State and Local Amount]]+tblMoeHistory[[#This Row],[ESD State and Local Amount]]</f>
        <v>521519.31</v>
      </c>
      <c r="H689">
        <v>0</v>
      </c>
      <c r="I689" t="s">
        <v>241</v>
      </c>
      <c r="J689">
        <f>IFERROR(tblMoeHistory[[#This Row],[LEA State and Local Amount]]/tblMoeHistory[[#This Row],[Child Count]],0)</f>
        <v>3088.1242857142856</v>
      </c>
      <c r="K689">
        <f>IFERROR(tblMoeHistory[[#This Row],[ESD State and Local Amount]]/tblMoeHistory[[#This Row],[Child Count]],0)</f>
        <v>2642.8571428571427</v>
      </c>
      <c r="L689">
        <f>IFERROR(tblMoeHistory[[#This Row],[State and Local Total Amount]]/tblMoeHistory[[#This Row],[Child Count]],0)</f>
        <v>5730.9814285714283</v>
      </c>
      <c r="M689">
        <v>0</v>
      </c>
      <c r="N689" t="s">
        <v>241</v>
      </c>
      <c r="O689">
        <v>115957.53</v>
      </c>
      <c r="P689">
        <v>700.46</v>
      </c>
      <c r="Q689">
        <f>tblMoeHistory[[#This Row],[Amount of IDEA Part B, Section 611 award]]+tblMoeHistory[[#This Row],[Amount of IDEA Part B, Section 619 award]]</f>
        <v>116657.99</v>
      </c>
      <c r="U6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9" t="str">
        <f>IF(OR(IFERROR(SEARCH("Met",tblMoeHistory[[#This Row],[State and Local Per Capita Result]]),0)&gt;0,IFERROR(SEARCH("Met",tblMoeHistory[[#This Row],[State and Local Total Result]]),0)&gt;0),"Met","Not Met")</f>
        <v>Met</v>
      </c>
    </row>
    <row r="690" spans="1:22" x14ac:dyDescent="0.35">
      <c r="A690" t="s">
        <v>119</v>
      </c>
      <c r="B690">
        <v>1923</v>
      </c>
      <c r="C690" t="s">
        <v>31</v>
      </c>
      <c r="D690">
        <v>582</v>
      </c>
      <c r="E690">
        <v>9033671.7400000002</v>
      </c>
      <c r="F690">
        <v>320462</v>
      </c>
      <c r="G690">
        <f>tblMoeHistory[[#This Row],[LEA State and Local Amount]]+tblMoeHistory[[#This Row],[ESD State and Local Amount]]</f>
        <v>9354133.7400000002</v>
      </c>
      <c r="H690">
        <v>0</v>
      </c>
      <c r="I690" t="s">
        <v>241</v>
      </c>
      <c r="J690">
        <f>IFERROR(tblMoeHistory[[#This Row],[LEA State and Local Amount]]/tblMoeHistory[[#This Row],[Child Count]],0)</f>
        <v>15521.772749140893</v>
      </c>
      <c r="K690">
        <f>IFERROR(tblMoeHistory[[#This Row],[ESD State and Local Amount]]/tblMoeHistory[[#This Row],[Child Count]],0)</f>
        <v>550.62199312714779</v>
      </c>
      <c r="L690">
        <f>IFERROR(tblMoeHistory[[#This Row],[State and Local Total Amount]]/tblMoeHistory[[#This Row],[Child Count]],0)</f>
        <v>16072.394742268041</v>
      </c>
      <c r="M690">
        <v>0</v>
      </c>
      <c r="N690" t="s">
        <v>241</v>
      </c>
      <c r="O690">
        <v>909773.55</v>
      </c>
      <c r="P690">
        <v>3555.53</v>
      </c>
      <c r="Q690">
        <f>tblMoeHistory[[#This Row],[Amount of IDEA Part B, Section 611 award]]+tblMoeHistory[[#This Row],[Amount of IDEA Part B, Section 619 award]]</f>
        <v>913329.08000000007</v>
      </c>
      <c r="U6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0" t="str">
        <f>IF(OR(IFERROR(SEARCH("Met",tblMoeHistory[[#This Row],[State and Local Per Capita Result]]),0)&gt;0,IFERROR(SEARCH("Met",tblMoeHistory[[#This Row],[State and Local Total Result]]),0)&gt;0),"Met","Not Met")</f>
        <v>Met</v>
      </c>
    </row>
    <row r="691" spans="1:22" x14ac:dyDescent="0.35">
      <c r="A691" t="s">
        <v>120</v>
      </c>
      <c r="B691">
        <v>2101</v>
      </c>
      <c r="C691" t="s">
        <v>31</v>
      </c>
      <c r="D691">
        <v>611</v>
      </c>
      <c r="E691">
        <v>4108155.42</v>
      </c>
      <c r="F691">
        <v>561579</v>
      </c>
      <c r="G691">
        <f>tblMoeHistory[[#This Row],[LEA State and Local Amount]]+tblMoeHistory[[#This Row],[ESD State and Local Amount]]</f>
        <v>4669734.42</v>
      </c>
      <c r="H691">
        <v>0</v>
      </c>
      <c r="I691" t="s">
        <v>241</v>
      </c>
      <c r="J691">
        <f>IFERROR(tblMoeHistory[[#This Row],[LEA State and Local Amount]]/tblMoeHistory[[#This Row],[Child Count]],0)</f>
        <v>6723.6586252045827</v>
      </c>
      <c r="K691">
        <f>IFERROR(tblMoeHistory[[#This Row],[ESD State and Local Amount]]/tblMoeHistory[[#This Row],[Child Count]],0)</f>
        <v>919.11456628477902</v>
      </c>
      <c r="L691">
        <f>IFERROR(tblMoeHistory[[#This Row],[State and Local Total Amount]]/tblMoeHistory[[#This Row],[Child Count]],0)</f>
        <v>7642.773191489362</v>
      </c>
      <c r="M691">
        <v>0</v>
      </c>
      <c r="N691" t="s">
        <v>241</v>
      </c>
      <c r="O691">
        <v>720556.18</v>
      </c>
      <c r="P691">
        <v>5776.36</v>
      </c>
      <c r="Q691">
        <f>tblMoeHistory[[#This Row],[Amount of IDEA Part B, Section 611 award]]+tblMoeHistory[[#This Row],[Amount of IDEA Part B, Section 619 award]]</f>
        <v>726332.54</v>
      </c>
      <c r="U6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1" t="str">
        <f>IF(OR(IFERROR(SEARCH("Met",tblMoeHistory[[#This Row],[State and Local Per Capita Result]]),0)&gt;0,IFERROR(SEARCH("Met",tblMoeHistory[[#This Row],[State and Local Total Result]]),0)&gt;0),"Met","Not Met")</f>
        <v>Met</v>
      </c>
    </row>
    <row r="692" spans="1:22" x14ac:dyDescent="0.35">
      <c r="A692" t="s">
        <v>121</v>
      </c>
      <c r="B692">
        <v>2097</v>
      </c>
      <c r="C692" t="s">
        <v>31</v>
      </c>
      <c r="D692">
        <v>662</v>
      </c>
      <c r="E692">
        <v>5910993.5199999996</v>
      </c>
      <c r="F692">
        <v>493324</v>
      </c>
      <c r="G692">
        <f>tblMoeHistory[[#This Row],[LEA State and Local Amount]]+tblMoeHistory[[#This Row],[ESD State and Local Amount]]</f>
        <v>6404317.5199999996</v>
      </c>
      <c r="H692">
        <v>0</v>
      </c>
      <c r="I692" t="s">
        <v>241</v>
      </c>
      <c r="J692">
        <f>IFERROR(tblMoeHistory[[#This Row],[LEA State and Local Amount]]/tblMoeHistory[[#This Row],[Child Count]],0)</f>
        <v>8928.9932326283979</v>
      </c>
      <c r="K692">
        <f>IFERROR(tblMoeHistory[[#This Row],[ESD State and Local Amount]]/tblMoeHistory[[#This Row],[Child Count]],0)</f>
        <v>745.20241691842898</v>
      </c>
      <c r="L692">
        <f>IFERROR(tblMoeHistory[[#This Row],[State and Local Total Amount]]/tblMoeHistory[[#This Row],[Child Count]],0)</f>
        <v>9674.1956495468276</v>
      </c>
      <c r="M692">
        <v>0</v>
      </c>
      <c r="N692" t="s">
        <v>241</v>
      </c>
      <c r="O692">
        <v>891207.24</v>
      </c>
      <c r="P692">
        <v>13459.73</v>
      </c>
      <c r="Q692">
        <f>tblMoeHistory[[#This Row],[Amount of IDEA Part B, Section 611 award]]+tblMoeHistory[[#This Row],[Amount of IDEA Part B, Section 619 award]]</f>
        <v>904666.97</v>
      </c>
      <c r="U6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2" t="str">
        <f>IF(OR(IFERROR(SEARCH("Met",tblMoeHistory[[#This Row],[State and Local Per Capita Result]]),0)&gt;0,IFERROR(SEARCH("Met",tblMoeHistory[[#This Row],[State and Local Total Result]]),0)&gt;0),"Met","Not Met")</f>
        <v>Met</v>
      </c>
    </row>
    <row r="693" spans="1:22" x14ac:dyDescent="0.35">
      <c r="A693" t="s">
        <v>122</v>
      </c>
      <c r="B693">
        <v>2012</v>
      </c>
      <c r="C693" t="s">
        <v>31</v>
      </c>
      <c r="D693">
        <v>2</v>
      </c>
      <c r="E693">
        <v>27351.200000000001</v>
      </c>
      <c r="F693">
        <v>65341.440000000002</v>
      </c>
      <c r="G693">
        <f>tblMoeHistory[[#This Row],[LEA State and Local Amount]]+tblMoeHistory[[#This Row],[ESD State and Local Amount]]</f>
        <v>92692.64</v>
      </c>
      <c r="H693">
        <v>0</v>
      </c>
      <c r="I693" t="s">
        <v>242</v>
      </c>
      <c r="J693">
        <f>IFERROR(tblMoeHistory[[#This Row],[LEA State and Local Amount]]/tblMoeHistory[[#This Row],[Child Count]],0)</f>
        <v>13675.6</v>
      </c>
      <c r="K693">
        <f>IFERROR(tblMoeHistory[[#This Row],[ESD State and Local Amount]]/tblMoeHistory[[#This Row],[Child Count]],0)</f>
        <v>32670.720000000001</v>
      </c>
      <c r="L693">
        <f>IFERROR(tblMoeHistory[[#This Row],[State and Local Total Amount]]/tblMoeHistory[[#This Row],[Child Count]],0)</f>
        <v>46346.32</v>
      </c>
      <c r="M693">
        <v>0</v>
      </c>
      <c r="N693" t="s">
        <v>241</v>
      </c>
      <c r="O693">
        <v>3894.8</v>
      </c>
      <c r="P693">
        <v>0</v>
      </c>
      <c r="Q693">
        <f>tblMoeHistory[[#This Row],[Amount of IDEA Part B, Section 611 award]]+tblMoeHistory[[#This Row],[Amount of IDEA Part B, Section 619 award]]</f>
        <v>3894.8</v>
      </c>
      <c r="S693">
        <v>43329.09</v>
      </c>
      <c r="T693">
        <v>43329.09</v>
      </c>
      <c r="U6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3" t="str">
        <f>IF(OR(IFERROR(SEARCH("Met",tblMoeHistory[[#This Row],[State and Local Per Capita Result]]),0)&gt;0,IFERROR(SEARCH("Met",tblMoeHistory[[#This Row],[State and Local Total Result]]),0)&gt;0),"Met","Not Met")</f>
        <v>Met</v>
      </c>
    </row>
    <row r="694" spans="1:22" x14ac:dyDescent="0.35">
      <c r="A694" t="s">
        <v>123</v>
      </c>
      <c r="B694">
        <v>2092</v>
      </c>
      <c r="C694" t="s">
        <v>31</v>
      </c>
      <c r="D694">
        <v>48</v>
      </c>
      <c r="E694">
        <v>416743.41</v>
      </c>
      <c r="F694">
        <v>185541</v>
      </c>
      <c r="G694">
        <f>tblMoeHistory[[#This Row],[LEA State and Local Amount]]+tblMoeHistory[[#This Row],[ESD State and Local Amount]]</f>
        <v>602284.40999999992</v>
      </c>
      <c r="H694">
        <v>0</v>
      </c>
      <c r="I694" t="s">
        <v>241</v>
      </c>
      <c r="J694">
        <f>IFERROR(tblMoeHistory[[#This Row],[LEA State and Local Amount]]/tblMoeHistory[[#This Row],[Child Count]],0)</f>
        <v>8682.1543750000001</v>
      </c>
      <c r="K694">
        <f>IFERROR(tblMoeHistory[[#This Row],[ESD State and Local Amount]]/tblMoeHistory[[#This Row],[Child Count]],0)</f>
        <v>3865.4375</v>
      </c>
      <c r="L694">
        <f>IFERROR(tblMoeHistory[[#This Row],[State and Local Total Amount]]/tblMoeHistory[[#This Row],[Child Count]],0)</f>
        <v>12547.591874999998</v>
      </c>
      <c r="M694">
        <v>0</v>
      </c>
      <c r="N694" t="s">
        <v>241</v>
      </c>
      <c r="O694">
        <v>58979.07</v>
      </c>
      <c r="P694">
        <v>350.23</v>
      </c>
      <c r="Q694">
        <f>tblMoeHistory[[#This Row],[Amount of IDEA Part B, Section 611 award]]+tblMoeHistory[[#This Row],[Amount of IDEA Part B, Section 619 award]]</f>
        <v>59329.3</v>
      </c>
      <c r="U6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4" t="str">
        <f>IF(OR(IFERROR(SEARCH("Met",tblMoeHistory[[#This Row],[State and Local Per Capita Result]]),0)&gt;0,IFERROR(SEARCH("Met",tblMoeHistory[[#This Row],[State and Local Total Result]]),0)&gt;0),"Met","Not Met")</f>
        <v>Met</v>
      </c>
    </row>
    <row r="695" spans="1:22" x14ac:dyDescent="0.35">
      <c r="A695" t="s">
        <v>124</v>
      </c>
      <c r="B695">
        <v>2112</v>
      </c>
      <c r="C695" t="s">
        <v>31</v>
      </c>
      <c r="D695">
        <v>0</v>
      </c>
      <c r="E695">
        <v>0</v>
      </c>
      <c r="F695">
        <v>283.62</v>
      </c>
      <c r="G695">
        <f>tblMoeHistory[[#This Row],[LEA State and Local Amount]]+tblMoeHistory[[#This Row],[ESD State and Local Amount]]</f>
        <v>283.62</v>
      </c>
      <c r="H695">
        <v>0</v>
      </c>
      <c r="I695" t="s">
        <v>240</v>
      </c>
      <c r="J695">
        <f>IFERROR(tblMoeHistory[[#This Row],[LEA State and Local Amount]]/tblMoeHistory[[#This Row],[Child Count]],0)</f>
        <v>0</v>
      </c>
      <c r="K695">
        <f>IFERROR(tblMoeHistory[[#This Row],[ESD State and Local Amount]]/tblMoeHistory[[#This Row],[Child Count]],0)</f>
        <v>0</v>
      </c>
      <c r="L695">
        <f>IFERROR(tblMoeHistory[[#This Row],[State and Local Total Amount]]/tblMoeHistory[[#This Row],[Child Count]],0)</f>
        <v>0</v>
      </c>
      <c r="M695">
        <v>0</v>
      </c>
      <c r="N695" t="s">
        <v>241</v>
      </c>
      <c r="O695">
        <v>1125.75</v>
      </c>
      <c r="P695">
        <v>0</v>
      </c>
      <c r="Q695">
        <f>tblMoeHistory[[#This Row],[Amount of IDEA Part B, Section 611 award]]+tblMoeHistory[[#This Row],[Amount of IDEA Part B, Section 619 award]]</f>
        <v>1125.75</v>
      </c>
      <c r="U6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5" t="str">
        <f>IF(OR(IFERROR(SEARCH("Met",tblMoeHistory[[#This Row],[State and Local Per Capita Result]]),0)&gt;0,IFERROR(SEARCH("Met",tblMoeHistory[[#This Row],[State and Local Total Result]]),0)&gt;0),"Met","Not Met")</f>
        <v>Met</v>
      </c>
    </row>
    <row r="696" spans="1:22" x14ac:dyDescent="0.35">
      <c r="A696" t="s">
        <v>125</v>
      </c>
      <c r="B696">
        <v>2085</v>
      </c>
      <c r="C696" t="s">
        <v>31</v>
      </c>
      <c r="D696">
        <v>36</v>
      </c>
      <c r="E696">
        <v>174123.83</v>
      </c>
      <c r="F696">
        <v>49859</v>
      </c>
      <c r="G696">
        <f>tblMoeHistory[[#This Row],[LEA State and Local Amount]]+tblMoeHistory[[#This Row],[ESD State and Local Amount]]</f>
        <v>223982.83</v>
      </c>
      <c r="H696">
        <v>0</v>
      </c>
      <c r="I696" t="s">
        <v>240</v>
      </c>
      <c r="J696">
        <f>IFERROR(tblMoeHistory[[#This Row],[LEA State and Local Amount]]/tblMoeHistory[[#This Row],[Child Count]],0)</f>
        <v>4836.7730555555554</v>
      </c>
      <c r="K696">
        <f>IFERROR(tblMoeHistory[[#This Row],[ESD State and Local Amount]]/tblMoeHistory[[#This Row],[Child Count]],0)</f>
        <v>1384.9722222222222</v>
      </c>
      <c r="L696">
        <f>IFERROR(tblMoeHistory[[#This Row],[State and Local Total Amount]]/tblMoeHistory[[#This Row],[Child Count]],0)</f>
        <v>6221.7452777777771</v>
      </c>
      <c r="M696">
        <v>0</v>
      </c>
      <c r="N696" t="s">
        <v>240</v>
      </c>
      <c r="O696">
        <v>51763.57</v>
      </c>
      <c r="P696">
        <v>466.97</v>
      </c>
      <c r="Q696">
        <f>tblMoeHistory[[#This Row],[Amount of IDEA Part B, Section 611 award]]+tblMoeHistory[[#This Row],[Amount of IDEA Part B, Section 619 award]]</f>
        <v>52230.54</v>
      </c>
      <c r="U6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6" t="str">
        <f>IF(OR(IFERROR(SEARCH("Met",tblMoeHistory[[#This Row],[State and Local Per Capita Result]]),0)&gt;0,IFERROR(SEARCH("Met",tblMoeHistory[[#This Row],[State and Local Total Result]]),0)&gt;0),"Met","Not Met")</f>
        <v>Not Met</v>
      </c>
    </row>
    <row r="697" spans="1:22" x14ac:dyDescent="0.35">
      <c r="A697" t="s">
        <v>126</v>
      </c>
      <c r="B697">
        <v>2094</v>
      </c>
      <c r="C697" t="s">
        <v>31</v>
      </c>
      <c r="D697">
        <v>35</v>
      </c>
      <c r="E697">
        <v>168375.92</v>
      </c>
      <c r="F697">
        <v>65748</v>
      </c>
      <c r="G697">
        <f>tblMoeHistory[[#This Row],[LEA State and Local Amount]]+tblMoeHistory[[#This Row],[ESD State and Local Amount]]</f>
        <v>234123.92</v>
      </c>
      <c r="H697">
        <v>0</v>
      </c>
      <c r="I697" t="s">
        <v>240</v>
      </c>
      <c r="J697">
        <f>IFERROR(tblMoeHistory[[#This Row],[LEA State and Local Amount]]/tblMoeHistory[[#This Row],[Child Count]],0)</f>
        <v>4810.7405714285715</v>
      </c>
      <c r="K697">
        <f>IFERROR(tblMoeHistory[[#This Row],[ESD State and Local Amount]]/tblMoeHistory[[#This Row],[Child Count]],0)</f>
        <v>1878.5142857142857</v>
      </c>
      <c r="L697">
        <f>IFERROR(tblMoeHistory[[#This Row],[State and Local Total Amount]]/tblMoeHistory[[#This Row],[Child Count]],0)</f>
        <v>6689.2548571428579</v>
      </c>
      <c r="M697">
        <v>0</v>
      </c>
      <c r="N697" t="s">
        <v>240</v>
      </c>
      <c r="O697">
        <v>39109.089999999997</v>
      </c>
      <c r="P697">
        <v>400.26</v>
      </c>
      <c r="Q697">
        <f>tblMoeHistory[[#This Row],[Amount of IDEA Part B, Section 611 award]]+tblMoeHistory[[#This Row],[Amount of IDEA Part B, Section 619 award]]</f>
        <v>39509.35</v>
      </c>
      <c r="U6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7" t="str">
        <f>IF(OR(IFERROR(SEARCH("Met",tblMoeHistory[[#This Row],[State and Local Per Capita Result]]),0)&gt;0,IFERROR(SEARCH("Met",tblMoeHistory[[#This Row],[State and Local Total Result]]),0)&gt;0),"Met","Not Met")</f>
        <v>Not Met</v>
      </c>
    </row>
    <row r="698" spans="1:22" x14ac:dyDescent="0.35">
      <c r="A698" t="s">
        <v>127</v>
      </c>
      <c r="B698">
        <v>2090</v>
      </c>
      <c r="C698" t="s">
        <v>31</v>
      </c>
      <c r="D698">
        <v>40</v>
      </c>
      <c r="E698">
        <v>237310.66</v>
      </c>
      <c r="F698">
        <v>122562</v>
      </c>
      <c r="G698">
        <f>tblMoeHistory[[#This Row],[LEA State and Local Amount]]+tblMoeHistory[[#This Row],[ESD State and Local Amount]]</f>
        <v>359872.66000000003</v>
      </c>
      <c r="H698">
        <v>0</v>
      </c>
      <c r="I698" t="s">
        <v>241</v>
      </c>
      <c r="J698">
        <f>IFERROR(tblMoeHistory[[#This Row],[LEA State and Local Amount]]/tblMoeHistory[[#This Row],[Child Count]],0)</f>
        <v>5932.7664999999997</v>
      </c>
      <c r="K698">
        <f>IFERROR(tblMoeHistory[[#This Row],[ESD State and Local Amount]]/tblMoeHistory[[#This Row],[Child Count]],0)</f>
        <v>3064.05</v>
      </c>
      <c r="L698">
        <f>IFERROR(tblMoeHistory[[#This Row],[State and Local Total Amount]]/tblMoeHistory[[#This Row],[Child Count]],0)</f>
        <v>8996.8165000000008</v>
      </c>
      <c r="M698">
        <v>0</v>
      </c>
      <c r="N698" t="s">
        <v>240</v>
      </c>
      <c r="O698">
        <v>44502.16</v>
      </c>
      <c r="P698">
        <v>0</v>
      </c>
      <c r="Q698">
        <f>tblMoeHistory[[#This Row],[Amount of IDEA Part B, Section 611 award]]+tblMoeHistory[[#This Row],[Amount of IDEA Part B, Section 619 award]]</f>
        <v>44502.16</v>
      </c>
      <c r="U6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8" t="str">
        <f>IF(OR(IFERROR(SEARCH("Met",tblMoeHistory[[#This Row],[State and Local Per Capita Result]]),0)&gt;0,IFERROR(SEARCH("Met",tblMoeHistory[[#This Row],[State and Local Total Result]]),0)&gt;0),"Met","Not Met")</f>
        <v>Met</v>
      </c>
    </row>
    <row r="699" spans="1:22" x14ac:dyDescent="0.35">
      <c r="A699" t="s">
        <v>128</v>
      </c>
      <c r="B699">
        <v>2256</v>
      </c>
      <c r="C699" t="s">
        <v>31</v>
      </c>
      <c r="D699">
        <v>819</v>
      </c>
      <c r="E699">
        <v>5799983.7699999996</v>
      </c>
      <c r="F699">
        <v>0</v>
      </c>
      <c r="G699">
        <f>tblMoeHistory[[#This Row],[LEA State and Local Amount]]+tblMoeHistory[[#This Row],[ESD State and Local Amount]]</f>
        <v>5799983.7699999996</v>
      </c>
      <c r="H699">
        <v>0</v>
      </c>
      <c r="I699" t="s">
        <v>241</v>
      </c>
      <c r="J699">
        <f>IFERROR(tblMoeHistory[[#This Row],[LEA State and Local Amount]]/tblMoeHistory[[#This Row],[Child Count]],0)</f>
        <v>7081.7872649572646</v>
      </c>
      <c r="K699">
        <f>IFERROR(tblMoeHistory[[#This Row],[ESD State and Local Amount]]/tblMoeHistory[[#This Row],[Child Count]],0)</f>
        <v>0</v>
      </c>
      <c r="L699">
        <f>IFERROR(tblMoeHistory[[#This Row],[State and Local Total Amount]]/tblMoeHistory[[#This Row],[Child Count]],0)</f>
        <v>7081.7872649572646</v>
      </c>
      <c r="M699">
        <v>0</v>
      </c>
      <c r="N699" t="s">
        <v>241</v>
      </c>
      <c r="O699">
        <v>848595.53</v>
      </c>
      <c r="P699">
        <v>10589.56</v>
      </c>
      <c r="Q699">
        <f>tblMoeHistory[[#This Row],[Amount of IDEA Part B, Section 611 award]]+tblMoeHistory[[#This Row],[Amount of IDEA Part B, Section 619 award]]</f>
        <v>859185.09000000008</v>
      </c>
      <c r="U6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9" t="str">
        <f>IF(OR(IFERROR(SEARCH("Met",tblMoeHistory[[#This Row],[State and Local Per Capita Result]]),0)&gt;0,IFERROR(SEARCH("Met",tblMoeHistory[[#This Row],[State and Local Total Result]]),0)&gt;0),"Met","Not Met")</f>
        <v>Met</v>
      </c>
    </row>
    <row r="700" spans="1:22" x14ac:dyDescent="0.35">
      <c r="A700" t="s">
        <v>129</v>
      </c>
      <c r="B700">
        <v>2048</v>
      </c>
      <c r="C700" t="s">
        <v>31</v>
      </c>
      <c r="D700">
        <v>1574</v>
      </c>
      <c r="E700">
        <v>9382139.0600000005</v>
      </c>
      <c r="F700">
        <v>2945359.39</v>
      </c>
      <c r="G700">
        <f>tblMoeHistory[[#This Row],[LEA State and Local Amount]]+tblMoeHistory[[#This Row],[ESD State and Local Amount]]</f>
        <v>12327498.450000001</v>
      </c>
      <c r="H700">
        <v>0</v>
      </c>
      <c r="I700" t="s">
        <v>241</v>
      </c>
      <c r="J700">
        <f>IFERROR(tblMoeHistory[[#This Row],[LEA State and Local Amount]]/tblMoeHistory[[#This Row],[Child Count]],0)</f>
        <v>5960.6982592121985</v>
      </c>
      <c r="K700">
        <f>IFERROR(tblMoeHistory[[#This Row],[ESD State and Local Amount]]/tblMoeHistory[[#This Row],[Child Count]],0)</f>
        <v>1871.2575540025414</v>
      </c>
      <c r="L700">
        <f>IFERROR(tblMoeHistory[[#This Row],[State and Local Total Amount]]/tblMoeHistory[[#This Row],[Child Count]],0)</f>
        <v>7831.9558132147404</v>
      </c>
      <c r="M700">
        <v>0</v>
      </c>
      <c r="N700" t="s">
        <v>240</v>
      </c>
      <c r="O700">
        <v>1921592.53</v>
      </c>
      <c r="P700">
        <v>21321.02</v>
      </c>
      <c r="Q700">
        <f>tblMoeHistory[[#This Row],[Amount of IDEA Part B, Section 611 award]]+tblMoeHistory[[#This Row],[Amount of IDEA Part B, Section 619 award]]</f>
        <v>1942913.55</v>
      </c>
      <c r="U7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0" t="str">
        <f>IF(OR(IFERROR(SEARCH("Met",tblMoeHistory[[#This Row],[State and Local Per Capita Result]]),0)&gt;0,IFERROR(SEARCH("Met",tblMoeHistory[[#This Row],[State and Local Total Result]]),0)&gt;0),"Met","Not Met")</f>
        <v>Met</v>
      </c>
    </row>
    <row r="701" spans="1:22" x14ac:dyDescent="0.35">
      <c r="A701" t="s">
        <v>130</v>
      </c>
      <c r="B701">
        <v>2205</v>
      </c>
      <c r="C701" t="s">
        <v>31</v>
      </c>
      <c r="D701">
        <v>185</v>
      </c>
      <c r="E701">
        <v>1734688.04</v>
      </c>
      <c r="F701">
        <v>346894.19</v>
      </c>
      <c r="G701">
        <f>tblMoeHistory[[#This Row],[LEA State and Local Amount]]+tblMoeHistory[[#This Row],[ESD State and Local Amount]]</f>
        <v>2081582.23</v>
      </c>
      <c r="H701">
        <v>0</v>
      </c>
      <c r="I701" t="s">
        <v>240</v>
      </c>
      <c r="J701">
        <f>IFERROR(tblMoeHistory[[#This Row],[LEA State and Local Amount]]/tblMoeHistory[[#This Row],[Child Count]],0)</f>
        <v>9376.6921081081091</v>
      </c>
      <c r="K701">
        <f>IFERROR(tblMoeHistory[[#This Row],[ESD State and Local Amount]]/tblMoeHistory[[#This Row],[Child Count]],0)</f>
        <v>1875.1037297297298</v>
      </c>
      <c r="L701">
        <f>IFERROR(tblMoeHistory[[#This Row],[State and Local Total Amount]]/tblMoeHistory[[#This Row],[Child Count]],0)</f>
        <v>11251.795837837837</v>
      </c>
      <c r="M701">
        <v>0</v>
      </c>
      <c r="N701" t="s">
        <v>240</v>
      </c>
      <c r="O701">
        <v>284203.68</v>
      </c>
      <c r="P701">
        <v>3156.08</v>
      </c>
      <c r="Q701">
        <f>tblMoeHistory[[#This Row],[Amount of IDEA Part B, Section 611 award]]+tblMoeHistory[[#This Row],[Amount of IDEA Part B, Section 619 award]]</f>
        <v>287359.76</v>
      </c>
      <c r="U7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1" t="str">
        <f>IF(OR(IFERROR(SEARCH("Met",tblMoeHistory[[#This Row],[State and Local Per Capita Result]]),0)&gt;0,IFERROR(SEARCH("Met",tblMoeHistory[[#This Row],[State and Local Total Result]]),0)&gt;0),"Met","Not Met")</f>
        <v>Not Met</v>
      </c>
    </row>
    <row r="702" spans="1:22" x14ac:dyDescent="0.35">
      <c r="A702" t="s">
        <v>131</v>
      </c>
      <c r="B702">
        <v>2249</v>
      </c>
      <c r="C702" t="s">
        <v>31</v>
      </c>
      <c r="D702">
        <v>5</v>
      </c>
      <c r="E702">
        <v>23402.87</v>
      </c>
      <c r="F702">
        <v>23086</v>
      </c>
      <c r="G702">
        <f>tblMoeHistory[[#This Row],[LEA State and Local Amount]]+tblMoeHistory[[#This Row],[ESD State and Local Amount]]</f>
        <v>46488.869999999995</v>
      </c>
      <c r="H702">
        <v>0</v>
      </c>
      <c r="I702" t="s">
        <v>240</v>
      </c>
      <c r="J702">
        <f>IFERROR(tblMoeHistory[[#This Row],[LEA State and Local Amount]]/tblMoeHistory[[#This Row],[Child Count]],0)</f>
        <v>4680.5739999999996</v>
      </c>
      <c r="K702">
        <f>IFERROR(tblMoeHistory[[#This Row],[ESD State and Local Amount]]/tblMoeHistory[[#This Row],[Child Count]],0)</f>
        <v>4617.2</v>
      </c>
      <c r="L702">
        <f>IFERROR(tblMoeHistory[[#This Row],[State and Local Total Amount]]/tblMoeHistory[[#This Row],[Child Count]],0)</f>
        <v>9297.7739999999994</v>
      </c>
      <c r="M702">
        <v>0</v>
      </c>
      <c r="N702" t="s">
        <v>241</v>
      </c>
      <c r="O702">
        <v>12791.66</v>
      </c>
      <c r="P702">
        <v>0</v>
      </c>
      <c r="Q702">
        <f>tblMoeHistory[[#This Row],[Amount of IDEA Part B, Section 611 award]]+tblMoeHistory[[#This Row],[Amount of IDEA Part B, Section 619 award]]</f>
        <v>12791.66</v>
      </c>
      <c r="U7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2" t="str">
        <f>IF(OR(IFERROR(SEARCH("Met",tblMoeHistory[[#This Row],[State and Local Per Capita Result]]),0)&gt;0,IFERROR(SEARCH("Met",tblMoeHistory[[#This Row],[State and Local Total Result]]),0)&gt;0),"Met","Not Met")</f>
        <v>Met</v>
      </c>
    </row>
    <row r="703" spans="1:22" x14ac:dyDescent="0.35">
      <c r="A703" t="s">
        <v>132</v>
      </c>
      <c r="B703">
        <v>1925</v>
      </c>
      <c r="C703" t="s">
        <v>31</v>
      </c>
      <c r="D703">
        <v>405</v>
      </c>
      <c r="E703">
        <v>3086064.55</v>
      </c>
      <c r="F703">
        <v>441620</v>
      </c>
      <c r="G703">
        <f>tblMoeHistory[[#This Row],[LEA State and Local Amount]]+tblMoeHistory[[#This Row],[ESD State and Local Amount]]</f>
        <v>3527684.55</v>
      </c>
      <c r="H703">
        <v>0</v>
      </c>
      <c r="I703" t="s">
        <v>240</v>
      </c>
      <c r="J703">
        <f>IFERROR(tblMoeHistory[[#This Row],[LEA State and Local Amount]]/tblMoeHistory[[#This Row],[Child Count]],0)</f>
        <v>7619.912469135802</v>
      </c>
      <c r="K703">
        <f>IFERROR(tblMoeHistory[[#This Row],[ESD State and Local Amount]]/tblMoeHistory[[#This Row],[Child Count]],0)</f>
        <v>1090.4197530864199</v>
      </c>
      <c r="L703">
        <f>IFERROR(tblMoeHistory[[#This Row],[State and Local Total Amount]]/tblMoeHistory[[#This Row],[Child Count]],0)</f>
        <v>8710.3322222222214</v>
      </c>
      <c r="M703">
        <v>0</v>
      </c>
      <c r="N703" t="s">
        <v>240</v>
      </c>
      <c r="O703">
        <v>408059.34</v>
      </c>
      <c r="P703">
        <v>3117.34</v>
      </c>
      <c r="Q703">
        <f>tblMoeHistory[[#This Row],[Amount of IDEA Part B, Section 611 award]]+tblMoeHistory[[#This Row],[Amount of IDEA Part B, Section 619 award]]</f>
        <v>411176.68000000005</v>
      </c>
      <c r="U7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3" t="str">
        <f>IF(OR(IFERROR(SEARCH("Met",tblMoeHistory[[#This Row],[State and Local Per Capita Result]]),0)&gt;0,IFERROR(SEARCH("Met",tblMoeHistory[[#This Row],[State and Local Total Result]]),0)&gt;0),"Met","Not Met")</f>
        <v>Not Met</v>
      </c>
    </row>
    <row r="704" spans="1:22" x14ac:dyDescent="0.35">
      <c r="A704" t="s">
        <v>133</v>
      </c>
      <c r="B704">
        <v>1898</v>
      </c>
      <c r="C704" t="s">
        <v>31</v>
      </c>
      <c r="D704">
        <v>65</v>
      </c>
      <c r="E704">
        <v>661955.43999999994</v>
      </c>
      <c r="F704">
        <v>47810</v>
      </c>
      <c r="G704">
        <f>tblMoeHistory[[#This Row],[LEA State and Local Amount]]+tblMoeHistory[[#This Row],[ESD State and Local Amount]]</f>
        <v>709765.44</v>
      </c>
      <c r="H704">
        <v>0</v>
      </c>
      <c r="I704" t="s">
        <v>240</v>
      </c>
      <c r="J704">
        <f>IFERROR(tblMoeHistory[[#This Row],[LEA State and Local Amount]]/tblMoeHistory[[#This Row],[Child Count]],0)</f>
        <v>10183.929846153846</v>
      </c>
      <c r="K704">
        <f>IFERROR(tblMoeHistory[[#This Row],[ESD State and Local Amount]]/tblMoeHistory[[#This Row],[Child Count]],0)</f>
        <v>735.53846153846155</v>
      </c>
      <c r="L704">
        <f>IFERROR(tblMoeHistory[[#This Row],[State and Local Total Amount]]/tblMoeHistory[[#This Row],[Child Count]],0)</f>
        <v>10919.468307692307</v>
      </c>
      <c r="M704">
        <v>0</v>
      </c>
      <c r="N704" t="s">
        <v>240</v>
      </c>
      <c r="O704">
        <v>65195.45</v>
      </c>
      <c r="P704">
        <v>0</v>
      </c>
      <c r="Q704">
        <f>tblMoeHistory[[#This Row],[Amount of IDEA Part B, Section 611 award]]+tblMoeHistory[[#This Row],[Amount of IDEA Part B, Section 619 award]]</f>
        <v>65195.45</v>
      </c>
      <c r="U7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4" t="str">
        <f>IF(OR(IFERROR(SEARCH("Met",tblMoeHistory[[#This Row],[State and Local Per Capita Result]]),0)&gt;0,IFERROR(SEARCH("Met",tblMoeHistory[[#This Row],[State and Local Total Result]]),0)&gt;0),"Met","Not Met")</f>
        <v>Not Met</v>
      </c>
    </row>
    <row r="705" spans="1:22" x14ac:dyDescent="0.35">
      <c r="A705" t="s">
        <v>134</v>
      </c>
      <c r="B705">
        <v>2010</v>
      </c>
      <c r="C705" t="s">
        <v>31</v>
      </c>
      <c r="D705">
        <v>9</v>
      </c>
      <c r="E705">
        <v>0</v>
      </c>
      <c r="F705">
        <v>102359.53</v>
      </c>
      <c r="G705">
        <f>tblMoeHistory[[#This Row],[LEA State and Local Amount]]+tblMoeHistory[[#This Row],[ESD State and Local Amount]]</f>
        <v>102359.53</v>
      </c>
      <c r="H705">
        <v>0</v>
      </c>
      <c r="I705" t="s">
        <v>241</v>
      </c>
      <c r="J705">
        <f>IFERROR(tblMoeHistory[[#This Row],[LEA State and Local Amount]]/tblMoeHistory[[#This Row],[Child Count]],0)</f>
        <v>0</v>
      </c>
      <c r="K705">
        <f>IFERROR(tblMoeHistory[[#This Row],[ESD State and Local Amount]]/tblMoeHistory[[#This Row],[Child Count]],0)</f>
        <v>11373.281111111111</v>
      </c>
      <c r="L705">
        <f>IFERROR(tblMoeHistory[[#This Row],[State and Local Total Amount]]/tblMoeHistory[[#This Row],[Child Count]],0)</f>
        <v>11373.281111111111</v>
      </c>
      <c r="M705">
        <v>0</v>
      </c>
      <c r="N705" t="s">
        <v>240</v>
      </c>
      <c r="O705">
        <v>7325.04</v>
      </c>
      <c r="P705">
        <v>560.36</v>
      </c>
      <c r="Q705">
        <f>tblMoeHistory[[#This Row],[Amount of IDEA Part B, Section 611 award]]+tblMoeHistory[[#This Row],[Amount of IDEA Part B, Section 619 award]]</f>
        <v>7885.4</v>
      </c>
      <c r="U7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5" t="str">
        <f>IF(OR(IFERROR(SEARCH("Met",tblMoeHistory[[#This Row],[State and Local Per Capita Result]]),0)&gt;0,IFERROR(SEARCH("Met",tblMoeHistory[[#This Row],[State and Local Total Result]]),0)&gt;0),"Met","Not Met")</f>
        <v>Met</v>
      </c>
    </row>
    <row r="706" spans="1:22" x14ac:dyDescent="0.35">
      <c r="A706" t="s">
        <v>135</v>
      </c>
      <c r="B706">
        <v>2147</v>
      </c>
      <c r="C706" t="s">
        <v>31</v>
      </c>
      <c r="D706">
        <v>256</v>
      </c>
      <c r="E706">
        <v>1363829.46</v>
      </c>
      <c r="F706">
        <v>411666.06</v>
      </c>
      <c r="G706">
        <f>tblMoeHistory[[#This Row],[LEA State and Local Amount]]+tblMoeHistory[[#This Row],[ESD State and Local Amount]]</f>
        <v>1775495.52</v>
      </c>
      <c r="H706">
        <v>0</v>
      </c>
      <c r="I706" t="s">
        <v>242</v>
      </c>
      <c r="J706">
        <f>IFERROR(tblMoeHistory[[#This Row],[LEA State and Local Amount]]/tblMoeHistory[[#This Row],[Child Count]],0)</f>
        <v>5327.4588281249999</v>
      </c>
      <c r="K706">
        <f>IFERROR(tblMoeHistory[[#This Row],[ESD State and Local Amount]]/tblMoeHistory[[#This Row],[Child Count]],0)</f>
        <v>1608.070546875</v>
      </c>
      <c r="L706">
        <f>IFERROR(tblMoeHistory[[#This Row],[State and Local Total Amount]]/tblMoeHistory[[#This Row],[Child Count]],0)</f>
        <v>6935.5293750000001</v>
      </c>
      <c r="M706">
        <v>0</v>
      </c>
      <c r="N706" t="s">
        <v>241</v>
      </c>
      <c r="O706">
        <v>317853.67</v>
      </c>
      <c r="P706">
        <v>1541</v>
      </c>
      <c r="Q706">
        <f>tblMoeHistory[[#This Row],[Amount of IDEA Part B, Section 611 award]]+tblMoeHistory[[#This Row],[Amount of IDEA Part B, Section 619 award]]</f>
        <v>319394.67</v>
      </c>
      <c r="S706">
        <v>204482.13</v>
      </c>
      <c r="T706">
        <v>204482.13</v>
      </c>
      <c r="U7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6" t="str">
        <f>IF(OR(IFERROR(SEARCH("Met",tblMoeHistory[[#This Row],[State and Local Per Capita Result]]),0)&gt;0,IFERROR(SEARCH("Met",tblMoeHistory[[#This Row],[State and Local Total Result]]),0)&gt;0),"Met","Not Met")</f>
        <v>Met</v>
      </c>
    </row>
    <row r="707" spans="1:22" x14ac:dyDescent="0.35">
      <c r="A707" t="s">
        <v>136</v>
      </c>
      <c r="B707">
        <v>2145</v>
      </c>
      <c r="C707" t="s">
        <v>31</v>
      </c>
      <c r="D707">
        <v>70</v>
      </c>
      <c r="E707">
        <v>450181.16</v>
      </c>
      <c r="F707">
        <v>58703.519999999997</v>
      </c>
      <c r="G707">
        <f>tblMoeHistory[[#This Row],[LEA State and Local Amount]]+tblMoeHistory[[#This Row],[ESD State and Local Amount]]</f>
        <v>508884.68</v>
      </c>
      <c r="H707">
        <v>0</v>
      </c>
      <c r="I707" t="s">
        <v>241</v>
      </c>
      <c r="J707">
        <f>IFERROR(tblMoeHistory[[#This Row],[LEA State and Local Amount]]/tblMoeHistory[[#This Row],[Child Count]],0)</f>
        <v>6431.1594285714282</v>
      </c>
      <c r="K707">
        <f>IFERROR(tblMoeHistory[[#This Row],[ESD State and Local Amount]]/tblMoeHistory[[#This Row],[Child Count]],0)</f>
        <v>838.62171428571423</v>
      </c>
      <c r="L707">
        <f>IFERROR(tblMoeHistory[[#This Row],[State and Local Total Amount]]/tblMoeHistory[[#This Row],[Child Count]],0)</f>
        <v>7269.7811428571431</v>
      </c>
      <c r="M707">
        <v>0</v>
      </c>
      <c r="N707" t="s">
        <v>241</v>
      </c>
      <c r="O707">
        <v>122412.88</v>
      </c>
      <c r="P707">
        <v>2451.6</v>
      </c>
      <c r="Q707">
        <f>tblMoeHistory[[#This Row],[Amount of IDEA Part B, Section 611 award]]+tblMoeHistory[[#This Row],[Amount of IDEA Part B, Section 619 award]]</f>
        <v>124864.48000000001</v>
      </c>
      <c r="U7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7" t="str">
        <f>IF(OR(IFERROR(SEARCH("Met",tblMoeHistory[[#This Row],[State and Local Per Capita Result]]),0)&gt;0,IFERROR(SEARCH("Met",tblMoeHistory[[#This Row],[State and Local Total Result]]),0)&gt;0),"Met","Not Met")</f>
        <v>Met</v>
      </c>
    </row>
    <row r="708" spans="1:22" x14ac:dyDescent="0.35">
      <c r="A708" t="s">
        <v>137</v>
      </c>
      <c r="B708">
        <v>1968</v>
      </c>
      <c r="C708" t="s">
        <v>31</v>
      </c>
      <c r="D708">
        <v>75</v>
      </c>
      <c r="E708">
        <v>664089.77</v>
      </c>
      <c r="F708">
        <v>169003</v>
      </c>
      <c r="G708">
        <f>tblMoeHistory[[#This Row],[LEA State and Local Amount]]+tblMoeHistory[[#This Row],[ESD State and Local Amount]]</f>
        <v>833092.77</v>
      </c>
      <c r="H708">
        <v>0</v>
      </c>
      <c r="I708" t="s">
        <v>242</v>
      </c>
      <c r="J708">
        <f>IFERROR(tblMoeHistory[[#This Row],[LEA State and Local Amount]]/tblMoeHistory[[#This Row],[Child Count]],0)</f>
        <v>8854.5302666666666</v>
      </c>
      <c r="K708">
        <f>IFERROR(tblMoeHistory[[#This Row],[ESD State and Local Amount]]/tblMoeHistory[[#This Row],[Child Count]],0)</f>
        <v>2253.3733333333334</v>
      </c>
      <c r="L708">
        <f>IFERROR(tblMoeHistory[[#This Row],[State and Local Total Amount]]/tblMoeHistory[[#This Row],[Child Count]],0)</f>
        <v>11107.9036</v>
      </c>
      <c r="M708">
        <v>0</v>
      </c>
      <c r="N708" t="s">
        <v>241</v>
      </c>
      <c r="O708">
        <v>140101.23000000001</v>
      </c>
      <c r="P708">
        <v>1018.84</v>
      </c>
      <c r="Q708">
        <f>tblMoeHistory[[#This Row],[Amount of IDEA Part B, Section 611 award]]+tblMoeHistory[[#This Row],[Amount of IDEA Part B, Section 619 award]]</f>
        <v>141120.07</v>
      </c>
      <c r="S708">
        <v>115779.89</v>
      </c>
      <c r="T708">
        <v>115779.89</v>
      </c>
      <c r="U7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8" t="str">
        <f>IF(OR(IFERROR(SEARCH("Met",tblMoeHistory[[#This Row],[State and Local Per Capita Result]]),0)&gt;0,IFERROR(SEARCH("Met",tblMoeHistory[[#This Row],[State and Local Total Result]]),0)&gt;0),"Met","Not Met")</f>
        <v>Met</v>
      </c>
    </row>
    <row r="709" spans="1:22" x14ac:dyDescent="0.35">
      <c r="A709" t="s">
        <v>138</v>
      </c>
      <c r="B709">
        <v>2198</v>
      </c>
      <c r="C709" t="s">
        <v>31</v>
      </c>
      <c r="D709">
        <v>84</v>
      </c>
      <c r="E709">
        <v>1249810.8999999999</v>
      </c>
      <c r="F709">
        <v>187221</v>
      </c>
      <c r="G709">
        <f>tblMoeHistory[[#This Row],[LEA State and Local Amount]]+tblMoeHistory[[#This Row],[ESD State and Local Amount]]</f>
        <v>1437031.9</v>
      </c>
      <c r="H709">
        <v>0</v>
      </c>
      <c r="I709" t="s">
        <v>242</v>
      </c>
      <c r="J709">
        <f>IFERROR(tblMoeHistory[[#This Row],[LEA State and Local Amount]]/tblMoeHistory[[#This Row],[Child Count]],0)</f>
        <v>14878.701190476189</v>
      </c>
      <c r="K709">
        <f>IFERROR(tblMoeHistory[[#This Row],[ESD State and Local Amount]]/tblMoeHistory[[#This Row],[Child Count]],0)</f>
        <v>2228.8214285714284</v>
      </c>
      <c r="L709">
        <f>IFERROR(tblMoeHistory[[#This Row],[State and Local Total Amount]]/tblMoeHistory[[#This Row],[Child Count]],0)</f>
        <v>17107.522619047617</v>
      </c>
      <c r="M709">
        <v>0</v>
      </c>
      <c r="N709" t="s">
        <v>240</v>
      </c>
      <c r="O709">
        <v>105385.63</v>
      </c>
      <c r="P709">
        <v>2547.11</v>
      </c>
      <c r="Q709">
        <f>tblMoeHistory[[#This Row],[Amount of IDEA Part B, Section 611 award]]+tblMoeHistory[[#This Row],[Amount of IDEA Part B, Section 619 award]]</f>
        <v>107932.74</v>
      </c>
      <c r="S709">
        <v>100061.66</v>
      </c>
      <c r="U7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9" t="str">
        <f>IF(OR(IFERROR(SEARCH("Met",tblMoeHistory[[#This Row],[State and Local Per Capita Result]]),0)&gt;0,IFERROR(SEARCH("Met",tblMoeHistory[[#This Row],[State and Local Total Result]]),0)&gt;0),"Met","Not Met")</f>
        <v>Met</v>
      </c>
    </row>
    <row r="710" spans="1:22" x14ac:dyDescent="0.35">
      <c r="A710" t="s">
        <v>139</v>
      </c>
      <c r="B710">
        <v>2199</v>
      </c>
      <c r="C710" t="s">
        <v>31</v>
      </c>
      <c r="D710">
        <v>78</v>
      </c>
      <c r="E710">
        <v>693600.4</v>
      </c>
      <c r="F710">
        <v>93172</v>
      </c>
      <c r="G710">
        <f>tblMoeHistory[[#This Row],[LEA State and Local Amount]]+tblMoeHistory[[#This Row],[ESD State and Local Amount]]</f>
        <v>786772.4</v>
      </c>
      <c r="H710">
        <v>0</v>
      </c>
      <c r="I710" t="s">
        <v>241</v>
      </c>
      <c r="J710">
        <f>IFERROR(tblMoeHistory[[#This Row],[LEA State and Local Amount]]/tblMoeHistory[[#This Row],[Child Count]],0)</f>
        <v>8892.3128205128214</v>
      </c>
      <c r="K710">
        <f>IFERROR(tblMoeHistory[[#This Row],[ESD State and Local Amount]]/tblMoeHistory[[#This Row],[Child Count]],0)</f>
        <v>1194.5128205128206</v>
      </c>
      <c r="L710">
        <f>IFERROR(tblMoeHistory[[#This Row],[State and Local Total Amount]]/tblMoeHistory[[#This Row],[Child Count]],0)</f>
        <v>10086.825641025642</v>
      </c>
      <c r="M710">
        <v>0</v>
      </c>
      <c r="N710" t="s">
        <v>241</v>
      </c>
      <c r="O710">
        <v>99337.64</v>
      </c>
      <c r="P710">
        <v>1245.25</v>
      </c>
      <c r="Q710">
        <f>tblMoeHistory[[#This Row],[Amount of IDEA Part B, Section 611 award]]+tblMoeHistory[[#This Row],[Amount of IDEA Part B, Section 619 award]]</f>
        <v>100582.89</v>
      </c>
      <c r="U7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0" t="str">
        <f>IF(OR(IFERROR(SEARCH("Met",tblMoeHistory[[#This Row],[State and Local Per Capita Result]]),0)&gt;0,IFERROR(SEARCH("Met",tblMoeHistory[[#This Row],[State and Local Total Result]]),0)&gt;0),"Met","Not Met")</f>
        <v>Met</v>
      </c>
    </row>
    <row r="711" spans="1:22" x14ac:dyDescent="0.35">
      <c r="A711" t="s">
        <v>140</v>
      </c>
      <c r="B711">
        <v>2254</v>
      </c>
      <c r="C711" t="s">
        <v>31</v>
      </c>
      <c r="D711">
        <v>648</v>
      </c>
      <c r="E711">
        <v>5866251.0599999996</v>
      </c>
      <c r="F711">
        <v>42964.14</v>
      </c>
      <c r="G711">
        <f>tblMoeHistory[[#This Row],[LEA State and Local Amount]]+tblMoeHistory[[#This Row],[ESD State and Local Amount]]</f>
        <v>5909215.1999999993</v>
      </c>
      <c r="H711">
        <v>0</v>
      </c>
      <c r="I711" t="s">
        <v>241</v>
      </c>
      <c r="J711">
        <f>IFERROR(tblMoeHistory[[#This Row],[LEA State and Local Amount]]/tblMoeHistory[[#This Row],[Child Count]],0)</f>
        <v>9052.8565740740742</v>
      </c>
      <c r="K711">
        <f>IFERROR(tblMoeHistory[[#This Row],[ESD State and Local Amount]]/tblMoeHistory[[#This Row],[Child Count]],0)</f>
        <v>66.302685185185183</v>
      </c>
      <c r="L711">
        <f>IFERROR(tblMoeHistory[[#This Row],[State and Local Total Amount]]/tblMoeHistory[[#This Row],[Child Count]],0)</f>
        <v>9119.1592592592588</v>
      </c>
      <c r="M711">
        <v>0</v>
      </c>
      <c r="N711" t="s">
        <v>241</v>
      </c>
      <c r="O711">
        <v>745115.52</v>
      </c>
      <c r="P711">
        <v>7782.84</v>
      </c>
      <c r="Q711">
        <f>tblMoeHistory[[#This Row],[Amount of IDEA Part B, Section 611 award]]+tblMoeHistory[[#This Row],[Amount of IDEA Part B, Section 619 award]]</f>
        <v>752898.36</v>
      </c>
      <c r="U7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1" t="str">
        <f>IF(OR(IFERROR(SEARCH("Met",tblMoeHistory[[#This Row],[State and Local Per Capita Result]]),0)&gt;0,IFERROR(SEARCH("Met",tblMoeHistory[[#This Row],[State and Local Total Result]]),0)&gt;0),"Met","Not Met")</f>
        <v>Met</v>
      </c>
    </row>
    <row r="712" spans="1:22" x14ac:dyDescent="0.35">
      <c r="A712" t="s">
        <v>141</v>
      </c>
      <c r="B712">
        <v>1966</v>
      </c>
      <c r="C712" t="s">
        <v>31</v>
      </c>
      <c r="D712">
        <v>541</v>
      </c>
      <c r="E712">
        <v>3256412.56</v>
      </c>
      <c r="F712">
        <v>780972</v>
      </c>
      <c r="G712">
        <f>tblMoeHistory[[#This Row],[LEA State and Local Amount]]+tblMoeHistory[[#This Row],[ESD State and Local Amount]]</f>
        <v>4037384.56</v>
      </c>
      <c r="H712">
        <v>0</v>
      </c>
      <c r="I712" t="s">
        <v>241</v>
      </c>
      <c r="J712">
        <f>IFERROR(tblMoeHistory[[#This Row],[LEA State and Local Amount]]/tblMoeHistory[[#This Row],[Child Count]],0)</f>
        <v>6019.2468761552682</v>
      </c>
      <c r="K712">
        <f>IFERROR(tblMoeHistory[[#This Row],[ESD State and Local Amount]]/tblMoeHistory[[#This Row],[Child Count]],0)</f>
        <v>1443.5711645101665</v>
      </c>
      <c r="L712">
        <f>IFERROR(tblMoeHistory[[#This Row],[State and Local Total Amount]]/tblMoeHistory[[#This Row],[Child Count]],0)</f>
        <v>7462.8180406654346</v>
      </c>
      <c r="M712">
        <v>0</v>
      </c>
      <c r="N712" t="s">
        <v>240</v>
      </c>
      <c r="O712">
        <v>497014.65</v>
      </c>
      <c r="P712">
        <v>3932.39</v>
      </c>
      <c r="Q712">
        <f>tblMoeHistory[[#This Row],[Amount of IDEA Part B, Section 611 award]]+tblMoeHistory[[#This Row],[Amount of IDEA Part B, Section 619 award]]</f>
        <v>500947.04000000004</v>
      </c>
      <c r="U7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2" t="str">
        <f>IF(OR(IFERROR(SEARCH("Met",tblMoeHistory[[#This Row],[State and Local Per Capita Result]]),0)&gt;0,IFERROR(SEARCH("Met",tblMoeHistory[[#This Row],[State and Local Total Result]]),0)&gt;0),"Met","Not Met")</f>
        <v>Met</v>
      </c>
    </row>
    <row r="713" spans="1:22" x14ac:dyDescent="0.35">
      <c r="A713" t="s">
        <v>142</v>
      </c>
      <c r="B713">
        <v>1924</v>
      </c>
      <c r="C713" t="s">
        <v>31</v>
      </c>
      <c r="D713">
        <v>2464</v>
      </c>
      <c r="E713">
        <v>16994234.09</v>
      </c>
      <c r="F713">
        <v>3168982</v>
      </c>
      <c r="G713">
        <f>tblMoeHistory[[#This Row],[LEA State and Local Amount]]+tblMoeHistory[[#This Row],[ESD State and Local Amount]]</f>
        <v>20163216.09</v>
      </c>
      <c r="H713">
        <v>0</v>
      </c>
      <c r="I713" t="s">
        <v>241</v>
      </c>
      <c r="J713">
        <f>IFERROR(tblMoeHistory[[#This Row],[LEA State and Local Amount]]/tblMoeHistory[[#This Row],[Child Count]],0)</f>
        <v>6897.010588474026</v>
      </c>
      <c r="K713">
        <f>IFERROR(tblMoeHistory[[#This Row],[ESD State and Local Amount]]/tblMoeHistory[[#This Row],[Child Count]],0)</f>
        <v>1286.1128246753246</v>
      </c>
      <c r="L713">
        <f>IFERROR(tblMoeHistory[[#This Row],[State and Local Total Amount]]/tblMoeHistory[[#This Row],[Child Count]],0)</f>
        <v>8183.1234131493502</v>
      </c>
      <c r="M713">
        <v>0</v>
      </c>
      <c r="N713" t="s">
        <v>241</v>
      </c>
      <c r="O713">
        <v>2382020.2000000002</v>
      </c>
      <c r="P713">
        <v>13553.33</v>
      </c>
      <c r="Q713">
        <f>tblMoeHistory[[#This Row],[Amount of IDEA Part B, Section 611 award]]+tblMoeHistory[[#This Row],[Amount of IDEA Part B, Section 619 award]]</f>
        <v>2395573.5300000003</v>
      </c>
      <c r="U7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3" t="str">
        <f>IF(OR(IFERROR(SEARCH("Met",tblMoeHistory[[#This Row],[State and Local Per Capita Result]]),0)&gt;0,IFERROR(SEARCH("Met",tblMoeHistory[[#This Row],[State and Local Total Result]]),0)&gt;0),"Met","Not Met")</f>
        <v>Met</v>
      </c>
    </row>
    <row r="714" spans="1:22" x14ac:dyDescent="0.35">
      <c r="A714" t="s">
        <v>143</v>
      </c>
      <c r="B714">
        <v>1996</v>
      </c>
      <c r="C714" t="s">
        <v>31</v>
      </c>
      <c r="D714">
        <v>37</v>
      </c>
      <c r="E714">
        <v>306786.15999999997</v>
      </c>
      <c r="F714">
        <v>48172.58</v>
      </c>
      <c r="G714">
        <f>tblMoeHistory[[#This Row],[LEA State and Local Amount]]+tblMoeHistory[[#This Row],[ESD State and Local Amount]]</f>
        <v>354958.74</v>
      </c>
      <c r="H714">
        <v>0</v>
      </c>
      <c r="I714" t="s">
        <v>242</v>
      </c>
      <c r="J714">
        <f>IFERROR(tblMoeHistory[[#This Row],[LEA State and Local Amount]]/tblMoeHistory[[#This Row],[Child Count]],0)</f>
        <v>8291.5178378378369</v>
      </c>
      <c r="K714">
        <f>IFERROR(tblMoeHistory[[#This Row],[ESD State and Local Amount]]/tblMoeHistory[[#This Row],[Child Count]],0)</f>
        <v>1301.9616216216216</v>
      </c>
      <c r="L714">
        <f>IFERROR(tblMoeHistory[[#This Row],[State and Local Total Amount]]/tblMoeHistory[[#This Row],[Child Count]],0)</f>
        <v>9593.4794594594587</v>
      </c>
      <c r="M714">
        <v>0</v>
      </c>
      <c r="N714" t="s">
        <v>242</v>
      </c>
      <c r="O714">
        <v>61841.67</v>
      </c>
      <c r="P714">
        <v>0</v>
      </c>
      <c r="Q714">
        <f>tblMoeHistory[[#This Row],[Amount of IDEA Part B, Section 611 award]]+tblMoeHistory[[#This Row],[Amount of IDEA Part B, Section 619 award]]</f>
        <v>61841.67</v>
      </c>
      <c r="S714">
        <v>96042.7</v>
      </c>
      <c r="T714">
        <v>142615.99</v>
      </c>
      <c r="U7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4" t="str">
        <f>IF(OR(IFERROR(SEARCH("Met",tblMoeHistory[[#This Row],[State and Local Per Capita Result]]),0)&gt;0,IFERROR(SEARCH("Met",tblMoeHistory[[#This Row],[State and Local Total Result]]),0)&gt;0),"Met","Not Met")</f>
        <v>Met</v>
      </c>
    </row>
    <row r="715" spans="1:22" x14ac:dyDescent="0.35">
      <c r="A715" t="s">
        <v>144</v>
      </c>
      <c r="B715">
        <v>2061</v>
      </c>
      <c r="C715" t="s">
        <v>31</v>
      </c>
      <c r="D715">
        <v>42</v>
      </c>
      <c r="E715">
        <v>208258.15</v>
      </c>
      <c r="F715">
        <v>56355.86</v>
      </c>
      <c r="G715">
        <f>tblMoeHistory[[#This Row],[LEA State and Local Amount]]+tblMoeHistory[[#This Row],[ESD State and Local Amount]]</f>
        <v>264614.01</v>
      </c>
      <c r="H715">
        <v>0</v>
      </c>
      <c r="I715" t="s">
        <v>241</v>
      </c>
      <c r="J715">
        <f>IFERROR(tblMoeHistory[[#This Row],[LEA State and Local Amount]]/tblMoeHistory[[#This Row],[Child Count]],0)</f>
        <v>4958.5273809523806</v>
      </c>
      <c r="K715">
        <f>IFERROR(tblMoeHistory[[#This Row],[ESD State and Local Amount]]/tblMoeHistory[[#This Row],[Child Count]],0)</f>
        <v>1341.8061904761905</v>
      </c>
      <c r="L715">
        <f>IFERROR(tblMoeHistory[[#This Row],[State and Local Total Amount]]/tblMoeHistory[[#This Row],[Child Count]],0)</f>
        <v>6300.3335714285713</v>
      </c>
      <c r="M715">
        <v>0</v>
      </c>
      <c r="N715" t="s">
        <v>240</v>
      </c>
      <c r="O715">
        <v>48445.89</v>
      </c>
      <c r="P715">
        <v>0</v>
      </c>
      <c r="Q715">
        <f>tblMoeHistory[[#This Row],[Amount of IDEA Part B, Section 611 award]]+tblMoeHistory[[#This Row],[Amount of IDEA Part B, Section 619 award]]</f>
        <v>48445.89</v>
      </c>
      <c r="U7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5" t="str">
        <f>IF(OR(IFERROR(SEARCH("Met",tblMoeHistory[[#This Row],[State and Local Per Capita Result]]),0)&gt;0,IFERROR(SEARCH("Met",tblMoeHistory[[#This Row],[State and Local Total Result]]),0)&gt;0),"Met","Not Met")</f>
        <v>Met</v>
      </c>
    </row>
    <row r="716" spans="1:22" x14ac:dyDescent="0.35">
      <c r="A716" t="s">
        <v>145</v>
      </c>
      <c r="B716">
        <v>2141</v>
      </c>
      <c r="C716" t="s">
        <v>31</v>
      </c>
      <c r="D716">
        <v>271</v>
      </c>
      <c r="E716">
        <v>2300662.08</v>
      </c>
      <c r="F716">
        <v>217205.69</v>
      </c>
      <c r="G716">
        <f>tblMoeHistory[[#This Row],[LEA State and Local Amount]]+tblMoeHistory[[#This Row],[ESD State and Local Amount]]</f>
        <v>2517867.77</v>
      </c>
      <c r="H716">
        <v>0</v>
      </c>
      <c r="I716" t="s">
        <v>241</v>
      </c>
      <c r="J716">
        <f>IFERROR(tblMoeHistory[[#This Row],[LEA State and Local Amount]]/tblMoeHistory[[#This Row],[Child Count]],0)</f>
        <v>8489.5279704797049</v>
      </c>
      <c r="K716">
        <f>IFERROR(tblMoeHistory[[#This Row],[ESD State and Local Amount]]/tblMoeHistory[[#This Row],[Child Count]],0)</f>
        <v>801.49701107011072</v>
      </c>
      <c r="L716">
        <f>IFERROR(tblMoeHistory[[#This Row],[State and Local Total Amount]]/tblMoeHistory[[#This Row],[Child Count]],0)</f>
        <v>9291.0249815498155</v>
      </c>
      <c r="M716">
        <v>0</v>
      </c>
      <c r="N716" t="s">
        <v>240</v>
      </c>
      <c r="O716">
        <v>244795.49</v>
      </c>
      <c r="P716">
        <v>2134.7199999999998</v>
      </c>
      <c r="Q716">
        <f>tblMoeHistory[[#This Row],[Amount of IDEA Part B, Section 611 award]]+tblMoeHistory[[#This Row],[Amount of IDEA Part B, Section 619 award]]</f>
        <v>246930.21</v>
      </c>
      <c r="U7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6" t="str">
        <f>IF(OR(IFERROR(SEARCH("Met",tblMoeHistory[[#This Row],[State and Local Per Capita Result]]),0)&gt;0,IFERROR(SEARCH("Met",tblMoeHistory[[#This Row],[State and Local Total Result]]),0)&gt;0),"Met","Not Met")</f>
        <v>Met</v>
      </c>
    </row>
    <row r="717" spans="1:22" x14ac:dyDescent="0.35">
      <c r="A717" t="s">
        <v>146</v>
      </c>
      <c r="B717">
        <v>2214</v>
      </c>
      <c r="C717" t="s">
        <v>31</v>
      </c>
      <c r="D717">
        <v>41</v>
      </c>
      <c r="E717">
        <v>152182.32</v>
      </c>
      <c r="F717">
        <v>46521</v>
      </c>
      <c r="G717">
        <f>tblMoeHistory[[#This Row],[LEA State and Local Amount]]+tblMoeHistory[[#This Row],[ESD State and Local Amount]]</f>
        <v>198703.32</v>
      </c>
      <c r="H717">
        <v>0</v>
      </c>
      <c r="I717" t="s">
        <v>241</v>
      </c>
      <c r="J717">
        <f>IFERROR(tblMoeHistory[[#This Row],[LEA State and Local Amount]]/tblMoeHistory[[#This Row],[Child Count]],0)</f>
        <v>3711.7639024390246</v>
      </c>
      <c r="K717">
        <f>IFERROR(tblMoeHistory[[#This Row],[ESD State and Local Amount]]/tblMoeHistory[[#This Row],[Child Count]],0)</f>
        <v>1134.6585365853659</v>
      </c>
      <c r="L717">
        <f>IFERROR(tblMoeHistory[[#This Row],[State and Local Total Amount]]/tblMoeHistory[[#This Row],[Child Count]],0)</f>
        <v>4846.4224390243908</v>
      </c>
      <c r="M717">
        <v>0</v>
      </c>
      <c r="N717" t="s">
        <v>241</v>
      </c>
      <c r="O717">
        <v>41051.54</v>
      </c>
      <c r="P717">
        <v>466.97</v>
      </c>
      <c r="Q717">
        <f>tblMoeHistory[[#This Row],[Amount of IDEA Part B, Section 611 award]]+tblMoeHistory[[#This Row],[Amount of IDEA Part B, Section 619 award]]</f>
        <v>41518.51</v>
      </c>
      <c r="U7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7" t="str">
        <f>IF(OR(IFERROR(SEARCH("Met",tblMoeHistory[[#This Row],[State and Local Per Capita Result]]),0)&gt;0,IFERROR(SEARCH("Met",tblMoeHistory[[#This Row],[State and Local Total Result]]),0)&gt;0),"Met","Not Met")</f>
        <v>Met</v>
      </c>
    </row>
    <row r="718" spans="1:22" x14ac:dyDescent="0.35">
      <c r="A718" t="s">
        <v>147</v>
      </c>
      <c r="B718">
        <v>2143</v>
      </c>
      <c r="C718" t="s">
        <v>31</v>
      </c>
      <c r="D718">
        <v>272</v>
      </c>
      <c r="E718">
        <v>2357813.33</v>
      </c>
      <c r="F718">
        <v>171607.38</v>
      </c>
      <c r="G718">
        <f>tblMoeHistory[[#This Row],[LEA State and Local Amount]]+tblMoeHistory[[#This Row],[ESD State and Local Amount]]</f>
        <v>2529420.71</v>
      </c>
      <c r="H718">
        <v>0</v>
      </c>
      <c r="I718" t="s">
        <v>241</v>
      </c>
      <c r="J718">
        <f>IFERROR(tblMoeHistory[[#This Row],[LEA State and Local Amount]]/tblMoeHistory[[#This Row],[Child Count]],0)</f>
        <v>8668.4313602941183</v>
      </c>
      <c r="K718">
        <f>IFERROR(tblMoeHistory[[#This Row],[ESD State and Local Amount]]/tblMoeHistory[[#This Row],[Child Count]],0)</f>
        <v>630.90948529411764</v>
      </c>
      <c r="L718">
        <f>IFERROR(tblMoeHistory[[#This Row],[State and Local Total Amount]]/tblMoeHistory[[#This Row],[Child Count]],0)</f>
        <v>9299.3408455882345</v>
      </c>
      <c r="M718">
        <v>0</v>
      </c>
      <c r="N718" t="s">
        <v>241</v>
      </c>
      <c r="O718">
        <v>400523.82</v>
      </c>
      <c r="P718">
        <v>1355.72</v>
      </c>
      <c r="Q718">
        <f>tblMoeHistory[[#This Row],[Amount of IDEA Part B, Section 611 award]]+tblMoeHistory[[#This Row],[Amount of IDEA Part B, Section 619 award]]</f>
        <v>401879.54</v>
      </c>
      <c r="U7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8" t="str">
        <f>IF(OR(IFERROR(SEARCH("Met",tblMoeHistory[[#This Row],[State and Local Per Capita Result]]),0)&gt;0,IFERROR(SEARCH("Met",tblMoeHistory[[#This Row],[State and Local Total Result]]),0)&gt;0),"Met","Not Met")</f>
        <v>Met</v>
      </c>
    </row>
    <row r="719" spans="1:22" x14ac:dyDescent="0.35">
      <c r="A719" t="s">
        <v>148</v>
      </c>
      <c r="B719">
        <v>4131</v>
      </c>
      <c r="C719" t="s">
        <v>31</v>
      </c>
      <c r="D719">
        <v>429</v>
      </c>
      <c r="E719">
        <v>3526966.89</v>
      </c>
      <c r="F719">
        <v>0</v>
      </c>
      <c r="G719">
        <f>tblMoeHistory[[#This Row],[LEA State and Local Amount]]+tblMoeHistory[[#This Row],[ESD State and Local Amount]]</f>
        <v>3526966.89</v>
      </c>
      <c r="H719">
        <v>0</v>
      </c>
      <c r="I719" t="s">
        <v>241</v>
      </c>
      <c r="J719">
        <f>IFERROR(tblMoeHistory[[#This Row],[LEA State and Local Amount]]/tblMoeHistory[[#This Row],[Child Count]],0)</f>
        <v>8221.3680419580414</v>
      </c>
      <c r="K719">
        <f>IFERROR(tblMoeHistory[[#This Row],[ESD State and Local Amount]]/tblMoeHistory[[#This Row],[Child Count]],0)</f>
        <v>0</v>
      </c>
      <c r="L719">
        <f>IFERROR(tblMoeHistory[[#This Row],[State and Local Total Amount]]/tblMoeHistory[[#This Row],[Child Count]],0)</f>
        <v>8221.3680419580414</v>
      </c>
      <c r="M719">
        <v>0</v>
      </c>
      <c r="N719" t="s">
        <v>241</v>
      </c>
      <c r="O719">
        <v>462276.77</v>
      </c>
      <c r="P719">
        <v>5564.73</v>
      </c>
      <c r="Q719">
        <f>tblMoeHistory[[#This Row],[Amount of IDEA Part B, Section 611 award]]+tblMoeHistory[[#This Row],[Amount of IDEA Part B, Section 619 award]]</f>
        <v>467841.5</v>
      </c>
      <c r="U7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9" t="str">
        <f>IF(OR(IFERROR(SEARCH("Met",tblMoeHistory[[#This Row],[State and Local Per Capita Result]]),0)&gt;0,IFERROR(SEARCH("Met",tblMoeHistory[[#This Row],[State and Local Total Result]]),0)&gt;0),"Met","Not Met")</f>
        <v>Met</v>
      </c>
    </row>
    <row r="720" spans="1:22" x14ac:dyDescent="0.35">
      <c r="A720" t="s">
        <v>149</v>
      </c>
      <c r="B720">
        <v>2110</v>
      </c>
      <c r="C720" t="s">
        <v>31</v>
      </c>
      <c r="D720">
        <v>156</v>
      </c>
      <c r="E720">
        <v>737399.91</v>
      </c>
      <c r="F720">
        <v>350892.04</v>
      </c>
      <c r="G720">
        <f>tblMoeHistory[[#This Row],[LEA State and Local Amount]]+tblMoeHistory[[#This Row],[ESD State and Local Amount]]</f>
        <v>1088291.95</v>
      </c>
      <c r="H720">
        <v>0</v>
      </c>
      <c r="I720" t="s">
        <v>241</v>
      </c>
      <c r="J720">
        <f>IFERROR(tblMoeHistory[[#This Row],[LEA State and Local Amount]]/tblMoeHistory[[#This Row],[Child Count]],0)</f>
        <v>4726.9225000000006</v>
      </c>
      <c r="K720">
        <f>IFERROR(tblMoeHistory[[#This Row],[ESD State and Local Amount]]/tblMoeHistory[[#This Row],[Child Count]],0)</f>
        <v>2249.3079487179484</v>
      </c>
      <c r="L720">
        <f>IFERROR(tblMoeHistory[[#This Row],[State and Local Total Amount]]/tblMoeHistory[[#This Row],[Child Count]],0)</f>
        <v>6976.2304487179481</v>
      </c>
      <c r="M720">
        <v>0</v>
      </c>
      <c r="N720" t="s">
        <v>240</v>
      </c>
      <c r="O720">
        <v>193402.79</v>
      </c>
      <c r="P720">
        <v>1751.14</v>
      </c>
      <c r="Q720">
        <f>tblMoeHistory[[#This Row],[Amount of IDEA Part B, Section 611 award]]+tblMoeHistory[[#This Row],[Amount of IDEA Part B, Section 619 award]]</f>
        <v>195153.93000000002</v>
      </c>
      <c r="U7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0" t="str">
        <f>IF(OR(IFERROR(SEARCH("Met",tblMoeHistory[[#This Row],[State and Local Per Capita Result]]),0)&gt;0,IFERROR(SEARCH("Met",tblMoeHistory[[#This Row],[State and Local Total Result]]),0)&gt;0),"Met","Not Met")</f>
        <v>Met</v>
      </c>
    </row>
    <row r="721" spans="1:22" x14ac:dyDescent="0.35">
      <c r="A721" t="s">
        <v>150</v>
      </c>
      <c r="B721">
        <v>1990</v>
      </c>
      <c r="C721" t="s">
        <v>31</v>
      </c>
      <c r="D721">
        <v>55</v>
      </c>
      <c r="E721">
        <v>343880.96000000002</v>
      </c>
      <c r="F721">
        <v>107797.97</v>
      </c>
      <c r="G721">
        <f>tblMoeHistory[[#This Row],[LEA State and Local Amount]]+tblMoeHistory[[#This Row],[ESD State and Local Amount]]</f>
        <v>451678.93000000005</v>
      </c>
      <c r="H721">
        <v>0</v>
      </c>
      <c r="I721" t="s">
        <v>241</v>
      </c>
      <c r="J721">
        <f>IFERROR(tblMoeHistory[[#This Row],[LEA State and Local Amount]]/tblMoeHistory[[#This Row],[Child Count]],0)</f>
        <v>6252.3810909090917</v>
      </c>
      <c r="K721">
        <f>IFERROR(tblMoeHistory[[#This Row],[ESD State and Local Amount]]/tblMoeHistory[[#This Row],[Child Count]],0)</f>
        <v>1959.9630909090909</v>
      </c>
      <c r="L721">
        <f>IFERROR(tblMoeHistory[[#This Row],[State and Local Total Amount]]/tblMoeHistory[[#This Row],[Child Count]],0)</f>
        <v>8212.3441818181836</v>
      </c>
      <c r="M721">
        <v>0</v>
      </c>
      <c r="N721" t="s">
        <v>241</v>
      </c>
      <c r="O721">
        <v>87786.96</v>
      </c>
      <c r="P721">
        <v>700.46</v>
      </c>
      <c r="Q721">
        <f>tblMoeHistory[[#This Row],[Amount of IDEA Part B, Section 611 award]]+tblMoeHistory[[#This Row],[Amount of IDEA Part B, Section 619 award]]</f>
        <v>88487.420000000013</v>
      </c>
      <c r="U7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1" t="str">
        <f>IF(OR(IFERROR(SEARCH("Met",tblMoeHistory[[#This Row],[State and Local Per Capita Result]]),0)&gt;0,IFERROR(SEARCH("Met",tblMoeHistory[[#This Row],[State and Local Total Result]]),0)&gt;0),"Met","Not Met")</f>
        <v>Met</v>
      </c>
    </row>
    <row r="722" spans="1:22" x14ac:dyDescent="0.35">
      <c r="A722" t="s">
        <v>151</v>
      </c>
      <c r="B722">
        <v>2093</v>
      </c>
      <c r="C722" t="s">
        <v>31</v>
      </c>
      <c r="D722">
        <v>100</v>
      </c>
      <c r="E722">
        <v>355262.56</v>
      </c>
      <c r="F722">
        <v>256385</v>
      </c>
      <c r="G722">
        <f>tblMoeHistory[[#This Row],[LEA State and Local Amount]]+tblMoeHistory[[#This Row],[ESD State and Local Amount]]</f>
        <v>611647.56000000006</v>
      </c>
      <c r="H722">
        <v>0</v>
      </c>
      <c r="I722" t="s">
        <v>241</v>
      </c>
      <c r="J722">
        <f>IFERROR(tblMoeHistory[[#This Row],[LEA State and Local Amount]]/tblMoeHistory[[#This Row],[Child Count]],0)</f>
        <v>3552.6255999999998</v>
      </c>
      <c r="K722">
        <f>IFERROR(tblMoeHistory[[#This Row],[ESD State and Local Amount]]/tblMoeHistory[[#This Row],[Child Count]],0)</f>
        <v>2563.85</v>
      </c>
      <c r="L722">
        <f>IFERROR(tblMoeHistory[[#This Row],[State and Local Total Amount]]/tblMoeHistory[[#This Row],[Child Count]],0)</f>
        <v>6116.4756000000007</v>
      </c>
      <c r="M722">
        <v>0</v>
      </c>
      <c r="N722" t="s">
        <v>240</v>
      </c>
      <c r="O722">
        <v>113915.81</v>
      </c>
      <c r="P722">
        <v>1470.96</v>
      </c>
      <c r="Q722">
        <f>tblMoeHistory[[#This Row],[Amount of IDEA Part B, Section 611 award]]+tblMoeHistory[[#This Row],[Amount of IDEA Part B, Section 619 award]]</f>
        <v>115386.77</v>
      </c>
      <c r="U7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2" t="str">
        <f>IF(OR(IFERROR(SEARCH("Met",tblMoeHistory[[#This Row],[State and Local Per Capita Result]]),0)&gt;0,IFERROR(SEARCH("Met",tblMoeHistory[[#This Row],[State and Local Total Result]]),0)&gt;0),"Met","Not Met")</f>
        <v>Met</v>
      </c>
    </row>
    <row r="723" spans="1:22" x14ac:dyDescent="0.35">
      <c r="A723" t="s">
        <v>152</v>
      </c>
      <c r="B723">
        <v>2108</v>
      </c>
      <c r="C723" t="s">
        <v>31</v>
      </c>
      <c r="D723">
        <v>325</v>
      </c>
      <c r="E723">
        <v>1774450.72</v>
      </c>
      <c r="F723">
        <v>557014.06000000006</v>
      </c>
      <c r="G723">
        <f>tblMoeHistory[[#This Row],[LEA State and Local Amount]]+tblMoeHistory[[#This Row],[ESD State and Local Amount]]</f>
        <v>2331464.7800000003</v>
      </c>
      <c r="H723">
        <v>0</v>
      </c>
      <c r="I723" t="s">
        <v>242</v>
      </c>
      <c r="J723">
        <f>IFERROR(tblMoeHistory[[#This Row],[LEA State and Local Amount]]/tblMoeHistory[[#This Row],[Child Count]],0)</f>
        <v>5459.8483692307691</v>
      </c>
      <c r="K723">
        <f>IFERROR(tblMoeHistory[[#This Row],[ESD State and Local Amount]]/tblMoeHistory[[#This Row],[Child Count]],0)</f>
        <v>1713.8894153846156</v>
      </c>
      <c r="L723">
        <f>IFERROR(tblMoeHistory[[#This Row],[State and Local Total Amount]]/tblMoeHistory[[#This Row],[Child Count]],0)</f>
        <v>7173.7377846153859</v>
      </c>
      <c r="M723">
        <v>0</v>
      </c>
      <c r="N723" t="s">
        <v>240</v>
      </c>
      <c r="O723">
        <v>449370.86</v>
      </c>
      <c r="P723">
        <v>2842.43</v>
      </c>
      <c r="Q723">
        <f>tblMoeHistory[[#This Row],[Amount of IDEA Part B, Section 611 award]]+tblMoeHistory[[#This Row],[Amount of IDEA Part B, Section 619 award]]</f>
        <v>452213.29</v>
      </c>
      <c r="S723">
        <v>50569.04</v>
      </c>
      <c r="U7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3" t="str">
        <f>IF(OR(IFERROR(SEARCH("Met",tblMoeHistory[[#This Row],[State and Local Per Capita Result]]),0)&gt;0,IFERROR(SEARCH("Met",tblMoeHistory[[#This Row],[State and Local Total Result]]),0)&gt;0),"Met","Not Met")</f>
        <v>Met</v>
      </c>
    </row>
    <row r="724" spans="1:22" x14ac:dyDescent="0.35">
      <c r="A724" t="s">
        <v>153</v>
      </c>
      <c r="B724">
        <v>1928</v>
      </c>
      <c r="C724" t="s">
        <v>31</v>
      </c>
      <c r="D724">
        <v>1263</v>
      </c>
      <c r="E724">
        <v>12137911.109999999</v>
      </c>
      <c r="F724">
        <v>2132684</v>
      </c>
      <c r="G724">
        <f>tblMoeHistory[[#This Row],[LEA State and Local Amount]]+tblMoeHistory[[#This Row],[ESD State and Local Amount]]</f>
        <v>14270595.109999999</v>
      </c>
      <c r="H724">
        <v>0</v>
      </c>
      <c r="I724" t="s">
        <v>241</v>
      </c>
      <c r="J724">
        <f>IFERROR(tblMoeHistory[[#This Row],[LEA State and Local Amount]]/tblMoeHistory[[#This Row],[Child Count]],0)</f>
        <v>9610.3809263657949</v>
      </c>
      <c r="K724">
        <f>IFERROR(tblMoeHistory[[#This Row],[ESD State and Local Amount]]/tblMoeHistory[[#This Row],[Child Count]],0)</f>
        <v>1688.5859065716547</v>
      </c>
      <c r="L724">
        <f>IFERROR(tblMoeHistory[[#This Row],[State and Local Total Amount]]/tblMoeHistory[[#This Row],[Child Count]],0)</f>
        <v>11298.966832937451</v>
      </c>
      <c r="M724">
        <v>0</v>
      </c>
      <c r="N724" t="s">
        <v>241</v>
      </c>
      <c r="O724">
        <v>1232258.97</v>
      </c>
      <c r="P724">
        <v>10866.53</v>
      </c>
      <c r="Q724">
        <f>tblMoeHistory[[#This Row],[Amount of IDEA Part B, Section 611 award]]+tblMoeHistory[[#This Row],[Amount of IDEA Part B, Section 619 award]]</f>
        <v>1243125.5</v>
      </c>
      <c r="U7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4" t="str">
        <f>IF(OR(IFERROR(SEARCH("Met",tblMoeHistory[[#This Row],[State and Local Per Capita Result]]),0)&gt;0,IFERROR(SEARCH("Met",tblMoeHistory[[#This Row],[State and Local Total Result]]),0)&gt;0),"Met","Not Met")</f>
        <v>Met</v>
      </c>
    </row>
    <row r="725" spans="1:22" x14ac:dyDescent="0.35">
      <c r="A725" t="s">
        <v>154</v>
      </c>
      <c r="B725">
        <v>1926</v>
      </c>
      <c r="C725" t="s">
        <v>31</v>
      </c>
      <c r="D725">
        <v>584</v>
      </c>
      <c r="E725">
        <v>5642009.1100000003</v>
      </c>
      <c r="F725">
        <v>690942</v>
      </c>
      <c r="G725">
        <f>tblMoeHistory[[#This Row],[LEA State and Local Amount]]+tblMoeHistory[[#This Row],[ESD State and Local Amount]]</f>
        <v>6332951.1100000003</v>
      </c>
      <c r="H725">
        <v>0</v>
      </c>
      <c r="I725" t="s">
        <v>241</v>
      </c>
      <c r="J725">
        <f>IFERROR(tblMoeHistory[[#This Row],[LEA State and Local Amount]]/tblMoeHistory[[#This Row],[Child Count]],0)</f>
        <v>9660.9745034246589</v>
      </c>
      <c r="K725">
        <f>IFERROR(tblMoeHistory[[#This Row],[ESD State and Local Amount]]/tblMoeHistory[[#This Row],[Child Count]],0)</f>
        <v>1183.1198630136987</v>
      </c>
      <c r="L725">
        <f>IFERROR(tblMoeHistory[[#This Row],[State and Local Total Amount]]/tblMoeHistory[[#This Row],[Child Count]],0)</f>
        <v>10844.094366438358</v>
      </c>
      <c r="M725">
        <v>0</v>
      </c>
      <c r="N725" t="s">
        <v>241</v>
      </c>
      <c r="O725">
        <v>633105.25</v>
      </c>
      <c r="P725">
        <v>3179.85</v>
      </c>
      <c r="Q725">
        <f>tblMoeHistory[[#This Row],[Amount of IDEA Part B, Section 611 award]]+tblMoeHistory[[#This Row],[Amount of IDEA Part B, Section 619 award]]</f>
        <v>636285.1</v>
      </c>
      <c r="U7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5" t="str">
        <f>IF(OR(IFERROR(SEARCH("Met",tblMoeHistory[[#This Row],[State and Local Per Capita Result]]),0)&gt;0,IFERROR(SEARCH("Met",tblMoeHistory[[#This Row],[State and Local Total Result]]),0)&gt;0),"Met","Not Met")</f>
        <v>Met</v>
      </c>
    </row>
    <row r="726" spans="1:22" x14ac:dyDescent="0.35">
      <c r="A726" t="s">
        <v>155</v>
      </c>
      <c r="B726">
        <v>2060</v>
      </c>
      <c r="C726" t="s">
        <v>31</v>
      </c>
      <c r="D726">
        <v>20</v>
      </c>
      <c r="E726">
        <v>31185.69</v>
      </c>
      <c r="F726">
        <v>47182.09</v>
      </c>
      <c r="G726">
        <f>tblMoeHistory[[#This Row],[LEA State and Local Amount]]+tblMoeHistory[[#This Row],[ESD State and Local Amount]]</f>
        <v>78367.78</v>
      </c>
      <c r="H726">
        <v>0</v>
      </c>
      <c r="I726" t="s">
        <v>241</v>
      </c>
      <c r="J726">
        <f>IFERROR(tblMoeHistory[[#This Row],[LEA State and Local Amount]]/tblMoeHistory[[#This Row],[Child Count]],0)</f>
        <v>1559.2845</v>
      </c>
      <c r="K726">
        <f>IFERROR(tblMoeHistory[[#This Row],[ESD State and Local Amount]]/tblMoeHistory[[#This Row],[Child Count]],0)</f>
        <v>2359.1044999999999</v>
      </c>
      <c r="L726">
        <f>IFERROR(tblMoeHistory[[#This Row],[State and Local Total Amount]]/tblMoeHistory[[#This Row],[Child Count]],0)</f>
        <v>3918.3890000000001</v>
      </c>
      <c r="M726">
        <v>0</v>
      </c>
      <c r="N726" t="s">
        <v>240</v>
      </c>
      <c r="O726">
        <v>30465.8</v>
      </c>
      <c r="P726">
        <v>466.97</v>
      </c>
      <c r="Q726">
        <f>tblMoeHistory[[#This Row],[Amount of IDEA Part B, Section 611 award]]+tblMoeHistory[[#This Row],[Amount of IDEA Part B, Section 619 award]]</f>
        <v>30932.77</v>
      </c>
      <c r="U7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6" t="str">
        <f>IF(OR(IFERROR(SEARCH("Met",tblMoeHistory[[#This Row],[State and Local Per Capita Result]]),0)&gt;0,IFERROR(SEARCH("Met",tblMoeHistory[[#This Row],[State and Local Total Result]]),0)&gt;0),"Met","Not Met")</f>
        <v>Met</v>
      </c>
    </row>
    <row r="727" spans="1:22" x14ac:dyDescent="0.35">
      <c r="A727" t="s">
        <v>156</v>
      </c>
      <c r="B727">
        <v>2181</v>
      </c>
      <c r="C727" t="s">
        <v>31</v>
      </c>
      <c r="D727">
        <v>476</v>
      </c>
      <c r="E727">
        <v>5476706.6200000001</v>
      </c>
      <c r="F727">
        <v>900059.2</v>
      </c>
      <c r="G727">
        <f>tblMoeHistory[[#This Row],[LEA State and Local Amount]]+tblMoeHistory[[#This Row],[ESD State and Local Amount]]</f>
        <v>6376765.8200000003</v>
      </c>
      <c r="H727">
        <v>0</v>
      </c>
      <c r="I727" t="s">
        <v>241</v>
      </c>
      <c r="J727">
        <f>IFERROR(tblMoeHistory[[#This Row],[LEA State and Local Amount]]/tblMoeHistory[[#This Row],[Child Count]],0)</f>
        <v>11505.686176470588</v>
      </c>
      <c r="K727">
        <f>IFERROR(tblMoeHistory[[#This Row],[ESD State and Local Amount]]/tblMoeHistory[[#This Row],[Child Count]],0)</f>
        <v>1890.8806722689076</v>
      </c>
      <c r="L727">
        <f>IFERROR(tblMoeHistory[[#This Row],[State and Local Total Amount]]/tblMoeHistory[[#This Row],[Child Count]],0)</f>
        <v>13396.566848739496</v>
      </c>
      <c r="M727">
        <v>0</v>
      </c>
      <c r="N727" t="s">
        <v>241</v>
      </c>
      <c r="O727">
        <v>560753.34</v>
      </c>
      <c r="P727">
        <v>2615.04</v>
      </c>
      <c r="Q727">
        <f>tblMoeHistory[[#This Row],[Amount of IDEA Part B, Section 611 award]]+tblMoeHistory[[#This Row],[Amount of IDEA Part B, Section 619 award]]</f>
        <v>563368.38</v>
      </c>
      <c r="U7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7" t="str">
        <f>IF(OR(IFERROR(SEARCH("Met",tblMoeHistory[[#This Row],[State and Local Per Capita Result]]),0)&gt;0,IFERROR(SEARCH("Met",tblMoeHistory[[#This Row],[State and Local Total Result]]),0)&gt;0),"Met","Not Met")</f>
        <v>Met</v>
      </c>
    </row>
    <row r="728" spans="1:22" x14ac:dyDescent="0.35">
      <c r="A728" t="s">
        <v>157</v>
      </c>
      <c r="B728">
        <v>2207</v>
      </c>
      <c r="C728" t="s">
        <v>31</v>
      </c>
      <c r="D728">
        <v>447</v>
      </c>
      <c r="E728">
        <v>3365397.87</v>
      </c>
      <c r="F728">
        <v>717209.7</v>
      </c>
      <c r="G728">
        <f>tblMoeHistory[[#This Row],[LEA State and Local Amount]]+tblMoeHistory[[#This Row],[ESD State and Local Amount]]</f>
        <v>4082607.5700000003</v>
      </c>
      <c r="H728">
        <v>0</v>
      </c>
      <c r="I728" t="s">
        <v>241</v>
      </c>
      <c r="J728">
        <f>IFERROR(tblMoeHistory[[#This Row],[LEA State and Local Amount]]/tblMoeHistory[[#This Row],[Child Count]],0)</f>
        <v>7528.8542953020133</v>
      </c>
      <c r="K728">
        <f>IFERROR(tblMoeHistory[[#This Row],[ESD State and Local Amount]]/tblMoeHistory[[#This Row],[Child Count]],0)</f>
        <v>1604.4959731543622</v>
      </c>
      <c r="L728">
        <f>IFERROR(tblMoeHistory[[#This Row],[State and Local Total Amount]]/tblMoeHistory[[#This Row],[Child Count]],0)</f>
        <v>9133.3502684563773</v>
      </c>
      <c r="M728">
        <v>0</v>
      </c>
      <c r="N728" t="s">
        <v>241</v>
      </c>
      <c r="O728">
        <v>553617.31999999995</v>
      </c>
      <c r="P728">
        <v>6003.9</v>
      </c>
      <c r="Q728">
        <f>tblMoeHistory[[#This Row],[Amount of IDEA Part B, Section 611 award]]+tblMoeHistory[[#This Row],[Amount of IDEA Part B, Section 619 award]]</f>
        <v>559621.22</v>
      </c>
      <c r="U7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8" t="str">
        <f>IF(OR(IFERROR(SEARCH("Met",tblMoeHistory[[#This Row],[State and Local Per Capita Result]]),0)&gt;0,IFERROR(SEARCH("Met",tblMoeHistory[[#This Row],[State and Local Total Result]]),0)&gt;0),"Met","Not Met")</f>
        <v>Met</v>
      </c>
    </row>
    <row r="729" spans="1:22" x14ac:dyDescent="0.35">
      <c r="A729" t="s">
        <v>158</v>
      </c>
      <c r="B729">
        <v>2192</v>
      </c>
      <c r="C729" t="s">
        <v>31</v>
      </c>
      <c r="D729">
        <v>14</v>
      </c>
      <c r="E729">
        <v>165159.96</v>
      </c>
      <c r="F729">
        <v>55893.49</v>
      </c>
      <c r="G729">
        <f>tblMoeHistory[[#This Row],[LEA State and Local Amount]]+tblMoeHistory[[#This Row],[ESD State and Local Amount]]</f>
        <v>221053.44999999998</v>
      </c>
      <c r="H729">
        <v>0</v>
      </c>
      <c r="I729" t="s">
        <v>240</v>
      </c>
      <c r="J729">
        <f>IFERROR(tblMoeHistory[[#This Row],[LEA State and Local Amount]]/tblMoeHistory[[#This Row],[Child Count]],0)</f>
        <v>11797.14</v>
      </c>
      <c r="K729">
        <f>IFERROR(tblMoeHistory[[#This Row],[ESD State and Local Amount]]/tblMoeHistory[[#This Row],[Child Count]],0)</f>
        <v>3992.3921428571425</v>
      </c>
      <c r="L729">
        <f>IFERROR(tblMoeHistory[[#This Row],[State and Local Total Amount]]/tblMoeHistory[[#This Row],[Child Count]],0)</f>
        <v>15789.532142857142</v>
      </c>
      <c r="M729">
        <v>0</v>
      </c>
      <c r="N729" t="s">
        <v>240</v>
      </c>
      <c r="O729">
        <v>37176.32</v>
      </c>
      <c r="P729">
        <v>933.94</v>
      </c>
      <c r="Q729">
        <f>tblMoeHistory[[#This Row],[Amount of IDEA Part B, Section 611 award]]+tblMoeHistory[[#This Row],[Amount of IDEA Part B, Section 619 award]]</f>
        <v>38110.26</v>
      </c>
      <c r="U7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9" t="str">
        <f>IF(OR(IFERROR(SEARCH("Met",tblMoeHistory[[#This Row],[State and Local Per Capita Result]]),0)&gt;0,IFERROR(SEARCH("Met",tblMoeHistory[[#This Row],[State and Local Total Result]]),0)&gt;0),"Met","Not Met")</f>
        <v>Not Met</v>
      </c>
    </row>
    <row r="730" spans="1:22" x14ac:dyDescent="0.35">
      <c r="A730" t="s">
        <v>160</v>
      </c>
      <c r="B730">
        <v>1900</v>
      </c>
      <c r="C730" t="s">
        <v>31</v>
      </c>
      <c r="D730">
        <v>182</v>
      </c>
      <c r="E730">
        <v>1093117.45</v>
      </c>
      <c r="F730">
        <v>110772</v>
      </c>
      <c r="G730">
        <f>tblMoeHistory[[#This Row],[LEA State and Local Amount]]+tblMoeHistory[[#This Row],[ESD State and Local Amount]]</f>
        <v>1203889.45</v>
      </c>
      <c r="H730">
        <v>0</v>
      </c>
      <c r="I730" t="s">
        <v>241</v>
      </c>
      <c r="J730">
        <f>IFERROR(tblMoeHistory[[#This Row],[LEA State and Local Amount]]/tblMoeHistory[[#This Row],[Child Count]],0)</f>
        <v>6006.1398351648349</v>
      </c>
      <c r="K730">
        <f>IFERROR(tblMoeHistory[[#This Row],[ESD State and Local Amount]]/tblMoeHistory[[#This Row],[Child Count]],0)</f>
        <v>608.63736263736268</v>
      </c>
      <c r="L730">
        <f>IFERROR(tblMoeHistory[[#This Row],[State and Local Total Amount]]/tblMoeHistory[[#This Row],[Child Count]],0)</f>
        <v>6614.7771978021974</v>
      </c>
      <c r="M730">
        <v>0</v>
      </c>
      <c r="N730" t="s">
        <v>240</v>
      </c>
      <c r="O730">
        <v>218189.71</v>
      </c>
      <c r="P730">
        <v>3237.66</v>
      </c>
      <c r="Q730">
        <f>tblMoeHistory[[#This Row],[Amount of IDEA Part B, Section 611 award]]+tblMoeHistory[[#This Row],[Amount of IDEA Part B, Section 619 award]]</f>
        <v>221427.37</v>
      </c>
      <c r="U7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0" t="str">
        <f>IF(OR(IFERROR(SEARCH("Met",tblMoeHistory[[#This Row],[State and Local Per Capita Result]]),0)&gt;0,IFERROR(SEARCH("Met",tblMoeHistory[[#This Row],[State and Local Total Result]]),0)&gt;0),"Met","Not Met")</f>
        <v>Met</v>
      </c>
    </row>
    <row r="731" spans="1:22" x14ac:dyDescent="0.35">
      <c r="A731" t="s">
        <v>161</v>
      </c>
      <c r="B731">
        <v>2039</v>
      </c>
      <c r="C731" t="s">
        <v>31</v>
      </c>
      <c r="D731">
        <v>403</v>
      </c>
      <c r="E731">
        <v>2408292.7999999998</v>
      </c>
      <c r="F731">
        <v>689997.78</v>
      </c>
      <c r="G731">
        <f>tblMoeHistory[[#This Row],[LEA State and Local Amount]]+tblMoeHistory[[#This Row],[ESD State and Local Amount]]</f>
        <v>3098290.58</v>
      </c>
      <c r="H731">
        <v>0</v>
      </c>
      <c r="I731" t="s">
        <v>241</v>
      </c>
      <c r="J731">
        <f>IFERROR(tblMoeHistory[[#This Row],[LEA State and Local Amount]]/tblMoeHistory[[#This Row],[Child Count]],0)</f>
        <v>5975.9126550868477</v>
      </c>
      <c r="K731">
        <f>IFERROR(tblMoeHistory[[#This Row],[ESD State and Local Amount]]/tblMoeHistory[[#This Row],[Child Count]],0)</f>
        <v>1712.153300248139</v>
      </c>
      <c r="L731">
        <f>IFERROR(tblMoeHistory[[#This Row],[State and Local Total Amount]]/tblMoeHistory[[#This Row],[Child Count]],0)</f>
        <v>7688.0659553349878</v>
      </c>
      <c r="M731">
        <v>0</v>
      </c>
      <c r="N731" t="s">
        <v>240</v>
      </c>
      <c r="O731">
        <v>408194.61</v>
      </c>
      <c r="P731">
        <v>2928.3</v>
      </c>
      <c r="Q731">
        <f>tblMoeHistory[[#This Row],[Amount of IDEA Part B, Section 611 award]]+tblMoeHistory[[#This Row],[Amount of IDEA Part B, Section 619 award]]</f>
        <v>411122.91</v>
      </c>
      <c r="U7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1" t="str">
        <f>IF(OR(IFERROR(SEARCH("Met",tblMoeHistory[[#This Row],[State and Local Per Capita Result]]),0)&gt;0,IFERROR(SEARCH("Met",tblMoeHistory[[#This Row],[State and Local Total Result]]),0)&gt;0),"Met","Not Met")</f>
        <v>Met</v>
      </c>
    </row>
    <row r="732" spans="1:22" x14ac:dyDescent="0.35">
      <c r="A732" t="s">
        <v>162</v>
      </c>
      <c r="B732">
        <v>2202</v>
      </c>
      <c r="C732" t="s">
        <v>31</v>
      </c>
      <c r="D732">
        <v>42</v>
      </c>
      <c r="E732">
        <v>264840.61</v>
      </c>
      <c r="F732">
        <v>67323.539999999994</v>
      </c>
      <c r="G732">
        <f>tblMoeHistory[[#This Row],[LEA State and Local Amount]]+tblMoeHistory[[#This Row],[ESD State and Local Amount]]</f>
        <v>332164.14999999997</v>
      </c>
      <c r="H732">
        <v>0</v>
      </c>
      <c r="I732" t="s">
        <v>241</v>
      </c>
      <c r="J732">
        <f>IFERROR(tblMoeHistory[[#This Row],[LEA State and Local Amount]]/tblMoeHistory[[#This Row],[Child Count]],0)</f>
        <v>6305.7288095238091</v>
      </c>
      <c r="K732">
        <f>IFERROR(tblMoeHistory[[#This Row],[ESD State and Local Amount]]/tblMoeHistory[[#This Row],[Child Count]],0)</f>
        <v>1602.9414285714283</v>
      </c>
      <c r="L732">
        <f>IFERROR(tblMoeHistory[[#This Row],[State and Local Total Amount]]/tblMoeHistory[[#This Row],[Child Count]],0)</f>
        <v>7908.6702380952374</v>
      </c>
      <c r="M732">
        <v>0</v>
      </c>
      <c r="N732" t="s">
        <v>240</v>
      </c>
      <c r="O732">
        <v>67366.42</v>
      </c>
      <c r="P732">
        <v>466.98</v>
      </c>
      <c r="Q732">
        <f>tblMoeHistory[[#This Row],[Amount of IDEA Part B, Section 611 award]]+tblMoeHistory[[#This Row],[Amount of IDEA Part B, Section 619 award]]</f>
        <v>67833.399999999994</v>
      </c>
      <c r="U7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2" t="str">
        <f>IF(OR(IFERROR(SEARCH("Met",tblMoeHistory[[#This Row],[State and Local Per Capita Result]]),0)&gt;0,IFERROR(SEARCH("Met",tblMoeHistory[[#This Row],[State and Local Total Result]]),0)&gt;0),"Met","Not Met")</f>
        <v>Met</v>
      </c>
    </row>
    <row r="733" spans="1:22" x14ac:dyDescent="0.35">
      <c r="A733" t="s">
        <v>163</v>
      </c>
      <c r="B733">
        <v>2016</v>
      </c>
      <c r="C733" t="s">
        <v>31</v>
      </c>
      <c r="D733">
        <v>2</v>
      </c>
      <c r="E733">
        <v>46795</v>
      </c>
      <c r="F733">
        <v>3543</v>
      </c>
      <c r="G733">
        <f>tblMoeHistory[[#This Row],[LEA State and Local Amount]]+tblMoeHistory[[#This Row],[ESD State and Local Amount]]</f>
        <v>50338</v>
      </c>
      <c r="H733">
        <v>0</v>
      </c>
      <c r="I733" t="s">
        <v>241</v>
      </c>
      <c r="J733">
        <f>IFERROR(tblMoeHistory[[#This Row],[LEA State and Local Amount]]/tblMoeHistory[[#This Row],[Child Count]],0)</f>
        <v>23397.5</v>
      </c>
      <c r="K733">
        <f>IFERROR(tblMoeHistory[[#This Row],[ESD State and Local Amount]]/tblMoeHistory[[#This Row],[Child Count]],0)</f>
        <v>1771.5</v>
      </c>
      <c r="L733">
        <f>IFERROR(tblMoeHistory[[#This Row],[State and Local Total Amount]]/tblMoeHistory[[#This Row],[Child Count]],0)</f>
        <v>25169</v>
      </c>
      <c r="M733">
        <v>0</v>
      </c>
      <c r="N733" t="s">
        <v>241</v>
      </c>
      <c r="O733">
        <v>0</v>
      </c>
      <c r="P733">
        <v>0</v>
      </c>
      <c r="Q733">
        <f>tblMoeHistory[[#This Row],[Amount of IDEA Part B, Section 611 award]]+tblMoeHistory[[#This Row],[Amount of IDEA Part B, Section 619 award]]</f>
        <v>0</v>
      </c>
      <c r="U7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3" t="str">
        <f>IF(OR(IFERROR(SEARCH("Met",tblMoeHistory[[#This Row],[State and Local Per Capita Result]]),0)&gt;0,IFERROR(SEARCH("Met",tblMoeHistory[[#This Row],[State and Local Total Result]]),0)&gt;0),"Met","Not Met")</f>
        <v>Met</v>
      </c>
    </row>
    <row r="734" spans="1:22" x14ac:dyDescent="0.35">
      <c r="A734" t="s">
        <v>164</v>
      </c>
      <c r="B734">
        <v>1897</v>
      </c>
      <c r="C734" t="s">
        <v>31</v>
      </c>
      <c r="D734">
        <v>33</v>
      </c>
      <c r="E734">
        <v>157958.12</v>
      </c>
      <c r="F734">
        <v>0</v>
      </c>
      <c r="G734">
        <f>tblMoeHistory[[#This Row],[LEA State and Local Amount]]+tblMoeHistory[[#This Row],[ESD State and Local Amount]]</f>
        <v>157958.12</v>
      </c>
      <c r="H734">
        <v>0</v>
      </c>
      <c r="I734" t="s">
        <v>241</v>
      </c>
      <c r="J734">
        <f>IFERROR(tblMoeHistory[[#This Row],[LEA State and Local Amount]]/tblMoeHistory[[#This Row],[Child Count]],0)</f>
        <v>4786.6096969696964</v>
      </c>
      <c r="K734">
        <f>IFERROR(tblMoeHistory[[#This Row],[ESD State and Local Amount]]/tblMoeHistory[[#This Row],[Child Count]],0)</f>
        <v>0</v>
      </c>
      <c r="L734">
        <f>IFERROR(tblMoeHistory[[#This Row],[State and Local Total Amount]]/tblMoeHistory[[#This Row],[Child Count]],0)</f>
        <v>4786.6096969696964</v>
      </c>
      <c r="M734">
        <v>0</v>
      </c>
      <c r="N734" t="s">
        <v>240</v>
      </c>
      <c r="O734">
        <v>33007.94</v>
      </c>
      <c r="P734">
        <v>0</v>
      </c>
      <c r="Q734">
        <f>tblMoeHistory[[#This Row],[Amount of IDEA Part B, Section 611 award]]+tblMoeHistory[[#This Row],[Amount of IDEA Part B, Section 619 award]]</f>
        <v>33007.94</v>
      </c>
      <c r="U7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4" t="str">
        <f>IF(OR(IFERROR(SEARCH("Met",tblMoeHistory[[#This Row],[State and Local Per Capita Result]]),0)&gt;0,IFERROR(SEARCH("Met",tblMoeHistory[[#This Row],[State and Local Total Result]]),0)&gt;0),"Met","Not Met")</f>
        <v>Met</v>
      </c>
    </row>
    <row r="735" spans="1:22" x14ac:dyDescent="0.35">
      <c r="A735" t="s">
        <v>165</v>
      </c>
      <c r="B735">
        <v>2047</v>
      </c>
      <c r="C735" t="s">
        <v>31</v>
      </c>
      <c r="D735">
        <v>3</v>
      </c>
      <c r="E735">
        <v>10937</v>
      </c>
      <c r="F735">
        <v>3904.63</v>
      </c>
      <c r="G735">
        <f>tblMoeHistory[[#This Row],[LEA State and Local Amount]]+tblMoeHistory[[#This Row],[ESD State and Local Amount]]</f>
        <v>14841.630000000001</v>
      </c>
      <c r="H735">
        <v>0</v>
      </c>
      <c r="I735" t="s">
        <v>241</v>
      </c>
      <c r="J735">
        <f>IFERROR(tblMoeHistory[[#This Row],[LEA State and Local Amount]]/tblMoeHistory[[#This Row],[Child Count]],0)</f>
        <v>3645.6666666666665</v>
      </c>
      <c r="K735">
        <f>IFERROR(tblMoeHistory[[#This Row],[ESD State and Local Amount]]/tblMoeHistory[[#This Row],[Child Count]],0)</f>
        <v>1301.5433333333333</v>
      </c>
      <c r="L735">
        <f>IFERROR(tblMoeHistory[[#This Row],[State and Local Total Amount]]/tblMoeHistory[[#This Row],[Child Count]],0)</f>
        <v>4947.21</v>
      </c>
      <c r="M735">
        <v>0</v>
      </c>
      <c r="N735" t="s">
        <v>240</v>
      </c>
      <c r="O735">
        <v>8189.1</v>
      </c>
      <c r="P735">
        <v>933.94</v>
      </c>
      <c r="Q735">
        <f>tblMoeHistory[[#This Row],[Amount of IDEA Part B, Section 611 award]]+tblMoeHistory[[#This Row],[Amount of IDEA Part B, Section 619 award]]</f>
        <v>9123.0400000000009</v>
      </c>
      <c r="U7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5" t="str">
        <f>IF(OR(IFERROR(SEARCH("Met",tblMoeHistory[[#This Row],[State and Local Per Capita Result]]),0)&gt;0,IFERROR(SEARCH("Met",tblMoeHistory[[#This Row],[State and Local Total Result]]),0)&gt;0),"Met","Not Met")</f>
        <v>Met</v>
      </c>
    </row>
    <row r="736" spans="1:22" x14ac:dyDescent="0.35">
      <c r="A736" t="s">
        <v>166</v>
      </c>
      <c r="B736">
        <v>2081</v>
      </c>
      <c r="C736" t="s">
        <v>31</v>
      </c>
      <c r="D736">
        <v>111</v>
      </c>
      <c r="E736">
        <v>933624.67</v>
      </c>
      <c r="F736">
        <v>311208</v>
      </c>
      <c r="G736">
        <f>tblMoeHistory[[#This Row],[LEA State and Local Amount]]+tblMoeHistory[[#This Row],[ESD State and Local Amount]]</f>
        <v>1244832.67</v>
      </c>
      <c r="H736">
        <v>0</v>
      </c>
      <c r="I736" t="s">
        <v>241</v>
      </c>
      <c r="J736">
        <f>IFERROR(tblMoeHistory[[#This Row],[LEA State and Local Amount]]/tblMoeHistory[[#This Row],[Child Count]],0)</f>
        <v>8411.0330630630633</v>
      </c>
      <c r="K736">
        <f>IFERROR(tblMoeHistory[[#This Row],[ESD State and Local Amount]]/tblMoeHistory[[#This Row],[Child Count]],0)</f>
        <v>2803.6756756756758</v>
      </c>
      <c r="L736">
        <f>IFERROR(tblMoeHistory[[#This Row],[State and Local Total Amount]]/tblMoeHistory[[#This Row],[Child Count]],0)</f>
        <v>11214.708738738738</v>
      </c>
      <c r="M736">
        <v>0</v>
      </c>
      <c r="N736" t="s">
        <v>240</v>
      </c>
      <c r="O736">
        <v>153254.13</v>
      </c>
      <c r="P736">
        <v>933.94</v>
      </c>
      <c r="Q736">
        <f>tblMoeHistory[[#This Row],[Amount of IDEA Part B, Section 611 award]]+tblMoeHistory[[#This Row],[Amount of IDEA Part B, Section 619 award]]</f>
        <v>154188.07</v>
      </c>
      <c r="U7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6" t="str">
        <f>IF(OR(IFERROR(SEARCH("Met",tblMoeHistory[[#This Row],[State and Local Per Capita Result]]),0)&gt;0,IFERROR(SEARCH("Met",tblMoeHistory[[#This Row],[State and Local Total Result]]),0)&gt;0),"Met","Not Met")</f>
        <v>Met</v>
      </c>
    </row>
    <row r="737" spans="1:22" x14ac:dyDescent="0.35">
      <c r="A737" t="s">
        <v>167</v>
      </c>
      <c r="B737">
        <v>2062</v>
      </c>
      <c r="C737" t="s">
        <v>31</v>
      </c>
      <c r="D737">
        <v>1</v>
      </c>
      <c r="E737">
        <v>0</v>
      </c>
      <c r="F737">
        <v>11535.49</v>
      </c>
      <c r="G737">
        <f>tblMoeHistory[[#This Row],[LEA State and Local Amount]]+tblMoeHistory[[#This Row],[ESD State and Local Amount]]</f>
        <v>11535.49</v>
      </c>
      <c r="H737">
        <v>0</v>
      </c>
      <c r="I737" t="s">
        <v>240</v>
      </c>
      <c r="J737">
        <f>IFERROR(tblMoeHistory[[#This Row],[LEA State and Local Amount]]/tblMoeHistory[[#This Row],[Child Count]],0)</f>
        <v>0</v>
      </c>
      <c r="K737">
        <f>IFERROR(tblMoeHistory[[#This Row],[ESD State and Local Amount]]/tblMoeHistory[[#This Row],[Child Count]],0)</f>
        <v>11535.49</v>
      </c>
      <c r="L737">
        <f>IFERROR(tblMoeHistory[[#This Row],[State and Local Total Amount]]/tblMoeHistory[[#This Row],[Child Count]],0)</f>
        <v>11535.49</v>
      </c>
      <c r="M737">
        <v>0</v>
      </c>
      <c r="N737" t="s">
        <v>240</v>
      </c>
      <c r="O737">
        <v>2533.63</v>
      </c>
      <c r="P737">
        <v>0</v>
      </c>
      <c r="Q737">
        <f>tblMoeHistory[[#This Row],[Amount of IDEA Part B, Section 611 award]]+tblMoeHistory[[#This Row],[Amount of IDEA Part B, Section 619 award]]</f>
        <v>2533.63</v>
      </c>
      <c r="U7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7" t="str">
        <f>IF(OR(IFERROR(SEARCH("Met",tblMoeHistory[[#This Row],[State and Local Per Capita Result]]),0)&gt;0,IFERROR(SEARCH("Met",tblMoeHistory[[#This Row],[State and Local Total Result]]),0)&gt;0),"Met","Not Met")</f>
        <v>Not Met</v>
      </c>
    </row>
    <row r="738" spans="1:22" x14ac:dyDescent="0.35">
      <c r="A738" t="s">
        <v>168</v>
      </c>
      <c r="B738">
        <v>1973</v>
      </c>
      <c r="C738" t="s">
        <v>31</v>
      </c>
      <c r="D738">
        <v>26</v>
      </c>
      <c r="E738">
        <v>222410.94</v>
      </c>
      <c r="F738">
        <v>85220</v>
      </c>
      <c r="G738">
        <f>tblMoeHistory[[#This Row],[LEA State and Local Amount]]+tblMoeHistory[[#This Row],[ESD State and Local Amount]]</f>
        <v>307630.94</v>
      </c>
      <c r="H738">
        <v>0</v>
      </c>
      <c r="I738" t="s">
        <v>242</v>
      </c>
      <c r="J738">
        <f>IFERROR(tblMoeHistory[[#This Row],[LEA State and Local Amount]]/tblMoeHistory[[#This Row],[Child Count]],0)</f>
        <v>8554.2669230769225</v>
      </c>
      <c r="K738">
        <f>IFERROR(tblMoeHistory[[#This Row],[ESD State and Local Amount]]/tblMoeHistory[[#This Row],[Child Count]],0)</f>
        <v>3277.6923076923076</v>
      </c>
      <c r="L738">
        <f>IFERROR(tblMoeHistory[[#This Row],[State and Local Total Amount]]/tblMoeHistory[[#This Row],[Child Count]],0)</f>
        <v>11831.959230769231</v>
      </c>
      <c r="M738">
        <v>0</v>
      </c>
      <c r="N738" t="s">
        <v>240</v>
      </c>
      <c r="O738">
        <v>59144.29</v>
      </c>
      <c r="P738">
        <v>583.71</v>
      </c>
      <c r="Q738">
        <f>tblMoeHistory[[#This Row],[Amount of IDEA Part B, Section 611 award]]+tblMoeHistory[[#This Row],[Amount of IDEA Part B, Section 619 award]]</f>
        <v>59728</v>
      </c>
      <c r="S738">
        <v>34562</v>
      </c>
      <c r="U7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8" t="str">
        <f>IF(OR(IFERROR(SEARCH("Met",tblMoeHistory[[#This Row],[State and Local Per Capita Result]]),0)&gt;0,IFERROR(SEARCH("Met",tblMoeHistory[[#This Row],[State and Local Total Result]]),0)&gt;0),"Met","Not Met")</f>
        <v>Met</v>
      </c>
    </row>
    <row r="739" spans="1:22" x14ac:dyDescent="0.35">
      <c r="A739" t="s">
        <v>169</v>
      </c>
      <c r="B739">
        <v>2180</v>
      </c>
      <c r="C739" t="s">
        <v>31</v>
      </c>
      <c r="D739">
        <v>6653</v>
      </c>
      <c r="E739">
        <v>73352834.519999996</v>
      </c>
      <c r="F739">
        <v>1309092.4099999999</v>
      </c>
      <c r="G739">
        <f>tblMoeHistory[[#This Row],[LEA State and Local Amount]]+tblMoeHistory[[#This Row],[ESD State and Local Amount]]</f>
        <v>74661926.929999992</v>
      </c>
      <c r="H739">
        <v>0</v>
      </c>
      <c r="I739" t="s">
        <v>241</v>
      </c>
      <c r="J739">
        <f>IFERROR(tblMoeHistory[[#This Row],[LEA State and Local Amount]]/tblMoeHistory[[#This Row],[Child Count]],0)</f>
        <v>11025.527509394258</v>
      </c>
      <c r="K739">
        <f>IFERROR(tblMoeHistory[[#This Row],[ESD State and Local Amount]]/tblMoeHistory[[#This Row],[Child Count]],0)</f>
        <v>196.76723433037725</v>
      </c>
      <c r="L739">
        <f>IFERROR(tblMoeHistory[[#This Row],[State and Local Total Amount]]/tblMoeHistory[[#This Row],[Child Count]],0)</f>
        <v>11222.294743724635</v>
      </c>
      <c r="M739">
        <v>0</v>
      </c>
      <c r="N739" t="s">
        <v>241</v>
      </c>
      <c r="O739">
        <v>7246356.7199999997</v>
      </c>
      <c r="P739">
        <v>93391.15</v>
      </c>
      <c r="Q739">
        <f>tblMoeHistory[[#This Row],[Amount of IDEA Part B, Section 611 award]]+tblMoeHistory[[#This Row],[Amount of IDEA Part B, Section 619 award]]</f>
        <v>7339747.8700000001</v>
      </c>
      <c r="U7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9" t="str">
        <f>IF(OR(IFERROR(SEARCH("Met",tblMoeHistory[[#This Row],[State and Local Per Capita Result]]),0)&gt;0,IFERROR(SEARCH("Met",tblMoeHistory[[#This Row],[State and Local Total Result]]),0)&gt;0),"Met","Not Met")</f>
        <v>Met</v>
      </c>
    </row>
    <row r="740" spans="1:22" x14ac:dyDescent="0.35">
      <c r="A740" t="s">
        <v>170</v>
      </c>
      <c r="B740">
        <v>1967</v>
      </c>
      <c r="C740" t="s">
        <v>31</v>
      </c>
      <c r="D740">
        <v>18</v>
      </c>
      <c r="E740">
        <v>134264.59</v>
      </c>
      <c r="F740">
        <v>29191</v>
      </c>
      <c r="G740">
        <f>tblMoeHistory[[#This Row],[LEA State and Local Amount]]+tblMoeHistory[[#This Row],[ESD State and Local Amount]]</f>
        <v>163455.59</v>
      </c>
      <c r="H740">
        <v>0</v>
      </c>
      <c r="I740" t="s">
        <v>241</v>
      </c>
      <c r="J740">
        <f>IFERROR(tblMoeHistory[[#This Row],[LEA State and Local Amount]]/tblMoeHistory[[#This Row],[Child Count]],0)</f>
        <v>7459.1438888888888</v>
      </c>
      <c r="K740">
        <f>IFERROR(tblMoeHistory[[#This Row],[ESD State and Local Amount]]/tblMoeHistory[[#This Row],[Child Count]],0)</f>
        <v>1621.7222222222222</v>
      </c>
      <c r="L740">
        <f>IFERROR(tblMoeHistory[[#This Row],[State and Local Total Amount]]/tblMoeHistory[[#This Row],[Child Count]],0)</f>
        <v>9080.8661111111105</v>
      </c>
      <c r="M740">
        <v>0</v>
      </c>
      <c r="N740" t="s">
        <v>240</v>
      </c>
      <c r="O740">
        <v>24311.759999999998</v>
      </c>
      <c r="P740">
        <v>0</v>
      </c>
      <c r="Q740">
        <f>tblMoeHistory[[#This Row],[Amount of IDEA Part B, Section 611 award]]+tblMoeHistory[[#This Row],[Amount of IDEA Part B, Section 619 award]]</f>
        <v>24311.759999999998</v>
      </c>
      <c r="U7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0" t="str">
        <f>IF(OR(IFERROR(SEARCH("Met",tblMoeHistory[[#This Row],[State and Local Per Capita Result]]),0)&gt;0,IFERROR(SEARCH("Met",tblMoeHistory[[#This Row],[State and Local Total Result]]),0)&gt;0),"Met","Not Met")</f>
        <v>Met</v>
      </c>
    </row>
    <row r="741" spans="1:22" x14ac:dyDescent="0.35">
      <c r="A741" t="s">
        <v>171</v>
      </c>
      <c r="B741">
        <v>2009</v>
      </c>
      <c r="C741" t="s">
        <v>31</v>
      </c>
      <c r="D741">
        <v>30</v>
      </c>
      <c r="E741">
        <v>88576.84</v>
      </c>
      <c r="F741">
        <v>107652.51</v>
      </c>
      <c r="G741">
        <f>tblMoeHistory[[#This Row],[LEA State and Local Amount]]+tblMoeHistory[[#This Row],[ESD State and Local Amount]]</f>
        <v>196229.34999999998</v>
      </c>
      <c r="H741">
        <v>0</v>
      </c>
      <c r="I741" t="s">
        <v>240</v>
      </c>
      <c r="J741">
        <f>IFERROR(tblMoeHistory[[#This Row],[LEA State and Local Amount]]/tblMoeHistory[[#This Row],[Child Count]],0)</f>
        <v>2952.5613333333331</v>
      </c>
      <c r="K741">
        <f>IFERROR(tblMoeHistory[[#This Row],[ESD State and Local Amount]]/tblMoeHistory[[#This Row],[Child Count]],0)</f>
        <v>3588.4169999999999</v>
      </c>
      <c r="L741">
        <f>IFERROR(tblMoeHistory[[#This Row],[State and Local Total Amount]]/tblMoeHistory[[#This Row],[Child Count]],0)</f>
        <v>6540.9783333333326</v>
      </c>
      <c r="M741">
        <v>0</v>
      </c>
      <c r="N741" t="s">
        <v>240</v>
      </c>
      <c r="O741">
        <v>23415.73</v>
      </c>
      <c r="P741">
        <v>0</v>
      </c>
      <c r="Q741">
        <f>tblMoeHistory[[#This Row],[Amount of IDEA Part B, Section 611 award]]+tblMoeHistory[[#This Row],[Amount of IDEA Part B, Section 619 award]]</f>
        <v>23415.73</v>
      </c>
      <c r="U7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1" t="str">
        <f>IF(OR(IFERROR(SEARCH("Met",tblMoeHistory[[#This Row],[State and Local Per Capita Result]]),0)&gt;0,IFERROR(SEARCH("Met",tblMoeHistory[[#This Row],[State and Local Total Result]]),0)&gt;0),"Met","Not Met")</f>
        <v>Not Met</v>
      </c>
    </row>
    <row r="742" spans="1:22" x14ac:dyDescent="0.35">
      <c r="A742" t="s">
        <v>172</v>
      </c>
      <c r="B742">
        <v>2045</v>
      </c>
      <c r="C742" t="s">
        <v>31</v>
      </c>
      <c r="D742">
        <v>28</v>
      </c>
      <c r="E742">
        <v>155178.23999999999</v>
      </c>
      <c r="F742">
        <v>66678.789999999994</v>
      </c>
      <c r="G742">
        <f>tblMoeHistory[[#This Row],[LEA State and Local Amount]]+tblMoeHistory[[#This Row],[ESD State and Local Amount]]</f>
        <v>221857.02999999997</v>
      </c>
      <c r="H742">
        <v>0</v>
      </c>
      <c r="I742" t="s">
        <v>242</v>
      </c>
      <c r="J742">
        <f>IFERROR(tblMoeHistory[[#This Row],[LEA State and Local Amount]]/tblMoeHistory[[#This Row],[Child Count]],0)</f>
        <v>5542.08</v>
      </c>
      <c r="K742">
        <f>IFERROR(tblMoeHistory[[#This Row],[ESD State and Local Amount]]/tblMoeHistory[[#This Row],[Child Count]],0)</f>
        <v>2381.3853571428567</v>
      </c>
      <c r="L742">
        <f>IFERROR(tblMoeHistory[[#This Row],[State and Local Total Amount]]/tblMoeHistory[[#This Row],[Child Count]],0)</f>
        <v>7923.4653571428562</v>
      </c>
      <c r="M742">
        <v>0</v>
      </c>
      <c r="N742" t="s">
        <v>240</v>
      </c>
      <c r="O742">
        <v>36812.589999999997</v>
      </c>
      <c r="P742">
        <v>933.94</v>
      </c>
      <c r="Q742">
        <f>tblMoeHistory[[#This Row],[Amount of IDEA Part B, Section 611 award]]+tblMoeHistory[[#This Row],[Amount of IDEA Part B, Section 619 award]]</f>
        <v>37746.53</v>
      </c>
      <c r="S742">
        <v>78720.37</v>
      </c>
      <c r="U7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2" t="str">
        <f>IF(OR(IFERROR(SEARCH("Met",tblMoeHistory[[#This Row],[State and Local Per Capita Result]]),0)&gt;0,IFERROR(SEARCH("Met",tblMoeHistory[[#This Row],[State and Local Total Result]]),0)&gt;0),"Met","Not Met")</f>
        <v>Met</v>
      </c>
    </row>
    <row r="743" spans="1:22" x14ac:dyDescent="0.35">
      <c r="A743" t="s">
        <v>173</v>
      </c>
      <c r="B743">
        <v>1946</v>
      </c>
      <c r="C743" t="s">
        <v>31</v>
      </c>
      <c r="D743">
        <v>117</v>
      </c>
      <c r="E743">
        <v>1505353.18</v>
      </c>
      <c r="F743">
        <v>98063</v>
      </c>
      <c r="G743">
        <f>tblMoeHistory[[#This Row],[LEA State and Local Amount]]+tblMoeHistory[[#This Row],[ESD State and Local Amount]]</f>
        <v>1603416.18</v>
      </c>
      <c r="H743">
        <v>0</v>
      </c>
      <c r="I743" t="s">
        <v>242</v>
      </c>
      <c r="J743">
        <f>IFERROR(tblMoeHistory[[#This Row],[LEA State and Local Amount]]/tblMoeHistory[[#This Row],[Child Count]],0)</f>
        <v>12866.266495726495</v>
      </c>
      <c r="K743">
        <f>IFERROR(tblMoeHistory[[#This Row],[ESD State and Local Amount]]/tblMoeHistory[[#This Row],[Child Count]],0)</f>
        <v>838.14529914529919</v>
      </c>
      <c r="L743">
        <f>IFERROR(tblMoeHistory[[#This Row],[State and Local Total Amount]]/tblMoeHistory[[#This Row],[Child Count]],0)</f>
        <v>13704.411794871794</v>
      </c>
      <c r="M743">
        <v>0</v>
      </c>
      <c r="N743" t="s">
        <v>241</v>
      </c>
      <c r="O743">
        <v>197094.16</v>
      </c>
      <c r="P743">
        <v>2334.85</v>
      </c>
      <c r="Q743">
        <f>tblMoeHistory[[#This Row],[Amount of IDEA Part B, Section 611 award]]+tblMoeHistory[[#This Row],[Amount of IDEA Part B, Section 619 award]]</f>
        <v>199429.01</v>
      </c>
      <c r="S743">
        <v>142813.9</v>
      </c>
      <c r="T743">
        <v>142813.9</v>
      </c>
      <c r="U7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3" t="str">
        <f>IF(OR(IFERROR(SEARCH("Met",tblMoeHistory[[#This Row],[State and Local Per Capita Result]]),0)&gt;0,IFERROR(SEARCH("Met",tblMoeHistory[[#This Row],[State and Local Total Result]]),0)&gt;0),"Met","Not Met")</f>
        <v>Met</v>
      </c>
    </row>
    <row r="744" spans="1:22" x14ac:dyDescent="0.35">
      <c r="A744" t="s">
        <v>174</v>
      </c>
      <c r="B744">
        <v>1977</v>
      </c>
      <c r="C744" t="s">
        <v>31</v>
      </c>
      <c r="D744">
        <v>947</v>
      </c>
      <c r="E744">
        <v>7082376.2300000004</v>
      </c>
      <c r="F744">
        <v>1161176.08</v>
      </c>
      <c r="G744">
        <f>tblMoeHistory[[#This Row],[LEA State and Local Amount]]+tblMoeHistory[[#This Row],[ESD State and Local Amount]]</f>
        <v>8243552.3100000005</v>
      </c>
      <c r="H744">
        <v>0</v>
      </c>
      <c r="I744" t="s">
        <v>241</v>
      </c>
      <c r="J744">
        <f>IFERROR(tblMoeHistory[[#This Row],[LEA State and Local Amount]]/tblMoeHistory[[#This Row],[Child Count]],0)</f>
        <v>7478.7499788806763</v>
      </c>
      <c r="K744">
        <f>IFERROR(tblMoeHistory[[#This Row],[ESD State and Local Amount]]/tblMoeHistory[[#This Row],[Child Count]],0)</f>
        <v>1226.1627032734953</v>
      </c>
      <c r="L744">
        <f>IFERROR(tblMoeHistory[[#This Row],[State and Local Total Amount]]/tblMoeHistory[[#This Row],[Child Count]],0)</f>
        <v>8704.9126821541722</v>
      </c>
      <c r="M744">
        <v>0</v>
      </c>
      <c r="N744" t="s">
        <v>241</v>
      </c>
      <c r="O744">
        <v>963026.69</v>
      </c>
      <c r="P744">
        <v>5983.06</v>
      </c>
      <c r="Q744">
        <f>tblMoeHistory[[#This Row],[Amount of IDEA Part B, Section 611 award]]+tblMoeHistory[[#This Row],[Amount of IDEA Part B, Section 619 award]]</f>
        <v>969009.75</v>
      </c>
      <c r="U7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4" t="str">
        <f>IF(OR(IFERROR(SEARCH("Met",tblMoeHistory[[#This Row],[State and Local Per Capita Result]]),0)&gt;0,IFERROR(SEARCH("Met",tblMoeHistory[[#This Row],[State and Local Total Result]]),0)&gt;0),"Met","Not Met")</f>
        <v>Met</v>
      </c>
    </row>
    <row r="745" spans="1:22" x14ac:dyDescent="0.35">
      <c r="A745" t="s">
        <v>175</v>
      </c>
      <c r="B745">
        <v>2001</v>
      </c>
      <c r="C745" t="s">
        <v>31</v>
      </c>
      <c r="D745">
        <v>89</v>
      </c>
      <c r="E745">
        <v>489489.79</v>
      </c>
      <c r="F745">
        <v>345964</v>
      </c>
      <c r="G745">
        <f>tblMoeHistory[[#This Row],[LEA State and Local Amount]]+tblMoeHistory[[#This Row],[ESD State and Local Amount]]</f>
        <v>835453.79</v>
      </c>
      <c r="H745">
        <v>0</v>
      </c>
      <c r="I745" t="s">
        <v>240</v>
      </c>
      <c r="J745">
        <f>IFERROR(tblMoeHistory[[#This Row],[LEA State and Local Amount]]/tblMoeHistory[[#This Row],[Child Count]],0)</f>
        <v>5499.8852808988759</v>
      </c>
      <c r="K745">
        <f>IFERROR(tblMoeHistory[[#This Row],[ESD State and Local Amount]]/tblMoeHistory[[#This Row],[Child Count]],0)</f>
        <v>3887.2359550561796</v>
      </c>
      <c r="L745">
        <f>IFERROR(tblMoeHistory[[#This Row],[State and Local Total Amount]]/tblMoeHistory[[#This Row],[Child Count]],0)</f>
        <v>9387.1212359550573</v>
      </c>
      <c r="M745">
        <v>0</v>
      </c>
      <c r="N745" t="s">
        <v>240</v>
      </c>
      <c r="O745">
        <v>115242.79</v>
      </c>
      <c r="P745">
        <v>887.24</v>
      </c>
      <c r="Q745">
        <f>tblMoeHistory[[#This Row],[Amount of IDEA Part B, Section 611 award]]+tblMoeHistory[[#This Row],[Amount of IDEA Part B, Section 619 award]]</f>
        <v>116130.03</v>
      </c>
      <c r="U7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5" t="str">
        <f>IF(OR(IFERROR(SEARCH("Met",tblMoeHistory[[#This Row],[State and Local Per Capita Result]]),0)&gt;0,IFERROR(SEARCH("Met",tblMoeHistory[[#This Row],[State and Local Total Result]]),0)&gt;0),"Met","Not Met")</f>
        <v>Not Met</v>
      </c>
    </row>
    <row r="746" spans="1:22" x14ac:dyDescent="0.35">
      <c r="A746" t="s">
        <v>176</v>
      </c>
      <c r="B746">
        <v>2182</v>
      </c>
      <c r="C746" t="s">
        <v>31</v>
      </c>
      <c r="D746">
        <v>1720</v>
      </c>
      <c r="E746">
        <v>15987512</v>
      </c>
      <c r="F746">
        <v>1903883.19</v>
      </c>
      <c r="G746">
        <f>tblMoeHistory[[#This Row],[LEA State and Local Amount]]+tblMoeHistory[[#This Row],[ESD State and Local Amount]]</f>
        <v>17891395.190000001</v>
      </c>
      <c r="H746">
        <v>0</v>
      </c>
      <c r="I746" t="s">
        <v>240</v>
      </c>
      <c r="J746">
        <f>IFERROR(tblMoeHistory[[#This Row],[LEA State and Local Amount]]/tblMoeHistory[[#This Row],[Child Count]],0)</f>
        <v>9295.0651162790691</v>
      </c>
      <c r="K746">
        <f>IFERROR(tblMoeHistory[[#This Row],[ESD State and Local Amount]]/tblMoeHistory[[#This Row],[Child Count]],0)</f>
        <v>1106.9088313953489</v>
      </c>
      <c r="L746">
        <f>IFERROR(tblMoeHistory[[#This Row],[State and Local Total Amount]]/tblMoeHistory[[#This Row],[Child Count]],0)</f>
        <v>10401.97394767442</v>
      </c>
      <c r="M746">
        <v>0</v>
      </c>
      <c r="N746" t="s">
        <v>240</v>
      </c>
      <c r="O746">
        <v>1672335.92</v>
      </c>
      <c r="P746">
        <v>8329.74</v>
      </c>
      <c r="Q746">
        <f>tblMoeHistory[[#This Row],[Amount of IDEA Part B, Section 611 award]]+tblMoeHistory[[#This Row],[Amount of IDEA Part B, Section 619 award]]</f>
        <v>1680665.66</v>
      </c>
      <c r="U7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6" t="str">
        <f>IF(OR(IFERROR(SEARCH("Met",tblMoeHistory[[#This Row],[State and Local Per Capita Result]]),0)&gt;0,IFERROR(SEARCH("Met",tblMoeHistory[[#This Row],[State and Local Total Result]]),0)&gt;0),"Met","Not Met")</f>
        <v>Not Met</v>
      </c>
    </row>
    <row r="747" spans="1:22" x14ac:dyDescent="0.35">
      <c r="A747" t="s">
        <v>177</v>
      </c>
      <c r="B747">
        <v>1999</v>
      </c>
      <c r="C747" t="s">
        <v>31</v>
      </c>
      <c r="D747">
        <v>61</v>
      </c>
      <c r="E747">
        <v>507592.7</v>
      </c>
      <c r="F747">
        <v>80413.679999999993</v>
      </c>
      <c r="G747">
        <f>tblMoeHistory[[#This Row],[LEA State and Local Amount]]+tblMoeHistory[[#This Row],[ESD State and Local Amount]]</f>
        <v>588006.38</v>
      </c>
      <c r="H747">
        <v>0</v>
      </c>
      <c r="I747" t="s">
        <v>241</v>
      </c>
      <c r="J747">
        <f>IFERROR(tblMoeHistory[[#This Row],[LEA State and Local Amount]]/tblMoeHistory[[#This Row],[Child Count]],0)</f>
        <v>8321.1918032786889</v>
      </c>
      <c r="K747">
        <f>IFERROR(tblMoeHistory[[#This Row],[ESD State and Local Amount]]/tblMoeHistory[[#This Row],[Child Count]],0)</f>
        <v>1318.2570491803278</v>
      </c>
      <c r="L747">
        <f>IFERROR(tblMoeHistory[[#This Row],[State and Local Total Amount]]/tblMoeHistory[[#This Row],[Child Count]],0)</f>
        <v>9639.4488524590161</v>
      </c>
      <c r="M747">
        <v>0</v>
      </c>
      <c r="N747" t="s">
        <v>241</v>
      </c>
      <c r="O747">
        <v>70386.11</v>
      </c>
      <c r="P747">
        <v>400.26</v>
      </c>
      <c r="Q747">
        <f>tblMoeHistory[[#This Row],[Amount of IDEA Part B, Section 611 award]]+tblMoeHistory[[#This Row],[Amount of IDEA Part B, Section 619 award]]</f>
        <v>70786.37</v>
      </c>
      <c r="U7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7" t="str">
        <f>IF(OR(IFERROR(SEARCH("Met",tblMoeHistory[[#This Row],[State and Local Per Capita Result]]),0)&gt;0,IFERROR(SEARCH("Met",tblMoeHistory[[#This Row],[State and Local Total Result]]),0)&gt;0),"Met","Not Met")</f>
        <v>Met</v>
      </c>
    </row>
    <row r="748" spans="1:22" x14ac:dyDescent="0.35">
      <c r="A748" t="s">
        <v>178</v>
      </c>
      <c r="B748">
        <v>2188</v>
      </c>
      <c r="C748" t="s">
        <v>31</v>
      </c>
      <c r="D748">
        <v>51</v>
      </c>
      <c r="E748">
        <v>324936.74</v>
      </c>
      <c r="F748">
        <v>145103.32999999999</v>
      </c>
      <c r="G748">
        <f>tblMoeHistory[[#This Row],[LEA State and Local Amount]]+tblMoeHistory[[#This Row],[ESD State and Local Amount]]</f>
        <v>470040.06999999995</v>
      </c>
      <c r="H748">
        <v>0</v>
      </c>
      <c r="I748" t="s">
        <v>241</v>
      </c>
      <c r="J748">
        <f>IFERROR(tblMoeHistory[[#This Row],[LEA State and Local Amount]]/tblMoeHistory[[#This Row],[Child Count]],0)</f>
        <v>6371.3086274509806</v>
      </c>
      <c r="K748">
        <f>IFERROR(tblMoeHistory[[#This Row],[ESD State and Local Amount]]/tblMoeHistory[[#This Row],[Child Count]],0)</f>
        <v>2845.163333333333</v>
      </c>
      <c r="L748">
        <f>IFERROR(tblMoeHistory[[#This Row],[State and Local Total Amount]]/tblMoeHistory[[#This Row],[Child Count]],0)</f>
        <v>9216.4719607843126</v>
      </c>
      <c r="M748">
        <v>0</v>
      </c>
      <c r="N748" t="s">
        <v>241</v>
      </c>
      <c r="O748">
        <v>65612.83</v>
      </c>
      <c r="P748">
        <v>280.18</v>
      </c>
      <c r="Q748">
        <f>tblMoeHistory[[#This Row],[Amount of IDEA Part B, Section 611 award]]+tblMoeHistory[[#This Row],[Amount of IDEA Part B, Section 619 award]]</f>
        <v>65893.009999999995</v>
      </c>
      <c r="T748">
        <v>11107.74</v>
      </c>
      <c r="U7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8" t="str">
        <f>IF(OR(IFERROR(SEARCH("Met",tblMoeHistory[[#This Row],[State and Local Per Capita Result]]),0)&gt;0,IFERROR(SEARCH("Met",tblMoeHistory[[#This Row],[State and Local Total Result]]),0)&gt;0),"Met","Not Met")</f>
        <v>Met</v>
      </c>
    </row>
    <row r="749" spans="1:22" x14ac:dyDescent="0.35">
      <c r="A749" t="s">
        <v>179</v>
      </c>
      <c r="B749">
        <v>2044</v>
      </c>
      <c r="C749" t="s">
        <v>31</v>
      </c>
      <c r="D749">
        <v>162</v>
      </c>
      <c r="E749">
        <v>958127.99</v>
      </c>
      <c r="F749">
        <v>441754.74</v>
      </c>
      <c r="G749">
        <f>tblMoeHistory[[#This Row],[LEA State and Local Amount]]+tblMoeHistory[[#This Row],[ESD State and Local Amount]]</f>
        <v>1399882.73</v>
      </c>
      <c r="H749">
        <v>0</v>
      </c>
      <c r="I749" t="s">
        <v>241</v>
      </c>
      <c r="J749">
        <f>IFERROR(tblMoeHistory[[#This Row],[LEA State and Local Amount]]/tblMoeHistory[[#This Row],[Child Count]],0)</f>
        <v>5914.3703086419755</v>
      </c>
      <c r="K749">
        <f>IFERROR(tblMoeHistory[[#This Row],[ESD State and Local Amount]]/tblMoeHistory[[#This Row],[Child Count]],0)</f>
        <v>2726.8811111111108</v>
      </c>
      <c r="L749">
        <f>IFERROR(tblMoeHistory[[#This Row],[State and Local Total Amount]]/tblMoeHistory[[#This Row],[Child Count]],0)</f>
        <v>8641.2514197530854</v>
      </c>
      <c r="M749">
        <v>0</v>
      </c>
      <c r="N749" t="s">
        <v>240</v>
      </c>
      <c r="O749">
        <v>156224.91</v>
      </c>
      <c r="P749">
        <v>0</v>
      </c>
      <c r="Q749">
        <f>tblMoeHistory[[#This Row],[Amount of IDEA Part B, Section 611 award]]+tblMoeHistory[[#This Row],[Amount of IDEA Part B, Section 619 award]]</f>
        <v>156224.91</v>
      </c>
      <c r="U7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9" t="str">
        <f>IF(OR(IFERROR(SEARCH("Met",tblMoeHistory[[#This Row],[State and Local Per Capita Result]]),0)&gt;0,IFERROR(SEARCH("Met",tblMoeHistory[[#This Row],[State and Local Total Result]]),0)&gt;0),"Met","Not Met")</f>
        <v>Met</v>
      </c>
    </row>
    <row r="750" spans="1:22" x14ac:dyDescent="0.35">
      <c r="A750" t="s">
        <v>180</v>
      </c>
      <c r="B750">
        <v>2142</v>
      </c>
      <c r="C750" t="s">
        <v>31</v>
      </c>
      <c r="D750">
        <v>6149</v>
      </c>
      <c r="E750">
        <v>65922600.469999999</v>
      </c>
      <c r="F750">
        <v>0</v>
      </c>
      <c r="G750">
        <f>tblMoeHistory[[#This Row],[LEA State and Local Amount]]+tblMoeHistory[[#This Row],[ESD State and Local Amount]]</f>
        <v>65922600.469999999</v>
      </c>
      <c r="H750">
        <v>0</v>
      </c>
      <c r="I750" t="s">
        <v>241</v>
      </c>
      <c r="J750">
        <f>IFERROR(tblMoeHistory[[#This Row],[LEA State and Local Amount]]/tblMoeHistory[[#This Row],[Child Count]],0)</f>
        <v>10720.86525776549</v>
      </c>
      <c r="K750">
        <f>IFERROR(tblMoeHistory[[#This Row],[ESD State and Local Amount]]/tblMoeHistory[[#This Row],[Child Count]],0)</f>
        <v>0</v>
      </c>
      <c r="L750">
        <f>IFERROR(tblMoeHistory[[#This Row],[State and Local Total Amount]]/tblMoeHistory[[#This Row],[Child Count]],0)</f>
        <v>10720.86525776549</v>
      </c>
      <c r="M750">
        <v>0</v>
      </c>
      <c r="N750" t="s">
        <v>241</v>
      </c>
      <c r="O750">
        <v>6319306.9699999997</v>
      </c>
      <c r="P750">
        <v>35398.03</v>
      </c>
      <c r="Q750">
        <f>tblMoeHistory[[#This Row],[Amount of IDEA Part B, Section 611 award]]+tblMoeHistory[[#This Row],[Amount of IDEA Part B, Section 619 award]]</f>
        <v>6354705</v>
      </c>
      <c r="U7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0" t="str">
        <f>IF(OR(IFERROR(SEARCH("Met",tblMoeHistory[[#This Row],[State and Local Per Capita Result]]),0)&gt;0,IFERROR(SEARCH("Met",tblMoeHistory[[#This Row],[State and Local Total Result]]),0)&gt;0),"Met","Not Met")</f>
        <v>Met</v>
      </c>
    </row>
    <row r="751" spans="1:22" x14ac:dyDescent="0.35">
      <c r="A751" t="s">
        <v>181</v>
      </c>
      <c r="B751">
        <v>2104</v>
      </c>
      <c r="C751" t="s">
        <v>31</v>
      </c>
      <c r="D751">
        <v>72</v>
      </c>
      <c r="E751">
        <v>490289.57</v>
      </c>
      <c r="F751">
        <v>75592</v>
      </c>
      <c r="G751">
        <f>tblMoeHistory[[#This Row],[LEA State and Local Amount]]+tblMoeHistory[[#This Row],[ESD State and Local Amount]]</f>
        <v>565881.57000000007</v>
      </c>
      <c r="H751">
        <v>0</v>
      </c>
      <c r="I751" t="s">
        <v>240</v>
      </c>
      <c r="J751">
        <f>IFERROR(tblMoeHistory[[#This Row],[LEA State and Local Amount]]/tblMoeHistory[[#This Row],[Child Count]],0)</f>
        <v>6809.5773611111108</v>
      </c>
      <c r="K751">
        <f>IFERROR(tblMoeHistory[[#This Row],[ESD State and Local Amount]]/tblMoeHistory[[#This Row],[Child Count]],0)</f>
        <v>1049.8888888888889</v>
      </c>
      <c r="L751">
        <f>IFERROR(tblMoeHistory[[#This Row],[State and Local Total Amount]]/tblMoeHistory[[#This Row],[Child Count]],0)</f>
        <v>7859.4662500000013</v>
      </c>
      <c r="M751">
        <v>0</v>
      </c>
      <c r="N751" t="s">
        <v>241</v>
      </c>
      <c r="O751">
        <v>135797.51999999999</v>
      </c>
      <c r="P751">
        <v>1167.43</v>
      </c>
      <c r="Q751">
        <f>tblMoeHistory[[#This Row],[Amount of IDEA Part B, Section 611 award]]+tblMoeHistory[[#This Row],[Amount of IDEA Part B, Section 619 award]]</f>
        <v>136964.94999999998</v>
      </c>
      <c r="U7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1" t="str">
        <f>IF(OR(IFERROR(SEARCH("Met",tblMoeHistory[[#This Row],[State and Local Per Capita Result]]),0)&gt;0,IFERROR(SEARCH("Met",tblMoeHistory[[#This Row],[State and Local Total Result]]),0)&gt;0),"Met","Not Met")</f>
        <v>Met</v>
      </c>
    </row>
    <row r="752" spans="1:22" x14ac:dyDescent="0.35">
      <c r="A752" t="s">
        <v>182</v>
      </c>
      <c r="B752">
        <v>1944</v>
      </c>
      <c r="C752" t="s">
        <v>31</v>
      </c>
      <c r="D752">
        <v>255</v>
      </c>
      <c r="E752">
        <v>2305883.98</v>
      </c>
      <c r="F752">
        <v>268858</v>
      </c>
      <c r="G752">
        <f>tblMoeHistory[[#This Row],[LEA State and Local Amount]]+tblMoeHistory[[#This Row],[ESD State and Local Amount]]</f>
        <v>2574741.98</v>
      </c>
      <c r="H752">
        <v>0</v>
      </c>
      <c r="I752" t="s">
        <v>241</v>
      </c>
      <c r="J752">
        <f>IFERROR(tblMoeHistory[[#This Row],[LEA State and Local Amount]]/tblMoeHistory[[#This Row],[Child Count]],0)</f>
        <v>9042.6822745098034</v>
      </c>
      <c r="K752">
        <f>IFERROR(tblMoeHistory[[#This Row],[ESD State and Local Amount]]/tblMoeHistory[[#This Row],[Child Count]],0)</f>
        <v>1054.3450980392156</v>
      </c>
      <c r="L752">
        <f>IFERROR(tblMoeHistory[[#This Row],[State and Local Total Amount]]/tblMoeHistory[[#This Row],[Child Count]],0)</f>
        <v>10097.027372549019</v>
      </c>
      <c r="M752">
        <v>0</v>
      </c>
      <c r="N752" t="s">
        <v>240</v>
      </c>
      <c r="O752">
        <v>318574.25</v>
      </c>
      <c r="P752">
        <v>2428.25</v>
      </c>
      <c r="Q752">
        <f>tblMoeHistory[[#This Row],[Amount of IDEA Part B, Section 611 award]]+tblMoeHistory[[#This Row],[Amount of IDEA Part B, Section 619 award]]</f>
        <v>321002.5</v>
      </c>
      <c r="U7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2" t="str">
        <f>IF(OR(IFERROR(SEARCH("Met",tblMoeHistory[[#This Row],[State and Local Per Capita Result]]),0)&gt;0,IFERROR(SEARCH("Met",tblMoeHistory[[#This Row],[State and Local Total Result]]),0)&gt;0),"Met","Not Met")</f>
        <v>Met</v>
      </c>
    </row>
    <row r="753" spans="1:22" x14ac:dyDescent="0.35">
      <c r="A753" t="s">
        <v>183</v>
      </c>
      <c r="B753">
        <v>2103</v>
      </c>
      <c r="C753" t="s">
        <v>31</v>
      </c>
      <c r="D753">
        <v>487</v>
      </c>
      <c r="E753">
        <v>2294188.85</v>
      </c>
      <c r="F753">
        <v>430526</v>
      </c>
      <c r="G753">
        <f>tblMoeHistory[[#This Row],[LEA State and Local Amount]]+tblMoeHistory[[#This Row],[ESD State and Local Amount]]</f>
        <v>2724714.85</v>
      </c>
      <c r="H753">
        <v>0</v>
      </c>
      <c r="I753" t="s">
        <v>241</v>
      </c>
      <c r="J753">
        <f>IFERROR(tblMoeHistory[[#This Row],[LEA State and Local Amount]]/tblMoeHistory[[#This Row],[Child Count]],0)</f>
        <v>4710.8600616016429</v>
      </c>
      <c r="K753">
        <f>IFERROR(tblMoeHistory[[#This Row],[ESD State and Local Amount]]/tblMoeHistory[[#This Row],[Child Count]],0)</f>
        <v>884.03696098562625</v>
      </c>
      <c r="L753">
        <f>IFERROR(tblMoeHistory[[#This Row],[State and Local Total Amount]]/tblMoeHistory[[#This Row],[Child Count]],0)</f>
        <v>5594.897022587269</v>
      </c>
      <c r="M753">
        <v>0</v>
      </c>
      <c r="N753" t="s">
        <v>241</v>
      </c>
      <c r="O753">
        <v>390787.33</v>
      </c>
      <c r="P753">
        <v>933.95</v>
      </c>
      <c r="Q753">
        <f>tblMoeHistory[[#This Row],[Amount of IDEA Part B, Section 611 award]]+tblMoeHistory[[#This Row],[Amount of IDEA Part B, Section 619 award]]</f>
        <v>391721.28</v>
      </c>
      <c r="U7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3" t="str">
        <f>IF(OR(IFERROR(SEARCH("Met",tblMoeHistory[[#This Row],[State and Local Per Capita Result]]),0)&gt;0,IFERROR(SEARCH("Met",tblMoeHistory[[#This Row],[State and Local Total Result]]),0)&gt;0),"Met","Not Met")</f>
        <v>Met</v>
      </c>
    </row>
    <row r="754" spans="1:22" x14ac:dyDescent="0.35">
      <c r="A754" t="s">
        <v>184</v>
      </c>
      <c r="B754">
        <v>1935</v>
      </c>
      <c r="C754" t="s">
        <v>31</v>
      </c>
      <c r="D754">
        <v>248</v>
      </c>
      <c r="E754">
        <v>1965024.78</v>
      </c>
      <c r="F754">
        <v>364183</v>
      </c>
      <c r="G754">
        <f>tblMoeHistory[[#This Row],[LEA State and Local Amount]]+tblMoeHistory[[#This Row],[ESD State and Local Amount]]</f>
        <v>2329207.7800000003</v>
      </c>
      <c r="H754">
        <v>0</v>
      </c>
      <c r="I754" t="s">
        <v>240</v>
      </c>
      <c r="J754">
        <f>IFERROR(tblMoeHistory[[#This Row],[LEA State and Local Amount]]/tblMoeHistory[[#This Row],[Child Count]],0)</f>
        <v>7923.4870161290328</v>
      </c>
      <c r="K754">
        <f>IFERROR(tblMoeHistory[[#This Row],[ESD State and Local Amount]]/tblMoeHistory[[#This Row],[Child Count]],0)</f>
        <v>1468.4798387096773</v>
      </c>
      <c r="L754">
        <f>IFERROR(tblMoeHistory[[#This Row],[State and Local Total Amount]]/tblMoeHistory[[#This Row],[Child Count]],0)</f>
        <v>9391.9668548387108</v>
      </c>
      <c r="M754">
        <v>0</v>
      </c>
      <c r="N754" t="s">
        <v>240</v>
      </c>
      <c r="O754">
        <v>224599.25</v>
      </c>
      <c r="P754">
        <v>3195.06</v>
      </c>
      <c r="Q754">
        <f>tblMoeHistory[[#This Row],[Amount of IDEA Part B, Section 611 award]]+tblMoeHistory[[#This Row],[Amount of IDEA Part B, Section 619 award]]</f>
        <v>227794.31</v>
      </c>
      <c r="U7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4" t="str">
        <f>IF(OR(IFERROR(SEARCH("Met",tblMoeHistory[[#This Row],[State and Local Per Capita Result]]),0)&gt;0,IFERROR(SEARCH("Met",tblMoeHistory[[#This Row],[State and Local Total Result]]),0)&gt;0),"Met","Not Met")</f>
        <v>Not Met</v>
      </c>
    </row>
    <row r="755" spans="1:22" x14ac:dyDescent="0.35">
      <c r="A755" t="s">
        <v>185</v>
      </c>
      <c r="B755">
        <v>2257</v>
      </c>
      <c r="C755" t="s">
        <v>31</v>
      </c>
      <c r="D755">
        <v>124</v>
      </c>
      <c r="E755">
        <v>931398.31</v>
      </c>
      <c r="F755">
        <v>31260.48</v>
      </c>
      <c r="G755">
        <f>tblMoeHistory[[#This Row],[LEA State and Local Amount]]+tblMoeHistory[[#This Row],[ESD State and Local Amount]]</f>
        <v>962658.79</v>
      </c>
      <c r="H755">
        <v>0</v>
      </c>
      <c r="I755" t="s">
        <v>241</v>
      </c>
      <c r="J755">
        <f>IFERROR(tblMoeHistory[[#This Row],[LEA State and Local Amount]]/tblMoeHistory[[#This Row],[Child Count]],0)</f>
        <v>7511.2766935483878</v>
      </c>
      <c r="K755">
        <f>IFERROR(tblMoeHistory[[#This Row],[ESD State and Local Amount]]/tblMoeHistory[[#This Row],[Child Count]],0)</f>
        <v>252.10064516129032</v>
      </c>
      <c r="L755">
        <f>IFERROR(tblMoeHistory[[#This Row],[State and Local Total Amount]]/tblMoeHistory[[#This Row],[Child Count]],0)</f>
        <v>7763.377338709678</v>
      </c>
      <c r="M755">
        <v>0</v>
      </c>
      <c r="N755" t="s">
        <v>242</v>
      </c>
      <c r="O755">
        <v>161960.46</v>
      </c>
      <c r="P755">
        <v>1751.14</v>
      </c>
      <c r="Q755">
        <f>tblMoeHistory[[#This Row],[Amount of IDEA Part B, Section 611 award]]+tblMoeHistory[[#This Row],[Amount of IDEA Part B, Section 619 award]]</f>
        <v>163711.6</v>
      </c>
      <c r="S755">
        <v>80130.070000000007</v>
      </c>
      <c r="T755">
        <v>80130.070000000007</v>
      </c>
      <c r="U7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5" t="str">
        <f>IF(OR(IFERROR(SEARCH("Met",tblMoeHistory[[#This Row],[State and Local Per Capita Result]]),0)&gt;0,IFERROR(SEARCH("Met",tblMoeHistory[[#This Row],[State and Local Total Result]]),0)&gt;0),"Met","Not Met")</f>
        <v>Met</v>
      </c>
    </row>
    <row r="756" spans="1:22" x14ac:dyDescent="0.35">
      <c r="A756" t="s">
        <v>186</v>
      </c>
      <c r="B756">
        <v>2195</v>
      </c>
      <c r="C756" t="s">
        <v>31</v>
      </c>
      <c r="D756">
        <v>32</v>
      </c>
      <c r="E756">
        <v>209087.06</v>
      </c>
      <c r="F756">
        <v>148177</v>
      </c>
      <c r="G756">
        <f>tblMoeHistory[[#This Row],[LEA State and Local Amount]]+tblMoeHistory[[#This Row],[ESD State and Local Amount]]</f>
        <v>357264.06</v>
      </c>
      <c r="H756">
        <v>0</v>
      </c>
      <c r="I756" t="s">
        <v>242</v>
      </c>
      <c r="J756">
        <f>IFERROR(tblMoeHistory[[#This Row],[LEA State and Local Amount]]/tblMoeHistory[[#This Row],[Child Count]],0)</f>
        <v>6533.9706249999999</v>
      </c>
      <c r="K756">
        <f>IFERROR(tblMoeHistory[[#This Row],[ESD State and Local Amount]]/tblMoeHistory[[#This Row],[Child Count]],0)</f>
        <v>4630.53125</v>
      </c>
      <c r="L756">
        <f>IFERROR(tblMoeHistory[[#This Row],[State and Local Total Amount]]/tblMoeHistory[[#This Row],[Child Count]],0)</f>
        <v>11164.501875</v>
      </c>
      <c r="M756">
        <v>0</v>
      </c>
      <c r="N756" t="s">
        <v>241</v>
      </c>
      <c r="O756">
        <v>48664.44</v>
      </c>
      <c r="P756">
        <v>140.09</v>
      </c>
      <c r="Q756">
        <f>tblMoeHistory[[#This Row],[Amount of IDEA Part B, Section 611 award]]+tblMoeHistory[[#This Row],[Amount of IDEA Part B, Section 619 award]]</f>
        <v>48804.53</v>
      </c>
      <c r="S756">
        <v>90979.61</v>
      </c>
      <c r="T756">
        <v>90979.61</v>
      </c>
      <c r="U7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6" t="str">
        <f>IF(OR(IFERROR(SEARCH("Met",tblMoeHistory[[#This Row],[State and Local Per Capita Result]]),0)&gt;0,IFERROR(SEARCH("Met",tblMoeHistory[[#This Row],[State and Local Total Result]]),0)&gt;0),"Met","Not Met")</f>
        <v>Met</v>
      </c>
    </row>
    <row r="757" spans="1:22" x14ac:dyDescent="0.35">
      <c r="A757" t="s">
        <v>187</v>
      </c>
      <c r="B757">
        <v>2244</v>
      </c>
      <c r="C757" t="s">
        <v>31</v>
      </c>
      <c r="D757">
        <v>549</v>
      </c>
      <c r="E757">
        <v>3747751.22</v>
      </c>
      <c r="F757">
        <v>708862</v>
      </c>
      <c r="G757">
        <f>tblMoeHistory[[#This Row],[LEA State and Local Amount]]+tblMoeHistory[[#This Row],[ESD State and Local Amount]]</f>
        <v>4456613.2200000007</v>
      </c>
      <c r="H757">
        <v>0</v>
      </c>
      <c r="I757" t="s">
        <v>241</v>
      </c>
      <c r="J757">
        <f>IFERROR(tblMoeHistory[[#This Row],[LEA State and Local Amount]]/tblMoeHistory[[#This Row],[Child Count]],0)</f>
        <v>6826.50495446266</v>
      </c>
      <c r="K757">
        <f>IFERROR(tblMoeHistory[[#This Row],[ESD State and Local Amount]]/tblMoeHistory[[#This Row],[Child Count]],0)</f>
        <v>1291.1876138433515</v>
      </c>
      <c r="L757">
        <f>IFERROR(tblMoeHistory[[#This Row],[State and Local Total Amount]]/tblMoeHistory[[#This Row],[Child Count]],0)</f>
        <v>8117.6925683060117</v>
      </c>
      <c r="M757">
        <v>0</v>
      </c>
      <c r="N757" t="s">
        <v>241</v>
      </c>
      <c r="O757">
        <v>601702.5</v>
      </c>
      <c r="P757">
        <v>1219.8399999999999</v>
      </c>
      <c r="Q757">
        <f>tblMoeHistory[[#This Row],[Amount of IDEA Part B, Section 611 award]]+tblMoeHistory[[#This Row],[Amount of IDEA Part B, Section 619 award]]</f>
        <v>602922.34</v>
      </c>
      <c r="U7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7" t="str">
        <f>IF(OR(IFERROR(SEARCH("Met",tblMoeHistory[[#This Row],[State and Local Per Capita Result]]),0)&gt;0,IFERROR(SEARCH("Met",tblMoeHistory[[#This Row],[State and Local Total Result]]),0)&gt;0),"Met","Not Met")</f>
        <v>Met</v>
      </c>
    </row>
    <row r="758" spans="1:22" x14ac:dyDescent="0.35">
      <c r="A758" t="s">
        <v>188</v>
      </c>
      <c r="B758">
        <v>2138</v>
      </c>
      <c r="C758" t="s">
        <v>31</v>
      </c>
      <c r="D758">
        <v>484</v>
      </c>
      <c r="E758">
        <v>3633600.1</v>
      </c>
      <c r="F758">
        <v>296805.56</v>
      </c>
      <c r="G758">
        <f>tblMoeHistory[[#This Row],[LEA State and Local Amount]]+tblMoeHistory[[#This Row],[ESD State and Local Amount]]</f>
        <v>3930405.66</v>
      </c>
      <c r="H758">
        <v>0</v>
      </c>
      <c r="I758" t="s">
        <v>241</v>
      </c>
      <c r="J758">
        <f>IFERROR(tblMoeHistory[[#This Row],[LEA State and Local Amount]]/tblMoeHistory[[#This Row],[Child Count]],0)</f>
        <v>7507.4382231404961</v>
      </c>
      <c r="K758">
        <f>IFERROR(tblMoeHistory[[#This Row],[ESD State and Local Amount]]/tblMoeHistory[[#This Row],[Child Count]],0)</f>
        <v>613.23462809917351</v>
      </c>
      <c r="L758">
        <f>IFERROR(tblMoeHistory[[#This Row],[State and Local Total Amount]]/tblMoeHistory[[#This Row],[Child Count]],0)</f>
        <v>8120.6728512396694</v>
      </c>
      <c r="M758">
        <v>0</v>
      </c>
      <c r="N758" t="s">
        <v>240</v>
      </c>
      <c r="O758">
        <v>499950.51</v>
      </c>
      <c r="P758">
        <v>4932.37</v>
      </c>
      <c r="Q758">
        <f>tblMoeHistory[[#This Row],[Amount of IDEA Part B, Section 611 award]]+tblMoeHistory[[#This Row],[Amount of IDEA Part B, Section 619 award]]</f>
        <v>504882.88</v>
      </c>
      <c r="U7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8" t="str">
        <f>IF(OR(IFERROR(SEARCH("Met",tblMoeHistory[[#This Row],[State and Local Per Capita Result]]),0)&gt;0,IFERROR(SEARCH("Met",tblMoeHistory[[#This Row],[State and Local Total Result]]),0)&gt;0),"Met","Not Met")</f>
        <v>Met</v>
      </c>
    </row>
    <row r="759" spans="1:22" x14ac:dyDescent="0.35">
      <c r="A759" t="s">
        <v>189</v>
      </c>
      <c r="B759">
        <v>1978</v>
      </c>
      <c r="C759" t="s">
        <v>31</v>
      </c>
      <c r="D759">
        <v>115</v>
      </c>
      <c r="E759">
        <v>794037.54</v>
      </c>
      <c r="F759">
        <v>109962.49</v>
      </c>
      <c r="G759">
        <f>tblMoeHistory[[#This Row],[LEA State and Local Amount]]+tblMoeHistory[[#This Row],[ESD State and Local Amount]]</f>
        <v>904000.03</v>
      </c>
      <c r="H759">
        <v>0</v>
      </c>
      <c r="I759" t="s">
        <v>241</v>
      </c>
      <c r="J759">
        <f>IFERROR(tblMoeHistory[[#This Row],[LEA State and Local Amount]]/tblMoeHistory[[#This Row],[Child Count]],0)</f>
        <v>6904.6742608695658</v>
      </c>
      <c r="K759">
        <f>IFERROR(tblMoeHistory[[#This Row],[ESD State and Local Amount]]/tblMoeHistory[[#This Row],[Child Count]],0)</f>
        <v>956.19556521739139</v>
      </c>
      <c r="L759">
        <f>IFERROR(tblMoeHistory[[#This Row],[State and Local Total Amount]]/tblMoeHistory[[#This Row],[Child Count]],0)</f>
        <v>7860.8698260869569</v>
      </c>
      <c r="M759">
        <v>0</v>
      </c>
      <c r="N759" t="s">
        <v>241</v>
      </c>
      <c r="O759">
        <v>177969.82</v>
      </c>
      <c r="P759">
        <v>389.14</v>
      </c>
      <c r="Q759">
        <f>tblMoeHistory[[#This Row],[Amount of IDEA Part B, Section 611 award]]+tblMoeHistory[[#This Row],[Amount of IDEA Part B, Section 619 award]]</f>
        <v>178358.96000000002</v>
      </c>
      <c r="U7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9" t="str">
        <f>IF(OR(IFERROR(SEARCH("Met",tblMoeHistory[[#This Row],[State and Local Per Capita Result]]),0)&gt;0,IFERROR(SEARCH("Met",tblMoeHistory[[#This Row],[State and Local Total Result]]),0)&gt;0),"Met","Not Met")</f>
        <v>Met</v>
      </c>
    </row>
    <row r="760" spans="1:22" x14ac:dyDescent="0.35">
      <c r="A760" t="s">
        <v>190</v>
      </c>
      <c r="B760">
        <v>2096</v>
      </c>
      <c r="C760" t="s">
        <v>31</v>
      </c>
      <c r="D760">
        <v>180</v>
      </c>
      <c r="E760">
        <v>1343494.33</v>
      </c>
      <c r="F760">
        <v>499627</v>
      </c>
      <c r="G760">
        <f>tblMoeHistory[[#This Row],[LEA State and Local Amount]]+tblMoeHistory[[#This Row],[ESD State and Local Amount]]</f>
        <v>1843121.33</v>
      </c>
      <c r="H760">
        <v>0</v>
      </c>
      <c r="I760" t="s">
        <v>241</v>
      </c>
      <c r="J760">
        <f>IFERROR(tblMoeHistory[[#This Row],[LEA State and Local Amount]]/tblMoeHistory[[#This Row],[Child Count]],0)</f>
        <v>7463.8573888888895</v>
      </c>
      <c r="K760">
        <f>IFERROR(tblMoeHistory[[#This Row],[ESD State and Local Amount]]/tblMoeHistory[[#This Row],[Child Count]],0)</f>
        <v>2775.7055555555557</v>
      </c>
      <c r="L760">
        <f>IFERROR(tblMoeHistory[[#This Row],[State and Local Total Amount]]/tblMoeHistory[[#This Row],[Child Count]],0)</f>
        <v>10239.562944444446</v>
      </c>
      <c r="M760">
        <v>0</v>
      </c>
      <c r="N760" t="s">
        <v>241</v>
      </c>
      <c r="O760">
        <v>186659.79</v>
      </c>
      <c r="P760">
        <v>4047.08</v>
      </c>
      <c r="Q760">
        <f>tblMoeHistory[[#This Row],[Amount of IDEA Part B, Section 611 award]]+tblMoeHistory[[#This Row],[Amount of IDEA Part B, Section 619 award]]</f>
        <v>190706.87</v>
      </c>
      <c r="U7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0" t="str">
        <f>IF(OR(IFERROR(SEARCH("Met",tblMoeHistory[[#This Row],[State and Local Per Capita Result]]),0)&gt;0,IFERROR(SEARCH("Met",tblMoeHistory[[#This Row],[State and Local Total Result]]),0)&gt;0),"Met","Not Met")</f>
        <v>Met</v>
      </c>
    </row>
    <row r="761" spans="1:22" x14ac:dyDescent="0.35">
      <c r="A761" t="s">
        <v>191</v>
      </c>
      <c r="B761">
        <v>2022</v>
      </c>
      <c r="C761" t="s">
        <v>31</v>
      </c>
      <c r="D761">
        <v>3</v>
      </c>
      <c r="E761">
        <v>4688.8999999999996</v>
      </c>
      <c r="F761">
        <v>3544</v>
      </c>
      <c r="G761">
        <f>tblMoeHistory[[#This Row],[LEA State and Local Amount]]+tblMoeHistory[[#This Row],[ESD State and Local Amount]]</f>
        <v>8232.9</v>
      </c>
      <c r="H761">
        <v>0</v>
      </c>
      <c r="I761" t="s">
        <v>242</v>
      </c>
      <c r="J761">
        <f>IFERROR(tblMoeHistory[[#This Row],[LEA State and Local Amount]]/tblMoeHistory[[#This Row],[Child Count]],0)</f>
        <v>1562.9666666666665</v>
      </c>
      <c r="K761">
        <f>IFERROR(tblMoeHistory[[#This Row],[ESD State and Local Amount]]/tblMoeHistory[[#This Row],[Child Count]],0)</f>
        <v>1181.3333333333333</v>
      </c>
      <c r="L761">
        <f>IFERROR(tblMoeHistory[[#This Row],[State and Local Total Amount]]/tblMoeHistory[[#This Row],[Child Count]],0)</f>
        <v>2744.2999999999997</v>
      </c>
      <c r="M761">
        <v>0</v>
      </c>
      <c r="N761" t="s">
        <v>240</v>
      </c>
      <c r="O761">
        <v>3130.87</v>
      </c>
      <c r="P761">
        <v>0</v>
      </c>
      <c r="Q761">
        <f>tblMoeHistory[[#This Row],[Amount of IDEA Part B, Section 611 award]]+tblMoeHistory[[#This Row],[Amount of IDEA Part B, Section 619 award]]</f>
        <v>3130.87</v>
      </c>
      <c r="S761">
        <v>2517.5300000000002</v>
      </c>
      <c r="U7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1" t="str">
        <f>IF(OR(IFERROR(SEARCH("Met",tblMoeHistory[[#This Row],[State and Local Per Capita Result]]),0)&gt;0,IFERROR(SEARCH("Met",tblMoeHistory[[#This Row],[State and Local Total Result]]),0)&gt;0),"Met","Not Met")</f>
        <v>Met</v>
      </c>
    </row>
    <row r="762" spans="1:22" x14ac:dyDescent="0.35">
      <c r="A762" t="s">
        <v>192</v>
      </c>
      <c r="B762">
        <v>2087</v>
      </c>
      <c r="C762" t="s">
        <v>31</v>
      </c>
      <c r="D762">
        <v>475</v>
      </c>
      <c r="E762">
        <v>3335236.98</v>
      </c>
      <c r="F762">
        <v>434078</v>
      </c>
      <c r="G762">
        <f>tblMoeHistory[[#This Row],[LEA State and Local Amount]]+tblMoeHistory[[#This Row],[ESD State and Local Amount]]</f>
        <v>3769314.98</v>
      </c>
      <c r="H762">
        <v>0</v>
      </c>
      <c r="I762" t="s">
        <v>241</v>
      </c>
      <c r="J762">
        <f>IFERROR(tblMoeHistory[[#This Row],[LEA State and Local Amount]]/tblMoeHistory[[#This Row],[Child Count]],0)</f>
        <v>7021.5515368421056</v>
      </c>
      <c r="K762">
        <f>IFERROR(tblMoeHistory[[#This Row],[ESD State and Local Amount]]/tblMoeHistory[[#This Row],[Child Count]],0)</f>
        <v>913.84842105263158</v>
      </c>
      <c r="L762">
        <f>IFERROR(tblMoeHistory[[#This Row],[State and Local Total Amount]]/tblMoeHistory[[#This Row],[Child Count]],0)</f>
        <v>7935.3999578947369</v>
      </c>
      <c r="M762">
        <v>0</v>
      </c>
      <c r="N762" t="s">
        <v>240</v>
      </c>
      <c r="O762">
        <v>505068.48</v>
      </c>
      <c r="P762">
        <v>2988.61</v>
      </c>
      <c r="Q762">
        <f>tblMoeHistory[[#This Row],[Amount of IDEA Part B, Section 611 award]]+tblMoeHistory[[#This Row],[Amount of IDEA Part B, Section 619 award]]</f>
        <v>508057.08999999997</v>
      </c>
      <c r="U7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2" t="str">
        <f>IF(OR(IFERROR(SEARCH("Met",tblMoeHistory[[#This Row],[State and Local Per Capita Result]]),0)&gt;0,IFERROR(SEARCH("Met",tblMoeHistory[[#This Row],[State and Local Total Result]]),0)&gt;0),"Met","Not Met")</f>
        <v>Met</v>
      </c>
    </row>
    <row r="763" spans="1:22" x14ac:dyDescent="0.35">
      <c r="A763" t="s">
        <v>193</v>
      </c>
      <c r="B763">
        <v>1994</v>
      </c>
      <c r="C763" t="s">
        <v>31</v>
      </c>
      <c r="D763">
        <v>210</v>
      </c>
      <c r="E763">
        <v>1752654.9</v>
      </c>
      <c r="F763">
        <v>288650.71000000002</v>
      </c>
      <c r="G763">
        <f>tblMoeHistory[[#This Row],[LEA State and Local Amount]]+tblMoeHistory[[#This Row],[ESD State and Local Amount]]</f>
        <v>2041305.6099999999</v>
      </c>
      <c r="H763">
        <v>0</v>
      </c>
      <c r="I763" t="s">
        <v>240</v>
      </c>
      <c r="J763">
        <f>IFERROR(tblMoeHistory[[#This Row],[LEA State and Local Amount]]/tblMoeHistory[[#This Row],[Child Count]],0)</f>
        <v>8345.9757142857143</v>
      </c>
      <c r="K763">
        <f>IFERROR(tblMoeHistory[[#This Row],[ESD State and Local Amount]]/tblMoeHistory[[#This Row],[Child Count]],0)</f>
        <v>1374.5271904761905</v>
      </c>
      <c r="L763">
        <f>IFERROR(tblMoeHistory[[#This Row],[State and Local Total Amount]]/tblMoeHistory[[#This Row],[Child Count]],0)</f>
        <v>9720.5029047619046</v>
      </c>
      <c r="M763">
        <v>0</v>
      </c>
      <c r="N763" t="s">
        <v>240</v>
      </c>
      <c r="O763">
        <v>300024.93</v>
      </c>
      <c r="P763">
        <v>4263.6400000000003</v>
      </c>
      <c r="Q763">
        <f>tblMoeHistory[[#This Row],[Amount of IDEA Part B, Section 611 award]]+tblMoeHistory[[#This Row],[Amount of IDEA Part B, Section 619 award]]</f>
        <v>304288.57</v>
      </c>
      <c r="U7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3" t="str">
        <f>IF(OR(IFERROR(SEARCH("Met",tblMoeHistory[[#This Row],[State and Local Per Capita Result]]),0)&gt;0,IFERROR(SEARCH("Met",tblMoeHistory[[#This Row],[State and Local Total Result]]),0)&gt;0),"Met","Not Met")</f>
        <v>Not Met</v>
      </c>
    </row>
    <row r="764" spans="1:22" x14ac:dyDescent="0.35">
      <c r="A764" t="s">
        <v>194</v>
      </c>
      <c r="B764">
        <v>2225</v>
      </c>
      <c r="C764" t="s">
        <v>31</v>
      </c>
      <c r="D764">
        <v>34</v>
      </c>
      <c r="E764">
        <v>186451.89</v>
      </c>
      <c r="F764">
        <v>52806</v>
      </c>
      <c r="G764">
        <f>tblMoeHistory[[#This Row],[LEA State and Local Amount]]+tblMoeHistory[[#This Row],[ESD State and Local Amount]]</f>
        <v>239257.89</v>
      </c>
      <c r="H764">
        <v>0</v>
      </c>
      <c r="I764" t="s">
        <v>241</v>
      </c>
      <c r="J764">
        <f>IFERROR(tblMoeHistory[[#This Row],[LEA State and Local Amount]]/tblMoeHistory[[#This Row],[Child Count]],0)</f>
        <v>5483.8791176470595</v>
      </c>
      <c r="K764">
        <f>IFERROR(tblMoeHistory[[#This Row],[ESD State and Local Amount]]/tblMoeHistory[[#This Row],[Child Count]],0)</f>
        <v>1553.1176470588234</v>
      </c>
      <c r="L764">
        <f>IFERROR(tblMoeHistory[[#This Row],[State and Local Total Amount]]/tblMoeHistory[[#This Row],[Child Count]],0)</f>
        <v>7036.9967647058829</v>
      </c>
      <c r="M764">
        <v>0</v>
      </c>
      <c r="N764" t="s">
        <v>241</v>
      </c>
      <c r="O764">
        <v>50671.72</v>
      </c>
      <c r="P764">
        <v>0</v>
      </c>
      <c r="Q764">
        <f>tblMoeHistory[[#This Row],[Amount of IDEA Part B, Section 611 award]]+tblMoeHistory[[#This Row],[Amount of IDEA Part B, Section 619 award]]</f>
        <v>50671.72</v>
      </c>
      <c r="U7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4" t="str">
        <f>IF(OR(IFERROR(SEARCH("Met",tblMoeHistory[[#This Row],[State and Local Per Capita Result]]),0)&gt;0,IFERROR(SEARCH("Met",tblMoeHistory[[#This Row],[State and Local Total Result]]),0)&gt;0),"Met","Not Met")</f>
        <v>Met</v>
      </c>
    </row>
    <row r="765" spans="1:22" x14ac:dyDescent="0.35">
      <c r="A765" t="s">
        <v>195</v>
      </c>
      <c r="B765">
        <v>2247</v>
      </c>
      <c r="C765" t="s">
        <v>31</v>
      </c>
      <c r="D765">
        <v>6</v>
      </c>
      <c r="E765">
        <v>23696.01</v>
      </c>
      <c r="F765">
        <v>27703</v>
      </c>
      <c r="G765">
        <f>tblMoeHistory[[#This Row],[LEA State and Local Amount]]+tblMoeHistory[[#This Row],[ESD State and Local Amount]]</f>
        <v>51399.009999999995</v>
      </c>
      <c r="H765">
        <v>0</v>
      </c>
      <c r="I765" t="s">
        <v>241</v>
      </c>
      <c r="J765">
        <f>IFERROR(tblMoeHistory[[#This Row],[LEA State and Local Amount]]/tblMoeHistory[[#This Row],[Child Count]],0)</f>
        <v>3949.3349999999996</v>
      </c>
      <c r="K765">
        <f>IFERROR(tblMoeHistory[[#This Row],[ESD State and Local Amount]]/tblMoeHistory[[#This Row],[Child Count]],0)</f>
        <v>4617.166666666667</v>
      </c>
      <c r="L765">
        <f>IFERROR(tblMoeHistory[[#This Row],[State and Local Total Amount]]/tblMoeHistory[[#This Row],[Child Count]],0)</f>
        <v>8566.5016666666652</v>
      </c>
      <c r="M765">
        <v>0</v>
      </c>
      <c r="N765" t="s">
        <v>240</v>
      </c>
      <c r="O765">
        <v>4581.3500000000004</v>
      </c>
      <c r="P765">
        <v>0</v>
      </c>
      <c r="Q765">
        <f>tblMoeHistory[[#This Row],[Amount of IDEA Part B, Section 611 award]]+tblMoeHistory[[#This Row],[Amount of IDEA Part B, Section 619 award]]</f>
        <v>4581.3500000000004</v>
      </c>
      <c r="U7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5" t="str">
        <f>IF(OR(IFERROR(SEARCH("Met",tblMoeHistory[[#This Row],[State and Local Per Capita Result]]),0)&gt;0,IFERROR(SEARCH("Met",tblMoeHistory[[#This Row],[State and Local Total Result]]),0)&gt;0),"Met","Not Met")</f>
        <v>Met</v>
      </c>
    </row>
    <row r="766" spans="1:22" x14ac:dyDescent="0.35">
      <c r="A766" t="s">
        <v>196</v>
      </c>
      <c r="B766">
        <v>2083</v>
      </c>
      <c r="C766" t="s">
        <v>31</v>
      </c>
      <c r="D766">
        <v>1528</v>
      </c>
      <c r="E766">
        <v>14452762.539999999</v>
      </c>
      <c r="F766">
        <v>1622394</v>
      </c>
      <c r="G766">
        <f>tblMoeHistory[[#This Row],[LEA State and Local Amount]]+tblMoeHistory[[#This Row],[ESD State and Local Amount]]</f>
        <v>16075156.539999999</v>
      </c>
      <c r="H766">
        <v>0</v>
      </c>
      <c r="I766" t="s">
        <v>241</v>
      </c>
      <c r="J766">
        <f>IFERROR(tblMoeHistory[[#This Row],[LEA State and Local Amount]]/tblMoeHistory[[#This Row],[Child Count]],0)</f>
        <v>9458.6142277486906</v>
      </c>
      <c r="K766">
        <f>IFERROR(tblMoeHistory[[#This Row],[ESD State and Local Amount]]/tblMoeHistory[[#This Row],[Child Count]],0)</f>
        <v>1061.7761780104713</v>
      </c>
      <c r="L766">
        <f>IFERROR(tblMoeHistory[[#This Row],[State and Local Total Amount]]/tblMoeHistory[[#This Row],[Child Count]],0)</f>
        <v>10520.390405759163</v>
      </c>
      <c r="M766">
        <v>0</v>
      </c>
      <c r="N766" t="s">
        <v>241</v>
      </c>
      <c r="O766">
        <v>1775273.51</v>
      </c>
      <c r="P766">
        <v>17776.400000000001</v>
      </c>
      <c r="Q766">
        <f>tblMoeHistory[[#This Row],[Amount of IDEA Part B, Section 611 award]]+tblMoeHistory[[#This Row],[Amount of IDEA Part B, Section 619 award]]</f>
        <v>1793049.91</v>
      </c>
      <c r="U7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6" t="str">
        <f>IF(OR(IFERROR(SEARCH("Met",tblMoeHistory[[#This Row],[State and Local Per Capita Result]]),0)&gt;0,IFERROR(SEARCH("Met",tblMoeHistory[[#This Row],[State and Local Total Result]]),0)&gt;0),"Met","Not Met")</f>
        <v>Met</v>
      </c>
    </row>
    <row r="767" spans="1:22" x14ac:dyDescent="0.35">
      <c r="A767" t="s">
        <v>197</v>
      </c>
      <c r="B767">
        <v>1948</v>
      </c>
      <c r="C767" t="s">
        <v>31</v>
      </c>
      <c r="D767">
        <v>488</v>
      </c>
      <c r="E767">
        <v>3538400.7</v>
      </c>
      <c r="F767">
        <v>709841</v>
      </c>
      <c r="G767">
        <f>tblMoeHistory[[#This Row],[LEA State and Local Amount]]+tblMoeHistory[[#This Row],[ESD State and Local Amount]]</f>
        <v>4248241.7</v>
      </c>
      <c r="H767">
        <v>0</v>
      </c>
      <c r="I767" t="s">
        <v>241</v>
      </c>
      <c r="J767">
        <f>IFERROR(tblMoeHistory[[#This Row],[LEA State and Local Amount]]/tblMoeHistory[[#This Row],[Child Count]],0)</f>
        <v>7250.8211065573778</v>
      </c>
      <c r="K767">
        <f>IFERROR(tblMoeHistory[[#This Row],[ESD State and Local Amount]]/tblMoeHistory[[#This Row],[Child Count]],0)</f>
        <v>1454.592213114754</v>
      </c>
      <c r="L767">
        <f>IFERROR(tblMoeHistory[[#This Row],[State and Local Total Amount]]/tblMoeHistory[[#This Row],[Child Count]],0)</f>
        <v>8705.4133196721323</v>
      </c>
      <c r="M767">
        <v>0</v>
      </c>
      <c r="N767" t="s">
        <v>241</v>
      </c>
      <c r="O767">
        <v>545819.01</v>
      </c>
      <c r="P767">
        <v>5553.97</v>
      </c>
      <c r="Q767">
        <f>tblMoeHistory[[#This Row],[Amount of IDEA Part B, Section 611 award]]+tblMoeHistory[[#This Row],[Amount of IDEA Part B, Section 619 award]]</f>
        <v>551372.98</v>
      </c>
      <c r="U7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7" t="str">
        <f>IF(OR(IFERROR(SEARCH("Met",tblMoeHistory[[#This Row],[State and Local Per Capita Result]]),0)&gt;0,IFERROR(SEARCH("Met",tblMoeHistory[[#This Row],[State and Local Total Result]]),0)&gt;0),"Met","Not Met")</f>
        <v>Met</v>
      </c>
    </row>
    <row r="768" spans="1:22" x14ac:dyDescent="0.35">
      <c r="A768" t="s">
        <v>198</v>
      </c>
      <c r="B768">
        <v>2144</v>
      </c>
      <c r="C768" t="s">
        <v>31</v>
      </c>
      <c r="D768">
        <v>29</v>
      </c>
      <c r="E768">
        <v>243293.99</v>
      </c>
      <c r="F768">
        <v>22597.22</v>
      </c>
      <c r="G768">
        <f>tblMoeHistory[[#This Row],[LEA State and Local Amount]]+tblMoeHistory[[#This Row],[ESD State and Local Amount]]</f>
        <v>265891.20999999996</v>
      </c>
      <c r="H768">
        <v>0</v>
      </c>
      <c r="I768" t="s">
        <v>240</v>
      </c>
      <c r="J768">
        <f>IFERROR(tblMoeHistory[[#This Row],[LEA State and Local Amount]]/tblMoeHistory[[#This Row],[Child Count]],0)</f>
        <v>8389.4479310344832</v>
      </c>
      <c r="K768">
        <f>IFERROR(tblMoeHistory[[#This Row],[ESD State and Local Amount]]/tblMoeHistory[[#This Row],[Child Count]],0)</f>
        <v>779.21448275862076</v>
      </c>
      <c r="L768">
        <f>IFERROR(tblMoeHistory[[#This Row],[State and Local Total Amount]]/tblMoeHistory[[#This Row],[Child Count]],0)</f>
        <v>9168.662413793103</v>
      </c>
      <c r="M768">
        <v>0</v>
      </c>
      <c r="N768" t="s">
        <v>240</v>
      </c>
      <c r="O768">
        <v>41740.76</v>
      </c>
      <c r="P768">
        <v>1400.91</v>
      </c>
      <c r="Q768">
        <f>tblMoeHistory[[#This Row],[Amount of IDEA Part B, Section 611 award]]+tblMoeHistory[[#This Row],[Amount of IDEA Part B, Section 619 award]]</f>
        <v>43141.670000000006</v>
      </c>
      <c r="U7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8" t="str">
        <f>IF(OR(IFERROR(SEARCH("Met",tblMoeHistory[[#This Row],[State and Local Per Capita Result]]),0)&gt;0,IFERROR(SEARCH("Met",tblMoeHistory[[#This Row],[State and Local Total Result]]),0)&gt;0),"Met","Not Met")</f>
        <v>Not Met</v>
      </c>
    </row>
    <row r="769" spans="1:22" x14ac:dyDescent="0.35">
      <c r="A769" t="s">
        <v>199</v>
      </c>
      <c r="B769">
        <v>2209</v>
      </c>
      <c r="C769" t="s">
        <v>31</v>
      </c>
      <c r="D769">
        <v>68</v>
      </c>
      <c r="E769">
        <v>514055.55</v>
      </c>
      <c r="F769">
        <v>108962.95</v>
      </c>
      <c r="G769">
        <f>tblMoeHistory[[#This Row],[LEA State and Local Amount]]+tblMoeHistory[[#This Row],[ESD State and Local Amount]]</f>
        <v>623018.5</v>
      </c>
      <c r="H769">
        <v>0</v>
      </c>
      <c r="I769" t="s">
        <v>240</v>
      </c>
      <c r="J769">
        <f>IFERROR(tblMoeHistory[[#This Row],[LEA State and Local Amount]]/tblMoeHistory[[#This Row],[Child Count]],0)</f>
        <v>7559.6404411764706</v>
      </c>
      <c r="K769">
        <f>IFERROR(tblMoeHistory[[#This Row],[ESD State and Local Amount]]/tblMoeHistory[[#This Row],[Child Count]],0)</f>
        <v>1602.3963235294118</v>
      </c>
      <c r="L769">
        <f>IFERROR(tblMoeHistory[[#This Row],[State and Local Total Amount]]/tblMoeHistory[[#This Row],[Child Count]],0)</f>
        <v>9162.0367647058829</v>
      </c>
      <c r="M769">
        <v>0</v>
      </c>
      <c r="N769" t="s">
        <v>240</v>
      </c>
      <c r="O769">
        <v>82059.28</v>
      </c>
      <c r="P769">
        <v>800.52</v>
      </c>
      <c r="Q769">
        <f>tblMoeHistory[[#This Row],[Amount of IDEA Part B, Section 611 award]]+tblMoeHistory[[#This Row],[Amount of IDEA Part B, Section 619 award]]</f>
        <v>82859.8</v>
      </c>
      <c r="U7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9" t="str">
        <f>IF(OR(IFERROR(SEARCH("Met",tblMoeHistory[[#This Row],[State and Local Per Capita Result]]),0)&gt;0,IFERROR(SEARCH("Met",tblMoeHistory[[#This Row],[State and Local Total Result]]),0)&gt;0),"Met","Not Met")</f>
        <v>Not Met</v>
      </c>
    </row>
    <row r="770" spans="1:22" x14ac:dyDescent="0.35">
      <c r="A770" t="s">
        <v>200</v>
      </c>
      <c r="B770">
        <v>2018</v>
      </c>
      <c r="C770" t="s">
        <v>31</v>
      </c>
      <c r="D770">
        <v>0</v>
      </c>
      <c r="E770">
        <v>5516</v>
      </c>
      <c r="F770">
        <v>3728</v>
      </c>
      <c r="G770">
        <f>tblMoeHistory[[#This Row],[LEA State and Local Amount]]+tblMoeHistory[[#This Row],[ESD State and Local Amount]]</f>
        <v>9244</v>
      </c>
      <c r="H770">
        <v>0</v>
      </c>
      <c r="I770" t="s">
        <v>240</v>
      </c>
      <c r="J770">
        <f>IFERROR(tblMoeHistory[[#This Row],[LEA State and Local Amount]]/tblMoeHistory[[#This Row],[Child Count]],0)</f>
        <v>0</v>
      </c>
      <c r="K770">
        <f>IFERROR(tblMoeHistory[[#This Row],[ESD State and Local Amount]]/tblMoeHistory[[#This Row],[Child Count]],0)</f>
        <v>0</v>
      </c>
      <c r="L770">
        <f>IFERROR(tblMoeHistory[[#This Row],[State and Local Total Amount]]/tblMoeHistory[[#This Row],[Child Count]],0)</f>
        <v>0</v>
      </c>
      <c r="M770">
        <v>0</v>
      </c>
      <c r="N770" t="s">
        <v>240</v>
      </c>
      <c r="O770">
        <v>0</v>
      </c>
      <c r="P770">
        <v>0</v>
      </c>
      <c r="Q770">
        <f>tblMoeHistory[[#This Row],[Amount of IDEA Part B, Section 611 award]]+tblMoeHistory[[#This Row],[Amount of IDEA Part B, Section 619 award]]</f>
        <v>0</v>
      </c>
      <c r="U7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0" t="str">
        <f>IF(OR(IFERROR(SEARCH("Met",tblMoeHistory[[#This Row],[State and Local Per Capita Result]]),0)&gt;0,IFERROR(SEARCH("Met",tblMoeHistory[[#This Row],[State and Local Total Result]]),0)&gt;0),"Met","Not Met")</f>
        <v>Not Met</v>
      </c>
    </row>
    <row r="771" spans="1:22" x14ac:dyDescent="0.35">
      <c r="A771" t="s">
        <v>201</v>
      </c>
      <c r="B771">
        <v>2003</v>
      </c>
      <c r="C771" t="s">
        <v>31</v>
      </c>
      <c r="D771">
        <v>160</v>
      </c>
      <c r="E771">
        <v>1006510.22</v>
      </c>
      <c r="F771">
        <v>262304.84999999998</v>
      </c>
      <c r="G771">
        <f>tblMoeHistory[[#This Row],[LEA State and Local Amount]]+tblMoeHistory[[#This Row],[ESD State and Local Amount]]</f>
        <v>1268815.0699999998</v>
      </c>
      <c r="H771">
        <v>0</v>
      </c>
      <c r="I771" t="s">
        <v>240</v>
      </c>
      <c r="J771">
        <f>IFERROR(tblMoeHistory[[#This Row],[LEA State and Local Amount]]/tblMoeHistory[[#This Row],[Child Count]],0)</f>
        <v>6290.6888749999998</v>
      </c>
      <c r="K771">
        <f>IFERROR(tblMoeHistory[[#This Row],[ESD State and Local Amount]]/tblMoeHistory[[#This Row],[Child Count]],0)</f>
        <v>1639.4053124999998</v>
      </c>
      <c r="L771">
        <f>IFERROR(tblMoeHistory[[#This Row],[State and Local Total Amount]]/tblMoeHistory[[#This Row],[Child Count]],0)</f>
        <v>7930.094187499999</v>
      </c>
      <c r="M771">
        <v>0</v>
      </c>
      <c r="N771" t="s">
        <v>240</v>
      </c>
      <c r="O771">
        <v>214031.91</v>
      </c>
      <c r="P771">
        <v>2873.66</v>
      </c>
      <c r="Q771">
        <f>tblMoeHistory[[#This Row],[Amount of IDEA Part B, Section 611 award]]+tblMoeHistory[[#This Row],[Amount of IDEA Part B, Section 619 award]]</f>
        <v>216905.57</v>
      </c>
      <c r="U7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1" t="str">
        <f>IF(OR(IFERROR(SEARCH("Met",tblMoeHistory[[#This Row],[State and Local Per Capita Result]]),0)&gt;0,IFERROR(SEARCH("Met",tblMoeHistory[[#This Row],[State and Local Total Result]]),0)&gt;0),"Met","Not Met")</f>
        <v>Not Met</v>
      </c>
    </row>
    <row r="772" spans="1:22" x14ac:dyDescent="0.35">
      <c r="A772" t="s">
        <v>202</v>
      </c>
      <c r="B772">
        <v>2102</v>
      </c>
      <c r="C772" t="s">
        <v>31</v>
      </c>
      <c r="D772">
        <v>401</v>
      </c>
      <c r="E772">
        <v>2232729.83</v>
      </c>
      <c r="F772">
        <v>328315</v>
      </c>
      <c r="G772">
        <f>tblMoeHistory[[#This Row],[LEA State and Local Amount]]+tblMoeHistory[[#This Row],[ESD State and Local Amount]]</f>
        <v>2561044.83</v>
      </c>
      <c r="H772">
        <v>0</v>
      </c>
      <c r="I772" t="s">
        <v>241</v>
      </c>
      <c r="J772">
        <f>IFERROR(tblMoeHistory[[#This Row],[LEA State and Local Amount]]/tblMoeHistory[[#This Row],[Child Count]],0)</f>
        <v>5567.9048129675812</v>
      </c>
      <c r="K772">
        <f>IFERROR(tblMoeHistory[[#This Row],[ESD State and Local Amount]]/tblMoeHistory[[#This Row],[Child Count]],0)</f>
        <v>818.74064837905235</v>
      </c>
      <c r="L772">
        <f>IFERROR(tblMoeHistory[[#This Row],[State and Local Total Amount]]/tblMoeHistory[[#This Row],[Child Count]],0)</f>
        <v>6386.645461346634</v>
      </c>
      <c r="M772">
        <v>0</v>
      </c>
      <c r="N772" t="s">
        <v>241</v>
      </c>
      <c r="O772">
        <v>377934.46</v>
      </c>
      <c r="P772">
        <v>2543.7600000000002</v>
      </c>
      <c r="Q772">
        <f>tblMoeHistory[[#This Row],[Amount of IDEA Part B, Section 611 award]]+tblMoeHistory[[#This Row],[Amount of IDEA Part B, Section 619 award]]</f>
        <v>380478.22000000003</v>
      </c>
      <c r="U7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2" t="str">
        <f>IF(OR(IFERROR(SEARCH("Met",tblMoeHistory[[#This Row],[State and Local Per Capita Result]]),0)&gt;0,IFERROR(SEARCH("Met",tblMoeHistory[[#This Row],[State and Local Total Result]]),0)&gt;0),"Met","Not Met")</f>
        <v>Met</v>
      </c>
    </row>
    <row r="773" spans="1:22" x14ac:dyDescent="0.35">
      <c r="A773" t="s">
        <v>203</v>
      </c>
      <c r="B773">
        <v>2055</v>
      </c>
      <c r="C773" t="s">
        <v>31</v>
      </c>
      <c r="D773">
        <v>555</v>
      </c>
      <c r="E773">
        <v>5778842.1299999999</v>
      </c>
      <c r="F773">
        <v>204174.88</v>
      </c>
      <c r="G773">
        <f>tblMoeHistory[[#This Row],[LEA State and Local Amount]]+tblMoeHistory[[#This Row],[ESD State and Local Amount]]</f>
        <v>5983017.0099999998</v>
      </c>
      <c r="H773">
        <v>0</v>
      </c>
      <c r="I773" t="s">
        <v>241</v>
      </c>
      <c r="J773">
        <f>IFERROR(tblMoeHistory[[#This Row],[LEA State and Local Amount]]/tblMoeHistory[[#This Row],[Child Count]],0)</f>
        <v>10412.328162162163</v>
      </c>
      <c r="K773">
        <f>IFERROR(tblMoeHistory[[#This Row],[ESD State and Local Amount]]/tblMoeHistory[[#This Row],[Child Count]],0)</f>
        <v>367.88266666666669</v>
      </c>
      <c r="L773">
        <f>IFERROR(tblMoeHistory[[#This Row],[State and Local Total Amount]]/tblMoeHistory[[#This Row],[Child Count]],0)</f>
        <v>10780.210828828829</v>
      </c>
      <c r="M773">
        <v>0</v>
      </c>
      <c r="N773" t="s">
        <v>241</v>
      </c>
      <c r="O773">
        <v>827917.1</v>
      </c>
      <c r="P773">
        <v>7694.56</v>
      </c>
      <c r="Q773">
        <f>tblMoeHistory[[#This Row],[Amount of IDEA Part B, Section 611 award]]+tblMoeHistory[[#This Row],[Amount of IDEA Part B, Section 619 award]]</f>
        <v>835611.66</v>
      </c>
      <c r="U7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3" t="str">
        <f>IF(OR(IFERROR(SEARCH("Met",tblMoeHistory[[#This Row],[State and Local Per Capita Result]]),0)&gt;0,IFERROR(SEARCH("Met",tblMoeHistory[[#This Row],[State and Local Total Result]]),0)&gt;0),"Met","Not Met")</f>
        <v>Met</v>
      </c>
    </row>
    <row r="774" spans="1:22" x14ac:dyDescent="0.35">
      <c r="A774" t="s">
        <v>204</v>
      </c>
      <c r="B774">
        <v>2242</v>
      </c>
      <c r="C774" t="s">
        <v>31</v>
      </c>
      <c r="D774">
        <v>1297</v>
      </c>
      <c r="E774">
        <v>10121100.029999999</v>
      </c>
      <c r="F774">
        <v>1675359</v>
      </c>
      <c r="G774">
        <f>tblMoeHistory[[#This Row],[LEA State and Local Amount]]+tblMoeHistory[[#This Row],[ESD State and Local Amount]]</f>
        <v>11796459.029999999</v>
      </c>
      <c r="H774">
        <v>0</v>
      </c>
      <c r="I774" t="s">
        <v>241</v>
      </c>
      <c r="J774">
        <f>IFERROR(tblMoeHistory[[#This Row],[LEA State and Local Amount]]/tblMoeHistory[[#This Row],[Child Count]],0)</f>
        <v>7803.4695682343863</v>
      </c>
      <c r="K774">
        <f>IFERROR(tblMoeHistory[[#This Row],[ESD State and Local Amount]]/tblMoeHistory[[#This Row],[Child Count]],0)</f>
        <v>1291.7185813415574</v>
      </c>
      <c r="L774">
        <f>IFERROR(tblMoeHistory[[#This Row],[State and Local Total Amount]]/tblMoeHistory[[#This Row],[Child Count]],0)</f>
        <v>9095.1881495759444</v>
      </c>
      <c r="M774">
        <v>0</v>
      </c>
      <c r="N774" t="s">
        <v>241</v>
      </c>
      <c r="O774">
        <v>1814970.77</v>
      </c>
      <c r="P774">
        <v>10608.84</v>
      </c>
      <c r="Q774">
        <f>tblMoeHistory[[#This Row],[Amount of IDEA Part B, Section 611 award]]+tblMoeHistory[[#This Row],[Amount of IDEA Part B, Section 619 award]]</f>
        <v>1825579.61</v>
      </c>
      <c r="U7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4" t="str">
        <f>IF(OR(IFERROR(SEARCH("Met",tblMoeHistory[[#This Row],[State and Local Per Capita Result]]),0)&gt;0,IFERROR(SEARCH("Met",tblMoeHistory[[#This Row],[State and Local Total Result]]),0)&gt;0),"Met","Not Met")</f>
        <v>Met</v>
      </c>
    </row>
    <row r="775" spans="1:22" x14ac:dyDescent="0.35">
      <c r="A775" t="s">
        <v>205</v>
      </c>
      <c r="B775">
        <v>2197</v>
      </c>
      <c r="C775" t="s">
        <v>31</v>
      </c>
      <c r="D775">
        <v>232</v>
      </c>
      <c r="E775">
        <v>2527656.9</v>
      </c>
      <c r="F775">
        <v>180081</v>
      </c>
      <c r="G775">
        <f>tblMoeHistory[[#This Row],[LEA State and Local Amount]]+tblMoeHistory[[#This Row],[ESD State and Local Amount]]</f>
        <v>2707737.9</v>
      </c>
      <c r="H775">
        <v>0</v>
      </c>
      <c r="I775" t="s">
        <v>241</v>
      </c>
      <c r="J775">
        <f>IFERROR(tblMoeHistory[[#This Row],[LEA State and Local Amount]]/tblMoeHistory[[#This Row],[Child Count]],0)</f>
        <v>10895.072844827586</v>
      </c>
      <c r="K775">
        <f>IFERROR(tblMoeHistory[[#This Row],[ESD State and Local Amount]]/tblMoeHistory[[#This Row],[Child Count]],0)</f>
        <v>776.21120689655174</v>
      </c>
      <c r="L775">
        <f>IFERROR(tblMoeHistory[[#This Row],[State and Local Total Amount]]/tblMoeHistory[[#This Row],[Child Count]],0)</f>
        <v>11671.284051724138</v>
      </c>
      <c r="M775">
        <v>0</v>
      </c>
      <c r="N775" t="s">
        <v>241</v>
      </c>
      <c r="O775">
        <v>333263.77</v>
      </c>
      <c r="P775">
        <v>2282.96</v>
      </c>
      <c r="Q775">
        <f>tblMoeHistory[[#This Row],[Amount of IDEA Part B, Section 611 award]]+tblMoeHistory[[#This Row],[Amount of IDEA Part B, Section 619 award]]</f>
        <v>335546.73000000004</v>
      </c>
      <c r="U7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5" t="str">
        <f>IF(OR(IFERROR(SEARCH("Met",tblMoeHistory[[#This Row],[State and Local Per Capita Result]]),0)&gt;0,IFERROR(SEARCH("Met",tblMoeHistory[[#This Row],[State and Local Total Result]]),0)&gt;0),"Met","Not Met")</f>
        <v>Met</v>
      </c>
    </row>
    <row r="776" spans="1:22" x14ac:dyDescent="0.35">
      <c r="A776" t="s">
        <v>206</v>
      </c>
      <c r="B776">
        <v>2222</v>
      </c>
      <c r="C776" t="s">
        <v>31</v>
      </c>
      <c r="D776">
        <v>0</v>
      </c>
      <c r="E776">
        <v>0</v>
      </c>
      <c r="F776">
        <v>3700</v>
      </c>
      <c r="G776">
        <f>tblMoeHistory[[#This Row],[LEA State and Local Amount]]+tblMoeHistory[[#This Row],[ESD State and Local Amount]]</f>
        <v>3700</v>
      </c>
      <c r="H776">
        <v>0</v>
      </c>
      <c r="I776" t="s">
        <v>241</v>
      </c>
      <c r="J776">
        <f>IFERROR(tblMoeHistory[[#This Row],[LEA State and Local Amount]]/tblMoeHistory[[#This Row],[Child Count]],0)</f>
        <v>0</v>
      </c>
      <c r="K776">
        <f>IFERROR(tblMoeHistory[[#This Row],[ESD State and Local Amount]]/tblMoeHistory[[#This Row],[Child Count]],0)</f>
        <v>0</v>
      </c>
      <c r="L776">
        <f>IFERROR(tblMoeHistory[[#This Row],[State and Local Total Amount]]/tblMoeHistory[[#This Row],[Child Count]],0)</f>
        <v>0</v>
      </c>
      <c r="M776">
        <v>0</v>
      </c>
      <c r="N776" t="s">
        <v>241</v>
      </c>
      <c r="O776">
        <v>2315.65</v>
      </c>
      <c r="P776">
        <v>0</v>
      </c>
      <c r="Q776">
        <f>tblMoeHistory[[#This Row],[Amount of IDEA Part B, Section 611 award]]+tblMoeHistory[[#This Row],[Amount of IDEA Part B, Section 619 award]]</f>
        <v>2315.65</v>
      </c>
      <c r="U7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6" t="str">
        <f>IF(OR(IFERROR(SEARCH("Met",tblMoeHistory[[#This Row],[State and Local Per Capita Result]]),0)&gt;0,IFERROR(SEARCH("Met",tblMoeHistory[[#This Row],[State and Local Total Result]]),0)&gt;0),"Met","Not Met")</f>
        <v>Met</v>
      </c>
    </row>
    <row r="777" spans="1:22" x14ac:dyDescent="0.35">
      <c r="A777" t="s">
        <v>207</v>
      </c>
      <c r="B777">
        <v>2210</v>
      </c>
      <c r="C777" t="s">
        <v>31</v>
      </c>
      <c r="D777">
        <v>6</v>
      </c>
      <c r="E777">
        <v>3387.45</v>
      </c>
      <c r="F777">
        <v>9728.83</v>
      </c>
      <c r="G777">
        <f>tblMoeHistory[[#This Row],[LEA State and Local Amount]]+tblMoeHistory[[#This Row],[ESD State and Local Amount]]</f>
        <v>13116.279999999999</v>
      </c>
      <c r="H777">
        <v>0</v>
      </c>
      <c r="I777" t="s">
        <v>241</v>
      </c>
      <c r="J777">
        <f>IFERROR(tblMoeHistory[[#This Row],[LEA State and Local Amount]]/tblMoeHistory[[#This Row],[Child Count]],0)</f>
        <v>564.57499999999993</v>
      </c>
      <c r="K777">
        <f>IFERROR(tblMoeHistory[[#This Row],[ESD State and Local Amount]]/tblMoeHistory[[#This Row],[Child Count]],0)</f>
        <v>1621.4716666666666</v>
      </c>
      <c r="L777">
        <f>IFERROR(tblMoeHistory[[#This Row],[State and Local Total Amount]]/tblMoeHistory[[#This Row],[Child Count]],0)</f>
        <v>2186.0466666666666</v>
      </c>
      <c r="M777">
        <v>0</v>
      </c>
      <c r="N777" t="s">
        <v>240</v>
      </c>
      <c r="O777">
        <v>6083.81</v>
      </c>
      <c r="P777">
        <v>0</v>
      </c>
      <c r="Q777">
        <f>tblMoeHistory[[#This Row],[Amount of IDEA Part B, Section 611 award]]+tblMoeHistory[[#This Row],[Amount of IDEA Part B, Section 619 award]]</f>
        <v>6083.81</v>
      </c>
      <c r="U7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7" t="str">
        <f>IF(OR(IFERROR(SEARCH("Met",tblMoeHistory[[#This Row],[State and Local Per Capita Result]]),0)&gt;0,IFERROR(SEARCH("Met",tblMoeHistory[[#This Row],[State and Local Total Result]]),0)&gt;0),"Met","Not Met")</f>
        <v>Met</v>
      </c>
    </row>
    <row r="778" spans="1:22" x14ac:dyDescent="0.35">
      <c r="A778" t="s">
        <v>208</v>
      </c>
      <c r="B778">
        <v>2204</v>
      </c>
      <c r="C778" t="s">
        <v>31</v>
      </c>
      <c r="D778">
        <v>143</v>
      </c>
      <c r="E778">
        <v>1147565.3700000001</v>
      </c>
      <c r="F778">
        <v>229600.5</v>
      </c>
      <c r="G778">
        <f>tblMoeHistory[[#This Row],[LEA State and Local Amount]]+tblMoeHistory[[#This Row],[ESD State and Local Amount]]</f>
        <v>1377165.87</v>
      </c>
      <c r="H778">
        <v>0</v>
      </c>
      <c r="I778" t="s">
        <v>240</v>
      </c>
      <c r="J778">
        <f>IFERROR(tblMoeHistory[[#This Row],[LEA State and Local Amount]]/tblMoeHistory[[#This Row],[Child Count]],0)</f>
        <v>8024.9326573426579</v>
      </c>
      <c r="K778">
        <f>IFERROR(tblMoeHistory[[#This Row],[ESD State and Local Amount]]/tblMoeHistory[[#This Row],[Child Count]],0)</f>
        <v>1605.5979020979021</v>
      </c>
      <c r="L778">
        <f>IFERROR(tblMoeHistory[[#This Row],[State and Local Total Amount]]/tblMoeHistory[[#This Row],[Child Count]],0)</f>
        <v>9630.53055944056</v>
      </c>
      <c r="M778">
        <v>0</v>
      </c>
      <c r="N778" t="s">
        <v>240</v>
      </c>
      <c r="O778">
        <v>188401.44</v>
      </c>
      <c r="P778">
        <v>840.54</v>
      </c>
      <c r="Q778">
        <f>tblMoeHistory[[#This Row],[Amount of IDEA Part B, Section 611 award]]+tblMoeHistory[[#This Row],[Amount of IDEA Part B, Section 619 award]]</f>
        <v>189241.98</v>
      </c>
      <c r="U7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8" t="str">
        <f>IF(OR(IFERROR(SEARCH("Met",tblMoeHistory[[#This Row],[State and Local Per Capita Result]]),0)&gt;0,IFERROR(SEARCH("Met",tblMoeHistory[[#This Row],[State and Local Total Result]]),0)&gt;0),"Met","Not Met")</f>
        <v>Not Met</v>
      </c>
    </row>
    <row r="779" spans="1:22" x14ac:dyDescent="0.35">
      <c r="A779" t="s">
        <v>209</v>
      </c>
      <c r="B779">
        <v>2213</v>
      </c>
      <c r="C779" t="s">
        <v>31</v>
      </c>
      <c r="D779">
        <v>47</v>
      </c>
      <c r="E779">
        <v>330604.12</v>
      </c>
      <c r="F779">
        <v>126911</v>
      </c>
      <c r="G779">
        <f>tblMoeHistory[[#This Row],[LEA State and Local Amount]]+tblMoeHistory[[#This Row],[ESD State and Local Amount]]</f>
        <v>457515.12</v>
      </c>
      <c r="H779">
        <v>0</v>
      </c>
      <c r="I779" t="s">
        <v>241</v>
      </c>
      <c r="J779">
        <f>IFERROR(tblMoeHistory[[#This Row],[LEA State and Local Amount]]/tblMoeHistory[[#This Row],[Child Count]],0)</f>
        <v>7034.1302127659574</v>
      </c>
      <c r="K779">
        <f>IFERROR(tblMoeHistory[[#This Row],[ESD State and Local Amount]]/tblMoeHistory[[#This Row],[Child Count]],0)</f>
        <v>2700.2340425531916</v>
      </c>
      <c r="L779">
        <f>IFERROR(tblMoeHistory[[#This Row],[State and Local Total Amount]]/tblMoeHistory[[#This Row],[Child Count]],0)</f>
        <v>9734.3642553191494</v>
      </c>
      <c r="M779">
        <v>0</v>
      </c>
      <c r="N779" t="s">
        <v>241</v>
      </c>
      <c r="O779">
        <v>61015.22</v>
      </c>
      <c r="P779">
        <v>93.39</v>
      </c>
      <c r="Q779">
        <f>tblMoeHistory[[#This Row],[Amount of IDEA Part B, Section 611 award]]+tblMoeHistory[[#This Row],[Amount of IDEA Part B, Section 619 award]]</f>
        <v>61108.61</v>
      </c>
      <c r="U7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9" t="str">
        <f>IF(OR(IFERROR(SEARCH("Met",tblMoeHistory[[#This Row],[State and Local Per Capita Result]]),0)&gt;0,IFERROR(SEARCH("Met",tblMoeHistory[[#This Row],[State and Local Total Result]]),0)&gt;0),"Met","Not Met")</f>
        <v>Met</v>
      </c>
    </row>
    <row r="780" spans="1:22" x14ac:dyDescent="0.35">
      <c r="A780" t="s">
        <v>210</v>
      </c>
      <c r="B780">
        <v>2116</v>
      </c>
      <c r="C780" t="s">
        <v>31</v>
      </c>
      <c r="D780">
        <v>121</v>
      </c>
      <c r="E780">
        <v>668731.52</v>
      </c>
      <c r="F780">
        <v>272570.59000000003</v>
      </c>
      <c r="G780">
        <f>tblMoeHistory[[#This Row],[LEA State and Local Amount]]+tblMoeHistory[[#This Row],[ESD State and Local Amount]]</f>
        <v>941302.1100000001</v>
      </c>
      <c r="H780">
        <v>0</v>
      </c>
      <c r="I780" t="s">
        <v>241</v>
      </c>
      <c r="J780">
        <f>IFERROR(tblMoeHistory[[#This Row],[LEA State and Local Amount]]/tblMoeHistory[[#This Row],[Child Count]],0)</f>
        <v>5526.7067768595043</v>
      </c>
      <c r="K780">
        <f>IFERROR(tblMoeHistory[[#This Row],[ESD State and Local Amount]]/tblMoeHistory[[#This Row],[Child Count]],0)</f>
        <v>2252.6495041322314</v>
      </c>
      <c r="L780">
        <f>IFERROR(tblMoeHistory[[#This Row],[State and Local Total Amount]]/tblMoeHistory[[#This Row],[Child Count]],0)</f>
        <v>7779.3562809917366</v>
      </c>
      <c r="M780">
        <v>0</v>
      </c>
      <c r="N780" t="s">
        <v>240</v>
      </c>
      <c r="O780">
        <v>143920.04999999999</v>
      </c>
      <c r="P780">
        <v>400.26</v>
      </c>
      <c r="Q780">
        <f>tblMoeHistory[[#This Row],[Amount of IDEA Part B, Section 611 award]]+tblMoeHistory[[#This Row],[Amount of IDEA Part B, Section 619 award]]</f>
        <v>144320.31</v>
      </c>
      <c r="U7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0" t="str">
        <f>IF(OR(IFERROR(SEARCH("Met",tblMoeHistory[[#This Row],[State and Local Per Capita Result]]),0)&gt;0,IFERROR(SEARCH("Met",tblMoeHistory[[#This Row],[State and Local Total Result]]),0)&gt;0),"Met","Not Met")</f>
        <v>Met</v>
      </c>
    </row>
    <row r="781" spans="1:22" x14ac:dyDescent="0.35">
      <c r="A781" t="s">
        <v>211</v>
      </c>
      <c r="B781">
        <v>1947</v>
      </c>
      <c r="C781" t="s">
        <v>31</v>
      </c>
      <c r="D781">
        <v>98</v>
      </c>
      <c r="E781">
        <v>918571.88</v>
      </c>
      <c r="F781">
        <v>70850</v>
      </c>
      <c r="G781">
        <f>tblMoeHistory[[#This Row],[LEA State and Local Amount]]+tblMoeHistory[[#This Row],[ESD State and Local Amount]]</f>
        <v>989421.88</v>
      </c>
      <c r="H781">
        <v>0</v>
      </c>
      <c r="I781" t="s">
        <v>241</v>
      </c>
      <c r="J781">
        <f>IFERROR(tblMoeHistory[[#This Row],[LEA State and Local Amount]]/tblMoeHistory[[#This Row],[Child Count]],0)</f>
        <v>9373.1824489795927</v>
      </c>
      <c r="K781">
        <f>IFERROR(tblMoeHistory[[#This Row],[ESD State and Local Amount]]/tblMoeHistory[[#This Row],[Child Count]],0)</f>
        <v>722.9591836734694</v>
      </c>
      <c r="L781">
        <f>IFERROR(tblMoeHistory[[#This Row],[State and Local Total Amount]]/tblMoeHistory[[#This Row],[Child Count]],0)</f>
        <v>10096.141632653062</v>
      </c>
      <c r="M781">
        <v>0</v>
      </c>
      <c r="N781" t="s">
        <v>240</v>
      </c>
      <c r="O781">
        <v>93204.47</v>
      </c>
      <c r="P781">
        <v>1027.3399999999999</v>
      </c>
      <c r="Q781">
        <f>tblMoeHistory[[#This Row],[Amount of IDEA Part B, Section 611 award]]+tblMoeHistory[[#This Row],[Amount of IDEA Part B, Section 619 award]]</f>
        <v>94231.81</v>
      </c>
      <c r="U7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1" t="str">
        <f>IF(OR(IFERROR(SEARCH("Met",tblMoeHistory[[#This Row],[State and Local Per Capita Result]]),0)&gt;0,IFERROR(SEARCH("Met",tblMoeHistory[[#This Row],[State and Local Total Result]]),0)&gt;0),"Met","Not Met")</f>
        <v>Met</v>
      </c>
    </row>
    <row r="782" spans="1:22" x14ac:dyDescent="0.35">
      <c r="A782" t="s">
        <v>212</v>
      </c>
      <c r="B782">
        <v>2220</v>
      </c>
      <c r="C782" t="s">
        <v>31</v>
      </c>
      <c r="D782">
        <v>35</v>
      </c>
      <c r="E782">
        <v>81791.39</v>
      </c>
      <c r="F782">
        <v>172958.21</v>
      </c>
      <c r="G782">
        <f>tblMoeHistory[[#This Row],[LEA State and Local Amount]]+tblMoeHistory[[#This Row],[ESD State and Local Amount]]</f>
        <v>254749.59999999998</v>
      </c>
      <c r="H782">
        <v>0</v>
      </c>
      <c r="I782" t="s">
        <v>240</v>
      </c>
      <c r="J782">
        <f>IFERROR(tblMoeHistory[[#This Row],[LEA State and Local Amount]]/tblMoeHistory[[#This Row],[Child Count]],0)</f>
        <v>2336.8968571428572</v>
      </c>
      <c r="K782">
        <f>IFERROR(tblMoeHistory[[#This Row],[ESD State and Local Amount]]/tblMoeHistory[[#This Row],[Child Count]],0)</f>
        <v>4941.6631428571427</v>
      </c>
      <c r="L782">
        <f>IFERROR(tblMoeHistory[[#This Row],[State and Local Total Amount]]/tblMoeHistory[[#This Row],[Child Count]],0)</f>
        <v>7278.5599999999995</v>
      </c>
      <c r="M782">
        <v>0</v>
      </c>
      <c r="N782" t="s">
        <v>240</v>
      </c>
      <c r="O782">
        <v>56027.16</v>
      </c>
      <c r="P782">
        <v>933.94</v>
      </c>
      <c r="Q782">
        <f>tblMoeHistory[[#This Row],[Amount of IDEA Part B, Section 611 award]]+tblMoeHistory[[#This Row],[Amount of IDEA Part B, Section 619 award]]</f>
        <v>56961.100000000006</v>
      </c>
      <c r="U7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2" t="str">
        <f>IF(OR(IFERROR(SEARCH("Met",tblMoeHistory[[#This Row],[State and Local Per Capita Result]]),0)&gt;0,IFERROR(SEARCH("Met",tblMoeHistory[[#This Row],[State and Local Total Result]]),0)&gt;0),"Met","Not Met")</f>
        <v>Not Met</v>
      </c>
    </row>
    <row r="783" spans="1:22" x14ac:dyDescent="0.35">
      <c r="A783" t="s">
        <v>213</v>
      </c>
      <c r="B783">
        <v>1936</v>
      </c>
      <c r="C783" t="s">
        <v>31</v>
      </c>
      <c r="D783">
        <v>166</v>
      </c>
      <c r="E783">
        <v>1302533.24</v>
      </c>
      <c r="F783">
        <v>219158</v>
      </c>
      <c r="G783">
        <f>tblMoeHistory[[#This Row],[LEA State and Local Amount]]+tblMoeHistory[[#This Row],[ESD State and Local Amount]]</f>
        <v>1521691.24</v>
      </c>
      <c r="H783">
        <v>0</v>
      </c>
      <c r="I783" t="s">
        <v>241</v>
      </c>
      <c r="J783">
        <f>IFERROR(tblMoeHistory[[#This Row],[LEA State and Local Amount]]/tblMoeHistory[[#This Row],[Child Count]],0)</f>
        <v>7846.5857831325302</v>
      </c>
      <c r="K783">
        <f>IFERROR(tblMoeHistory[[#This Row],[ESD State and Local Amount]]/tblMoeHistory[[#This Row],[Child Count]],0)</f>
        <v>1320.2289156626507</v>
      </c>
      <c r="L783">
        <f>IFERROR(tblMoeHistory[[#This Row],[State and Local Total Amount]]/tblMoeHistory[[#This Row],[Child Count]],0)</f>
        <v>9166.8146987951804</v>
      </c>
      <c r="M783">
        <v>0</v>
      </c>
      <c r="N783" t="s">
        <v>240</v>
      </c>
      <c r="O783">
        <v>135582.07999999999</v>
      </c>
      <c r="P783">
        <v>1167.43</v>
      </c>
      <c r="Q783">
        <f>tblMoeHistory[[#This Row],[Amount of IDEA Part B, Section 611 award]]+tblMoeHistory[[#This Row],[Amount of IDEA Part B, Section 619 award]]</f>
        <v>136749.50999999998</v>
      </c>
      <c r="U7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3" t="str">
        <f>IF(OR(IFERROR(SEARCH("Met",tblMoeHistory[[#This Row],[State and Local Per Capita Result]]),0)&gt;0,IFERROR(SEARCH("Met",tblMoeHistory[[#This Row],[State and Local Total Result]]),0)&gt;0),"Met","Not Met")</f>
        <v>Met</v>
      </c>
    </row>
    <row r="784" spans="1:22" x14ac:dyDescent="0.35">
      <c r="A784" t="s">
        <v>214</v>
      </c>
      <c r="B784">
        <v>1922</v>
      </c>
      <c r="C784" t="s">
        <v>31</v>
      </c>
      <c r="D784">
        <v>907</v>
      </c>
      <c r="E784">
        <v>6965082.1200000001</v>
      </c>
      <c r="F784">
        <v>448974</v>
      </c>
      <c r="G784">
        <f>tblMoeHistory[[#This Row],[LEA State and Local Amount]]+tblMoeHistory[[#This Row],[ESD State and Local Amount]]</f>
        <v>7414056.1200000001</v>
      </c>
      <c r="H784">
        <v>0</v>
      </c>
      <c r="I784" t="s">
        <v>241</v>
      </c>
      <c r="J784">
        <f>IFERROR(tblMoeHistory[[#This Row],[LEA State and Local Amount]]/tblMoeHistory[[#This Row],[Child Count]],0)</f>
        <v>7679.2526130099232</v>
      </c>
      <c r="K784">
        <f>IFERROR(tblMoeHistory[[#This Row],[ESD State and Local Amount]]/tblMoeHistory[[#This Row],[Child Count]],0)</f>
        <v>495.00992282249172</v>
      </c>
      <c r="L784">
        <f>IFERROR(tblMoeHistory[[#This Row],[State and Local Total Amount]]/tblMoeHistory[[#This Row],[Child Count]],0)</f>
        <v>8174.2625358324149</v>
      </c>
      <c r="M784">
        <v>0</v>
      </c>
      <c r="N784" t="s">
        <v>241</v>
      </c>
      <c r="O784">
        <v>1167497.96</v>
      </c>
      <c r="P784">
        <v>6472.86</v>
      </c>
      <c r="Q784">
        <f>tblMoeHistory[[#This Row],[Amount of IDEA Part B, Section 611 award]]+tblMoeHistory[[#This Row],[Amount of IDEA Part B, Section 619 award]]</f>
        <v>1173970.82</v>
      </c>
      <c r="U7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4" t="str">
        <f>IF(OR(IFERROR(SEARCH("Met",tblMoeHistory[[#This Row],[State and Local Per Capita Result]]),0)&gt;0,IFERROR(SEARCH("Met",tblMoeHistory[[#This Row],[State and Local Total Result]]),0)&gt;0),"Met","Not Met")</f>
        <v>Met</v>
      </c>
    </row>
    <row r="785" spans="1:22" x14ac:dyDescent="0.35">
      <c r="A785" t="s">
        <v>215</v>
      </c>
      <c r="B785">
        <v>2255</v>
      </c>
      <c r="C785" t="s">
        <v>31</v>
      </c>
      <c r="D785">
        <v>114</v>
      </c>
      <c r="E785">
        <v>819083.01</v>
      </c>
      <c r="F785">
        <v>200969.36</v>
      </c>
      <c r="G785">
        <f>tblMoeHistory[[#This Row],[LEA State and Local Amount]]+tblMoeHistory[[#This Row],[ESD State and Local Amount]]</f>
        <v>1020052.37</v>
      </c>
      <c r="H785">
        <v>0</v>
      </c>
      <c r="I785" t="s">
        <v>240</v>
      </c>
      <c r="J785">
        <f>IFERROR(tblMoeHistory[[#This Row],[LEA State and Local Amount]]/tblMoeHistory[[#This Row],[Child Count]],0)</f>
        <v>7184.9386842105268</v>
      </c>
      <c r="K785">
        <f>IFERROR(tblMoeHistory[[#This Row],[ESD State and Local Amount]]/tblMoeHistory[[#This Row],[Child Count]],0)</f>
        <v>1762.8891228070174</v>
      </c>
      <c r="L785">
        <f>IFERROR(tblMoeHistory[[#This Row],[State and Local Total Amount]]/tblMoeHistory[[#This Row],[Child Count]],0)</f>
        <v>8947.8278070175438</v>
      </c>
      <c r="M785">
        <v>0</v>
      </c>
      <c r="N785" t="s">
        <v>240</v>
      </c>
      <c r="O785">
        <v>172183.96</v>
      </c>
      <c r="P785">
        <v>2381.5500000000002</v>
      </c>
      <c r="Q785">
        <f>tblMoeHistory[[#This Row],[Amount of IDEA Part B, Section 611 award]]+tblMoeHistory[[#This Row],[Amount of IDEA Part B, Section 619 award]]</f>
        <v>174565.50999999998</v>
      </c>
      <c r="U7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5" t="str">
        <f>IF(OR(IFERROR(SEARCH("Met",tblMoeHistory[[#This Row],[State and Local Per Capita Result]]),0)&gt;0,IFERROR(SEARCH("Met",tblMoeHistory[[#This Row],[State and Local Total Result]]),0)&gt;0),"Met","Not Met")</f>
        <v>Not Met</v>
      </c>
    </row>
    <row r="786" spans="1:22" x14ac:dyDescent="0.35">
      <c r="A786" t="s">
        <v>216</v>
      </c>
      <c r="B786">
        <v>2002</v>
      </c>
      <c r="C786" t="s">
        <v>31</v>
      </c>
      <c r="D786">
        <v>203</v>
      </c>
      <c r="E786">
        <v>1527958.1</v>
      </c>
      <c r="F786">
        <v>248018.37</v>
      </c>
      <c r="G786">
        <f>tblMoeHistory[[#This Row],[LEA State and Local Amount]]+tblMoeHistory[[#This Row],[ESD State and Local Amount]]</f>
        <v>1775976.4700000002</v>
      </c>
      <c r="H786">
        <v>0</v>
      </c>
      <c r="I786" t="s">
        <v>241</v>
      </c>
      <c r="J786">
        <f>IFERROR(tblMoeHistory[[#This Row],[LEA State and Local Amount]]/tblMoeHistory[[#This Row],[Child Count]],0)</f>
        <v>7526.8871921182272</v>
      </c>
      <c r="K786">
        <f>IFERROR(tblMoeHistory[[#This Row],[ESD State and Local Amount]]/tblMoeHistory[[#This Row],[Child Count]],0)</f>
        <v>1221.7653694581281</v>
      </c>
      <c r="L786">
        <f>IFERROR(tblMoeHistory[[#This Row],[State and Local Total Amount]]/tblMoeHistory[[#This Row],[Child Count]],0)</f>
        <v>8748.6525615763549</v>
      </c>
      <c r="M786">
        <v>0</v>
      </c>
      <c r="N786" t="s">
        <v>240</v>
      </c>
      <c r="O786">
        <v>262660.96999999997</v>
      </c>
      <c r="P786">
        <v>5603.65</v>
      </c>
      <c r="Q786">
        <f>tblMoeHistory[[#This Row],[Amount of IDEA Part B, Section 611 award]]+tblMoeHistory[[#This Row],[Amount of IDEA Part B, Section 619 award]]</f>
        <v>268264.62</v>
      </c>
      <c r="U7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6" t="str">
        <f>IF(OR(IFERROR(SEARCH("Met",tblMoeHistory[[#This Row],[State and Local Per Capita Result]]),0)&gt;0,IFERROR(SEARCH("Met",tblMoeHistory[[#This Row],[State and Local Total Result]]),0)&gt;0),"Met","Not Met")</f>
        <v>Met</v>
      </c>
    </row>
    <row r="787" spans="1:22" x14ac:dyDescent="0.35">
      <c r="A787" t="s">
        <v>217</v>
      </c>
      <c r="B787">
        <v>2146</v>
      </c>
      <c r="C787" t="s">
        <v>31</v>
      </c>
      <c r="D787">
        <v>683</v>
      </c>
      <c r="E787">
        <v>5555988.9900000002</v>
      </c>
      <c r="F787">
        <v>363046.13</v>
      </c>
      <c r="G787">
        <f>tblMoeHistory[[#This Row],[LEA State and Local Amount]]+tblMoeHistory[[#This Row],[ESD State and Local Amount]]</f>
        <v>5919035.1200000001</v>
      </c>
      <c r="H787">
        <v>0</v>
      </c>
      <c r="I787" t="s">
        <v>241</v>
      </c>
      <c r="J787">
        <f>IFERROR(tblMoeHistory[[#This Row],[LEA State and Local Amount]]/tblMoeHistory[[#This Row],[Child Count]],0)</f>
        <v>8134.6837335285509</v>
      </c>
      <c r="K787">
        <f>IFERROR(tblMoeHistory[[#This Row],[ESD State and Local Amount]]/tblMoeHistory[[#This Row],[Child Count]],0)</f>
        <v>531.54631039531478</v>
      </c>
      <c r="L787">
        <f>IFERROR(tblMoeHistory[[#This Row],[State and Local Total Amount]]/tblMoeHistory[[#This Row],[Child Count]],0)</f>
        <v>8666.2300439238661</v>
      </c>
      <c r="M787">
        <v>0</v>
      </c>
      <c r="N787" t="s">
        <v>241</v>
      </c>
      <c r="O787">
        <v>691607.97</v>
      </c>
      <c r="P787">
        <v>3672.29</v>
      </c>
      <c r="Q787">
        <f>tblMoeHistory[[#This Row],[Amount of IDEA Part B, Section 611 award]]+tblMoeHistory[[#This Row],[Amount of IDEA Part B, Section 619 award]]</f>
        <v>695280.26</v>
      </c>
      <c r="U7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7" t="str">
        <f>IF(OR(IFERROR(SEARCH("Met",tblMoeHistory[[#This Row],[State and Local Per Capita Result]]),0)&gt;0,IFERROR(SEARCH("Met",tblMoeHistory[[#This Row],[State and Local Total Result]]),0)&gt;0),"Met","Not Met")</f>
        <v>Met</v>
      </c>
    </row>
    <row r="788" spans="1:22" x14ac:dyDescent="0.35">
      <c r="A788" t="s">
        <v>218</v>
      </c>
      <c r="B788">
        <v>2251</v>
      </c>
      <c r="C788" t="s">
        <v>31</v>
      </c>
      <c r="D788">
        <v>179</v>
      </c>
      <c r="E788">
        <v>1198172.06</v>
      </c>
      <c r="F788">
        <v>54192.19</v>
      </c>
      <c r="G788">
        <f>tblMoeHistory[[#This Row],[LEA State and Local Amount]]+tblMoeHistory[[#This Row],[ESD State and Local Amount]]</f>
        <v>1252364.25</v>
      </c>
      <c r="H788">
        <v>0</v>
      </c>
      <c r="I788" t="s">
        <v>241</v>
      </c>
      <c r="J788">
        <f>IFERROR(tblMoeHistory[[#This Row],[LEA State and Local Amount]]/tblMoeHistory[[#This Row],[Child Count]],0)</f>
        <v>6693.6986592178773</v>
      </c>
      <c r="K788">
        <f>IFERROR(tblMoeHistory[[#This Row],[ESD State and Local Amount]]/tblMoeHistory[[#This Row],[Child Count]],0)</f>
        <v>302.74966480446926</v>
      </c>
      <c r="L788">
        <f>IFERROR(tblMoeHistory[[#This Row],[State and Local Total Amount]]/tblMoeHistory[[#This Row],[Child Count]],0)</f>
        <v>6996.4483240223462</v>
      </c>
      <c r="M788">
        <v>0</v>
      </c>
      <c r="N788" t="s">
        <v>241</v>
      </c>
      <c r="O788">
        <v>197461.14</v>
      </c>
      <c r="P788">
        <v>1400.91</v>
      </c>
      <c r="Q788">
        <f>tblMoeHistory[[#This Row],[Amount of IDEA Part B, Section 611 award]]+tblMoeHistory[[#This Row],[Amount of IDEA Part B, Section 619 award]]</f>
        <v>198862.05000000002</v>
      </c>
      <c r="U7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8" t="str">
        <f>IF(OR(IFERROR(SEARCH("Met",tblMoeHistory[[#This Row],[State and Local Per Capita Result]]),0)&gt;0,IFERROR(SEARCH("Met",tblMoeHistory[[#This Row],[State and Local Total Result]]),0)&gt;0),"Met","Not Met")</f>
        <v>Met</v>
      </c>
    </row>
    <row r="789" spans="1:22" x14ac:dyDescent="0.35">
      <c r="A789" t="s">
        <v>219</v>
      </c>
      <c r="B789">
        <v>1997</v>
      </c>
      <c r="C789" t="s">
        <v>31</v>
      </c>
      <c r="D789">
        <v>38</v>
      </c>
      <c r="E789">
        <v>226197.46</v>
      </c>
      <c r="F789">
        <v>41188.68</v>
      </c>
      <c r="G789">
        <f>tblMoeHistory[[#This Row],[LEA State and Local Amount]]+tblMoeHistory[[#This Row],[ESD State and Local Amount]]</f>
        <v>267386.14</v>
      </c>
      <c r="H789">
        <v>0</v>
      </c>
      <c r="I789" t="s">
        <v>241</v>
      </c>
      <c r="J789">
        <f>IFERROR(tblMoeHistory[[#This Row],[LEA State and Local Amount]]/tblMoeHistory[[#This Row],[Child Count]],0)</f>
        <v>5952.564736842105</v>
      </c>
      <c r="K789">
        <f>IFERROR(tblMoeHistory[[#This Row],[ESD State and Local Amount]]/tblMoeHistory[[#This Row],[Child Count]],0)</f>
        <v>1083.9126315789474</v>
      </c>
      <c r="L789">
        <f>IFERROR(tblMoeHistory[[#This Row],[State and Local Total Amount]]/tblMoeHistory[[#This Row],[Child Count]],0)</f>
        <v>7036.4773684210531</v>
      </c>
      <c r="M789">
        <v>0</v>
      </c>
      <c r="N789" t="s">
        <v>241</v>
      </c>
      <c r="O789">
        <v>63623.69</v>
      </c>
      <c r="P789">
        <v>933.94</v>
      </c>
      <c r="Q789">
        <f>tblMoeHistory[[#This Row],[Amount of IDEA Part B, Section 611 award]]+tblMoeHistory[[#This Row],[Amount of IDEA Part B, Section 619 award]]</f>
        <v>64557.630000000005</v>
      </c>
      <c r="U7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9" t="str">
        <f>IF(OR(IFERROR(SEARCH("Met",tblMoeHistory[[#This Row],[State and Local Per Capita Result]]),0)&gt;0,IFERROR(SEARCH("Met",tblMoeHistory[[#This Row],[State and Local Total Result]]),0)&gt;0),"Met","Not Met")</f>
        <v>Met</v>
      </c>
    </row>
    <row r="790" spans="1:22" x14ac:dyDescent="0.35">
      <c r="A790" t="s">
        <v>14</v>
      </c>
      <c r="B790">
        <v>2063</v>
      </c>
      <c r="C790" t="s">
        <v>19</v>
      </c>
      <c r="D790">
        <v>4</v>
      </c>
      <c r="E790">
        <v>4269.03</v>
      </c>
      <c r="F790">
        <v>17928.07</v>
      </c>
      <c r="G790">
        <f>tblMoeHistory[[#This Row],[LEA State and Local Amount]]+tblMoeHistory[[#This Row],[ESD State and Local Amount]]</f>
        <v>22197.1</v>
      </c>
      <c r="H790">
        <v>0</v>
      </c>
      <c r="I790" t="s">
        <v>239</v>
      </c>
      <c r="J790">
        <f>IFERROR(tblMoeHistory[[#This Row],[LEA State and Local Amount]]/tblMoeHistory[[#This Row],[Child Count]],0)</f>
        <v>1067.2574999999999</v>
      </c>
      <c r="K790">
        <f>IFERROR(tblMoeHistory[[#This Row],[ESD State and Local Amount]]/tblMoeHistory[[#This Row],[Child Count]],0)</f>
        <v>4482.0174999999999</v>
      </c>
      <c r="L790">
        <f>IFERROR(tblMoeHistory[[#This Row],[State and Local Total Amount]]/tblMoeHistory[[#This Row],[Child Count]],0)</f>
        <v>5549.2749999999996</v>
      </c>
      <c r="M790">
        <v>0</v>
      </c>
      <c r="N790" t="s">
        <v>239</v>
      </c>
      <c r="O790">
        <v>3219.77</v>
      </c>
      <c r="P790">
        <v>459.01</v>
      </c>
      <c r="Q790">
        <f>tblMoeHistory[[#This Row],[Amount of IDEA Part B, Section 611 award]]+tblMoeHistory[[#This Row],[Amount of IDEA Part B, Section 619 award]]</f>
        <v>3678.7799999999997</v>
      </c>
      <c r="U7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0" t="str">
        <f>IF(OR(IFERROR(SEARCH("Met",tblMoeHistory[[#This Row],[State and Local Per Capita Result]]),0)&gt;0,IFERROR(SEARCH("Met",tblMoeHistory[[#This Row],[State and Local Total Result]]),0)&gt;0),"Met","Not Met")</f>
        <v>Met</v>
      </c>
    </row>
    <row r="791" spans="1:22" x14ac:dyDescent="0.35">
      <c r="A791" t="s">
        <v>17</v>
      </c>
      <c r="B791">
        <v>2113</v>
      </c>
      <c r="C791" t="s">
        <v>19</v>
      </c>
      <c r="D791">
        <v>29</v>
      </c>
      <c r="E791">
        <v>217378.64</v>
      </c>
      <c r="F791">
        <v>80846.42</v>
      </c>
      <c r="G791">
        <f>tblMoeHistory[[#This Row],[LEA State and Local Amount]]+tblMoeHistory[[#This Row],[ESD State and Local Amount]]</f>
        <v>298225.06</v>
      </c>
      <c r="H791">
        <v>0</v>
      </c>
      <c r="I791" t="s">
        <v>239</v>
      </c>
      <c r="J791">
        <f>IFERROR(tblMoeHistory[[#This Row],[LEA State and Local Amount]]/tblMoeHistory[[#This Row],[Child Count]],0)</f>
        <v>7495.8151724137933</v>
      </c>
      <c r="K791">
        <f>IFERROR(tblMoeHistory[[#This Row],[ESD State and Local Amount]]/tblMoeHistory[[#This Row],[Child Count]],0)</f>
        <v>2787.8075862068963</v>
      </c>
      <c r="L791">
        <f>IFERROR(tblMoeHistory[[#This Row],[State and Local Total Amount]]/tblMoeHistory[[#This Row],[Child Count]],0)</f>
        <v>10283.62275862069</v>
      </c>
      <c r="M791">
        <v>0</v>
      </c>
      <c r="N791" t="s">
        <v>239</v>
      </c>
      <c r="O791">
        <v>48330.16</v>
      </c>
      <c r="P791">
        <v>0</v>
      </c>
      <c r="Q791">
        <f>tblMoeHistory[[#This Row],[Amount of IDEA Part B, Section 611 award]]+tblMoeHistory[[#This Row],[Amount of IDEA Part B, Section 619 award]]</f>
        <v>48330.16</v>
      </c>
      <c r="U7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1" t="str">
        <f>IF(OR(IFERROR(SEARCH("Met",tblMoeHistory[[#This Row],[State and Local Per Capita Result]]),0)&gt;0,IFERROR(SEARCH("Met",tblMoeHistory[[#This Row],[State and Local Total Result]]),0)&gt;0),"Met","Not Met")</f>
        <v>Met</v>
      </c>
    </row>
    <row r="792" spans="1:22" x14ac:dyDescent="0.35">
      <c r="A792" t="s">
        <v>20</v>
      </c>
      <c r="B792">
        <v>1899</v>
      </c>
      <c r="C792" t="s">
        <v>19</v>
      </c>
      <c r="D792">
        <v>23</v>
      </c>
      <c r="E792">
        <v>265895.59000000003</v>
      </c>
      <c r="F792">
        <v>17584</v>
      </c>
      <c r="G792">
        <f>tblMoeHistory[[#This Row],[LEA State and Local Amount]]+tblMoeHistory[[#This Row],[ESD State and Local Amount]]</f>
        <v>283479.59000000003</v>
      </c>
      <c r="H792">
        <v>0</v>
      </c>
      <c r="I792" t="s">
        <v>239</v>
      </c>
      <c r="J792">
        <f>IFERROR(tblMoeHistory[[#This Row],[LEA State and Local Amount]]/tblMoeHistory[[#This Row],[Child Count]],0)</f>
        <v>11560.677826086958</v>
      </c>
      <c r="K792">
        <f>IFERROR(tblMoeHistory[[#This Row],[ESD State and Local Amount]]/tblMoeHistory[[#This Row],[Child Count]],0)</f>
        <v>764.52173913043475</v>
      </c>
      <c r="L792">
        <f>IFERROR(tblMoeHistory[[#This Row],[State and Local Total Amount]]/tblMoeHistory[[#This Row],[Child Count]],0)</f>
        <v>12325.199565217392</v>
      </c>
      <c r="M792">
        <v>0</v>
      </c>
      <c r="N792" t="s">
        <v>239</v>
      </c>
      <c r="O792">
        <v>29744.99</v>
      </c>
      <c r="P792">
        <v>1377.04</v>
      </c>
      <c r="Q792">
        <f>tblMoeHistory[[#This Row],[Amount of IDEA Part B, Section 611 award]]+tblMoeHistory[[#This Row],[Amount of IDEA Part B, Section 619 award]]</f>
        <v>31122.030000000002</v>
      </c>
      <c r="U7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2" t="str">
        <f>IF(OR(IFERROR(SEARCH("Met",tblMoeHistory[[#This Row],[State and Local Per Capita Result]]),0)&gt;0,IFERROR(SEARCH("Met",tblMoeHistory[[#This Row],[State and Local Total Result]]),0)&gt;0),"Met","Not Met")</f>
        <v>Met</v>
      </c>
    </row>
    <row r="793" spans="1:22" x14ac:dyDescent="0.35">
      <c r="A793" t="s">
        <v>21</v>
      </c>
      <c r="B793">
        <v>2252</v>
      </c>
      <c r="C793" t="s">
        <v>19</v>
      </c>
      <c r="D793">
        <v>111</v>
      </c>
      <c r="E793">
        <v>700520.6</v>
      </c>
      <c r="F793">
        <v>85244.25</v>
      </c>
      <c r="G793">
        <f>tblMoeHistory[[#This Row],[LEA State and Local Amount]]+tblMoeHistory[[#This Row],[ESD State and Local Amount]]</f>
        <v>785764.85</v>
      </c>
      <c r="H793">
        <v>0</v>
      </c>
      <c r="I793" t="s">
        <v>241</v>
      </c>
      <c r="J793">
        <f>IFERROR(tblMoeHistory[[#This Row],[LEA State and Local Amount]]/tblMoeHistory[[#This Row],[Child Count]],0)</f>
        <v>6310.9963963963964</v>
      </c>
      <c r="K793">
        <f>IFERROR(tblMoeHistory[[#This Row],[ESD State and Local Amount]]/tblMoeHistory[[#This Row],[Child Count]],0)</f>
        <v>767.96621621621625</v>
      </c>
      <c r="L793">
        <f>IFERROR(tblMoeHistory[[#This Row],[State and Local Total Amount]]/tblMoeHistory[[#This Row],[Child Count]],0)</f>
        <v>7078.9626126126122</v>
      </c>
      <c r="M793">
        <v>0</v>
      </c>
      <c r="N793" t="s">
        <v>240</v>
      </c>
      <c r="O793">
        <v>151369.67000000001</v>
      </c>
      <c r="P793">
        <v>3672.11</v>
      </c>
      <c r="Q793">
        <f>tblMoeHistory[[#This Row],[Amount of IDEA Part B, Section 611 award]]+tblMoeHistory[[#This Row],[Amount of IDEA Part B, Section 619 award]]</f>
        <v>155041.78</v>
      </c>
      <c r="U7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3" t="str">
        <f>IF(OR(IFERROR(SEARCH("Met",tblMoeHistory[[#This Row],[State and Local Per Capita Result]]),0)&gt;0,IFERROR(SEARCH("Met",tblMoeHistory[[#This Row],[State and Local Total Result]]),0)&gt;0),"Met","Not Met")</f>
        <v>Met</v>
      </c>
    </row>
    <row r="794" spans="1:22" x14ac:dyDescent="0.35">
      <c r="A794" t="s">
        <v>23</v>
      </c>
      <c r="B794">
        <v>2111</v>
      </c>
      <c r="C794" t="s">
        <v>19</v>
      </c>
      <c r="D794">
        <v>9</v>
      </c>
      <c r="E794">
        <v>10845.3</v>
      </c>
      <c r="F794">
        <v>22665.11</v>
      </c>
      <c r="G794">
        <f>tblMoeHistory[[#This Row],[LEA State and Local Amount]]+tblMoeHistory[[#This Row],[ESD State and Local Amount]]</f>
        <v>33510.410000000003</v>
      </c>
      <c r="H794">
        <v>0</v>
      </c>
      <c r="I794" t="s">
        <v>239</v>
      </c>
      <c r="J794">
        <f>IFERROR(tblMoeHistory[[#This Row],[LEA State and Local Amount]]/tblMoeHistory[[#This Row],[Child Count]],0)</f>
        <v>1205.0333333333333</v>
      </c>
      <c r="K794">
        <f>IFERROR(tblMoeHistory[[#This Row],[ESD State and Local Amount]]/tblMoeHistory[[#This Row],[Child Count]],0)</f>
        <v>2518.3455555555556</v>
      </c>
      <c r="L794">
        <f>IFERROR(tblMoeHistory[[#This Row],[State and Local Total Amount]]/tblMoeHistory[[#This Row],[Child Count]],0)</f>
        <v>3723.3788888888894</v>
      </c>
      <c r="M794">
        <v>0</v>
      </c>
      <c r="N794" t="s">
        <v>239</v>
      </c>
      <c r="O794">
        <v>19204.16</v>
      </c>
      <c r="P794">
        <v>0</v>
      </c>
      <c r="Q794">
        <f>tblMoeHistory[[#This Row],[Amount of IDEA Part B, Section 611 award]]+tblMoeHistory[[#This Row],[Amount of IDEA Part B, Section 619 award]]</f>
        <v>19204.16</v>
      </c>
      <c r="U7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4" t="str">
        <f>IF(OR(IFERROR(SEARCH("Met",tblMoeHistory[[#This Row],[State and Local Per Capita Result]]),0)&gt;0,IFERROR(SEARCH("Met",tblMoeHistory[[#This Row],[State and Local Total Result]]),0)&gt;0),"Met","Not Met")</f>
        <v>Met</v>
      </c>
    </row>
    <row r="795" spans="1:22" x14ac:dyDescent="0.35">
      <c r="A795" t="s">
        <v>24</v>
      </c>
      <c r="B795">
        <v>2005</v>
      </c>
      <c r="C795" t="s">
        <v>19</v>
      </c>
      <c r="D795">
        <v>18</v>
      </c>
      <c r="E795">
        <v>41280.379999999997</v>
      </c>
      <c r="F795">
        <v>113660</v>
      </c>
      <c r="G795">
        <f>tblMoeHistory[[#This Row],[LEA State and Local Amount]]+tblMoeHistory[[#This Row],[ESD State and Local Amount]]</f>
        <v>154940.38</v>
      </c>
      <c r="H795">
        <v>0</v>
      </c>
      <c r="I795" t="s">
        <v>239</v>
      </c>
      <c r="J795">
        <f>IFERROR(tblMoeHistory[[#This Row],[LEA State and Local Amount]]/tblMoeHistory[[#This Row],[Child Count]],0)</f>
        <v>2293.3544444444442</v>
      </c>
      <c r="K795">
        <f>IFERROR(tblMoeHistory[[#This Row],[ESD State and Local Amount]]/tblMoeHistory[[#This Row],[Child Count]],0)</f>
        <v>6314.4444444444443</v>
      </c>
      <c r="L795">
        <f>IFERROR(tblMoeHistory[[#This Row],[State and Local Total Amount]]/tblMoeHistory[[#This Row],[Child Count]],0)</f>
        <v>8607.7988888888885</v>
      </c>
      <c r="M795">
        <v>0</v>
      </c>
      <c r="N795" t="s">
        <v>239</v>
      </c>
      <c r="O795">
        <v>25562.61</v>
      </c>
      <c r="P795">
        <v>0</v>
      </c>
      <c r="Q795">
        <f>tblMoeHistory[[#This Row],[Amount of IDEA Part B, Section 611 award]]+tblMoeHistory[[#This Row],[Amount of IDEA Part B, Section 619 award]]</f>
        <v>25562.61</v>
      </c>
      <c r="U7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5" t="str">
        <f>IF(OR(IFERROR(SEARCH("Met",tblMoeHistory[[#This Row],[State and Local Per Capita Result]]),0)&gt;0,IFERROR(SEARCH("Met",tblMoeHistory[[#This Row],[State and Local Total Result]]),0)&gt;0),"Met","Not Met")</f>
        <v>Met</v>
      </c>
    </row>
    <row r="796" spans="1:22" x14ac:dyDescent="0.35">
      <c r="A796" t="s">
        <v>25</v>
      </c>
      <c r="B796">
        <v>2115</v>
      </c>
      <c r="C796" t="s">
        <v>19</v>
      </c>
      <c r="D796">
        <v>2</v>
      </c>
      <c r="E796">
        <v>0</v>
      </c>
      <c r="F796">
        <v>3522.61</v>
      </c>
      <c r="G796">
        <f>tblMoeHistory[[#This Row],[LEA State and Local Amount]]+tblMoeHistory[[#This Row],[ESD State and Local Amount]]</f>
        <v>3522.61</v>
      </c>
      <c r="H796">
        <v>0</v>
      </c>
      <c r="I796" t="s">
        <v>239</v>
      </c>
      <c r="J796">
        <f>IFERROR(tblMoeHistory[[#This Row],[LEA State and Local Amount]]/tblMoeHistory[[#This Row],[Child Count]],0)</f>
        <v>0</v>
      </c>
      <c r="K796">
        <f>IFERROR(tblMoeHistory[[#This Row],[ESD State and Local Amount]]/tblMoeHistory[[#This Row],[Child Count]],0)</f>
        <v>1761.3050000000001</v>
      </c>
      <c r="L796">
        <f>IFERROR(tblMoeHistory[[#This Row],[State and Local Total Amount]]/tblMoeHistory[[#This Row],[Child Count]],0)</f>
        <v>1761.3050000000001</v>
      </c>
      <c r="M796">
        <v>0</v>
      </c>
      <c r="N796" t="s">
        <v>239</v>
      </c>
      <c r="O796">
        <v>2702.35</v>
      </c>
      <c r="P796">
        <v>0</v>
      </c>
      <c r="Q796">
        <f>tblMoeHistory[[#This Row],[Amount of IDEA Part B, Section 611 award]]+tblMoeHistory[[#This Row],[Amount of IDEA Part B, Section 619 award]]</f>
        <v>2702.35</v>
      </c>
      <c r="U7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6" t="str">
        <f>IF(OR(IFERROR(SEARCH("Met",tblMoeHistory[[#This Row],[State and Local Per Capita Result]]),0)&gt;0,IFERROR(SEARCH("Met",tblMoeHistory[[#This Row],[State and Local Total Result]]),0)&gt;0),"Met","Not Met")</f>
        <v>Met</v>
      </c>
    </row>
    <row r="797" spans="1:22" x14ac:dyDescent="0.35">
      <c r="A797" t="s">
        <v>26</v>
      </c>
      <c r="B797">
        <v>2041</v>
      </c>
      <c r="C797" t="s">
        <v>19</v>
      </c>
      <c r="D797">
        <v>331</v>
      </c>
      <c r="E797">
        <v>2259821.6800000002</v>
      </c>
      <c r="F797">
        <v>229303.64</v>
      </c>
      <c r="G797">
        <f>tblMoeHistory[[#This Row],[LEA State and Local Amount]]+tblMoeHistory[[#This Row],[ESD State and Local Amount]]</f>
        <v>2489125.3200000003</v>
      </c>
      <c r="H797">
        <v>0</v>
      </c>
      <c r="I797" t="s">
        <v>241</v>
      </c>
      <c r="J797">
        <f>IFERROR(tblMoeHistory[[#This Row],[LEA State and Local Amount]]/tblMoeHistory[[#This Row],[Child Count]],0)</f>
        <v>6827.2558308157104</v>
      </c>
      <c r="K797">
        <f>IFERROR(tblMoeHistory[[#This Row],[ESD State and Local Amount]]/tblMoeHistory[[#This Row],[Child Count]],0)</f>
        <v>692.76024169184291</v>
      </c>
      <c r="L797">
        <f>IFERROR(tblMoeHistory[[#This Row],[State and Local Total Amount]]/tblMoeHistory[[#This Row],[Child Count]],0)</f>
        <v>7520.0160725075539</v>
      </c>
      <c r="M797">
        <v>0</v>
      </c>
      <c r="N797" t="s">
        <v>240</v>
      </c>
      <c r="O797">
        <v>436688.47</v>
      </c>
      <c r="P797">
        <v>3323.89</v>
      </c>
      <c r="Q797">
        <f>tblMoeHistory[[#This Row],[Amount of IDEA Part B, Section 611 award]]+tblMoeHistory[[#This Row],[Amount of IDEA Part B, Section 619 award]]</f>
        <v>440012.36</v>
      </c>
      <c r="U7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7" t="str">
        <f>IF(OR(IFERROR(SEARCH("Met",tblMoeHistory[[#This Row],[State and Local Per Capita Result]]),0)&gt;0,IFERROR(SEARCH("Met",tblMoeHistory[[#This Row],[State and Local Total Result]]),0)&gt;0),"Met","Not Met")</f>
        <v>Met</v>
      </c>
    </row>
    <row r="798" spans="1:22" x14ac:dyDescent="0.35">
      <c r="A798" t="s">
        <v>27</v>
      </c>
      <c r="B798">
        <v>2051</v>
      </c>
      <c r="C798" t="s">
        <v>19</v>
      </c>
      <c r="D798">
        <v>0</v>
      </c>
      <c r="E798">
        <v>0</v>
      </c>
      <c r="F798">
        <v>7250.62</v>
      </c>
      <c r="G798">
        <f>tblMoeHistory[[#This Row],[LEA State and Local Amount]]+tblMoeHistory[[#This Row],[ESD State and Local Amount]]</f>
        <v>7250.62</v>
      </c>
      <c r="H798">
        <v>0</v>
      </c>
      <c r="I798" t="s">
        <v>240</v>
      </c>
      <c r="J798">
        <f>IFERROR(tblMoeHistory[[#This Row],[LEA State and Local Amount]]/tblMoeHistory[[#This Row],[Child Count]],0)</f>
        <v>0</v>
      </c>
      <c r="K798">
        <f>IFERROR(tblMoeHistory[[#This Row],[ESD State and Local Amount]]/tblMoeHistory[[#This Row],[Child Count]],0)</f>
        <v>0</v>
      </c>
      <c r="L798">
        <f>IFERROR(tblMoeHistory[[#This Row],[State and Local Total Amount]]/tblMoeHistory[[#This Row],[Child Count]],0)</f>
        <v>0</v>
      </c>
      <c r="M798">
        <v>0</v>
      </c>
      <c r="N798" t="s">
        <v>241</v>
      </c>
      <c r="O798">
        <v>688.36</v>
      </c>
      <c r="P798">
        <v>0</v>
      </c>
      <c r="Q798">
        <f>tblMoeHistory[[#This Row],[Amount of IDEA Part B, Section 611 award]]+tblMoeHistory[[#This Row],[Amount of IDEA Part B, Section 619 award]]</f>
        <v>688.36</v>
      </c>
      <c r="U7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8" t="str">
        <f>IF(OR(IFERROR(SEARCH("Met",tblMoeHistory[[#This Row],[State and Local Per Capita Result]]),0)&gt;0,IFERROR(SEARCH("Met",tblMoeHistory[[#This Row],[State and Local Total Result]]),0)&gt;0),"Met","Not Met")</f>
        <v>Met</v>
      </c>
    </row>
    <row r="799" spans="1:22" x14ac:dyDescent="0.35">
      <c r="A799" t="s">
        <v>28</v>
      </c>
      <c r="B799">
        <v>1933</v>
      </c>
      <c r="C799" t="s">
        <v>19</v>
      </c>
      <c r="D799">
        <v>258</v>
      </c>
      <c r="E799">
        <v>2111816.5099999998</v>
      </c>
      <c r="F799">
        <v>442734</v>
      </c>
      <c r="G799">
        <f>tblMoeHistory[[#This Row],[LEA State and Local Amount]]+tblMoeHistory[[#This Row],[ESD State and Local Amount]]</f>
        <v>2554550.5099999998</v>
      </c>
      <c r="H799">
        <v>0</v>
      </c>
      <c r="I799" t="s">
        <v>241</v>
      </c>
      <c r="J799">
        <f>IFERROR(tblMoeHistory[[#This Row],[LEA State and Local Amount]]/tblMoeHistory[[#This Row],[Child Count]],0)</f>
        <v>8185.3353100775184</v>
      </c>
      <c r="K799">
        <f>IFERROR(tblMoeHistory[[#This Row],[ESD State and Local Amount]]/tblMoeHistory[[#This Row],[Child Count]],0)</f>
        <v>1716.0232558139535</v>
      </c>
      <c r="L799">
        <f>IFERROR(tblMoeHistory[[#This Row],[State and Local Total Amount]]/tblMoeHistory[[#This Row],[Child Count]],0)</f>
        <v>9901.3585658914726</v>
      </c>
      <c r="M799">
        <v>0</v>
      </c>
      <c r="N799" t="s">
        <v>241</v>
      </c>
      <c r="O799">
        <v>254243.05</v>
      </c>
      <c r="P799">
        <v>1762.61</v>
      </c>
      <c r="Q799">
        <f>tblMoeHistory[[#This Row],[Amount of IDEA Part B, Section 611 award]]+tblMoeHistory[[#This Row],[Amount of IDEA Part B, Section 619 award]]</f>
        <v>256005.65999999997</v>
      </c>
      <c r="U7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9" t="str">
        <f>IF(OR(IFERROR(SEARCH("Met",tblMoeHistory[[#This Row],[State and Local Per Capita Result]]),0)&gt;0,IFERROR(SEARCH("Met",tblMoeHistory[[#This Row],[State and Local Total Result]]),0)&gt;0),"Met","Not Met")</f>
        <v>Met</v>
      </c>
    </row>
    <row r="800" spans="1:22" x14ac:dyDescent="0.35">
      <c r="A800" t="s">
        <v>29</v>
      </c>
      <c r="B800">
        <v>2208</v>
      </c>
      <c r="C800" t="s">
        <v>19</v>
      </c>
      <c r="D800">
        <v>90</v>
      </c>
      <c r="E800">
        <v>427728.52</v>
      </c>
      <c r="F800">
        <v>129253.12</v>
      </c>
      <c r="G800">
        <f>tblMoeHistory[[#This Row],[LEA State and Local Amount]]+tblMoeHistory[[#This Row],[ESD State and Local Amount]]</f>
        <v>556981.64</v>
      </c>
      <c r="H800">
        <v>0</v>
      </c>
      <c r="I800" t="s">
        <v>239</v>
      </c>
      <c r="J800">
        <f>IFERROR(tblMoeHistory[[#This Row],[LEA State and Local Amount]]/tblMoeHistory[[#This Row],[Child Count]],0)</f>
        <v>4752.5391111111112</v>
      </c>
      <c r="K800">
        <f>IFERROR(tblMoeHistory[[#This Row],[ESD State and Local Amount]]/tblMoeHistory[[#This Row],[Child Count]],0)</f>
        <v>1436.1457777777778</v>
      </c>
      <c r="L800">
        <f>IFERROR(tblMoeHistory[[#This Row],[State and Local Total Amount]]/tblMoeHistory[[#This Row],[Child Count]],0)</f>
        <v>6188.684888888889</v>
      </c>
      <c r="M800">
        <v>0</v>
      </c>
      <c r="N800" t="s">
        <v>239</v>
      </c>
      <c r="O800">
        <v>99597.42</v>
      </c>
      <c r="P800">
        <v>2622.93</v>
      </c>
      <c r="Q800">
        <f>tblMoeHistory[[#This Row],[Amount of IDEA Part B, Section 611 award]]+tblMoeHistory[[#This Row],[Amount of IDEA Part B, Section 619 award]]</f>
        <v>102220.34999999999</v>
      </c>
      <c r="U8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0" t="str">
        <f>IF(OR(IFERROR(SEARCH("Met",tblMoeHistory[[#This Row],[State and Local Per Capita Result]]),0)&gt;0,IFERROR(SEARCH("Met",tblMoeHistory[[#This Row],[State and Local Total Result]]),0)&gt;0),"Met","Not Met")</f>
        <v>Met</v>
      </c>
    </row>
    <row r="801" spans="1:22" x14ac:dyDescent="0.35">
      <c r="A801" t="s">
        <v>30</v>
      </c>
      <c r="B801">
        <v>1894</v>
      </c>
      <c r="C801" t="s">
        <v>19</v>
      </c>
      <c r="D801">
        <v>292</v>
      </c>
      <c r="E801">
        <v>2158870.2599999998</v>
      </c>
      <c r="F801">
        <v>0</v>
      </c>
      <c r="G801">
        <f>tblMoeHistory[[#This Row],[LEA State and Local Amount]]+tblMoeHistory[[#This Row],[ESD State and Local Amount]]</f>
        <v>2158870.2599999998</v>
      </c>
      <c r="H801">
        <v>0</v>
      </c>
      <c r="I801" t="s">
        <v>241</v>
      </c>
      <c r="J801">
        <f>IFERROR(tblMoeHistory[[#This Row],[LEA State and Local Amount]]/tblMoeHistory[[#This Row],[Child Count]],0)</f>
        <v>7393.391301369862</v>
      </c>
      <c r="K801">
        <f>IFERROR(tblMoeHistory[[#This Row],[ESD State and Local Amount]]/tblMoeHistory[[#This Row],[Child Count]],0)</f>
        <v>0</v>
      </c>
      <c r="L801">
        <f>IFERROR(tblMoeHistory[[#This Row],[State and Local Total Amount]]/tblMoeHistory[[#This Row],[Child Count]],0)</f>
        <v>7393.391301369862</v>
      </c>
      <c r="M801">
        <v>0</v>
      </c>
      <c r="N801" t="s">
        <v>240</v>
      </c>
      <c r="O801">
        <v>371711.01</v>
      </c>
      <c r="P801">
        <v>3327.85</v>
      </c>
      <c r="Q801">
        <f>tblMoeHistory[[#This Row],[Amount of IDEA Part B, Section 611 award]]+tblMoeHistory[[#This Row],[Amount of IDEA Part B, Section 619 award]]</f>
        <v>375038.86</v>
      </c>
      <c r="U8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1" t="str">
        <f>IF(OR(IFERROR(SEARCH("Met",tblMoeHistory[[#This Row],[State and Local Per Capita Result]]),0)&gt;0,IFERROR(SEARCH("Met",tblMoeHistory[[#This Row],[State and Local Total Result]]),0)&gt;0),"Met","Not Met")</f>
        <v>Met</v>
      </c>
    </row>
    <row r="802" spans="1:22" x14ac:dyDescent="0.35">
      <c r="A802" t="s">
        <v>32</v>
      </c>
      <c r="B802">
        <v>1969</v>
      </c>
      <c r="C802" t="s">
        <v>19</v>
      </c>
      <c r="D802">
        <v>93</v>
      </c>
      <c r="E802">
        <v>770532.14</v>
      </c>
      <c r="F802">
        <v>248423</v>
      </c>
      <c r="G802">
        <f>tblMoeHistory[[#This Row],[LEA State and Local Amount]]+tblMoeHistory[[#This Row],[ESD State and Local Amount]]</f>
        <v>1018955.14</v>
      </c>
      <c r="H802">
        <v>0</v>
      </c>
      <c r="I802" t="s">
        <v>240</v>
      </c>
      <c r="J802">
        <f>IFERROR(tblMoeHistory[[#This Row],[LEA State and Local Amount]]/tblMoeHistory[[#This Row],[Child Count]],0)</f>
        <v>8285.2918279569894</v>
      </c>
      <c r="K802">
        <f>IFERROR(tblMoeHistory[[#This Row],[ESD State and Local Amount]]/tblMoeHistory[[#This Row],[Child Count]],0)</f>
        <v>2671.2150537634407</v>
      </c>
      <c r="L802">
        <f>IFERROR(tblMoeHistory[[#This Row],[State and Local Total Amount]]/tblMoeHistory[[#This Row],[Child Count]],0)</f>
        <v>10956.50688172043</v>
      </c>
      <c r="M802">
        <v>0</v>
      </c>
      <c r="N802" t="s">
        <v>240</v>
      </c>
      <c r="O802">
        <v>136783.62</v>
      </c>
      <c r="P802">
        <v>631.14</v>
      </c>
      <c r="Q802">
        <f>tblMoeHistory[[#This Row],[Amount of IDEA Part B, Section 611 award]]+tblMoeHistory[[#This Row],[Amount of IDEA Part B, Section 619 award]]</f>
        <v>137414.76</v>
      </c>
      <c r="U8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2" t="str">
        <f>IF(OR(IFERROR(SEARCH("Met",tblMoeHistory[[#This Row],[State and Local Per Capita Result]]),0)&gt;0,IFERROR(SEARCH("Met",tblMoeHistory[[#This Row],[State and Local Total Result]]),0)&gt;0),"Met","Not Met")</f>
        <v>Not Met</v>
      </c>
    </row>
    <row r="803" spans="1:22" x14ac:dyDescent="0.35">
      <c r="A803" t="s">
        <v>33</v>
      </c>
      <c r="B803">
        <v>2240</v>
      </c>
      <c r="C803" t="s">
        <v>19</v>
      </c>
      <c r="D803">
        <v>154</v>
      </c>
      <c r="E803">
        <v>1473933.87</v>
      </c>
      <c r="F803">
        <v>278320</v>
      </c>
      <c r="G803">
        <f>tblMoeHistory[[#This Row],[LEA State and Local Amount]]+tblMoeHistory[[#This Row],[ESD State and Local Amount]]</f>
        <v>1752253.87</v>
      </c>
      <c r="H803">
        <v>0</v>
      </c>
      <c r="I803" t="s">
        <v>241</v>
      </c>
      <c r="J803">
        <f>IFERROR(tblMoeHistory[[#This Row],[LEA State and Local Amount]]/tblMoeHistory[[#This Row],[Child Count]],0)</f>
        <v>9570.9991558441561</v>
      </c>
      <c r="K803">
        <f>IFERROR(tblMoeHistory[[#This Row],[ESD State and Local Amount]]/tblMoeHistory[[#This Row],[Child Count]],0)</f>
        <v>1807.2727272727273</v>
      </c>
      <c r="L803">
        <f>IFERROR(tblMoeHistory[[#This Row],[State and Local Total Amount]]/tblMoeHistory[[#This Row],[Child Count]],0)</f>
        <v>11378.271883116884</v>
      </c>
      <c r="M803">
        <v>0</v>
      </c>
      <c r="N803" t="s">
        <v>241</v>
      </c>
      <c r="O803">
        <v>181563.77</v>
      </c>
      <c r="P803">
        <v>459.01</v>
      </c>
      <c r="Q803">
        <f>tblMoeHistory[[#This Row],[Amount of IDEA Part B, Section 611 award]]+tblMoeHistory[[#This Row],[Amount of IDEA Part B, Section 619 award]]</f>
        <v>182022.78</v>
      </c>
      <c r="T803">
        <v>100711.8</v>
      </c>
      <c r="U8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3" t="str">
        <f>IF(OR(IFERROR(SEARCH("Met",tblMoeHistory[[#This Row],[State and Local Per Capita Result]]),0)&gt;0,IFERROR(SEARCH("Met",tblMoeHistory[[#This Row],[State and Local Total Result]]),0)&gt;0),"Met","Not Met")</f>
        <v>Met</v>
      </c>
    </row>
    <row r="804" spans="1:22" x14ac:dyDescent="0.35">
      <c r="A804" t="s">
        <v>34</v>
      </c>
      <c r="B804">
        <v>2243</v>
      </c>
      <c r="C804" t="s">
        <v>19</v>
      </c>
      <c r="D804">
        <v>4814</v>
      </c>
      <c r="E804">
        <v>46856399.280000001</v>
      </c>
      <c r="F804">
        <v>4087667</v>
      </c>
      <c r="G804">
        <f>tblMoeHistory[[#This Row],[LEA State and Local Amount]]+tblMoeHistory[[#This Row],[ESD State and Local Amount]]</f>
        <v>50944066.280000001</v>
      </c>
      <c r="H804">
        <v>0</v>
      </c>
      <c r="I804" t="s">
        <v>241</v>
      </c>
      <c r="J804">
        <f>IFERROR(tblMoeHistory[[#This Row],[LEA State and Local Amount]]/tblMoeHistory[[#This Row],[Child Count]],0)</f>
        <v>9733.3608807644378</v>
      </c>
      <c r="K804">
        <f>IFERROR(tblMoeHistory[[#This Row],[ESD State and Local Amount]]/tblMoeHistory[[#This Row],[Child Count]],0)</f>
        <v>849.12068965517244</v>
      </c>
      <c r="L804">
        <f>IFERROR(tblMoeHistory[[#This Row],[State and Local Total Amount]]/tblMoeHistory[[#This Row],[Child Count]],0)</f>
        <v>10582.48157041961</v>
      </c>
      <c r="M804">
        <v>0</v>
      </c>
      <c r="N804" t="s">
        <v>241</v>
      </c>
      <c r="O804">
        <v>6449729.2000000002</v>
      </c>
      <c r="P804">
        <v>21441.24</v>
      </c>
      <c r="Q804">
        <f>tblMoeHistory[[#This Row],[Amount of IDEA Part B, Section 611 award]]+tblMoeHistory[[#This Row],[Amount of IDEA Part B, Section 619 award]]</f>
        <v>6471170.4400000004</v>
      </c>
      <c r="U8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4" t="str">
        <f>IF(OR(IFERROR(SEARCH("Met",tblMoeHistory[[#This Row],[State and Local Per Capita Result]]),0)&gt;0,IFERROR(SEARCH("Met",tblMoeHistory[[#This Row],[State and Local Total Result]]),0)&gt;0),"Met","Not Met")</f>
        <v>Met</v>
      </c>
    </row>
    <row r="805" spans="1:22" x14ac:dyDescent="0.35">
      <c r="A805" t="s">
        <v>35</v>
      </c>
      <c r="B805">
        <v>1976</v>
      </c>
      <c r="C805" t="s">
        <v>19</v>
      </c>
      <c r="D805">
        <v>1949</v>
      </c>
      <c r="E805">
        <v>17559461</v>
      </c>
      <c r="F805">
        <v>2390599.38</v>
      </c>
      <c r="G805">
        <f>tblMoeHistory[[#This Row],[LEA State and Local Amount]]+tblMoeHistory[[#This Row],[ESD State and Local Amount]]</f>
        <v>19950060.379999999</v>
      </c>
      <c r="H805">
        <v>0</v>
      </c>
      <c r="I805" t="s">
        <v>241</v>
      </c>
      <c r="J805">
        <f>IFERROR(tblMoeHistory[[#This Row],[LEA State and Local Amount]]/tblMoeHistory[[#This Row],[Child Count]],0)</f>
        <v>9009.4720369420211</v>
      </c>
      <c r="K805">
        <f>IFERROR(tblMoeHistory[[#This Row],[ESD State and Local Amount]]/tblMoeHistory[[#This Row],[Child Count]],0)</f>
        <v>1226.5774140584915</v>
      </c>
      <c r="L805">
        <f>IFERROR(tblMoeHistory[[#This Row],[State and Local Total Amount]]/tblMoeHistory[[#This Row],[Child Count]],0)</f>
        <v>10236.049451000512</v>
      </c>
      <c r="M805">
        <v>0</v>
      </c>
      <c r="N805" t="s">
        <v>241</v>
      </c>
      <c r="O805">
        <v>2625120.5299999998</v>
      </c>
      <c r="P805">
        <v>14079.63</v>
      </c>
      <c r="Q805">
        <f>tblMoeHistory[[#This Row],[Amount of IDEA Part B, Section 611 award]]+tblMoeHistory[[#This Row],[Amount of IDEA Part B, Section 619 award]]</f>
        <v>2639200.1599999997</v>
      </c>
      <c r="U8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5" t="str">
        <f>IF(OR(IFERROR(SEARCH("Met",tblMoeHistory[[#This Row],[State and Local Per Capita Result]]),0)&gt;0,IFERROR(SEARCH("Met",tblMoeHistory[[#This Row],[State and Local Total Result]]),0)&gt;0),"Met","Not Met")</f>
        <v>Met</v>
      </c>
    </row>
    <row r="806" spans="1:22" x14ac:dyDescent="0.35">
      <c r="A806" t="s">
        <v>36</v>
      </c>
      <c r="B806">
        <v>2088</v>
      </c>
      <c r="C806" t="s">
        <v>19</v>
      </c>
      <c r="D806">
        <v>918</v>
      </c>
      <c r="E806">
        <v>8369551.3799999999</v>
      </c>
      <c r="F806">
        <v>875589</v>
      </c>
      <c r="G806">
        <f>tblMoeHistory[[#This Row],[LEA State and Local Amount]]+tblMoeHistory[[#This Row],[ESD State and Local Amount]]</f>
        <v>9245140.379999999</v>
      </c>
      <c r="H806">
        <v>0</v>
      </c>
      <c r="I806" t="s">
        <v>241</v>
      </c>
      <c r="J806">
        <f>IFERROR(tblMoeHistory[[#This Row],[LEA State and Local Amount]]/tblMoeHistory[[#This Row],[Child Count]],0)</f>
        <v>9117.1583660130709</v>
      </c>
      <c r="K806">
        <f>IFERROR(tblMoeHistory[[#This Row],[ESD State and Local Amount]]/tblMoeHistory[[#This Row],[Child Count]],0)</f>
        <v>953.80065359477123</v>
      </c>
      <c r="L806">
        <f>IFERROR(tblMoeHistory[[#This Row],[State and Local Total Amount]]/tblMoeHistory[[#This Row],[Child Count]],0)</f>
        <v>10070.959019607842</v>
      </c>
      <c r="M806">
        <v>0</v>
      </c>
      <c r="N806" t="s">
        <v>241</v>
      </c>
      <c r="O806">
        <v>970107.21</v>
      </c>
      <c r="P806">
        <v>5825.94</v>
      </c>
      <c r="Q806">
        <f>tblMoeHistory[[#This Row],[Amount of IDEA Part B, Section 611 award]]+tblMoeHistory[[#This Row],[Amount of IDEA Part B, Section 619 award]]</f>
        <v>975933.14999999991</v>
      </c>
      <c r="U8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6" t="str">
        <f>IF(OR(IFERROR(SEARCH("Met",tblMoeHistory[[#This Row],[State and Local Per Capita Result]]),0)&gt;0,IFERROR(SEARCH("Met",tblMoeHistory[[#This Row],[State and Local Total Result]]),0)&gt;0),"Met","Not Met")</f>
        <v>Met</v>
      </c>
    </row>
    <row r="807" spans="1:22" x14ac:dyDescent="0.35">
      <c r="A807" t="s">
        <v>37</v>
      </c>
      <c r="B807">
        <v>2095</v>
      </c>
      <c r="C807" t="s">
        <v>19</v>
      </c>
      <c r="D807">
        <v>40</v>
      </c>
      <c r="E807">
        <v>294619.75</v>
      </c>
      <c r="F807">
        <v>64320</v>
      </c>
      <c r="G807">
        <f>tblMoeHistory[[#This Row],[LEA State and Local Amount]]+tblMoeHistory[[#This Row],[ESD State and Local Amount]]</f>
        <v>358939.75</v>
      </c>
      <c r="H807">
        <v>0</v>
      </c>
      <c r="I807" t="s">
        <v>241</v>
      </c>
      <c r="J807">
        <f>IFERROR(tblMoeHistory[[#This Row],[LEA State and Local Amount]]/tblMoeHistory[[#This Row],[Child Count]],0)</f>
        <v>7365.4937499999996</v>
      </c>
      <c r="K807">
        <f>IFERROR(tblMoeHistory[[#This Row],[ESD State and Local Amount]]/tblMoeHistory[[#This Row],[Child Count]],0)</f>
        <v>1608</v>
      </c>
      <c r="L807">
        <f>IFERROR(tblMoeHistory[[#This Row],[State and Local Total Amount]]/tblMoeHistory[[#This Row],[Child Count]],0)</f>
        <v>8973.4937499999996</v>
      </c>
      <c r="M807">
        <v>0</v>
      </c>
      <c r="N807" t="s">
        <v>240</v>
      </c>
      <c r="O807">
        <v>45664.61</v>
      </c>
      <c r="P807">
        <v>459.01</v>
      </c>
      <c r="Q807">
        <f>tblMoeHistory[[#This Row],[Amount of IDEA Part B, Section 611 award]]+tblMoeHistory[[#This Row],[Amount of IDEA Part B, Section 619 award]]</f>
        <v>46123.62</v>
      </c>
      <c r="U8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7" t="str">
        <f>IF(OR(IFERROR(SEARCH("Met",tblMoeHistory[[#This Row],[State and Local Per Capita Result]]),0)&gt;0,IFERROR(SEARCH("Met",tblMoeHistory[[#This Row],[State and Local Total Result]]),0)&gt;0),"Met","Not Met")</f>
        <v>Met</v>
      </c>
    </row>
    <row r="808" spans="1:22" x14ac:dyDescent="0.35">
      <c r="A808" t="s">
        <v>38</v>
      </c>
      <c r="B808">
        <v>2052</v>
      </c>
      <c r="C808" t="s">
        <v>19</v>
      </c>
      <c r="D808">
        <v>0</v>
      </c>
      <c r="E808">
        <v>1826.44</v>
      </c>
      <c r="F808">
        <v>14754.1</v>
      </c>
      <c r="G808">
        <f>tblMoeHistory[[#This Row],[LEA State and Local Amount]]+tblMoeHistory[[#This Row],[ESD State and Local Amount]]</f>
        <v>16580.54</v>
      </c>
      <c r="H808">
        <v>0</v>
      </c>
      <c r="I808" t="s">
        <v>239</v>
      </c>
      <c r="J808">
        <f>IFERROR(tblMoeHistory[[#This Row],[LEA State and Local Amount]]/tblMoeHistory[[#This Row],[Child Count]],0)</f>
        <v>0</v>
      </c>
      <c r="K808">
        <f>IFERROR(tblMoeHistory[[#This Row],[ESD State and Local Amount]]/tblMoeHistory[[#This Row],[Child Count]],0)</f>
        <v>0</v>
      </c>
      <c r="L808">
        <f>IFERROR(tblMoeHistory[[#This Row],[State and Local Total Amount]]/tblMoeHistory[[#This Row],[Child Count]],0)</f>
        <v>0</v>
      </c>
      <c r="M808">
        <v>0</v>
      </c>
      <c r="N808" t="s">
        <v>239</v>
      </c>
      <c r="O808">
        <v>0</v>
      </c>
      <c r="P808">
        <v>0</v>
      </c>
      <c r="Q808">
        <f>tblMoeHistory[[#This Row],[Amount of IDEA Part B, Section 611 award]]+tblMoeHistory[[#This Row],[Amount of IDEA Part B, Section 619 award]]</f>
        <v>0</v>
      </c>
      <c r="U8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8" t="str">
        <f>IF(OR(IFERROR(SEARCH("Met",tblMoeHistory[[#This Row],[State and Local Per Capita Result]]),0)&gt;0,IFERROR(SEARCH("Met",tblMoeHistory[[#This Row],[State and Local Total Result]]),0)&gt;0),"Met","Not Met")</f>
        <v>Met</v>
      </c>
    </row>
    <row r="809" spans="1:22" x14ac:dyDescent="0.35">
      <c r="A809" t="s">
        <v>39</v>
      </c>
      <c r="B809">
        <v>1974</v>
      </c>
      <c r="C809" t="s">
        <v>19</v>
      </c>
      <c r="D809">
        <v>189</v>
      </c>
      <c r="E809">
        <v>1404696.27</v>
      </c>
      <c r="F809">
        <v>176538</v>
      </c>
      <c r="G809">
        <f>tblMoeHistory[[#This Row],[LEA State and Local Amount]]+tblMoeHistory[[#This Row],[ESD State and Local Amount]]</f>
        <v>1581234.27</v>
      </c>
      <c r="H809">
        <v>0</v>
      </c>
      <c r="I809" t="s">
        <v>241</v>
      </c>
      <c r="J809">
        <f>IFERROR(tblMoeHistory[[#This Row],[LEA State and Local Amount]]/tblMoeHistory[[#This Row],[Child Count]],0)</f>
        <v>7432.2553968253969</v>
      </c>
      <c r="K809">
        <f>IFERROR(tblMoeHistory[[#This Row],[ESD State and Local Amount]]/tblMoeHistory[[#This Row],[Child Count]],0)</f>
        <v>934.06349206349205</v>
      </c>
      <c r="L809">
        <f>IFERROR(tblMoeHistory[[#This Row],[State and Local Total Amount]]/tblMoeHistory[[#This Row],[Child Count]],0)</f>
        <v>8366.318888888889</v>
      </c>
      <c r="M809">
        <v>0</v>
      </c>
      <c r="N809" t="s">
        <v>240</v>
      </c>
      <c r="O809">
        <v>258837.42</v>
      </c>
      <c r="P809">
        <v>5445.57</v>
      </c>
      <c r="Q809">
        <f>tblMoeHistory[[#This Row],[Amount of IDEA Part B, Section 611 award]]+tblMoeHistory[[#This Row],[Amount of IDEA Part B, Section 619 award]]</f>
        <v>264282.99</v>
      </c>
      <c r="U8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9" t="str">
        <f>IF(OR(IFERROR(SEARCH("Met",tblMoeHistory[[#This Row],[State and Local Per Capita Result]]),0)&gt;0,IFERROR(SEARCH("Met",tblMoeHistory[[#This Row],[State and Local Total Result]]),0)&gt;0),"Met","Not Met")</f>
        <v>Met</v>
      </c>
    </row>
    <row r="810" spans="1:22" x14ac:dyDescent="0.35">
      <c r="A810" t="s">
        <v>40</v>
      </c>
      <c r="B810">
        <v>1896</v>
      </c>
      <c r="C810" t="s">
        <v>19</v>
      </c>
      <c r="D810">
        <v>1</v>
      </c>
      <c r="E810">
        <v>47019</v>
      </c>
      <c r="F810">
        <v>13863.39</v>
      </c>
      <c r="G810">
        <f>tblMoeHistory[[#This Row],[LEA State and Local Amount]]+tblMoeHistory[[#This Row],[ESD State and Local Amount]]</f>
        <v>60882.39</v>
      </c>
      <c r="H810">
        <v>0</v>
      </c>
      <c r="I810" t="s">
        <v>242</v>
      </c>
      <c r="J810">
        <f>IFERROR(tblMoeHistory[[#This Row],[LEA State and Local Amount]]/tblMoeHistory[[#This Row],[Child Count]],0)</f>
        <v>47019</v>
      </c>
      <c r="K810">
        <f>IFERROR(tblMoeHistory[[#This Row],[ESD State and Local Amount]]/tblMoeHistory[[#This Row],[Child Count]],0)</f>
        <v>13863.39</v>
      </c>
      <c r="L810">
        <f>IFERROR(tblMoeHistory[[#This Row],[State and Local Total Amount]]/tblMoeHistory[[#This Row],[Child Count]],0)</f>
        <v>60882.39</v>
      </c>
      <c r="M810">
        <v>0</v>
      </c>
      <c r="N810" t="s">
        <v>241</v>
      </c>
      <c r="O810">
        <v>9236.74</v>
      </c>
      <c r="P810">
        <v>0</v>
      </c>
      <c r="Q810">
        <f>tblMoeHistory[[#This Row],[Amount of IDEA Part B, Section 611 award]]+tblMoeHistory[[#This Row],[Amount of IDEA Part B, Section 619 award]]</f>
        <v>9236.74</v>
      </c>
      <c r="S810">
        <v>30449.5</v>
      </c>
      <c r="T810">
        <v>30449.5</v>
      </c>
      <c r="U8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0" t="str">
        <f>IF(OR(IFERROR(SEARCH("Met",tblMoeHistory[[#This Row],[State and Local Per Capita Result]]),0)&gt;0,IFERROR(SEARCH("Met",tblMoeHistory[[#This Row],[State and Local Total Result]]),0)&gt;0),"Met","Not Met")</f>
        <v>Met</v>
      </c>
    </row>
    <row r="811" spans="1:22" x14ac:dyDescent="0.35">
      <c r="A811" t="s">
        <v>42</v>
      </c>
      <c r="B811">
        <v>2046</v>
      </c>
      <c r="C811" t="s">
        <v>19</v>
      </c>
      <c r="D811">
        <v>32</v>
      </c>
      <c r="E811">
        <v>162688.70000000001</v>
      </c>
      <c r="F811">
        <v>58326.95</v>
      </c>
      <c r="G811">
        <f>tblMoeHistory[[#This Row],[LEA State and Local Amount]]+tblMoeHistory[[#This Row],[ESD State and Local Amount]]</f>
        <v>221015.65000000002</v>
      </c>
      <c r="H811">
        <v>0</v>
      </c>
      <c r="I811" t="s">
        <v>239</v>
      </c>
      <c r="J811">
        <f>IFERROR(tblMoeHistory[[#This Row],[LEA State and Local Amount]]/tblMoeHistory[[#This Row],[Child Count]],0)</f>
        <v>5084.0218750000004</v>
      </c>
      <c r="K811">
        <f>IFERROR(tblMoeHistory[[#This Row],[ESD State and Local Amount]]/tblMoeHistory[[#This Row],[Child Count]],0)</f>
        <v>1822.7171874999999</v>
      </c>
      <c r="L811">
        <f>IFERROR(tblMoeHistory[[#This Row],[State and Local Total Amount]]/tblMoeHistory[[#This Row],[Child Count]],0)</f>
        <v>6906.7390625000007</v>
      </c>
      <c r="M811">
        <v>0</v>
      </c>
      <c r="N811" t="s">
        <v>239</v>
      </c>
      <c r="O811">
        <v>22186.07</v>
      </c>
      <c r="P811">
        <v>229.51</v>
      </c>
      <c r="Q811">
        <f>tblMoeHistory[[#This Row],[Amount of IDEA Part B, Section 611 award]]+tblMoeHistory[[#This Row],[Amount of IDEA Part B, Section 619 award]]</f>
        <v>22415.579999999998</v>
      </c>
      <c r="U8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1" t="str">
        <f>IF(OR(IFERROR(SEARCH("Met",tblMoeHistory[[#This Row],[State and Local Per Capita Result]]),0)&gt;0,IFERROR(SEARCH("Met",tblMoeHistory[[#This Row],[State and Local Total Result]]),0)&gt;0),"Met","Not Met")</f>
        <v>Met</v>
      </c>
    </row>
    <row r="812" spans="1:22" x14ac:dyDescent="0.35">
      <c r="A812" t="s">
        <v>43</v>
      </c>
      <c r="B812">
        <v>1995</v>
      </c>
      <c r="C812" t="s">
        <v>19</v>
      </c>
      <c r="D812">
        <v>35</v>
      </c>
      <c r="E812">
        <v>186943.33</v>
      </c>
      <c r="F812">
        <v>41687.870000000003</v>
      </c>
      <c r="G812">
        <f>tblMoeHistory[[#This Row],[LEA State and Local Amount]]+tblMoeHistory[[#This Row],[ESD State and Local Amount]]</f>
        <v>228631.19999999998</v>
      </c>
      <c r="H812">
        <v>0</v>
      </c>
      <c r="I812" t="s">
        <v>241</v>
      </c>
      <c r="J812">
        <f>IFERROR(tblMoeHistory[[#This Row],[LEA State and Local Amount]]/tblMoeHistory[[#This Row],[Child Count]],0)</f>
        <v>5341.2379999999994</v>
      </c>
      <c r="K812">
        <f>IFERROR(tblMoeHistory[[#This Row],[ESD State and Local Amount]]/tblMoeHistory[[#This Row],[Child Count]],0)</f>
        <v>1191.0820000000001</v>
      </c>
      <c r="L812">
        <f>IFERROR(tblMoeHistory[[#This Row],[State and Local Total Amount]]/tblMoeHistory[[#This Row],[Child Count]],0)</f>
        <v>6532.32</v>
      </c>
      <c r="M812">
        <v>0</v>
      </c>
      <c r="N812" t="s">
        <v>240</v>
      </c>
      <c r="O812">
        <v>41008.82</v>
      </c>
      <c r="P812">
        <v>0</v>
      </c>
      <c r="Q812">
        <f>tblMoeHistory[[#This Row],[Amount of IDEA Part B, Section 611 award]]+tblMoeHistory[[#This Row],[Amount of IDEA Part B, Section 619 award]]</f>
        <v>41008.82</v>
      </c>
      <c r="U8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2" t="str">
        <f>IF(OR(IFERROR(SEARCH("Met",tblMoeHistory[[#This Row],[State and Local Per Capita Result]]),0)&gt;0,IFERROR(SEARCH("Met",tblMoeHistory[[#This Row],[State and Local Total Result]]),0)&gt;0),"Met","Not Met")</f>
        <v>Met</v>
      </c>
    </row>
    <row r="813" spans="1:22" x14ac:dyDescent="0.35">
      <c r="A813" t="s">
        <v>44</v>
      </c>
      <c r="B813">
        <v>1929</v>
      </c>
      <c r="C813" t="s">
        <v>19</v>
      </c>
      <c r="D813">
        <v>513</v>
      </c>
      <c r="E813">
        <v>4796565.17</v>
      </c>
      <c r="F813">
        <v>535532</v>
      </c>
      <c r="G813">
        <f>tblMoeHistory[[#This Row],[LEA State and Local Amount]]+tblMoeHistory[[#This Row],[ESD State and Local Amount]]</f>
        <v>5332097.17</v>
      </c>
      <c r="H813">
        <v>0</v>
      </c>
      <c r="I813" t="s">
        <v>242</v>
      </c>
      <c r="J813">
        <f>IFERROR(tblMoeHistory[[#This Row],[LEA State and Local Amount]]/tblMoeHistory[[#This Row],[Child Count]],0)</f>
        <v>9350.0295711500967</v>
      </c>
      <c r="K813">
        <f>IFERROR(tblMoeHistory[[#This Row],[ESD State and Local Amount]]/tblMoeHistory[[#This Row],[Child Count]],0)</f>
        <v>1043.9220272904483</v>
      </c>
      <c r="L813">
        <f>IFERROR(tblMoeHistory[[#This Row],[State and Local Total Amount]]/tblMoeHistory[[#This Row],[Child Count]],0)</f>
        <v>10393.951598440546</v>
      </c>
      <c r="M813">
        <v>0</v>
      </c>
      <c r="N813" t="s">
        <v>241</v>
      </c>
      <c r="O813">
        <v>735846.94</v>
      </c>
      <c r="P813">
        <v>3842.9</v>
      </c>
      <c r="Q813">
        <f>tblMoeHistory[[#This Row],[Amount of IDEA Part B, Section 611 award]]+tblMoeHistory[[#This Row],[Amount of IDEA Part B, Section 619 award]]</f>
        <v>739689.84</v>
      </c>
      <c r="S813">
        <v>112375.75</v>
      </c>
      <c r="T813">
        <v>112375.75</v>
      </c>
      <c r="U8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3" t="str">
        <f>IF(OR(IFERROR(SEARCH("Met",tblMoeHistory[[#This Row],[State and Local Per Capita Result]]),0)&gt;0,IFERROR(SEARCH("Met",tblMoeHistory[[#This Row],[State and Local Total Result]]),0)&gt;0),"Met","Not Met")</f>
        <v>Met</v>
      </c>
    </row>
    <row r="814" spans="1:22" x14ac:dyDescent="0.35">
      <c r="A814" t="s">
        <v>45</v>
      </c>
      <c r="B814">
        <v>2139</v>
      </c>
      <c r="C814" t="s">
        <v>19</v>
      </c>
      <c r="D814">
        <v>296</v>
      </c>
      <c r="E814">
        <v>2662372.2799999998</v>
      </c>
      <c r="F814">
        <v>221595.68</v>
      </c>
      <c r="G814">
        <f>tblMoeHistory[[#This Row],[LEA State and Local Amount]]+tblMoeHistory[[#This Row],[ESD State and Local Amount]]</f>
        <v>2883967.96</v>
      </c>
      <c r="H814">
        <v>0</v>
      </c>
      <c r="I814" t="s">
        <v>241</v>
      </c>
      <c r="J814">
        <f>IFERROR(tblMoeHistory[[#This Row],[LEA State and Local Amount]]/tblMoeHistory[[#This Row],[Child Count]],0)</f>
        <v>8994.5009459459452</v>
      </c>
      <c r="K814">
        <f>IFERROR(tblMoeHistory[[#This Row],[ESD State and Local Amount]]/tblMoeHistory[[#This Row],[Child Count]],0)</f>
        <v>748.63405405405399</v>
      </c>
      <c r="L814">
        <f>IFERROR(tblMoeHistory[[#This Row],[State and Local Total Amount]]/tblMoeHistory[[#This Row],[Child Count]],0)</f>
        <v>9743.1350000000002</v>
      </c>
      <c r="M814">
        <v>0</v>
      </c>
      <c r="N814" t="s">
        <v>241</v>
      </c>
      <c r="O814">
        <v>364526.64</v>
      </c>
      <c r="P814">
        <v>3004.45</v>
      </c>
      <c r="Q814">
        <f>tblMoeHistory[[#This Row],[Amount of IDEA Part B, Section 611 award]]+tblMoeHistory[[#This Row],[Amount of IDEA Part B, Section 619 award]]</f>
        <v>367531.09</v>
      </c>
      <c r="U8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4" t="str">
        <f>IF(OR(IFERROR(SEARCH("Met",tblMoeHistory[[#This Row],[State and Local Per Capita Result]]),0)&gt;0,IFERROR(SEARCH("Met",tblMoeHistory[[#This Row],[State and Local Total Result]]),0)&gt;0),"Met","Not Met")</f>
        <v>Met</v>
      </c>
    </row>
    <row r="815" spans="1:22" x14ac:dyDescent="0.35">
      <c r="A815" t="s">
        <v>46</v>
      </c>
      <c r="B815">
        <v>2185</v>
      </c>
      <c r="C815" t="s">
        <v>19</v>
      </c>
      <c r="D815">
        <v>869</v>
      </c>
      <c r="E815">
        <v>9276032.8300000001</v>
      </c>
      <c r="F815">
        <v>1625094.83</v>
      </c>
      <c r="G815">
        <f>tblMoeHistory[[#This Row],[LEA State and Local Amount]]+tblMoeHistory[[#This Row],[ESD State and Local Amount]]</f>
        <v>10901127.66</v>
      </c>
      <c r="H815">
        <v>0</v>
      </c>
      <c r="I815" t="s">
        <v>241</v>
      </c>
      <c r="J815">
        <f>IFERROR(tblMoeHistory[[#This Row],[LEA State and Local Amount]]/tblMoeHistory[[#This Row],[Child Count]],0)</f>
        <v>10674.376098964327</v>
      </c>
      <c r="K815">
        <f>IFERROR(tblMoeHistory[[#This Row],[ESD State and Local Amount]]/tblMoeHistory[[#This Row],[Child Count]],0)</f>
        <v>1870.0746029919449</v>
      </c>
      <c r="L815">
        <f>IFERROR(tblMoeHistory[[#This Row],[State and Local Total Amount]]/tblMoeHistory[[#This Row],[Child Count]],0)</f>
        <v>12544.450701956272</v>
      </c>
      <c r="M815">
        <v>0</v>
      </c>
      <c r="N815" t="s">
        <v>241</v>
      </c>
      <c r="O815">
        <v>978944.11</v>
      </c>
      <c r="P815">
        <v>8491.75</v>
      </c>
      <c r="Q815">
        <f>tblMoeHistory[[#This Row],[Amount of IDEA Part B, Section 611 award]]+tblMoeHistory[[#This Row],[Amount of IDEA Part B, Section 619 award]]</f>
        <v>987435.86</v>
      </c>
      <c r="U8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5" t="str">
        <f>IF(OR(IFERROR(SEARCH("Met",tblMoeHistory[[#This Row],[State and Local Per Capita Result]]),0)&gt;0,IFERROR(SEARCH("Met",tblMoeHistory[[#This Row],[State and Local Total Result]]),0)&gt;0),"Met","Not Met")</f>
        <v>Met</v>
      </c>
    </row>
    <row r="816" spans="1:22" x14ac:dyDescent="0.35">
      <c r="A816" t="s">
        <v>47</v>
      </c>
      <c r="B816">
        <v>1972</v>
      </c>
      <c r="C816" t="s">
        <v>19</v>
      </c>
      <c r="D816">
        <v>64</v>
      </c>
      <c r="E816">
        <v>425340.98</v>
      </c>
      <c r="F816">
        <v>174296</v>
      </c>
      <c r="G816">
        <f>tblMoeHistory[[#This Row],[LEA State and Local Amount]]+tblMoeHistory[[#This Row],[ESD State and Local Amount]]</f>
        <v>599636.98</v>
      </c>
      <c r="H816">
        <v>0</v>
      </c>
      <c r="I816" t="s">
        <v>241</v>
      </c>
      <c r="J816">
        <f>IFERROR(tblMoeHistory[[#This Row],[LEA State and Local Amount]]/tblMoeHistory[[#This Row],[Child Count]],0)</f>
        <v>6645.9528124999997</v>
      </c>
      <c r="K816">
        <f>IFERROR(tblMoeHistory[[#This Row],[ESD State and Local Amount]]/tblMoeHistory[[#This Row],[Child Count]],0)</f>
        <v>2723.375</v>
      </c>
      <c r="L816">
        <f>IFERROR(tblMoeHistory[[#This Row],[State and Local Total Amount]]/tblMoeHistory[[#This Row],[Child Count]],0)</f>
        <v>9369.3278124999997</v>
      </c>
      <c r="M816">
        <v>0</v>
      </c>
      <c r="N816" t="s">
        <v>240</v>
      </c>
      <c r="O816">
        <v>110168.82</v>
      </c>
      <c r="P816">
        <v>612.02</v>
      </c>
      <c r="Q816">
        <f>tblMoeHistory[[#This Row],[Amount of IDEA Part B, Section 611 award]]+tblMoeHistory[[#This Row],[Amount of IDEA Part B, Section 619 award]]</f>
        <v>110780.84000000001</v>
      </c>
      <c r="U8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6" t="str">
        <f>IF(OR(IFERROR(SEARCH("Met",tblMoeHistory[[#This Row],[State and Local Per Capita Result]]),0)&gt;0,IFERROR(SEARCH("Met",tblMoeHistory[[#This Row],[State and Local Total Result]]),0)&gt;0),"Met","Not Met")</f>
        <v>Met</v>
      </c>
    </row>
    <row r="817" spans="1:22" x14ac:dyDescent="0.35">
      <c r="A817" t="s">
        <v>48</v>
      </c>
      <c r="B817">
        <v>2105</v>
      </c>
      <c r="C817" t="s">
        <v>19</v>
      </c>
      <c r="D817">
        <v>98</v>
      </c>
      <c r="E817">
        <v>681344.69</v>
      </c>
      <c r="F817">
        <v>72211</v>
      </c>
      <c r="G817">
        <f>tblMoeHistory[[#This Row],[LEA State and Local Amount]]+tblMoeHistory[[#This Row],[ESD State and Local Amount]]</f>
        <v>753555.69</v>
      </c>
      <c r="H817">
        <v>0</v>
      </c>
      <c r="I817" t="s">
        <v>239</v>
      </c>
      <c r="J817">
        <f>IFERROR(tblMoeHistory[[#This Row],[LEA State and Local Amount]]/tblMoeHistory[[#This Row],[Child Count]],0)</f>
        <v>6952.4968367346937</v>
      </c>
      <c r="K817">
        <f>IFERROR(tblMoeHistory[[#This Row],[ESD State and Local Amount]]/tblMoeHistory[[#This Row],[Child Count]],0)</f>
        <v>736.84693877551024</v>
      </c>
      <c r="L817">
        <f>IFERROR(tblMoeHistory[[#This Row],[State and Local Total Amount]]/tblMoeHistory[[#This Row],[Child Count]],0)</f>
        <v>7689.3437755102032</v>
      </c>
      <c r="M817">
        <v>0</v>
      </c>
      <c r="N817" t="s">
        <v>239</v>
      </c>
      <c r="O817">
        <v>110191.85</v>
      </c>
      <c r="P817">
        <v>918.03</v>
      </c>
      <c r="Q817">
        <f>tblMoeHistory[[#This Row],[Amount of IDEA Part B, Section 611 award]]+tblMoeHistory[[#This Row],[Amount of IDEA Part B, Section 619 award]]</f>
        <v>111109.88</v>
      </c>
      <c r="U8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7" t="str">
        <f>IF(OR(IFERROR(SEARCH("Met",tblMoeHistory[[#This Row],[State and Local Per Capita Result]]),0)&gt;0,IFERROR(SEARCH("Met",tblMoeHistory[[#This Row],[State and Local Total Result]]),0)&gt;0),"Met","Not Met")</f>
        <v>Met</v>
      </c>
    </row>
    <row r="818" spans="1:22" x14ac:dyDescent="0.35">
      <c r="A818" t="s">
        <v>49</v>
      </c>
      <c r="B818">
        <v>2042</v>
      </c>
      <c r="C818" t="s">
        <v>19</v>
      </c>
      <c r="D818">
        <v>637</v>
      </c>
      <c r="E818">
        <v>3308634.73</v>
      </c>
      <c r="F818">
        <v>1175678.28</v>
      </c>
      <c r="G818">
        <f>tblMoeHistory[[#This Row],[LEA State and Local Amount]]+tblMoeHistory[[#This Row],[ESD State and Local Amount]]</f>
        <v>4484313.01</v>
      </c>
      <c r="H818">
        <v>0</v>
      </c>
      <c r="I818" t="s">
        <v>241</v>
      </c>
      <c r="J818">
        <f>IFERROR(tblMoeHistory[[#This Row],[LEA State and Local Amount]]/tblMoeHistory[[#This Row],[Child Count]],0)</f>
        <v>5194.0890580847727</v>
      </c>
      <c r="K818">
        <f>IFERROR(tblMoeHistory[[#This Row],[ESD State and Local Amount]]/tblMoeHistory[[#This Row],[Child Count]],0)</f>
        <v>1845.6487912087912</v>
      </c>
      <c r="L818">
        <f>IFERROR(tblMoeHistory[[#This Row],[State and Local Total Amount]]/tblMoeHistory[[#This Row],[Child Count]],0)</f>
        <v>7039.7378492935632</v>
      </c>
      <c r="M818">
        <v>0</v>
      </c>
      <c r="N818" t="s">
        <v>240</v>
      </c>
      <c r="O818">
        <v>658617.88</v>
      </c>
      <c r="P818">
        <v>9134.94</v>
      </c>
      <c r="Q818">
        <f>tblMoeHistory[[#This Row],[Amount of IDEA Part B, Section 611 award]]+tblMoeHistory[[#This Row],[Amount of IDEA Part B, Section 619 award]]</f>
        <v>667752.81999999995</v>
      </c>
      <c r="U8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8" t="str">
        <f>IF(OR(IFERROR(SEARCH("Met",tblMoeHistory[[#This Row],[State and Local Per Capita Result]]),0)&gt;0,IFERROR(SEARCH("Met",tblMoeHistory[[#This Row],[State and Local Total Result]]),0)&gt;0),"Met","Not Met")</f>
        <v>Met</v>
      </c>
    </row>
    <row r="819" spans="1:22" x14ac:dyDescent="0.35">
      <c r="A819" t="s">
        <v>50</v>
      </c>
      <c r="B819">
        <v>2191</v>
      </c>
      <c r="C819" t="s">
        <v>19</v>
      </c>
      <c r="D819">
        <v>361</v>
      </c>
      <c r="E819">
        <v>5021984.21</v>
      </c>
      <c r="F819">
        <v>416155.81</v>
      </c>
      <c r="G819">
        <f>tblMoeHistory[[#This Row],[LEA State and Local Amount]]+tblMoeHistory[[#This Row],[ESD State and Local Amount]]</f>
        <v>5438140.0199999996</v>
      </c>
      <c r="H819">
        <v>0</v>
      </c>
      <c r="I819" t="s">
        <v>241</v>
      </c>
      <c r="J819">
        <f>IFERROR(tblMoeHistory[[#This Row],[LEA State and Local Amount]]/tblMoeHistory[[#This Row],[Child Count]],0)</f>
        <v>13911.313601108033</v>
      </c>
      <c r="K819">
        <f>IFERROR(tblMoeHistory[[#This Row],[ESD State and Local Amount]]/tblMoeHistory[[#This Row],[Child Count]],0)</f>
        <v>1152.7861772853184</v>
      </c>
      <c r="L819">
        <f>IFERROR(tblMoeHistory[[#This Row],[State and Local Total Amount]]/tblMoeHistory[[#This Row],[Child Count]],0)</f>
        <v>15064.099778393351</v>
      </c>
      <c r="M819">
        <v>0</v>
      </c>
      <c r="N819" t="s">
        <v>241</v>
      </c>
      <c r="O819">
        <v>419432.63</v>
      </c>
      <c r="P819">
        <v>3267.55</v>
      </c>
      <c r="Q819">
        <f>tblMoeHistory[[#This Row],[Amount of IDEA Part B, Section 611 award]]+tblMoeHistory[[#This Row],[Amount of IDEA Part B, Section 619 award]]</f>
        <v>422700.18</v>
      </c>
      <c r="U8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9" t="str">
        <f>IF(OR(IFERROR(SEARCH("Met",tblMoeHistory[[#This Row],[State and Local Per Capita Result]]),0)&gt;0,IFERROR(SEARCH("Met",tblMoeHistory[[#This Row],[State and Local Total Result]]),0)&gt;0),"Met","Not Met")</f>
        <v>Met</v>
      </c>
    </row>
    <row r="820" spans="1:22" x14ac:dyDescent="0.35">
      <c r="A820" t="s">
        <v>51</v>
      </c>
      <c r="B820">
        <v>1945</v>
      </c>
      <c r="C820" t="s">
        <v>19</v>
      </c>
      <c r="D820">
        <v>106</v>
      </c>
      <c r="E820">
        <v>999267.26</v>
      </c>
      <c r="F820">
        <v>199502</v>
      </c>
      <c r="G820">
        <f>tblMoeHistory[[#This Row],[LEA State and Local Amount]]+tblMoeHistory[[#This Row],[ESD State and Local Amount]]</f>
        <v>1198769.26</v>
      </c>
      <c r="H820">
        <v>0</v>
      </c>
      <c r="I820" t="s">
        <v>241</v>
      </c>
      <c r="J820">
        <f>IFERROR(tblMoeHistory[[#This Row],[LEA State and Local Amount]]/tblMoeHistory[[#This Row],[Child Count]],0)</f>
        <v>9427.0496226415089</v>
      </c>
      <c r="K820">
        <f>IFERROR(tblMoeHistory[[#This Row],[ESD State and Local Amount]]/tblMoeHistory[[#This Row],[Child Count]],0)</f>
        <v>1882.0943396226414</v>
      </c>
      <c r="L820">
        <f>IFERROR(tblMoeHistory[[#This Row],[State and Local Total Amount]]/tblMoeHistory[[#This Row],[Child Count]],0)</f>
        <v>11309.143962264152</v>
      </c>
      <c r="M820">
        <v>0</v>
      </c>
      <c r="N820" t="s">
        <v>241</v>
      </c>
      <c r="O820">
        <v>121916.93</v>
      </c>
      <c r="P820">
        <v>3060.09</v>
      </c>
      <c r="Q820">
        <f>tblMoeHistory[[#This Row],[Amount of IDEA Part B, Section 611 award]]+tblMoeHistory[[#This Row],[Amount of IDEA Part B, Section 619 award]]</f>
        <v>124977.01999999999</v>
      </c>
      <c r="U8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0" t="str">
        <f>IF(OR(IFERROR(SEARCH("Met",tblMoeHistory[[#This Row],[State and Local Per Capita Result]]),0)&gt;0,IFERROR(SEARCH("Met",tblMoeHistory[[#This Row],[State and Local Total Result]]),0)&gt;0),"Met","Not Met")</f>
        <v>Met</v>
      </c>
    </row>
    <row r="821" spans="1:22" x14ac:dyDescent="0.35">
      <c r="A821" t="s">
        <v>52</v>
      </c>
      <c r="B821">
        <v>1927</v>
      </c>
      <c r="C821" t="s">
        <v>19</v>
      </c>
      <c r="D821">
        <v>97</v>
      </c>
      <c r="E821">
        <v>893618.96</v>
      </c>
      <c r="F821">
        <v>183177</v>
      </c>
      <c r="G821">
        <f>tblMoeHistory[[#This Row],[LEA State and Local Amount]]+tblMoeHistory[[#This Row],[ESD State and Local Amount]]</f>
        <v>1076795.96</v>
      </c>
      <c r="H821">
        <v>0</v>
      </c>
      <c r="I821" t="s">
        <v>241</v>
      </c>
      <c r="J821">
        <f>IFERROR(tblMoeHistory[[#This Row],[LEA State and Local Amount]]/tblMoeHistory[[#This Row],[Child Count]],0)</f>
        <v>9212.5665979381447</v>
      </c>
      <c r="K821">
        <f>IFERROR(tblMoeHistory[[#This Row],[ESD State and Local Amount]]/tblMoeHistory[[#This Row],[Child Count]],0)</f>
        <v>1888.4226804123712</v>
      </c>
      <c r="L821">
        <f>IFERROR(tblMoeHistory[[#This Row],[State and Local Total Amount]]/tblMoeHistory[[#This Row],[Child Count]],0)</f>
        <v>11100.989278350515</v>
      </c>
      <c r="M821">
        <v>0</v>
      </c>
      <c r="N821" t="s">
        <v>240</v>
      </c>
      <c r="O821">
        <v>132996.12</v>
      </c>
      <c r="P821">
        <v>561.02</v>
      </c>
      <c r="Q821">
        <f>tblMoeHistory[[#This Row],[Amount of IDEA Part B, Section 611 award]]+tblMoeHistory[[#This Row],[Amount of IDEA Part B, Section 619 award]]</f>
        <v>133557.13999999998</v>
      </c>
      <c r="U8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1" t="str">
        <f>IF(OR(IFERROR(SEARCH("Met",tblMoeHistory[[#This Row],[State and Local Per Capita Result]]),0)&gt;0,IFERROR(SEARCH("Met",tblMoeHistory[[#This Row],[State and Local Total Result]]),0)&gt;0),"Met","Not Met")</f>
        <v>Met</v>
      </c>
    </row>
    <row r="822" spans="1:22" x14ac:dyDescent="0.35">
      <c r="A822" t="s">
        <v>53</v>
      </c>
      <c r="B822">
        <v>2006</v>
      </c>
      <c r="C822" t="s">
        <v>19</v>
      </c>
      <c r="D822">
        <v>22</v>
      </c>
      <c r="E822">
        <v>6434.9</v>
      </c>
      <c r="F822">
        <v>108087</v>
      </c>
      <c r="G822">
        <f>tblMoeHistory[[#This Row],[LEA State and Local Amount]]+tblMoeHistory[[#This Row],[ESD State and Local Amount]]</f>
        <v>114521.9</v>
      </c>
      <c r="H822">
        <v>0</v>
      </c>
      <c r="I822" t="s">
        <v>239</v>
      </c>
      <c r="J822">
        <f>IFERROR(tblMoeHistory[[#This Row],[LEA State and Local Amount]]/tblMoeHistory[[#This Row],[Child Count]],0)</f>
        <v>292.49545454545455</v>
      </c>
      <c r="K822">
        <f>IFERROR(tblMoeHistory[[#This Row],[ESD State and Local Amount]]/tblMoeHistory[[#This Row],[Child Count]],0)</f>
        <v>4913.045454545455</v>
      </c>
      <c r="L822">
        <f>IFERROR(tblMoeHistory[[#This Row],[State and Local Total Amount]]/tblMoeHistory[[#This Row],[Child Count]],0)</f>
        <v>5205.5409090909088</v>
      </c>
      <c r="M822">
        <v>0</v>
      </c>
      <c r="N822" t="s">
        <v>239</v>
      </c>
      <c r="O822">
        <v>24599.66</v>
      </c>
      <c r="P822">
        <v>0</v>
      </c>
      <c r="Q822">
        <f>tblMoeHistory[[#This Row],[Amount of IDEA Part B, Section 611 award]]+tblMoeHistory[[#This Row],[Amount of IDEA Part B, Section 619 award]]</f>
        <v>24599.66</v>
      </c>
      <c r="U8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2" t="str">
        <f>IF(OR(IFERROR(SEARCH("Met",tblMoeHistory[[#This Row],[State and Local Per Capita Result]]),0)&gt;0,IFERROR(SEARCH("Met",tblMoeHistory[[#This Row],[State and Local Total Result]]),0)&gt;0),"Met","Not Met")</f>
        <v>Met</v>
      </c>
    </row>
    <row r="823" spans="1:22" x14ac:dyDescent="0.35">
      <c r="A823" t="s">
        <v>54</v>
      </c>
      <c r="B823">
        <v>1965</v>
      </c>
      <c r="C823" t="s">
        <v>19</v>
      </c>
      <c r="D823">
        <v>455</v>
      </c>
      <c r="E823">
        <v>3958368.44</v>
      </c>
      <c r="F823">
        <v>961459</v>
      </c>
      <c r="G823">
        <f>tblMoeHistory[[#This Row],[LEA State and Local Amount]]+tblMoeHistory[[#This Row],[ESD State and Local Amount]]</f>
        <v>4919827.4399999995</v>
      </c>
      <c r="H823">
        <v>0</v>
      </c>
      <c r="I823" t="s">
        <v>242</v>
      </c>
      <c r="J823">
        <f>IFERROR(tblMoeHistory[[#This Row],[LEA State and Local Amount]]/tblMoeHistory[[#This Row],[Child Count]],0)</f>
        <v>8699.7108571428562</v>
      </c>
      <c r="K823">
        <f>IFERROR(tblMoeHistory[[#This Row],[ESD State and Local Amount]]/tblMoeHistory[[#This Row],[Child Count]],0)</f>
        <v>2113.0967032967033</v>
      </c>
      <c r="L823">
        <f>IFERROR(tblMoeHistory[[#This Row],[State and Local Total Amount]]/tblMoeHistory[[#This Row],[Child Count]],0)</f>
        <v>10812.80756043956</v>
      </c>
      <c r="M823">
        <v>0</v>
      </c>
      <c r="N823" t="s">
        <v>241</v>
      </c>
      <c r="O823">
        <v>609288.65</v>
      </c>
      <c r="P823">
        <v>5329.03</v>
      </c>
      <c r="Q823">
        <f>tblMoeHistory[[#This Row],[Amount of IDEA Part B, Section 611 award]]+tblMoeHistory[[#This Row],[Amount of IDEA Part B, Section 619 award]]</f>
        <v>614617.68000000005</v>
      </c>
      <c r="S823">
        <v>314949.84999999998</v>
      </c>
      <c r="T823">
        <v>314949.84999999998</v>
      </c>
      <c r="U8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3" t="str">
        <f>IF(OR(IFERROR(SEARCH("Met",tblMoeHistory[[#This Row],[State and Local Per Capita Result]]),0)&gt;0,IFERROR(SEARCH("Met",tblMoeHistory[[#This Row],[State and Local Total Result]]),0)&gt;0),"Met","Not Met")</f>
        <v>Met</v>
      </c>
    </row>
    <row r="824" spans="1:22" x14ac:dyDescent="0.35">
      <c r="A824" t="s">
        <v>55</v>
      </c>
      <c r="B824">
        <v>1964</v>
      </c>
      <c r="C824" t="s">
        <v>19</v>
      </c>
      <c r="D824">
        <v>92</v>
      </c>
      <c r="E824">
        <v>878068.3</v>
      </c>
      <c r="F824">
        <v>219204</v>
      </c>
      <c r="G824">
        <f>tblMoeHistory[[#This Row],[LEA State and Local Amount]]+tblMoeHistory[[#This Row],[ESD State and Local Amount]]</f>
        <v>1097272.3</v>
      </c>
      <c r="H824">
        <v>0</v>
      </c>
      <c r="I824" t="s">
        <v>240</v>
      </c>
      <c r="J824">
        <f>IFERROR(tblMoeHistory[[#This Row],[LEA State and Local Amount]]/tblMoeHistory[[#This Row],[Child Count]],0)</f>
        <v>9544.2206521739135</v>
      </c>
      <c r="K824">
        <f>IFERROR(tblMoeHistory[[#This Row],[ESD State and Local Amount]]/tblMoeHistory[[#This Row],[Child Count]],0)</f>
        <v>2382.6521739130435</v>
      </c>
      <c r="L824">
        <f>IFERROR(tblMoeHistory[[#This Row],[State and Local Total Amount]]/tblMoeHistory[[#This Row],[Child Count]],0)</f>
        <v>11926.872826086958</v>
      </c>
      <c r="M824">
        <v>0</v>
      </c>
      <c r="N824" t="s">
        <v>240</v>
      </c>
      <c r="O824">
        <v>138265.57</v>
      </c>
      <c r="P824">
        <v>2295.0700000000002</v>
      </c>
      <c r="Q824">
        <f>tblMoeHistory[[#This Row],[Amount of IDEA Part B, Section 611 award]]+tblMoeHistory[[#This Row],[Amount of IDEA Part B, Section 619 award]]</f>
        <v>140560.64000000001</v>
      </c>
      <c r="U8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4" t="str">
        <f>IF(OR(IFERROR(SEARCH("Met",tblMoeHistory[[#This Row],[State and Local Per Capita Result]]),0)&gt;0,IFERROR(SEARCH("Met",tblMoeHistory[[#This Row],[State and Local Total Result]]),0)&gt;0),"Met","Not Met")</f>
        <v>Not Met</v>
      </c>
    </row>
    <row r="825" spans="1:22" x14ac:dyDescent="0.35">
      <c r="A825" t="s">
        <v>56</v>
      </c>
      <c r="B825">
        <v>2186</v>
      </c>
      <c r="C825" t="s">
        <v>19</v>
      </c>
      <c r="D825">
        <v>108</v>
      </c>
      <c r="E825">
        <v>632299.55000000005</v>
      </c>
      <c r="F825">
        <v>317720.11</v>
      </c>
      <c r="G825">
        <f>tblMoeHistory[[#This Row],[LEA State and Local Amount]]+tblMoeHistory[[#This Row],[ESD State and Local Amount]]</f>
        <v>950019.66</v>
      </c>
      <c r="H825">
        <v>0</v>
      </c>
      <c r="I825" t="s">
        <v>241</v>
      </c>
      <c r="J825">
        <f>IFERROR(tblMoeHistory[[#This Row],[LEA State and Local Amount]]/tblMoeHistory[[#This Row],[Child Count]],0)</f>
        <v>5854.625462962963</v>
      </c>
      <c r="K825">
        <f>IFERROR(tblMoeHistory[[#This Row],[ESD State and Local Amount]]/tblMoeHistory[[#This Row],[Child Count]],0)</f>
        <v>2941.8528703703701</v>
      </c>
      <c r="L825">
        <f>IFERROR(tblMoeHistory[[#This Row],[State and Local Total Amount]]/tblMoeHistory[[#This Row],[Child Count]],0)</f>
        <v>8796.4783333333344</v>
      </c>
      <c r="M825">
        <v>0</v>
      </c>
      <c r="N825" t="s">
        <v>240</v>
      </c>
      <c r="O825">
        <v>167539.32</v>
      </c>
      <c r="P825">
        <v>2008.18</v>
      </c>
      <c r="Q825">
        <f>tblMoeHistory[[#This Row],[Amount of IDEA Part B, Section 611 award]]+tblMoeHistory[[#This Row],[Amount of IDEA Part B, Section 619 award]]</f>
        <v>169547.5</v>
      </c>
      <c r="U8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5" t="str">
        <f>IF(OR(IFERROR(SEARCH("Met",tblMoeHistory[[#This Row],[State and Local Per Capita Result]]),0)&gt;0,IFERROR(SEARCH("Met",tblMoeHistory[[#This Row],[State and Local Total Result]]),0)&gt;0),"Met","Not Met")</f>
        <v>Met</v>
      </c>
    </row>
    <row r="826" spans="1:22" x14ac:dyDescent="0.35">
      <c r="A826" t="s">
        <v>58</v>
      </c>
      <c r="B826">
        <v>1901</v>
      </c>
      <c r="C826" t="s">
        <v>19</v>
      </c>
      <c r="D826">
        <v>758</v>
      </c>
      <c r="E826">
        <v>7138559.7199999997</v>
      </c>
      <c r="F826">
        <v>771226</v>
      </c>
      <c r="G826">
        <f>tblMoeHistory[[#This Row],[LEA State and Local Amount]]+tblMoeHistory[[#This Row],[ESD State and Local Amount]]</f>
        <v>7909785.7199999997</v>
      </c>
      <c r="H826">
        <v>0</v>
      </c>
      <c r="I826" t="s">
        <v>239</v>
      </c>
      <c r="J826">
        <f>IFERROR(tblMoeHistory[[#This Row],[LEA State and Local Amount]]/tblMoeHistory[[#This Row],[Child Count]],0)</f>
        <v>9417.624960422163</v>
      </c>
      <c r="K826">
        <f>IFERROR(tblMoeHistory[[#This Row],[ESD State and Local Amount]]/tblMoeHistory[[#This Row],[Child Count]],0)</f>
        <v>1017.4485488126649</v>
      </c>
      <c r="L826">
        <f>IFERROR(tblMoeHistory[[#This Row],[State and Local Total Amount]]/tblMoeHistory[[#This Row],[Child Count]],0)</f>
        <v>10435.073509234828</v>
      </c>
      <c r="M826">
        <v>0</v>
      </c>
      <c r="N826" t="s">
        <v>239</v>
      </c>
      <c r="O826">
        <v>1009123.54</v>
      </c>
      <c r="P826">
        <v>9219.61</v>
      </c>
      <c r="Q826">
        <f>tblMoeHistory[[#This Row],[Amount of IDEA Part B, Section 611 award]]+tblMoeHistory[[#This Row],[Amount of IDEA Part B, Section 619 award]]</f>
        <v>1018343.15</v>
      </c>
      <c r="U8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6" t="str">
        <f>IF(OR(IFERROR(SEARCH("Met",tblMoeHistory[[#This Row],[State and Local Per Capita Result]]),0)&gt;0,IFERROR(SEARCH("Met",tblMoeHistory[[#This Row],[State and Local Total Result]]),0)&gt;0),"Met","Not Met")</f>
        <v>Met</v>
      </c>
    </row>
    <row r="827" spans="1:22" x14ac:dyDescent="0.35">
      <c r="A827" t="s">
        <v>59</v>
      </c>
      <c r="B827">
        <v>2216</v>
      </c>
      <c r="C827" t="s">
        <v>19</v>
      </c>
      <c r="D827">
        <v>21</v>
      </c>
      <c r="E827">
        <v>135076.57</v>
      </c>
      <c r="F827">
        <v>42888</v>
      </c>
      <c r="G827">
        <f>tblMoeHistory[[#This Row],[LEA State and Local Amount]]+tblMoeHistory[[#This Row],[ESD State and Local Amount]]</f>
        <v>177964.57</v>
      </c>
      <c r="H827">
        <v>0</v>
      </c>
      <c r="I827" t="s">
        <v>241</v>
      </c>
      <c r="J827">
        <f>IFERROR(tblMoeHistory[[#This Row],[LEA State and Local Amount]]/tblMoeHistory[[#This Row],[Child Count]],0)</f>
        <v>6432.2176190476193</v>
      </c>
      <c r="K827">
        <f>IFERROR(tblMoeHistory[[#This Row],[ESD State and Local Amount]]/tblMoeHistory[[#This Row],[Child Count]],0)</f>
        <v>2042.2857142857142</v>
      </c>
      <c r="L827">
        <f>IFERROR(tblMoeHistory[[#This Row],[State and Local Total Amount]]/tblMoeHistory[[#This Row],[Child Count]],0)</f>
        <v>8474.503333333334</v>
      </c>
      <c r="M827">
        <v>0</v>
      </c>
      <c r="N827" t="s">
        <v>240</v>
      </c>
      <c r="O827">
        <v>43348.63</v>
      </c>
      <c r="P827">
        <v>0</v>
      </c>
      <c r="Q827">
        <f>tblMoeHistory[[#This Row],[Amount of IDEA Part B, Section 611 award]]+tblMoeHistory[[#This Row],[Amount of IDEA Part B, Section 619 award]]</f>
        <v>43348.63</v>
      </c>
      <c r="U8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7" t="str">
        <f>IF(OR(IFERROR(SEARCH("Met",tblMoeHistory[[#This Row],[State and Local Per Capita Result]]),0)&gt;0,IFERROR(SEARCH("Met",tblMoeHistory[[#This Row],[State and Local Total Result]]),0)&gt;0),"Met","Not Met")</f>
        <v>Met</v>
      </c>
    </row>
    <row r="828" spans="1:22" x14ac:dyDescent="0.35">
      <c r="A828" t="s">
        <v>60</v>
      </c>
      <c r="B828">
        <v>2086</v>
      </c>
      <c r="C828" t="s">
        <v>19</v>
      </c>
      <c r="D828">
        <v>224</v>
      </c>
      <c r="E828">
        <v>2213908.94</v>
      </c>
      <c r="F828">
        <v>464909</v>
      </c>
      <c r="G828">
        <f>tblMoeHistory[[#This Row],[LEA State and Local Amount]]+tblMoeHistory[[#This Row],[ESD State and Local Amount]]</f>
        <v>2678817.94</v>
      </c>
      <c r="H828">
        <v>0</v>
      </c>
      <c r="I828" t="s">
        <v>241</v>
      </c>
      <c r="J828">
        <f>IFERROR(tblMoeHistory[[#This Row],[LEA State and Local Amount]]/tblMoeHistory[[#This Row],[Child Count]],0)</f>
        <v>9883.5220535714288</v>
      </c>
      <c r="K828">
        <f>IFERROR(tblMoeHistory[[#This Row],[ESD State and Local Amount]]/tblMoeHistory[[#This Row],[Child Count]],0)</f>
        <v>2075.4866071428573</v>
      </c>
      <c r="L828">
        <f>IFERROR(tblMoeHistory[[#This Row],[State and Local Total Amount]]/tblMoeHistory[[#This Row],[Child Count]],0)</f>
        <v>11959.008660714286</v>
      </c>
      <c r="M828">
        <v>0</v>
      </c>
      <c r="N828" t="s">
        <v>241</v>
      </c>
      <c r="O828">
        <v>223083.23</v>
      </c>
      <c r="P828">
        <v>1486.33</v>
      </c>
      <c r="Q828">
        <f>tblMoeHistory[[#This Row],[Amount of IDEA Part B, Section 611 award]]+tblMoeHistory[[#This Row],[Amount of IDEA Part B, Section 619 award]]</f>
        <v>224569.56</v>
      </c>
      <c r="U8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8" t="str">
        <f>IF(OR(IFERROR(SEARCH("Met",tblMoeHistory[[#This Row],[State and Local Per Capita Result]]),0)&gt;0,IFERROR(SEARCH("Met",tblMoeHistory[[#This Row],[State and Local Total Result]]),0)&gt;0),"Met","Not Met")</f>
        <v>Met</v>
      </c>
    </row>
    <row r="829" spans="1:22" x14ac:dyDescent="0.35">
      <c r="A829" t="s">
        <v>61</v>
      </c>
      <c r="B829">
        <v>1970</v>
      </c>
      <c r="C829" t="s">
        <v>19</v>
      </c>
      <c r="D829">
        <v>453</v>
      </c>
      <c r="E829">
        <v>3260967.14</v>
      </c>
      <c r="F829">
        <v>199667.1</v>
      </c>
      <c r="G829">
        <f>tblMoeHistory[[#This Row],[LEA State and Local Amount]]+tblMoeHistory[[#This Row],[ESD State and Local Amount]]</f>
        <v>3460634.24</v>
      </c>
      <c r="H829">
        <v>0</v>
      </c>
      <c r="I829" t="s">
        <v>241</v>
      </c>
      <c r="J829">
        <f>IFERROR(tblMoeHistory[[#This Row],[LEA State and Local Amount]]/tblMoeHistory[[#This Row],[Child Count]],0)</f>
        <v>7198.6029580573959</v>
      </c>
      <c r="K829">
        <f>IFERROR(tblMoeHistory[[#This Row],[ESD State and Local Amount]]/tblMoeHistory[[#This Row],[Child Count]],0)</f>
        <v>440.7662251655629</v>
      </c>
      <c r="L829">
        <f>IFERROR(tblMoeHistory[[#This Row],[State and Local Total Amount]]/tblMoeHistory[[#This Row],[Child Count]],0)</f>
        <v>7639.3691832229588</v>
      </c>
      <c r="M829">
        <v>0</v>
      </c>
      <c r="N829" t="s">
        <v>240</v>
      </c>
      <c r="O829">
        <v>578987.5</v>
      </c>
      <c r="P829">
        <v>7197.33</v>
      </c>
      <c r="Q829">
        <f>tblMoeHistory[[#This Row],[Amount of IDEA Part B, Section 611 award]]+tblMoeHistory[[#This Row],[Amount of IDEA Part B, Section 619 award]]</f>
        <v>586184.82999999996</v>
      </c>
      <c r="U8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9" t="str">
        <f>IF(OR(IFERROR(SEARCH("Met",tblMoeHistory[[#This Row],[State and Local Per Capita Result]]),0)&gt;0,IFERROR(SEARCH("Met",tblMoeHistory[[#This Row],[State and Local Total Result]]),0)&gt;0),"Met","Not Met")</f>
        <v>Met</v>
      </c>
    </row>
    <row r="830" spans="1:22" x14ac:dyDescent="0.35">
      <c r="A830" t="s">
        <v>62</v>
      </c>
      <c r="B830">
        <v>2089</v>
      </c>
      <c r="C830" t="s">
        <v>19</v>
      </c>
      <c r="D830">
        <v>53</v>
      </c>
      <c r="E830">
        <v>384272.96</v>
      </c>
      <c r="F830">
        <v>164645</v>
      </c>
      <c r="G830">
        <f>tblMoeHistory[[#This Row],[LEA State and Local Amount]]+tblMoeHistory[[#This Row],[ESD State and Local Amount]]</f>
        <v>548917.96</v>
      </c>
      <c r="H830">
        <v>0</v>
      </c>
      <c r="I830" t="s">
        <v>241</v>
      </c>
      <c r="J830">
        <f>IFERROR(tblMoeHistory[[#This Row],[LEA State and Local Amount]]/tblMoeHistory[[#This Row],[Child Count]],0)</f>
        <v>7250.4332075471702</v>
      </c>
      <c r="K830">
        <f>IFERROR(tblMoeHistory[[#This Row],[ESD State and Local Amount]]/tblMoeHistory[[#This Row],[Child Count]],0)</f>
        <v>3106.5094339622642</v>
      </c>
      <c r="L830">
        <f>IFERROR(tblMoeHistory[[#This Row],[State and Local Total Amount]]/tblMoeHistory[[#This Row],[Child Count]],0)</f>
        <v>10356.942641509433</v>
      </c>
      <c r="M830">
        <v>0</v>
      </c>
      <c r="N830" t="s">
        <v>240</v>
      </c>
      <c r="O830">
        <v>62766.76</v>
      </c>
      <c r="P830">
        <v>918.03</v>
      </c>
      <c r="Q830">
        <f>tblMoeHistory[[#This Row],[Amount of IDEA Part B, Section 611 award]]+tblMoeHistory[[#This Row],[Amount of IDEA Part B, Section 619 award]]</f>
        <v>63684.79</v>
      </c>
      <c r="U8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0" t="str">
        <f>IF(OR(IFERROR(SEARCH("Met",tblMoeHistory[[#This Row],[State and Local Per Capita Result]]),0)&gt;0,IFERROR(SEARCH("Met",tblMoeHistory[[#This Row],[State and Local Total Result]]),0)&gt;0),"Met","Not Met")</f>
        <v>Met</v>
      </c>
    </row>
    <row r="831" spans="1:22" x14ac:dyDescent="0.35">
      <c r="A831" t="s">
        <v>63</v>
      </c>
      <c r="B831">
        <v>2050</v>
      </c>
      <c r="C831" t="s">
        <v>19</v>
      </c>
      <c r="D831">
        <v>91</v>
      </c>
      <c r="E831">
        <v>676219.47</v>
      </c>
      <c r="F831">
        <v>232929.25</v>
      </c>
      <c r="G831">
        <f>tblMoeHistory[[#This Row],[LEA State and Local Amount]]+tblMoeHistory[[#This Row],[ESD State and Local Amount]]</f>
        <v>909148.72</v>
      </c>
      <c r="H831">
        <v>0</v>
      </c>
      <c r="I831" t="s">
        <v>241</v>
      </c>
      <c r="J831">
        <f>IFERROR(tblMoeHistory[[#This Row],[LEA State and Local Amount]]/tblMoeHistory[[#This Row],[Child Count]],0)</f>
        <v>7430.9831868131869</v>
      </c>
      <c r="K831">
        <f>IFERROR(tblMoeHistory[[#This Row],[ESD State and Local Amount]]/tblMoeHistory[[#This Row],[Child Count]],0)</f>
        <v>2559.6620879120878</v>
      </c>
      <c r="L831">
        <f>IFERROR(tblMoeHistory[[#This Row],[State and Local Total Amount]]/tblMoeHistory[[#This Row],[Child Count]],0)</f>
        <v>9990.6452747252752</v>
      </c>
      <c r="M831">
        <v>0</v>
      </c>
      <c r="N831" t="s">
        <v>240</v>
      </c>
      <c r="O831">
        <v>116848.15</v>
      </c>
      <c r="P831">
        <v>2448.0700000000002</v>
      </c>
      <c r="Q831">
        <f>tblMoeHistory[[#This Row],[Amount of IDEA Part B, Section 611 award]]+tblMoeHistory[[#This Row],[Amount of IDEA Part B, Section 619 award]]</f>
        <v>119296.22</v>
      </c>
      <c r="U8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1" t="str">
        <f>IF(OR(IFERROR(SEARCH("Met",tblMoeHistory[[#This Row],[State and Local Per Capita Result]]),0)&gt;0,IFERROR(SEARCH("Met",tblMoeHistory[[#This Row],[State and Local Total Result]]),0)&gt;0),"Met","Not Met")</f>
        <v>Met</v>
      </c>
    </row>
    <row r="832" spans="1:22" x14ac:dyDescent="0.35">
      <c r="A832" t="s">
        <v>64</v>
      </c>
      <c r="B832">
        <v>2190</v>
      </c>
      <c r="C832" t="s">
        <v>19</v>
      </c>
      <c r="D832">
        <v>442</v>
      </c>
      <c r="E832">
        <v>3674405.53</v>
      </c>
      <c r="F832">
        <v>223016.51</v>
      </c>
      <c r="G832">
        <f>tblMoeHistory[[#This Row],[LEA State and Local Amount]]+tblMoeHistory[[#This Row],[ESD State and Local Amount]]</f>
        <v>3897422.04</v>
      </c>
      <c r="H832">
        <v>0</v>
      </c>
      <c r="I832" t="s">
        <v>241</v>
      </c>
      <c r="J832">
        <f>IFERROR(tblMoeHistory[[#This Row],[LEA State and Local Amount]]/tblMoeHistory[[#This Row],[Child Count]],0)</f>
        <v>8313.1346832579184</v>
      </c>
      <c r="K832">
        <f>IFERROR(tblMoeHistory[[#This Row],[ESD State and Local Amount]]/tblMoeHistory[[#This Row],[Child Count]],0)</f>
        <v>504.56223981900456</v>
      </c>
      <c r="L832">
        <f>IFERROR(tblMoeHistory[[#This Row],[State and Local Total Amount]]/tblMoeHistory[[#This Row],[Child Count]],0)</f>
        <v>8817.6969230769228</v>
      </c>
      <c r="M832">
        <v>0</v>
      </c>
      <c r="N832" t="s">
        <v>240</v>
      </c>
      <c r="O832">
        <v>483022.25</v>
      </c>
      <c r="P832">
        <v>4310.74</v>
      </c>
      <c r="Q832">
        <f>tblMoeHistory[[#This Row],[Amount of IDEA Part B, Section 611 award]]+tblMoeHistory[[#This Row],[Amount of IDEA Part B, Section 619 award]]</f>
        <v>487332.99</v>
      </c>
      <c r="U8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2" t="str">
        <f>IF(OR(IFERROR(SEARCH("Met",tblMoeHistory[[#This Row],[State and Local Per Capita Result]]),0)&gt;0,IFERROR(SEARCH("Met",tblMoeHistory[[#This Row],[State and Local Total Result]]),0)&gt;0),"Met","Not Met")</f>
        <v>Met</v>
      </c>
    </row>
    <row r="833" spans="1:22" x14ac:dyDescent="0.35">
      <c r="A833" t="s">
        <v>65</v>
      </c>
      <c r="B833">
        <v>2187</v>
      </c>
      <c r="C833" t="s">
        <v>19</v>
      </c>
      <c r="D833">
        <v>1318</v>
      </c>
      <c r="E833">
        <v>12057634.5</v>
      </c>
      <c r="F833">
        <v>1531325.85</v>
      </c>
      <c r="G833">
        <f>tblMoeHistory[[#This Row],[LEA State and Local Amount]]+tblMoeHistory[[#This Row],[ESD State and Local Amount]]</f>
        <v>13588960.35</v>
      </c>
      <c r="H833">
        <v>0</v>
      </c>
      <c r="I833" t="s">
        <v>241</v>
      </c>
      <c r="J833">
        <f>IFERROR(tblMoeHistory[[#This Row],[LEA State and Local Amount]]/tblMoeHistory[[#This Row],[Child Count]],0)</f>
        <v>9148.4328528072838</v>
      </c>
      <c r="K833">
        <f>IFERROR(tblMoeHistory[[#This Row],[ESD State and Local Amount]]/tblMoeHistory[[#This Row],[Child Count]],0)</f>
        <v>1161.8557283763278</v>
      </c>
      <c r="L833">
        <f>IFERROR(tblMoeHistory[[#This Row],[State and Local Total Amount]]/tblMoeHistory[[#This Row],[Child Count]],0)</f>
        <v>10310.288581183611</v>
      </c>
      <c r="M833">
        <v>0</v>
      </c>
      <c r="N833" t="s">
        <v>241</v>
      </c>
      <c r="O833">
        <v>1746095.39</v>
      </c>
      <c r="P833">
        <v>14600.34</v>
      </c>
      <c r="Q833">
        <f>tblMoeHistory[[#This Row],[Amount of IDEA Part B, Section 611 award]]+tblMoeHistory[[#This Row],[Amount of IDEA Part B, Section 619 award]]</f>
        <v>1760695.73</v>
      </c>
      <c r="U8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3" t="str">
        <f>IF(OR(IFERROR(SEARCH("Met",tblMoeHistory[[#This Row],[State and Local Per Capita Result]]),0)&gt;0,IFERROR(SEARCH("Met",tblMoeHistory[[#This Row],[State and Local Total Result]]),0)&gt;0),"Met","Not Met")</f>
        <v>Met</v>
      </c>
    </row>
    <row r="834" spans="1:22" x14ac:dyDescent="0.35">
      <c r="A834" t="s">
        <v>66</v>
      </c>
      <c r="B834">
        <v>2253</v>
      </c>
      <c r="C834" t="s">
        <v>19</v>
      </c>
      <c r="D834">
        <v>130</v>
      </c>
      <c r="E834">
        <v>1003831.43</v>
      </c>
      <c r="F834">
        <v>34878.449999999997</v>
      </c>
      <c r="G834">
        <f>tblMoeHistory[[#This Row],[LEA State and Local Amount]]+tblMoeHistory[[#This Row],[ESD State and Local Amount]]</f>
        <v>1038709.88</v>
      </c>
      <c r="H834">
        <v>0</v>
      </c>
      <c r="I834" t="s">
        <v>241</v>
      </c>
      <c r="J834">
        <f>IFERROR(tblMoeHistory[[#This Row],[LEA State and Local Amount]]/tblMoeHistory[[#This Row],[Child Count]],0)</f>
        <v>7721.7802307692309</v>
      </c>
      <c r="K834">
        <f>IFERROR(tblMoeHistory[[#This Row],[ESD State and Local Amount]]/tblMoeHistory[[#This Row],[Child Count]],0)</f>
        <v>268.29576923076922</v>
      </c>
      <c r="L834">
        <f>IFERROR(tblMoeHistory[[#This Row],[State and Local Total Amount]]/tblMoeHistory[[#This Row],[Child Count]],0)</f>
        <v>7990.076</v>
      </c>
      <c r="M834">
        <v>0</v>
      </c>
      <c r="N834" t="s">
        <v>241</v>
      </c>
      <c r="O834">
        <v>152412.5</v>
      </c>
      <c r="P834">
        <v>1290.98</v>
      </c>
      <c r="Q834">
        <f>tblMoeHistory[[#This Row],[Amount of IDEA Part B, Section 611 award]]+tblMoeHistory[[#This Row],[Amount of IDEA Part B, Section 619 award]]</f>
        <v>153703.48000000001</v>
      </c>
      <c r="U8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4" t="str">
        <f>IF(OR(IFERROR(SEARCH("Met",tblMoeHistory[[#This Row],[State and Local Per Capita Result]]),0)&gt;0,IFERROR(SEARCH("Met",tblMoeHistory[[#This Row],[State and Local Total Result]]),0)&gt;0),"Met","Not Met")</f>
        <v>Met</v>
      </c>
    </row>
    <row r="835" spans="1:22" x14ac:dyDescent="0.35">
      <c r="A835" t="s">
        <v>67</v>
      </c>
      <c r="B835">
        <v>2011</v>
      </c>
      <c r="C835" t="s">
        <v>19</v>
      </c>
      <c r="D835">
        <v>11</v>
      </c>
      <c r="E835">
        <v>7532.07</v>
      </c>
      <c r="F835">
        <v>66858.14</v>
      </c>
      <c r="G835">
        <f>tblMoeHistory[[#This Row],[LEA State and Local Amount]]+tblMoeHistory[[#This Row],[ESD State and Local Amount]]</f>
        <v>74390.209999999992</v>
      </c>
      <c r="H835">
        <v>0</v>
      </c>
      <c r="I835" t="s">
        <v>239</v>
      </c>
      <c r="J835">
        <f>IFERROR(tblMoeHistory[[#This Row],[LEA State and Local Amount]]/tblMoeHistory[[#This Row],[Child Count]],0)</f>
        <v>684.73363636363638</v>
      </c>
      <c r="K835">
        <f>IFERROR(tblMoeHistory[[#This Row],[ESD State and Local Amount]]/tblMoeHistory[[#This Row],[Child Count]],0)</f>
        <v>6078.0127272727268</v>
      </c>
      <c r="L835">
        <f>IFERROR(tblMoeHistory[[#This Row],[State and Local Total Amount]]/tblMoeHistory[[#This Row],[Child Count]],0)</f>
        <v>6762.7463636363627</v>
      </c>
      <c r="M835">
        <v>0</v>
      </c>
      <c r="N835" t="s">
        <v>239</v>
      </c>
      <c r="O835">
        <v>10530.22</v>
      </c>
      <c r="P835">
        <v>1836.05</v>
      </c>
      <c r="Q835">
        <f>tblMoeHistory[[#This Row],[Amount of IDEA Part B, Section 611 award]]+tblMoeHistory[[#This Row],[Amount of IDEA Part B, Section 619 award]]</f>
        <v>12366.269999999999</v>
      </c>
      <c r="U8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5" t="str">
        <f>IF(OR(IFERROR(SEARCH("Met",tblMoeHistory[[#This Row],[State and Local Per Capita Result]]),0)&gt;0,IFERROR(SEARCH("Met",tblMoeHistory[[#This Row],[State and Local Total Result]]),0)&gt;0),"Met","Not Met")</f>
        <v>Met</v>
      </c>
    </row>
    <row r="836" spans="1:22" x14ac:dyDescent="0.35">
      <c r="A836" t="s">
        <v>68</v>
      </c>
      <c r="B836">
        <v>2017</v>
      </c>
      <c r="C836" t="s">
        <v>19</v>
      </c>
      <c r="D836">
        <v>0</v>
      </c>
      <c r="E836">
        <v>3419.53</v>
      </c>
      <c r="F836">
        <v>5487</v>
      </c>
      <c r="G836">
        <f>tblMoeHistory[[#This Row],[LEA State and Local Amount]]+tblMoeHistory[[#This Row],[ESD State and Local Amount]]</f>
        <v>8906.5300000000007</v>
      </c>
      <c r="H836">
        <v>0</v>
      </c>
      <c r="I836" t="s">
        <v>240</v>
      </c>
      <c r="J836">
        <f>IFERROR(tblMoeHistory[[#This Row],[LEA State and Local Amount]]/tblMoeHistory[[#This Row],[Child Count]],0)</f>
        <v>0</v>
      </c>
      <c r="K836">
        <f>IFERROR(tblMoeHistory[[#This Row],[ESD State and Local Amount]]/tblMoeHistory[[#This Row],[Child Count]],0)</f>
        <v>0</v>
      </c>
      <c r="L836">
        <f>IFERROR(tblMoeHistory[[#This Row],[State and Local Total Amount]]/tblMoeHistory[[#This Row],[Child Count]],0)</f>
        <v>0</v>
      </c>
      <c r="M836">
        <v>0</v>
      </c>
      <c r="N836" t="s">
        <v>240</v>
      </c>
      <c r="O836">
        <v>1572.6</v>
      </c>
      <c r="P836">
        <v>0</v>
      </c>
      <c r="Q836">
        <f>tblMoeHistory[[#This Row],[Amount of IDEA Part B, Section 611 award]]+tblMoeHistory[[#This Row],[Amount of IDEA Part B, Section 619 award]]</f>
        <v>1572.6</v>
      </c>
      <c r="U8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6" t="str">
        <f>IF(OR(IFERROR(SEARCH("Met",tblMoeHistory[[#This Row],[State and Local Per Capita Result]]),0)&gt;0,IFERROR(SEARCH("Met",tblMoeHistory[[#This Row],[State and Local Total Result]]),0)&gt;0),"Met","Not Met")</f>
        <v>Not Met</v>
      </c>
    </row>
    <row r="837" spans="1:22" x14ac:dyDescent="0.35">
      <c r="A837" t="s">
        <v>69</v>
      </c>
      <c r="B837">
        <v>2021</v>
      </c>
      <c r="C837" t="s">
        <v>19</v>
      </c>
      <c r="D837">
        <v>0</v>
      </c>
      <c r="E837">
        <v>4437.18</v>
      </c>
      <c r="F837">
        <v>5487</v>
      </c>
      <c r="G837">
        <f>tblMoeHistory[[#This Row],[LEA State and Local Amount]]+tblMoeHistory[[#This Row],[ESD State and Local Amount]]</f>
        <v>9924.18</v>
      </c>
      <c r="H837">
        <v>0</v>
      </c>
      <c r="J837">
        <f>IFERROR(tblMoeHistory[[#This Row],[LEA State and Local Amount]]/tblMoeHistory[[#This Row],[Child Count]],0)</f>
        <v>0</v>
      </c>
      <c r="K837">
        <f>IFERROR(tblMoeHistory[[#This Row],[ESD State and Local Amount]]/tblMoeHistory[[#This Row],[Child Count]],0)</f>
        <v>0</v>
      </c>
      <c r="L837">
        <f>IFERROR(tblMoeHistory[[#This Row],[State and Local Total Amount]]/tblMoeHistory[[#This Row],[Child Count]],0)</f>
        <v>0</v>
      </c>
      <c r="M837">
        <v>0</v>
      </c>
      <c r="O837">
        <v>0</v>
      </c>
      <c r="P837">
        <v>0</v>
      </c>
      <c r="Q837">
        <f>tblMoeHistory[[#This Row],[Amount of IDEA Part B, Section 611 award]]+tblMoeHistory[[#This Row],[Amount of IDEA Part B, Section 619 award]]</f>
        <v>0</v>
      </c>
      <c r="U8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7" t="str">
        <f>IF(OR(IFERROR(SEARCH("Met",tblMoeHistory[[#This Row],[State and Local Per Capita Result]]),0)&gt;0,IFERROR(SEARCH("Met",tblMoeHistory[[#This Row],[State and Local Total Result]]),0)&gt;0),"Met","Not Met")</f>
        <v>Not Met</v>
      </c>
    </row>
    <row r="838" spans="1:22" x14ac:dyDescent="0.35">
      <c r="A838" t="s">
        <v>70</v>
      </c>
      <c r="B838">
        <v>1993</v>
      </c>
      <c r="C838" t="s">
        <v>19</v>
      </c>
      <c r="D838">
        <v>19</v>
      </c>
      <c r="E838">
        <v>144283.06</v>
      </c>
      <c r="F838">
        <v>37182.370000000003</v>
      </c>
      <c r="G838">
        <f>tblMoeHistory[[#This Row],[LEA State and Local Amount]]+tblMoeHistory[[#This Row],[ESD State and Local Amount]]</f>
        <v>181465.43</v>
      </c>
      <c r="H838">
        <v>0</v>
      </c>
      <c r="I838" t="s">
        <v>242</v>
      </c>
      <c r="J838">
        <f>IFERROR(tblMoeHistory[[#This Row],[LEA State and Local Amount]]/tblMoeHistory[[#This Row],[Child Count]],0)</f>
        <v>7593.8452631578948</v>
      </c>
      <c r="K838">
        <f>IFERROR(tblMoeHistory[[#This Row],[ESD State and Local Amount]]/tblMoeHistory[[#This Row],[Child Count]],0)</f>
        <v>1956.9668421052634</v>
      </c>
      <c r="L838">
        <f>IFERROR(tblMoeHistory[[#This Row],[State and Local Total Amount]]/tblMoeHistory[[#This Row],[Child Count]],0)</f>
        <v>9550.8121052631577</v>
      </c>
      <c r="M838">
        <v>0</v>
      </c>
      <c r="N838" t="s">
        <v>240</v>
      </c>
      <c r="O838">
        <v>47252.08</v>
      </c>
      <c r="P838">
        <v>1377.04</v>
      </c>
      <c r="Q838">
        <f>tblMoeHistory[[#This Row],[Amount of IDEA Part B, Section 611 award]]+tblMoeHistory[[#This Row],[Amount of IDEA Part B, Section 619 award]]</f>
        <v>48629.120000000003</v>
      </c>
      <c r="S838">
        <v>24920.25</v>
      </c>
      <c r="U8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8" t="str">
        <f>IF(OR(IFERROR(SEARCH("Met",tblMoeHistory[[#This Row],[State and Local Per Capita Result]]),0)&gt;0,IFERROR(SEARCH("Met",tblMoeHistory[[#This Row],[State and Local Total Result]]),0)&gt;0),"Met","Not Met")</f>
        <v>Met</v>
      </c>
    </row>
    <row r="839" spans="1:22" x14ac:dyDescent="0.35">
      <c r="A839" t="s">
        <v>71</v>
      </c>
      <c r="B839">
        <v>1991</v>
      </c>
      <c r="C839" t="s">
        <v>19</v>
      </c>
      <c r="D839">
        <v>623</v>
      </c>
      <c r="E839">
        <v>5118919.3099999996</v>
      </c>
      <c r="F839">
        <v>1256750.83</v>
      </c>
      <c r="G839">
        <f>tblMoeHistory[[#This Row],[LEA State and Local Amount]]+tblMoeHistory[[#This Row],[ESD State and Local Amount]]</f>
        <v>6375670.1399999997</v>
      </c>
      <c r="H839">
        <v>0</v>
      </c>
      <c r="I839" t="s">
        <v>241</v>
      </c>
      <c r="J839">
        <f>IFERROR(tblMoeHistory[[#This Row],[LEA State and Local Amount]]/tblMoeHistory[[#This Row],[Child Count]],0)</f>
        <v>8216.5639004815403</v>
      </c>
      <c r="K839">
        <f>IFERROR(tblMoeHistory[[#This Row],[ESD State and Local Amount]]/tblMoeHistory[[#This Row],[Child Count]],0)</f>
        <v>2017.2565489566614</v>
      </c>
      <c r="L839">
        <f>IFERROR(tblMoeHistory[[#This Row],[State and Local Total Amount]]/tblMoeHistory[[#This Row],[Child Count]],0)</f>
        <v>10233.820449438203</v>
      </c>
      <c r="M839">
        <v>0</v>
      </c>
      <c r="N839" t="s">
        <v>241</v>
      </c>
      <c r="O839">
        <v>1035164.56</v>
      </c>
      <c r="P839">
        <v>14020.78</v>
      </c>
      <c r="Q839">
        <f>tblMoeHistory[[#This Row],[Amount of IDEA Part B, Section 611 award]]+tblMoeHistory[[#This Row],[Amount of IDEA Part B, Section 619 award]]</f>
        <v>1049185.3400000001</v>
      </c>
      <c r="U8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9" t="str">
        <f>IF(OR(IFERROR(SEARCH("Met",tblMoeHistory[[#This Row],[State and Local Per Capita Result]]),0)&gt;0,IFERROR(SEARCH("Met",tblMoeHistory[[#This Row],[State and Local Total Result]]),0)&gt;0),"Met","Not Met")</f>
        <v>Met</v>
      </c>
    </row>
    <row r="840" spans="1:22" x14ac:dyDescent="0.35">
      <c r="A840" t="s">
        <v>72</v>
      </c>
      <c r="B840">
        <v>2019</v>
      </c>
      <c r="C840" t="s">
        <v>19</v>
      </c>
      <c r="D840">
        <v>1</v>
      </c>
      <c r="E840">
        <v>6247.74</v>
      </c>
      <c r="F840">
        <v>2708.5</v>
      </c>
      <c r="G840">
        <f>tblMoeHistory[[#This Row],[LEA State and Local Amount]]+tblMoeHistory[[#This Row],[ESD State and Local Amount]]</f>
        <v>8956.24</v>
      </c>
      <c r="H840">
        <v>0</v>
      </c>
      <c r="I840" t="s">
        <v>242</v>
      </c>
      <c r="J840">
        <f>IFERROR(tblMoeHistory[[#This Row],[LEA State and Local Amount]]/tblMoeHistory[[#This Row],[Child Count]],0)</f>
        <v>6247.74</v>
      </c>
      <c r="K840">
        <f>IFERROR(tblMoeHistory[[#This Row],[ESD State and Local Amount]]/tblMoeHistory[[#This Row],[Child Count]],0)</f>
        <v>2708.5</v>
      </c>
      <c r="L840">
        <f>IFERROR(tblMoeHistory[[#This Row],[State and Local Total Amount]]/tblMoeHistory[[#This Row],[Child Count]],0)</f>
        <v>8956.24</v>
      </c>
      <c r="M840">
        <v>0</v>
      </c>
      <c r="N840" t="s">
        <v>241</v>
      </c>
      <c r="O840">
        <v>0</v>
      </c>
      <c r="P840">
        <v>0</v>
      </c>
      <c r="Q840">
        <f>tblMoeHistory[[#This Row],[Amount of IDEA Part B, Section 611 award]]+tblMoeHistory[[#This Row],[Amount of IDEA Part B, Section 619 award]]</f>
        <v>0</v>
      </c>
      <c r="S840">
        <v>111329</v>
      </c>
      <c r="T840">
        <v>111329</v>
      </c>
      <c r="U8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0" t="str">
        <f>IF(OR(IFERROR(SEARCH("Met",tblMoeHistory[[#This Row],[State and Local Per Capita Result]]),0)&gt;0,IFERROR(SEARCH("Met",tblMoeHistory[[#This Row],[State and Local Total Result]]),0)&gt;0),"Met","Not Met")</f>
        <v>Met</v>
      </c>
    </row>
    <row r="841" spans="1:22" x14ac:dyDescent="0.35">
      <c r="A841" t="s">
        <v>73</v>
      </c>
      <c r="B841">
        <v>2229</v>
      </c>
      <c r="C841" t="s">
        <v>19</v>
      </c>
      <c r="D841">
        <v>39</v>
      </c>
      <c r="E841">
        <v>188343.77</v>
      </c>
      <c r="F841">
        <v>0</v>
      </c>
      <c r="G841">
        <f>tblMoeHistory[[#This Row],[LEA State and Local Amount]]+tblMoeHistory[[#This Row],[ESD State and Local Amount]]</f>
        <v>188343.77</v>
      </c>
      <c r="H841">
        <v>0</v>
      </c>
      <c r="I841" t="s">
        <v>241</v>
      </c>
      <c r="J841">
        <f>IFERROR(tblMoeHistory[[#This Row],[LEA State and Local Amount]]/tblMoeHistory[[#This Row],[Child Count]],0)</f>
        <v>4829.3274358974359</v>
      </c>
      <c r="K841">
        <f>IFERROR(tblMoeHistory[[#This Row],[ESD State and Local Amount]]/tblMoeHistory[[#This Row],[Child Count]],0)</f>
        <v>0</v>
      </c>
      <c r="L841">
        <f>IFERROR(tblMoeHistory[[#This Row],[State and Local Total Amount]]/tblMoeHistory[[#This Row],[Child Count]],0)</f>
        <v>4829.3274358974359</v>
      </c>
      <c r="M841">
        <v>0</v>
      </c>
      <c r="N841" t="s">
        <v>240</v>
      </c>
      <c r="O841">
        <v>44875.839999999997</v>
      </c>
      <c r="P841">
        <v>826.22</v>
      </c>
      <c r="Q841">
        <f>tblMoeHistory[[#This Row],[Amount of IDEA Part B, Section 611 award]]+tblMoeHistory[[#This Row],[Amount of IDEA Part B, Section 619 award]]</f>
        <v>45702.06</v>
      </c>
      <c r="U8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1" t="str">
        <f>IF(OR(IFERROR(SEARCH("Met",tblMoeHistory[[#This Row],[State and Local Per Capita Result]]),0)&gt;0,IFERROR(SEARCH("Met",tblMoeHistory[[#This Row],[State and Local Total Result]]),0)&gt;0),"Met","Not Met")</f>
        <v>Met</v>
      </c>
    </row>
    <row r="842" spans="1:22" x14ac:dyDescent="0.35">
      <c r="A842" t="s">
        <v>74</v>
      </c>
      <c r="B842">
        <v>2043</v>
      </c>
      <c r="C842" t="s">
        <v>19</v>
      </c>
      <c r="D842">
        <v>517</v>
      </c>
      <c r="E842">
        <v>2872285.86</v>
      </c>
      <c r="F842">
        <v>966979.61</v>
      </c>
      <c r="G842">
        <f>tblMoeHistory[[#This Row],[LEA State and Local Amount]]+tblMoeHistory[[#This Row],[ESD State and Local Amount]]</f>
        <v>3839265.4699999997</v>
      </c>
      <c r="H842">
        <v>0</v>
      </c>
      <c r="I842" t="s">
        <v>241</v>
      </c>
      <c r="J842">
        <f>IFERROR(tblMoeHistory[[#This Row],[LEA State and Local Amount]]/tblMoeHistory[[#This Row],[Child Count]],0)</f>
        <v>5555.6786460348158</v>
      </c>
      <c r="K842">
        <f>IFERROR(tblMoeHistory[[#This Row],[ESD State and Local Amount]]/tblMoeHistory[[#This Row],[Child Count]],0)</f>
        <v>1870.3667504835589</v>
      </c>
      <c r="L842">
        <f>IFERROR(tblMoeHistory[[#This Row],[State and Local Total Amount]]/tblMoeHistory[[#This Row],[Child Count]],0)</f>
        <v>7426.0453965183751</v>
      </c>
      <c r="M842">
        <v>0</v>
      </c>
      <c r="N842" t="s">
        <v>240</v>
      </c>
      <c r="O842">
        <v>630098.27</v>
      </c>
      <c r="P842">
        <v>3772.71</v>
      </c>
      <c r="Q842">
        <f>tblMoeHistory[[#This Row],[Amount of IDEA Part B, Section 611 award]]+tblMoeHistory[[#This Row],[Amount of IDEA Part B, Section 619 award]]</f>
        <v>633870.98</v>
      </c>
      <c r="U8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2" t="str">
        <f>IF(OR(IFERROR(SEARCH("Met",tblMoeHistory[[#This Row],[State and Local Per Capita Result]]),0)&gt;0,IFERROR(SEARCH("Met",tblMoeHistory[[#This Row],[State and Local Total Result]]),0)&gt;0),"Met","Not Met")</f>
        <v>Met</v>
      </c>
    </row>
    <row r="843" spans="1:22" x14ac:dyDescent="0.35">
      <c r="A843" t="s">
        <v>75</v>
      </c>
      <c r="B843">
        <v>2203</v>
      </c>
      <c r="C843" t="s">
        <v>19</v>
      </c>
      <c r="D843">
        <v>38</v>
      </c>
      <c r="E843">
        <v>155678.24</v>
      </c>
      <c r="F843">
        <v>54422.37</v>
      </c>
      <c r="G843">
        <f>tblMoeHistory[[#This Row],[LEA State and Local Amount]]+tblMoeHistory[[#This Row],[ESD State and Local Amount]]</f>
        <v>210100.61</v>
      </c>
      <c r="H843">
        <v>0</v>
      </c>
      <c r="I843" t="s">
        <v>239</v>
      </c>
      <c r="J843">
        <f>IFERROR(tblMoeHistory[[#This Row],[LEA State and Local Amount]]/tblMoeHistory[[#This Row],[Child Count]],0)</f>
        <v>4096.7957894736837</v>
      </c>
      <c r="K843">
        <f>IFERROR(tblMoeHistory[[#This Row],[ESD State and Local Amount]]/tblMoeHistory[[#This Row],[Child Count]],0)</f>
        <v>1432.1676315789475</v>
      </c>
      <c r="L843">
        <f>IFERROR(tblMoeHistory[[#This Row],[State and Local Total Amount]]/tblMoeHistory[[#This Row],[Child Count]],0)</f>
        <v>5528.963421052631</v>
      </c>
      <c r="M843">
        <v>0</v>
      </c>
      <c r="N843" t="s">
        <v>239</v>
      </c>
      <c r="O843">
        <v>38918.839999999997</v>
      </c>
      <c r="P843">
        <v>153</v>
      </c>
      <c r="Q843">
        <f>tblMoeHistory[[#This Row],[Amount of IDEA Part B, Section 611 award]]+tblMoeHistory[[#This Row],[Amount of IDEA Part B, Section 619 award]]</f>
        <v>39071.839999999997</v>
      </c>
      <c r="U8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3" t="str">
        <f>IF(OR(IFERROR(SEARCH("Met",tblMoeHistory[[#This Row],[State and Local Per Capita Result]]),0)&gt;0,IFERROR(SEARCH("Met",tblMoeHistory[[#This Row],[State and Local Total Result]]),0)&gt;0),"Met","Not Met")</f>
        <v>Met</v>
      </c>
    </row>
    <row r="844" spans="1:22" x14ac:dyDescent="0.35">
      <c r="A844" t="s">
        <v>76</v>
      </c>
      <c r="B844">
        <v>2217</v>
      </c>
      <c r="C844" t="s">
        <v>19</v>
      </c>
      <c r="D844">
        <v>49</v>
      </c>
      <c r="E844">
        <v>351886.73</v>
      </c>
      <c r="F844">
        <v>117540</v>
      </c>
      <c r="G844">
        <f>tblMoeHistory[[#This Row],[LEA State and Local Amount]]+tblMoeHistory[[#This Row],[ESD State and Local Amount]]</f>
        <v>469426.73</v>
      </c>
      <c r="H844">
        <v>0</v>
      </c>
      <c r="I844" t="s">
        <v>242</v>
      </c>
      <c r="J844">
        <f>IFERROR(tblMoeHistory[[#This Row],[LEA State and Local Amount]]/tblMoeHistory[[#This Row],[Child Count]],0)</f>
        <v>7181.3618367346935</v>
      </c>
      <c r="K844">
        <f>IFERROR(tblMoeHistory[[#This Row],[ESD State and Local Amount]]/tblMoeHistory[[#This Row],[Child Count]],0)</f>
        <v>2398.7755102040815</v>
      </c>
      <c r="L844">
        <f>IFERROR(tblMoeHistory[[#This Row],[State and Local Total Amount]]/tblMoeHistory[[#This Row],[Child Count]],0)</f>
        <v>9580.1373469387745</v>
      </c>
      <c r="M844">
        <v>0</v>
      </c>
      <c r="N844" t="s">
        <v>241</v>
      </c>
      <c r="O844">
        <v>70725.42</v>
      </c>
      <c r="P844">
        <v>262.29000000000002</v>
      </c>
      <c r="Q844">
        <f>tblMoeHistory[[#This Row],[Amount of IDEA Part B, Section 611 award]]+tblMoeHistory[[#This Row],[Amount of IDEA Part B, Section 619 award]]</f>
        <v>70987.709999999992</v>
      </c>
      <c r="S844">
        <v>47206.66</v>
      </c>
      <c r="T844">
        <v>47206.66</v>
      </c>
      <c r="U8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4" t="str">
        <f>IF(OR(IFERROR(SEARCH("Met",tblMoeHistory[[#This Row],[State and Local Per Capita Result]]),0)&gt;0,IFERROR(SEARCH("Met",tblMoeHistory[[#This Row],[State and Local Total Result]]),0)&gt;0),"Met","Not Met")</f>
        <v>Met</v>
      </c>
    </row>
    <row r="845" spans="1:22" x14ac:dyDescent="0.35">
      <c r="A845" t="s">
        <v>77</v>
      </c>
      <c r="B845">
        <v>1998</v>
      </c>
      <c r="C845" t="s">
        <v>19</v>
      </c>
      <c r="D845">
        <v>35</v>
      </c>
      <c r="E845">
        <v>116809.63</v>
      </c>
      <c r="F845">
        <v>57624.12</v>
      </c>
      <c r="G845">
        <f>tblMoeHistory[[#This Row],[LEA State and Local Amount]]+tblMoeHistory[[#This Row],[ESD State and Local Amount]]</f>
        <v>174433.75</v>
      </c>
      <c r="H845">
        <v>0</v>
      </c>
      <c r="I845" t="s">
        <v>241</v>
      </c>
      <c r="J845">
        <f>IFERROR(tblMoeHistory[[#This Row],[LEA State and Local Amount]]/tblMoeHistory[[#This Row],[Child Count]],0)</f>
        <v>3337.4180000000001</v>
      </c>
      <c r="K845">
        <f>IFERROR(tblMoeHistory[[#This Row],[ESD State and Local Amount]]/tblMoeHistory[[#This Row],[Child Count]],0)</f>
        <v>1646.4034285714285</v>
      </c>
      <c r="L845">
        <f>IFERROR(tblMoeHistory[[#This Row],[State and Local Total Amount]]/tblMoeHistory[[#This Row],[Child Count]],0)</f>
        <v>4983.8214285714284</v>
      </c>
      <c r="M845">
        <v>0</v>
      </c>
      <c r="N845" t="s">
        <v>240</v>
      </c>
      <c r="O845">
        <v>53937.72</v>
      </c>
      <c r="P845">
        <v>0</v>
      </c>
      <c r="Q845">
        <f>tblMoeHistory[[#This Row],[Amount of IDEA Part B, Section 611 award]]+tblMoeHistory[[#This Row],[Amount of IDEA Part B, Section 619 award]]</f>
        <v>53937.72</v>
      </c>
      <c r="U8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5" t="str">
        <f>IF(OR(IFERROR(SEARCH("Met",tblMoeHistory[[#This Row],[State and Local Per Capita Result]]),0)&gt;0,IFERROR(SEARCH("Met",tblMoeHistory[[#This Row],[State and Local Total Result]]),0)&gt;0),"Met","Not Met")</f>
        <v>Met</v>
      </c>
    </row>
    <row r="846" spans="1:22" x14ac:dyDescent="0.35">
      <c r="A846" t="s">
        <v>78</v>
      </c>
      <c r="B846">
        <v>2221</v>
      </c>
      <c r="C846" t="s">
        <v>19</v>
      </c>
      <c r="D846">
        <v>57</v>
      </c>
      <c r="E846">
        <v>-1.38</v>
      </c>
      <c r="F846">
        <v>309406.53999999998</v>
      </c>
      <c r="G846">
        <f>tblMoeHistory[[#This Row],[LEA State and Local Amount]]+tblMoeHistory[[#This Row],[ESD State and Local Amount]]</f>
        <v>309405.15999999997</v>
      </c>
      <c r="H846">
        <v>0</v>
      </c>
      <c r="I846" t="s">
        <v>239</v>
      </c>
      <c r="J846">
        <f>IFERROR(tblMoeHistory[[#This Row],[LEA State and Local Amount]]/tblMoeHistory[[#This Row],[Child Count]],0)</f>
        <v>-2.4210526315789471E-2</v>
      </c>
      <c r="K846">
        <f>IFERROR(tblMoeHistory[[#This Row],[ESD State and Local Amount]]/tblMoeHistory[[#This Row],[Child Count]],0)</f>
        <v>5428.1849122807016</v>
      </c>
      <c r="L846">
        <f>IFERROR(tblMoeHistory[[#This Row],[State and Local Total Amount]]/tblMoeHistory[[#This Row],[Child Count]],0)</f>
        <v>5428.1607017543856</v>
      </c>
      <c r="M846">
        <v>0</v>
      </c>
      <c r="N846" t="s">
        <v>239</v>
      </c>
      <c r="O846">
        <v>83385</v>
      </c>
      <c r="P846">
        <v>765.02</v>
      </c>
      <c r="Q846">
        <f>tblMoeHistory[[#This Row],[Amount of IDEA Part B, Section 611 award]]+tblMoeHistory[[#This Row],[Amount of IDEA Part B, Section 619 award]]</f>
        <v>84150.02</v>
      </c>
      <c r="U8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6" t="str">
        <f>IF(OR(IFERROR(SEARCH("Met",tblMoeHistory[[#This Row],[State and Local Per Capita Result]]),0)&gt;0,IFERROR(SEARCH("Met",tblMoeHistory[[#This Row],[State and Local Total Result]]),0)&gt;0),"Met","Not Met")</f>
        <v>Met</v>
      </c>
    </row>
    <row r="847" spans="1:22" x14ac:dyDescent="0.35">
      <c r="A847" t="s">
        <v>79</v>
      </c>
      <c r="B847">
        <v>1930</v>
      </c>
      <c r="C847" t="s">
        <v>19</v>
      </c>
      <c r="D847">
        <v>307</v>
      </c>
      <c r="E847">
        <v>2066654.68</v>
      </c>
      <c r="F847">
        <v>650026</v>
      </c>
      <c r="G847">
        <f>tblMoeHistory[[#This Row],[LEA State and Local Amount]]+tblMoeHistory[[#This Row],[ESD State and Local Amount]]</f>
        <v>2716680.6799999997</v>
      </c>
      <c r="H847">
        <v>0</v>
      </c>
      <c r="I847" t="s">
        <v>242</v>
      </c>
      <c r="J847">
        <f>IFERROR(tblMoeHistory[[#This Row],[LEA State and Local Amount]]/tblMoeHistory[[#This Row],[Child Count]],0)</f>
        <v>6731.7742019543975</v>
      </c>
      <c r="K847">
        <f>IFERROR(tblMoeHistory[[#This Row],[ESD State and Local Amount]]/tblMoeHistory[[#This Row],[Child Count]],0)</f>
        <v>2117.3485342019544</v>
      </c>
      <c r="L847">
        <f>IFERROR(tblMoeHistory[[#This Row],[State and Local Total Amount]]/tblMoeHistory[[#This Row],[Child Count]],0)</f>
        <v>8849.1227361563506</v>
      </c>
      <c r="M847">
        <v>0</v>
      </c>
      <c r="N847" t="s">
        <v>240</v>
      </c>
      <c r="O847">
        <v>407629.02</v>
      </c>
      <c r="P847">
        <v>2079.06</v>
      </c>
      <c r="Q847">
        <f>tblMoeHistory[[#This Row],[Amount of IDEA Part B, Section 611 award]]+tblMoeHistory[[#This Row],[Amount of IDEA Part B, Section 619 award]]</f>
        <v>409708.08</v>
      </c>
      <c r="S847">
        <v>189120.71</v>
      </c>
      <c r="U8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7" t="str">
        <f>IF(OR(IFERROR(SEARCH("Met",tblMoeHistory[[#This Row],[State and Local Per Capita Result]]),0)&gt;0,IFERROR(SEARCH("Met",tblMoeHistory[[#This Row],[State and Local Total Result]]),0)&gt;0),"Met","Not Met")</f>
        <v>Met</v>
      </c>
    </row>
    <row r="848" spans="1:22" x14ac:dyDescent="0.35">
      <c r="A848" t="s">
        <v>80</v>
      </c>
      <c r="B848">
        <v>2082</v>
      </c>
      <c r="C848" t="s">
        <v>19</v>
      </c>
      <c r="D848">
        <v>2174</v>
      </c>
      <c r="E848">
        <v>21038008.309999999</v>
      </c>
      <c r="F848">
        <v>2224051</v>
      </c>
      <c r="G848">
        <f>tblMoeHistory[[#This Row],[LEA State and Local Amount]]+tblMoeHistory[[#This Row],[ESD State and Local Amount]]</f>
        <v>23262059.309999999</v>
      </c>
      <c r="H848">
        <v>0</v>
      </c>
      <c r="I848" t="s">
        <v>241</v>
      </c>
      <c r="J848">
        <f>IFERROR(tblMoeHistory[[#This Row],[LEA State and Local Amount]]/tblMoeHistory[[#This Row],[Child Count]],0)</f>
        <v>9677.0967387304499</v>
      </c>
      <c r="K848">
        <f>IFERROR(tblMoeHistory[[#This Row],[ESD State and Local Amount]]/tblMoeHistory[[#This Row],[Child Count]],0)</f>
        <v>1023.022539098436</v>
      </c>
      <c r="L848">
        <f>IFERROR(tblMoeHistory[[#This Row],[State and Local Total Amount]]/tblMoeHistory[[#This Row],[Child Count]],0)</f>
        <v>10700.119277828886</v>
      </c>
      <c r="M848">
        <v>0</v>
      </c>
      <c r="N848" t="s">
        <v>241</v>
      </c>
      <c r="O848">
        <v>2955961.39</v>
      </c>
      <c r="P848">
        <v>24370.45</v>
      </c>
      <c r="Q848">
        <f>tblMoeHistory[[#This Row],[Amount of IDEA Part B, Section 611 award]]+tblMoeHistory[[#This Row],[Amount of IDEA Part B, Section 619 award]]</f>
        <v>2980331.8400000003</v>
      </c>
      <c r="U8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8" t="str">
        <f>IF(OR(IFERROR(SEARCH("Met",tblMoeHistory[[#This Row],[State and Local Per Capita Result]]),0)&gt;0,IFERROR(SEARCH("Met",tblMoeHistory[[#This Row],[State and Local Total Result]]),0)&gt;0),"Met","Not Met")</f>
        <v>Met</v>
      </c>
    </row>
    <row r="849" spans="1:22" x14ac:dyDescent="0.35">
      <c r="A849" t="s">
        <v>81</v>
      </c>
      <c r="B849">
        <v>2193</v>
      </c>
      <c r="C849" t="s">
        <v>19</v>
      </c>
      <c r="D849">
        <v>43</v>
      </c>
      <c r="E849">
        <v>361495.27</v>
      </c>
      <c r="F849">
        <v>33302.93</v>
      </c>
      <c r="G849">
        <f>tblMoeHistory[[#This Row],[LEA State and Local Amount]]+tblMoeHistory[[#This Row],[ESD State and Local Amount]]</f>
        <v>394798.2</v>
      </c>
      <c r="H849">
        <v>0</v>
      </c>
      <c r="I849" t="s">
        <v>241</v>
      </c>
      <c r="J849">
        <f>IFERROR(tblMoeHistory[[#This Row],[LEA State and Local Amount]]/tblMoeHistory[[#This Row],[Child Count]],0)</f>
        <v>8406.8667441860471</v>
      </c>
      <c r="K849">
        <f>IFERROR(tblMoeHistory[[#This Row],[ESD State and Local Amount]]/tblMoeHistory[[#This Row],[Child Count]],0)</f>
        <v>774.48674418604651</v>
      </c>
      <c r="L849">
        <f>IFERROR(tblMoeHistory[[#This Row],[State and Local Total Amount]]/tblMoeHistory[[#This Row],[Child Count]],0)</f>
        <v>9181.3534883720931</v>
      </c>
      <c r="M849">
        <v>0</v>
      </c>
      <c r="N849" t="s">
        <v>240</v>
      </c>
      <c r="O849">
        <v>41183.54</v>
      </c>
      <c r="P849">
        <v>0</v>
      </c>
      <c r="Q849">
        <f>tblMoeHistory[[#This Row],[Amount of IDEA Part B, Section 611 award]]+tblMoeHistory[[#This Row],[Amount of IDEA Part B, Section 619 award]]</f>
        <v>41183.54</v>
      </c>
      <c r="U8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9" t="str">
        <f>IF(OR(IFERROR(SEARCH("Met",tblMoeHistory[[#This Row],[State and Local Per Capita Result]]),0)&gt;0,IFERROR(SEARCH("Met",tblMoeHistory[[#This Row],[State and Local Total Result]]),0)&gt;0),"Met","Not Met")</f>
        <v>Met</v>
      </c>
    </row>
    <row r="850" spans="1:22" x14ac:dyDescent="0.35">
      <c r="A850" t="s">
        <v>82</v>
      </c>
      <c r="B850">
        <v>2084</v>
      </c>
      <c r="C850" t="s">
        <v>19</v>
      </c>
      <c r="D850">
        <v>245</v>
      </c>
      <c r="E850">
        <v>2402394.94</v>
      </c>
      <c r="F850">
        <v>473852</v>
      </c>
      <c r="G850">
        <f>tblMoeHistory[[#This Row],[LEA State and Local Amount]]+tblMoeHistory[[#This Row],[ESD State and Local Amount]]</f>
        <v>2876246.94</v>
      </c>
      <c r="H850">
        <v>0</v>
      </c>
      <c r="I850" t="s">
        <v>242</v>
      </c>
      <c r="J850">
        <f>IFERROR(tblMoeHistory[[#This Row],[LEA State and Local Amount]]/tblMoeHistory[[#This Row],[Child Count]],0)</f>
        <v>9805.6936326530613</v>
      </c>
      <c r="K850">
        <f>IFERROR(tblMoeHistory[[#This Row],[ESD State and Local Amount]]/tblMoeHistory[[#This Row],[Child Count]],0)</f>
        <v>1934.0897959183674</v>
      </c>
      <c r="L850">
        <f>IFERROR(tblMoeHistory[[#This Row],[State and Local Total Amount]]/tblMoeHistory[[#This Row],[Child Count]],0)</f>
        <v>11739.783428571429</v>
      </c>
      <c r="M850">
        <v>0</v>
      </c>
      <c r="N850" t="s">
        <v>241</v>
      </c>
      <c r="O850">
        <v>304584.25</v>
      </c>
      <c r="P850">
        <v>2213.1</v>
      </c>
      <c r="Q850">
        <f>tblMoeHistory[[#This Row],[Amount of IDEA Part B, Section 611 award]]+tblMoeHistory[[#This Row],[Amount of IDEA Part B, Section 619 award]]</f>
        <v>306797.34999999998</v>
      </c>
      <c r="S850">
        <v>189505.79</v>
      </c>
      <c r="T850">
        <v>189505.79</v>
      </c>
      <c r="U8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0" t="str">
        <f>IF(OR(IFERROR(SEARCH("Met",tblMoeHistory[[#This Row],[State and Local Per Capita Result]]),0)&gt;0,IFERROR(SEARCH("Met",tblMoeHistory[[#This Row],[State and Local Total Result]]),0)&gt;0),"Met","Not Met")</f>
        <v>Met</v>
      </c>
    </row>
    <row r="851" spans="1:22" x14ac:dyDescent="0.35">
      <c r="A851" t="s">
        <v>83</v>
      </c>
      <c r="B851">
        <v>2241</v>
      </c>
      <c r="C851" t="s">
        <v>19</v>
      </c>
      <c r="D851">
        <v>907</v>
      </c>
      <c r="E851">
        <v>11074832.300000001</v>
      </c>
      <c r="F851">
        <v>631185</v>
      </c>
      <c r="G851">
        <f>tblMoeHistory[[#This Row],[LEA State and Local Amount]]+tblMoeHistory[[#This Row],[ESD State and Local Amount]]</f>
        <v>11706017.300000001</v>
      </c>
      <c r="H851">
        <v>0</v>
      </c>
      <c r="I851" t="s">
        <v>241</v>
      </c>
      <c r="J851">
        <f>IFERROR(tblMoeHistory[[#This Row],[LEA State and Local Amount]]/tblMoeHistory[[#This Row],[Child Count]],0)</f>
        <v>12210.399448732085</v>
      </c>
      <c r="K851">
        <f>IFERROR(tblMoeHistory[[#This Row],[ESD State and Local Amount]]/tblMoeHistory[[#This Row],[Child Count]],0)</f>
        <v>695.90407938257988</v>
      </c>
      <c r="L851">
        <f>IFERROR(tblMoeHistory[[#This Row],[State and Local Total Amount]]/tblMoeHistory[[#This Row],[Child Count]],0)</f>
        <v>12906.303528114664</v>
      </c>
      <c r="M851">
        <v>0</v>
      </c>
      <c r="N851" t="s">
        <v>241</v>
      </c>
      <c r="O851">
        <v>892644.76</v>
      </c>
      <c r="P851">
        <v>4181.6899999999996</v>
      </c>
      <c r="Q851">
        <f>tblMoeHistory[[#This Row],[Amount of IDEA Part B, Section 611 award]]+tblMoeHistory[[#This Row],[Amount of IDEA Part B, Section 619 award]]</f>
        <v>896826.45</v>
      </c>
      <c r="U8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1" t="str">
        <f>IF(OR(IFERROR(SEARCH("Met",tblMoeHistory[[#This Row],[State and Local Per Capita Result]]),0)&gt;0,IFERROR(SEARCH("Met",tblMoeHistory[[#This Row],[State and Local Total Result]]),0)&gt;0),"Met","Not Met")</f>
        <v>Met</v>
      </c>
    </row>
    <row r="852" spans="1:22" x14ac:dyDescent="0.35">
      <c r="A852" t="s">
        <v>84</v>
      </c>
      <c r="B852">
        <v>2248</v>
      </c>
      <c r="C852" t="s">
        <v>19</v>
      </c>
      <c r="D852">
        <v>24</v>
      </c>
      <c r="E852">
        <v>107707.78</v>
      </c>
      <c r="F852">
        <v>97223</v>
      </c>
      <c r="G852">
        <f>tblMoeHistory[[#This Row],[LEA State and Local Amount]]+tblMoeHistory[[#This Row],[ESD State and Local Amount]]</f>
        <v>204930.78</v>
      </c>
      <c r="H852">
        <v>0</v>
      </c>
      <c r="I852" t="s">
        <v>239</v>
      </c>
      <c r="J852">
        <f>IFERROR(tblMoeHistory[[#This Row],[LEA State and Local Amount]]/tblMoeHistory[[#This Row],[Child Count]],0)</f>
        <v>4487.8241666666663</v>
      </c>
      <c r="K852">
        <f>IFERROR(tblMoeHistory[[#This Row],[ESD State and Local Amount]]/tblMoeHistory[[#This Row],[Child Count]],0)</f>
        <v>4050.9583333333335</v>
      </c>
      <c r="L852">
        <f>IFERROR(tblMoeHistory[[#This Row],[State and Local Total Amount]]/tblMoeHistory[[#This Row],[Child Count]],0)</f>
        <v>8538.7824999999993</v>
      </c>
      <c r="M852">
        <v>0</v>
      </c>
      <c r="N852" t="s">
        <v>239</v>
      </c>
      <c r="O852">
        <v>24378.32</v>
      </c>
      <c r="P852">
        <v>0</v>
      </c>
      <c r="Q852">
        <f>tblMoeHistory[[#This Row],[Amount of IDEA Part B, Section 611 award]]+tblMoeHistory[[#This Row],[Amount of IDEA Part B, Section 619 award]]</f>
        <v>24378.32</v>
      </c>
      <c r="U8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2" t="str">
        <f>IF(OR(IFERROR(SEARCH("Met",tblMoeHistory[[#This Row],[State and Local Per Capita Result]]),0)&gt;0,IFERROR(SEARCH("Met",tblMoeHistory[[#This Row],[State and Local Total Result]]),0)&gt;0),"Met","Not Met")</f>
        <v>Met</v>
      </c>
    </row>
    <row r="853" spans="1:22" x14ac:dyDescent="0.35">
      <c r="A853" t="s">
        <v>85</v>
      </c>
      <c r="B853">
        <v>2020</v>
      </c>
      <c r="C853" t="s">
        <v>19</v>
      </c>
      <c r="D853">
        <v>6</v>
      </c>
      <c r="E853">
        <v>16645.89</v>
      </c>
      <c r="F853">
        <v>10974</v>
      </c>
      <c r="G853">
        <f>tblMoeHistory[[#This Row],[LEA State and Local Amount]]+tblMoeHistory[[#This Row],[ESD State and Local Amount]]</f>
        <v>27619.89</v>
      </c>
      <c r="H853">
        <v>0</v>
      </c>
      <c r="I853" t="s">
        <v>241</v>
      </c>
      <c r="J853">
        <f>IFERROR(tblMoeHistory[[#This Row],[LEA State and Local Amount]]/tblMoeHistory[[#This Row],[Child Count]],0)</f>
        <v>2774.3150000000001</v>
      </c>
      <c r="K853">
        <f>IFERROR(tblMoeHistory[[#This Row],[ESD State and Local Amount]]/tblMoeHistory[[#This Row],[Child Count]],0)</f>
        <v>1829</v>
      </c>
      <c r="L853">
        <f>IFERROR(tblMoeHistory[[#This Row],[State and Local Total Amount]]/tblMoeHistory[[#This Row],[Child Count]],0)</f>
        <v>4603.3149999999996</v>
      </c>
      <c r="M853">
        <v>0</v>
      </c>
      <c r="N853" t="s">
        <v>240</v>
      </c>
      <c r="O853">
        <v>0</v>
      </c>
      <c r="P853">
        <v>0</v>
      </c>
      <c r="Q853">
        <f>tblMoeHistory[[#This Row],[Amount of IDEA Part B, Section 611 award]]+tblMoeHistory[[#This Row],[Amount of IDEA Part B, Section 619 award]]</f>
        <v>0</v>
      </c>
      <c r="U8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3" t="str">
        <f>IF(OR(IFERROR(SEARCH("Met",tblMoeHistory[[#This Row],[State and Local Per Capita Result]]),0)&gt;0,IFERROR(SEARCH("Met",tblMoeHistory[[#This Row],[State and Local Total Result]]),0)&gt;0),"Met","Not Met")</f>
        <v>Met</v>
      </c>
    </row>
    <row r="854" spans="1:22" x14ac:dyDescent="0.35">
      <c r="A854" t="s">
        <v>86</v>
      </c>
      <c r="B854">
        <v>2245</v>
      </c>
      <c r="C854" t="s">
        <v>19</v>
      </c>
      <c r="D854">
        <v>93</v>
      </c>
      <c r="E854">
        <v>875248.41</v>
      </c>
      <c r="F854">
        <v>64641</v>
      </c>
      <c r="G854">
        <f>tblMoeHistory[[#This Row],[LEA State and Local Amount]]+tblMoeHistory[[#This Row],[ESD State and Local Amount]]</f>
        <v>939889.41</v>
      </c>
      <c r="H854">
        <v>0</v>
      </c>
      <c r="I854" t="s">
        <v>241</v>
      </c>
      <c r="J854">
        <f>IFERROR(tblMoeHistory[[#This Row],[LEA State and Local Amount]]/tblMoeHistory[[#This Row],[Child Count]],0)</f>
        <v>9411.2732258064516</v>
      </c>
      <c r="K854">
        <f>IFERROR(tblMoeHistory[[#This Row],[ESD State and Local Amount]]/tblMoeHistory[[#This Row],[Child Count]],0)</f>
        <v>695.06451612903231</v>
      </c>
      <c r="L854">
        <f>IFERROR(tblMoeHistory[[#This Row],[State and Local Total Amount]]/tblMoeHistory[[#This Row],[Child Count]],0)</f>
        <v>10106.337741935484</v>
      </c>
      <c r="M854">
        <v>0</v>
      </c>
      <c r="N854" t="s">
        <v>240</v>
      </c>
      <c r="O854">
        <v>93900.08</v>
      </c>
      <c r="P854">
        <v>765.02</v>
      </c>
      <c r="Q854">
        <f>tblMoeHistory[[#This Row],[Amount of IDEA Part B, Section 611 award]]+tblMoeHistory[[#This Row],[Amount of IDEA Part B, Section 619 award]]</f>
        <v>94665.1</v>
      </c>
      <c r="U8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4" t="str">
        <f>IF(OR(IFERROR(SEARCH("Met",tblMoeHistory[[#This Row],[State and Local Per Capita Result]]),0)&gt;0,IFERROR(SEARCH("Met",tblMoeHistory[[#This Row],[State and Local Total Result]]),0)&gt;0),"Met","Not Met")</f>
        <v>Met</v>
      </c>
    </row>
    <row r="855" spans="1:22" x14ac:dyDescent="0.35">
      <c r="A855" t="s">
        <v>87</v>
      </c>
      <c r="B855">
        <v>2137</v>
      </c>
      <c r="C855" t="s">
        <v>19</v>
      </c>
      <c r="D855">
        <v>141</v>
      </c>
      <c r="E855">
        <v>1328064.1399999999</v>
      </c>
      <c r="F855">
        <v>103183.16</v>
      </c>
      <c r="G855">
        <f>tblMoeHistory[[#This Row],[LEA State and Local Amount]]+tblMoeHistory[[#This Row],[ESD State and Local Amount]]</f>
        <v>1431247.2999999998</v>
      </c>
      <c r="H855">
        <v>0</v>
      </c>
      <c r="I855" t="s">
        <v>241</v>
      </c>
      <c r="J855">
        <f>IFERROR(tblMoeHistory[[#This Row],[LEA State and Local Amount]]/tblMoeHistory[[#This Row],[Child Count]],0)</f>
        <v>9418.894609929077</v>
      </c>
      <c r="K855">
        <f>IFERROR(tblMoeHistory[[#This Row],[ESD State and Local Amount]]/tblMoeHistory[[#This Row],[Child Count]],0)</f>
        <v>731.79546099290781</v>
      </c>
      <c r="L855">
        <f>IFERROR(tblMoeHistory[[#This Row],[State and Local Total Amount]]/tblMoeHistory[[#This Row],[Child Count]],0)</f>
        <v>10150.690070921984</v>
      </c>
      <c r="M855">
        <v>0</v>
      </c>
      <c r="N855" t="s">
        <v>241</v>
      </c>
      <c r="O855">
        <v>202104.15</v>
      </c>
      <c r="P855">
        <v>803.27</v>
      </c>
      <c r="Q855">
        <f>tblMoeHistory[[#This Row],[Amount of IDEA Part B, Section 611 award]]+tblMoeHistory[[#This Row],[Amount of IDEA Part B, Section 619 award]]</f>
        <v>202907.41999999998</v>
      </c>
      <c r="U8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5" t="str">
        <f>IF(OR(IFERROR(SEARCH("Met",tblMoeHistory[[#This Row],[State and Local Per Capita Result]]),0)&gt;0,IFERROR(SEARCH("Met",tblMoeHistory[[#This Row],[State and Local Total Result]]),0)&gt;0),"Met","Not Met")</f>
        <v>Met</v>
      </c>
    </row>
    <row r="856" spans="1:22" x14ac:dyDescent="0.35">
      <c r="A856" t="s">
        <v>88</v>
      </c>
      <c r="B856">
        <v>1931</v>
      </c>
      <c r="C856" t="s">
        <v>19</v>
      </c>
      <c r="D856">
        <v>317</v>
      </c>
      <c r="E856">
        <v>2651084</v>
      </c>
      <c r="F856">
        <v>289405</v>
      </c>
      <c r="G856">
        <f>tblMoeHistory[[#This Row],[LEA State and Local Amount]]+tblMoeHistory[[#This Row],[ESD State and Local Amount]]</f>
        <v>2940489</v>
      </c>
      <c r="H856">
        <v>0</v>
      </c>
      <c r="I856" t="s">
        <v>242</v>
      </c>
      <c r="J856">
        <f>IFERROR(tblMoeHistory[[#This Row],[LEA State and Local Amount]]/tblMoeHistory[[#This Row],[Child Count]],0)</f>
        <v>8363.0410094637227</v>
      </c>
      <c r="K856">
        <f>IFERROR(tblMoeHistory[[#This Row],[ESD State and Local Amount]]/tblMoeHistory[[#This Row],[Child Count]],0)</f>
        <v>912.94952681388008</v>
      </c>
      <c r="L856">
        <f>IFERROR(tblMoeHistory[[#This Row],[State and Local Total Amount]]/tblMoeHistory[[#This Row],[Child Count]],0)</f>
        <v>9275.9905362776026</v>
      </c>
      <c r="M856">
        <v>0</v>
      </c>
      <c r="N856" t="s">
        <v>240</v>
      </c>
      <c r="O856">
        <v>357658.49</v>
      </c>
      <c r="P856">
        <v>1152.8699999999999</v>
      </c>
      <c r="Q856">
        <f>tblMoeHistory[[#This Row],[Amount of IDEA Part B, Section 611 award]]+tblMoeHistory[[#This Row],[Amount of IDEA Part B, Section 619 award]]</f>
        <v>358811.36</v>
      </c>
      <c r="S856">
        <v>37917</v>
      </c>
      <c r="U8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6" t="str">
        <f>IF(OR(IFERROR(SEARCH("Met",tblMoeHistory[[#This Row],[State and Local Per Capita Result]]),0)&gt;0,IFERROR(SEARCH("Met",tblMoeHistory[[#This Row],[State and Local Total Result]]),0)&gt;0),"Met","Not Met")</f>
        <v>Met</v>
      </c>
    </row>
    <row r="857" spans="1:22" x14ac:dyDescent="0.35">
      <c r="A857" t="s">
        <v>89</v>
      </c>
      <c r="B857">
        <v>2000</v>
      </c>
      <c r="C857" t="s">
        <v>19</v>
      </c>
      <c r="D857">
        <v>47</v>
      </c>
      <c r="E857">
        <v>450772.54</v>
      </c>
      <c r="F857">
        <v>69205.789999999994</v>
      </c>
      <c r="G857">
        <f>tblMoeHistory[[#This Row],[LEA State and Local Amount]]+tblMoeHistory[[#This Row],[ESD State and Local Amount]]</f>
        <v>519978.32999999996</v>
      </c>
      <c r="H857">
        <v>0</v>
      </c>
      <c r="I857" t="s">
        <v>241</v>
      </c>
      <c r="J857">
        <f>IFERROR(tblMoeHistory[[#This Row],[LEA State and Local Amount]]/tblMoeHistory[[#This Row],[Child Count]],0)</f>
        <v>9590.9051063829775</v>
      </c>
      <c r="K857">
        <f>IFERROR(tblMoeHistory[[#This Row],[ESD State and Local Amount]]/tblMoeHistory[[#This Row],[Child Count]],0)</f>
        <v>1472.4636170212764</v>
      </c>
      <c r="L857">
        <f>IFERROR(tblMoeHistory[[#This Row],[State and Local Total Amount]]/tblMoeHistory[[#This Row],[Child Count]],0)</f>
        <v>11063.368723404254</v>
      </c>
      <c r="M857">
        <v>0</v>
      </c>
      <c r="N857" t="s">
        <v>240</v>
      </c>
      <c r="O857">
        <v>60978.36</v>
      </c>
      <c r="P857">
        <v>262.29000000000002</v>
      </c>
      <c r="Q857">
        <f>tblMoeHistory[[#This Row],[Amount of IDEA Part B, Section 611 award]]+tblMoeHistory[[#This Row],[Amount of IDEA Part B, Section 619 award]]</f>
        <v>61240.65</v>
      </c>
      <c r="S857">
        <v>114798.65</v>
      </c>
      <c r="U8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7" t="str">
        <f>IF(OR(IFERROR(SEARCH("Met",tblMoeHistory[[#This Row],[State and Local Per Capita Result]]),0)&gt;0,IFERROR(SEARCH("Met",tblMoeHistory[[#This Row],[State and Local Total Result]]),0)&gt;0),"Met","Not Met")</f>
        <v>Met</v>
      </c>
    </row>
    <row r="858" spans="1:22" x14ac:dyDescent="0.35">
      <c r="A858" t="s">
        <v>90</v>
      </c>
      <c r="B858">
        <v>1992</v>
      </c>
      <c r="C858" t="s">
        <v>19</v>
      </c>
      <c r="D858">
        <v>91</v>
      </c>
      <c r="E858">
        <v>518219.98</v>
      </c>
      <c r="F858">
        <v>126964.84</v>
      </c>
      <c r="G858">
        <f>tblMoeHistory[[#This Row],[LEA State and Local Amount]]+tblMoeHistory[[#This Row],[ESD State and Local Amount]]</f>
        <v>645184.81999999995</v>
      </c>
      <c r="H858">
        <v>0</v>
      </c>
      <c r="I858" t="s">
        <v>241</v>
      </c>
      <c r="J858">
        <f>IFERROR(tblMoeHistory[[#This Row],[LEA State and Local Amount]]/tblMoeHistory[[#This Row],[Child Count]],0)</f>
        <v>5694.7250549450546</v>
      </c>
      <c r="K858">
        <f>IFERROR(tblMoeHistory[[#This Row],[ESD State and Local Amount]]/tblMoeHistory[[#This Row],[Child Count]],0)</f>
        <v>1395.2180219780219</v>
      </c>
      <c r="L858">
        <f>IFERROR(tblMoeHistory[[#This Row],[State and Local Total Amount]]/tblMoeHistory[[#This Row],[Child Count]],0)</f>
        <v>7089.9430769230767</v>
      </c>
      <c r="M858">
        <v>0</v>
      </c>
      <c r="N858" t="s">
        <v>240</v>
      </c>
      <c r="O858">
        <v>124537.44</v>
      </c>
      <c r="P858">
        <v>524.59</v>
      </c>
      <c r="Q858">
        <f>tblMoeHistory[[#This Row],[Amount of IDEA Part B, Section 611 award]]+tblMoeHistory[[#This Row],[Amount of IDEA Part B, Section 619 award]]</f>
        <v>125062.03</v>
      </c>
      <c r="U8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8" t="str">
        <f>IF(OR(IFERROR(SEARCH("Met",tblMoeHistory[[#This Row],[State and Local Per Capita Result]]),0)&gt;0,IFERROR(SEARCH("Met",tblMoeHistory[[#This Row],[State and Local Total Result]]),0)&gt;0),"Met","Not Met")</f>
        <v>Met</v>
      </c>
    </row>
    <row r="859" spans="1:22" x14ac:dyDescent="0.35">
      <c r="A859" t="s">
        <v>91</v>
      </c>
      <c r="B859">
        <v>2054</v>
      </c>
      <c r="C859" t="s">
        <v>19</v>
      </c>
      <c r="D859">
        <v>673</v>
      </c>
      <c r="E859">
        <v>5105296.71</v>
      </c>
      <c r="F859">
        <v>0</v>
      </c>
      <c r="G859">
        <f>tblMoeHistory[[#This Row],[LEA State and Local Amount]]+tblMoeHistory[[#This Row],[ESD State and Local Amount]]</f>
        <v>5105296.71</v>
      </c>
      <c r="H859">
        <v>0</v>
      </c>
      <c r="I859" t="s">
        <v>241</v>
      </c>
      <c r="J859">
        <f>IFERROR(tblMoeHistory[[#This Row],[LEA State and Local Amount]]/tblMoeHistory[[#This Row],[Child Count]],0)</f>
        <v>7585.8792124814263</v>
      </c>
      <c r="K859">
        <f>IFERROR(tblMoeHistory[[#This Row],[ESD State and Local Amount]]/tblMoeHistory[[#This Row],[Child Count]],0)</f>
        <v>0</v>
      </c>
      <c r="L859">
        <f>IFERROR(tblMoeHistory[[#This Row],[State and Local Total Amount]]/tblMoeHistory[[#This Row],[Child Count]],0)</f>
        <v>7585.8792124814263</v>
      </c>
      <c r="M859">
        <v>0</v>
      </c>
      <c r="N859" t="s">
        <v>241</v>
      </c>
      <c r="O859">
        <v>829196.36</v>
      </c>
      <c r="P859">
        <v>8319.6200000000008</v>
      </c>
      <c r="Q859">
        <f>tblMoeHistory[[#This Row],[Amount of IDEA Part B, Section 611 award]]+tblMoeHistory[[#This Row],[Amount of IDEA Part B, Section 619 award]]</f>
        <v>837515.98</v>
      </c>
      <c r="U8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9" t="str">
        <f>IF(OR(IFERROR(SEARCH("Met",tblMoeHistory[[#This Row],[State and Local Per Capita Result]]),0)&gt;0,IFERROR(SEARCH("Met",tblMoeHistory[[#This Row],[State and Local Total Result]]),0)&gt;0),"Met","Not Met")</f>
        <v>Met</v>
      </c>
    </row>
    <row r="860" spans="1:22" x14ac:dyDescent="0.35">
      <c r="A860" t="s">
        <v>92</v>
      </c>
      <c r="B860">
        <v>2100</v>
      </c>
      <c r="C860" t="s">
        <v>19</v>
      </c>
      <c r="D860">
        <v>1256</v>
      </c>
      <c r="E860">
        <v>10817708.83</v>
      </c>
      <c r="F860">
        <v>919063</v>
      </c>
      <c r="G860">
        <f>tblMoeHistory[[#This Row],[LEA State and Local Amount]]+tblMoeHistory[[#This Row],[ESD State and Local Amount]]</f>
        <v>11736771.83</v>
      </c>
      <c r="H860">
        <v>0</v>
      </c>
      <c r="I860" t="s">
        <v>239</v>
      </c>
      <c r="J860">
        <f>IFERROR(tblMoeHistory[[#This Row],[LEA State and Local Amount]]/tblMoeHistory[[#This Row],[Child Count]],0)</f>
        <v>8612.8255015923569</v>
      </c>
      <c r="K860">
        <f>IFERROR(tblMoeHistory[[#This Row],[ESD State and Local Amount]]/tblMoeHistory[[#This Row],[Child Count]],0)</f>
        <v>731.73805732484072</v>
      </c>
      <c r="L860">
        <f>IFERROR(tblMoeHistory[[#This Row],[State and Local Total Amount]]/tblMoeHistory[[#This Row],[Child Count]],0)</f>
        <v>9344.563558917198</v>
      </c>
      <c r="M860">
        <v>0</v>
      </c>
      <c r="N860" t="s">
        <v>239</v>
      </c>
      <c r="O860">
        <v>1403738.32</v>
      </c>
      <c r="P860">
        <v>11360.58</v>
      </c>
      <c r="Q860">
        <f>tblMoeHistory[[#This Row],[Amount of IDEA Part B, Section 611 award]]+tblMoeHistory[[#This Row],[Amount of IDEA Part B, Section 619 award]]</f>
        <v>1415098.9000000001</v>
      </c>
      <c r="U8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0" t="str">
        <f>IF(OR(IFERROR(SEARCH("Met",tblMoeHistory[[#This Row],[State and Local Per Capita Result]]),0)&gt;0,IFERROR(SEARCH("Met",tblMoeHistory[[#This Row],[State and Local Total Result]]),0)&gt;0),"Met","Not Met")</f>
        <v>Met</v>
      </c>
    </row>
    <row r="861" spans="1:22" x14ac:dyDescent="0.35">
      <c r="A861" t="s">
        <v>93</v>
      </c>
      <c r="B861">
        <v>2183</v>
      </c>
      <c r="C861" t="s">
        <v>19</v>
      </c>
      <c r="D861">
        <v>1426</v>
      </c>
      <c r="E861">
        <v>14991542.619999999</v>
      </c>
      <c r="F861">
        <v>485434.55</v>
      </c>
      <c r="G861">
        <f>tblMoeHistory[[#This Row],[LEA State and Local Amount]]+tblMoeHistory[[#This Row],[ESD State and Local Amount]]</f>
        <v>15476977.17</v>
      </c>
      <c r="H861">
        <v>0</v>
      </c>
      <c r="I861" t="s">
        <v>241</v>
      </c>
      <c r="J861">
        <f>IFERROR(tblMoeHistory[[#This Row],[LEA State and Local Amount]]/tblMoeHistory[[#This Row],[Child Count]],0)</f>
        <v>10513.003239831696</v>
      </c>
      <c r="K861">
        <f>IFERROR(tblMoeHistory[[#This Row],[ESD State and Local Amount]]/tblMoeHistory[[#This Row],[Child Count]],0)</f>
        <v>340.41693548387099</v>
      </c>
      <c r="L861">
        <f>IFERROR(tblMoeHistory[[#This Row],[State and Local Total Amount]]/tblMoeHistory[[#This Row],[Child Count]],0)</f>
        <v>10853.420175315568</v>
      </c>
      <c r="M861">
        <v>0</v>
      </c>
      <c r="N861" t="s">
        <v>241</v>
      </c>
      <c r="O861">
        <v>2074176.12</v>
      </c>
      <c r="P861">
        <v>14667.22</v>
      </c>
      <c r="Q861">
        <f>tblMoeHistory[[#This Row],[Amount of IDEA Part B, Section 611 award]]+tblMoeHistory[[#This Row],[Amount of IDEA Part B, Section 619 award]]</f>
        <v>2088843.34</v>
      </c>
      <c r="U8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1" t="str">
        <f>IF(OR(IFERROR(SEARCH("Met",tblMoeHistory[[#This Row],[State and Local Per Capita Result]]),0)&gt;0,IFERROR(SEARCH("Met",tblMoeHistory[[#This Row],[State and Local Total Result]]),0)&gt;0),"Met","Not Met")</f>
        <v>Met</v>
      </c>
    </row>
    <row r="862" spans="1:22" x14ac:dyDescent="0.35">
      <c r="A862" t="s">
        <v>94</v>
      </c>
      <c r="B862">
        <v>2014</v>
      </c>
      <c r="C862" t="s">
        <v>19</v>
      </c>
      <c r="D862">
        <v>105</v>
      </c>
      <c r="E862">
        <v>1131828.1599999999</v>
      </c>
      <c r="F862">
        <v>200885</v>
      </c>
      <c r="G862">
        <f>tblMoeHistory[[#This Row],[LEA State and Local Amount]]+tblMoeHistory[[#This Row],[ESD State and Local Amount]]</f>
        <v>1332713.1599999999</v>
      </c>
      <c r="H862">
        <v>0</v>
      </c>
      <c r="I862" t="s">
        <v>242</v>
      </c>
      <c r="J862">
        <f>IFERROR(tblMoeHistory[[#This Row],[LEA State and Local Amount]]/tblMoeHistory[[#This Row],[Child Count]],0)</f>
        <v>10779.315809523809</v>
      </c>
      <c r="K862">
        <f>IFERROR(tblMoeHistory[[#This Row],[ESD State and Local Amount]]/tblMoeHistory[[#This Row],[Child Count]],0)</f>
        <v>1913.1904761904761</v>
      </c>
      <c r="L862">
        <f>IFERROR(tblMoeHistory[[#This Row],[State and Local Total Amount]]/tblMoeHistory[[#This Row],[Child Count]],0)</f>
        <v>12692.506285714286</v>
      </c>
      <c r="M862">
        <v>0</v>
      </c>
      <c r="N862" t="s">
        <v>241</v>
      </c>
      <c r="O862">
        <v>169193.73</v>
      </c>
      <c r="P862">
        <v>2907.09</v>
      </c>
      <c r="Q862">
        <f>tblMoeHistory[[#This Row],[Amount of IDEA Part B, Section 611 award]]+tblMoeHistory[[#This Row],[Amount of IDEA Part B, Section 619 award]]</f>
        <v>172100.82</v>
      </c>
      <c r="S862">
        <v>96641.69</v>
      </c>
      <c r="T862">
        <v>96641.69</v>
      </c>
      <c r="U8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2" t="str">
        <f>IF(OR(IFERROR(SEARCH("Met",tblMoeHistory[[#This Row],[State and Local Per Capita Result]]),0)&gt;0,IFERROR(SEARCH("Met",tblMoeHistory[[#This Row],[State and Local Total Result]]),0)&gt;0),"Met","Not Met")</f>
        <v>Met</v>
      </c>
    </row>
    <row r="863" spans="1:22" x14ac:dyDescent="0.35">
      <c r="A863" t="s">
        <v>95</v>
      </c>
      <c r="B863">
        <v>2015</v>
      </c>
      <c r="C863" t="s">
        <v>19</v>
      </c>
      <c r="D863">
        <v>6</v>
      </c>
      <c r="E863">
        <v>98317.6</v>
      </c>
      <c r="F863">
        <v>5487</v>
      </c>
      <c r="G863">
        <f>tblMoeHistory[[#This Row],[LEA State and Local Amount]]+tblMoeHistory[[#This Row],[ESD State and Local Amount]]</f>
        <v>103804.6</v>
      </c>
      <c r="H863">
        <v>0</v>
      </c>
      <c r="I863" t="s">
        <v>242</v>
      </c>
      <c r="J863">
        <f>IFERROR(tblMoeHistory[[#This Row],[LEA State and Local Amount]]/tblMoeHistory[[#This Row],[Child Count]],0)</f>
        <v>16386.266666666666</v>
      </c>
      <c r="K863">
        <f>IFERROR(tblMoeHistory[[#This Row],[ESD State and Local Amount]]/tblMoeHistory[[#This Row],[Child Count]],0)</f>
        <v>914.5</v>
      </c>
      <c r="L863">
        <f>IFERROR(tblMoeHistory[[#This Row],[State and Local Total Amount]]/tblMoeHistory[[#This Row],[Child Count]],0)</f>
        <v>17300.766666666666</v>
      </c>
      <c r="M863">
        <v>0</v>
      </c>
      <c r="N863" t="s">
        <v>242</v>
      </c>
      <c r="O863">
        <v>8766.76</v>
      </c>
      <c r="P863">
        <v>0</v>
      </c>
      <c r="Q863">
        <f>tblMoeHistory[[#This Row],[Amount of IDEA Part B, Section 611 award]]+tblMoeHistory[[#This Row],[Amount of IDEA Part B, Section 619 award]]</f>
        <v>8766.76</v>
      </c>
      <c r="S863">
        <v>96847.34</v>
      </c>
      <c r="T863">
        <v>96847.34</v>
      </c>
      <c r="U8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3" t="str">
        <f>IF(OR(IFERROR(SEARCH("Met",tblMoeHistory[[#This Row],[State and Local Per Capita Result]]),0)&gt;0,IFERROR(SEARCH("Met",tblMoeHistory[[#This Row],[State and Local Total Result]]),0)&gt;0),"Met","Not Met")</f>
        <v>Met</v>
      </c>
    </row>
    <row r="864" spans="1:22" x14ac:dyDescent="0.35">
      <c r="A864" t="s">
        <v>96</v>
      </c>
      <c r="B864">
        <v>2023</v>
      </c>
      <c r="C864" t="s">
        <v>19</v>
      </c>
      <c r="D864">
        <v>0</v>
      </c>
      <c r="E864">
        <v>25821.38</v>
      </c>
      <c r="F864">
        <v>5487</v>
      </c>
      <c r="G864">
        <f>tblMoeHistory[[#This Row],[LEA State and Local Amount]]+tblMoeHistory[[#This Row],[ESD State and Local Amount]]</f>
        <v>31308.38</v>
      </c>
      <c r="H864">
        <v>0</v>
      </c>
      <c r="I864" t="s">
        <v>240</v>
      </c>
      <c r="J864">
        <f>IFERROR(tblMoeHistory[[#This Row],[LEA State and Local Amount]]/tblMoeHistory[[#This Row],[Child Count]],0)</f>
        <v>0</v>
      </c>
      <c r="K864">
        <f>IFERROR(tblMoeHistory[[#This Row],[ESD State and Local Amount]]/tblMoeHistory[[#This Row],[Child Count]],0)</f>
        <v>0</v>
      </c>
      <c r="L864">
        <f>IFERROR(tblMoeHistory[[#This Row],[State and Local Total Amount]]/tblMoeHistory[[#This Row],[Child Count]],0)</f>
        <v>0</v>
      </c>
      <c r="M864">
        <v>0</v>
      </c>
      <c r="N864" t="s">
        <v>240</v>
      </c>
      <c r="O864">
        <v>13322.97</v>
      </c>
      <c r="P864">
        <v>0</v>
      </c>
      <c r="Q864">
        <f>tblMoeHistory[[#This Row],[Amount of IDEA Part B, Section 611 award]]+tblMoeHistory[[#This Row],[Amount of IDEA Part B, Section 619 award]]</f>
        <v>13322.97</v>
      </c>
      <c r="U8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4" t="str">
        <f>IF(OR(IFERROR(SEARCH("Met",tblMoeHistory[[#This Row],[State and Local Per Capita Result]]),0)&gt;0,IFERROR(SEARCH("Met",tblMoeHistory[[#This Row],[State and Local Total Result]]),0)&gt;0),"Met","Not Met")</f>
        <v>Not Met</v>
      </c>
    </row>
    <row r="865" spans="1:22" x14ac:dyDescent="0.35">
      <c r="A865" t="s">
        <v>97</v>
      </c>
      <c r="B865">
        <v>2114</v>
      </c>
      <c r="C865" t="s">
        <v>19</v>
      </c>
      <c r="D865">
        <v>12</v>
      </c>
      <c r="E865">
        <v>41128.239999999998</v>
      </c>
      <c r="F865">
        <v>27811.98</v>
      </c>
      <c r="G865">
        <f>tblMoeHistory[[#This Row],[LEA State and Local Amount]]+tblMoeHistory[[#This Row],[ESD State and Local Amount]]</f>
        <v>68940.22</v>
      </c>
      <c r="H865">
        <v>0</v>
      </c>
      <c r="I865" t="s">
        <v>239</v>
      </c>
      <c r="J865">
        <f>IFERROR(tblMoeHistory[[#This Row],[LEA State and Local Amount]]/tblMoeHistory[[#This Row],[Child Count]],0)</f>
        <v>3427.353333333333</v>
      </c>
      <c r="K865">
        <f>IFERROR(tblMoeHistory[[#This Row],[ESD State and Local Amount]]/tblMoeHistory[[#This Row],[Child Count]],0)</f>
        <v>2317.665</v>
      </c>
      <c r="L865">
        <f>IFERROR(tblMoeHistory[[#This Row],[State and Local Total Amount]]/tblMoeHistory[[#This Row],[Child Count]],0)</f>
        <v>5745.0183333333334</v>
      </c>
      <c r="M865">
        <v>0</v>
      </c>
      <c r="N865" t="s">
        <v>239</v>
      </c>
      <c r="O865">
        <v>13375.59</v>
      </c>
      <c r="P865">
        <v>0</v>
      </c>
      <c r="Q865">
        <f>tblMoeHistory[[#This Row],[Amount of IDEA Part B, Section 611 award]]+tblMoeHistory[[#This Row],[Amount of IDEA Part B, Section 619 award]]</f>
        <v>13375.59</v>
      </c>
      <c r="U8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5" t="str">
        <f>IF(OR(IFERROR(SEARCH("Met",tblMoeHistory[[#This Row],[State and Local Per Capita Result]]),0)&gt;0,IFERROR(SEARCH("Met",tblMoeHistory[[#This Row],[State and Local Total Result]]),0)&gt;0),"Met","Not Met")</f>
        <v>Met</v>
      </c>
    </row>
    <row r="866" spans="1:22" x14ac:dyDescent="0.35">
      <c r="A866" t="s">
        <v>98</v>
      </c>
      <c r="B866">
        <v>2099</v>
      </c>
      <c r="C866" t="s">
        <v>19</v>
      </c>
      <c r="D866">
        <v>132</v>
      </c>
      <c r="E866">
        <v>1117267.3700000001</v>
      </c>
      <c r="F866">
        <v>98450</v>
      </c>
      <c r="G866">
        <f>tblMoeHistory[[#This Row],[LEA State and Local Amount]]+tblMoeHistory[[#This Row],[ESD State and Local Amount]]</f>
        <v>1215717.3700000001</v>
      </c>
      <c r="H866">
        <v>0</v>
      </c>
      <c r="I866" t="s">
        <v>239</v>
      </c>
      <c r="J866">
        <f>IFERROR(tblMoeHistory[[#This Row],[LEA State and Local Amount]]/tblMoeHistory[[#This Row],[Child Count]],0)</f>
        <v>8464.1467424242437</v>
      </c>
      <c r="K866">
        <f>IFERROR(tblMoeHistory[[#This Row],[ESD State and Local Amount]]/tblMoeHistory[[#This Row],[Child Count]],0)</f>
        <v>745.83333333333337</v>
      </c>
      <c r="L866">
        <f>IFERROR(tblMoeHistory[[#This Row],[State and Local Total Amount]]/tblMoeHistory[[#This Row],[Child Count]],0)</f>
        <v>9209.9800757575758</v>
      </c>
      <c r="M866">
        <v>0</v>
      </c>
      <c r="N866" t="s">
        <v>239</v>
      </c>
      <c r="O866">
        <v>137635.71</v>
      </c>
      <c r="P866">
        <v>590.16</v>
      </c>
      <c r="Q866">
        <f>tblMoeHistory[[#This Row],[Amount of IDEA Part B, Section 611 award]]+tblMoeHistory[[#This Row],[Amount of IDEA Part B, Section 619 award]]</f>
        <v>138225.87</v>
      </c>
      <c r="U8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6" t="str">
        <f>IF(OR(IFERROR(SEARCH("Met",tblMoeHistory[[#This Row],[State and Local Per Capita Result]]),0)&gt;0,IFERROR(SEARCH("Met",tblMoeHistory[[#This Row],[State and Local Total Result]]),0)&gt;0),"Met","Not Met")</f>
        <v>Met</v>
      </c>
    </row>
    <row r="867" spans="1:22" x14ac:dyDescent="0.35">
      <c r="A867" t="s">
        <v>99</v>
      </c>
      <c r="B867">
        <v>2201</v>
      </c>
      <c r="C867" t="s">
        <v>19</v>
      </c>
      <c r="D867">
        <v>27</v>
      </c>
      <c r="E867">
        <v>78529.929999999993</v>
      </c>
      <c r="F867">
        <v>38668.519999999997</v>
      </c>
      <c r="G867">
        <f>tblMoeHistory[[#This Row],[LEA State and Local Amount]]+tblMoeHistory[[#This Row],[ESD State and Local Amount]]</f>
        <v>117198.44999999998</v>
      </c>
      <c r="H867">
        <v>0</v>
      </c>
      <c r="I867" t="s">
        <v>239</v>
      </c>
      <c r="J867">
        <f>IFERROR(tblMoeHistory[[#This Row],[LEA State and Local Amount]]/tblMoeHistory[[#This Row],[Child Count]],0)</f>
        <v>2908.5159259259258</v>
      </c>
      <c r="K867">
        <f>IFERROR(tblMoeHistory[[#This Row],[ESD State and Local Amount]]/tblMoeHistory[[#This Row],[Child Count]],0)</f>
        <v>1432.1674074074074</v>
      </c>
      <c r="L867">
        <f>IFERROR(tblMoeHistory[[#This Row],[State and Local Total Amount]]/tblMoeHistory[[#This Row],[Child Count]],0)</f>
        <v>4340.6833333333325</v>
      </c>
      <c r="M867">
        <v>0</v>
      </c>
      <c r="N867" t="s">
        <v>239</v>
      </c>
      <c r="O867">
        <v>24121.279999999999</v>
      </c>
      <c r="P867">
        <v>918.03</v>
      </c>
      <c r="Q867">
        <f>tblMoeHistory[[#This Row],[Amount of IDEA Part B, Section 611 award]]+tblMoeHistory[[#This Row],[Amount of IDEA Part B, Section 619 award]]</f>
        <v>25039.309999999998</v>
      </c>
      <c r="U8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7" t="str">
        <f>IF(OR(IFERROR(SEARCH("Met",tblMoeHistory[[#This Row],[State and Local Per Capita Result]]),0)&gt;0,IFERROR(SEARCH("Met",tblMoeHistory[[#This Row],[State and Local Total Result]]),0)&gt;0),"Met","Not Met")</f>
        <v>Met</v>
      </c>
    </row>
    <row r="868" spans="1:22" x14ac:dyDescent="0.35">
      <c r="A868" t="s">
        <v>100</v>
      </c>
      <c r="B868">
        <v>2206</v>
      </c>
      <c r="C868" t="s">
        <v>19</v>
      </c>
      <c r="D868">
        <v>630</v>
      </c>
      <c r="E868">
        <v>3562285.25</v>
      </c>
      <c r="F868">
        <v>1000727.05</v>
      </c>
      <c r="G868">
        <f>tblMoeHistory[[#This Row],[LEA State and Local Amount]]+tblMoeHistory[[#This Row],[ESD State and Local Amount]]</f>
        <v>4563012.3</v>
      </c>
      <c r="H868">
        <v>0</v>
      </c>
      <c r="I868" t="s">
        <v>241</v>
      </c>
      <c r="J868">
        <f>IFERROR(tblMoeHistory[[#This Row],[LEA State and Local Amount]]/tblMoeHistory[[#This Row],[Child Count]],0)</f>
        <v>5654.421031746032</v>
      </c>
      <c r="K868">
        <f>IFERROR(tblMoeHistory[[#This Row],[ESD State and Local Amount]]/tblMoeHistory[[#This Row],[Child Count]],0)</f>
        <v>1588.455634920635</v>
      </c>
      <c r="L868">
        <f>IFERROR(tblMoeHistory[[#This Row],[State and Local Total Amount]]/tblMoeHistory[[#This Row],[Child Count]],0)</f>
        <v>7242.8766666666661</v>
      </c>
      <c r="M868">
        <v>0</v>
      </c>
      <c r="N868" t="s">
        <v>240</v>
      </c>
      <c r="O868">
        <v>758765.06</v>
      </c>
      <c r="P868">
        <v>7076.03</v>
      </c>
      <c r="Q868">
        <f>tblMoeHistory[[#This Row],[Amount of IDEA Part B, Section 611 award]]+tblMoeHistory[[#This Row],[Amount of IDEA Part B, Section 619 award]]</f>
        <v>765841.09000000008</v>
      </c>
      <c r="U8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8" t="str">
        <f>IF(OR(IFERROR(SEARCH("Met",tblMoeHistory[[#This Row],[State and Local Per Capita Result]]),0)&gt;0,IFERROR(SEARCH("Met",tblMoeHistory[[#This Row],[State and Local Total Result]]),0)&gt;0),"Met","Not Met")</f>
        <v>Met</v>
      </c>
    </row>
    <row r="869" spans="1:22" x14ac:dyDescent="0.35">
      <c r="A869" t="s">
        <v>101</v>
      </c>
      <c r="B869">
        <v>2239</v>
      </c>
      <c r="C869" t="s">
        <v>19</v>
      </c>
      <c r="D869">
        <v>2786</v>
      </c>
      <c r="E869">
        <v>25757538.309999999</v>
      </c>
      <c r="F869">
        <v>4063904</v>
      </c>
      <c r="G869">
        <f>tblMoeHistory[[#This Row],[LEA State and Local Amount]]+tblMoeHistory[[#This Row],[ESD State and Local Amount]]</f>
        <v>29821442.309999999</v>
      </c>
      <c r="H869">
        <v>0</v>
      </c>
      <c r="I869" t="s">
        <v>241</v>
      </c>
      <c r="J869">
        <f>IFERROR(tblMoeHistory[[#This Row],[LEA State and Local Amount]]/tblMoeHistory[[#This Row],[Child Count]],0)</f>
        <v>9245.3475628140695</v>
      </c>
      <c r="K869">
        <f>IFERROR(tblMoeHistory[[#This Row],[ESD State and Local Amount]]/tblMoeHistory[[#This Row],[Child Count]],0)</f>
        <v>1458.6877243359656</v>
      </c>
      <c r="L869">
        <f>IFERROR(tblMoeHistory[[#This Row],[State and Local Total Amount]]/tblMoeHistory[[#This Row],[Child Count]],0)</f>
        <v>10704.035287150036</v>
      </c>
      <c r="M869">
        <v>0</v>
      </c>
      <c r="N869" t="s">
        <v>240</v>
      </c>
      <c r="O869">
        <v>2905778.22</v>
      </c>
      <c r="P869">
        <v>13765.97</v>
      </c>
      <c r="Q869">
        <f>tblMoeHistory[[#This Row],[Amount of IDEA Part B, Section 611 award]]+tblMoeHistory[[#This Row],[Amount of IDEA Part B, Section 619 award]]</f>
        <v>2919544.1900000004</v>
      </c>
      <c r="U8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9" t="str">
        <f>IF(OR(IFERROR(SEARCH("Met",tblMoeHistory[[#This Row],[State and Local Per Capita Result]]),0)&gt;0,IFERROR(SEARCH("Met",tblMoeHistory[[#This Row],[State and Local Total Result]]),0)&gt;0),"Met","Not Met")</f>
        <v>Met</v>
      </c>
    </row>
    <row r="870" spans="1:22" x14ac:dyDescent="0.35">
      <c r="A870" t="s">
        <v>102</v>
      </c>
      <c r="B870">
        <v>2024</v>
      </c>
      <c r="C870" t="s">
        <v>19</v>
      </c>
      <c r="D870">
        <v>541</v>
      </c>
      <c r="E870">
        <v>3926728.27</v>
      </c>
      <c r="F870">
        <v>0</v>
      </c>
      <c r="G870">
        <f>tblMoeHistory[[#This Row],[LEA State and Local Amount]]+tblMoeHistory[[#This Row],[ESD State and Local Amount]]</f>
        <v>3926728.27</v>
      </c>
      <c r="H870">
        <v>0</v>
      </c>
      <c r="I870" t="s">
        <v>241</v>
      </c>
      <c r="J870">
        <f>IFERROR(tblMoeHistory[[#This Row],[LEA State and Local Amount]]/tblMoeHistory[[#This Row],[Child Count]],0)</f>
        <v>7258.277763401109</v>
      </c>
      <c r="K870">
        <f>IFERROR(tblMoeHistory[[#This Row],[ESD State and Local Amount]]/tblMoeHistory[[#This Row],[Child Count]],0)</f>
        <v>0</v>
      </c>
      <c r="L870">
        <f>IFERROR(tblMoeHistory[[#This Row],[State and Local Total Amount]]/tblMoeHistory[[#This Row],[Child Count]],0)</f>
        <v>7258.277763401109</v>
      </c>
      <c r="M870">
        <v>0</v>
      </c>
      <c r="N870" t="s">
        <v>241</v>
      </c>
      <c r="O870">
        <v>679494.18</v>
      </c>
      <c r="P870">
        <v>4963.3999999999996</v>
      </c>
      <c r="Q870">
        <f>tblMoeHistory[[#This Row],[Amount of IDEA Part B, Section 611 award]]+tblMoeHistory[[#This Row],[Amount of IDEA Part B, Section 619 award]]</f>
        <v>684457.58000000007</v>
      </c>
      <c r="U8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0" t="str">
        <f>IF(OR(IFERROR(SEARCH("Met",tblMoeHistory[[#This Row],[State and Local Per Capita Result]]),0)&gt;0,IFERROR(SEARCH("Met",tblMoeHistory[[#This Row],[State and Local Total Result]]),0)&gt;0),"Met","Not Met")</f>
        <v>Met</v>
      </c>
    </row>
    <row r="871" spans="1:22" x14ac:dyDescent="0.35">
      <c r="A871" t="s">
        <v>103</v>
      </c>
      <c r="B871">
        <v>1895</v>
      </c>
      <c r="C871" t="s">
        <v>19</v>
      </c>
      <c r="D871">
        <v>8</v>
      </c>
      <c r="E871">
        <v>85089.62</v>
      </c>
      <c r="F871">
        <v>29823.439999999999</v>
      </c>
      <c r="G871">
        <f>tblMoeHistory[[#This Row],[LEA State and Local Amount]]+tblMoeHistory[[#This Row],[ESD State and Local Amount]]</f>
        <v>114913.06</v>
      </c>
      <c r="H871">
        <v>0</v>
      </c>
      <c r="I871" t="s">
        <v>239</v>
      </c>
      <c r="J871">
        <f>IFERROR(tblMoeHistory[[#This Row],[LEA State and Local Amount]]/tblMoeHistory[[#This Row],[Child Count]],0)</f>
        <v>10636.202499999999</v>
      </c>
      <c r="K871">
        <f>IFERROR(tblMoeHistory[[#This Row],[ESD State and Local Amount]]/tblMoeHistory[[#This Row],[Child Count]],0)</f>
        <v>3727.93</v>
      </c>
      <c r="L871">
        <f>IFERROR(tblMoeHistory[[#This Row],[State and Local Total Amount]]/tblMoeHistory[[#This Row],[Child Count]],0)</f>
        <v>14364.1325</v>
      </c>
      <c r="M871">
        <v>0</v>
      </c>
      <c r="N871" t="s">
        <v>239</v>
      </c>
      <c r="O871">
        <v>15335.22</v>
      </c>
      <c r="P871">
        <v>918.03</v>
      </c>
      <c r="Q871">
        <f>tblMoeHistory[[#This Row],[Amount of IDEA Part B, Section 611 award]]+tblMoeHistory[[#This Row],[Amount of IDEA Part B, Section 619 award]]</f>
        <v>16253.25</v>
      </c>
      <c r="U8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1" t="str">
        <f>IF(OR(IFERROR(SEARCH("Met",tblMoeHistory[[#This Row],[State and Local Per Capita Result]]),0)&gt;0,IFERROR(SEARCH("Met",tblMoeHistory[[#This Row],[State and Local Total Result]]),0)&gt;0),"Met","Not Met")</f>
        <v>Met</v>
      </c>
    </row>
    <row r="872" spans="1:22" x14ac:dyDescent="0.35">
      <c r="A872" t="s">
        <v>104</v>
      </c>
      <c r="B872">
        <v>2215</v>
      </c>
      <c r="C872" t="s">
        <v>19</v>
      </c>
      <c r="D872">
        <v>36</v>
      </c>
      <c r="E872">
        <v>143200.29999999999</v>
      </c>
      <c r="F872">
        <v>62891</v>
      </c>
      <c r="G872">
        <f>tblMoeHistory[[#This Row],[LEA State and Local Amount]]+tblMoeHistory[[#This Row],[ESD State and Local Amount]]</f>
        <v>206091.3</v>
      </c>
      <c r="H872">
        <v>0</v>
      </c>
      <c r="I872" t="s">
        <v>242</v>
      </c>
      <c r="J872">
        <f>IFERROR(tblMoeHistory[[#This Row],[LEA State and Local Amount]]/tblMoeHistory[[#This Row],[Child Count]],0)</f>
        <v>3977.7861111111106</v>
      </c>
      <c r="K872">
        <f>IFERROR(tblMoeHistory[[#This Row],[ESD State and Local Amount]]/tblMoeHistory[[#This Row],[Child Count]],0)</f>
        <v>1746.9722222222222</v>
      </c>
      <c r="L872">
        <f>IFERROR(tblMoeHistory[[#This Row],[State and Local Total Amount]]/tblMoeHistory[[#This Row],[Child Count]],0)</f>
        <v>5724.7583333333332</v>
      </c>
      <c r="M872">
        <v>0</v>
      </c>
      <c r="N872" t="s">
        <v>240</v>
      </c>
      <c r="O872">
        <v>64469.69</v>
      </c>
      <c r="P872">
        <v>0</v>
      </c>
      <c r="Q872">
        <f>tblMoeHistory[[#This Row],[Amount of IDEA Part B, Section 611 award]]+tblMoeHistory[[#This Row],[Amount of IDEA Part B, Section 619 award]]</f>
        <v>64469.69</v>
      </c>
      <c r="S872">
        <v>55892.4</v>
      </c>
      <c r="U8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2" t="str">
        <f>IF(OR(IFERROR(SEARCH("Met",tblMoeHistory[[#This Row],[State and Local Per Capita Result]]),0)&gt;0,IFERROR(SEARCH("Met",tblMoeHistory[[#This Row],[State and Local Total Result]]),0)&gt;0),"Met","Not Met")</f>
        <v>Met</v>
      </c>
    </row>
    <row r="873" spans="1:22" x14ac:dyDescent="0.35">
      <c r="A873" t="s">
        <v>105</v>
      </c>
      <c r="B873">
        <v>3997</v>
      </c>
      <c r="C873" t="s">
        <v>19</v>
      </c>
      <c r="D873">
        <v>29</v>
      </c>
      <c r="E873">
        <v>100808.65</v>
      </c>
      <c r="F873">
        <v>41532.86</v>
      </c>
      <c r="G873">
        <f>tblMoeHistory[[#This Row],[LEA State and Local Amount]]+tblMoeHistory[[#This Row],[ESD State and Local Amount]]</f>
        <v>142341.51</v>
      </c>
      <c r="H873">
        <v>0</v>
      </c>
      <c r="I873" t="s">
        <v>239</v>
      </c>
      <c r="J873">
        <f>IFERROR(tblMoeHistory[[#This Row],[LEA State and Local Amount]]/tblMoeHistory[[#This Row],[Child Count]],0)</f>
        <v>3476.160344827586</v>
      </c>
      <c r="K873">
        <f>IFERROR(tblMoeHistory[[#This Row],[ESD State and Local Amount]]/tblMoeHistory[[#This Row],[Child Count]],0)</f>
        <v>1432.1675862068967</v>
      </c>
      <c r="L873">
        <f>IFERROR(tblMoeHistory[[#This Row],[State and Local Total Amount]]/tblMoeHistory[[#This Row],[Child Count]],0)</f>
        <v>4908.3279310344833</v>
      </c>
      <c r="M873">
        <v>0</v>
      </c>
      <c r="N873" t="s">
        <v>239</v>
      </c>
      <c r="O873">
        <v>44422.53</v>
      </c>
      <c r="P873">
        <v>0</v>
      </c>
      <c r="Q873">
        <f>tblMoeHistory[[#This Row],[Amount of IDEA Part B, Section 611 award]]+tblMoeHistory[[#This Row],[Amount of IDEA Part B, Section 619 award]]</f>
        <v>44422.53</v>
      </c>
      <c r="U8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3" t="str">
        <f>IF(OR(IFERROR(SEARCH("Met",tblMoeHistory[[#This Row],[State and Local Per Capita Result]]),0)&gt;0,IFERROR(SEARCH("Met",tblMoeHistory[[#This Row],[State and Local Total Result]]),0)&gt;0),"Met","Not Met")</f>
        <v>Met</v>
      </c>
    </row>
    <row r="874" spans="1:22" x14ac:dyDescent="0.35">
      <c r="A874" t="s">
        <v>106</v>
      </c>
      <c r="B874">
        <v>2053</v>
      </c>
      <c r="C874" t="s">
        <v>19</v>
      </c>
      <c r="D874">
        <v>403</v>
      </c>
      <c r="E874">
        <v>3496229.98</v>
      </c>
      <c r="F874">
        <v>957733.95</v>
      </c>
      <c r="G874">
        <f>tblMoeHistory[[#This Row],[LEA State and Local Amount]]+tblMoeHistory[[#This Row],[ESD State and Local Amount]]</f>
        <v>4453963.93</v>
      </c>
      <c r="H874">
        <v>0</v>
      </c>
      <c r="I874" t="s">
        <v>241</v>
      </c>
      <c r="J874">
        <f>IFERROR(tblMoeHistory[[#This Row],[LEA State and Local Amount]]/tblMoeHistory[[#This Row],[Child Count]],0)</f>
        <v>8675.5086352357321</v>
      </c>
      <c r="K874">
        <f>IFERROR(tblMoeHistory[[#This Row],[ESD State and Local Amount]]/tblMoeHistory[[#This Row],[Child Count]],0)</f>
        <v>2376.5110421836225</v>
      </c>
      <c r="L874">
        <f>IFERROR(tblMoeHistory[[#This Row],[State and Local Total Amount]]/tblMoeHistory[[#This Row],[Child Count]],0)</f>
        <v>11052.019677419354</v>
      </c>
      <c r="M874">
        <v>0</v>
      </c>
      <c r="N874" t="s">
        <v>241</v>
      </c>
      <c r="O874">
        <v>489557.02</v>
      </c>
      <c r="P874">
        <v>10156.33</v>
      </c>
      <c r="Q874">
        <f>tblMoeHistory[[#This Row],[Amount of IDEA Part B, Section 611 award]]+tblMoeHistory[[#This Row],[Amount of IDEA Part B, Section 619 award]]</f>
        <v>499713.35000000003</v>
      </c>
      <c r="U8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4" t="str">
        <f>IF(OR(IFERROR(SEARCH("Met",tblMoeHistory[[#This Row],[State and Local Per Capita Result]]),0)&gt;0,IFERROR(SEARCH("Met",tblMoeHistory[[#This Row],[State and Local Total Result]]),0)&gt;0),"Met","Not Met")</f>
        <v>Met</v>
      </c>
    </row>
    <row r="875" spans="1:22" x14ac:dyDescent="0.35">
      <c r="A875" t="s">
        <v>107</v>
      </c>
      <c r="B875">
        <v>2140</v>
      </c>
      <c r="C875" t="s">
        <v>19</v>
      </c>
      <c r="D875">
        <v>138</v>
      </c>
      <c r="E875">
        <v>1128409.3999999999</v>
      </c>
      <c r="F875">
        <v>78449.429999999993</v>
      </c>
      <c r="G875">
        <f>tblMoeHistory[[#This Row],[LEA State and Local Amount]]+tblMoeHistory[[#This Row],[ESD State and Local Amount]]</f>
        <v>1206858.8299999998</v>
      </c>
      <c r="H875">
        <v>0</v>
      </c>
      <c r="I875" t="s">
        <v>241</v>
      </c>
      <c r="J875">
        <f>IFERROR(tblMoeHistory[[#This Row],[LEA State and Local Amount]]/tblMoeHistory[[#This Row],[Child Count]],0)</f>
        <v>8176.8797101449272</v>
      </c>
      <c r="K875">
        <f>IFERROR(tblMoeHistory[[#This Row],[ESD State and Local Amount]]/tblMoeHistory[[#This Row],[Child Count]],0)</f>
        <v>568.47413043478252</v>
      </c>
      <c r="L875">
        <f>IFERROR(tblMoeHistory[[#This Row],[State and Local Total Amount]]/tblMoeHistory[[#This Row],[Child Count]],0)</f>
        <v>8745.3538405797099</v>
      </c>
      <c r="M875">
        <v>0</v>
      </c>
      <c r="N875" t="s">
        <v>241</v>
      </c>
      <c r="O875">
        <v>140347.60999999999</v>
      </c>
      <c r="P875">
        <v>637.52</v>
      </c>
      <c r="Q875">
        <f>tblMoeHistory[[#This Row],[Amount of IDEA Part B, Section 611 award]]+tblMoeHistory[[#This Row],[Amount of IDEA Part B, Section 619 award]]</f>
        <v>140985.12999999998</v>
      </c>
      <c r="U8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5" t="str">
        <f>IF(OR(IFERROR(SEARCH("Met",tblMoeHistory[[#This Row],[State and Local Per Capita Result]]),0)&gt;0,IFERROR(SEARCH("Met",tblMoeHistory[[#This Row],[State and Local Total Result]]),0)&gt;0),"Met","Not Met")</f>
        <v>Met</v>
      </c>
    </row>
    <row r="876" spans="1:22" x14ac:dyDescent="0.35">
      <c r="A876" t="s">
        <v>108</v>
      </c>
      <c r="B876">
        <v>1934</v>
      </c>
      <c r="C876" t="s">
        <v>19</v>
      </c>
      <c r="D876">
        <v>18</v>
      </c>
      <c r="E876">
        <v>212237.69</v>
      </c>
      <c r="F876">
        <v>66087</v>
      </c>
      <c r="G876">
        <f>tblMoeHistory[[#This Row],[LEA State and Local Amount]]+tblMoeHistory[[#This Row],[ESD State and Local Amount]]</f>
        <v>278324.69</v>
      </c>
      <c r="H876">
        <v>0</v>
      </c>
      <c r="I876" t="s">
        <v>242</v>
      </c>
      <c r="J876">
        <f>IFERROR(tblMoeHistory[[#This Row],[LEA State and Local Amount]]/tblMoeHistory[[#This Row],[Child Count]],0)</f>
        <v>11790.982777777777</v>
      </c>
      <c r="K876">
        <f>IFERROR(tblMoeHistory[[#This Row],[ESD State and Local Amount]]/tblMoeHistory[[#This Row],[Child Count]],0)</f>
        <v>3671.5</v>
      </c>
      <c r="L876">
        <f>IFERROR(tblMoeHistory[[#This Row],[State and Local Total Amount]]/tblMoeHistory[[#This Row],[Child Count]],0)</f>
        <v>15462.482777777777</v>
      </c>
      <c r="M876">
        <v>0</v>
      </c>
      <c r="N876" t="s">
        <v>241</v>
      </c>
      <c r="O876">
        <v>20335.59</v>
      </c>
      <c r="P876">
        <v>918.03</v>
      </c>
      <c r="Q876">
        <f>tblMoeHistory[[#This Row],[Amount of IDEA Part B, Section 611 award]]+tblMoeHistory[[#This Row],[Amount of IDEA Part B, Section 619 award]]</f>
        <v>21253.62</v>
      </c>
      <c r="S876">
        <v>40108.230000000003</v>
      </c>
      <c r="T876">
        <v>40108.230000000003</v>
      </c>
      <c r="U8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6" t="str">
        <f>IF(OR(IFERROR(SEARCH("Met",tblMoeHistory[[#This Row],[State and Local Per Capita Result]]),0)&gt;0,IFERROR(SEARCH("Met",tblMoeHistory[[#This Row],[State and Local Total Result]]),0)&gt;0),"Met","Not Met")</f>
        <v>Met</v>
      </c>
    </row>
    <row r="877" spans="1:22" x14ac:dyDescent="0.35">
      <c r="A877" t="s">
        <v>109</v>
      </c>
      <c r="B877">
        <v>2008</v>
      </c>
      <c r="C877" t="s">
        <v>19</v>
      </c>
      <c r="D877">
        <v>88</v>
      </c>
      <c r="E877">
        <v>738469.15</v>
      </c>
      <c r="F877">
        <v>158505.01</v>
      </c>
      <c r="G877">
        <f>tblMoeHistory[[#This Row],[LEA State and Local Amount]]+tblMoeHistory[[#This Row],[ESD State and Local Amount]]</f>
        <v>896974.16</v>
      </c>
      <c r="H877">
        <v>0</v>
      </c>
      <c r="I877" t="s">
        <v>239</v>
      </c>
      <c r="J877">
        <f>IFERROR(tblMoeHistory[[#This Row],[LEA State and Local Amount]]/tblMoeHistory[[#This Row],[Child Count]],0)</f>
        <v>8391.6948863636371</v>
      </c>
      <c r="K877">
        <f>IFERROR(tblMoeHistory[[#This Row],[ESD State and Local Amount]]/tblMoeHistory[[#This Row],[Child Count]],0)</f>
        <v>1801.1932954545455</v>
      </c>
      <c r="L877">
        <f>IFERROR(tblMoeHistory[[#This Row],[State and Local Total Amount]]/tblMoeHistory[[#This Row],[Child Count]],0)</f>
        <v>10192.888181818182</v>
      </c>
      <c r="M877">
        <v>0</v>
      </c>
      <c r="N877" t="s">
        <v>239</v>
      </c>
      <c r="O877">
        <v>129356.91</v>
      </c>
      <c r="P877">
        <v>918.03</v>
      </c>
      <c r="Q877">
        <f>tblMoeHistory[[#This Row],[Amount of IDEA Part B, Section 611 award]]+tblMoeHistory[[#This Row],[Amount of IDEA Part B, Section 619 award]]</f>
        <v>130274.94</v>
      </c>
      <c r="S877">
        <v>71644.3</v>
      </c>
      <c r="T877">
        <v>71644.3</v>
      </c>
      <c r="U8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7" t="str">
        <f>IF(OR(IFERROR(SEARCH("Met",tblMoeHistory[[#This Row],[State and Local Per Capita Result]]),0)&gt;0,IFERROR(SEARCH("Met",tblMoeHistory[[#This Row],[State and Local Total Result]]),0)&gt;0),"Met","Not Met")</f>
        <v>Met</v>
      </c>
    </row>
    <row r="878" spans="1:22" x14ac:dyDescent="0.35">
      <c r="A878" t="s">
        <v>110</v>
      </c>
      <c r="B878">
        <v>2107</v>
      </c>
      <c r="C878" t="s">
        <v>19</v>
      </c>
      <c r="D878">
        <v>6</v>
      </c>
      <c r="E878">
        <v>76951.13</v>
      </c>
      <c r="F878">
        <v>22626.65</v>
      </c>
      <c r="G878">
        <f>tblMoeHistory[[#This Row],[LEA State and Local Amount]]+tblMoeHistory[[#This Row],[ESD State and Local Amount]]</f>
        <v>99577.78</v>
      </c>
      <c r="H878">
        <v>0</v>
      </c>
      <c r="I878" t="s">
        <v>239</v>
      </c>
      <c r="J878">
        <f>IFERROR(tblMoeHistory[[#This Row],[LEA State and Local Amount]]/tblMoeHistory[[#This Row],[Child Count]],0)</f>
        <v>12825.188333333334</v>
      </c>
      <c r="K878">
        <f>IFERROR(tblMoeHistory[[#This Row],[ESD State and Local Amount]]/tblMoeHistory[[#This Row],[Child Count]],0)</f>
        <v>3771.1083333333336</v>
      </c>
      <c r="L878">
        <f>IFERROR(tblMoeHistory[[#This Row],[State and Local Total Amount]]/tblMoeHistory[[#This Row],[Child Count]],0)</f>
        <v>16596.296666666665</v>
      </c>
      <c r="M878">
        <v>0</v>
      </c>
      <c r="N878" t="s">
        <v>239</v>
      </c>
      <c r="O878">
        <v>18050.75</v>
      </c>
      <c r="P878">
        <v>459.01</v>
      </c>
      <c r="Q878">
        <f>tblMoeHistory[[#This Row],[Amount of IDEA Part B, Section 611 award]]+tblMoeHistory[[#This Row],[Amount of IDEA Part B, Section 619 award]]</f>
        <v>18509.759999999998</v>
      </c>
      <c r="U8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8" t="str">
        <f>IF(OR(IFERROR(SEARCH("Met",tblMoeHistory[[#This Row],[State and Local Per Capita Result]]),0)&gt;0,IFERROR(SEARCH("Met",tblMoeHistory[[#This Row],[State and Local Total Result]]),0)&gt;0),"Met","Not Met")</f>
        <v>Met</v>
      </c>
    </row>
    <row r="879" spans="1:22" x14ac:dyDescent="0.35">
      <c r="A879" t="s">
        <v>111</v>
      </c>
      <c r="B879">
        <v>2219</v>
      </c>
      <c r="C879" t="s">
        <v>19</v>
      </c>
      <c r="D879">
        <v>26</v>
      </c>
      <c r="E879">
        <v>117055.92</v>
      </c>
      <c r="F879">
        <v>109586.65</v>
      </c>
      <c r="G879">
        <f>tblMoeHistory[[#This Row],[LEA State and Local Amount]]+tblMoeHistory[[#This Row],[ESD State and Local Amount]]</f>
        <v>226642.57</v>
      </c>
      <c r="H879">
        <v>0</v>
      </c>
      <c r="I879" t="s">
        <v>239</v>
      </c>
      <c r="J879">
        <f>IFERROR(tblMoeHistory[[#This Row],[LEA State and Local Amount]]/tblMoeHistory[[#This Row],[Child Count]],0)</f>
        <v>4502.1507692307696</v>
      </c>
      <c r="K879">
        <f>IFERROR(tblMoeHistory[[#This Row],[ESD State and Local Amount]]/tblMoeHistory[[#This Row],[Child Count]],0)</f>
        <v>4214.8711538461539</v>
      </c>
      <c r="L879">
        <f>IFERROR(tblMoeHistory[[#This Row],[State and Local Total Amount]]/tblMoeHistory[[#This Row],[Child Count]],0)</f>
        <v>8717.0219230769235</v>
      </c>
      <c r="M879">
        <v>0</v>
      </c>
      <c r="N879" t="s">
        <v>239</v>
      </c>
      <c r="O879">
        <v>48471.64</v>
      </c>
      <c r="P879">
        <v>0</v>
      </c>
      <c r="Q879">
        <f>tblMoeHistory[[#This Row],[Amount of IDEA Part B, Section 611 award]]+tblMoeHistory[[#This Row],[Amount of IDEA Part B, Section 619 award]]</f>
        <v>48471.64</v>
      </c>
      <c r="U8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9" t="str">
        <f>IF(OR(IFERROR(SEARCH("Met",tblMoeHistory[[#This Row],[State and Local Per Capita Result]]),0)&gt;0,IFERROR(SEARCH("Met",tblMoeHistory[[#This Row],[State and Local Total Result]]),0)&gt;0),"Met","Not Met")</f>
        <v>Met</v>
      </c>
    </row>
    <row r="880" spans="1:22" x14ac:dyDescent="0.35">
      <c r="A880" t="s">
        <v>112</v>
      </c>
      <c r="B880">
        <v>2091</v>
      </c>
      <c r="C880" t="s">
        <v>19</v>
      </c>
      <c r="D880">
        <v>219</v>
      </c>
      <c r="E880">
        <v>1480643.09</v>
      </c>
      <c r="F880">
        <v>450842</v>
      </c>
      <c r="G880">
        <f>tblMoeHistory[[#This Row],[LEA State and Local Amount]]+tblMoeHistory[[#This Row],[ESD State and Local Amount]]</f>
        <v>1931485.09</v>
      </c>
      <c r="H880">
        <v>0</v>
      </c>
      <c r="I880" t="s">
        <v>242</v>
      </c>
      <c r="J880">
        <f>IFERROR(tblMoeHistory[[#This Row],[LEA State and Local Amount]]/tblMoeHistory[[#This Row],[Child Count]],0)</f>
        <v>6760.927351598174</v>
      </c>
      <c r="K880">
        <f>IFERROR(tblMoeHistory[[#This Row],[ESD State and Local Amount]]/tblMoeHistory[[#This Row],[Child Count]],0)</f>
        <v>2058.6392694063925</v>
      </c>
      <c r="L880">
        <f>IFERROR(tblMoeHistory[[#This Row],[State and Local Total Amount]]/tblMoeHistory[[#This Row],[Child Count]],0)</f>
        <v>8819.5666210045674</v>
      </c>
      <c r="M880">
        <v>0</v>
      </c>
      <c r="N880" t="s">
        <v>240</v>
      </c>
      <c r="O880">
        <v>293565.08</v>
      </c>
      <c r="P880">
        <v>2203.2600000000002</v>
      </c>
      <c r="Q880">
        <f>tblMoeHistory[[#This Row],[Amount of IDEA Part B, Section 611 award]]+tblMoeHistory[[#This Row],[Amount of IDEA Part B, Section 619 award]]</f>
        <v>295768.34000000003</v>
      </c>
      <c r="S880">
        <v>99900</v>
      </c>
      <c r="U8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0" t="str">
        <f>IF(OR(IFERROR(SEARCH("Met",tblMoeHistory[[#This Row],[State and Local Per Capita Result]]),0)&gt;0,IFERROR(SEARCH("Met",tblMoeHistory[[#This Row],[State and Local Total Result]]),0)&gt;0),"Met","Not Met")</f>
        <v>Met</v>
      </c>
    </row>
    <row r="881" spans="1:22" x14ac:dyDescent="0.35">
      <c r="A881" t="s">
        <v>113</v>
      </c>
      <c r="B881">
        <v>2109</v>
      </c>
      <c r="C881" t="s">
        <v>19</v>
      </c>
      <c r="D881">
        <v>1</v>
      </c>
      <c r="E881">
        <v>0</v>
      </c>
      <c r="F881">
        <v>2829.51</v>
      </c>
      <c r="G881">
        <f>tblMoeHistory[[#This Row],[LEA State and Local Amount]]+tblMoeHistory[[#This Row],[ESD State and Local Amount]]</f>
        <v>2829.51</v>
      </c>
      <c r="H881">
        <v>0</v>
      </c>
      <c r="I881" t="s">
        <v>239</v>
      </c>
      <c r="J881">
        <f>IFERROR(tblMoeHistory[[#This Row],[LEA State and Local Amount]]/tblMoeHistory[[#This Row],[Child Count]],0)</f>
        <v>0</v>
      </c>
      <c r="K881">
        <f>IFERROR(tblMoeHistory[[#This Row],[ESD State and Local Amount]]/tblMoeHistory[[#This Row],[Child Count]],0)</f>
        <v>2829.51</v>
      </c>
      <c r="L881">
        <f>IFERROR(tblMoeHistory[[#This Row],[State and Local Total Amount]]/tblMoeHistory[[#This Row],[Child Count]],0)</f>
        <v>2829.51</v>
      </c>
      <c r="M881">
        <v>0</v>
      </c>
      <c r="N881" t="s">
        <v>239</v>
      </c>
      <c r="O881">
        <v>705.7</v>
      </c>
      <c r="P881">
        <v>0</v>
      </c>
      <c r="Q881">
        <f>tblMoeHistory[[#This Row],[Amount of IDEA Part B, Section 611 award]]+tblMoeHistory[[#This Row],[Amount of IDEA Part B, Section 619 award]]</f>
        <v>705.7</v>
      </c>
      <c r="U8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1" t="str">
        <f>IF(OR(IFERROR(SEARCH("Met",tblMoeHistory[[#This Row],[State and Local Per Capita Result]]),0)&gt;0,IFERROR(SEARCH("Met",tblMoeHistory[[#This Row],[State and Local Total Result]]),0)&gt;0),"Met","Not Met")</f>
        <v>Met</v>
      </c>
    </row>
    <row r="882" spans="1:22" x14ac:dyDescent="0.35">
      <c r="A882" t="s">
        <v>114</v>
      </c>
      <c r="B882">
        <v>2057</v>
      </c>
      <c r="C882" t="s">
        <v>19</v>
      </c>
      <c r="D882">
        <v>862</v>
      </c>
      <c r="E882">
        <v>6070120.2599999998</v>
      </c>
      <c r="F882">
        <v>211707</v>
      </c>
      <c r="G882">
        <f>tblMoeHistory[[#This Row],[LEA State and Local Amount]]+tblMoeHistory[[#This Row],[ESD State and Local Amount]]</f>
        <v>6281827.2599999998</v>
      </c>
      <c r="H882">
        <v>0</v>
      </c>
      <c r="I882" t="s">
        <v>241</v>
      </c>
      <c r="J882">
        <f>IFERROR(tblMoeHistory[[#This Row],[LEA State and Local Amount]]/tblMoeHistory[[#This Row],[Child Count]],0)</f>
        <v>7041.9028538283064</v>
      </c>
      <c r="K882">
        <f>IFERROR(tblMoeHistory[[#This Row],[ESD State and Local Amount]]/tblMoeHistory[[#This Row],[Child Count]],0)</f>
        <v>245.5997679814385</v>
      </c>
      <c r="L882">
        <f>IFERROR(tblMoeHistory[[#This Row],[State and Local Total Amount]]/tblMoeHistory[[#This Row],[Child Count]],0)</f>
        <v>7287.5026218097446</v>
      </c>
      <c r="M882">
        <v>0</v>
      </c>
      <c r="N882" t="s">
        <v>241</v>
      </c>
      <c r="O882">
        <v>1204799.6000000001</v>
      </c>
      <c r="P882">
        <v>10079.01</v>
      </c>
      <c r="Q882">
        <f>tblMoeHistory[[#This Row],[Amount of IDEA Part B, Section 611 award]]+tblMoeHistory[[#This Row],[Amount of IDEA Part B, Section 619 award]]</f>
        <v>1214878.6100000001</v>
      </c>
      <c r="U8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2" t="str">
        <f>IF(OR(IFERROR(SEARCH("Met",tblMoeHistory[[#This Row],[State and Local Per Capita Result]]),0)&gt;0,IFERROR(SEARCH("Met",tblMoeHistory[[#This Row],[State and Local Total Result]]),0)&gt;0),"Met","Not Met")</f>
        <v>Met</v>
      </c>
    </row>
    <row r="883" spans="1:22" x14ac:dyDescent="0.35">
      <c r="A883" t="s">
        <v>115</v>
      </c>
      <c r="B883">
        <v>2056</v>
      </c>
      <c r="C883" t="s">
        <v>19</v>
      </c>
      <c r="D883">
        <v>467</v>
      </c>
      <c r="E883">
        <v>3318185.35</v>
      </c>
      <c r="F883">
        <v>117561.76</v>
      </c>
      <c r="G883">
        <f>tblMoeHistory[[#This Row],[LEA State and Local Amount]]+tblMoeHistory[[#This Row],[ESD State and Local Amount]]</f>
        <v>3435747.11</v>
      </c>
      <c r="H883">
        <v>0</v>
      </c>
      <c r="I883" t="s">
        <v>241</v>
      </c>
      <c r="J883">
        <f>IFERROR(tblMoeHistory[[#This Row],[LEA State and Local Amount]]/tblMoeHistory[[#This Row],[Child Count]],0)</f>
        <v>7105.3219486081371</v>
      </c>
      <c r="K883">
        <f>IFERROR(tblMoeHistory[[#This Row],[ESD State and Local Amount]]/tblMoeHistory[[#This Row],[Child Count]],0)</f>
        <v>251.73824411134902</v>
      </c>
      <c r="L883">
        <f>IFERROR(tblMoeHistory[[#This Row],[State and Local Total Amount]]/tblMoeHistory[[#This Row],[Child Count]],0)</f>
        <v>7357.0601927194857</v>
      </c>
      <c r="M883">
        <v>0</v>
      </c>
      <c r="N883" t="s">
        <v>241</v>
      </c>
      <c r="O883">
        <v>628213.9</v>
      </c>
      <c r="P883">
        <v>5031.03</v>
      </c>
      <c r="Q883">
        <f>tblMoeHistory[[#This Row],[Amount of IDEA Part B, Section 611 award]]+tblMoeHistory[[#This Row],[Amount of IDEA Part B, Section 619 award]]</f>
        <v>633244.93000000005</v>
      </c>
      <c r="U8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3" t="str">
        <f>IF(OR(IFERROR(SEARCH("Met",tblMoeHistory[[#This Row],[State and Local Per Capita Result]]),0)&gt;0,IFERROR(SEARCH("Met",tblMoeHistory[[#This Row],[State and Local Total Result]]),0)&gt;0),"Met","Not Met")</f>
        <v>Met</v>
      </c>
    </row>
    <row r="884" spans="1:22" x14ac:dyDescent="0.35">
      <c r="A884" t="s">
        <v>116</v>
      </c>
      <c r="B884">
        <v>2262</v>
      </c>
      <c r="C884" t="s">
        <v>19</v>
      </c>
      <c r="D884">
        <v>84</v>
      </c>
      <c r="E884">
        <v>551489.29</v>
      </c>
      <c r="F884">
        <v>131987</v>
      </c>
      <c r="G884">
        <f>tblMoeHistory[[#This Row],[LEA State and Local Amount]]+tblMoeHistory[[#This Row],[ESD State and Local Amount]]</f>
        <v>683476.29</v>
      </c>
      <c r="H884">
        <v>0</v>
      </c>
      <c r="I884" t="s">
        <v>241</v>
      </c>
      <c r="J884">
        <f>IFERROR(tblMoeHistory[[#This Row],[LEA State and Local Amount]]/tblMoeHistory[[#This Row],[Child Count]],0)</f>
        <v>6565.3486904761912</v>
      </c>
      <c r="K884">
        <f>IFERROR(tblMoeHistory[[#This Row],[ESD State and Local Amount]]/tblMoeHistory[[#This Row],[Child Count]],0)</f>
        <v>1571.2738095238096</v>
      </c>
      <c r="L884">
        <f>IFERROR(tblMoeHistory[[#This Row],[State and Local Total Amount]]/tblMoeHistory[[#This Row],[Child Count]],0)</f>
        <v>8136.6225000000004</v>
      </c>
      <c r="M884">
        <v>0</v>
      </c>
      <c r="N884" t="s">
        <v>241</v>
      </c>
      <c r="O884">
        <v>79411.77</v>
      </c>
      <c r="P884">
        <v>1927.86</v>
      </c>
      <c r="Q884">
        <f>tblMoeHistory[[#This Row],[Amount of IDEA Part B, Section 611 award]]+tblMoeHistory[[#This Row],[Amount of IDEA Part B, Section 619 award]]</f>
        <v>81339.63</v>
      </c>
      <c r="S884">
        <v>11744.93</v>
      </c>
      <c r="T884">
        <v>11744.93</v>
      </c>
      <c r="U8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4" t="str">
        <f>IF(OR(IFERROR(SEARCH("Met",tblMoeHistory[[#This Row],[State and Local Per Capita Result]]),0)&gt;0,IFERROR(SEARCH("Met",tblMoeHistory[[#This Row],[State and Local Total Result]]),0)&gt;0),"Met","Not Met")</f>
        <v>Met</v>
      </c>
    </row>
    <row r="885" spans="1:22" x14ac:dyDescent="0.35">
      <c r="A885" t="s">
        <v>117</v>
      </c>
      <c r="B885">
        <v>2212</v>
      </c>
      <c r="C885" t="s">
        <v>19</v>
      </c>
      <c r="D885">
        <v>289</v>
      </c>
      <c r="E885">
        <v>2234405.1800000002</v>
      </c>
      <c r="F885">
        <v>292524.25</v>
      </c>
      <c r="G885">
        <f>tblMoeHistory[[#This Row],[LEA State and Local Amount]]+tblMoeHistory[[#This Row],[ESD State and Local Amount]]</f>
        <v>2526929.4300000002</v>
      </c>
      <c r="H885">
        <v>0</v>
      </c>
      <c r="I885" t="s">
        <v>241</v>
      </c>
      <c r="J885">
        <f>IFERROR(tblMoeHistory[[#This Row],[LEA State and Local Amount]]/tblMoeHistory[[#This Row],[Child Count]],0)</f>
        <v>7731.5058131487895</v>
      </c>
      <c r="K885">
        <f>IFERROR(tblMoeHistory[[#This Row],[ESD State and Local Amount]]/tblMoeHistory[[#This Row],[Child Count]],0)</f>
        <v>1012.1946366782007</v>
      </c>
      <c r="L885">
        <f>IFERROR(tblMoeHistory[[#This Row],[State and Local Total Amount]]/tblMoeHistory[[#This Row],[Child Count]],0)</f>
        <v>8743.7004498269907</v>
      </c>
      <c r="M885">
        <v>0</v>
      </c>
      <c r="N885" t="s">
        <v>240</v>
      </c>
      <c r="O885">
        <v>451719.99</v>
      </c>
      <c r="P885">
        <v>3645.11</v>
      </c>
      <c r="Q885">
        <f>tblMoeHistory[[#This Row],[Amount of IDEA Part B, Section 611 award]]+tblMoeHistory[[#This Row],[Amount of IDEA Part B, Section 619 award]]</f>
        <v>455365.1</v>
      </c>
      <c r="U8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5" t="str">
        <f>IF(OR(IFERROR(SEARCH("Met",tblMoeHistory[[#This Row],[State and Local Per Capita Result]]),0)&gt;0,IFERROR(SEARCH("Met",tblMoeHistory[[#This Row],[State and Local Total Result]]),0)&gt;0),"Met","Not Met")</f>
        <v>Met</v>
      </c>
    </row>
    <row r="886" spans="1:22" x14ac:dyDescent="0.35">
      <c r="A886" t="s">
        <v>118</v>
      </c>
      <c r="B886">
        <v>2059</v>
      </c>
      <c r="C886" t="s">
        <v>19</v>
      </c>
      <c r="D886">
        <v>97</v>
      </c>
      <c r="E886">
        <v>330433.12</v>
      </c>
      <c r="F886">
        <v>192289.37</v>
      </c>
      <c r="G886">
        <f>tblMoeHistory[[#This Row],[LEA State and Local Amount]]+tblMoeHistory[[#This Row],[ESD State and Local Amount]]</f>
        <v>522722.49</v>
      </c>
      <c r="H886">
        <v>0</v>
      </c>
      <c r="I886" t="s">
        <v>241</v>
      </c>
      <c r="J886">
        <f>IFERROR(tblMoeHistory[[#This Row],[LEA State and Local Amount]]/tblMoeHistory[[#This Row],[Child Count]],0)</f>
        <v>3406.5270103092785</v>
      </c>
      <c r="K886">
        <f>IFERROR(tblMoeHistory[[#This Row],[ESD State and Local Amount]]/tblMoeHistory[[#This Row],[Child Count]],0)</f>
        <v>1982.3646391752577</v>
      </c>
      <c r="L886">
        <f>IFERROR(tblMoeHistory[[#This Row],[State and Local Total Amount]]/tblMoeHistory[[#This Row],[Child Count]],0)</f>
        <v>5388.8916494845362</v>
      </c>
      <c r="M886">
        <v>0</v>
      </c>
      <c r="N886" t="s">
        <v>240</v>
      </c>
      <c r="O886">
        <v>128402.07</v>
      </c>
      <c r="P886">
        <v>1694.82</v>
      </c>
      <c r="Q886">
        <f>tblMoeHistory[[#This Row],[Amount of IDEA Part B, Section 611 award]]+tblMoeHistory[[#This Row],[Amount of IDEA Part B, Section 619 award]]</f>
        <v>130096.89000000001</v>
      </c>
      <c r="U8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6" t="str">
        <f>IF(OR(IFERROR(SEARCH("Met",tblMoeHistory[[#This Row],[State and Local Per Capita Result]]),0)&gt;0,IFERROR(SEARCH("Met",tblMoeHistory[[#This Row],[State and Local Total Result]]),0)&gt;0),"Met","Not Met")</f>
        <v>Met</v>
      </c>
    </row>
    <row r="887" spans="1:22" x14ac:dyDescent="0.35">
      <c r="A887" t="s">
        <v>119</v>
      </c>
      <c r="B887">
        <v>1923</v>
      </c>
      <c r="C887" t="s">
        <v>19</v>
      </c>
      <c r="D887">
        <v>574</v>
      </c>
      <c r="E887">
        <v>9532020.9299999997</v>
      </c>
      <c r="F887">
        <v>206434</v>
      </c>
      <c r="G887">
        <f>tblMoeHistory[[#This Row],[LEA State and Local Amount]]+tblMoeHistory[[#This Row],[ESD State and Local Amount]]</f>
        <v>9738454.9299999997</v>
      </c>
      <c r="H887">
        <v>0</v>
      </c>
      <c r="I887" t="s">
        <v>241</v>
      </c>
      <c r="J887">
        <f>IFERROR(tblMoeHistory[[#This Row],[LEA State and Local Amount]]/tblMoeHistory[[#This Row],[Child Count]],0)</f>
        <v>16606.308240418119</v>
      </c>
      <c r="K887">
        <f>IFERROR(tblMoeHistory[[#This Row],[ESD State and Local Amount]]/tblMoeHistory[[#This Row],[Child Count]],0)</f>
        <v>359.64111498257842</v>
      </c>
      <c r="L887">
        <f>IFERROR(tblMoeHistory[[#This Row],[State and Local Total Amount]]/tblMoeHistory[[#This Row],[Child Count]],0)</f>
        <v>16965.949355400695</v>
      </c>
      <c r="M887">
        <v>0</v>
      </c>
      <c r="N887" t="s">
        <v>241</v>
      </c>
      <c r="O887">
        <v>972696.65</v>
      </c>
      <c r="P887">
        <v>3775.15</v>
      </c>
      <c r="Q887">
        <f>tblMoeHistory[[#This Row],[Amount of IDEA Part B, Section 611 award]]+tblMoeHistory[[#This Row],[Amount of IDEA Part B, Section 619 award]]</f>
        <v>976471.8</v>
      </c>
      <c r="U8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7" t="str">
        <f>IF(OR(IFERROR(SEARCH("Met",tblMoeHistory[[#This Row],[State and Local Per Capita Result]]),0)&gt;0,IFERROR(SEARCH("Met",tblMoeHistory[[#This Row],[State and Local Total Result]]),0)&gt;0),"Met","Not Met")</f>
        <v>Met</v>
      </c>
    </row>
    <row r="888" spans="1:22" x14ac:dyDescent="0.35">
      <c r="A888" t="s">
        <v>120</v>
      </c>
      <c r="B888">
        <v>2101</v>
      </c>
      <c r="C888" t="s">
        <v>19</v>
      </c>
      <c r="D888">
        <v>609</v>
      </c>
      <c r="E888">
        <v>4254677.18</v>
      </c>
      <c r="F888">
        <v>670349</v>
      </c>
      <c r="G888">
        <f>tblMoeHistory[[#This Row],[LEA State and Local Amount]]+tblMoeHistory[[#This Row],[ESD State and Local Amount]]</f>
        <v>4925026.18</v>
      </c>
      <c r="H888">
        <v>0</v>
      </c>
      <c r="I888" t="s">
        <v>239</v>
      </c>
      <c r="J888">
        <f>IFERROR(tblMoeHistory[[#This Row],[LEA State and Local Amount]]/tblMoeHistory[[#This Row],[Child Count]],0)</f>
        <v>6986.3336288998353</v>
      </c>
      <c r="K888">
        <f>IFERROR(tblMoeHistory[[#This Row],[ESD State and Local Amount]]/tblMoeHistory[[#This Row],[Child Count]],0)</f>
        <v>1100.7372742200328</v>
      </c>
      <c r="L888">
        <f>IFERROR(tblMoeHistory[[#This Row],[State and Local Total Amount]]/tblMoeHistory[[#This Row],[Child Count]],0)</f>
        <v>8087.0709031198685</v>
      </c>
      <c r="M888">
        <v>0</v>
      </c>
      <c r="N888" t="s">
        <v>239</v>
      </c>
      <c r="O888">
        <v>726333.91</v>
      </c>
      <c r="P888">
        <v>5278.66</v>
      </c>
      <c r="Q888">
        <f>tblMoeHistory[[#This Row],[Amount of IDEA Part B, Section 611 award]]+tblMoeHistory[[#This Row],[Amount of IDEA Part B, Section 619 award]]</f>
        <v>731612.57000000007</v>
      </c>
      <c r="U8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8" t="str">
        <f>IF(OR(IFERROR(SEARCH("Met",tblMoeHistory[[#This Row],[State and Local Per Capita Result]]),0)&gt;0,IFERROR(SEARCH("Met",tblMoeHistory[[#This Row],[State and Local Total Result]]),0)&gt;0),"Met","Not Met")</f>
        <v>Met</v>
      </c>
    </row>
    <row r="889" spans="1:22" x14ac:dyDescent="0.35">
      <c r="A889" t="s">
        <v>121</v>
      </c>
      <c r="B889">
        <v>2097</v>
      </c>
      <c r="C889" t="s">
        <v>19</v>
      </c>
      <c r="D889">
        <v>669</v>
      </c>
      <c r="E889">
        <v>6093427.4299999997</v>
      </c>
      <c r="F889">
        <v>493383</v>
      </c>
      <c r="G889">
        <f>tblMoeHistory[[#This Row],[LEA State and Local Amount]]+tblMoeHistory[[#This Row],[ESD State and Local Amount]]</f>
        <v>6586810.4299999997</v>
      </c>
      <c r="H889">
        <v>0</v>
      </c>
      <c r="I889" t="s">
        <v>239</v>
      </c>
      <c r="J889">
        <f>IFERROR(tblMoeHistory[[#This Row],[LEA State and Local Amount]]/tblMoeHistory[[#This Row],[Child Count]],0)</f>
        <v>9108.2622272047829</v>
      </c>
      <c r="K889">
        <f>IFERROR(tblMoeHistory[[#This Row],[ESD State and Local Amount]]/tblMoeHistory[[#This Row],[Child Count]],0)</f>
        <v>737.49327354260095</v>
      </c>
      <c r="L889">
        <f>IFERROR(tblMoeHistory[[#This Row],[State and Local Total Amount]]/tblMoeHistory[[#This Row],[Child Count]],0)</f>
        <v>9845.7555007473838</v>
      </c>
      <c r="M889">
        <v>0</v>
      </c>
      <c r="N889" t="s">
        <v>239</v>
      </c>
      <c r="O889">
        <v>902188.39</v>
      </c>
      <c r="P889">
        <v>13361.38</v>
      </c>
      <c r="Q889">
        <f>tblMoeHistory[[#This Row],[Amount of IDEA Part B, Section 611 award]]+tblMoeHistory[[#This Row],[Amount of IDEA Part B, Section 619 award]]</f>
        <v>915549.77</v>
      </c>
      <c r="U8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9" t="str">
        <f>IF(OR(IFERROR(SEARCH("Met",tblMoeHistory[[#This Row],[State and Local Per Capita Result]]),0)&gt;0,IFERROR(SEARCH("Met",tblMoeHistory[[#This Row],[State and Local Total Result]]),0)&gt;0),"Met","Not Met")</f>
        <v>Met</v>
      </c>
    </row>
    <row r="890" spans="1:22" x14ac:dyDescent="0.35">
      <c r="A890" t="s">
        <v>122</v>
      </c>
      <c r="B890">
        <v>2012</v>
      </c>
      <c r="C890" t="s">
        <v>19</v>
      </c>
      <c r="D890">
        <v>2</v>
      </c>
      <c r="E890">
        <v>28597.39</v>
      </c>
      <c r="F890">
        <v>51404.28</v>
      </c>
      <c r="G890">
        <f>tblMoeHistory[[#This Row],[LEA State and Local Amount]]+tblMoeHistory[[#This Row],[ESD State and Local Amount]]</f>
        <v>80001.67</v>
      </c>
      <c r="H890">
        <v>0</v>
      </c>
      <c r="I890" t="s">
        <v>239</v>
      </c>
      <c r="J890">
        <f>IFERROR(tblMoeHistory[[#This Row],[LEA State and Local Amount]]/tblMoeHistory[[#This Row],[Child Count]],0)</f>
        <v>14298.695</v>
      </c>
      <c r="K890">
        <f>IFERROR(tblMoeHistory[[#This Row],[ESD State and Local Amount]]/tblMoeHistory[[#This Row],[Child Count]],0)</f>
        <v>25702.14</v>
      </c>
      <c r="L890">
        <f>IFERROR(tblMoeHistory[[#This Row],[State and Local Total Amount]]/tblMoeHistory[[#This Row],[Child Count]],0)</f>
        <v>40000.834999999999</v>
      </c>
      <c r="M890">
        <v>0</v>
      </c>
      <c r="N890" t="s">
        <v>239</v>
      </c>
      <c r="O890">
        <v>3518.9</v>
      </c>
      <c r="P890">
        <v>0</v>
      </c>
      <c r="Q890">
        <f>tblMoeHistory[[#This Row],[Amount of IDEA Part B, Section 611 award]]+tblMoeHistory[[#This Row],[Amount of IDEA Part B, Section 619 award]]</f>
        <v>3518.9</v>
      </c>
      <c r="U8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0" t="str">
        <f>IF(OR(IFERROR(SEARCH("Met",tblMoeHistory[[#This Row],[State and Local Per Capita Result]]),0)&gt;0,IFERROR(SEARCH("Met",tblMoeHistory[[#This Row],[State and Local Total Result]]),0)&gt;0),"Met","Not Met")</f>
        <v>Met</v>
      </c>
    </row>
    <row r="891" spans="1:22" x14ac:dyDescent="0.35">
      <c r="A891" t="s">
        <v>123</v>
      </c>
      <c r="B891">
        <v>2092</v>
      </c>
      <c r="C891" t="s">
        <v>19</v>
      </c>
      <c r="D891">
        <v>47</v>
      </c>
      <c r="E891">
        <v>392339</v>
      </c>
      <c r="F891">
        <v>148404</v>
      </c>
      <c r="G891">
        <f>tblMoeHistory[[#This Row],[LEA State and Local Amount]]+tblMoeHistory[[#This Row],[ESD State and Local Amount]]</f>
        <v>540743</v>
      </c>
      <c r="H891">
        <v>0</v>
      </c>
      <c r="I891" t="s">
        <v>242</v>
      </c>
      <c r="J891">
        <f>IFERROR(tblMoeHistory[[#This Row],[LEA State and Local Amount]]/tblMoeHistory[[#This Row],[Child Count]],0)</f>
        <v>8347.6382978723395</v>
      </c>
      <c r="K891">
        <f>IFERROR(tblMoeHistory[[#This Row],[ESD State and Local Amount]]/tblMoeHistory[[#This Row],[Child Count]],0)</f>
        <v>3157.5319148936169</v>
      </c>
      <c r="L891">
        <f>IFERROR(tblMoeHistory[[#This Row],[State and Local Total Amount]]/tblMoeHistory[[#This Row],[Child Count]],0)</f>
        <v>11505.170212765957</v>
      </c>
      <c r="M891">
        <v>0</v>
      </c>
      <c r="N891" t="s">
        <v>242</v>
      </c>
      <c r="O891">
        <v>58619.93</v>
      </c>
      <c r="P891">
        <v>275.41000000000003</v>
      </c>
      <c r="Q891">
        <f>tblMoeHistory[[#This Row],[Amount of IDEA Part B, Section 611 award]]+tblMoeHistory[[#This Row],[Amount of IDEA Part B, Section 619 award]]</f>
        <v>58895.340000000004</v>
      </c>
      <c r="S891">
        <v>62748.27</v>
      </c>
      <c r="T891">
        <v>62748.27</v>
      </c>
      <c r="U8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1" t="str">
        <f>IF(OR(IFERROR(SEARCH("Met",tblMoeHistory[[#This Row],[State and Local Per Capita Result]]),0)&gt;0,IFERROR(SEARCH("Met",tblMoeHistory[[#This Row],[State and Local Total Result]]),0)&gt;0),"Met","Not Met")</f>
        <v>Met</v>
      </c>
    </row>
    <row r="892" spans="1:22" x14ac:dyDescent="0.35">
      <c r="A892" t="s">
        <v>124</v>
      </c>
      <c r="B892">
        <v>2112</v>
      </c>
      <c r="C892" t="s">
        <v>19</v>
      </c>
      <c r="D892">
        <v>0</v>
      </c>
      <c r="E892">
        <v>0</v>
      </c>
      <c r="F892">
        <v>235.12</v>
      </c>
      <c r="G892">
        <f>tblMoeHistory[[#This Row],[LEA State and Local Amount]]+tblMoeHistory[[#This Row],[ESD State and Local Amount]]</f>
        <v>235.12</v>
      </c>
      <c r="H892">
        <v>0</v>
      </c>
      <c r="I892" t="s">
        <v>239</v>
      </c>
      <c r="J892">
        <f>IFERROR(tblMoeHistory[[#This Row],[LEA State and Local Amount]]/tblMoeHistory[[#This Row],[Child Count]],0)</f>
        <v>0</v>
      </c>
      <c r="K892">
        <f>IFERROR(tblMoeHistory[[#This Row],[ESD State and Local Amount]]/tblMoeHistory[[#This Row],[Child Count]],0)</f>
        <v>0</v>
      </c>
      <c r="L892">
        <f>IFERROR(tblMoeHistory[[#This Row],[State and Local Total Amount]]/tblMoeHistory[[#This Row],[Child Count]],0)</f>
        <v>0</v>
      </c>
      <c r="M892">
        <v>0</v>
      </c>
      <c r="N892" t="s">
        <v>239</v>
      </c>
      <c r="O892">
        <v>1301.97</v>
      </c>
      <c r="P892">
        <v>0</v>
      </c>
      <c r="Q892">
        <f>tblMoeHistory[[#This Row],[Amount of IDEA Part B, Section 611 award]]+tblMoeHistory[[#This Row],[Amount of IDEA Part B, Section 619 award]]</f>
        <v>1301.97</v>
      </c>
      <c r="U8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2" t="str">
        <f>IF(OR(IFERROR(SEARCH("Met",tblMoeHistory[[#This Row],[State and Local Per Capita Result]]),0)&gt;0,IFERROR(SEARCH("Met",tblMoeHistory[[#This Row],[State and Local Total Result]]),0)&gt;0),"Met","Not Met")</f>
        <v>Met</v>
      </c>
    </row>
    <row r="893" spans="1:22" x14ac:dyDescent="0.35">
      <c r="A893" t="s">
        <v>125</v>
      </c>
      <c r="B893">
        <v>2085</v>
      </c>
      <c r="C893" t="s">
        <v>19</v>
      </c>
      <c r="D893">
        <v>34</v>
      </c>
      <c r="E893">
        <v>185353.28</v>
      </c>
      <c r="F893">
        <v>72255</v>
      </c>
      <c r="G893">
        <f>tblMoeHistory[[#This Row],[LEA State and Local Amount]]+tblMoeHistory[[#This Row],[ESD State and Local Amount]]</f>
        <v>257608.28</v>
      </c>
      <c r="H893">
        <v>0</v>
      </c>
      <c r="I893" t="s">
        <v>242</v>
      </c>
      <c r="J893">
        <f>IFERROR(tblMoeHistory[[#This Row],[LEA State and Local Amount]]/tblMoeHistory[[#This Row],[Child Count]],0)</f>
        <v>5451.5670588235298</v>
      </c>
      <c r="K893">
        <f>IFERROR(tblMoeHistory[[#This Row],[ESD State and Local Amount]]/tblMoeHistory[[#This Row],[Child Count]],0)</f>
        <v>2125.1470588235293</v>
      </c>
      <c r="L893">
        <f>IFERROR(tblMoeHistory[[#This Row],[State and Local Total Amount]]/tblMoeHistory[[#This Row],[Child Count]],0)</f>
        <v>7576.7141176470586</v>
      </c>
      <c r="M893">
        <v>0</v>
      </c>
      <c r="N893" t="s">
        <v>242</v>
      </c>
      <c r="O893">
        <v>51601.99</v>
      </c>
      <c r="P893">
        <v>0</v>
      </c>
      <c r="Q893">
        <f>tblMoeHistory[[#This Row],[Amount of IDEA Part B, Section 611 award]]+tblMoeHistory[[#This Row],[Amount of IDEA Part B, Section 619 award]]</f>
        <v>51601.99</v>
      </c>
      <c r="S893">
        <v>12443.49</v>
      </c>
      <c r="T893">
        <v>12443.49</v>
      </c>
      <c r="U8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3" t="str">
        <f>IF(OR(IFERROR(SEARCH("Met",tblMoeHistory[[#This Row],[State and Local Per Capita Result]]),0)&gt;0,IFERROR(SEARCH("Met",tblMoeHistory[[#This Row],[State and Local Total Result]]),0)&gt;0),"Met","Not Met")</f>
        <v>Met</v>
      </c>
    </row>
    <row r="894" spans="1:22" x14ac:dyDescent="0.35">
      <c r="A894" t="s">
        <v>126</v>
      </c>
      <c r="B894">
        <v>2094</v>
      </c>
      <c r="C894" t="s">
        <v>19</v>
      </c>
      <c r="D894">
        <v>40</v>
      </c>
      <c r="E894">
        <v>225440.5</v>
      </c>
      <c r="F894">
        <v>78567</v>
      </c>
      <c r="G894">
        <f>tblMoeHistory[[#This Row],[LEA State and Local Amount]]+tblMoeHistory[[#This Row],[ESD State and Local Amount]]</f>
        <v>304007.5</v>
      </c>
      <c r="H894">
        <v>0</v>
      </c>
      <c r="I894" t="s">
        <v>240</v>
      </c>
      <c r="J894">
        <f>IFERROR(tblMoeHistory[[#This Row],[LEA State and Local Amount]]/tblMoeHistory[[#This Row],[Child Count]],0)</f>
        <v>5636.0124999999998</v>
      </c>
      <c r="K894">
        <f>IFERROR(tblMoeHistory[[#This Row],[ESD State and Local Amount]]/tblMoeHistory[[#This Row],[Child Count]],0)</f>
        <v>1964.175</v>
      </c>
      <c r="L894">
        <f>IFERROR(tblMoeHistory[[#This Row],[State and Local Total Amount]]/tblMoeHistory[[#This Row],[Child Count]],0)</f>
        <v>7600.1875</v>
      </c>
      <c r="M894">
        <v>0</v>
      </c>
      <c r="N894" t="s">
        <v>240</v>
      </c>
      <c r="O894">
        <v>41707.65</v>
      </c>
      <c r="P894">
        <v>0</v>
      </c>
      <c r="Q894">
        <f>tblMoeHistory[[#This Row],[Amount of IDEA Part B, Section 611 award]]+tblMoeHistory[[#This Row],[Amount of IDEA Part B, Section 619 award]]</f>
        <v>41707.65</v>
      </c>
      <c r="U8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4" t="str">
        <f>IF(OR(IFERROR(SEARCH("Met",tblMoeHistory[[#This Row],[State and Local Per Capita Result]]),0)&gt;0,IFERROR(SEARCH("Met",tblMoeHistory[[#This Row],[State and Local Total Result]]),0)&gt;0),"Met","Not Met")</f>
        <v>Not Met</v>
      </c>
    </row>
    <row r="895" spans="1:22" x14ac:dyDescent="0.35">
      <c r="A895" t="s">
        <v>127</v>
      </c>
      <c r="B895">
        <v>2090</v>
      </c>
      <c r="C895" t="s">
        <v>19</v>
      </c>
      <c r="D895">
        <v>45</v>
      </c>
      <c r="E895">
        <v>324574.5</v>
      </c>
      <c r="F895">
        <v>59610</v>
      </c>
      <c r="G895">
        <f>tblMoeHistory[[#This Row],[LEA State and Local Amount]]+tblMoeHistory[[#This Row],[ESD State and Local Amount]]</f>
        <v>384184.5</v>
      </c>
      <c r="H895">
        <v>0</v>
      </c>
      <c r="I895" t="s">
        <v>241</v>
      </c>
      <c r="J895">
        <f>IFERROR(tblMoeHistory[[#This Row],[LEA State and Local Amount]]/tblMoeHistory[[#This Row],[Child Count]],0)</f>
        <v>7212.7666666666664</v>
      </c>
      <c r="K895">
        <f>IFERROR(tblMoeHistory[[#This Row],[ESD State and Local Amount]]/tblMoeHistory[[#This Row],[Child Count]],0)</f>
        <v>1324.6666666666667</v>
      </c>
      <c r="L895">
        <f>IFERROR(tblMoeHistory[[#This Row],[State and Local Total Amount]]/tblMoeHistory[[#This Row],[Child Count]],0)</f>
        <v>8537.4333333333325</v>
      </c>
      <c r="M895">
        <v>0</v>
      </c>
      <c r="N895" t="s">
        <v>240</v>
      </c>
      <c r="O895">
        <v>45967.23</v>
      </c>
      <c r="P895">
        <v>229.51</v>
      </c>
      <c r="Q895">
        <f>tblMoeHistory[[#This Row],[Amount of IDEA Part B, Section 611 award]]+tblMoeHistory[[#This Row],[Amount of IDEA Part B, Section 619 award]]</f>
        <v>46196.740000000005</v>
      </c>
      <c r="U8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5" t="str">
        <f>IF(OR(IFERROR(SEARCH("Met",tblMoeHistory[[#This Row],[State and Local Per Capita Result]]),0)&gt;0,IFERROR(SEARCH("Met",tblMoeHistory[[#This Row],[State and Local Total Result]]),0)&gt;0),"Met","Not Met")</f>
        <v>Met</v>
      </c>
    </row>
    <row r="896" spans="1:22" x14ac:dyDescent="0.35">
      <c r="A896" t="s">
        <v>128</v>
      </c>
      <c r="B896">
        <v>2256</v>
      </c>
      <c r="C896" t="s">
        <v>19</v>
      </c>
      <c r="D896">
        <v>809</v>
      </c>
      <c r="E896">
        <v>6057651.8700000001</v>
      </c>
      <c r="F896">
        <v>22891</v>
      </c>
      <c r="G896">
        <f>tblMoeHistory[[#This Row],[LEA State and Local Amount]]+tblMoeHistory[[#This Row],[ESD State and Local Amount]]</f>
        <v>6080542.8700000001</v>
      </c>
      <c r="H896">
        <v>0</v>
      </c>
      <c r="I896" t="s">
        <v>241</v>
      </c>
      <c r="J896">
        <f>IFERROR(tblMoeHistory[[#This Row],[LEA State and Local Amount]]/tblMoeHistory[[#This Row],[Child Count]],0)</f>
        <v>7487.8267861557479</v>
      </c>
      <c r="K896">
        <f>IFERROR(tblMoeHistory[[#This Row],[ESD State and Local Amount]]/tblMoeHistory[[#This Row],[Child Count]],0)</f>
        <v>28.295426452410382</v>
      </c>
      <c r="L896">
        <f>IFERROR(tblMoeHistory[[#This Row],[State and Local Total Amount]]/tblMoeHistory[[#This Row],[Child Count]],0)</f>
        <v>7516.1222126081584</v>
      </c>
      <c r="M896">
        <v>0</v>
      </c>
      <c r="N896" t="s">
        <v>241</v>
      </c>
      <c r="O896">
        <v>933467.17</v>
      </c>
      <c r="P896">
        <v>9998.01</v>
      </c>
      <c r="Q896">
        <f>tblMoeHistory[[#This Row],[Amount of IDEA Part B, Section 611 award]]+tblMoeHistory[[#This Row],[Amount of IDEA Part B, Section 619 award]]</f>
        <v>943465.18</v>
      </c>
      <c r="U8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6" t="str">
        <f>IF(OR(IFERROR(SEARCH("Met",tblMoeHistory[[#This Row],[State and Local Per Capita Result]]),0)&gt;0,IFERROR(SEARCH("Met",tblMoeHistory[[#This Row],[State and Local Total Result]]),0)&gt;0),"Met","Not Met")</f>
        <v>Met</v>
      </c>
    </row>
    <row r="897" spans="1:22" x14ac:dyDescent="0.35">
      <c r="A897" t="s">
        <v>129</v>
      </c>
      <c r="B897">
        <v>2048</v>
      </c>
      <c r="C897" t="s">
        <v>19</v>
      </c>
      <c r="D897">
        <v>1611</v>
      </c>
      <c r="E897">
        <v>11111153.92</v>
      </c>
      <c r="F897">
        <v>2269866.09</v>
      </c>
      <c r="G897">
        <f>tblMoeHistory[[#This Row],[LEA State and Local Amount]]+tblMoeHistory[[#This Row],[ESD State and Local Amount]]</f>
        <v>13381020.01</v>
      </c>
      <c r="H897">
        <v>0</v>
      </c>
      <c r="I897" t="s">
        <v>241</v>
      </c>
      <c r="J897">
        <f>IFERROR(tblMoeHistory[[#This Row],[LEA State and Local Amount]]/tblMoeHistory[[#This Row],[Child Count]],0)</f>
        <v>6897.0539540657974</v>
      </c>
      <c r="K897">
        <f>IFERROR(tblMoeHistory[[#This Row],[ESD State and Local Amount]]/tblMoeHistory[[#This Row],[Child Count]],0)</f>
        <v>1408.9795716945996</v>
      </c>
      <c r="L897">
        <f>IFERROR(tblMoeHistory[[#This Row],[State and Local Total Amount]]/tblMoeHistory[[#This Row],[Child Count]],0)</f>
        <v>8306.0335257603965</v>
      </c>
      <c r="M897">
        <v>0</v>
      </c>
      <c r="N897" t="s">
        <v>240</v>
      </c>
      <c r="O897">
        <v>2088400.26</v>
      </c>
      <c r="P897">
        <v>22051.64</v>
      </c>
      <c r="Q897">
        <f>tblMoeHistory[[#This Row],[Amount of IDEA Part B, Section 611 award]]+tblMoeHistory[[#This Row],[Amount of IDEA Part B, Section 619 award]]</f>
        <v>2110451.9</v>
      </c>
      <c r="U8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7" t="str">
        <f>IF(OR(IFERROR(SEARCH("Met",tblMoeHistory[[#This Row],[State and Local Per Capita Result]]),0)&gt;0,IFERROR(SEARCH("Met",tblMoeHistory[[#This Row],[State and Local Total Result]]),0)&gt;0),"Met","Not Met")</f>
        <v>Met</v>
      </c>
    </row>
    <row r="898" spans="1:22" x14ac:dyDescent="0.35">
      <c r="A898" t="s">
        <v>130</v>
      </c>
      <c r="B898">
        <v>2205</v>
      </c>
      <c r="C898" t="s">
        <v>19</v>
      </c>
      <c r="D898">
        <v>189</v>
      </c>
      <c r="E898">
        <v>1493038.2</v>
      </c>
      <c r="F898">
        <v>271395.74</v>
      </c>
      <c r="G898">
        <f>tblMoeHistory[[#This Row],[LEA State and Local Amount]]+tblMoeHistory[[#This Row],[ESD State and Local Amount]]</f>
        <v>1764433.94</v>
      </c>
      <c r="H898">
        <v>0</v>
      </c>
      <c r="I898" t="s">
        <v>239</v>
      </c>
      <c r="J898">
        <f>IFERROR(tblMoeHistory[[#This Row],[LEA State and Local Amount]]/tblMoeHistory[[#This Row],[Child Count]],0)</f>
        <v>7899.6730158730152</v>
      </c>
      <c r="K898">
        <f>IFERROR(tblMoeHistory[[#This Row],[ESD State and Local Amount]]/tblMoeHistory[[#This Row],[Child Count]],0)</f>
        <v>1435.9562962962962</v>
      </c>
      <c r="L898">
        <f>IFERROR(tblMoeHistory[[#This Row],[State and Local Total Amount]]/tblMoeHistory[[#This Row],[Child Count]],0)</f>
        <v>9335.6293121693125</v>
      </c>
      <c r="M898">
        <v>0</v>
      </c>
      <c r="N898" t="s">
        <v>239</v>
      </c>
      <c r="O898">
        <v>277505.89</v>
      </c>
      <c r="P898">
        <v>1606.55</v>
      </c>
      <c r="Q898">
        <f>tblMoeHistory[[#This Row],[Amount of IDEA Part B, Section 611 award]]+tblMoeHistory[[#This Row],[Amount of IDEA Part B, Section 619 award]]</f>
        <v>279112.44</v>
      </c>
      <c r="U8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8" t="str">
        <f>IF(OR(IFERROR(SEARCH("Met",tblMoeHistory[[#This Row],[State and Local Per Capita Result]]),0)&gt;0,IFERROR(SEARCH("Met",tblMoeHistory[[#This Row],[State and Local Total Result]]),0)&gt;0),"Met","Not Met")</f>
        <v>Met</v>
      </c>
    </row>
    <row r="899" spans="1:22" x14ac:dyDescent="0.35">
      <c r="A899" t="s">
        <v>131</v>
      </c>
      <c r="B899">
        <v>2249</v>
      </c>
      <c r="C899" t="s">
        <v>19</v>
      </c>
      <c r="D899">
        <v>5</v>
      </c>
      <c r="E899">
        <v>35258.269999999997</v>
      </c>
      <c r="F899">
        <v>20352</v>
      </c>
      <c r="G899">
        <f>tblMoeHistory[[#This Row],[LEA State and Local Amount]]+tblMoeHistory[[#This Row],[ESD State and Local Amount]]</f>
        <v>55610.27</v>
      </c>
      <c r="H899">
        <v>0</v>
      </c>
      <c r="I899" t="s">
        <v>239</v>
      </c>
      <c r="J899">
        <f>IFERROR(tblMoeHistory[[#This Row],[LEA State and Local Amount]]/tblMoeHistory[[#This Row],[Child Count]],0)</f>
        <v>7051.6539999999995</v>
      </c>
      <c r="K899">
        <f>IFERROR(tblMoeHistory[[#This Row],[ESD State and Local Amount]]/tblMoeHistory[[#This Row],[Child Count]],0)</f>
        <v>4070.4</v>
      </c>
      <c r="L899">
        <f>IFERROR(tblMoeHistory[[#This Row],[State and Local Total Amount]]/tblMoeHistory[[#This Row],[Child Count]],0)</f>
        <v>11122.054</v>
      </c>
      <c r="M899">
        <v>0</v>
      </c>
      <c r="N899" t="s">
        <v>239</v>
      </c>
      <c r="O899">
        <v>9974.06</v>
      </c>
      <c r="P899">
        <v>0</v>
      </c>
      <c r="Q899">
        <f>tblMoeHistory[[#This Row],[Amount of IDEA Part B, Section 611 award]]+tblMoeHistory[[#This Row],[Amount of IDEA Part B, Section 619 award]]</f>
        <v>9974.06</v>
      </c>
      <c r="U8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9" t="str">
        <f>IF(OR(IFERROR(SEARCH("Met",tblMoeHistory[[#This Row],[State and Local Per Capita Result]]),0)&gt;0,IFERROR(SEARCH("Met",tblMoeHistory[[#This Row],[State and Local Total Result]]),0)&gt;0),"Met","Not Met")</f>
        <v>Met</v>
      </c>
    </row>
    <row r="900" spans="1:22" x14ac:dyDescent="0.35">
      <c r="A900" t="s">
        <v>132</v>
      </c>
      <c r="B900">
        <v>1925</v>
      </c>
      <c r="C900" t="s">
        <v>19</v>
      </c>
      <c r="D900">
        <v>420</v>
      </c>
      <c r="E900">
        <v>3518513.87</v>
      </c>
      <c r="F900">
        <v>351741</v>
      </c>
      <c r="G900">
        <f>tblMoeHistory[[#This Row],[LEA State and Local Amount]]+tblMoeHistory[[#This Row],[ESD State and Local Amount]]</f>
        <v>3870254.87</v>
      </c>
      <c r="H900">
        <v>0</v>
      </c>
      <c r="I900" t="s">
        <v>241</v>
      </c>
      <c r="J900">
        <f>IFERROR(tblMoeHistory[[#This Row],[LEA State and Local Amount]]/tblMoeHistory[[#This Row],[Child Count]],0)</f>
        <v>8377.4139761904771</v>
      </c>
      <c r="K900">
        <f>IFERROR(tblMoeHistory[[#This Row],[ESD State and Local Amount]]/tblMoeHistory[[#This Row],[Child Count]],0)</f>
        <v>837.4785714285714</v>
      </c>
      <c r="L900">
        <f>IFERROR(tblMoeHistory[[#This Row],[State and Local Total Amount]]/tblMoeHistory[[#This Row],[Child Count]],0)</f>
        <v>9214.892547619047</v>
      </c>
      <c r="M900">
        <v>0</v>
      </c>
      <c r="N900" t="s">
        <v>241</v>
      </c>
      <c r="O900">
        <v>436670.52</v>
      </c>
      <c r="P900">
        <v>3140.62</v>
      </c>
      <c r="Q900">
        <f>tblMoeHistory[[#This Row],[Amount of IDEA Part B, Section 611 award]]+tblMoeHistory[[#This Row],[Amount of IDEA Part B, Section 619 award]]</f>
        <v>439811.14</v>
      </c>
      <c r="S900">
        <v>33762</v>
      </c>
      <c r="T900">
        <v>33762</v>
      </c>
      <c r="U9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0" t="str">
        <f>IF(OR(IFERROR(SEARCH("Met",tblMoeHistory[[#This Row],[State and Local Per Capita Result]]),0)&gt;0,IFERROR(SEARCH("Met",tblMoeHistory[[#This Row],[State and Local Total Result]]),0)&gt;0),"Met","Not Met")</f>
        <v>Met</v>
      </c>
    </row>
    <row r="901" spans="1:22" x14ac:dyDescent="0.35">
      <c r="A901" t="s">
        <v>133</v>
      </c>
      <c r="B901">
        <v>1898</v>
      </c>
      <c r="C901" t="s">
        <v>19</v>
      </c>
      <c r="D901">
        <v>66</v>
      </c>
      <c r="E901">
        <v>630585.09</v>
      </c>
      <c r="F901">
        <v>47684</v>
      </c>
      <c r="G901">
        <f>tblMoeHistory[[#This Row],[LEA State and Local Amount]]+tblMoeHistory[[#This Row],[ESD State and Local Amount]]</f>
        <v>678269.09</v>
      </c>
      <c r="H901">
        <v>0</v>
      </c>
      <c r="I901" t="s">
        <v>239</v>
      </c>
      <c r="J901">
        <f>IFERROR(tblMoeHistory[[#This Row],[LEA State and Local Amount]]/tblMoeHistory[[#This Row],[Child Count]],0)</f>
        <v>9554.3195454545457</v>
      </c>
      <c r="K901">
        <f>IFERROR(tblMoeHistory[[#This Row],[ESD State and Local Amount]]/tblMoeHistory[[#This Row],[Child Count]],0)</f>
        <v>722.4848484848485</v>
      </c>
      <c r="L901">
        <f>IFERROR(tblMoeHistory[[#This Row],[State and Local Total Amount]]/tblMoeHistory[[#This Row],[Child Count]],0)</f>
        <v>10276.804393939394</v>
      </c>
      <c r="M901">
        <v>0</v>
      </c>
      <c r="N901" t="s">
        <v>239</v>
      </c>
      <c r="O901">
        <v>72951.63</v>
      </c>
      <c r="P901">
        <v>196.72</v>
      </c>
      <c r="Q901">
        <f>tblMoeHistory[[#This Row],[Amount of IDEA Part B, Section 611 award]]+tblMoeHistory[[#This Row],[Amount of IDEA Part B, Section 619 award]]</f>
        <v>73148.350000000006</v>
      </c>
      <c r="U9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1" t="str">
        <f>IF(OR(IFERROR(SEARCH("Met",tblMoeHistory[[#This Row],[State and Local Per Capita Result]]),0)&gt;0,IFERROR(SEARCH("Met",tblMoeHistory[[#This Row],[State and Local Total Result]]),0)&gt;0),"Met","Not Met")</f>
        <v>Met</v>
      </c>
    </row>
    <row r="902" spans="1:22" x14ac:dyDescent="0.35">
      <c r="A902" t="s">
        <v>134</v>
      </c>
      <c r="B902">
        <v>2010</v>
      </c>
      <c r="C902" t="s">
        <v>19</v>
      </c>
      <c r="D902">
        <v>10</v>
      </c>
      <c r="E902">
        <v>0</v>
      </c>
      <c r="F902">
        <v>91095</v>
      </c>
      <c r="G902">
        <f>tblMoeHistory[[#This Row],[LEA State and Local Amount]]+tblMoeHistory[[#This Row],[ESD State and Local Amount]]</f>
        <v>91095</v>
      </c>
      <c r="H902">
        <v>0</v>
      </c>
      <c r="I902" t="s">
        <v>239</v>
      </c>
      <c r="J902">
        <f>IFERROR(tblMoeHistory[[#This Row],[LEA State and Local Amount]]/tblMoeHistory[[#This Row],[Child Count]],0)</f>
        <v>0</v>
      </c>
      <c r="K902">
        <f>IFERROR(tblMoeHistory[[#This Row],[ESD State and Local Amount]]/tblMoeHistory[[#This Row],[Child Count]],0)</f>
        <v>9109.5</v>
      </c>
      <c r="L902">
        <f>IFERROR(tblMoeHistory[[#This Row],[State and Local Total Amount]]/tblMoeHistory[[#This Row],[Child Count]],0)</f>
        <v>9109.5</v>
      </c>
      <c r="M902">
        <v>0</v>
      </c>
      <c r="N902" t="s">
        <v>239</v>
      </c>
      <c r="O902">
        <v>11062.69</v>
      </c>
      <c r="P902">
        <v>1377.04</v>
      </c>
      <c r="Q902">
        <f>tblMoeHistory[[#This Row],[Amount of IDEA Part B, Section 611 award]]+tblMoeHistory[[#This Row],[Amount of IDEA Part B, Section 619 award]]</f>
        <v>12439.73</v>
      </c>
      <c r="U9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2" t="str">
        <f>IF(OR(IFERROR(SEARCH("Met",tblMoeHistory[[#This Row],[State and Local Per Capita Result]]),0)&gt;0,IFERROR(SEARCH("Met",tblMoeHistory[[#This Row],[State and Local Total Result]]),0)&gt;0),"Met","Not Met")</f>
        <v>Met</v>
      </c>
    </row>
    <row r="903" spans="1:22" x14ac:dyDescent="0.35">
      <c r="A903" t="s">
        <v>135</v>
      </c>
      <c r="B903">
        <v>2147</v>
      </c>
      <c r="C903" t="s">
        <v>19</v>
      </c>
      <c r="D903">
        <v>255</v>
      </c>
      <c r="E903">
        <v>1578472.58</v>
      </c>
      <c r="F903">
        <v>365918.8</v>
      </c>
      <c r="G903">
        <f>tblMoeHistory[[#This Row],[LEA State and Local Amount]]+tblMoeHistory[[#This Row],[ESD State and Local Amount]]</f>
        <v>1944391.3800000001</v>
      </c>
      <c r="H903">
        <v>0</v>
      </c>
      <c r="I903" t="s">
        <v>239</v>
      </c>
      <c r="J903">
        <f>IFERROR(tblMoeHistory[[#This Row],[LEA State and Local Amount]]/tblMoeHistory[[#This Row],[Child Count]],0)</f>
        <v>6190.0885490196079</v>
      </c>
      <c r="K903">
        <f>IFERROR(tblMoeHistory[[#This Row],[ESD State and Local Amount]]/tblMoeHistory[[#This Row],[Child Count]],0)</f>
        <v>1434.9756862745098</v>
      </c>
      <c r="L903">
        <f>IFERROR(tblMoeHistory[[#This Row],[State and Local Total Amount]]/tblMoeHistory[[#This Row],[Child Count]],0)</f>
        <v>7625.0642352941177</v>
      </c>
      <c r="M903">
        <v>0</v>
      </c>
      <c r="N903" t="s">
        <v>239</v>
      </c>
      <c r="O903">
        <v>318759.53000000003</v>
      </c>
      <c r="P903">
        <v>1426.93</v>
      </c>
      <c r="Q903">
        <f>tblMoeHistory[[#This Row],[Amount of IDEA Part B, Section 611 award]]+tblMoeHistory[[#This Row],[Amount of IDEA Part B, Section 619 award]]</f>
        <v>320186.46000000002</v>
      </c>
      <c r="U9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3" t="str">
        <f>IF(OR(IFERROR(SEARCH("Met",tblMoeHistory[[#This Row],[State and Local Per Capita Result]]),0)&gt;0,IFERROR(SEARCH("Met",tblMoeHistory[[#This Row],[State and Local Total Result]]),0)&gt;0),"Met","Not Met")</f>
        <v>Met</v>
      </c>
    </row>
    <row r="904" spans="1:22" x14ac:dyDescent="0.35">
      <c r="A904" t="s">
        <v>136</v>
      </c>
      <c r="B904">
        <v>2145</v>
      </c>
      <c r="C904" t="s">
        <v>19</v>
      </c>
      <c r="D904">
        <v>67</v>
      </c>
      <c r="E904">
        <v>402493.31</v>
      </c>
      <c r="F904">
        <v>109749.14</v>
      </c>
      <c r="G904">
        <f>tblMoeHistory[[#This Row],[LEA State and Local Amount]]+tblMoeHistory[[#This Row],[ESD State and Local Amount]]</f>
        <v>512242.45</v>
      </c>
      <c r="H904">
        <v>0</v>
      </c>
      <c r="I904" t="s">
        <v>241</v>
      </c>
      <c r="J904">
        <f>IFERROR(tblMoeHistory[[#This Row],[LEA State and Local Amount]]/tblMoeHistory[[#This Row],[Child Count]],0)</f>
        <v>6007.3628358208953</v>
      </c>
      <c r="K904">
        <f>IFERROR(tblMoeHistory[[#This Row],[ESD State and Local Amount]]/tblMoeHistory[[#This Row],[Child Count]],0)</f>
        <v>1638.0468656716419</v>
      </c>
      <c r="L904">
        <f>IFERROR(tblMoeHistory[[#This Row],[State and Local Total Amount]]/tblMoeHistory[[#This Row],[Child Count]],0)</f>
        <v>7645.4097014925374</v>
      </c>
      <c r="M904">
        <v>0</v>
      </c>
      <c r="N904" t="s">
        <v>241</v>
      </c>
      <c r="O904">
        <v>125467.01</v>
      </c>
      <c r="P904">
        <v>1071.03</v>
      </c>
      <c r="Q904">
        <f>tblMoeHistory[[#This Row],[Amount of IDEA Part B, Section 611 award]]+tblMoeHistory[[#This Row],[Amount of IDEA Part B, Section 619 award]]</f>
        <v>126538.04</v>
      </c>
      <c r="U9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4" t="str">
        <f>IF(OR(IFERROR(SEARCH("Met",tblMoeHistory[[#This Row],[State and Local Per Capita Result]]),0)&gt;0,IFERROR(SEARCH("Met",tblMoeHistory[[#This Row],[State and Local Total Result]]),0)&gt;0),"Met","Not Met")</f>
        <v>Met</v>
      </c>
    </row>
    <row r="905" spans="1:22" x14ac:dyDescent="0.35">
      <c r="A905" t="s">
        <v>137</v>
      </c>
      <c r="B905">
        <v>1968</v>
      </c>
      <c r="C905" t="s">
        <v>19</v>
      </c>
      <c r="D905">
        <v>83</v>
      </c>
      <c r="E905">
        <v>697613.59</v>
      </c>
      <c r="F905">
        <v>112018</v>
      </c>
      <c r="G905">
        <f>tblMoeHistory[[#This Row],[LEA State and Local Amount]]+tblMoeHistory[[#This Row],[ESD State and Local Amount]]</f>
        <v>809631.59</v>
      </c>
      <c r="H905">
        <v>0</v>
      </c>
      <c r="I905" t="s">
        <v>240</v>
      </c>
      <c r="J905">
        <f>IFERROR(tblMoeHistory[[#This Row],[LEA State and Local Amount]]/tblMoeHistory[[#This Row],[Child Count]],0)</f>
        <v>8404.9830120481929</v>
      </c>
      <c r="K905">
        <f>IFERROR(tblMoeHistory[[#This Row],[ESD State and Local Amount]]/tblMoeHistory[[#This Row],[Child Count]],0)</f>
        <v>1349.6144578313254</v>
      </c>
      <c r="L905">
        <f>IFERROR(tblMoeHistory[[#This Row],[State and Local Total Amount]]/tblMoeHistory[[#This Row],[Child Count]],0)</f>
        <v>9754.597469879518</v>
      </c>
      <c r="M905">
        <v>0</v>
      </c>
      <c r="N905" t="s">
        <v>240</v>
      </c>
      <c r="O905">
        <v>139585.24</v>
      </c>
      <c r="P905">
        <v>0</v>
      </c>
      <c r="Q905">
        <f>tblMoeHistory[[#This Row],[Amount of IDEA Part B, Section 611 award]]+tblMoeHistory[[#This Row],[Amount of IDEA Part B, Section 619 award]]</f>
        <v>139585.24</v>
      </c>
      <c r="U9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5" t="str">
        <f>IF(OR(IFERROR(SEARCH("Met",tblMoeHistory[[#This Row],[State and Local Per Capita Result]]),0)&gt;0,IFERROR(SEARCH("Met",tblMoeHistory[[#This Row],[State and Local Total Result]]),0)&gt;0),"Met","Not Met")</f>
        <v>Not Met</v>
      </c>
    </row>
    <row r="906" spans="1:22" x14ac:dyDescent="0.35">
      <c r="A906" t="s">
        <v>138</v>
      </c>
      <c r="B906">
        <v>2198</v>
      </c>
      <c r="C906" t="s">
        <v>19</v>
      </c>
      <c r="D906">
        <v>90</v>
      </c>
      <c r="E906">
        <v>1255054.02</v>
      </c>
      <c r="F906">
        <v>193446</v>
      </c>
      <c r="G906">
        <f>tblMoeHistory[[#This Row],[LEA State and Local Amount]]+tblMoeHistory[[#This Row],[ESD State and Local Amount]]</f>
        <v>1448500.02</v>
      </c>
      <c r="H906">
        <v>0</v>
      </c>
      <c r="I906" t="s">
        <v>241</v>
      </c>
      <c r="J906">
        <f>IFERROR(tblMoeHistory[[#This Row],[LEA State and Local Amount]]/tblMoeHistory[[#This Row],[Child Count]],0)</f>
        <v>13945.044666666667</v>
      </c>
      <c r="K906">
        <f>IFERROR(tblMoeHistory[[#This Row],[ESD State and Local Amount]]/tblMoeHistory[[#This Row],[Child Count]],0)</f>
        <v>2149.4</v>
      </c>
      <c r="L906">
        <f>IFERROR(tblMoeHistory[[#This Row],[State and Local Total Amount]]/tblMoeHistory[[#This Row],[Child Count]],0)</f>
        <v>16094.444666666666</v>
      </c>
      <c r="M906">
        <v>0</v>
      </c>
      <c r="N906" t="s">
        <v>240</v>
      </c>
      <c r="O906">
        <v>112107.53</v>
      </c>
      <c r="P906">
        <v>0</v>
      </c>
      <c r="Q906">
        <f>tblMoeHistory[[#This Row],[Amount of IDEA Part B, Section 611 award]]+tblMoeHistory[[#This Row],[Amount of IDEA Part B, Section 619 award]]</f>
        <v>112107.53</v>
      </c>
      <c r="U9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6" t="str">
        <f>IF(OR(IFERROR(SEARCH("Met",tblMoeHistory[[#This Row],[State and Local Per Capita Result]]),0)&gt;0,IFERROR(SEARCH("Met",tblMoeHistory[[#This Row],[State and Local Total Result]]),0)&gt;0),"Met","Not Met")</f>
        <v>Met</v>
      </c>
    </row>
    <row r="907" spans="1:22" x14ac:dyDescent="0.35">
      <c r="A907" t="s">
        <v>139</v>
      </c>
      <c r="B907">
        <v>2199</v>
      </c>
      <c r="C907" t="s">
        <v>19</v>
      </c>
      <c r="D907">
        <v>83</v>
      </c>
      <c r="E907">
        <v>817357.27</v>
      </c>
      <c r="F907">
        <v>120578</v>
      </c>
      <c r="G907">
        <f>tblMoeHistory[[#This Row],[LEA State and Local Amount]]+tblMoeHistory[[#This Row],[ESD State and Local Amount]]</f>
        <v>937935.27</v>
      </c>
      <c r="H907">
        <v>0</v>
      </c>
      <c r="I907" t="s">
        <v>241</v>
      </c>
      <c r="J907">
        <f>IFERROR(tblMoeHistory[[#This Row],[LEA State and Local Amount]]/tblMoeHistory[[#This Row],[Child Count]],0)</f>
        <v>9847.677951807229</v>
      </c>
      <c r="K907">
        <f>IFERROR(tblMoeHistory[[#This Row],[ESD State and Local Amount]]/tblMoeHistory[[#This Row],[Child Count]],0)</f>
        <v>1452.7469879518073</v>
      </c>
      <c r="L907">
        <f>IFERROR(tblMoeHistory[[#This Row],[State and Local Total Amount]]/tblMoeHistory[[#This Row],[Child Count]],0)</f>
        <v>11300.424939759036</v>
      </c>
      <c r="M907">
        <v>0</v>
      </c>
      <c r="N907" t="s">
        <v>241</v>
      </c>
      <c r="O907">
        <v>94505.73</v>
      </c>
      <c r="P907">
        <v>918.03</v>
      </c>
      <c r="Q907">
        <f>tblMoeHistory[[#This Row],[Amount of IDEA Part B, Section 611 award]]+tblMoeHistory[[#This Row],[Amount of IDEA Part B, Section 619 award]]</f>
        <v>95423.76</v>
      </c>
      <c r="U9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7" t="str">
        <f>IF(OR(IFERROR(SEARCH("Met",tblMoeHistory[[#This Row],[State and Local Per Capita Result]]),0)&gt;0,IFERROR(SEARCH("Met",tblMoeHistory[[#This Row],[State and Local Total Result]]),0)&gt;0),"Met","Not Met")</f>
        <v>Met</v>
      </c>
    </row>
    <row r="908" spans="1:22" x14ac:dyDescent="0.35">
      <c r="A908" t="s">
        <v>140</v>
      </c>
      <c r="B908">
        <v>2254</v>
      </c>
      <c r="C908" t="s">
        <v>19</v>
      </c>
      <c r="D908">
        <v>624</v>
      </c>
      <c r="E908">
        <v>5751111.6600000001</v>
      </c>
      <c r="F908">
        <v>47244.4</v>
      </c>
      <c r="G908">
        <f>tblMoeHistory[[#This Row],[LEA State and Local Amount]]+tblMoeHistory[[#This Row],[ESD State and Local Amount]]</f>
        <v>5798356.0600000005</v>
      </c>
      <c r="H908">
        <v>0</v>
      </c>
      <c r="I908" t="s">
        <v>242</v>
      </c>
      <c r="J908">
        <f>IFERROR(tblMoeHistory[[#This Row],[LEA State and Local Amount]]/tblMoeHistory[[#This Row],[Child Count]],0)</f>
        <v>9216.5250961538459</v>
      </c>
      <c r="K908">
        <f>IFERROR(tblMoeHistory[[#This Row],[ESD State and Local Amount]]/tblMoeHistory[[#This Row],[Child Count]],0)</f>
        <v>75.712179487179483</v>
      </c>
      <c r="L908">
        <f>IFERROR(tblMoeHistory[[#This Row],[State and Local Total Amount]]/tblMoeHistory[[#This Row],[Child Count]],0)</f>
        <v>9292.2372756410259</v>
      </c>
      <c r="M908">
        <v>0</v>
      </c>
      <c r="N908" t="s">
        <v>241</v>
      </c>
      <c r="O908">
        <v>767047.77</v>
      </c>
      <c r="P908">
        <v>4369.46</v>
      </c>
      <c r="Q908">
        <f>tblMoeHistory[[#This Row],[Amount of IDEA Part B, Section 611 award]]+tblMoeHistory[[#This Row],[Amount of IDEA Part B, Section 619 award]]</f>
        <v>771417.23</v>
      </c>
      <c r="S908">
        <v>218859.82</v>
      </c>
      <c r="T908">
        <v>218859.82</v>
      </c>
      <c r="U9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8" t="str">
        <f>IF(OR(IFERROR(SEARCH("Met",tblMoeHistory[[#This Row],[State and Local Per Capita Result]]),0)&gt;0,IFERROR(SEARCH("Met",tblMoeHistory[[#This Row],[State and Local Total Result]]),0)&gt;0),"Met","Not Met")</f>
        <v>Met</v>
      </c>
    </row>
    <row r="909" spans="1:22" x14ac:dyDescent="0.35">
      <c r="A909" t="s">
        <v>141</v>
      </c>
      <c r="B909">
        <v>1966</v>
      </c>
      <c r="C909" t="s">
        <v>19</v>
      </c>
      <c r="D909">
        <v>520</v>
      </c>
      <c r="E909">
        <v>3281960.72</v>
      </c>
      <c r="F909">
        <v>768072</v>
      </c>
      <c r="G909">
        <f>tblMoeHistory[[#This Row],[LEA State and Local Amount]]+tblMoeHistory[[#This Row],[ESD State and Local Amount]]</f>
        <v>4050032.72</v>
      </c>
      <c r="H909">
        <v>0</v>
      </c>
      <c r="I909" t="s">
        <v>241</v>
      </c>
      <c r="J909">
        <f>IFERROR(tblMoeHistory[[#This Row],[LEA State and Local Amount]]/tblMoeHistory[[#This Row],[Child Count]],0)</f>
        <v>6311.4629230769233</v>
      </c>
      <c r="K909">
        <f>IFERROR(tblMoeHistory[[#This Row],[ESD State and Local Amount]]/tblMoeHistory[[#This Row],[Child Count]],0)</f>
        <v>1477.0615384615385</v>
      </c>
      <c r="L909">
        <f>IFERROR(tblMoeHistory[[#This Row],[State and Local Total Amount]]/tblMoeHistory[[#This Row],[Child Count]],0)</f>
        <v>7788.5244615384618</v>
      </c>
      <c r="M909">
        <v>0</v>
      </c>
      <c r="N909" t="s">
        <v>240</v>
      </c>
      <c r="O909">
        <v>512547.26</v>
      </c>
      <c r="P909">
        <v>4994.07</v>
      </c>
      <c r="Q909">
        <f>tblMoeHistory[[#This Row],[Amount of IDEA Part B, Section 611 award]]+tblMoeHistory[[#This Row],[Amount of IDEA Part B, Section 619 award]]</f>
        <v>517541.33</v>
      </c>
      <c r="U9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9" t="str">
        <f>IF(OR(IFERROR(SEARCH("Met",tblMoeHistory[[#This Row],[State and Local Per Capita Result]]),0)&gt;0,IFERROR(SEARCH("Met",tblMoeHistory[[#This Row],[State and Local Total Result]]),0)&gt;0),"Met","Not Met")</f>
        <v>Met</v>
      </c>
    </row>
    <row r="910" spans="1:22" x14ac:dyDescent="0.35">
      <c r="A910" t="s">
        <v>142</v>
      </c>
      <c r="B910">
        <v>1924</v>
      </c>
      <c r="C910" t="s">
        <v>19</v>
      </c>
      <c r="D910">
        <v>2536</v>
      </c>
      <c r="E910">
        <v>18583057.260000002</v>
      </c>
      <c r="F910">
        <v>2232624</v>
      </c>
      <c r="G910">
        <f>tblMoeHistory[[#This Row],[LEA State and Local Amount]]+tblMoeHistory[[#This Row],[ESD State and Local Amount]]</f>
        <v>20815681.260000002</v>
      </c>
      <c r="H910">
        <v>0</v>
      </c>
      <c r="I910" t="s">
        <v>241</v>
      </c>
      <c r="J910">
        <f>IFERROR(tblMoeHistory[[#This Row],[LEA State and Local Amount]]/tblMoeHistory[[#This Row],[Child Count]],0)</f>
        <v>7327.7039668769721</v>
      </c>
      <c r="K910">
        <f>IFERROR(tblMoeHistory[[#This Row],[ESD State and Local Amount]]/tblMoeHistory[[#This Row],[Child Count]],0)</f>
        <v>880.37223974763413</v>
      </c>
      <c r="L910">
        <f>IFERROR(tblMoeHistory[[#This Row],[State and Local Total Amount]]/tblMoeHistory[[#This Row],[Child Count]],0)</f>
        <v>8208.0762066246061</v>
      </c>
      <c r="M910">
        <v>0</v>
      </c>
      <c r="N910" t="s">
        <v>241</v>
      </c>
      <c r="O910">
        <v>2462558.69</v>
      </c>
      <c r="P910">
        <v>13975.35</v>
      </c>
      <c r="Q910">
        <f>tblMoeHistory[[#This Row],[Amount of IDEA Part B, Section 611 award]]+tblMoeHistory[[#This Row],[Amount of IDEA Part B, Section 619 award]]</f>
        <v>2476534.04</v>
      </c>
      <c r="U9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0" t="str">
        <f>IF(OR(IFERROR(SEARCH("Met",tblMoeHistory[[#This Row],[State and Local Per Capita Result]]),0)&gt;0,IFERROR(SEARCH("Met",tblMoeHistory[[#This Row],[State and Local Total Result]]),0)&gt;0),"Met","Not Met")</f>
        <v>Met</v>
      </c>
    </row>
    <row r="911" spans="1:22" x14ac:dyDescent="0.35">
      <c r="A911" t="s">
        <v>143</v>
      </c>
      <c r="B911">
        <v>1996</v>
      </c>
      <c r="C911" t="s">
        <v>19</v>
      </c>
      <c r="D911">
        <v>38</v>
      </c>
      <c r="E911">
        <v>312757.03000000003</v>
      </c>
      <c r="F911">
        <v>47334.96</v>
      </c>
      <c r="G911">
        <f>tblMoeHistory[[#This Row],[LEA State and Local Amount]]+tblMoeHistory[[#This Row],[ESD State and Local Amount]]</f>
        <v>360091.99000000005</v>
      </c>
      <c r="H911">
        <v>0</v>
      </c>
      <c r="I911" t="s">
        <v>241</v>
      </c>
      <c r="J911">
        <f>IFERROR(tblMoeHistory[[#This Row],[LEA State and Local Amount]]/tblMoeHistory[[#This Row],[Child Count]],0)</f>
        <v>8230.448157894738</v>
      </c>
      <c r="K911">
        <f>IFERROR(tblMoeHistory[[#This Row],[ESD State and Local Amount]]/tblMoeHistory[[#This Row],[Child Count]],0)</f>
        <v>1245.6568421052632</v>
      </c>
      <c r="L911">
        <f>IFERROR(tblMoeHistory[[#This Row],[State and Local Total Amount]]/tblMoeHistory[[#This Row],[Child Count]],0)</f>
        <v>9476.1050000000014</v>
      </c>
      <c r="M911">
        <v>0</v>
      </c>
      <c r="N911" t="s">
        <v>240</v>
      </c>
      <c r="O911">
        <v>56337.63</v>
      </c>
      <c r="P911">
        <v>0</v>
      </c>
      <c r="Q911">
        <f>tblMoeHistory[[#This Row],[Amount of IDEA Part B, Section 611 award]]+tblMoeHistory[[#This Row],[Amount of IDEA Part B, Section 619 award]]</f>
        <v>56337.63</v>
      </c>
      <c r="U9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1" t="str">
        <f>IF(OR(IFERROR(SEARCH("Met",tblMoeHistory[[#This Row],[State and Local Per Capita Result]]),0)&gt;0,IFERROR(SEARCH("Met",tblMoeHistory[[#This Row],[State and Local Total Result]]),0)&gt;0),"Met","Not Met")</f>
        <v>Met</v>
      </c>
    </row>
    <row r="912" spans="1:22" x14ac:dyDescent="0.35">
      <c r="A912" t="s">
        <v>144</v>
      </c>
      <c r="B912">
        <v>2061</v>
      </c>
      <c r="C912" t="s">
        <v>19</v>
      </c>
      <c r="D912">
        <v>40</v>
      </c>
      <c r="E912">
        <v>187617.17</v>
      </c>
      <c r="F912">
        <v>78244.23</v>
      </c>
      <c r="G912">
        <f>tblMoeHistory[[#This Row],[LEA State and Local Amount]]+tblMoeHistory[[#This Row],[ESD State and Local Amount]]</f>
        <v>265861.40000000002</v>
      </c>
      <c r="H912">
        <v>0</v>
      </c>
      <c r="I912" t="s">
        <v>241</v>
      </c>
      <c r="J912">
        <f>IFERROR(tblMoeHistory[[#This Row],[LEA State and Local Amount]]/tblMoeHistory[[#This Row],[Child Count]],0)</f>
        <v>4690.4292500000001</v>
      </c>
      <c r="K912">
        <f>IFERROR(tblMoeHistory[[#This Row],[ESD State and Local Amount]]/tblMoeHistory[[#This Row],[Child Count]],0)</f>
        <v>1956.1057499999999</v>
      </c>
      <c r="L912">
        <f>IFERROR(tblMoeHistory[[#This Row],[State and Local Total Amount]]/tblMoeHistory[[#This Row],[Child Count]],0)</f>
        <v>6646.5350000000008</v>
      </c>
      <c r="M912">
        <v>0</v>
      </c>
      <c r="N912" t="s">
        <v>241</v>
      </c>
      <c r="O912">
        <v>47219.12</v>
      </c>
      <c r="P912">
        <v>765.02</v>
      </c>
      <c r="Q912">
        <f>tblMoeHistory[[#This Row],[Amount of IDEA Part B, Section 611 award]]+tblMoeHistory[[#This Row],[Amount of IDEA Part B, Section 619 award]]</f>
        <v>47984.14</v>
      </c>
      <c r="U9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2" t="str">
        <f>IF(OR(IFERROR(SEARCH("Met",tblMoeHistory[[#This Row],[State and Local Per Capita Result]]),0)&gt;0,IFERROR(SEARCH("Met",tblMoeHistory[[#This Row],[State and Local Total Result]]),0)&gt;0),"Met","Not Met")</f>
        <v>Met</v>
      </c>
    </row>
    <row r="913" spans="1:22" x14ac:dyDescent="0.35">
      <c r="A913" t="s">
        <v>145</v>
      </c>
      <c r="B913">
        <v>2141</v>
      </c>
      <c r="C913" t="s">
        <v>19</v>
      </c>
      <c r="D913">
        <v>285</v>
      </c>
      <c r="E913">
        <v>2368728.5699999998</v>
      </c>
      <c r="F913">
        <v>240983.19</v>
      </c>
      <c r="G913">
        <f>tblMoeHistory[[#This Row],[LEA State and Local Amount]]+tblMoeHistory[[#This Row],[ESD State and Local Amount]]</f>
        <v>2609711.7599999998</v>
      </c>
      <c r="H913">
        <v>0</v>
      </c>
      <c r="I913" t="s">
        <v>241</v>
      </c>
      <c r="J913">
        <f>IFERROR(tblMoeHistory[[#This Row],[LEA State and Local Amount]]/tblMoeHistory[[#This Row],[Child Count]],0)</f>
        <v>8311.328315789473</v>
      </c>
      <c r="K913">
        <f>IFERROR(tblMoeHistory[[#This Row],[ESD State and Local Amount]]/tblMoeHistory[[#This Row],[Child Count]],0)</f>
        <v>845.55505263157897</v>
      </c>
      <c r="L913">
        <f>IFERROR(tblMoeHistory[[#This Row],[State and Local Total Amount]]/tblMoeHistory[[#This Row],[Child Count]],0)</f>
        <v>9156.8833684210513</v>
      </c>
      <c r="M913">
        <v>0</v>
      </c>
      <c r="N913" t="s">
        <v>240</v>
      </c>
      <c r="O913">
        <v>267330.63</v>
      </c>
      <c r="P913">
        <v>2142.06</v>
      </c>
      <c r="Q913">
        <f>tblMoeHistory[[#This Row],[Amount of IDEA Part B, Section 611 award]]+tblMoeHistory[[#This Row],[Amount of IDEA Part B, Section 619 award]]</f>
        <v>269472.69</v>
      </c>
      <c r="U9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3" t="str">
        <f>IF(OR(IFERROR(SEARCH("Met",tblMoeHistory[[#This Row],[State and Local Per Capita Result]]),0)&gt;0,IFERROR(SEARCH("Met",tblMoeHistory[[#This Row],[State and Local Total Result]]),0)&gt;0),"Met","Not Met")</f>
        <v>Met</v>
      </c>
    </row>
    <row r="914" spans="1:22" x14ac:dyDescent="0.35">
      <c r="A914" t="s">
        <v>146</v>
      </c>
      <c r="B914">
        <v>2214</v>
      </c>
      <c r="C914" t="s">
        <v>19</v>
      </c>
      <c r="D914">
        <v>42</v>
      </c>
      <c r="E914">
        <v>170882.98</v>
      </c>
      <c r="F914">
        <v>28820.34</v>
      </c>
      <c r="G914">
        <f>tblMoeHistory[[#This Row],[LEA State and Local Amount]]+tblMoeHistory[[#This Row],[ESD State and Local Amount]]</f>
        <v>199703.32</v>
      </c>
      <c r="H914">
        <v>0</v>
      </c>
      <c r="I914" t="s">
        <v>241</v>
      </c>
      <c r="J914">
        <f>IFERROR(tblMoeHistory[[#This Row],[LEA State and Local Amount]]/tblMoeHistory[[#This Row],[Child Count]],0)</f>
        <v>4068.6423809523812</v>
      </c>
      <c r="K914">
        <f>IFERROR(tblMoeHistory[[#This Row],[ESD State and Local Amount]]/tblMoeHistory[[#This Row],[Child Count]],0)</f>
        <v>686.19857142857143</v>
      </c>
      <c r="L914">
        <f>IFERROR(tblMoeHistory[[#This Row],[State and Local Total Amount]]/tblMoeHistory[[#This Row],[Child Count]],0)</f>
        <v>4754.8409523809523</v>
      </c>
      <c r="M914">
        <v>0</v>
      </c>
      <c r="N914" t="s">
        <v>240</v>
      </c>
      <c r="O914">
        <v>43449.48</v>
      </c>
      <c r="P914">
        <v>0</v>
      </c>
      <c r="Q914">
        <f>tblMoeHistory[[#This Row],[Amount of IDEA Part B, Section 611 award]]+tblMoeHistory[[#This Row],[Amount of IDEA Part B, Section 619 award]]</f>
        <v>43449.48</v>
      </c>
      <c r="U9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4" t="str">
        <f>IF(OR(IFERROR(SEARCH("Met",tblMoeHistory[[#This Row],[State and Local Per Capita Result]]),0)&gt;0,IFERROR(SEARCH("Met",tblMoeHistory[[#This Row],[State and Local Total Result]]),0)&gt;0),"Met","Not Met")</f>
        <v>Met</v>
      </c>
    </row>
    <row r="915" spans="1:22" x14ac:dyDescent="0.35">
      <c r="A915" t="s">
        <v>147</v>
      </c>
      <c r="B915">
        <v>2143</v>
      </c>
      <c r="C915" t="s">
        <v>19</v>
      </c>
      <c r="D915">
        <v>273</v>
      </c>
      <c r="E915">
        <v>2637796.83</v>
      </c>
      <c r="F915">
        <v>118947.45</v>
      </c>
      <c r="G915">
        <f>tblMoeHistory[[#This Row],[LEA State and Local Amount]]+tblMoeHistory[[#This Row],[ESD State and Local Amount]]</f>
        <v>2756744.2800000003</v>
      </c>
      <c r="H915">
        <v>0</v>
      </c>
      <c r="I915" t="s">
        <v>241</v>
      </c>
      <c r="J915">
        <f>IFERROR(tblMoeHistory[[#This Row],[LEA State and Local Amount]]/tblMoeHistory[[#This Row],[Child Count]],0)</f>
        <v>9662.2594505494508</v>
      </c>
      <c r="K915">
        <f>IFERROR(tblMoeHistory[[#This Row],[ESD State and Local Amount]]/tblMoeHistory[[#This Row],[Child Count]],0)</f>
        <v>435.70494505494503</v>
      </c>
      <c r="L915">
        <f>IFERROR(tblMoeHistory[[#This Row],[State and Local Total Amount]]/tblMoeHistory[[#This Row],[Child Count]],0)</f>
        <v>10097.964395604396</v>
      </c>
      <c r="M915">
        <v>0</v>
      </c>
      <c r="N915" t="s">
        <v>241</v>
      </c>
      <c r="O915">
        <v>414155.05</v>
      </c>
      <c r="P915">
        <v>1460.5</v>
      </c>
      <c r="Q915">
        <f>tblMoeHistory[[#This Row],[Amount of IDEA Part B, Section 611 award]]+tblMoeHistory[[#This Row],[Amount of IDEA Part B, Section 619 award]]</f>
        <v>415615.55</v>
      </c>
      <c r="U9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5" t="str">
        <f>IF(OR(IFERROR(SEARCH("Met",tblMoeHistory[[#This Row],[State and Local Per Capita Result]]),0)&gt;0,IFERROR(SEARCH("Met",tblMoeHistory[[#This Row],[State and Local Total Result]]),0)&gt;0),"Met","Not Met")</f>
        <v>Met</v>
      </c>
    </row>
    <row r="916" spans="1:22" x14ac:dyDescent="0.35">
      <c r="A916" t="s">
        <v>148</v>
      </c>
      <c r="B916">
        <v>4131</v>
      </c>
      <c r="C916" t="s">
        <v>19</v>
      </c>
      <c r="D916">
        <v>441</v>
      </c>
      <c r="E916">
        <v>3946348.98</v>
      </c>
      <c r="F916">
        <v>0</v>
      </c>
      <c r="G916">
        <f>tblMoeHistory[[#This Row],[LEA State and Local Amount]]+tblMoeHistory[[#This Row],[ESD State and Local Amount]]</f>
        <v>3946348.98</v>
      </c>
      <c r="H916">
        <v>0</v>
      </c>
      <c r="I916" t="s">
        <v>241</v>
      </c>
      <c r="J916">
        <f>IFERROR(tblMoeHistory[[#This Row],[LEA State and Local Amount]]/tblMoeHistory[[#This Row],[Child Count]],0)</f>
        <v>8948.637142857142</v>
      </c>
      <c r="K916">
        <f>IFERROR(tblMoeHistory[[#This Row],[ESD State and Local Amount]]/tblMoeHistory[[#This Row],[Child Count]],0)</f>
        <v>0</v>
      </c>
      <c r="L916">
        <f>IFERROR(tblMoeHistory[[#This Row],[State and Local Total Amount]]/tblMoeHistory[[#This Row],[Child Count]],0)</f>
        <v>8948.637142857142</v>
      </c>
      <c r="M916">
        <v>0</v>
      </c>
      <c r="N916" t="s">
        <v>241</v>
      </c>
      <c r="O916">
        <v>523256.49</v>
      </c>
      <c r="P916">
        <v>7865.82</v>
      </c>
      <c r="Q916">
        <f>tblMoeHistory[[#This Row],[Amount of IDEA Part B, Section 611 award]]+tblMoeHistory[[#This Row],[Amount of IDEA Part B, Section 619 award]]</f>
        <v>531122.30999999994</v>
      </c>
      <c r="U9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6" t="str">
        <f>IF(OR(IFERROR(SEARCH("Met",tblMoeHistory[[#This Row],[State and Local Per Capita Result]]),0)&gt;0,IFERROR(SEARCH("Met",tblMoeHistory[[#This Row],[State and Local Total Result]]),0)&gt;0),"Met","Not Met")</f>
        <v>Met</v>
      </c>
    </row>
    <row r="917" spans="1:22" x14ac:dyDescent="0.35">
      <c r="A917" t="s">
        <v>149</v>
      </c>
      <c r="B917">
        <v>2110</v>
      </c>
      <c r="C917" t="s">
        <v>19</v>
      </c>
      <c r="D917">
        <v>174</v>
      </c>
      <c r="E917">
        <v>759947.86</v>
      </c>
      <c r="F917">
        <v>341959.2</v>
      </c>
      <c r="G917">
        <f>tblMoeHistory[[#This Row],[LEA State and Local Amount]]+tblMoeHistory[[#This Row],[ESD State and Local Amount]]</f>
        <v>1101907.06</v>
      </c>
      <c r="H917">
        <v>0</v>
      </c>
      <c r="I917" t="s">
        <v>241</v>
      </c>
      <c r="J917">
        <f>IFERROR(tblMoeHistory[[#This Row],[LEA State and Local Amount]]/tblMoeHistory[[#This Row],[Child Count]],0)</f>
        <v>4367.5164367816087</v>
      </c>
      <c r="K917">
        <f>IFERROR(tblMoeHistory[[#This Row],[ESD State and Local Amount]]/tblMoeHistory[[#This Row],[Child Count]],0)</f>
        <v>1965.2827586206897</v>
      </c>
      <c r="L917">
        <f>IFERROR(tblMoeHistory[[#This Row],[State and Local Total Amount]]/tblMoeHistory[[#This Row],[Child Count]],0)</f>
        <v>6332.7991954022991</v>
      </c>
      <c r="M917">
        <v>0</v>
      </c>
      <c r="N917" t="s">
        <v>240</v>
      </c>
      <c r="O917">
        <v>217075.1</v>
      </c>
      <c r="P917">
        <v>953.34</v>
      </c>
      <c r="Q917">
        <f>tblMoeHistory[[#This Row],[Amount of IDEA Part B, Section 611 award]]+tblMoeHistory[[#This Row],[Amount of IDEA Part B, Section 619 award]]</f>
        <v>218028.44</v>
      </c>
      <c r="U9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7" t="str">
        <f>IF(OR(IFERROR(SEARCH("Met",tblMoeHistory[[#This Row],[State and Local Per Capita Result]]),0)&gt;0,IFERROR(SEARCH("Met",tblMoeHistory[[#This Row],[State and Local Total Result]]),0)&gt;0),"Met","Not Met")</f>
        <v>Met</v>
      </c>
    </row>
    <row r="918" spans="1:22" x14ac:dyDescent="0.35">
      <c r="A918" t="s">
        <v>150</v>
      </c>
      <c r="B918">
        <v>1990</v>
      </c>
      <c r="C918" t="s">
        <v>19</v>
      </c>
      <c r="D918">
        <v>59</v>
      </c>
      <c r="E918">
        <v>325186.34000000003</v>
      </c>
      <c r="F918">
        <v>104279.78</v>
      </c>
      <c r="G918">
        <f>tblMoeHistory[[#This Row],[LEA State and Local Amount]]+tblMoeHistory[[#This Row],[ESD State and Local Amount]]</f>
        <v>429466.12</v>
      </c>
      <c r="H918">
        <v>0</v>
      </c>
      <c r="I918" t="s">
        <v>242</v>
      </c>
      <c r="J918">
        <f>IFERROR(tblMoeHistory[[#This Row],[LEA State and Local Amount]]/tblMoeHistory[[#This Row],[Child Count]],0)</f>
        <v>5511.632881355933</v>
      </c>
      <c r="K918">
        <f>IFERROR(tblMoeHistory[[#This Row],[ESD State and Local Amount]]/tblMoeHistory[[#This Row],[Child Count]],0)</f>
        <v>1767.4538983050847</v>
      </c>
      <c r="L918">
        <f>IFERROR(tblMoeHistory[[#This Row],[State and Local Total Amount]]/tblMoeHistory[[#This Row],[Child Count]],0)</f>
        <v>7279.0867796610173</v>
      </c>
      <c r="M918">
        <v>0</v>
      </c>
      <c r="N918" t="s">
        <v>240</v>
      </c>
      <c r="O918">
        <v>88258.06</v>
      </c>
      <c r="P918">
        <v>1652.45</v>
      </c>
      <c r="Q918">
        <f>tblMoeHistory[[#This Row],[Amount of IDEA Part B, Section 611 award]]+tblMoeHistory[[#This Row],[Amount of IDEA Part B, Section 619 award]]</f>
        <v>89910.51</v>
      </c>
      <c r="S918">
        <v>24488</v>
      </c>
      <c r="U9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8" t="str">
        <f>IF(OR(IFERROR(SEARCH("Met",tblMoeHistory[[#This Row],[State and Local Per Capita Result]]),0)&gt;0,IFERROR(SEARCH("Met",tblMoeHistory[[#This Row],[State and Local Total Result]]),0)&gt;0),"Met","Not Met")</f>
        <v>Met</v>
      </c>
    </row>
    <row r="919" spans="1:22" x14ac:dyDescent="0.35">
      <c r="A919" t="s">
        <v>151</v>
      </c>
      <c r="B919">
        <v>2093</v>
      </c>
      <c r="C919" t="s">
        <v>19</v>
      </c>
      <c r="D919">
        <v>89</v>
      </c>
      <c r="E919">
        <v>428373.42</v>
      </c>
      <c r="F919">
        <v>183080</v>
      </c>
      <c r="G919">
        <f>tblMoeHistory[[#This Row],[LEA State and Local Amount]]+tblMoeHistory[[#This Row],[ESD State and Local Amount]]</f>
        <v>611453.41999999993</v>
      </c>
      <c r="H919">
        <v>0</v>
      </c>
      <c r="I919" t="s">
        <v>242</v>
      </c>
      <c r="J919">
        <f>IFERROR(tblMoeHistory[[#This Row],[LEA State and Local Amount]]/tblMoeHistory[[#This Row],[Child Count]],0)</f>
        <v>4813.1844943820224</v>
      </c>
      <c r="K919">
        <f>IFERROR(tblMoeHistory[[#This Row],[ESD State and Local Amount]]/tblMoeHistory[[#This Row],[Child Count]],0)</f>
        <v>2057.0786516853932</v>
      </c>
      <c r="L919">
        <f>IFERROR(tblMoeHistory[[#This Row],[State and Local Total Amount]]/tblMoeHistory[[#This Row],[Child Count]],0)</f>
        <v>6870.2631460674147</v>
      </c>
      <c r="M919">
        <v>0</v>
      </c>
      <c r="N919" t="s">
        <v>240</v>
      </c>
      <c r="O919">
        <v>124875.27</v>
      </c>
      <c r="P919">
        <v>1752.6</v>
      </c>
      <c r="Q919">
        <f>tblMoeHistory[[#This Row],[Amount of IDEA Part B, Section 611 award]]+tblMoeHistory[[#This Row],[Amount of IDEA Part B, Section 619 award]]</f>
        <v>126627.87000000001</v>
      </c>
      <c r="S919">
        <v>67281.23</v>
      </c>
      <c r="U9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9" t="str">
        <f>IF(OR(IFERROR(SEARCH("Met",tblMoeHistory[[#This Row],[State and Local Per Capita Result]]),0)&gt;0,IFERROR(SEARCH("Met",tblMoeHistory[[#This Row],[State and Local Total Result]]),0)&gt;0),"Met","Not Met")</f>
        <v>Met</v>
      </c>
    </row>
    <row r="920" spans="1:22" x14ac:dyDescent="0.35">
      <c r="A920" t="s">
        <v>152</v>
      </c>
      <c r="B920">
        <v>2108</v>
      </c>
      <c r="C920" t="s">
        <v>19</v>
      </c>
      <c r="D920">
        <v>287</v>
      </c>
      <c r="E920">
        <v>2476014.7999999998</v>
      </c>
      <c r="F920">
        <v>58894</v>
      </c>
      <c r="G920">
        <f>tblMoeHistory[[#This Row],[LEA State and Local Amount]]+tblMoeHistory[[#This Row],[ESD State and Local Amount]]</f>
        <v>2534908.7999999998</v>
      </c>
      <c r="H920">
        <v>0</v>
      </c>
      <c r="I920" t="s">
        <v>241</v>
      </c>
      <c r="J920">
        <f>IFERROR(tblMoeHistory[[#This Row],[LEA State and Local Amount]]/tblMoeHistory[[#This Row],[Child Count]],0)</f>
        <v>8627.2292682926818</v>
      </c>
      <c r="K920">
        <f>IFERROR(tblMoeHistory[[#This Row],[ESD State and Local Amount]]/tblMoeHistory[[#This Row],[Child Count]],0)</f>
        <v>205.20557491289199</v>
      </c>
      <c r="L920">
        <f>IFERROR(tblMoeHistory[[#This Row],[State and Local Total Amount]]/tblMoeHistory[[#This Row],[Child Count]],0)</f>
        <v>8832.434843205574</v>
      </c>
      <c r="M920">
        <v>0</v>
      </c>
      <c r="N920" t="s">
        <v>241</v>
      </c>
      <c r="O920">
        <v>465031.27</v>
      </c>
      <c r="P920">
        <v>3672.11</v>
      </c>
      <c r="Q920">
        <f>tblMoeHistory[[#This Row],[Amount of IDEA Part B, Section 611 award]]+tblMoeHistory[[#This Row],[Amount of IDEA Part B, Section 619 award]]</f>
        <v>468703.38</v>
      </c>
      <c r="T920">
        <v>50569.04</v>
      </c>
      <c r="U9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0" t="str">
        <f>IF(OR(IFERROR(SEARCH("Met",tblMoeHistory[[#This Row],[State and Local Per Capita Result]]),0)&gt;0,IFERROR(SEARCH("Met",tblMoeHistory[[#This Row],[State and Local Total Result]]),0)&gt;0),"Met","Not Met")</f>
        <v>Met</v>
      </c>
    </row>
    <row r="921" spans="1:22" x14ac:dyDescent="0.35">
      <c r="A921" t="s">
        <v>153</v>
      </c>
      <c r="B921">
        <v>1928</v>
      </c>
      <c r="C921" t="s">
        <v>19</v>
      </c>
      <c r="D921">
        <v>1248</v>
      </c>
      <c r="E921">
        <v>12864581.33</v>
      </c>
      <c r="F921">
        <v>1752310</v>
      </c>
      <c r="G921">
        <f>tblMoeHistory[[#This Row],[LEA State and Local Amount]]+tblMoeHistory[[#This Row],[ESD State and Local Amount]]</f>
        <v>14616891.33</v>
      </c>
      <c r="H921">
        <v>0</v>
      </c>
      <c r="I921" t="s">
        <v>241</v>
      </c>
      <c r="J921">
        <f>IFERROR(tblMoeHistory[[#This Row],[LEA State and Local Amount]]/tblMoeHistory[[#This Row],[Child Count]],0)</f>
        <v>10308.158116987179</v>
      </c>
      <c r="K921">
        <f>IFERROR(tblMoeHistory[[#This Row],[ESD State and Local Amount]]/tblMoeHistory[[#This Row],[Child Count]],0)</f>
        <v>1404.0945512820513</v>
      </c>
      <c r="L921">
        <f>IFERROR(tblMoeHistory[[#This Row],[State and Local Total Amount]]/tblMoeHistory[[#This Row],[Child Count]],0)</f>
        <v>11712.252668269231</v>
      </c>
      <c r="M921">
        <v>0</v>
      </c>
      <c r="N921" t="s">
        <v>241</v>
      </c>
      <c r="O921">
        <v>1270006.1599999999</v>
      </c>
      <c r="P921">
        <v>10614.04</v>
      </c>
      <c r="Q921">
        <f>tblMoeHistory[[#This Row],[Amount of IDEA Part B, Section 611 award]]+tblMoeHistory[[#This Row],[Amount of IDEA Part B, Section 619 award]]</f>
        <v>1280620.2</v>
      </c>
      <c r="U9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1" t="str">
        <f>IF(OR(IFERROR(SEARCH("Met",tblMoeHistory[[#This Row],[State and Local Per Capita Result]]),0)&gt;0,IFERROR(SEARCH("Met",tblMoeHistory[[#This Row],[State and Local Total Result]]),0)&gt;0),"Met","Not Met")</f>
        <v>Met</v>
      </c>
    </row>
    <row r="922" spans="1:22" x14ac:dyDescent="0.35">
      <c r="A922" t="s">
        <v>154</v>
      </c>
      <c r="B922">
        <v>1926</v>
      </c>
      <c r="C922" t="s">
        <v>19</v>
      </c>
      <c r="D922">
        <v>548</v>
      </c>
      <c r="E922">
        <v>5733281.5700000003</v>
      </c>
      <c r="F922">
        <v>635889</v>
      </c>
      <c r="G922">
        <f>tblMoeHistory[[#This Row],[LEA State and Local Amount]]+tblMoeHistory[[#This Row],[ESD State and Local Amount]]</f>
        <v>6369170.5700000003</v>
      </c>
      <c r="H922">
        <v>0</v>
      </c>
      <c r="I922" t="s">
        <v>241</v>
      </c>
      <c r="J922">
        <f>IFERROR(tblMoeHistory[[#This Row],[LEA State and Local Amount]]/tblMoeHistory[[#This Row],[Child Count]],0)</f>
        <v>10462.192645985402</v>
      </c>
      <c r="K922">
        <f>IFERROR(tblMoeHistory[[#This Row],[ESD State and Local Amount]]/tblMoeHistory[[#This Row],[Child Count]],0)</f>
        <v>1160.3813868613138</v>
      </c>
      <c r="L922">
        <f>IFERROR(tblMoeHistory[[#This Row],[State and Local Total Amount]]/tblMoeHistory[[#This Row],[Child Count]],0)</f>
        <v>11622.574032846716</v>
      </c>
      <c r="M922">
        <v>0</v>
      </c>
      <c r="N922" t="s">
        <v>241</v>
      </c>
      <c r="O922">
        <v>650272.34</v>
      </c>
      <c r="P922">
        <v>5610.16</v>
      </c>
      <c r="Q922">
        <f>tblMoeHistory[[#This Row],[Amount of IDEA Part B, Section 611 award]]+tblMoeHistory[[#This Row],[Amount of IDEA Part B, Section 619 award]]</f>
        <v>655882.5</v>
      </c>
      <c r="U9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2" t="str">
        <f>IF(OR(IFERROR(SEARCH("Met",tblMoeHistory[[#This Row],[State and Local Per Capita Result]]),0)&gt;0,IFERROR(SEARCH("Met",tblMoeHistory[[#This Row],[State and Local Total Result]]),0)&gt;0),"Met","Not Met")</f>
        <v>Met</v>
      </c>
    </row>
    <row r="923" spans="1:22" x14ac:dyDescent="0.35">
      <c r="A923" t="s">
        <v>155</v>
      </c>
      <c r="B923">
        <v>2060</v>
      </c>
      <c r="C923" t="s">
        <v>19</v>
      </c>
      <c r="D923">
        <v>21</v>
      </c>
      <c r="E923">
        <v>45733.27</v>
      </c>
      <c r="F923">
        <v>62125.03</v>
      </c>
      <c r="G923">
        <f>tblMoeHistory[[#This Row],[LEA State and Local Amount]]+tblMoeHistory[[#This Row],[ESD State and Local Amount]]</f>
        <v>107858.29999999999</v>
      </c>
      <c r="H923">
        <v>0</v>
      </c>
      <c r="I923" t="s">
        <v>239</v>
      </c>
      <c r="J923">
        <f>IFERROR(tblMoeHistory[[#This Row],[LEA State and Local Amount]]/tblMoeHistory[[#This Row],[Child Count]],0)</f>
        <v>2177.7747619047618</v>
      </c>
      <c r="K923">
        <f>IFERROR(tblMoeHistory[[#This Row],[ESD State and Local Amount]]/tblMoeHistory[[#This Row],[Child Count]],0)</f>
        <v>2958.3347619047618</v>
      </c>
      <c r="L923">
        <f>IFERROR(tblMoeHistory[[#This Row],[State and Local Total Amount]]/tblMoeHistory[[#This Row],[Child Count]],0)</f>
        <v>5136.1095238095231</v>
      </c>
      <c r="M923">
        <v>0</v>
      </c>
      <c r="N923" t="s">
        <v>239</v>
      </c>
      <c r="O923">
        <v>30415.63</v>
      </c>
      <c r="P923">
        <v>306.01</v>
      </c>
      <c r="Q923">
        <f>tblMoeHistory[[#This Row],[Amount of IDEA Part B, Section 611 award]]+tblMoeHistory[[#This Row],[Amount of IDEA Part B, Section 619 award]]</f>
        <v>30721.64</v>
      </c>
      <c r="U9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3" t="str">
        <f>IF(OR(IFERROR(SEARCH("Met",tblMoeHistory[[#This Row],[State and Local Per Capita Result]]),0)&gt;0,IFERROR(SEARCH("Met",tblMoeHistory[[#This Row],[State and Local Total Result]]),0)&gt;0),"Met","Not Met")</f>
        <v>Met</v>
      </c>
    </row>
    <row r="924" spans="1:22" x14ac:dyDescent="0.35">
      <c r="A924" t="s">
        <v>156</v>
      </c>
      <c r="B924">
        <v>2181</v>
      </c>
      <c r="C924" t="s">
        <v>19</v>
      </c>
      <c r="D924">
        <v>485</v>
      </c>
      <c r="E924">
        <v>6217624.8899999997</v>
      </c>
      <c r="F924">
        <v>999199.67</v>
      </c>
      <c r="G924">
        <f>tblMoeHistory[[#This Row],[LEA State and Local Amount]]+tblMoeHistory[[#This Row],[ESD State and Local Amount]]</f>
        <v>7216824.5599999996</v>
      </c>
      <c r="H924">
        <v>0</v>
      </c>
      <c r="I924" t="s">
        <v>241</v>
      </c>
      <c r="J924">
        <f>IFERROR(tblMoeHistory[[#This Row],[LEA State and Local Amount]]/tblMoeHistory[[#This Row],[Child Count]],0)</f>
        <v>12819.845134020617</v>
      </c>
      <c r="K924">
        <f>IFERROR(tblMoeHistory[[#This Row],[ESD State and Local Amount]]/tblMoeHistory[[#This Row],[Child Count]],0)</f>
        <v>2060.2055051546395</v>
      </c>
      <c r="L924">
        <f>IFERROR(tblMoeHistory[[#This Row],[State and Local Total Amount]]/tblMoeHistory[[#This Row],[Child Count]],0)</f>
        <v>14880.050639175257</v>
      </c>
      <c r="M924">
        <v>0</v>
      </c>
      <c r="N924" t="s">
        <v>241</v>
      </c>
      <c r="O924">
        <v>590980.97</v>
      </c>
      <c r="P924">
        <v>2652.08</v>
      </c>
      <c r="Q924">
        <f>tblMoeHistory[[#This Row],[Amount of IDEA Part B, Section 611 award]]+tblMoeHistory[[#This Row],[Amount of IDEA Part B, Section 619 award]]</f>
        <v>593633.04999999993</v>
      </c>
      <c r="U9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4" t="str">
        <f>IF(OR(IFERROR(SEARCH("Met",tblMoeHistory[[#This Row],[State and Local Per Capita Result]]),0)&gt;0,IFERROR(SEARCH("Met",tblMoeHistory[[#This Row],[State and Local Total Result]]),0)&gt;0),"Met","Not Met")</f>
        <v>Met</v>
      </c>
    </row>
    <row r="925" spans="1:22" x14ac:dyDescent="0.35">
      <c r="A925" t="s">
        <v>157</v>
      </c>
      <c r="B925">
        <v>2207</v>
      </c>
      <c r="C925" t="s">
        <v>19</v>
      </c>
      <c r="D925">
        <v>422</v>
      </c>
      <c r="E925">
        <v>3656789.17</v>
      </c>
      <c r="F925">
        <v>611177.48</v>
      </c>
      <c r="G925">
        <f>tblMoeHistory[[#This Row],[LEA State and Local Amount]]+tblMoeHistory[[#This Row],[ESD State and Local Amount]]</f>
        <v>4267966.6500000004</v>
      </c>
      <c r="H925">
        <v>0</v>
      </c>
      <c r="I925" t="s">
        <v>239</v>
      </c>
      <c r="J925">
        <f>IFERROR(tblMoeHistory[[#This Row],[LEA State and Local Amount]]/tblMoeHistory[[#This Row],[Child Count]],0)</f>
        <v>8665.377180094787</v>
      </c>
      <c r="K925">
        <f>IFERROR(tblMoeHistory[[#This Row],[ESD State and Local Amount]]/tblMoeHistory[[#This Row],[Child Count]],0)</f>
        <v>1448.2878672985782</v>
      </c>
      <c r="L925">
        <f>IFERROR(tblMoeHistory[[#This Row],[State and Local Total Amount]]/tblMoeHistory[[#This Row],[Child Count]],0)</f>
        <v>10113.665047393366</v>
      </c>
      <c r="M925">
        <v>0</v>
      </c>
      <c r="N925" t="s">
        <v>239</v>
      </c>
      <c r="O925">
        <v>532570.30000000005</v>
      </c>
      <c r="P925">
        <v>3292.92</v>
      </c>
      <c r="Q925">
        <f>tblMoeHistory[[#This Row],[Amount of IDEA Part B, Section 611 award]]+tblMoeHistory[[#This Row],[Amount of IDEA Part B, Section 619 award]]</f>
        <v>535863.22000000009</v>
      </c>
      <c r="U9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5" t="str">
        <f>IF(OR(IFERROR(SEARCH("Met",tblMoeHistory[[#This Row],[State and Local Per Capita Result]]),0)&gt;0,IFERROR(SEARCH("Met",tblMoeHistory[[#This Row],[State and Local Total Result]]),0)&gt;0),"Met","Not Met")</f>
        <v>Met</v>
      </c>
    </row>
    <row r="926" spans="1:22" x14ac:dyDescent="0.35">
      <c r="A926" t="s">
        <v>158</v>
      </c>
      <c r="B926">
        <v>2192</v>
      </c>
      <c r="C926" t="s">
        <v>19</v>
      </c>
      <c r="D926">
        <v>33</v>
      </c>
      <c r="E926">
        <v>255892.12</v>
      </c>
      <c r="F926">
        <v>16163.36</v>
      </c>
      <c r="G926">
        <f>tblMoeHistory[[#This Row],[LEA State and Local Amount]]+tblMoeHistory[[#This Row],[ESD State and Local Amount]]</f>
        <v>272055.48</v>
      </c>
      <c r="H926">
        <v>0</v>
      </c>
      <c r="I926" t="s">
        <v>241</v>
      </c>
      <c r="J926">
        <f>IFERROR(tblMoeHistory[[#This Row],[LEA State and Local Amount]]/tblMoeHistory[[#This Row],[Child Count]],0)</f>
        <v>7754.3066666666664</v>
      </c>
      <c r="K926">
        <f>IFERROR(tblMoeHistory[[#This Row],[ESD State and Local Amount]]/tblMoeHistory[[#This Row],[Child Count]],0)</f>
        <v>489.79878787878789</v>
      </c>
      <c r="L926">
        <f>IFERROR(tblMoeHistory[[#This Row],[State and Local Total Amount]]/tblMoeHistory[[#This Row],[Child Count]],0)</f>
        <v>8244.1054545454535</v>
      </c>
      <c r="M926">
        <v>0</v>
      </c>
      <c r="N926" t="s">
        <v>240</v>
      </c>
      <c r="O926">
        <v>20009.25</v>
      </c>
      <c r="P926">
        <v>0</v>
      </c>
      <c r="Q926">
        <f>tblMoeHistory[[#This Row],[Amount of IDEA Part B, Section 611 award]]+tblMoeHistory[[#This Row],[Amount of IDEA Part B, Section 619 award]]</f>
        <v>20009.25</v>
      </c>
      <c r="U9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6" t="str">
        <f>IF(OR(IFERROR(SEARCH("Met",tblMoeHistory[[#This Row],[State and Local Per Capita Result]]),0)&gt;0,IFERROR(SEARCH("Met",tblMoeHistory[[#This Row],[State and Local Total Result]]),0)&gt;0),"Met","Not Met")</f>
        <v>Met</v>
      </c>
    </row>
    <row r="927" spans="1:22" x14ac:dyDescent="0.35">
      <c r="A927" t="s">
        <v>160</v>
      </c>
      <c r="B927">
        <v>1900</v>
      </c>
      <c r="C927" t="s">
        <v>19</v>
      </c>
      <c r="D927">
        <v>190</v>
      </c>
      <c r="E927">
        <v>1051260.1100000001</v>
      </c>
      <c r="F927">
        <v>152203</v>
      </c>
      <c r="G927">
        <f>tblMoeHistory[[#This Row],[LEA State and Local Amount]]+tblMoeHistory[[#This Row],[ESD State and Local Amount]]</f>
        <v>1203463.1100000001</v>
      </c>
      <c r="H927">
        <v>0</v>
      </c>
      <c r="I927" t="s">
        <v>239</v>
      </c>
      <c r="J927">
        <f>IFERROR(tblMoeHistory[[#This Row],[LEA State and Local Amount]]/tblMoeHistory[[#This Row],[Child Count]],0)</f>
        <v>5532.9479473684214</v>
      </c>
      <c r="K927">
        <f>IFERROR(tblMoeHistory[[#This Row],[ESD State and Local Amount]]/tblMoeHistory[[#This Row],[Child Count]],0)</f>
        <v>801.06842105263161</v>
      </c>
      <c r="L927">
        <f>IFERROR(tblMoeHistory[[#This Row],[State and Local Total Amount]]/tblMoeHistory[[#This Row],[Child Count]],0)</f>
        <v>6334.0163684210529</v>
      </c>
      <c r="M927">
        <v>0</v>
      </c>
      <c r="N927" t="s">
        <v>239</v>
      </c>
      <c r="O927">
        <v>225422.1</v>
      </c>
      <c r="P927">
        <v>4177.0200000000004</v>
      </c>
      <c r="Q927">
        <f>tblMoeHistory[[#This Row],[Amount of IDEA Part B, Section 611 award]]+tblMoeHistory[[#This Row],[Amount of IDEA Part B, Section 619 award]]</f>
        <v>229599.12</v>
      </c>
      <c r="U9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7" t="str">
        <f>IF(OR(IFERROR(SEARCH("Met",tblMoeHistory[[#This Row],[State and Local Per Capita Result]]),0)&gt;0,IFERROR(SEARCH("Met",tblMoeHistory[[#This Row],[State and Local Total Result]]),0)&gt;0),"Met","Not Met")</f>
        <v>Met</v>
      </c>
    </row>
    <row r="928" spans="1:22" x14ac:dyDescent="0.35">
      <c r="A928" t="s">
        <v>161</v>
      </c>
      <c r="B928">
        <v>2039</v>
      </c>
      <c r="C928" t="s">
        <v>19</v>
      </c>
      <c r="D928">
        <v>407</v>
      </c>
      <c r="E928">
        <v>2447621.96</v>
      </c>
      <c r="F928">
        <v>700170.61</v>
      </c>
      <c r="G928">
        <f>tblMoeHistory[[#This Row],[LEA State and Local Amount]]+tblMoeHistory[[#This Row],[ESD State and Local Amount]]</f>
        <v>3147792.57</v>
      </c>
      <c r="H928">
        <v>0</v>
      </c>
      <c r="I928" t="s">
        <v>241</v>
      </c>
      <c r="J928">
        <f>IFERROR(tblMoeHistory[[#This Row],[LEA State and Local Amount]]/tblMoeHistory[[#This Row],[Child Count]],0)</f>
        <v>6013.8131695331695</v>
      </c>
      <c r="K928">
        <f>IFERROR(tblMoeHistory[[#This Row],[ESD State and Local Amount]]/tblMoeHistory[[#This Row],[Child Count]],0)</f>
        <v>1720.320909090909</v>
      </c>
      <c r="L928">
        <f>IFERROR(tblMoeHistory[[#This Row],[State and Local Total Amount]]/tblMoeHistory[[#This Row],[Child Count]],0)</f>
        <v>7734.134078624078</v>
      </c>
      <c r="M928">
        <v>0</v>
      </c>
      <c r="N928" t="s">
        <v>240</v>
      </c>
      <c r="O928">
        <v>436822.77</v>
      </c>
      <c r="P928">
        <v>8041.24</v>
      </c>
      <c r="Q928">
        <f>tblMoeHistory[[#This Row],[Amount of IDEA Part B, Section 611 award]]+tblMoeHistory[[#This Row],[Amount of IDEA Part B, Section 619 award]]</f>
        <v>444864.01</v>
      </c>
      <c r="U9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8" t="str">
        <f>IF(OR(IFERROR(SEARCH("Met",tblMoeHistory[[#This Row],[State and Local Per Capita Result]]),0)&gt;0,IFERROR(SEARCH("Met",tblMoeHistory[[#This Row],[State and Local Total Result]]),0)&gt;0),"Met","Not Met")</f>
        <v>Met</v>
      </c>
    </row>
    <row r="929" spans="1:22" x14ac:dyDescent="0.35">
      <c r="A929" t="s">
        <v>162</v>
      </c>
      <c r="B929">
        <v>2202</v>
      </c>
      <c r="C929" t="s">
        <v>19</v>
      </c>
      <c r="D929">
        <v>46</v>
      </c>
      <c r="E929">
        <v>282425.63</v>
      </c>
      <c r="F929">
        <v>65879.7</v>
      </c>
      <c r="G929">
        <f>tblMoeHistory[[#This Row],[LEA State and Local Amount]]+tblMoeHistory[[#This Row],[ESD State and Local Amount]]</f>
        <v>348305.33</v>
      </c>
      <c r="H929">
        <v>0</v>
      </c>
      <c r="I929" t="s">
        <v>239</v>
      </c>
      <c r="J929">
        <f>IFERROR(tblMoeHistory[[#This Row],[LEA State and Local Amount]]/tblMoeHistory[[#This Row],[Child Count]],0)</f>
        <v>6139.6876086956527</v>
      </c>
      <c r="K929">
        <f>IFERROR(tblMoeHistory[[#This Row],[ESD State and Local Amount]]/tblMoeHistory[[#This Row],[Child Count]],0)</f>
        <v>1432.1673913043478</v>
      </c>
      <c r="L929">
        <f>IFERROR(tblMoeHistory[[#This Row],[State and Local Total Amount]]/tblMoeHistory[[#This Row],[Child Count]],0)</f>
        <v>7571.8550000000005</v>
      </c>
      <c r="M929">
        <v>0</v>
      </c>
      <c r="N929" t="s">
        <v>239</v>
      </c>
      <c r="O929">
        <v>70776.09</v>
      </c>
      <c r="P929">
        <v>275.41000000000003</v>
      </c>
      <c r="Q929">
        <f>tblMoeHistory[[#This Row],[Amount of IDEA Part B, Section 611 award]]+tblMoeHistory[[#This Row],[Amount of IDEA Part B, Section 619 award]]</f>
        <v>71051.5</v>
      </c>
      <c r="U9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9" t="str">
        <f>IF(OR(IFERROR(SEARCH("Met",tblMoeHistory[[#This Row],[State and Local Per Capita Result]]),0)&gt;0,IFERROR(SEARCH("Met",tblMoeHistory[[#This Row],[State and Local Total Result]]),0)&gt;0),"Met","Not Met")</f>
        <v>Met</v>
      </c>
    </row>
    <row r="930" spans="1:22" x14ac:dyDescent="0.35">
      <c r="A930" t="s">
        <v>163</v>
      </c>
      <c r="B930">
        <v>2016</v>
      </c>
      <c r="C930" t="s">
        <v>19</v>
      </c>
      <c r="D930">
        <v>1</v>
      </c>
      <c r="E930">
        <v>28571.89</v>
      </c>
      <c r="F930">
        <v>5487</v>
      </c>
      <c r="G930">
        <f>tblMoeHistory[[#This Row],[LEA State and Local Amount]]+tblMoeHistory[[#This Row],[ESD State and Local Amount]]</f>
        <v>34058.89</v>
      </c>
      <c r="H930">
        <v>0</v>
      </c>
      <c r="I930" t="s">
        <v>242</v>
      </c>
      <c r="J930">
        <f>IFERROR(tblMoeHistory[[#This Row],[LEA State and Local Amount]]/tblMoeHistory[[#This Row],[Child Count]],0)</f>
        <v>28571.89</v>
      </c>
      <c r="K930">
        <f>IFERROR(tblMoeHistory[[#This Row],[ESD State and Local Amount]]/tblMoeHistory[[#This Row],[Child Count]],0)</f>
        <v>5487</v>
      </c>
      <c r="L930">
        <f>IFERROR(tblMoeHistory[[#This Row],[State and Local Total Amount]]/tblMoeHistory[[#This Row],[Child Count]],0)</f>
        <v>34058.89</v>
      </c>
      <c r="M930">
        <v>0</v>
      </c>
      <c r="N930" t="s">
        <v>241</v>
      </c>
      <c r="O930">
        <v>0</v>
      </c>
      <c r="P930">
        <v>0</v>
      </c>
      <c r="Q930">
        <f>tblMoeHistory[[#This Row],[Amount of IDEA Part B, Section 611 award]]+tblMoeHistory[[#This Row],[Amount of IDEA Part B, Section 619 award]]</f>
        <v>0</v>
      </c>
      <c r="S930">
        <v>25169</v>
      </c>
      <c r="T930">
        <v>25169</v>
      </c>
      <c r="U9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0" t="str">
        <f>IF(OR(IFERROR(SEARCH("Met",tblMoeHistory[[#This Row],[State and Local Per Capita Result]]),0)&gt;0,IFERROR(SEARCH("Met",tblMoeHistory[[#This Row],[State and Local Total Result]]),0)&gt;0),"Met","Not Met")</f>
        <v>Met</v>
      </c>
    </row>
    <row r="931" spans="1:22" x14ac:dyDescent="0.35">
      <c r="A931" t="s">
        <v>164</v>
      </c>
      <c r="B931">
        <v>1897</v>
      </c>
      <c r="C931" t="s">
        <v>19</v>
      </c>
      <c r="D931">
        <v>27</v>
      </c>
      <c r="E931">
        <v>158703.22</v>
      </c>
      <c r="F931">
        <v>0</v>
      </c>
      <c r="G931">
        <f>tblMoeHistory[[#This Row],[LEA State and Local Amount]]+tblMoeHistory[[#This Row],[ESD State and Local Amount]]</f>
        <v>158703.22</v>
      </c>
      <c r="H931">
        <v>0</v>
      </c>
      <c r="I931" t="s">
        <v>241</v>
      </c>
      <c r="J931">
        <f>IFERROR(tblMoeHistory[[#This Row],[LEA State and Local Amount]]/tblMoeHistory[[#This Row],[Child Count]],0)</f>
        <v>5877.8970370370371</v>
      </c>
      <c r="K931">
        <f>IFERROR(tblMoeHistory[[#This Row],[ESD State and Local Amount]]/tblMoeHistory[[#This Row],[Child Count]],0)</f>
        <v>0</v>
      </c>
      <c r="L931">
        <f>IFERROR(tblMoeHistory[[#This Row],[State and Local Total Amount]]/tblMoeHistory[[#This Row],[Child Count]],0)</f>
        <v>5877.8970370370371</v>
      </c>
      <c r="M931">
        <v>0</v>
      </c>
      <c r="N931" t="s">
        <v>240</v>
      </c>
      <c r="O931">
        <v>31223.4</v>
      </c>
      <c r="P931">
        <v>0</v>
      </c>
      <c r="Q931">
        <f>tblMoeHistory[[#This Row],[Amount of IDEA Part B, Section 611 award]]+tblMoeHistory[[#This Row],[Amount of IDEA Part B, Section 619 award]]</f>
        <v>31223.4</v>
      </c>
      <c r="U9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1" t="str">
        <f>IF(OR(IFERROR(SEARCH("Met",tblMoeHistory[[#This Row],[State and Local Per Capita Result]]),0)&gt;0,IFERROR(SEARCH("Met",tblMoeHistory[[#This Row],[State and Local Total Result]]),0)&gt;0),"Met","Not Met")</f>
        <v>Met</v>
      </c>
    </row>
    <row r="932" spans="1:22" x14ac:dyDescent="0.35">
      <c r="A932" t="s">
        <v>165</v>
      </c>
      <c r="B932">
        <v>2047</v>
      </c>
      <c r="C932" t="s">
        <v>19</v>
      </c>
      <c r="D932">
        <v>2</v>
      </c>
      <c r="E932">
        <v>6966</v>
      </c>
      <c r="F932">
        <v>8362.76</v>
      </c>
      <c r="G932">
        <f>tblMoeHistory[[#This Row],[LEA State and Local Amount]]+tblMoeHistory[[#This Row],[ESD State and Local Amount]]</f>
        <v>15328.76</v>
      </c>
      <c r="H932">
        <v>0</v>
      </c>
      <c r="I932" t="s">
        <v>239</v>
      </c>
      <c r="J932">
        <f>IFERROR(tblMoeHistory[[#This Row],[LEA State and Local Amount]]/tblMoeHistory[[#This Row],[Child Count]],0)</f>
        <v>3483</v>
      </c>
      <c r="K932">
        <f>IFERROR(tblMoeHistory[[#This Row],[ESD State and Local Amount]]/tblMoeHistory[[#This Row],[Child Count]],0)</f>
        <v>4181.38</v>
      </c>
      <c r="L932">
        <f>IFERROR(tblMoeHistory[[#This Row],[State and Local Total Amount]]/tblMoeHistory[[#This Row],[Child Count]],0)</f>
        <v>7664.38</v>
      </c>
      <c r="M932">
        <v>0</v>
      </c>
      <c r="N932" t="s">
        <v>239</v>
      </c>
      <c r="O932">
        <v>8798.58</v>
      </c>
      <c r="P932">
        <v>918.03</v>
      </c>
      <c r="Q932">
        <f>tblMoeHistory[[#This Row],[Amount of IDEA Part B, Section 611 award]]+tblMoeHistory[[#This Row],[Amount of IDEA Part B, Section 619 award]]</f>
        <v>9716.61</v>
      </c>
      <c r="U9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2" t="str">
        <f>IF(OR(IFERROR(SEARCH("Met",tblMoeHistory[[#This Row],[State and Local Per Capita Result]]),0)&gt;0,IFERROR(SEARCH("Met",tblMoeHistory[[#This Row],[State and Local Total Result]]),0)&gt;0),"Met","Not Met")</f>
        <v>Met</v>
      </c>
    </row>
    <row r="933" spans="1:22" x14ac:dyDescent="0.35">
      <c r="A933" t="s">
        <v>166</v>
      </c>
      <c r="B933">
        <v>2081</v>
      </c>
      <c r="C933" t="s">
        <v>19</v>
      </c>
      <c r="D933">
        <v>130</v>
      </c>
      <c r="E933">
        <v>1052928.23</v>
      </c>
      <c r="F933">
        <v>284331</v>
      </c>
      <c r="G933">
        <f>tblMoeHistory[[#This Row],[LEA State and Local Amount]]+tblMoeHistory[[#This Row],[ESD State and Local Amount]]</f>
        <v>1337259.23</v>
      </c>
      <c r="H933">
        <v>0</v>
      </c>
      <c r="I933" t="s">
        <v>241</v>
      </c>
      <c r="J933">
        <f>IFERROR(tblMoeHistory[[#This Row],[LEA State and Local Amount]]/tblMoeHistory[[#This Row],[Child Count]],0)</f>
        <v>8099.447923076923</v>
      </c>
      <c r="K933">
        <f>IFERROR(tblMoeHistory[[#This Row],[ESD State and Local Amount]]/tblMoeHistory[[#This Row],[Child Count]],0)</f>
        <v>2187.1615384615384</v>
      </c>
      <c r="L933">
        <f>IFERROR(tblMoeHistory[[#This Row],[State and Local Total Amount]]/tblMoeHistory[[#This Row],[Child Count]],0)</f>
        <v>10286.609461538461</v>
      </c>
      <c r="M933">
        <v>0</v>
      </c>
      <c r="N933" t="s">
        <v>240</v>
      </c>
      <c r="O933">
        <v>159657.13</v>
      </c>
      <c r="P933">
        <v>459.01</v>
      </c>
      <c r="Q933">
        <f>tblMoeHistory[[#This Row],[Amount of IDEA Part B, Section 611 award]]+tblMoeHistory[[#This Row],[Amount of IDEA Part B, Section 619 award]]</f>
        <v>160116.14000000001</v>
      </c>
      <c r="U9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3" t="str">
        <f>IF(OR(IFERROR(SEARCH("Met",tblMoeHistory[[#This Row],[State and Local Per Capita Result]]),0)&gt;0,IFERROR(SEARCH("Met",tblMoeHistory[[#This Row],[State and Local Total Result]]),0)&gt;0),"Met","Not Met")</f>
        <v>Met</v>
      </c>
    </row>
    <row r="934" spans="1:22" x14ac:dyDescent="0.35">
      <c r="A934" t="s">
        <v>167</v>
      </c>
      <c r="B934">
        <v>2062</v>
      </c>
      <c r="C934" t="s">
        <v>19</v>
      </c>
      <c r="D934">
        <v>1</v>
      </c>
      <c r="E934">
        <v>0</v>
      </c>
      <c r="F934">
        <v>6421.17</v>
      </c>
      <c r="G934">
        <f>tblMoeHistory[[#This Row],[LEA State and Local Amount]]+tblMoeHistory[[#This Row],[ESD State and Local Amount]]</f>
        <v>6421.17</v>
      </c>
      <c r="H934">
        <v>0</v>
      </c>
      <c r="I934" t="s">
        <v>239</v>
      </c>
      <c r="J934">
        <f>IFERROR(tblMoeHistory[[#This Row],[LEA State and Local Amount]]/tblMoeHistory[[#This Row],[Child Count]],0)</f>
        <v>0</v>
      </c>
      <c r="K934">
        <f>IFERROR(tblMoeHistory[[#This Row],[ESD State and Local Amount]]/tblMoeHistory[[#This Row],[Child Count]],0)</f>
        <v>6421.17</v>
      </c>
      <c r="L934">
        <f>IFERROR(tblMoeHistory[[#This Row],[State and Local Total Amount]]/tblMoeHistory[[#This Row],[Child Count]],0)</f>
        <v>6421.17</v>
      </c>
      <c r="M934">
        <v>0</v>
      </c>
      <c r="N934" t="s">
        <v>239</v>
      </c>
      <c r="O934">
        <v>2606.02</v>
      </c>
      <c r="P934">
        <v>0</v>
      </c>
      <c r="Q934">
        <f>tblMoeHistory[[#This Row],[Amount of IDEA Part B, Section 611 award]]+tblMoeHistory[[#This Row],[Amount of IDEA Part B, Section 619 award]]</f>
        <v>2606.02</v>
      </c>
      <c r="U9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4" t="str">
        <f>IF(OR(IFERROR(SEARCH("Met",tblMoeHistory[[#This Row],[State and Local Per Capita Result]]),0)&gt;0,IFERROR(SEARCH("Met",tblMoeHistory[[#This Row],[State and Local Total Result]]),0)&gt;0),"Met","Not Met")</f>
        <v>Met</v>
      </c>
    </row>
    <row r="935" spans="1:22" x14ac:dyDescent="0.35">
      <c r="A935" t="s">
        <v>168</v>
      </c>
      <c r="B935">
        <v>1973</v>
      </c>
      <c r="C935" t="s">
        <v>19</v>
      </c>
      <c r="D935">
        <v>24</v>
      </c>
      <c r="E935">
        <v>192866.23</v>
      </c>
      <c r="F935">
        <v>85727</v>
      </c>
      <c r="G935">
        <f>tblMoeHistory[[#This Row],[LEA State and Local Amount]]+tblMoeHistory[[#This Row],[ESD State and Local Amount]]</f>
        <v>278593.23</v>
      </c>
      <c r="H935">
        <v>0</v>
      </c>
      <c r="I935" t="s">
        <v>242</v>
      </c>
      <c r="J935">
        <f>IFERROR(tblMoeHistory[[#This Row],[LEA State and Local Amount]]/tblMoeHistory[[#This Row],[Child Count]],0)</f>
        <v>8036.0929166666674</v>
      </c>
      <c r="K935">
        <f>IFERROR(tblMoeHistory[[#This Row],[ESD State and Local Amount]]/tblMoeHistory[[#This Row],[Child Count]],0)</f>
        <v>3571.9583333333335</v>
      </c>
      <c r="L935">
        <f>IFERROR(tblMoeHistory[[#This Row],[State and Local Total Amount]]/tblMoeHistory[[#This Row],[Child Count]],0)</f>
        <v>11608.051249999999</v>
      </c>
      <c r="M935">
        <v>0</v>
      </c>
      <c r="N935" t="s">
        <v>242</v>
      </c>
      <c r="O935">
        <v>60310.36</v>
      </c>
      <c r="P935">
        <v>459.01</v>
      </c>
      <c r="Q935">
        <f>tblMoeHistory[[#This Row],[Amount of IDEA Part B, Section 611 award]]+tblMoeHistory[[#This Row],[Amount of IDEA Part B, Section 619 award]]</f>
        <v>60769.37</v>
      </c>
      <c r="S935">
        <v>23663.919999999998</v>
      </c>
      <c r="T935">
        <v>58225.919999999998</v>
      </c>
      <c r="U9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5" t="str">
        <f>IF(OR(IFERROR(SEARCH("Met",tblMoeHistory[[#This Row],[State and Local Per Capita Result]]),0)&gt;0,IFERROR(SEARCH("Met",tblMoeHistory[[#This Row],[State and Local Total Result]]),0)&gt;0),"Met","Not Met")</f>
        <v>Met</v>
      </c>
    </row>
    <row r="936" spans="1:22" x14ac:dyDescent="0.35">
      <c r="A936" t="s">
        <v>169</v>
      </c>
      <c r="B936">
        <v>2180</v>
      </c>
      <c r="C936" t="s">
        <v>19</v>
      </c>
      <c r="D936">
        <v>6795</v>
      </c>
      <c r="E936">
        <v>74749364.769999996</v>
      </c>
      <c r="F936">
        <v>1018182.77</v>
      </c>
      <c r="G936">
        <f>tblMoeHistory[[#This Row],[LEA State and Local Amount]]+tblMoeHistory[[#This Row],[ESD State and Local Amount]]</f>
        <v>75767547.539999992</v>
      </c>
      <c r="H936">
        <v>0</v>
      </c>
      <c r="I936" t="s">
        <v>241</v>
      </c>
      <c r="J936">
        <f>IFERROR(tblMoeHistory[[#This Row],[LEA State and Local Amount]]/tblMoeHistory[[#This Row],[Child Count]],0)</f>
        <v>11000.642350257542</v>
      </c>
      <c r="K936">
        <f>IFERROR(tblMoeHistory[[#This Row],[ESD State and Local Amount]]/tblMoeHistory[[#This Row],[Child Count]],0)</f>
        <v>149.84293892568064</v>
      </c>
      <c r="L936">
        <f>IFERROR(tblMoeHistory[[#This Row],[State and Local Total Amount]]/tblMoeHistory[[#This Row],[Child Count]],0)</f>
        <v>11150.485289183222</v>
      </c>
      <c r="M936">
        <v>0</v>
      </c>
      <c r="N936" t="s">
        <v>240</v>
      </c>
      <c r="O936">
        <v>7589178.5999999996</v>
      </c>
      <c r="P936">
        <v>93630.98</v>
      </c>
      <c r="Q936">
        <f>tblMoeHistory[[#This Row],[Amount of IDEA Part B, Section 611 award]]+tblMoeHistory[[#This Row],[Amount of IDEA Part B, Section 619 award]]</f>
        <v>7682809.5800000001</v>
      </c>
      <c r="U9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6" t="str">
        <f>IF(OR(IFERROR(SEARCH("Met",tblMoeHistory[[#This Row],[State and Local Per Capita Result]]),0)&gt;0,IFERROR(SEARCH("Met",tblMoeHistory[[#This Row],[State and Local Total Result]]),0)&gt;0),"Met","Not Met")</f>
        <v>Met</v>
      </c>
    </row>
    <row r="937" spans="1:22" x14ac:dyDescent="0.35">
      <c r="A937" t="s">
        <v>170</v>
      </c>
      <c r="B937">
        <v>1967</v>
      </c>
      <c r="C937" t="s">
        <v>19</v>
      </c>
      <c r="D937">
        <v>14</v>
      </c>
      <c r="E937">
        <v>127192.09</v>
      </c>
      <c r="F937">
        <v>28070</v>
      </c>
      <c r="G937">
        <f>tblMoeHistory[[#This Row],[LEA State and Local Amount]]+tblMoeHistory[[#This Row],[ESD State and Local Amount]]</f>
        <v>155262.09</v>
      </c>
      <c r="H937">
        <v>0</v>
      </c>
      <c r="I937" t="s">
        <v>242</v>
      </c>
      <c r="J937">
        <f>IFERROR(tblMoeHistory[[#This Row],[LEA State and Local Amount]]/tblMoeHistory[[#This Row],[Child Count]],0)</f>
        <v>9085.1492857142857</v>
      </c>
      <c r="K937">
        <f>IFERROR(tblMoeHistory[[#This Row],[ESD State and Local Amount]]/tblMoeHistory[[#This Row],[Child Count]],0)</f>
        <v>2005</v>
      </c>
      <c r="L937">
        <f>IFERROR(tblMoeHistory[[#This Row],[State and Local Total Amount]]/tblMoeHistory[[#This Row],[Child Count]],0)</f>
        <v>11090.149285714286</v>
      </c>
      <c r="M937">
        <v>0</v>
      </c>
      <c r="N937" t="s">
        <v>240</v>
      </c>
      <c r="O937">
        <v>26315.22</v>
      </c>
      <c r="P937">
        <v>0</v>
      </c>
      <c r="Q937">
        <f>tblMoeHistory[[#This Row],[Amount of IDEA Part B, Section 611 award]]+tblMoeHistory[[#This Row],[Amount of IDEA Part B, Section 619 award]]</f>
        <v>26315.22</v>
      </c>
      <c r="S937">
        <v>36323.46</v>
      </c>
      <c r="U9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7" t="str">
        <f>IF(OR(IFERROR(SEARCH("Met",tblMoeHistory[[#This Row],[State and Local Per Capita Result]]),0)&gt;0,IFERROR(SEARCH("Met",tblMoeHistory[[#This Row],[State and Local Total Result]]),0)&gt;0),"Met","Not Met")</f>
        <v>Met</v>
      </c>
    </row>
    <row r="938" spans="1:22" x14ac:dyDescent="0.35">
      <c r="A938" t="s">
        <v>171</v>
      </c>
      <c r="B938">
        <v>2009</v>
      </c>
      <c r="C938" t="s">
        <v>19</v>
      </c>
      <c r="D938">
        <v>88</v>
      </c>
      <c r="E938">
        <v>113753.09</v>
      </c>
      <c r="F938">
        <v>120228.17</v>
      </c>
      <c r="G938">
        <f>tblMoeHistory[[#This Row],[LEA State and Local Amount]]+tblMoeHistory[[#This Row],[ESD State and Local Amount]]</f>
        <v>233981.26</v>
      </c>
      <c r="H938">
        <v>0</v>
      </c>
      <c r="I938" t="s">
        <v>239</v>
      </c>
      <c r="J938">
        <f>IFERROR(tblMoeHistory[[#This Row],[LEA State and Local Amount]]/tblMoeHistory[[#This Row],[Child Count]],0)</f>
        <v>1292.6487500000001</v>
      </c>
      <c r="K938">
        <f>IFERROR(tblMoeHistory[[#This Row],[ESD State and Local Amount]]/tblMoeHistory[[#This Row],[Child Count]],0)</f>
        <v>1366.2292045454544</v>
      </c>
      <c r="L938">
        <f>IFERROR(tblMoeHistory[[#This Row],[State and Local Total Amount]]/tblMoeHistory[[#This Row],[Child Count]],0)</f>
        <v>2658.8779545454545</v>
      </c>
      <c r="M938">
        <v>0</v>
      </c>
      <c r="N938" t="s">
        <v>239</v>
      </c>
      <c r="O938">
        <v>27201.55</v>
      </c>
      <c r="P938">
        <v>786.88</v>
      </c>
      <c r="Q938">
        <f>tblMoeHistory[[#This Row],[Amount of IDEA Part B, Section 611 award]]+tblMoeHistory[[#This Row],[Amount of IDEA Part B, Section 619 award]]</f>
        <v>27988.43</v>
      </c>
      <c r="U9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8" t="str">
        <f>IF(OR(IFERROR(SEARCH("Met",tblMoeHistory[[#This Row],[State and Local Per Capita Result]]),0)&gt;0,IFERROR(SEARCH("Met",tblMoeHistory[[#This Row],[State and Local Total Result]]),0)&gt;0),"Met","Not Met")</f>
        <v>Met</v>
      </c>
    </row>
    <row r="939" spans="1:22" x14ac:dyDescent="0.35">
      <c r="A939" t="s">
        <v>172</v>
      </c>
      <c r="B939">
        <v>2045</v>
      </c>
      <c r="C939" t="s">
        <v>19</v>
      </c>
      <c r="D939">
        <v>17</v>
      </c>
      <c r="E939">
        <v>154418.32</v>
      </c>
      <c r="F939">
        <v>90897.61</v>
      </c>
      <c r="G939">
        <f>tblMoeHistory[[#This Row],[LEA State and Local Amount]]+tblMoeHistory[[#This Row],[ESD State and Local Amount]]</f>
        <v>245315.93</v>
      </c>
      <c r="H939">
        <v>0</v>
      </c>
      <c r="I939" t="s">
        <v>239</v>
      </c>
      <c r="J939">
        <f>IFERROR(tblMoeHistory[[#This Row],[LEA State and Local Amount]]/tblMoeHistory[[#This Row],[Child Count]],0)</f>
        <v>9083.4305882352946</v>
      </c>
      <c r="K939">
        <f>IFERROR(tblMoeHistory[[#This Row],[ESD State and Local Amount]]/tblMoeHistory[[#This Row],[Child Count]],0)</f>
        <v>5346.9182352941179</v>
      </c>
      <c r="L939">
        <f>IFERROR(tblMoeHistory[[#This Row],[State and Local Total Amount]]/tblMoeHistory[[#This Row],[Child Count]],0)</f>
        <v>14430.348823529412</v>
      </c>
      <c r="M939">
        <v>0</v>
      </c>
      <c r="N939" t="s">
        <v>239</v>
      </c>
      <c r="O939">
        <v>41015.040000000001</v>
      </c>
      <c r="P939">
        <v>918.03</v>
      </c>
      <c r="Q939">
        <f>tblMoeHistory[[#This Row],[Amount of IDEA Part B, Section 611 award]]+tblMoeHistory[[#This Row],[Amount of IDEA Part B, Section 619 award]]</f>
        <v>41933.07</v>
      </c>
      <c r="T939">
        <v>78720.37</v>
      </c>
      <c r="U9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9" t="str">
        <f>IF(OR(IFERROR(SEARCH("Met",tblMoeHistory[[#This Row],[State and Local Per Capita Result]]),0)&gt;0,IFERROR(SEARCH("Met",tblMoeHistory[[#This Row],[State and Local Total Result]]),0)&gt;0),"Met","Not Met")</f>
        <v>Met</v>
      </c>
    </row>
    <row r="940" spans="1:22" x14ac:dyDescent="0.35">
      <c r="A940" t="s">
        <v>173</v>
      </c>
      <c r="B940">
        <v>1946</v>
      </c>
      <c r="C940" t="s">
        <v>19</v>
      </c>
      <c r="D940">
        <v>121</v>
      </c>
      <c r="E940">
        <v>1560839.3</v>
      </c>
      <c r="F940">
        <v>97854</v>
      </c>
      <c r="G940">
        <f>tblMoeHistory[[#This Row],[LEA State and Local Amount]]+tblMoeHistory[[#This Row],[ESD State and Local Amount]]</f>
        <v>1658693.3</v>
      </c>
      <c r="H940">
        <v>0</v>
      </c>
      <c r="I940" t="s">
        <v>241</v>
      </c>
      <c r="J940">
        <f>IFERROR(tblMoeHistory[[#This Row],[LEA State and Local Amount]]/tblMoeHistory[[#This Row],[Child Count]],0)</f>
        <v>12899.498347107439</v>
      </c>
      <c r="K940">
        <f>IFERROR(tblMoeHistory[[#This Row],[ESD State and Local Amount]]/tblMoeHistory[[#This Row],[Child Count]],0)</f>
        <v>808.71074380165294</v>
      </c>
      <c r="L940">
        <f>IFERROR(tblMoeHistory[[#This Row],[State and Local Total Amount]]/tblMoeHistory[[#This Row],[Child Count]],0)</f>
        <v>13708.209090909091</v>
      </c>
      <c r="M940">
        <v>0</v>
      </c>
      <c r="N940" t="s">
        <v>241</v>
      </c>
      <c r="O940">
        <v>194270.5</v>
      </c>
      <c r="P940">
        <v>1251.8499999999999</v>
      </c>
      <c r="Q940">
        <f>tblMoeHistory[[#This Row],[Amount of IDEA Part B, Section 611 award]]+tblMoeHistory[[#This Row],[Amount of IDEA Part B, Section 619 award]]</f>
        <v>195522.35</v>
      </c>
      <c r="U9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0" t="str">
        <f>IF(OR(IFERROR(SEARCH("Met",tblMoeHistory[[#This Row],[State and Local Per Capita Result]]),0)&gt;0,IFERROR(SEARCH("Met",tblMoeHistory[[#This Row],[State and Local Total Result]]),0)&gt;0),"Met","Not Met")</f>
        <v>Met</v>
      </c>
    </row>
    <row r="941" spans="1:22" x14ac:dyDescent="0.35">
      <c r="A941" t="s">
        <v>174</v>
      </c>
      <c r="B941">
        <v>1977</v>
      </c>
      <c r="C941" t="s">
        <v>19</v>
      </c>
      <c r="D941">
        <v>972</v>
      </c>
      <c r="E941">
        <v>7408598.3600000003</v>
      </c>
      <c r="F941">
        <v>1137511.58</v>
      </c>
      <c r="G941">
        <f>tblMoeHistory[[#This Row],[LEA State and Local Amount]]+tblMoeHistory[[#This Row],[ESD State and Local Amount]]</f>
        <v>8546109.9400000013</v>
      </c>
      <c r="H941">
        <v>0</v>
      </c>
      <c r="I941" t="s">
        <v>241</v>
      </c>
      <c r="J941">
        <f>IFERROR(tblMoeHistory[[#This Row],[LEA State and Local Amount]]/tblMoeHistory[[#This Row],[Child Count]],0)</f>
        <v>7622.0147736625522</v>
      </c>
      <c r="K941">
        <f>IFERROR(tblMoeHistory[[#This Row],[ESD State and Local Amount]]/tblMoeHistory[[#This Row],[Child Count]],0)</f>
        <v>1170.2794032921811</v>
      </c>
      <c r="L941">
        <f>IFERROR(tblMoeHistory[[#This Row],[State and Local Total Amount]]/tblMoeHistory[[#This Row],[Child Count]],0)</f>
        <v>8792.2941769547342</v>
      </c>
      <c r="M941">
        <v>0</v>
      </c>
      <c r="N941" t="s">
        <v>241</v>
      </c>
      <c r="O941">
        <v>1013083.29</v>
      </c>
      <c r="P941">
        <v>4536.8599999999997</v>
      </c>
      <c r="Q941">
        <f>tblMoeHistory[[#This Row],[Amount of IDEA Part B, Section 611 award]]+tblMoeHistory[[#This Row],[Amount of IDEA Part B, Section 619 award]]</f>
        <v>1017620.15</v>
      </c>
      <c r="U9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1" t="str">
        <f>IF(OR(IFERROR(SEARCH("Met",tblMoeHistory[[#This Row],[State and Local Per Capita Result]]),0)&gt;0,IFERROR(SEARCH("Met",tblMoeHistory[[#This Row],[State and Local Total Result]]),0)&gt;0),"Met","Not Met")</f>
        <v>Met</v>
      </c>
    </row>
    <row r="942" spans="1:22" x14ac:dyDescent="0.35">
      <c r="A942" t="s">
        <v>175</v>
      </c>
      <c r="B942">
        <v>2001</v>
      </c>
      <c r="C942" t="s">
        <v>19</v>
      </c>
      <c r="D942">
        <v>100</v>
      </c>
      <c r="E942">
        <v>671376.15</v>
      </c>
      <c r="F942">
        <v>193740</v>
      </c>
      <c r="G942">
        <f>tblMoeHistory[[#This Row],[LEA State and Local Amount]]+tblMoeHistory[[#This Row],[ESD State and Local Amount]]</f>
        <v>865116.15</v>
      </c>
      <c r="H942">
        <v>0</v>
      </c>
      <c r="I942" t="s">
        <v>241</v>
      </c>
      <c r="J942">
        <f>IFERROR(tblMoeHistory[[#This Row],[LEA State and Local Amount]]/tblMoeHistory[[#This Row],[Child Count]],0)</f>
        <v>6713.7615000000005</v>
      </c>
      <c r="K942">
        <f>IFERROR(tblMoeHistory[[#This Row],[ESD State and Local Amount]]/tblMoeHistory[[#This Row],[Child Count]],0)</f>
        <v>1937.4</v>
      </c>
      <c r="L942">
        <f>IFERROR(tblMoeHistory[[#This Row],[State and Local Total Amount]]/tblMoeHistory[[#This Row],[Child Count]],0)</f>
        <v>8651.1615000000002</v>
      </c>
      <c r="M942">
        <v>0</v>
      </c>
      <c r="N942" t="s">
        <v>240</v>
      </c>
      <c r="O942">
        <v>118158.9</v>
      </c>
      <c r="P942">
        <v>581.41999999999996</v>
      </c>
      <c r="Q942">
        <f>tblMoeHistory[[#This Row],[Amount of IDEA Part B, Section 611 award]]+tblMoeHistory[[#This Row],[Amount of IDEA Part B, Section 619 award]]</f>
        <v>118740.31999999999</v>
      </c>
      <c r="U9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2" t="str">
        <f>IF(OR(IFERROR(SEARCH("Met",tblMoeHistory[[#This Row],[State and Local Per Capita Result]]),0)&gt;0,IFERROR(SEARCH("Met",tblMoeHistory[[#This Row],[State and Local Total Result]]),0)&gt;0),"Met","Not Met")</f>
        <v>Met</v>
      </c>
    </row>
    <row r="943" spans="1:22" x14ac:dyDescent="0.35">
      <c r="A943" t="s">
        <v>176</v>
      </c>
      <c r="B943">
        <v>2182</v>
      </c>
      <c r="C943" t="s">
        <v>19</v>
      </c>
      <c r="D943">
        <v>1712</v>
      </c>
      <c r="E943">
        <v>16381549.189999999</v>
      </c>
      <c r="F943">
        <v>1328458.53</v>
      </c>
      <c r="G943">
        <f>tblMoeHistory[[#This Row],[LEA State and Local Amount]]+tblMoeHistory[[#This Row],[ESD State and Local Amount]]</f>
        <v>17710007.719999999</v>
      </c>
      <c r="H943">
        <v>0</v>
      </c>
      <c r="I943" t="s">
        <v>242</v>
      </c>
      <c r="J943">
        <f>IFERROR(tblMoeHistory[[#This Row],[LEA State and Local Amount]]/tblMoeHistory[[#This Row],[Child Count]],0)</f>
        <v>9568.6619100467287</v>
      </c>
      <c r="K943">
        <f>IFERROR(tblMoeHistory[[#This Row],[ESD State and Local Amount]]/tblMoeHistory[[#This Row],[Child Count]],0)</f>
        <v>775.96876752336448</v>
      </c>
      <c r="L943">
        <f>IFERROR(tblMoeHistory[[#This Row],[State and Local Total Amount]]/tblMoeHistory[[#This Row],[Child Count]],0)</f>
        <v>10344.630677570092</v>
      </c>
      <c r="M943">
        <v>0</v>
      </c>
      <c r="N943" t="s">
        <v>240</v>
      </c>
      <c r="O943">
        <v>1722681.89</v>
      </c>
      <c r="P943">
        <v>11605.83</v>
      </c>
      <c r="Q943">
        <f>tblMoeHistory[[#This Row],[Amount of IDEA Part B, Section 611 award]]+tblMoeHistory[[#This Row],[Amount of IDEA Part B, Section 619 award]]</f>
        <v>1734287.72</v>
      </c>
      <c r="S943">
        <v>196833</v>
      </c>
      <c r="U9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3" t="str">
        <f>IF(OR(IFERROR(SEARCH("Met",tblMoeHistory[[#This Row],[State and Local Per Capita Result]]),0)&gt;0,IFERROR(SEARCH("Met",tblMoeHistory[[#This Row],[State and Local Total Result]]),0)&gt;0),"Met","Not Met")</f>
        <v>Met</v>
      </c>
    </row>
    <row r="944" spans="1:22" x14ac:dyDescent="0.35">
      <c r="A944" t="s">
        <v>177</v>
      </c>
      <c r="B944">
        <v>1999</v>
      </c>
      <c r="C944" t="s">
        <v>19</v>
      </c>
      <c r="D944">
        <v>61</v>
      </c>
      <c r="E944">
        <v>496810.37</v>
      </c>
      <c r="F944">
        <v>91617.38</v>
      </c>
      <c r="G944">
        <f>tblMoeHistory[[#This Row],[LEA State and Local Amount]]+tblMoeHistory[[#This Row],[ESD State and Local Amount]]</f>
        <v>588427.75</v>
      </c>
      <c r="H944">
        <v>0</v>
      </c>
      <c r="I944" t="s">
        <v>241</v>
      </c>
      <c r="J944">
        <f>IFERROR(tblMoeHistory[[#This Row],[LEA State and Local Amount]]/tblMoeHistory[[#This Row],[Child Count]],0)</f>
        <v>8144.4322950819669</v>
      </c>
      <c r="K944">
        <f>IFERROR(tblMoeHistory[[#This Row],[ESD State and Local Amount]]/tblMoeHistory[[#This Row],[Child Count]],0)</f>
        <v>1501.9242622950821</v>
      </c>
      <c r="L944">
        <f>IFERROR(tblMoeHistory[[#This Row],[State and Local Total Amount]]/tblMoeHistory[[#This Row],[Child Count]],0)</f>
        <v>9646.3565573770484</v>
      </c>
      <c r="M944">
        <v>0</v>
      </c>
      <c r="N944" t="s">
        <v>241</v>
      </c>
      <c r="O944">
        <v>69338.52</v>
      </c>
      <c r="P944">
        <v>229.51</v>
      </c>
      <c r="Q944">
        <f>tblMoeHistory[[#This Row],[Amount of IDEA Part B, Section 611 award]]+tblMoeHistory[[#This Row],[Amount of IDEA Part B, Section 619 award]]</f>
        <v>69568.03</v>
      </c>
      <c r="U9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4" t="str">
        <f>IF(OR(IFERROR(SEARCH("Met",tblMoeHistory[[#This Row],[State and Local Per Capita Result]]),0)&gt;0,IFERROR(SEARCH("Met",tblMoeHistory[[#This Row],[State and Local Total Result]]),0)&gt;0),"Met","Not Met")</f>
        <v>Met</v>
      </c>
    </row>
    <row r="945" spans="1:22" x14ac:dyDescent="0.35">
      <c r="A945" t="s">
        <v>178</v>
      </c>
      <c r="B945">
        <v>2188</v>
      </c>
      <c r="C945" t="s">
        <v>19</v>
      </c>
      <c r="D945">
        <v>65</v>
      </c>
      <c r="E945">
        <v>400703.42</v>
      </c>
      <c r="F945">
        <v>155182.69</v>
      </c>
      <c r="G945">
        <f>tblMoeHistory[[#This Row],[LEA State and Local Amount]]+tblMoeHistory[[#This Row],[ESD State and Local Amount]]</f>
        <v>555886.11</v>
      </c>
      <c r="H945">
        <v>0</v>
      </c>
      <c r="I945" t="s">
        <v>241</v>
      </c>
      <c r="J945">
        <f>IFERROR(tblMoeHistory[[#This Row],[LEA State and Local Amount]]/tblMoeHistory[[#This Row],[Child Count]],0)</f>
        <v>6164.6679999999997</v>
      </c>
      <c r="K945">
        <f>IFERROR(tblMoeHistory[[#This Row],[ESD State and Local Amount]]/tblMoeHistory[[#This Row],[Child Count]],0)</f>
        <v>2387.4259999999999</v>
      </c>
      <c r="L945">
        <f>IFERROR(tblMoeHistory[[#This Row],[State and Local Total Amount]]/tblMoeHistory[[#This Row],[Child Count]],0)</f>
        <v>8552.0939999999991</v>
      </c>
      <c r="M945">
        <v>0</v>
      </c>
      <c r="N945" t="s">
        <v>240</v>
      </c>
      <c r="O945">
        <v>64780.29</v>
      </c>
      <c r="P945">
        <v>459.01</v>
      </c>
      <c r="Q945">
        <f>tblMoeHistory[[#This Row],[Amount of IDEA Part B, Section 611 award]]+tblMoeHistory[[#This Row],[Amount of IDEA Part B, Section 619 award]]</f>
        <v>65239.3</v>
      </c>
      <c r="U9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5" t="str">
        <f>IF(OR(IFERROR(SEARCH("Met",tblMoeHistory[[#This Row],[State and Local Per Capita Result]]),0)&gt;0,IFERROR(SEARCH("Met",tblMoeHistory[[#This Row],[State and Local Total Result]]),0)&gt;0),"Met","Not Met")</f>
        <v>Met</v>
      </c>
    </row>
    <row r="946" spans="1:22" x14ac:dyDescent="0.35">
      <c r="A946" t="s">
        <v>179</v>
      </c>
      <c r="B946">
        <v>2044</v>
      </c>
      <c r="C946" t="s">
        <v>19</v>
      </c>
      <c r="D946">
        <v>145</v>
      </c>
      <c r="E946">
        <v>860450.53</v>
      </c>
      <c r="F946">
        <v>419607.72</v>
      </c>
      <c r="G946">
        <f>tblMoeHistory[[#This Row],[LEA State and Local Amount]]+tblMoeHistory[[#This Row],[ESD State and Local Amount]]</f>
        <v>1280058.25</v>
      </c>
      <c r="H946">
        <v>0</v>
      </c>
      <c r="I946" t="s">
        <v>242</v>
      </c>
      <c r="J946">
        <f>IFERROR(tblMoeHistory[[#This Row],[LEA State and Local Amount]]/tblMoeHistory[[#This Row],[Child Count]],0)</f>
        <v>5934.141586206897</v>
      </c>
      <c r="K946">
        <f>IFERROR(tblMoeHistory[[#This Row],[ESD State and Local Amount]]/tblMoeHistory[[#This Row],[Child Count]],0)</f>
        <v>2893.8463448275861</v>
      </c>
      <c r="L946">
        <f>IFERROR(tblMoeHistory[[#This Row],[State and Local Total Amount]]/tblMoeHistory[[#This Row],[Child Count]],0)</f>
        <v>8827.9879310344822</v>
      </c>
      <c r="M946">
        <v>0</v>
      </c>
      <c r="N946" t="s">
        <v>240</v>
      </c>
      <c r="O946">
        <v>152703.66</v>
      </c>
      <c r="P946">
        <v>1748.62</v>
      </c>
      <c r="Q946">
        <f>tblMoeHistory[[#This Row],[Amount of IDEA Part B, Section 611 award]]+tblMoeHistory[[#This Row],[Amount of IDEA Part B, Section 619 award]]</f>
        <v>154452.28</v>
      </c>
      <c r="S946">
        <v>146901.26999999999</v>
      </c>
      <c r="U9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6" t="str">
        <f>IF(OR(IFERROR(SEARCH("Met",tblMoeHistory[[#This Row],[State and Local Per Capita Result]]),0)&gt;0,IFERROR(SEARCH("Met",tblMoeHistory[[#This Row],[State and Local Total Result]]),0)&gt;0),"Met","Not Met")</f>
        <v>Met</v>
      </c>
    </row>
    <row r="947" spans="1:22" x14ac:dyDescent="0.35">
      <c r="A947" t="s">
        <v>180</v>
      </c>
      <c r="B947">
        <v>2142</v>
      </c>
      <c r="C947" t="s">
        <v>19</v>
      </c>
      <c r="D947">
        <v>6317</v>
      </c>
      <c r="E947">
        <v>68727628.090000004</v>
      </c>
      <c r="F947">
        <v>0</v>
      </c>
      <c r="G947">
        <f>tblMoeHistory[[#This Row],[LEA State and Local Amount]]+tblMoeHistory[[#This Row],[ESD State and Local Amount]]</f>
        <v>68727628.090000004</v>
      </c>
      <c r="H947">
        <v>0</v>
      </c>
      <c r="I947" t="s">
        <v>241</v>
      </c>
      <c r="J947">
        <f>IFERROR(tblMoeHistory[[#This Row],[LEA State and Local Amount]]/tblMoeHistory[[#This Row],[Child Count]],0)</f>
        <v>10879.789154662023</v>
      </c>
      <c r="K947">
        <f>IFERROR(tblMoeHistory[[#This Row],[ESD State and Local Amount]]/tblMoeHistory[[#This Row],[Child Count]],0)</f>
        <v>0</v>
      </c>
      <c r="L947">
        <f>IFERROR(tblMoeHistory[[#This Row],[State and Local Total Amount]]/tblMoeHistory[[#This Row],[Child Count]],0)</f>
        <v>10879.789154662023</v>
      </c>
      <c r="M947">
        <v>0</v>
      </c>
      <c r="N947" t="s">
        <v>241</v>
      </c>
      <c r="O947">
        <v>6707220.9400000004</v>
      </c>
      <c r="P947">
        <v>38884.22</v>
      </c>
      <c r="Q947">
        <f>tblMoeHistory[[#This Row],[Amount of IDEA Part B, Section 611 award]]+tblMoeHistory[[#This Row],[Amount of IDEA Part B, Section 619 award]]</f>
        <v>6746105.1600000001</v>
      </c>
      <c r="U9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7" t="str">
        <f>IF(OR(IFERROR(SEARCH("Met",tblMoeHistory[[#This Row],[State and Local Per Capita Result]]),0)&gt;0,IFERROR(SEARCH("Met",tblMoeHistory[[#This Row],[State and Local Total Result]]),0)&gt;0),"Met","Not Met")</f>
        <v>Met</v>
      </c>
    </row>
    <row r="948" spans="1:22" x14ac:dyDescent="0.35">
      <c r="A948" t="s">
        <v>181</v>
      </c>
      <c r="B948">
        <v>2104</v>
      </c>
      <c r="C948" t="s">
        <v>19</v>
      </c>
      <c r="D948">
        <v>63</v>
      </c>
      <c r="E948">
        <v>525896.42000000004</v>
      </c>
      <c r="F948">
        <v>66166</v>
      </c>
      <c r="G948">
        <f>tblMoeHistory[[#This Row],[LEA State and Local Amount]]+tblMoeHistory[[#This Row],[ESD State and Local Amount]]</f>
        <v>592062.42000000004</v>
      </c>
      <c r="H948">
        <v>0</v>
      </c>
      <c r="I948" t="s">
        <v>239</v>
      </c>
      <c r="J948">
        <f>IFERROR(tblMoeHistory[[#This Row],[LEA State and Local Amount]]/tblMoeHistory[[#This Row],[Child Count]],0)</f>
        <v>8347.5622222222228</v>
      </c>
      <c r="K948">
        <f>IFERROR(tblMoeHistory[[#This Row],[ESD State and Local Amount]]/tblMoeHistory[[#This Row],[Child Count]],0)</f>
        <v>1050.2539682539682</v>
      </c>
      <c r="L948">
        <f>IFERROR(tblMoeHistory[[#This Row],[State and Local Total Amount]]/tblMoeHistory[[#This Row],[Child Count]],0)</f>
        <v>9397.816190476191</v>
      </c>
      <c r="M948">
        <v>0</v>
      </c>
      <c r="N948" t="s">
        <v>239</v>
      </c>
      <c r="O948">
        <v>123869.54</v>
      </c>
      <c r="P948">
        <v>382.51</v>
      </c>
      <c r="Q948">
        <f>tblMoeHistory[[#This Row],[Amount of IDEA Part B, Section 611 award]]+tblMoeHistory[[#This Row],[Amount of IDEA Part B, Section 619 award]]</f>
        <v>124252.04999999999</v>
      </c>
      <c r="U9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8" t="str">
        <f>IF(OR(IFERROR(SEARCH("Met",tblMoeHistory[[#This Row],[State and Local Per Capita Result]]),0)&gt;0,IFERROR(SEARCH("Met",tblMoeHistory[[#This Row],[State and Local Total Result]]),0)&gt;0),"Met","Not Met")</f>
        <v>Met</v>
      </c>
    </row>
    <row r="949" spans="1:22" x14ac:dyDescent="0.35">
      <c r="A949" t="s">
        <v>182</v>
      </c>
      <c r="B949">
        <v>1944</v>
      </c>
      <c r="C949" t="s">
        <v>19</v>
      </c>
      <c r="D949">
        <v>255</v>
      </c>
      <c r="E949">
        <v>2489646.9</v>
      </c>
      <c r="F949">
        <v>288566</v>
      </c>
      <c r="G949">
        <f>tblMoeHistory[[#This Row],[LEA State and Local Amount]]+tblMoeHistory[[#This Row],[ESD State and Local Amount]]</f>
        <v>2778212.9</v>
      </c>
      <c r="H949">
        <v>0</v>
      </c>
      <c r="I949" t="s">
        <v>241</v>
      </c>
      <c r="J949">
        <f>IFERROR(tblMoeHistory[[#This Row],[LEA State and Local Amount]]/tblMoeHistory[[#This Row],[Child Count]],0)</f>
        <v>9763.3211764705884</v>
      </c>
      <c r="K949">
        <f>IFERROR(tblMoeHistory[[#This Row],[ESD State and Local Amount]]/tblMoeHistory[[#This Row],[Child Count]],0)</f>
        <v>1131.6313725490197</v>
      </c>
      <c r="L949">
        <f>IFERROR(tblMoeHistory[[#This Row],[State and Local Total Amount]]/tblMoeHistory[[#This Row],[Child Count]],0)</f>
        <v>10894.952549019608</v>
      </c>
      <c r="M949">
        <v>0</v>
      </c>
      <c r="N949" t="s">
        <v>241</v>
      </c>
      <c r="O949">
        <v>329016.07</v>
      </c>
      <c r="P949">
        <v>1704.91</v>
      </c>
      <c r="Q949">
        <f>tblMoeHistory[[#This Row],[Amount of IDEA Part B, Section 611 award]]+tblMoeHistory[[#This Row],[Amount of IDEA Part B, Section 619 award]]</f>
        <v>330720.98</v>
      </c>
      <c r="U9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9" t="str">
        <f>IF(OR(IFERROR(SEARCH("Met",tblMoeHistory[[#This Row],[State and Local Per Capita Result]]),0)&gt;0,IFERROR(SEARCH("Met",tblMoeHistory[[#This Row],[State and Local Total Result]]),0)&gt;0),"Met","Not Met")</f>
        <v>Met</v>
      </c>
    </row>
    <row r="950" spans="1:22" x14ac:dyDescent="0.35">
      <c r="A950" t="s">
        <v>183</v>
      </c>
      <c r="B950">
        <v>2103</v>
      </c>
      <c r="C950" t="s">
        <v>19</v>
      </c>
      <c r="D950">
        <v>544</v>
      </c>
      <c r="E950">
        <v>1741882.94</v>
      </c>
      <c r="F950">
        <v>548108</v>
      </c>
      <c r="G950">
        <f>tblMoeHistory[[#This Row],[LEA State and Local Amount]]+tblMoeHistory[[#This Row],[ESD State and Local Amount]]</f>
        <v>2289990.94</v>
      </c>
      <c r="H950">
        <v>0</v>
      </c>
      <c r="I950" t="s">
        <v>239</v>
      </c>
      <c r="J950">
        <f>IFERROR(tblMoeHistory[[#This Row],[LEA State and Local Amount]]/tblMoeHistory[[#This Row],[Child Count]],0)</f>
        <v>3201.9906985294115</v>
      </c>
      <c r="K950">
        <f>IFERROR(tblMoeHistory[[#This Row],[ESD State and Local Amount]]/tblMoeHistory[[#This Row],[Child Count]],0)</f>
        <v>1007.5514705882352</v>
      </c>
      <c r="L950">
        <f>IFERROR(tblMoeHistory[[#This Row],[State and Local Total Amount]]/tblMoeHistory[[#This Row],[Child Count]],0)</f>
        <v>4209.5421691176471</v>
      </c>
      <c r="M950">
        <v>0</v>
      </c>
      <c r="N950" t="s">
        <v>239</v>
      </c>
      <c r="O950">
        <v>451175.79</v>
      </c>
      <c r="P950">
        <v>1101.6300000000001</v>
      </c>
      <c r="Q950">
        <f>tblMoeHistory[[#This Row],[Amount of IDEA Part B, Section 611 award]]+tblMoeHistory[[#This Row],[Amount of IDEA Part B, Section 619 award]]</f>
        <v>452277.42</v>
      </c>
      <c r="U9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0" t="str">
        <f>IF(OR(IFERROR(SEARCH("Met",tblMoeHistory[[#This Row],[State and Local Per Capita Result]]),0)&gt;0,IFERROR(SEARCH("Met",tblMoeHistory[[#This Row],[State and Local Total Result]]),0)&gt;0),"Met","Not Met")</f>
        <v>Met</v>
      </c>
    </row>
    <row r="951" spans="1:22" x14ac:dyDescent="0.35">
      <c r="A951" t="s">
        <v>184</v>
      </c>
      <c r="B951">
        <v>1935</v>
      </c>
      <c r="C951" t="s">
        <v>19</v>
      </c>
      <c r="D951">
        <v>270</v>
      </c>
      <c r="E951">
        <v>2080157.66</v>
      </c>
      <c r="F951">
        <v>400293</v>
      </c>
      <c r="G951">
        <f>tblMoeHistory[[#This Row],[LEA State and Local Amount]]+tblMoeHistory[[#This Row],[ESD State and Local Amount]]</f>
        <v>2480450.66</v>
      </c>
      <c r="H951">
        <v>0</v>
      </c>
      <c r="I951" t="s">
        <v>240</v>
      </c>
      <c r="J951">
        <f>IFERROR(tblMoeHistory[[#This Row],[LEA State and Local Amount]]/tblMoeHistory[[#This Row],[Child Count]],0)</f>
        <v>7704.287629629629</v>
      </c>
      <c r="K951">
        <f>IFERROR(tblMoeHistory[[#This Row],[ESD State and Local Amount]]/tblMoeHistory[[#This Row],[Child Count]],0)</f>
        <v>1482.5666666666666</v>
      </c>
      <c r="L951">
        <f>IFERROR(tblMoeHistory[[#This Row],[State and Local Total Amount]]/tblMoeHistory[[#This Row],[Child Count]],0)</f>
        <v>9186.8542962962965</v>
      </c>
      <c r="M951">
        <v>0</v>
      </c>
      <c r="N951" t="s">
        <v>240</v>
      </c>
      <c r="O951">
        <v>221935.28</v>
      </c>
      <c r="P951">
        <v>1836.05</v>
      </c>
      <c r="Q951">
        <f>tblMoeHistory[[#This Row],[Amount of IDEA Part B, Section 611 award]]+tblMoeHistory[[#This Row],[Amount of IDEA Part B, Section 619 award]]</f>
        <v>223771.33</v>
      </c>
      <c r="U9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1" t="str">
        <f>IF(OR(IFERROR(SEARCH("Met",tblMoeHistory[[#This Row],[State and Local Per Capita Result]]),0)&gt;0,IFERROR(SEARCH("Met",tblMoeHistory[[#This Row],[State and Local Total Result]]),0)&gt;0),"Met","Not Met")</f>
        <v>Not Met</v>
      </c>
    </row>
    <row r="952" spans="1:22" x14ac:dyDescent="0.35">
      <c r="A952" t="s">
        <v>185</v>
      </c>
      <c r="B952">
        <v>2257</v>
      </c>
      <c r="C952" t="s">
        <v>19</v>
      </c>
      <c r="D952">
        <v>116</v>
      </c>
      <c r="E952">
        <v>948380.74</v>
      </c>
      <c r="F952">
        <v>34342.639999999999</v>
      </c>
      <c r="G952">
        <f>tblMoeHistory[[#This Row],[LEA State and Local Amount]]+tblMoeHistory[[#This Row],[ESD State and Local Amount]]</f>
        <v>982723.38</v>
      </c>
      <c r="H952">
        <v>0</v>
      </c>
      <c r="I952" t="s">
        <v>241</v>
      </c>
      <c r="J952">
        <f>IFERROR(tblMoeHistory[[#This Row],[LEA State and Local Amount]]/tblMoeHistory[[#This Row],[Child Count]],0)</f>
        <v>8175.6960344827585</v>
      </c>
      <c r="K952">
        <f>IFERROR(tblMoeHistory[[#This Row],[ESD State and Local Amount]]/tblMoeHistory[[#This Row],[Child Count]],0)</f>
        <v>296.05724137931031</v>
      </c>
      <c r="L952">
        <f>IFERROR(tblMoeHistory[[#This Row],[State and Local Total Amount]]/tblMoeHistory[[#This Row],[Child Count]],0)</f>
        <v>8471.7532758620691</v>
      </c>
      <c r="M952">
        <v>0</v>
      </c>
      <c r="N952" t="s">
        <v>241</v>
      </c>
      <c r="O952">
        <v>171352.3</v>
      </c>
      <c r="P952">
        <v>2409.8200000000002</v>
      </c>
      <c r="Q952">
        <f>tblMoeHistory[[#This Row],[Amount of IDEA Part B, Section 611 award]]+tblMoeHistory[[#This Row],[Amount of IDEA Part B, Section 619 award]]</f>
        <v>173762.12</v>
      </c>
      <c r="U9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2" t="str">
        <f>IF(OR(IFERROR(SEARCH("Met",tblMoeHistory[[#This Row],[State and Local Per Capita Result]]),0)&gt;0,IFERROR(SEARCH("Met",tblMoeHistory[[#This Row],[State and Local Total Result]]),0)&gt;0),"Met","Not Met")</f>
        <v>Met</v>
      </c>
    </row>
    <row r="953" spans="1:22" x14ac:dyDescent="0.35">
      <c r="A953" t="s">
        <v>186</v>
      </c>
      <c r="B953">
        <v>2195</v>
      </c>
      <c r="C953" t="s">
        <v>19</v>
      </c>
      <c r="D953">
        <v>38</v>
      </c>
      <c r="E953">
        <v>205371.58</v>
      </c>
      <c r="F953">
        <v>135185</v>
      </c>
      <c r="G953">
        <f>tblMoeHistory[[#This Row],[LEA State and Local Amount]]+tblMoeHistory[[#This Row],[ESD State and Local Amount]]</f>
        <v>340556.57999999996</v>
      </c>
      <c r="H953">
        <v>0</v>
      </c>
      <c r="I953" t="s">
        <v>239</v>
      </c>
      <c r="J953">
        <f>IFERROR(tblMoeHistory[[#This Row],[LEA State and Local Amount]]/tblMoeHistory[[#This Row],[Child Count]],0)</f>
        <v>5404.515263157894</v>
      </c>
      <c r="K953">
        <f>IFERROR(tblMoeHistory[[#This Row],[ESD State and Local Amount]]/tblMoeHistory[[#This Row],[Child Count]],0)</f>
        <v>3557.5</v>
      </c>
      <c r="L953">
        <f>IFERROR(tblMoeHistory[[#This Row],[State and Local Total Amount]]/tblMoeHistory[[#This Row],[Child Count]],0)</f>
        <v>8962.0152631578931</v>
      </c>
      <c r="M953">
        <v>0</v>
      </c>
      <c r="N953" t="s">
        <v>239</v>
      </c>
      <c r="O953">
        <v>50694.080000000002</v>
      </c>
      <c r="P953">
        <v>91.8</v>
      </c>
      <c r="Q953">
        <f>tblMoeHistory[[#This Row],[Amount of IDEA Part B, Section 611 award]]+tblMoeHistory[[#This Row],[Amount of IDEA Part B, Section 619 award]]</f>
        <v>50785.880000000005</v>
      </c>
      <c r="U9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3" t="str">
        <f>IF(OR(IFERROR(SEARCH("Met",tblMoeHistory[[#This Row],[State and Local Per Capita Result]]),0)&gt;0,IFERROR(SEARCH("Met",tblMoeHistory[[#This Row],[State and Local Total Result]]),0)&gt;0),"Met","Not Met")</f>
        <v>Met</v>
      </c>
    </row>
    <row r="954" spans="1:22" x14ac:dyDescent="0.35">
      <c r="A954" t="s">
        <v>187</v>
      </c>
      <c r="B954">
        <v>2244</v>
      </c>
      <c r="C954" t="s">
        <v>19</v>
      </c>
      <c r="D954">
        <v>547</v>
      </c>
      <c r="E954">
        <v>3908339.71</v>
      </c>
      <c r="F954">
        <v>723498</v>
      </c>
      <c r="G954">
        <f>tblMoeHistory[[#This Row],[LEA State and Local Amount]]+tblMoeHistory[[#This Row],[ESD State and Local Amount]]</f>
        <v>4631837.71</v>
      </c>
      <c r="H954">
        <v>0</v>
      </c>
      <c r="I954" t="s">
        <v>241</v>
      </c>
      <c r="J954">
        <f>IFERROR(tblMoeHistory[[#This Row],[LEA State and Local Amount]]/tblMoeHistory[[#This Row],[Child Count]],0)</f>
        <v>7145.045173674589</v>
      </c>
      <c r="K954">
        <f>IFERROR(tblMoeHistory[[#This Row],[ESD State and Local Amount]]/tblMoeHistory[[#This Row],[Child Count]],0)</f>
        <v>1322.6654478976234</v>
      </c>
      <c r="L954">
        <f>IFERROR(tblMoeHistory[[#This Row],[State and Local Total Amount]]/tblMoeHistory[[#This Row],[Child Count]],0)</f>
        <v>8467.7106215722124</v>
      </c>
      <c r="M954">
        <v>0</v>
      </c>
      <c r="N954" t="s">
        <v>241</v>
      </c>
      <c r="O954">
        <v>637388.02</v>
      </c>
      <c r="P954">
        <v>1632.05</v>
      </c>
      <c r="Q954">
        <f>tblMoeHistory[[#This Row],[Amount of IDEA Part B, Section 611 award]]+tblMoeHistory[[#This Row],[Amount of IDEA Part B, Section 619 award]]</f>
        <v>639020.07000000007</v>
      </c>
      <c r="U9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4" t="str">
        <f>IF(OR(IFERROR(SEARCH("Met",tblMoeHistory[[#This Row],[State and Local Per Capita Result]]),0)&gt;0,IFERROR(SEARCH("Met",tblMoeHistory[[#This Row],[State and Local Total Result]]),0)&gt;0),"Met","Not Met")</f>
        <v>Met</v>
      </c>
    </row>
    <row r="955" spans="1:22" x14ac:dyDescent="0.35">
      <c r="A955" t="s">
        <v>188</v>
      </c>
      <c r="B955">
        <v>2138</v>
      </c>
      <c r="C955" t="s">
        <v>19</v>
      </c>
      <c r="D955">
        <v>462</v>
      </c>
      <c r="E955">
        <v>3931063.75</v>
      </c>
      <c r="F955">
        <v>343673.35</v>
      </c>
      <c r="G955">
        <f>tblMoeHistory[[#This Row],[LEA State and Local Amount]]+tblMoeHistory[[#This Row],[ESD State and Local Amount]]</f>
        <v>4274737.0999999996</v>
      </c>
      <c r="H955">
        <v>0</v>
      </c>
      <c r="I955" t="s">
        <v>241</v>
      </c>
      <c r="J955">
        <f>IFERROR(tblMoeHistory[[#This Row],[LEA State and Local Amount]]/tblMoeHistory[[#This Row],[Child Count]],0)</f>
        <v>8508.7959956709965</v>
      </c>
      <c r="K955">
        <f>IFERROR(tblMoeHistory[[#This Row],[ESD State and Local Amount]]/tblMoeHistory[[#This Row],[Child Count]],0)</f>
        <v>743.88170995670987</v>
      </c>
      <c r="L955">
        <f>IFERROR(tblMoeHistory[[#This Row],[State and Local Total Amount]]/tblMoeHistory[[#This Row],[Child Count]],0)</f>
        <v>9252.6777056277042</v>
      </c>
      <c r="M955">
        <v>0</v>
      </c>
      <c r="N955" t="s">
        <v>241</v>
      </c>
      <c r="O955">
        <v>519320.08</v>
      </c>
      <c r="P955">
        <v>5594.23</v>
      </c>
      <c r="Q955">
        <f>tblMoeHistory[[#This Row],[Amount of IDEA Part B, Section 611 award]]+tblMoeHistory[[#This Row],[Amount of IDEA Part B, Section 619 award]]</f>
        <v>524914.31000000006</v>
      </c>
      <c r="U9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5" t="str">
        <f>IF(OR(IFERROR(SEARCH("Met",tblMoeHistory[[#This Row],[State and Local Per Capita Result]]),0)&gt;0,IFERROR(SEARCH("Met",tblMoeHistory[[#This Row],[State and Local Total Result]]),0)&gt;0),"Met","Not Met")</f>
        <v>Met</v>
      </c>
    </row>
    <row r="956" spans="1:22" x14ac:dyDescent="0.35">
      <c r="A956" t="s">
        <v>189</v>
      </c>
      <c r="B956">
        <v>1978</v>
      </c>
      <c r="C956" t="s">
        <v>19</v>
      </c>
      <c r="D956">
        <v>107</v>
      </c>
      <c r="E956">
        <v>762843.7</v>
      </c>
      <c r="F956">
        <v>104038.76</v>
      </c>
      <c r="G956">
        <f>tblMoeHistory[[#This Row],[LEA State and Local Amount]]+tblMoeHistory[[#This Row],[ESD State and Local Amount]]</f>
        <v>866882.46</v>
      </c>
      <c r="H956">
        <v>0</v>
      </c>
      <c r="I956" t="s">
        <v>242</v>
      </c>
      <c r="J956">
        <f>IFERROR(tblMoeHistory[[#This Row],[LEA State and Local Amount]]/tblMoeHistory[[#This Row],[Child Count]],0)</f>
        <v>7129.3803738317756</v>
      </c>
      <c r="K956">
        <f>IFERROR(tblMoeHistory[[#This Row],[ESD State and Local Amount]]/tblMoeHistory[[#This Row],[Child Count]],0)</f>
        <v>972.32485981308412</v>
      </c>
      <c r="L956">
        <f>IFERROR(tblMoeHistory[[#This Row],[State and Local Total Amount]]/tblMoeHistory[[#This Row],[Child Count]],0)</f>
        <v>8101.7052336448596</v>
      </c>
      <c r="M956">
        <v>0</v>
      </c>
      <c r="N956" t="s">
        <v>241</v>
      </c>
      <c r="O956">
        <v>177882.7</v>
      </c>
      <c r="P956">
        <v>983.6</v>
      </c>
      <c r="Q956">
        <f>tblMoeHistory[[#This Row],[Amount of IDEA Part B, Section 611 award]]+tblMoeHistory[[#This Row],[Amount of IDEA Part B, Section 619 award]]</f>
        <v>178866.30000000002</v>
      </c>
      <c r="S956">
        <v>62886.96</v>
      </c>
      <c r="T956">
        <v>62886.96</v>
      </c>
      <c r="U9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6" t="str">
        <f>IF(OR(IFERROR(SEARCH("Met",tblMoeHistory[[#This Row],[State and Local Per Capita Result]]),0)&gt;0,IFERROR(SEARCH("Met",tblMoeHistory[[#This Row],[State and Local Total Result]]),0)&gt;0),"Met","Not Met")</f>
        <v>Met</v>
      </c>
    </row>
    <row r="957" spans="1:22" x14ac:dyDescent="0.35">
      <c r="A957" t="s">
        <v>190</v>
      </c>
      <c r="B957">
        <v>2096</v>
      </c>
      <c r="C957" t="s">
        <v>19</v>
      </c>
      <c r="D957">
        <v>167</v>
      </c>
      <c r="E957">
        <v>1462118.31</v>
      </c>
      <c r="F957">
        <v>411461</v>
      </c>
      <c r="G957">
        <f>tblMoeHistory[[#This Row],[LEA State and Local Amount]]+tblMoeHistory[[#This Row],[ESD State and Local Amount]]</f>
        <v>1873579.31</v>
      </c>
      <c r="H957">
        <v>0</v>
      </c>
      <c r="I957" t="s">
        <v>241</v>
      </c>
      <c r="J957">
        <f>IFERROR(tblMoeHistory[[#This Row],[LEA State and Local Amount]]/tblMoeHistory[[#This Row],[Child Count]],0)</f>
        <v>8755.1994610778438</v>
      </c>
      <c r="K957">
        <f>IFERROR(tblMoeHistory[[#This Row],[ESD State and Local Amount]]/tblMoeHistory[[#This Row],[Child Count]],0)</f>
        <v>2463.8383233532936</v>
      </c>
      <c r="L957">
        <f>IFERROR(tblMoeHistory[[#This Row],[State and Local Total Amount]]/tblMoeHistory[[#This Row],[Child Count]],0)</f>
        <v>11219.037784431139</v>
      </c>
      <c r="M957">
        <v>0</v>
      </c>
      <c r="N957" t="s">
        <v>241</v>
      </c>
      <c r="O957">
        <v>196403.56</v>
      </c>
      <c r="P957">
        <v>2557.36</v>
      </c>
      <c r="Q957">
        <f>tblMoeHistory[[#This Row],[Amount of IDEA Part B, Section 611 award]]+tblMoeHistory[[#This Row],[Amount of IDEA Part B, Section 619 award]]</f>
        <v>198960.91999999998</v>
      </c>
      <c r="U9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7" t="str">
        <f>IF(OR(IFERROR(SEARCH("Met",tblMoeHistory[[#This Row],[State and Local Per Capita Result]]),0)&gt;0,IFERROR(SEARCH("Met",tblMoeHistory[[#This Row],[State and Local Total Result]]),0)&gt;0),"Met","Not Met")</f>
        <v>Met</v>
      </c>
    </row>
    <row r="958" spans="1:22" x14ac:dyDescent="0.35">
      <c r="A958" t="s">
        <v>191</v>
      </c>
      <c r="B958">
        <v>2022</v>
      </c>
      <c r="C958" t="s">
        <v>19</v>
      </c>
      <c r="D958">
        <v>2</v>
      </c>
      <c r="E958">
        <v>4553</v>
      </c>
      <c r="F958">
        <v>5487</v>
      </c>
      <c r="G958">
        <f>tblMoeHistory[[#This Row],[LEA State and Local Amount]]+tblMoeHistory[[#This Row],[ESD State and Local Amount]]</f>
        <v>10040</v>
      </c>
      <c r="H958">
        <v>0</v>
      </c>
      <c r="I958" t="s">
        <v>241</v>
      </c>
      <c r="J958">
        <f>IFERROR(tblMoeHistory[[#This Row],[LEA State and Local Amount]]/tblMoeHistory[[#This Row],[Child Count]],0)</f>
        <v>2276.5</v>
      </c>
      <c r="K958">
        <f>IFERROR(tblMoeHistory[[#This Row],[ESD State and Local Amount]]/tblMoeHistory[[#This Row],[Child Count]],0)</f>
        <v>2743.5</v>
      </c>
      <c r="L958">
        <f>IFERROR(tblMoeHistory[[#This Row],[State and Local Total Amount]]/tblMoeHistory[[#This Row],[Child Count]],0)</f>
        <v>5020</v>
      </c>
      <c r="M958">
        <v>0</v>
      </c>
      <c r="N958" t="s">
        <v>240</v>
      </c>
      <c r="O958">
        <v>2907.76</v>
      </c>
      <c r="P958">
        <v>0</v>
      </c>
      <c r="Q958">
        <f>tblMoeHistory[[#This Row],[Amount of IDEA Part B, Section 611 award]]+tblMoeHistory[[#This Row],[Amount of IDEA Part B, Section 619 award]]</f>
        <v>2907.76</v>
      </c>
      <c r="U9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8" t="str">
        <f>IF(OR(IFERROR(SEARCH("Met",tblMoeHistory[[#This Row],[State and Local Per Capita Result]]),0)&gt;0,IFERROR(SEARCH("Met",tblMoeHistory[[#This Row],[State and Local Total Result]]),0)&gt;0),"Met","Not Met")</f>
        <v>Met</v>
      </c>
    </row>
    <row r="959" spans="1:22" x14ac:dyDescent="0.35">
      <c r="A959" t="s">
        <v>192</v>
      </c>
      <c r="B959">
        <v>2087</v>
      </c>
      <c r="C959" t="s">
        <v>19</v>
      </c>
      <c r="D959">
        <v>468</v>
      </c>
      <c r="E959">
        <v>3543761.12</v>
      </c>
      <c r="F959">
        <v>555877</v>
      </c>
      <c r="G959">
        <f>tblMoeHistory[[#This Row],[LEA State and Local Amount]]+tblMoeHistory[[#This Row],[ESD State and Local Amount]]</f>
        <v>4099638.12</v>
      </c>
      <c r="H959">
        <v>0</v>
      </c>
      <c r="I959" t="s">
        <v>241</v>
      </c>
      <c r="J959">
        <f>IFERROR(tblMoeHistory[[#This Row],[LEA State and Local Amount]]/tblMoeHistory[[#This Row],[Child Count]],0)</f>
        <v>7572.1391452991456</v>
      </c>
      <c r="K959">
        <f>IFERROR(tblMoeHistory[[#This Row],[ESD State and Local Amount]]/tblMoeHistory[[#This Row],[Child Count]],0)</f>
        <v>1187.7713675213674</v>
      </c>
      <c r="L959">
        <f>IFERROR(tblMoeHistory[[#This Row],[State and Local Total Amount]]/tblMoeHistory[[#This Row],[Child Count]],0)</f>
        <v>8759.9105128205138</v>
      </c>
      <c r="M959">
        <v>0</v>
      </c>
      <c r="N959" t="s">
        <v>241</v>
      </c>
      <c r="O959">
        <v>534280.19999999995</v>
      </c>
      <c r="P959">
        <v>4896.1400000000003</v>
      </c>
      <c r="Q959">
        <f>tblMoeHistory[[#This Row],[Amount of IDEA Part B, Section 611 award]]+tblMoeHistory[[#This Row],[Amount of IDEA Part B, Section 619 award]]</f>
        <v>539176.34</v>
      </c>
      <c r="U9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9" t="str">
        <f>IF(OR(IFERROR(SEARCH("Met",tblMoeHistory[[#This Row],[State and Local Per Capita Result]]),0)&gt;0,IFERROR(SEARCH("Met",tblMoeHistory[[#This Row],[State and Local Total Result]]),0)&gt;0),"Met","Not Met")</f>
        <v>Met</v>
      </c>
    </row>
    <row r="960" spans="1:22" x14ac:dyDescent="0.35">
      <c r="A960" t="s">
        <v>193</v>
      </c>
      <c r="B960">
        <v>1994</v>
      </c>
      <c r="C960" t="s">
        <v>19</v>
      </c>
      <c r="D960">
        <v>218</v>
      </c>
      <c r="E960">
        <v>1893224.77</v>
      </c>
      <c r="F960">
        <v>276461.02</v>
      </c>
      <c r="G960">
        <f>tblMoeHistory[[#This Row],[LEA State and Local Amount]]+tblMoeHistory[[#This Row],[ESD State and Local Amount]]</f>
        <v>2169685.79</v>
      </c>
      <c r="H960">
        <v>0</v>
      </c>
      <c r="I960" t="s">
        <v>241</v>
      </c>
      <c r="J960">
        <f>IFERROR(tblMoeHistory[[#This Row],[LEA State and Local Amount]]/tblMoeHistory[[#This Row],[Child Count]],0)</f>
        <v>8684.517293577981</v>
      </c>
      <c r="K960">
        <f>IFERROR(tblMoeHistory[[#This Row],[ESD State and Local Amount]]/tblMoeHistory[[#This Row],[Child Count]],0)</f>
        <v>1268.1698165137616</v>
      </c>
      <c r="L960">
        <f>IFERROR(tblMoeHistory[[#This Row],[State and Local Total Amount]]/tblMoeHistory[[#This Row],[Child Count]],0)</f>
        <v>9952.6871100917433</v>
      </c>
      <c r="M960">
        <v>0</v>
      </c>
      <c r="N960" t="s">
        <v>240</v>
      </c>
      <c r="O960">
        <v>317274.93</v>
      </c>
      <c r="P960">
        <v>3672.11</v>
      </c>
      <c r="Q960">
        <f>tblMoeHistory[[#This Row],[Amount of IDEA Part B, Section 611 award]]+tblMoeHistory[[#This Row],[Amount of IDEA Part B, Section 619 award]]</f>
        <v>320947.03999999998</v>
      </c>
      <c r="U9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0" t="str">
        <f>IF(OR(IFERROR(SEARCH("Met",tblMoeHistory[[#This Row],[State and Local Per Capita Result]]),0)&gt;0,IFERROR(SEARCH("Met",tblMoeHistory[[#This Row],[State and Local Total Result]]),0)&gt;0),"Met","Not Met")</f>
        <v>Met</v>
      </c>
    </row>
    <row r="961" spans="1:22" x14ac:dyDescent="0.35">
      <c r="A961" t="s">
        <v>194</v>
      </c>
      <c r="B961">
        <v>2225</v>
      </c>
      <c r="C961" t="s">
        <v>19</v>
      </c>
      <c r="D961">
        <v>30</v>
      </c>
      <c r="E961">
        <v>187330.92</v>
      </c>
      <c r="F961">
        <v>55820</v>
      </c>
      <c r="G961">
        <f>tblMoeHistory[[#This Row],[LEA State and Local Amount]]+tblMoeHistory[[#This Row],[ESD State and Local Amount]]</f>
        <v>243150.92</v>
      </c>
      <c r="H961">
        <v>0</v>
      </c>
      <c r="I961" t="s">
        <v>241</v>
      </c>
      <c r="J961">
        <f>IFERROR(tblMoeHistory[[#This Row],[LEA State and Local Amount]]/tblMoeHistory[[#This Row],[Child Count]],0)</f>
        <v>6244.3640000000005</v>
      </c>
      <c r="K961">
        <f>IFERROR(tblMoeHistory[[#This Row],[ESD State and Local Amount]]/tblMoeHistory[[#This Row],[Child Count]],0)</f>
        <v>1860.6666666666667</v>
      </c>
      <c r="L961">
        <f>IFERROR(tblMoeHistory[[#This Row],[State and Local Total Amount]]/tblMoeHistory[[#This Row],[Child Count]],0)</f>
        <v>8105.0306666666675</v>
      </c>
      <c r="M961">
        <v>0</v>
      </c>
      <c r="N961" t="s">
        <v>241</v>
      </c>
      <c r="O961">
        <v>54425.05</v>
      </c>
      <c r="P961">
        <v>1377.04</v>
      </c>
      <c r="Q961">
        <f>tblMoeHistory[[#This Row],[Amount of IDEA Part B, Section 611 award]]+tblMoeHistory[[#This Row],[Amount of IDEA Part B, Section 619 award]]</f>
        <v>55802.090000000004</v>
      </c>
      <c r="U9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1" t="str">
        <f>IF(OR(IFERROR(SEARCH("Met",tblMoeHistory[[#This Row],[State and Local Per Capita Result]]),0)&gt;0,IFERROR(SEARCH("Met",tblMoeHistory[[#This Row],[State and Local Total Result]]),0)&gt;0),"Met","Not Met")</f>
        <v>Met</v>
      </c>
    </row>
    <row r="962" spans="1:22" x14ac:dyDescent="0.35">
      <c r="A962" t="s">
        <v>195</v>
      </c>
      <c r="B962">
        <v>2247</v>
      </c>
      <c r="C962" t="s">
        <v>19</v>
      </c>
      <c r="D962">
        <v>3</v>
      </c>
      <c r="E962">
        <v>19229.55</v>
      </c>
      <c r="F962">
        <v>12269</v>
      </c>
      <c r="G962">
        <f>tblMoeHistory[[#This Row],[LEA State and Local Amount]]+tblMoeHistory[[#This Row],[ESD State and Local Amount]]</f>
        <v>31498.55</v>
      </c>
      <c r="H962">
        <v>0</v>
      </c>
      <c r="I962" t="s">
        <v>239</v>
      </c>
      <c r="J962">
        <f>IFERROR(tblMoeHistory[[#This Row],[LEA State and Local Amount]]/tblMoeHistory[[#This Row],[Child Count]],0)</f>
        <v>6409.8499999999995</v>
      </c>
      <c r="K962">
        <f>IFERROR(tblMoeHistory[[#This Row],[ESD State and Local Amount]]/tblMoeHistory[[#This Row],[Child Count]],0)</f>
        <v>4089.6666666666665</v>
      </c>
      <c r="L962">
        <f>IFERROR(tblMoeHistory[[#This Row],[State and Local Total Amount]]/tblMoeHistory[[#This Row],[Child Count]],0)</f>
        <v>10499.516666666666</v>
      </c>
      <c r="M962">
        <v>0</v>
      </c>
      <c r="N962" t="s">
        <v>239</v>
      </c>
      <c r="O962">
        <v>5183.37</v>
      </c>
      <c r="P962">
        <v>0</v>
      </c>
      <c r="Q962">
        <f>tblMoeHistory[[#This Row],[Amount of IDEA Part B, Section 611 award]]+tblMoeHistory[[#This Row],[Amount of IDEA Part B, Section 619 award]]</f>
        <v>5183.37</v>
      </c>
      <c r="U9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2" t="str">
        <f>IF(OR(IFERROR(SEARCH("Met",tblMoeHistory[[#This Row],[State and Local Per Capita Result]]),0)&gt;0,IFERROR(SEARCH("Met",tblMoeHistory[[#This Row],[State and Local Total Result]]),0)&gt;0),"Met","Not Met")</f>
        <v>Met</v>
      </c>
    </row>
    <row r="963" spans="1:22" x14ac:dyDescent="0.35">
      <c r="A963" t="s">
        <v>196</v>
      </c>
      <c r="B963">
        <v>2083</v>
      </c>
      <c r="C963" t="s">
        <v>19</v>
      </c>
      <c r="D963">
        <v>1591</v>
      </c>
      <c r="E963">
        <v>15248631.039999999</v>
      </c>
      <c r="F963">
        <v>1854511</v>
      </c>
      <c r="G963">
        <f>tblMoeHistory[[#This Row],[LEA State and Local Amount]]+tblMoeHistory[[#This Row],[ESD State and Local Amount]]</f>
        <v>17103142.039999999</v>
      </c>
      <c r="H963">
        <v>0</v>
      </c>
      <c r="I963" t="s">
        <v>241</v>
      </c>
      <c r="J963">
        <f>IFERROR(tblMoeHistory[[#This Row],[LEA State and Local Amount]]/tblMoeHistory[[#This Row],[Child Count]],0)</f>
        <v>9584.3061219358897</v>
      </c>
      <c r="K963">
        <f>IFERROR(tblMoeHistory[[#This Row],[ESD State and Local Amount]]/tblMoeHistory[[#This Row],[Child Count]],0)</f>
        <v>1165.6260213702074</v>
      </c>
      <c r="L963">
        <f>IFERROR(tblMoeHistory[[#This Row],[State and Local Total Amount]]/tblMoeHistory[[#This Row],[Child Count]],0)</f>
        <v>10749.932143306096</v>
      </c>
      <c r="M963">
        <v>0</v>
      </c>
      <c r="N963" t="s">
        <v>241</v>
      </c>
      <c r="O963">
        <v>1861501.18</v>
      </c>
      <c r="P963">
        <v>17873.32</v>
      </c>
      <c r="Q963">
        <f>tblMoeHistory[[#This Row],[Amount of IDEA Part B, Section 611 award]]+tblMoeHistory[[#This Row],[Amount of IDEA Part B, Section 619 award]]</f>
        <v>1879374.5</v>
      </c>
      <c r="U9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3" t="str">
        <f>IF(OR(IFERROR(SEARCH("Met",tblMoeHistory[[#This Row],[State and Local Per Capita Result]]),0)&gt;0,IFERROR(SEARCH("Met",tblMoeHistory[[#This Row],[State and Local Total Result]]),0)&gt;0),"Met","Not Met")</f>
        <v>Met</v>
      </c>
    </row>
    <row r="964" spans="1:22" x14ac:dyDescent="0.35">
      <c r="A964" t="s">
        <v>197</v>
      </c>
      <c r="B964">
        <v>1948</v>
      </c>
      <c r="C964" t="s">
        <v>19</v>
      </c>
      <c r="D964">
        <v>478</v>
      </c>
      <c r="E964">
        <v>3494506.84</v>
      </c>
      <c r="F964">
        <v>718132</v>
      </c>
      <c r="G964">
        <f>tblMoeHistory[[#This Row],[LEA State and Local Amount]]+tblMoeHistory[[#This Row],[ESD State and Local Amount]]</f>
        <v>4212638.84</v>
      </c>
      <c r="H964">
        <v>0</v>
      </c>
      <c r="I964" t="s">
        <v>242</v>
      </c>
      <c r="J964">
        <f>IFERROR(tblMoeHistory[[#This Row],[LEA State and Local Amount]]/tblMoeHistory[[#This Row],[Child Count]],0)</f>
        <v>7310.6837656903763</v>
      </c>
      <c r="K964">
        <f>IFERROR(tblMoeHistory[[#This Row],[ESD State and Local Amount]]/tblMoeHistory[[#This Row],[Child Count]],0)</f>
        <v>1502.3682008368201</v>
      </c>
      <c r="L964">
        <f>IFERROR(tblMoeHistory[[#This Row],[State and Local Total Amount]]/tblMoeHistory[[#This Row],[Child Count]],0)</f>
        <v>8813.0519665271968</v>
      </c>
      <c r="M964">
        <v>0</v>
      </c>
      <c r="N964" t="s">
        <v>241</v>
      </c>
      <c r="O964">
        <v>558146.68000000005</v>
      </c>
      <c r="P964">
        <v>7486.67</v>
      </c>
      <c r="Q964">
        <f>tblMoeHistory[[#This Row],[Amount of IDEA Part B, Section 611 award]]+tblMoeHistory[[#This Row],[Amount of IDEA Part B, Section 619 award]]</f>
        <v>565633.35000000009</v>
      </c>
      <c r="S964">
        <v>87054.13</v>
      </c>
      <c r="T964">
        <v>87054.13</v>
      </c>
      <c r="U9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4" t="str">
        <f>IF(OR(IFERROR(SEARCH("Met",tblMoeHistory[[#This Row],[State and Local Per Capita Result]]),0)&gt;0,IFERROR(SEARCH("Met",tblMoeHistory[[#This Row],[State and Local Total Result]]),0)&gt;0),"Met","Not Met")</f>
        <v>Met</v>
      </c>
    </row>
    <row r="965" spans="1:22" x14ac:dyDescent="0.35">
      <c r="A965" t="s">
        <v>198</v>
      </c>
      <c r="B965">
        <v>2144</v>
      </c>
      <c r="C965" t="s">
        <v>19</v>
      </c>
      <c r="D965">
        <v>36</v>
      </c>
      <c r="E965">
        <v>270310.3</v>
      </c>
      <c r="F965">
        <v>26105.85</v>
      </c>
      <c r="G965">
        <f>tblMoeHistory[[#This Row],[LEA State and Local Amount]]+tblMoeHistory[[#This Row],[ESD State and Local Amount]]</f>
        <v>296416.14999999997</v>
      </c>
      <c r="H965">
        <v>0</v>
      </c>
      <c r="I965" t="s">
        <v>240</v>
      </c>
      <c r="J965">
        <f>IFERROR(tblMoeHistory[[#This Row],[LEA State and Local Amount]]/tblMoeHistory[[#This Row],[Child Count]],0)</f>
        <v>7508.6194444444445</v>
      </c>
      <c r="K965">
        <f>IFERROR(tblMoeHistory[[#This Row],[ESD State and Local Amount]]/tblMoeHistory[[#This Row],[Child Count]],0)</f>
        <v>725.16249999999991</v>
      </c>
      <c r="L965">
        <f>IFERROR(tblMoeHistory[[#This Row],[State and Local Total Amount]]/tblMoeHistory[[#This Row],[Child Count]],0)</f>
        <v>8233.7819444444431</v>
      </c>
      <c r="M965">
        <v>0</v>
      </c>
      <c r="N965" t="s">
        <v>240</v>
      </c>
      <c r="O965">
        <v>45686.99</v>
      </c>
      <c r="P965">
        <v>1377.04</v>
      </c>
      <c r="Q965">
        <f>tblMoeHistory[[#This Row],[Amount of IDEA Part B, Section 611 award]]+tblMoeHistory[[#This Row],[Amount of IDEA Part B, Section 619 award]]</f>
        <v>47064.03</v>
      </c>
      <c r="U9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5" t="str">
        <f>IF(OR(IFERROR(SEARCH("Met",tblMoeHistory[[#This Row],[State and Local Per Capita Result]]),0)&gt;0,IFERROR(SEARCH("Met",tblMoeHistory[[#This Row],[State and Local Total Result]]),0)&gt;0),"Met","Not Met")</f>
        <v>Not Met</v>
      </c>
    </row>
    <row r="966" spans="1:22" x14ac:dyDescent="0.35">
      <c r="A966" t="s">
        <v>199</v>
      </c>
      <c r="B966">
        <v>2209</v>
      </c>
      <c r="C966" t="s">
        <v>19</v>
      </c>
      <c r="D966">
        <v>70</v>
      </c>
      <c r="E966">
        <v>487972.67</v>
      </c>
      <c r="F966">
        <v>102041.94</v>
      </c>
      <c r="G966">
        <f>tblMoeHistory[[#This Row],[LEA State and Local Amount]]+tblMoeHistory[[#This Row],[ESD State and Local Amount]]</f>
        <v>590014.61</v>
      </c>
      <c r="H966">
        <v>0</v>
      </c>
      <c r="I966" t="s">
        <v>239</v>
      </c>
      <c r="J966">
        <f>IFERROR(tblMoeHistory[[#This Row],[LEA State and Local Amount]]/tblMoeHistory[[#This Row],[Child Count]],0)</f>
        <v>6971.0381428571427</v>
      </c>
      <c r="K966">
        <f>IFERROR(tblMoeHistory[[#This Row],[ESD State and Local Amount]]/tblMoeHistory[[#This Row],[Child Count]],0)</f>
        <v>1457.742</v>
      </c>
      <c r="L966">
        <f>IFERROR(tblMoeHistory[[#This Row],[State and Local Total Amount]]/tblMoeHistory[[#This Row],[Child Count]],0)</f>
        <v>8428.780142857142</v>
      </c>
      <c r="M966">
        <v>0</v>
      </c>
      <c r="N966" t="s">
        <v>239</v>
      </c>
      <c r="O966">
        <v>86234.4</v>
      </c>
      <c r="P966">
        <v>1271.1099999999999</v>
      </c>
      <c r="Q966">
        <f>tblMoeHistory[[#This Row],[Amount of IDEA Part B, Section 611 award]]+tblMoeHistory[[#This Row],[Amount of IDEA Part B, Section 619 award]]</f>
        <v>87505.51</v>
      </c>
      <c r="U9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6" t="str">
        <f>IF(OR(IFERROR(SEARCH("Met",tblMoeHistory[[#This Row],[State and Local Per Capita Result]]),0)&gt;0,IFERROR(SEARCH("Met",tblMoeHistory[[#This Row],[State and Local Total Result]]),0)&gt;0),"Met","Not Met")</f>
        <v>Met</v>
      </c>
    </row>
    <row r="967" spans="1:22" x14ac:dyDescent="0.35">
      <c r="A967" t="s">
        <v>200</v>
      </c>
      <c r="B967">
        <v>2018</v>
      </c>
      <c r="C967" t="s">
        <v>19</v>
      </c>
      <c r="D967">
        <v>1</v>
      </c>
      <c r="E967">
        <v>6518.52</v>
      </c>
      <c r="F967">
        <v>5487</v>
      </c>
      <c r="G967">
        <f>tblMoeHistory[[#This Row],[LEA State and Local Amount]]+tblMoeHistory[[#This Row],[ESD State and Local Amount]]</f>
        <v>12005.52</v>
      </c>
      <c r="H967">
        <v>0</v>
      </c>
      <c r="I967" t="s">
        <v>241</v>
      </c>
      <c r="J967">
        <f>IFERROR(tblMoeHistory[[#This Row],[LEA State and Local Amount]]/tblMoeHistory[[#This Row],[Child Count]],0)</f>
        <v>6518.52</v>
      </c>
      <c r="K967">
        <f>IFERROR(tblMoeHistory[[#This Row],[ESD State and Local Amount]]/tblMoeHistory[[#This Row],[Child Count]],0)</f>
        <v>5487</v>
      </c>
      <c r="L967">
        <f>IFERROR(tblMoeHistory[[#This Row],[State and Local Total Amount]]/tblMoeHistory[[#This Row],[Child Count]],0)</f>
        <v>12005.52</v>
      </c>
      <c r="M967">
        <v>0</v>
      </c>
      <c r="N967" t="s">
        <v>241</v>
      </c>
      <c r="O967">
        <v>0</v>
      </c>
      <c r="P967">
        <v>0</v>
      </c>
      <c r="Q967">
        <f>tblMoeHistory[[#This Row],[Amount of IDEA Part B, Section 611 award]]+tblMoeHistory[[#This Row],[Amount of IDEA Part B, Section 619 award]]</f>
        <v>0</v>
      </c>
      <c r="U9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7" t="str">
        <f>IF(OR(IFERROR(SEARCH("Met",tblMoeHistory[[#This Row],[State and Local Per Capita Result]]),0)&gt;0,IFERROR(SEARCH("Met",tblMoeHistory[[#This Row],[State and Local Total Result]]),0)&gt;0),"Met","Not Met")</f>
        <v>Met</v>
      </c>
    </row>
    <row r="968" spans="1:22" x14ac:dyDescent="0.35">
      <c r="A968" t="s">
        <v>201</v>
      </c>
      <c r="B968">
        <v>2003</v>
      </c>
      <c r="C968" t="s">
        <v>19</v>
      </c>
      <c r="D968">
        <v>158</v>
      </c>
      <c r="E968">
        <v>999870</v>
      </c>
      <c r="F968">
        <v>284022.87</v>
      </c>
      <c r="G968">
        <f>tblMoeHistory[[#This Row],[LEA State and Local Amount]]+tblMoeHistory[[#This Row],[ESD State and Local Amount]]</f>
        <v>1283892.8700000001</v>
      </c>
      <c r="H968">
        <v>0</v>
      </c>
      <c r="I968" t="s">
        <v>241</v>
      </c>
      <c r="J968">
        <f>IFERROR(tblMoeHistory[[#This Row],[LEA State and Local Amount]]/tblMoeHistory[[#This Row],[Child Count]],0)</f>
        <v>6328.2911392405067</v>
      </c>
      <c r="K968">
        <f>IFERROR(tblMoeHistory[[#This Row],[ESD State and Local Amount]]/tblMoeHistory[[#This Row],[Child Count]],0)</f>
        <v>1797.6131012658227</v>
      </c>
      <c r="L968">
        <f>IFERROR(tblMoeHistory[[#This Row],[State and Local Total Amount]]/tblMoeHistory[[#This Row],[Child Count]],0)</f>
        <v>8125.9042405063301</v>
      </c>
      <c r="M968">
        <v>0</v>
      </c>
      <c r="N968" t="s">
        <v>241</v>
      </c>
      <c r="O968">
        <v>230955.29</v>
      </c>
      <c r="P968">
        <v>2203.2600000000002</v>
      </c>
      <c r="Q968">
        <f>tblMoeHistory[[#This Row],[Amount of IDEA Part B, Section 611 award]]+tblMoeHistory[[#This Row],[Amount of IDEA Part B, Section 619 award]]</f>
        <v>233158.55000000002</v>
      </c>
      <c r="U9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8" t="str">
        <f>IF(OR(IFERROR(SEARCH("Met",tblMoeHistory[[#This Row],[State and Local Per Capita Result]]),0)&gt;0,IFERROR(SEARCH("Met",tblMoeHistory[[#This Row],[State and Local Total Result]]),0)&gt;0),"Met","Not Met")</f>
        <v>Met</v>
      </c>
    </row>
    <row r="969" spans="1:22" x14ac:dyDescent="0.35">
      <c r="A969" t="s">
        <v>202</v>
      </c>
      <c r="B969">
        <v>2102</v>
      </c>
      <c r="C969" t="s">
        <v>19</v>
      </c>
      <c r="D969">
        <v>437</v>
      </c>
      <c r="E969">
        <v>2353810.06</v>
      </c>
      <c r="F969">
        <v>349492</v>
      </c>
      <c r="G969">
        <f>tblMoeHistory[[#This Row],[LEA State and Local Amount]]+tblMoeHistory[[#This Row],[ESD State and Local Amount]]</f>
        <v>2703302.06</v>
      </c>
      <c r="H969">
        <v>0</v>
      </c>
      <c r="I969" t="s">
        <v>239</v>
      </c>
      <c r="J969">
        <f>IFERROR(tblMoeHistory[[#This Row],[LEA State and Local Amount]]/tblMoeHistory[[#This Row],[Child Count]],0)</f>
        <v>5386.2930434782611</v>
      </c>
      <c r="K969">
        <f>IFERROR(tblMoeHistory[[#This Row],[ESD State and Local Amount]]/tblMoeHistory[[#This Row],[Child Count]],0)</f>
        <v>799.75286041189929</v>
      </c>
      <c r="L969">
        <f>IFERROR(tblMoeHistory[[#This Row],[State and Local Total Amount]]/tblMoeHistory[[#This Row],[Child Count]],0)</f>
        <v>6186.0459038901599</v>
      </c>
      <c r="M969">
        <v>0</v>
      </c>
      <c r="N969" t="s">
        <v>239</v>
      </c>
      <c r="O969">
        <v>400244.23</v>
      </c>
      <c r="P969">
        <v>4377.42</v>
      </c>
      <c r="Q969">
        <f>tblMoeHistory[[#This Row],[Amount of IDEA Part B, Section 611 award]]+tblMoeHistory[[#This Row],[Amount of IDEA Part B, Section 619 award]]</f>
        <v>404621.64999999997</v>
      </c>
      <c r="U9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9" t="str">
        <f>IF(OR(IFERROR(SEARCH("Met",tblMoeHistory[[#This Row],[State and Local Per Capita Result]]),0)&gt;0,IFERROR(SEARCH("Met",tblMoeHistory[[#This Row],[State and Local Total Result]]),0)&gt;0),"Met","Not Met")</f>
        <v>Met</v>
      </c>
    </row>
    <row r="970" spans="1:22" x14ac:dyDescent="0.35">
      <c r="A970" t="s">
        <v>203</v>
      </c>
      <c r="B970">
        <v>2055</v>
      </c>
      <c r="C970" t="s">
        <v>19</v>
      </c>
      <c r="D970">
        <v>514</v>
      </c>
      <c r="E970">
        <v>6035380.2999999998</v>
      </c>
      <c r="F970">
        <v>277294.96999999997</v>
      </c>
      <c r="G970">
        <f>tblMoeHistory[[#This Row],[LEA State and Local Amount]]+tblMoeHistory[[#This Row],[ESD State and Local Amount]]</f>
        <v>6312675.2699999996</v>
      </c>
      <c r="H970">
        <v>0</v>
      </c>
      <c r="I970" t="s">
        <v>241</v>
      </c>
      <c r="J970">
        <f>IFERROR(tblMoeHistory[[#This Row],[LEA State and Local Amount]]/tblMoeHistory[[#This Row],[Child Count]],0)</f>
        <v>11741.985019455253</v>
      </c>
      <c r="K970">
        <f>IFERROR(tblMoeHistory[[#This Row],[ESD State and Local Amount]]/tblMoeHistory[[#This Row],[Child Count]],0)</f>
        <v>539.48437743190652</v>
      </c>
      <c r="L970">
        <f>IFERROR(tblMoeHistory[[#This Row],[State and Local Total Amount]]/tblMoeHistory[[#This Row],[Child Count]],0)</f>
        <v>12281.469396887158</v>
      </c>
      <c r="M970">
        <v>0</v>
      </c>
      <c r="N970" t="s">
        <v>241</v>
      </c>
      <c r="O970">
        <v>859443.65</v>
      </c>
      <c r="P970">
        <v>7788.18</v>
      </c>
      <c r="Q970">
        <f>tblMoeHistory[[#This Row],[Amount of IDEA Part B, Section 611 award]]+tblMoeHistory[[#This Row],[Amount of IDEA Part B, Section 619 award]]</f>
        <v>867231.83000000007</v>
      </c>
      <c r="U9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0" t="str">
        <f>IF(OR(IFERROR(SEARCH("Met",tblMoeHistory[[#This Row],[State and Local Per Capita Result]]),0)&gt;0,IFERROR(SEARCH("Met",tblMoeHistory[[#This Row],[State and Local Total Result]]),0)&gt;0),"Met","Not Met")</f>
        <v>Met</v>
      </c>
    </row>
    <row r="971" spans="1:22" x14ac:dyDescent="0.35">
      <c r="A971" t="s">
        <v>204</v>
      </c>
      <c r="B971">
        <v>2242</v>
      </c>
      <c r="C971" t="s">
        <v>19</v>
      </c>
      <c r="D971">
        <v>1296</v>
      </c>
      <c r="E971">
        <v>10222824.609999999</v>
      </c>
      <c r="F971">
        <v>1721849</v>
      </c>
      <c r="G971">
        <f>tblMoeHistory[[#This Row],[LEA State and Local Amount]]+tblMoeHistory[[#This Row],[ESD State and Local Amount]]</f>
        <v>11944673.609999999</v>
      </c>
      <c r="H971">
        <v>0</v>
      </c>
      <c r="I971" t="s">
        <v>241</v>
      </c>
      <c r="J971">
        <f>IFERROR(tblMoeHistory[[#This Row],[LEA State and Local Amount]]/tblMoeHistory[[#This Row],[Child Count]],0)</f>
        <v>7887.9819521604932</v>
      </c>
      <c r="K971">
        <f>IFERROR(tblMoeHistory[[#This Row],[ESD State and Local Amount]]/tblMoeHistory[[#This Row],[Child Count]],0)</f>
        <v>1328.5871913580247</v>
      </c>
      <c r="L971">
        <f>IFERROR(tblMoeHistory[[#This Row],[State and Local Total Amount]]/tblMoeHistory[[#This Row],[Child Count]],0)</f>
        <v>9216.5691435185181</v>
      </c>
      <c r="M971">
        <v>0</v>
      </c>
      <c r="N971" t="s">
        <v>241</v>
      </c>
      <c r="O971">
        <v>1894734.76</v>
      </c>
      <c r="P971">
        <v>11738.71</v>
      </c>
      <c r="Q971">
        <f>tblMoeHistory[[#This Row],[Amount of IDEA Part B, Section 611 award]]+tblMoeHistory[[#This Row],[Amount of IDEA Part B, Section 619 award]]</f>
        <v>1906473.47</v>
      </c>
      <c r="U9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1" t="str">
        <f>IF(OR(IFERROR(SEARCH("Met",tblMoeHistory[[#This Row],[State and Local Per Capita Result]]),0)&gt;0,IFERROR(SEARCH("Met",tblMoeHistory[[#This Row],[State and Local Total Result]]),0)&gt;0),"Met","Not Met")</f>
        <v>Met</v>
      </c>
    </row>
    <row r="972" spans="1:22" x14ac:dyDescent="0.35">
      <c r="A972" t="s">
        <v>205</v>
      </c>
      <c r="B972">
        <v>2197</v>
      </c>
      <c r="C972" t="s">
        <v>19</v>
      </c>
      <c r="D972">
        <v>237</v>
      </c>
      <c r="E972">
        <v>2574022.9900000002</v>
      </c>
      <c r="F972">
        <v>192304</v>
      </c>
      <c r="G972">
        <f>tblMoeHistory[[#This Row],[LEA State and Local Amount]]+tblMoeHistory[[#This Row],[ESD State and Local Amount]]</f>
        <v>2766326.99</v>
      </c>
      <c r="H972">
        <v>0</v>
      </c>
      <c r="I972" t="s">
        <v>241</v>
      </c>
      <c r="J972">
        <f>IFERROR(tblMoeHistory[[#This Row],[LEA State and Local Amount]]/tblMoeHistory[[#This Row],[Child Count]],0)</f>
        <v>10860.856497890296</v>
      </c>
      <c r="K972">
        <f>IFERROR(tblMoeHistory[[#This Row],[ESD State and Local Amount]]/tblMoeHistory[[#This Row],[Child Count]],0)</f>
        <v>811.40928270042195</v>
      </c>
      <c r="L972">
        <f>IFERROR(tblMoeHistory[[#This Row],[State and Local Total Amount]]/tblMoeHistory[[#This Row],[Child Count]],0)</f>
        <v>11672.265780590718</v>
      </c>
      <c r="M972">
        <v>0</v>
      </c>
      <c r="N972" t="s">
        <v>241</v>
      </c>
      <c r="O972">
        <v>322920.86</v>
      </c>
      <c r="P972">
        <v>3366.1</v>
      </c>
      <c r="Q972">
        <f>tblMoeHistory[[#This Row],[Amount of IDEA Part B, Section 611 award]]+tblMoeHistory[[#This Row],[Amount of IDEA Part B, Section 619 award]]</f>
        <v>326286.95999999996</v>
      </c>
      <c r="U9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2" t="str">
        <f>IF(OR(IFERROR(SEARCH("Met",tblMoeHistory[[#This Row],[State and Local Per Capita Result]]),0)&gt;0,IFERROR(SEARCH("Met",tblMoeHistory[[#This Row],[State and Local Total Result]]),0)&gt;0),"Met","Not Met")</f>
        <v>Met</v>
      </c>
    </row>
    <row r="973" spans="1:22" x14ac:dyDescent="0.35">
      <c r="A973" t="s">
        <v>206</v>
      </c>
      <c r="B973">
        <v>2222</v>
      </c>
      <c r="C973" t="s">
        <v>19</v>
      </c>
      <c r="D973">
        <v>0</v>
      </c>
      <c r="E973">
        <v>0</v>
      </c>
      <c r="F973">
        <v>3700</v>
      </c>
      <c r="G973">
        <f>tblMoeHistory[[#This Row],[LEA State and Local Amount]]+tblMoeHistory[[#This Row],[ESD State and Local Amount]]</f>
        <v>3700</v>
      </c>
      <c r="H973">
        <v>0</v>
      </c>
      <c r="I973" t="s">
        <v>239</v>
      </c>
      <c r="J973">
        <f>IFERROR(tblMoeHistory[[#This Row],[LEA State and Local Amount]]/tblMoeHistory[[#This Row],[Child Count]],0)</f>
        <v>0</v>
      </c>
      <c r="K973">
        <f>IFERROR(tblMoeHistory[[#This Row],[ESD State and Local Amount]]/tblMoeHistory[[#This Row],[Child Count]],0)</f>
        <v>0</v>
      </c>
      <c r="L973">
        <f>IFERROR(tblMoeHistory[[#This Row],[State and Local Total Amount]]/tblMoeHistory[[#This Row],[Child Count]],0)</f>
        <v>0</v>
      </c>
      <c r="M973">
        <v>0</v>
      </c>
      <c r="N973" t="s">
        <v>239</v>
      </c>
      <c r="O973">
        <v>2471.6799999999998</v>
      </c>
      <c r="P973">
        <v>0</v>
      </c>
      <c r="Q973">
        <f>tblMoeHistory[[#This Row],[Amount of IDEA Part B, Section 611 award]]+tblMoeHistory[[#This Row],[Amount of IDEA Part B, Section 619 award]]</f>
        <v>2471.6799999999998</v>
      </c>
      <c r="U9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3" t="str">
        <f>IF(OR(IFERROR(SEARCH("Met",tblMoeHistory[[#This Row],[State and Local Per Capita Result]]),0)&gt;0,IFERROR(SEARCH("Met",tblMoeHistory[[#This Row],[State and Local Total Result]]),0)&gt;0),"Met","Not Met")</f>
        <v>Met</v>
      </c>
    </row>
    <row r="974" spans="1:22" x14ac:dyDescent="0.35">
      <c r="A974" t="s">
        <v>207</v>
      </c>
      <c r="B974">
        <v>2210</v>
      </c>
      <c r="C974" t="s">
        <v>19</v>
      </c>
      <c r="D974">
        <v>5</v>
      </c>
      <c r="E974">
        <v>4336.3</v>
      </c>
      <c r="F974">
        <v>7160.84</v>
      </c>
      <c r="G974">
        <f>tblMoeHistory[[#This Row],[LEA State and Local Amount]]+tblMoeHistory[[#This Row],[ESD State and Local Amount]]</f>
        <v>11497.14</v>
      </c>
      <c r="H974">
        <v>0</v>
      </c>
      <c r="I974" t="s">
        <v>239</v>
      </c>
      <c r="J974">
        <f>IFERROR(tblMoeHistory[[#This Row],[LEA State and Local Amount]]/tblMoeHistory[[#This Row],[Child Count]],0)</f>
        <v>867.26</v>
      </c>
      <c r="K974">
        <f>IFERROR(tblMoeHistory[[#This Row],[ESD State and Local Amount]]/tblMoeHistory[[#This Row],[Child Count]],0)</f>
        <v>1432.1680000000001</v>
      </c>
      <c r="L974">
        <f>IFERROR(tblMoeHistory[[#This Row],[State and Local Total Amount]]/tblMoeHistory[[#This Row],[Child Count]],0)</f>
        <v>2299.4279999999999</v>
      </c>
      <c r="M974">
        <v>0</v>
      </c>
      <c r="N974" t="s">
        <v>239</v>
      </c>
      <c r="O974">
        <v>7343.13</v>
      </c>
      <c r="P974">
        <v>0</v>
      </c>
      <c r="Q974">
        <f>tblMoeHistory[[#This Row],[Amount of IDEA Part B, Section 611 award]]+tblMoeHistory[[#This Row],[Amount of IDEA Part B, Section 619 award]]</f>
        <v>7343.13</v>
      </c>
      <c r="U9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4" t="str">
        <f>IF(OR(IFERROR(SEARCH("Met",tblMoeHistory[[#This Row],[State and Local Per Capita Result]]),0)&gt;0,IFERROR(SEARCH("Met",tblMoeHistory[[#This Row],[State and Local Total Result]]),0)&gt;0),"Met","Not Met")</f>
        <v>Met</v>
      </c>
    </row>
    <row r="975" spans="1:22" x14ac:dyDescent="0.35">
      <c r="A975" t="s">
        <v>208</v>
      </c>
      <c r="B975">
        <v>2204</v>
      </c>
      <c r="C975" t="s">
        <v>19</v>
      </c>
      <c r="D975">
        <v>143</v>
      </c>
      <c r="E975">
        <v>1063518.99</v>
      </c>
      <c r="F975">
        <v>205157.99</v>
      </c>
      <c r="G975">
        <f>tblMoeHistory[[#This Row],[LEA State and Local Amount]]+tblMoeHistory[[#This Row],[ESD State and Local Amount]]</f>
        <v>1268676.98</v>
      </c>
      <c r="H975">
        <v>0</v>
      </c>
      <c r="I975" t="s">
        <v>239</v>
      </c>
      <c r="J975">
        <f>IFERROR(tblMoeHistory[[#This Row],[LEA State and Local Amount]]/tblMoeHistory[[#This Row],[Child Count]],0)</f>
        <v>7437.1957342657342</v>
      </c>
      <c r="K975">
        <f>IFERROR(tblMoeHistory[[#This Row],[ESD State and Local Amount]]/tblMoeHistory[[#This Row],[Child Count]],0)</f>
        <v>1434.6712587412587</v>
      </c>
      <c r="L975">
        <f>IFERROR(tblMoeHistory[[#This Row],[State and Local Total Amount]]/tblMoeHistory[[#This Row],[Child Count]],0)</f>
        <v>8871.8669930069937</v>
      </c>
      <c r="M975">
        <v>0</v>
      </c>
      <c r="N975" t="s">
        <v>239</v>
      </c>
      <c r="O975">
        <v>197293.42</v>
      </c>
      <c r="P975">
        <v>2118.52</v>
      </c>
      <c r="Q975">
        <f>tblMoeHistory[[#This Row],[Amount of IDEA Part B, Section 611 award]]+tblMoeHistory[[#This Row],[Amount of IDEA Part B, Section 619 award]]</f>
        <v>199411.94</v>
      </c>
      <c r="U9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5" t="str">
        <f>IF(OR(IFERROR(SEARCH("Met",tblMoeHistory[[#This Row],[State and Local Per Capita Result]]),0)&gt;0,IFERROR(SEARCH("Met",tblMoeHistory[[#This Row],[State and Local Total Result]]),0)&gt;0),"Met","Not Met")</f>
        <v>Met</v>
      </c>
    </row>
    <row r="976" spans="1:22" x14ac:dyDescent="0.35">
      <c r="A976" t="s">
        <v>209</v>
      </c>
      <c r="B976">
        <v>2213</v>
      </c>
      <c r="C976" t="s">
        <v>19</v>
      </c>
      <c r="D976">
        <v>44</v>
      </c>
      <c r="E976">
        <v>329515.69</v>
      </c>
      <c r="F976">
        <v>128555.38</v>
      </c>
      <c r="G976">
        <f>tblMoeHistory[[#This Row],[LEA State and Local Amount]]+tblMoeHistory[[#This Row],[ESD State and Local Amount]]</f>
        <v>458071.07</v>
      </c>
      <c r="H976">
        <v>0</v>
      </c>
      <c r="I976" t="s">
        <v>241</v>
      </c>
      <c r="J976">
        <f>IFERROR(tblMoeHistory[[#This Row],[LEA State and Local Amount]]/tblMoeHistory[[#This Row],[Child Count]],0)</f>
        <v>7488.9929545454543</v>
      </c>
      <c r="K976">
        <f>IFERROR(tblMoeHistory[[#This Row],[ESD State and Local Amount]]/tblMoeHistory[[#This Row],[Child Count]],0)</f>
        <v>2921.713181818182</v>
      </c>
      <c r="L976">
        <f>IFERROR(tblMoeHistory[[#This Row],[State and Local Total Amount]]/tblMoeHistory[[#This Row],[Child Count]],0)</f>
        <v>10410.706136363637</v>
      </c>
      <c r="M976">
        <v>0</v>
      </c>
      <c r="N976" t="s">
        <v>241</v>
      </c>
      <c r="O976">
        <v>59816.34</v>
      </c>
      <c r="P976">
        <v>76.5</v>
      </c>
      <c r="Q976">
        <f>tblMoeHistory[[#This Row],[Amount of IDEA Part B, Section 611 award]]+tblMoeHistory[[#This Row],[Amount of IDEA Part B, Section 619 award]]</f>
        <v>59892.84</v>
      </c>
      <c r="U9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6" t="str">
        <f>IF(OR(IFERROR(SEARCH("Met",tblMoeHistory[[#This Row],[State and Local Per Capita Result]]),0)&gt;0,IFERROR(SEARCH("Met",tblMoeHistory[[#This Row],[State and Local Total Result]]),0)&gt;0),"Met","Not Met")</f>
        <v>Met</v>
      </c>
    </row>
    <row r="977" spans="1:22" x14ac:dyDescent="0.35">
      <c r="A977" t="s">
        <v>210</v>
      </c>
      <c r="B977">
        <v>2116</v>
      </c>
      <c r="C977" t="s">
        <v>19</v>
      </c>
      <c r="D977">
        <v>122</v>
      </c>
      <c r="E977">
        <v>699789.23</v>
      </c>
      <c r="F977">
        <v>282270.96999999997</v>
      </c>
      <c r="G977">
        <f>tblMoeHistory[[#This Row],[LEA State and Local Amount]]+tblMoeHistory[[#This Row],[ESD State and Local Amount]]</f>
        <v>982060.2</v>
      </c>
      <c r="H977">
        <v>0</v>
      </c>
      <c r="I977" t="s">
        <v>239</v>
      </c>
      <c r="J977">
        <f>IFERROR(tblMoeHistory[[#This Row],[LEA State and Local Amount]]/tblMoeHistory[[#This Row],[Child Count]],0)</f>
        <v>5735.977295081967</v>
      </c>
      <c r="K977">
        <f>IFERROR(tblMoeHistory[[#This Row],[ESD State and Local Amount]]/tblMoeHistory[[#This Row],[Child Count]],0)</f>
        <v>2313.6964754098358</v>
      </c>
      <c r="L977">
        <f>IFERROR(tblMoeHistory[[#This Row],[State and Local Total Amount]]/tblMoeHistory[[#This Row],[Child Count]],0)</f>
        <v>8049.6737704918032</v>
      </c>
      <c r="M977">
        <v>0</v>
      </c>
      <c r="N977" t="s">
        <v>239</v>
      </c>
      <c r="O977">
        <v>175361.97</v>
      </c>
      <c r="P977">
        <v>667.66</v>
      </c>
      <c r="Q977">
        <f>tblMoeHistory[[#This Row],[Amount of IDEA Part B, Section 611 award]]+tblMoeHistory[[#This Row],[Amount of IDEA Part B, Section 619 award]]</f>
        <v>176029.63</v>
      </c>
      <c r="U9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7" t="str">
        <f>IF(OR(IFERROR(SEARCH("Met",tblMoeHistory[[#This Row],[State and Local Per Capita Result]]),0)&gt;0,IFERROR(SEARCH("Met",tblMoeHistory[[#This Row],[State and Local Total Result]]),0)&gt;0),"Met","Not Met")</f>
        <v>Met</v>
      </c>
    </row>
    <row r="978" spans="1:22" x14ac:dyDescent="0.35">
      <c r="A978" t="s">
        <v>211</v>
      </c>
      <c r="B978">
        <v>1947</v>
      </c>
      <c r="C978" t="s">
        <v>19</v>
      </c>
      <c r="D978">
        <v>113</v>
      </c>
      <c r="E978">
        <v>1131455.73</v>
      </c>
      <c r="F978">
        <v>74201</v>
      </c>
      <c r="G978">
        <f>tblMoeHistory[[#This Row],[LEA State and Local Amount]]+tblMoeHistory[[#This Row],[ESD State and Local Amount]]</f>
        <v>1205656.73</v>
      </c>
      <c r="H978">
        <v>0</v>
      </c>
      <c r="I978" t="s">
        <v>241</v>
      </c>
      <c r="J978">
        <f>IFERROR(tblMoeHistory[[#This Row],[LEA State and Local Amount]]/tblMoeHistory[[#This Row],[Child Count]],0)</f>
        <v>10012.882566371682</v>
      </c>
      <c r="K978">
        <f>IFERROR(tblMoeHistory[[#This Row],[ESD State and Local Amount]]/tblMoeHistory[[#This Row],[Child Count]],0)</f>
        <v>656.64601769911508</v>
      </c>
      <c r="L978">
        <f>IFERROR(tblMoeHistory[[#This Row],[State and Local Total Amount]]/tblMoeHistory[[#This Row],[Child Count]],0)</f>
        <v>10669.528584070797</v>
      </c>
      <c r="M978">
        <v>0</v>
      </c>
      <c r="N978" t="s">
        <v>241</v>
      </c>
      <c r="O978">
        <v>102049.43</v>
      </c>
      <c r="P978">
        <v>1402.54</v>
      </c>
      <c r="Q978">
        <f>tblMoeHistory[[#This Row],[Amount of IDEA Part B, Section 611 award]]+tblMoeHistory[[#This Row],[Amount of IDEA Part B, Section 619 award]]</f>
        <v>103451.96999999999</v>
      </c>
      <c r="U9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8" t="str">
        <f>IF(OR(IFERROR(SEARCH("Met",tblMoeHistory[[#This Row],[State and Local Per Capita Result]]),0)&gt;0,IFERROR(SEARCH("Met",tblMoeHistory[[#This Row],[State and Local Total Result]]),0)&gt;0),"Met","Not Met")</f>
        <v>Met</v>
      </c>
    </row>
    <row r="979" spans="1:22" x14ac:dyDescent="0.35">
      <c r="A979" t="s">
        <v>212</v>
      </c>
      <c r="B979">
        <v>2220</v>
      </c>
      <c r="C979" t="s">
        <v>19</v>
      </c>
      <c r="D979">
        <v>33</v>
      </c>
      <c r="E979">
        <v>97586.25</v>
      </c>
      <c r="F979">
        <v>153452.74</v>
      </c>
      <c r="G979">
        <f>tblMoeHistory[[#This Row],[LEA State and Local Amount]]+tblMoeHistory[[#This Row],[ESD State and Local Amount]]</f>
        <v>251038.99</v>
      </c>
      <c r="H979">
        <v>0</v>
      </c>
      <c r="I979" t="s">
        <v>239</v>
      </c>
      <c r="J979">
        <f>IFERROR(tblMoeHistory[[#This Row],[LEA State and Local Amount]]/tblMoeHistory[[#This Row],[Child Count]],0)</f>
        <v>2957.159090909091</v>
      </c>
      <c r="K979">
        <f>IFERROR(tblMoeHistory[[#This Row],[ESD State and Local Amount]]/tblMoeHistory[[#This Row],[Child Count]],0)</f>
        <v>4650.0830303030298</v>
      </c>
      <c r="L979">
        <f>IFERROR(tblMoeHistory[[#This Row],[State and Local Total Amount]]/tblMoeHistory[[#This Row],[Child Count]],0)</f>
        <v>7607.2421212121208</v>
      </c>
      <c r="M979">
        <v>0</v>
      </c>
      <c r="N979" t="s">
        <v>239</v>
      </c>
      <c r="O979">
        <v>59557.279999999999</v>
      </c>
      <c r="P979">
        <v>918.03</v>
      </c>
      <c r="Q979">
        <f>tblMoeHistory[[#This Row],[Amount of IDEA Part B, Section 611 award]]+tblMoeHistory[[#This Row],[Amount of IDEA Part B, Section 619 award]]</f>
        <v>60475.31</v>
      </c>
      <c r="U9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9" t="str">
        <f>IF(OR(IFERROR(SEARCH("Met",tblMoeHistory[[#This Row],[State and Local Per Capita Result]]),0)&gt;0,IFERROR(SEARCH("Met",tblMoeHistory[[#This Row],[State and Local Total Result]]),0)&gt;0),"Met","Not Met")</f>
        <v>Met</v>
      </c>
    </row>
    <row r="980" spans="1:22" x14ac:dyDescent="0.35">
      <c r="A980" t="s">
        <v>213</v>
      </c>
      <c r="B980">
        <v>1936</v>
      </c>
      <c r="C980" t="s">
        <v>19</v>
      </c>
      <c r="D980">
        <v>178</v>
      </c>
      <c r="E980">
        <v>1226347.29</v>
      </c>
      <c r="F980">
        <v>323970</v>
      </c>
      <c r="G980">
        <f>tblMoeHistory[[#This Row],[LEA State and Local Amount]]+tblMoeHistory[[#This Row],[ESD State and Local Amount]]</f>
        <v>1550317.29</v>
      </c>
      <c r="H980">
        <v>0</v>
      </c>
      <c r="I980" t="s">
        <v>241</v>
      </c>
      <c r="J980">
        <f>IFERROR(tblMoeHistory[[#This Row],[LEA State and Local Amount]]/tblMoeHistory[[#This Row],[Child Count]],0)</f>
        <v>6889.5915168539332</v>
      </c>
      <c r="K980">
        <f>IFERROR(tblMoeHistory[[#This Row],[ESD State and Local Amount]]/tblMoeHistory[[#This Row],[Child Count]],0)</f>
        <v>1820.056179775281</v>
      </c>
      <c r="L980">
        <f>IFERROR(tblMoeHistory[[#This Row],[State and Local Total Amount]]/tblMoeHistory[[#This Row],[Child Count]],0)</f>
        <v>8709.6476966292139</v>
      </c>
      <c r="M980">
        <v>0</v>
      </c>
      <c r="N980" t="s">
        <v>240</v>
      </c>
      <c r="O980">
        <v>145015.34</v>
      </c>
      <c r="P980">
        <v>1147.53</v>
      </c>
      <c r="Q980">
        <f>tblMoeHistory[[#This Row],[Amount of IDEA Part B, Section 611 award]]+tblMoeHistory[[#This Row],[Amount of IDEA Part B, Section 619 award]]</f>
        <v>146162.87</v>
      </c>
      <c r="U9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0" t="str">
        <f>IF(OR(IFERROR(SEARCH("Met",tblMoeHistory[[#This Row],[State and Local Per Capita Result]]),0)&gt;0,IFERROR(SEARCH("Met",tblMoeHistory[[#This Row],[State and Local Total Result]]),0)&gt;0),"Met","Not Met")</f>
        <v>Met</v>
      </c>
    </row>
    <row r="981" spans="1:22" x14ac:dyDescent="0.35">
      <c r="A981" t="s">
        <v>214</v>
      </c>
      <c r="B981">
        <v>1922</v>
      </c>
      <c r="C981" t="s">
        <v>19</v>
      </c>
      <c r="D981">
        <v>917</v>
      </c>
      <c r="E981">
        <v>7827170.8600000003</v>
      </c>
      <c r="F981">
        <v>88039</v>
      </c>
      <c r="G981">
        <f>tblMoeHistory[[#This Row],[LEA State and Local Amount]]+tblMoeHistory[[#This Row],[ESD State and Local Amount]]</f>
        <v>7915209.8600000003</v>
      </c>
      <c r="H981">
        <v>0</v>
      </c>
      <c r="I981" t="s">
        <v>241</v>
      </c>
      <c r="J981">
        <f>IFERROR(tblMoeHistory[[#This Row],[LEA State and Local Amount]]/tblMoeHistory[[#This Row],[Child Count]],0)</f>
        <v>8535.6279825517995</v>
      </c>
      <c r="K981">
        <f>IFERROR(tblMoeHistory[[#This Row],[ESD State and Local Amount]]/tblMoeHistory[[#This Row],[Child Count]],0)</f>
        <v>96.007633587786259</v>
      </c>
      <c r="L981">
        <f>IFERROR(tblMoeHistory[[#This Row],[State and Local Total Amount]]/tblMoeHistory[[#This Row],[Child Count]],0)</f>
        <v>8631.6356161395852</v>
      </c>
      <c r="M981">
        <v>0</v>
      </c>
      <c r="N981" t="s">
        <v>241</v>
      </c>
      <c r="O981">
        <v>1232676.82</v>
      </c>
      <c r="P981">
        <v>7814.25</v>
      </c>
      <c r="Q981">
        <f>tblMoeHistory[[#This Row],[Amount of IDEA Part B, Section 611 award]]+tblMoeHistory[[#This Row],[Amount of IDEA Part B, Section 619 award]]</f>
        <v>1240491.07</v>
      </c>
      <c r="U9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1" t="str">
        <f>IF(OR(IFERROR(SEARCH("Met",tblMoeHistory[[#This Row],[State and Local Per Capita Result]]),0)&gt;0,IFERROR(SEARCH("Met",tblMoeHistory[[#This Row],[State and Local Total Result]]),0)&gt;0),"Met","Not Met")</f>
        <v>Met</v>
      </c>
    </row>
    <row r="982" spans="1:22" x14ac:dyDescent="0.35">
      <c r="A982" t="s">
        <v>215</v>
      </c>
      <c r="B982">
        <v>2255</v>
      </c>
      <c r="C982" t="s">
        <v>19</v>
      </c>
      <c r="D982">
        <v>127</v>
      </c>
      <c r="E982">
        <v>938713.99</v>
      </c>
      <c r="F982">
        <v>81338.39</v>
      </c>
      <c r="G982">
        <f>tblMoeHistory[[#This Row],[LEA State and Local Amount]]+tblMoeHistory[[#This Row],[ESD State and Local Amount]]</f>
        <v>1020052.38</v>
      </c>
      <c r="H982">
        <v>0</v>
      </c>
      <c r="I982" t="s">
        <v>241</v>
      </c>
      <c r="J982">
        <f>IFERROR(tblMoeHistory[[#This Row],[LEA State and Local Amount]]/tblMoeHistory[[#This Row],[Child Count]],0)</f>
        <v>7391.4487401574806</v>
      </c>
      <c r="K982">
        <f>IFERROR(tblMoeHistory[[#This Row],[ESD State and Local Amount]]/tblMoeHistory[[#This Row],[Child Count]],0)</f>
        <v>640.45976377952752</v>
      </c>
      <c r="L982">
        <f>IFERROR(tblMoeHistory[[#This Row],[State and Local Total Amount]]/tblMoeHistory[[#This Row],[Child Count]],0)</f>
        <v>8031.9085039370075</v>
      </c>
      <c r="M982">
        <v>0</v>
      </c>
      <c r="N982" t="s">
        <v>240</v>
      </c>
      <c r="O982">
        <v>182343.94</v>
      </c>
      <c r="P982">
        <v>1463.11</v>
      </c>
      <c r="Q982">
        <f>tblMoeHistory[[#This Row],[Amount of IDEA Part B, Section 611 award]]+tblMoeHistory[[#This Row],[Amount of IDEA Part B, Section 619 award]]</f>
        <v>183807.05</v>
      </c>
      <c r="U9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2" t="str">
        <f>IF(OR(IFERROR(SEARCH("Met",tblMoeHistory[[#This Row],[State and Local Per Capita Result]]),0)&gt;0,IFERROR(SEARCH("Met",tblMoeHistory[[#This Row],[State and Local Total Result]]),0)&gt;0),"Met","Not Met")</f>
        <v>Met</v>
      </c>
    </row>
    <row r="983" spans="1:22" x14ac:dyDescent="0.35">
      <c r="A983" t="s">
        <v>216</v>
      </c>
      <c r="B983">
        <v>2002</v>
      </c>
      <c r="C983" t="s">
        <v>19</v>
      </c>
      <c r="D983">
        <v>195</v>
      </c>
      <c r="E983">
        <v>1494407.22</v>
      </c>
      <c r="F983">
        <v>227433.97</v>
      </c>
      <c r="G983">
        <f>tblMoeHistory[[#This Row],[LEA State and Local Amount]]+tblMoeHistory[[#This Row],[ESD State and Local Amount]]</f>
        <v>1721841.19</v>
      </c>
      <c r="H983">
        <v>0</v>
      </c>
      <c r="I983" t="s">
        <v>242</v>
      </c>
      <c r="J983">
        <f>IFERROR(tblMoeHistory[[#This Row],[LEA State and Local Amount]]/tblMoeHistory[[#This Row],[Child Count]],0)</f>
        <v>7663.6267692307692</v>
      </c>
      <c r="K983">
        <f>IFERROR(tblMoeHistory[[#This Row],[ESD State and Local Amount]]/tblMoeHistory[[#This Row],[Child Count]],0)</f>
        <v>1166.3280512820513</v>
      </c>
      <c r="L983">
        <f>IFERROR(tblMoeHistory[[#This Row],[State and Local Total Amount]]/tblMoeHistory[[#This Row],[Child Count]],0)</f>
        <v>8829.9548205128194</v>
      </c>
      <c r="M983">
        <v>0</v>
      </c>
      <c r="N983" t="s">
        <v>240</v>
      </c>
      <c r="O983">
        <v>274404.05</v>
      </c>
      <c r="P983">
        <v>6087.97</v>
      </c>
      <c r="Q983">
        <f>tblMoeHistory[[#This Row],[Amount of IDEA Part B, Section 611 award]]+tblMoeHistory[[#This Row],[Amount of IDEA Part B, Section 619 award]]</f>
        <v>280492.01999999996</v>
      </c>
      <c r="S983">
        <v>69989.22</v>
      </c>
      <c r="U9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3" t="str">
        <f>IF(OR(IFERROR(SEARCH("Met",tblMoeHistory[[#This Row],[State and Local Per Capita Result]]),0)&gt;0,IFERROR(SEARCH("Met",tblMoeHistory[[#This Row],[State and Local Total Result]]),0)&gt;0),"Met","Not Met")</f>
        <v>Met</v>
      </c>
    </row>
    <row r="984" spans="1:22" x14ac:dyDescent="0.35">
      <c r="A984" t="s">
        <v>217</v>
      </c>
      <c r="B984">
        <v>2146</v>
      </c>
      <c r="C984" t="s">
        <v>19</v>
      </c>
      <c r="D984">
        <v>743</v>
      </c>
      <c r="E984">
        <v>6226504.8499999996</v>
      </c>
      <c r="F984">
        <v>535777.96</v>
      </c>
      <c r="G984">
        <f>tblMoeHistory[[#This Row],[LEA State and Local Amount]]+tblMoeHistory[[#This Row],[ESD State and Local Amount]]</f>
        <v>6762282.8099999996</v>
      </c>
      <c r="H984">
        <v>0</v>
      </c>
      <c r="I984" t="s">
        <v>241</v>
      </c>
      <c r="J984">
        <f>IFERROR(tblMoeHistory[[#This Row],[LEA State and Local Amount]]/tblMoeHistory[[#This Row],[Child Count]],0)</f>
        <v>8380.2218707940774</v>
      </c>
      <c r="K984">
        <f>IFERROR(tblMoeHistory[[#This Row],[ESD State and Local Amount]]/tblMoeHistory[[#This Row],[Child Count]],0)</f>
        <v>721.10088829071333</v>
      </c>
      <c r="L984">
        <f>IFERROR(tblMoeHistory[[#This Row],[State and Local Total Amount]]/tblMoeHistory[[#This Row],[Child Count]],0)</f>
        <v>9101.322759084791</v>
      </c>
      <c r="M984">
        <v>0</v>
      </c>
      <c r="N984" t="s">
        <v>241</v>
      </c>
      <c r="O984">
        <v>780553.51</v>
      </c>
      <c r="P984">
        <v>4344.07</v>
      </c>
      <c r="Q984">
        <f>tblMoeHistory[[#This Row],[Amount of IDEA Part B, Section 611 award]]+tblMoeHistory[[#This Row],[Amount of IDEA Part B, Section 619 award]]</f>
        <v>784897.58</v>
      </c>
      <c r="U9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4" t="str">
        <f>IF(OR(IFERROR(SEARCH("Met",tblMoeHistory[[#This Row],[State and Local Per Capita Result]]),0)&gt;0,IFERROR(SEARCH("Met",tblMoeHistory[[#This Row],[State and Local Total Result]]),0)&gt;0),"Met","Not Met")</f>
        <v>Met</v>
      </c>
    </row>
    <row r="985" spans="1:22" x14ac:dyDescent="0.35">
      <c r="A985" t="s">
        <v>218</v>
      </c>
      <c r="B985">
        <v>2251</v>
      </c>
      <c r="C985" t="s">
        <v>19</v>
      </c>
      <c r="D985">
        <v>180</v>
      </c>
      <c r="E985">
        <v>1470992.56</v>
      </c>
      <c r="F985">
        <v>51553.95</v>
      </c>
      <c r="G985">
        <f>tblMoeHistory[[#This Row],[LEA State and Local Amount]]+tblMoeHistory[[#This Row],[ESD State and Local Amount]]</f>
        <v>1522546.51</v>
      </c>
      <c r="H985">
        <v>0</v>
      </c>
      <c r="I985" t="s">
        <v>241</v>
      </c>
      <c r="J985">
        <f>IFERROR(tblMoeHistory[[#This Row],[LEA State and Local Amount]]/tblMoeHistory[[#This Row],[Child Count]],0)</f>
        <v>8172.1808888888891</v>
      </c>
      <c r="K985">
        <f>IFERROR(tblMoeHistory[[#This Row],[ESD State and Local Amount]]/tblMoeHistory[[#This Row],[Child Count]],0)</f>
        <v>286.4108333333333</v>
      </c>
      <c r="L985">
        <f>IFERROR(tblMoeHistory[[#This Row],[State and Local Total Amount]]/tblMoeHistory[[#This Row],[Child Count]],0)</f>
        <v>8458.5917222222215</v>
      </c>
      <c r="M985">
        <v>0</v>
      </c>
      <c r="N985" t="s">
        <v>241</v>
      </c>
      <c r="O985">
        <v>202268.92</v>
      </c>
      <c r="P985">
        <v>1573.76</v>
      </c>
      <c r="Q985">
        <f>tblMoeHistory[[#This Row],[Amount of IDEA Part B, Section 611 award]]+tblMoeHistory[[#This Row],[Amount of IDEA Part B, Section 619 award]]</f>
        <v>203842.68000000002</v>
      </c>
      <c r="U9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5" t="str">
        <f>IF(OR(IFERROR(SEARCH("Met",tblMoeHistory[[#This Row],[State and Local Per Capita Result]]),0)&gt;0,IFERROR(SEARCH("Met",tblMoeHistory[[#This Row],[State and Local Total Result]]),0)&gt;0),"Met","Not Met")</f>
        <v>Met</v>
      </c>
    </row>
    <row r="986" spans="1:22" x14ac:dyDescent="0.35">
      <c r="A986" t="s">
        <v>219</v>
      </c>
      <c r="B986">
        <v>1997</v>
      </c>
      <c r="C986" t="s">
        <v>19</v>
      </c>
      <c r="D986">
        <v>40</v>
      </c>
      <c r="E986">
        <v>236836.24</v>
      </c>
      <c r="F986">
        <v>51059.78</v>
      </c>
      <c r="G986">
        <f>tblMoeHistory[[#This Row],[LEA State and Local Amount]]+tblMoeHistory[[#This Row],[ESD State and Local Amount]]</f>
        <v>287896.02</v>
      </c>
      <c r="H986">
        <v>0</v>
      </c>
      <c r="I986" t="s">
        <v>241</v>
      </c>
      <c r="J986">
        <f>IFERROR(tblMoeHistory[[#This Row],[LEA State and Local Amount]]/tblMoeHistory[[#This Row],[Child Count]],0)</f>
        <v>5920.9059999999999</v>
      </c>
      <c r="K986">
        <f>IFERROR(tblMoeHistory[[#This Row],[ESD State and Local Amount]]/tblMoeHistory[[#This Row],[Child Count]],0)</f>
        <v>1276.4945</v>
      </c>
      <c r="L986">
        <f>IFERROR(tblMoeHistory[[#This Row],[State and Local Total Amount]]/tblMoeHistory[[#This Row],[Child Count]],0)</f>
        <v>7197.4005000000006</v>
      </c>
      <c r="M986">
        <v>0</v>
      </c>
      <c r="N986" t="s">
        <v>241</v>
      </c>
      <c r="O986">
        <v>57290.43</v>
      </c>
      <c r="P986">
        <v>1836.05</v>
      </c>
      <c r="Q986">
        <f>tblMoeHistory[[#This Row],[Amount of IDEA Part B, Section 611 award]]+tblMoeHistory[[#This Row],[Amount of IDEA Part B, Section 619 award]]</f>
        <v>59126.48</v>
      </c>
      <c r="U9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6" t="str">
        <f>IF(OR(IFERROR(SEARCH("Met",tblMoeHistory[[#This Row],[State and Local Per Capita Result]]),0)&gt;0,IFERROR(SEARCH("Met",tblMoeHistory[[#This Row],[State and Local Total Result]]),0)&gt;0),"Met","Not Met")</f>
        <v>Met</v>
      </c>
    </row>
    <row r="987" spans="1:22" x14ac:dyDescent="0.35">
      <c r="A987" t="s">
        <v>14</v>
      </c>
      <c r="B987">
        <v>2063</v>
      </c>
      <c r="C987" t="s">
        <v>41</v>
      </c>
      <c r="D987">
        <v>2</v>
      </c>
      <c r="E987">
        <v>4378.42</v>
      </c>
      <c r="F987">
        <v>23306.44</v>
      </c>
      <c r="G987">
        <f>tblMoeHistory[[#This Row],[LEA State and Local Amount]]+tblMoeHistory[[#This Row],[ESD State and Local Amount]]</f>
        <v>27684.86</v>
      </c>
      <c r="H987">
        <v>0</v>
      </c>
      <c r="I987" t="s">
        <v>241</v>
      </c>
      <c r="J987">
        <f>IFERROR(tblMoeHistory[[#This Row],[LEA State and Local Amount]]/tblMoeHistory[[#This Row],[Child Count]],0)</f>
        <v>2189.21</v>
      </c>
      <c r="K987">
        <f>IFERROR(tblMoeHistory[[#This Row],[ESD State and Local Amount]]/tblMoeHistory[[#This Row],[Child Count]],0)</f>
        <v>11653.22</v>
      </c>
      <c r="L987">
        <f>IFERROR(tblMoeHistory[[#This Row],[State and Local Total Amount]]/tblMoeHistory[[#This Row],[Child Count]],0)</f>
        <v>13842.43</v>
      </c>
      <c r="M987">
        <v>0</v>
      </c>
      <c r="N987" t="s">
        <v>241</v>
      </c>
      <c r="O987">
        <v>3375.65</v>
      </c>
      <c r="P987">
        <v>459.01</v>
      </c>
      <c r="Q987">
        <f>tblMoeHistory[[#This Row],[Amount of IDEA Part B, Section 611 award]]+tblMoeHistory[[#This Row],[Amount of IDEA Part B, Section 619 award]]</f>
        <v>3834.66</v>
      </c>
      <c r="U9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7" t="str">
        <f>IF(OR(IFERROR(SEARCH("Met",tblMoeHistory[[#This Row],[State and Local Per Capita Result]]),0)&gt;0,IFERROR(SEARCH("Met",tblMoeHistory[[#This Row],[State and Local Total Result]]),0)&gt;0),"Met","Not Met")</f>
        <v>Met</v>
      </c>
    </row>
    <row r="988" spans="1:22" x14ac:dyDescent="0.35">
      <c r="A988" t="s">
        <v>17</v>
      </c>
      <c r="B988">
        <v>2113</v>
      </c>
      <c r="C988" t="s">
        <v>41</v>
      </c>
      <c r="D988">
        <v>38</v>
      </c>
      <c r="E988">
        <v>206197.24</v>
      </c>
      <c r="F988">
        <v>93559.17</v>
      </c>
      <c r="G988">
        <f>tblMoeHistory[[#This Row],[LEA State and Local Amount]]+tblMoeHistory[[#This Row],[ESD State and Local Amount]]</f>
        <v>299756.40999999997</v>
      </c>
      <c r="H988">
        <v>0</v>
      </c>
      <c r="I988" t="s">
        <v>241</v>
      </c>
      <c r="J988">
        <f>IFERROR(tblMoeHistory[[#This Row],[LEA State and Local Amount]]/tblMoeHistory[[#This Row],[Child Count]],0)</f>
        <v>5426.2431578947362</v>
      </c>
      <c r="K988">
        <f>IFERROR(tblMoeHistory[[#This Row],[ESD State and Local Amount]]/tblMoeHistory[[#This Row],[Child Count]],0)</f>
        <v>2462.0834210526314</v>
      </c>
      <c r="L988">
        <f>IFERROR(tblMoeHistory[[#This Row],[State and Local Total Amount]]/tblMoeHistory[[#This Row],[Child Count]],0)</f>
        <v>7888.326578947368</v>
      </c>
      <c r="M988">
        <v>91021.25</v>
      </c>
      <c r="N988" t="s">
        <v>240</v>
      </c>
      <c r="O988">
        <v>53019.72</v>
      </c>
      <c r="P988">
        <v>0</v>
      </c>
      <c r="Q988">
        <f>tblMoeHistory[[#This Row],[Amount of IDEA Part B, Section 611 award]]+tblMoeHistory[[#This Row],[Amount of IDEA Part B, Section 619 award]]</f>
        <v>53019.72</v>
      </c>
      <c r="U9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8" t="str">
        <f>IF(OR(IFERROR(SEARCH("Met",tblMoeHistory[[#This Row],[State and Local Per Capita Result]]),0)&gt;0,IFERROR(SEARCH("Met",tblMoeHistory[[#This Row],[State and Local Total Result]]),0)&gt;0),"Met","Not Met")</f>
        <v>Met</v>
      </c>
    </row>
    <row r="989" spans="1:22" x14ac:dyDescent="0.35">
      <c r="A989" t="s">
        <v>20</v>
      </c>
      <c r="B989">
        <v>1899</v>
      </c>
      <c r="C989" t="s">
        <v>41</v>
      </c>
      <c r="D989">
        <v>26</v>
      </c>
      <c r="E989">
        <v>197404.77</v>
      </c>
      <c r="F989">
        <v>33800</v>
      </c>
      <c r="G989">
        <f>tblMoeHistory[[#This Row],[LEA State and Local Amount]]+tblMoeHistory[[#This Row],[ESD State and Local Amount]]</f>
        <v>231204.77</v>
      </c>
      <c r="H989">
        <v>52274.82</v>
      </c>
      <c r="I989" t="s">
        <v>240</v>
      </c>
      <c r="J989">
        <f>IFERROR(tblMoeHistory[[#This Row],[LEA State and Local Amount]]/tblMoeHistory[[#This Row],[Child Count]],0)</f>
        <v>7592.4911538461538</v>
      </c>
      <c r="K989">
        <f>IFERROR(tblMoeHistory[[#This Row],[ESD State and Local Amount]]/tblMoeHistory[[#This Row],[Child Count]],0)</f>
        <v>1300</v>
      </c>
      <c r="L989">
        <f>IFERROR(tblMoeHistory[[#This Row],[State and Local Total Amount]]/tblMoeHistory[[#This Row],[Child Count]],0)</f>
        <v>8892.4911538461529</v>
      </c>
      <c r="M989">
        <v>89250.42</v>
      </c>
      <c r="N989" t="s">
        <v>240</v>
      </c>
      <c r="O989">
        <v>27762.41</v>
      </c>
      <c r="P989">
        <v>459.01</v>
      </c>
      <c r="Q989">
        <f>tblMoeHistory[[#This Row],[Amount of IDEA Part B, Section 611 award]]+tblMoeHistory[[#This Row],[Amount of IDEA Part B, Section 619 award]]</f>
        <v>28221.42</v>
      </c>
      <c r="U9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28221.42</v>
      </c>
      <c r="V989" t="str">
        <f>IF(OR(IFERROR(SEARCH("Met",tblMoeHistory[[#This Row],[State and Local Per Capita Result]]),0)&gt;0,IFERROR(SEARCH("Met",tblMoeHistory[[#This Row],[State and Local Total Result]]),0)&gt;0),"Met","Not Met")</f>
        <v>Not Met</v>
      </c>
    </row>
    <row r="990" spans="1:22" x14ac:dyDescent="0.35">
      <c r="A990" t="s">
        <v>21</v>
      </c>
      <c r="B990">
        <v>2252</v>
      </c>
      <c r="C990" t="s">
        <v>41</v>
      </c>
      <c r="D990">
        <v>113</v>
      </c>
      <c r="E990">
        <v>597127.64</v>
      </c>
      <c r="F990">
        <v>189565.79</v>
      </c>
      <c r="G990">
        <f>tblMoeHistory[[#This Row],[LEA State and Local Amount]]+tblMoeHistory[[#This Row],[ESD State and Local Amount]]</f>
        <v>786693.43</v>
      </c>
      <c r="H990">
        <v>0</v>
      </c>
      <c r="I990" t="s">
        <v>241</v>
      </c>
      <c r="J990">
        <f>IFERROR(tblMoeHistory[[#This Row],[LEA State and Local Amount]]/tblMoeHistory[[#This Row],[Child Count]],0)</f>
        <v>5284.3153982300882</v>
      </c>
      <c r="K990">
        <f>IFERROR(tblMoeHistory[[#This Row],[ESD State and Local Amount]]/tblMoeHistory[[#This Row],[Child Count]],0)</f>
        <v>1677.5733628318585</v>
      </c>
      <c r="L990">
        <f>IFERROR(tblMoeHistory[[#This Row],[State and Local Total Amount]]/tblMoeHistory[[#This Row],[Child Count]],0)</f>
        <v>6961.8887610619477</v>
      </c>
      <c r="M990">
        <v>62248.31</v>
      </c>
      <c r="N990" t="s">
        <v>240</v>
      </c>
      <c r="O990">
        <v>146410.62</v>
      </c>
      <c r="P990">
        <v>1224.04</v>
      </c>
      <c r="Q990">
        <f>tblMoeHistory[[#This Row],[Amount of IDEA Part B, Section 611 award]]+tblMoeHistory[[#This Row],[Amount of IDEA Part B, Section 619 award]]</f>
        <v>147634.66</v>
      </c>
      <c r="U9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0" t="str">
        <f>IF(OR(IFERROR(SEARCH("Met",tblMoeHistory[[#This Row],[State and Local Per Capita Result]]),0)&gt;0,IFERROR(SEARCH("Met",tblMoeHistory[[#This Row],[State and Local Total Result]]),0)&gt;0),"Met","Not Met")</f>
        <v>Met</v>
      </c>
    </row>
    <row r="991" spans="1:22" x14ac:dyDescent="0.35">
      <c r="A991" t="s">
        <v>23</v>
      </c>
      <c r="B991">
        <v>2111</v>
      </c>
      <c r="C991" t="s">
        <v>41</v>
      </c>
      <c r="D991">
        <v>10</v>
      </c>
      <c r="E991">
        <v>10904.2</v>
      </c>
      <c r="F991">
        <v>29538.9</v>
      </c>
      <c r="G991">
        <f>tblMoeHistory[[#This Row],[LEA State and Local Amount]]+tblMoeHistory[[#This Row],[ESD State and Local Amount]]</f>
        <v>40443.100000000006</v>
      </c>
      <c r="H991">
        <v>0</v>
      </c>
      <c r="I991" t="s">
        <v>241</v>
      </c>
      <c r="J991">
        <f>IFERROR(tblMoeHistory[[#This Row],[LEA State and Local Amount]]/tblMoeHistory[[#This Row],[Child Count]],0)</f>
        <v>1090.42</v>
      </c>
      <c r="K991">
        <f>IFERROR(tblMoeHistory[[#This Row],[ESD State and Local Amount]]/tblMoeHistory[[#This Row],[Child Count]],0)</f>
        <v>2953.8900000000003</v>
      </c>
      <c r="L991">
        <f>IFERROR(tblMoeHistory[[#This Row],[State and Local Total Amount]]/tblMoeHistory[[#This Row],[Child Count]],0)</f>
        <v>4044.3100000000004</v>
      </c>
      <c r="M991">
        <v>0</v>
      </c>
      <c r="N991" t="s">
        <v>241</v>
      </c>
      <c r="O991">
        <v>19460.73</v>
      </c>
      <c r="P991">
        <v>0</v>
      </c>
      <c r="Q991">
        <f>tblMoeHistory[[#This Row],[Amount of IDEA Part B, Section 611 award]]+tblMoeHistory[[#This Row],[Amount of IDEA Part B, Section 619 award]]</f>
        <v>19460.73</v>
      </c>
      <c r="U9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1" t="str">
        <f>IF(OR(IFERROR(SEARCH("Met",tblMoeHistory[[#This Row],[State and Local Per Capita Result]]),0)&gt;0,IFERROR(SEARCH("Met",tblMoeHistory[[#This Row],[State and Local Total Result]]),0)&gt;0),"Met","Not Met")</f>
        <v>Met</v>
      </c>
    </row>
    <row r="992" spans="1:22" x14ac:dyDescent="0.35">
      <c r="A992" t="s">
        <v>24</v>
      </c>
      <c r="B992">
        <v>2005</v>
      </c>
      <c r="C992" t="s">
        <v>41</v>
      </c>
      <c r="D992">
        <v>23</v>
      </c>
      <c r="E992">
        <v>49315.93</v>
      </c>
      <c r="F992">
        <v>107500</v>
      </c>
      <c r="G992">
        <f>tblMoeHistory[[#This Row],[LEA State and Local Amount]]+tblMoeHistory[[#This Row],[ESD State and Local Amount]]</f>
        <v>156815.93</v>
      </c>
      <c r="H992">
        <v>0</v>
      </c>
      <c r="I992" t="s">
        <v>241</v>
      </c>
      <c r="J992">
        <f>IFERROR(tblMoeHistory[[#This Row],[LEA State and Local Amount]]/tblMoeHistory[[#This Row],[Child Count]],0)</f>
        <v>2144.1708695652173</v>
      </c>
      <c r="K992">
        <f>IFERROR(tblMoeHistory[[#This Row],[ESD State and Local Amount]]/tblMoeHistory[[#This Row],[Child Count]],0)</f>
        <v>4673.913043478261</v>
      </c>
      <c r="L992">
        <f>IFERROR(tblMoeHistory[[#This Row],[State and Local Total Amount]]/tblMoeHistory[[#This Row],[Child Count]],0)</f>
        <v>6818.0839130434779</v>
      </c>
      <c r="M992">
        <v>9555.99</v>
      </c>
      <c r="N992" t="s">
        <v>240</v>
      </c>
      <c r="O992">
        <v>24613.99</v>
      </c>
      <c r="P992">
        <v>0</v>
      </c>
      <c r="Q992">
        <f>tblMoeHistory[[#This Row],[Amount of IDEA Part B, Section 611 award]]+tblMoeHistory[[#This Row],[Amount of IDEA Part B, Section 619 award]]</f>
        <v>24613.99</v>
      </c>
      <c r="S992">
        <v>24736.27</v>
      </c>
      <c r="U9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2" t="str">
        <f>IF(OR(IFERROR(SEARCH("Met",tblMoeHistory[[#This Row],[State and Local Per Capita Result]]),0)&gt;0,IFERROR(SEARCH("Met",tblMoeHistory[[#This Row],[State and Local Total Result]]),0)&gt;0),"Met","Not Met")</f>
        <v>Met</v>
      </c>
    </row>
    <row r="993" spans="1:22" x14ac:dyDescent="0.35">
      <c r="A993" t="s">
        <v>25</v>
      </c>
      <c r="B993">
        <v>2115</v>
      </c>
      <c r="C993" t="s">
        <v>41</v>
      </c>
      <c r="D993">
        <v>2</v>
      </c>
      <c r="E993">
        <v>0</v>
      </c>
      <c r="F993">
        <v>2500.6999999999998</v>
      </c>
      <c r="G993">
        <f>tblMoeHistory[[#This Row],[LEA State and Local Amount]]+tblMoeHistory[[#This Row],[ESD State and Local Amount]]</f>
        <v>2500.6999999999998</v>
      </c>
      <c r="H993">
        <v>713.58</v>
      </c>
      <c r="I993" t="s">
        <v>240</v>
      </c>
      <c r="J993">
        <f>IFERROR(tblMoeHistory[[#This Row],[LEA State and Local Amount]]/tblMoeHistory[[#This Row],[Child Count]],0)</f>
        <v>0</v>
      </c>
      <c r="K993">
        <f>IFERROR(tblMoeHistory[[#This Row],[ESD State and Local Amount]]/tblMoeHistory[[#This Row],[Child Count]],0)</f>
        <v>1250.3499999999999</v>
      </c>
      <c r="L993">
        <f>IFERROR(tblMoeHistory[[#This Row],[State and Local Total Amount]]/tblMoeHistory[[#This Row],[Child Count]],0)</f>
        <v>1250.3499999999999</v>
      </c>
      <c r="M993">
        <v>713.58</v>
      </c>
      <c r="N993" t="s">
        <v>240</v>
      </c>
      <c r="O993">
        <v>3319.14</v>
      </c>
      <c r="P993">
        <v>0</v>
      </c>
      <c r="Q993">
        <f>tblMoeHistory[[#This Row],[Amount of IDEA Part B, Section 611 award]]+tblMoeHistory[[#This Row],[Amount of IDEA Part B, Section 619 award]]</f>
        <v>3319.14</v>
      </c>
      <c r="U9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713.58</v>
      </c>
      <c r="V993" t="str">
        <f>IF(OR(IFERROR(SEARCH("Met",tblMoeHistory[[#This Row],[State and Local Per Capita Result]]),0)&gt;0,IFERROR(SEARCH("Met",tblMoeHistory[[#This Row],[State and Local Total Result]]),0)&gt;0),"Met","Not Met")</f>
        <v>Not Met</v>
      </c>
    </row>
    <row r="994" spans="1:22" x14ac:dyDescent="0.35">
      <c r="A994" t="s">
        <v>26</v>
      </c>
      <c r="B994">
        <v>2041</v>
      </c>
      <c r="C994" t="s">
        <v>41</v>
      </c>
      <c r="D994">
        <v>316</v>
      </c>
      <c r="E994">
        <v>2435273.69</v>
      </c>
      <c r="F994">
        <v>255191.55</v>
      </c>
      <c r="G994">
        <f>tblMoeHistory[[#This Row],[LEA State and Local Amount]]+tblMoeHistory[[#This Row],[ESD State and Local Amount]]</f>
        <v>2690465.2399999998</v>
      </c>
      <c r="H994">
        <v>0</v>
      </c>
      <c r="I994" t="s">
        <v>241</v>
      </c>
      <c r="J994">
        <f>IFERROR(tblMoeHistory[[#This Row],[LEA State and Local Amount]]/tblMoeHistory[[#This Row],[Child Count]],0)</f>
        <v>7706.5623101265819</v>
      </c>
      <c r="K994">
        <f>IFERROR(tblMoeHistory[[#This Row],[ESD State and Local Amount]]/tblMoeHistory[[#This Row],[Child Count]],0)</f>
        <v>807.56819620253157</v>
      </c>
      <c r="L994">
        <f>IFERROR(tblMoeHistory[[#This Row],[State and Local Total Amount]]/tblMoeHistory[[#This Row],[Child Count]],0)</f>
        <v>8514.1305063291129</v>
      </c>
      <c r="M994">
        <v>0</v>
      </c>
      <c r="N994" t="s">
        <v>241</v>
      </c>
      <c r="O994">
        <v>454839.18</v>
      </c>
      <c r="P994">
        <v>5698.1</v>
      </c>
      <c r="Q994">
        <f>tblMoeHistory[[#This Row],[Amount of IDEA Part B, Section 611 award]]+tblMoeHistory[[#This Row],[Amount of IDEA Part B, Section 619 award]]</f>
        <v>460537.27999999997</v>
      </c>
      <c r="U9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4" t="str">
        <f>IF(OR(IFERROR(SEARCH("Met",tblMoeHistory[[#This Row],[State and Local Per Capita Result]]),0)&gt;0,IFERROR(SEARCH("Met",tblMoeHistory[[#This Row],[State and Local Total Result]]),0)&gt;0),"Met","Not Met")</f>
        <v>Met</v>
      </c>
    </row>
    <row r="995" spans="1:22" x14ac:dyDescent="0.35">
      <c r="A995" t="s">
        <v>27</v>
      </c>
      <c r="B995">
        <v>2051</v>
      </c>
      <c r="C995" t="s">
        <v>41</v>
      </c>
      <c r="D995">
        <v>0</v>
      </c>
      <c r="E995">
        <v>0</v>
      </c>
      <c r="F995">
        <v>6502.24</v>
      </c>
      <c r="G995">
        <f>tblMoeHistory[[#This Row],[LEA State and Local Amount]]+tblMoeHistory[[#This Row],[ESD State and Local Amount]]</f>
        <v>6502.24</v>
      </c>
      <c r="H995">
        <v>1852.66</v>
      </c>
      <c r="I995" t="s">
        <v>240</v>
      </c>
      <c r="J995">
        <f>IFERROR(tblMoeHistory[[#This Row],[LEA State and Local Amount]]/tblMoeHistory[[#This Row],[Child Count]],0)</f>
        <v>0</v>
      </c>
      <c r="K995">
        <f>IFERROR(tblMoeHistory[[#This Row],[ESD State and Local Amount]]/tblMoeHistory[[#This Row],[Child Count]],0)</f>
        <v>0</v>
      </c>
      <c r="L995">
        <f>IFERROR(tblMoeHistory[[#This Row],[State and Local Total Amount]]/tblMoeHistory[[#This Row],[Child Count]],0)</f>
        <v>0</v>
      </c>
      <c r="M995">
        <v>0</v>
      </c>
      <c r="O995">
        <v>820.22</v>
      </c>
      <c r="P995">
        <v>0</v>
      </c>
      <c r="Q995">
        <f>tblMoeHistory[[#This Row],[Amount of IDEA Part B, Section 611 award]]+tblMoeHistory[[#This Row],[Amount of IDEA Part B, Section 619 award]]</f>
        <v>820.22</v>
      </c>
      <c r="U9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5" t="str">
        <f>IF(OR(IFERROR(SEARCH("Met",tblMoeHistory[[#This Row],[State and Local Per Capita Result]]),0)&gt;0,IFERROR(SEARCH("Met",tblMoeHistory[[#This Row],[State and Local Total Result]]),0)&gt;0),"Met","Not Met")</f>
        <v>Not Met</v>
      </c>
    </row>
    <row r="996" spans="1:22" x14ac:dyDescent="0.35">
      <c r="A996" t="s">
        <v>28</v>
      </c>
      <c r="B996">
        <v>1933</v>
      </c>
      <c r="C996" t="s">
        <v>41</v>
      </c>
      <c r="D996">
        <v>270</v>
      </c>
      <c r="E996">
        <v>2208256.11</v>
      </c>
      <c r="F996">
        <v>442652</v>
      </c>
      <c r="G996">
        <f>tblMoeHistory[[#This Row],[LEA State and Local Amount]]+tblMoeHistory[[#This Row],[ESD State and Local Amount]]</f>
        <v>2650908.11</v>
      </c>
      <c r="H996">
        <v>0</v>
      </c>
      <c r="I996" t="s">
        <v>241</v>
      </c>
      <c r="J996">
        <f>IFERROR(tblMoeHistory[[#This Row],[LEA State and Local Amount]]/tblMoeHistory[[#This Row],[Child Count]],0)</f>
        <v>8178.7263333333331</v>
      </c>
      <c r="K996">
        <f>IFERROR(tblMoeHistory[[#This Row],[ESD State and Local Amount]]/tblMoeHistory[[#This Row],[Child Count]],0)</f>
        <v>1639.4518518518519</v>
      </c>
      <c r="L996">
        <f>IFERROR(tblMoeHistory[[#This Row],[State and Local Total Amount]]/tblMoeHistory[[#This Row],[Child Count]],0)</f>
        <v>9818.1781851851847</v>
      </c>
      <c r="M996">
        <v>22458.7</v>
      </c>
      <c r="N996" t="s">
        <v>240</v>
      </c>
      <c r="O996">
        <v>265318.28000000003</v>
      </c>
      <c r="P996">
        <v>1984.92</v>
      </c>
      <c r="Q996">
        <f>tblMoeHistory[[#This Row],[Amount of IDEA Part B, Section 611 award]]+tblMoeHistory[[#This Row],[Amount of IDEA Part B, Section 619 award]]</f>
        <v>267303.2</v>
      </c>
      <c r="U9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6" t="str">
        <f>IF(OR(IFERROR(SEARCH("Met",tblMoeHistory[[#This Row],[State and Local Per Capita Result]]),0)&gt;0,IFERROR(SEARCH("Met",tblMoeHistory[[#This Row],[State and Local Total Result]]),0)&gt;0),"Met","Not Met")</f>
        <v>Met</v>
      </c>
    </row>
    <row r="997" spans="1:22" x14ac:dyDescent="0.35">
      <c r="A997" t="s">
        <v>29</v>
      </c>
      <c r="B997">
        <v>2208</v>
      </c>
      <c r="C997" t="s">
        <v>41</v>
      </c>
      <c r="D997">
        <v>77</v>
      </c>
      <c r="E997">
        <v>429712.26</v>
      </c>
      <c r="F997">
        <v>129625.16</v>
      </c>
      <c r="G997">
        <f>tblMoeHistory[[#This Row],[LEA State and Local Amount]]+tblMoeHistory[[#This Row],[ESD State and Local Amount]]</f>
        <v>559337.42000000004</v>
      </c>
      <c r="H997">
        <v>0</v>
      </c>
      <c r="I997" t="s">
        <v>241</v>
      </c>
      <c r="J997">
        <f>IFERROR(tblMoeHistory[[#This Row],[LEA State and Local Amount]]/tblMoeHistory[[#This Row],[Child Count]],0)</f>
        <v>5580.6787012987015</v>
      </c>
      <c r="K997">
        <f>IFERROR(tblMoeHistory[[#This Row],[ESD State and Local Amount]]/tblMoeHistory[[#This Row],[Child Count]],0)</f>
        <v>1683.4436363636364</v>
      </c>
      <c r="L997">
        <f>IFERROR(tblMoeHistory[[#This Row],[State and Local Total Amount]]/tblMoeHistory[[#This Row],[Child Count]],0)</f>
        <v>7264.1223376623384</v>
      </c>
      <c r="M997">
        <v>0</v>
      </c>
      <c r="N997" t="s">
        <v>241</v>
      </c>
      <c r="O997">
        <v>102207.64</v>
      </c>
      <c r="P997">
        <v>2754.08</v>
      </c>
      <c r="Q997">
        <f>tblMoeHistory[[#This Row],[Amount of IDEA Part B, Section 611 award]]+tblMoeHistory[[#This Row],[Amount of IDEA Part B, Section 619 award]]</f>
        <v>104961.72</v>
      </c>
      <c r="U9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7" t="str">
        <f>IF(OR(IFERROR(SEARCH("Met",tblMoeHistory[[#This Row],[State and Local Per Capita Result]]),0)&gt;0,IFERROR(SEARCH("Met",tblMoeHistory[[#This Row],[State and Local Total Result]]),0)&gt;0),"Met","Not Met")</f>
        <v>Met</v>
      </c>
    </row>
    <row r="998" spans="1:22" x14ac:dyDescent="0.35">
      <c r="A998" t="s">
        <v>30</v>
      </c>
      <c r="B998">
        <v>1894</v>
      </c>
      <c r="C998" t="s">
        <v>41</v>
      </c>
      <c r="D998">
        <v>302</v>
      </c>
      <c r="E998">
        <v>2194376.59</v>
      </c>
      <c r="F998">
        <v>0</v>
      </c>
      <c r="G998">
        <f>tblMoeHistory[[#This Row],[LEA State and Local Amount]]+tblMoeHistory[[#This Row],[ESD State and Local Amount]]</f>
        <v>2194376.59</v>
      </c>
      <c r="H998">
        <v>0</v>
      </c>
      <c r="I998" t="s">
        <v>241</v>
      </c>
      <c r="J998">
        <f>IFERROR(tblMoeHistory[[#This Row],[LEA State and Local Amount]]/tblMoeHistory[[#This Row],[Child Count]],0)</f>
        <v>7266.1476490066216</v>
      </c>
      <c r="K998">
        <f>IFERROR(tblMoeHistory[[#This Row],[ESD State and Local Amount]]/tblMoeHistory[[#This Row],[Child Count]],0)</f>
        <v>0</v>
      </c>
      <c r="L998">
        <f>IFERROR(tblMoeHistory[[#This Row],[State and Local Total Amount]]/tblMoeHistory[[#This Row],[Child Count]],0)</f>
        <v>7266.1476490066216</v>
      </c>
      <c r="M998">
        <v>123205.64</v>
      </c>
      <c r="N998" t="s">
        <v>240</v>
      </c>
      <c r="O998">
        <v>410522.56</v>
      </c>
      <c r="P998">
        <v>4220.6899999999996</v>
      </c>
      <c r="Q998">
        <f>tblMoeHistory[[#This Row],[Amount of IDEA Part B, Section 611 award]]+tblMoeHistory[[#This Row],[Amount of IDEA Part B, Section 619 award]]</f>
        <v>414743.25</v>
      </c>
      <c r="U9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8" t="str">
        <f>IF(OR(IFERROR(SEARCH("Met",tblMoeHistory[[#This Row],[State and Local Per Capita Result]]),0)&gt;0,IFERROR(SEARCH("Met",tblMoeHistory[[#This Row],[State and Local Total Result]]),0)&gt;0),"Met","Not Met")</f>
        <v>Met</v>
      </c>
    </row>
    <row r="999" spans="1:22" x14ac:dyDescent="0.35">
      <c r="A999" t="s">
        <v>32</v>
      </c>
      <c r="B999">
        <v>1969</v>
      </c>
      <c r="C999" t="s">
        <v>41</v>
      </c>
      <c r="D999">
        <v>97</v>
      </c>
      <c r="E999">
        <v>859379.78</v>
      </c>
      <c r="F999">
        <v>282839</v>
      </c>
      <c r="G999">
        <f>tblMoeHistory[[#This Row],[LEA State and Local Amount]]+tblMoeHistory[[#This Row],[ESD State and Local Amount]]</f>
        <v>1142218.78</v>
      </c>
      <c r="H999">
        <v>0</v>
      </c>
      <c r="I999" t="s">
        <v>241</v>
      </c>
      <c r="J999">
        <f>IFERROR(tblMoeHistory[[#This Row],[LEA State and Local Amount]]/tblMoeHistory[[#This Row],[Child Count]],0)</f>
        <v>8859.5853608247417</v>
      </c>
      <c r="K999">
        <f>IFERROR(tblMoeHistory[[#This Row],[ESD State and Local Amount]]/tblMoeHistory[[#This Row],[Child Count]],0)</f>
        <v>2915.8659793814431</v>
      </c>
      <c r="L999">
        <f>IFERROR(tblMoeHistory[[#This Row],[State and Local Total Amount]]/tblMoeHistory[[#This Row],[Child Count]],0)</f>
        <v>11775.451340206186</v>
      </c>
      <c r="M999">
        <v>103980.12</v>
      </c>
      <c r="N999" t="s">
        <v>240</v>
      </c>
      <c r="O999">
        <v>134173.41</v>
      </c>
      <c r="P999">
        <v>2103.81</v>
      </c>
      <c r="Q999">
        <f>tblMoeHistory[[#This Row],[Amount of IDEA Part B, Section 611 award]]+tblMoeHistory[[#This Row],[Amount of IDEA Part B, Section 619 award]]</f>
        <v>136277.22</v>
      </c>
      <c r="U9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9" t="str">
        <f>IF(OR(IFERROR(SEARCH("Met",tblMoeHistory[[#This Row],[State and Local Per Capita Result]]),0)&gt;0,IFERROR(SEARCH("Met",tblMoeHistory[[#This Row],[State and Local Total Result]]),0)&gt;0),"Met","Not Met")</f>
        <v>Met</v>
      </c>
    </row>
    <row r="1000" spans="1:22" x14ac:dyDescent="0.35">
      <c r="A1000" t="s">
        <v>33</v>
      </c>
      <c r="B1000">
        <v>2240</v>
      </c>
      <c r="C1000" t="s">
        <v>41</v>
      </c>
      <c r="D1000">
        <v>160</v>
      </c>
      <c r="E1000">
        <v>1521643.81</v>
      </c>
      <c r="F1000">
        <v>269930</v>
      </c>
      <c r="G1000">
        <f>tblMoeHistory[[#This Row],[LEA State and Local Amount]]+tblMoeHistory[[#This Row],[ESD State and Local Amount]]</f>
        <v>1791573.81</v>
      </c>
      <c r="H1000">
        <v>0</v>
      </c>
      <c r="I1000" t="s">
        <v>241</v>
      </c>
      <c r="J1000">
        <f>IFERROR(tblMoeHistory[[#This Row],[LEA State and Local Amount]]/tblMoeHistory[[#This Row],[Child Count]],0)</f>
        <v>9510.2738124999996</v>
      </c>
      <c r="K1000">
        <f>IFERROR(tblMoeHistory[[#This Row],[ESD State and Local Amount]]/tblMoeHistory[[#This Row],[Child Count]],0)</f>
        <v>1687.0625</v>
      </c>
      <c r="L1000">
        <f>IFERROR(tblMoeHistory[[#This Row],[State and Local Total Amount]]/tblMoeHistory[[#This Row],[Child Count]],0)</f>
        <v>11197.3363125</v>
      </c>
      <c r="M1000">
        <v>28949.69</v>
      </c>
      <c r="N1000" t="s">
        <v>240</v>
      </c>
      <c r="O1000">
        <v>173558.23</v>
      </c>
      <c r="P1000">
        <v>295.08</v>
      </c>
      <c r="Q1000">
        <f>tblMoeHistory[[#This Row],[Amount of IDEA Part B, Section 611 award]]+tblMoeHistory[[#This Row],[Amount of IDEA Part B, Section 619 award]]</f>
        <v>173853.31</v>
      </c>
      <c r="U10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0" t="str">
        <f>IF(OR(IFERROR(SEARCH("Met",tblMoeHistory[[#This Row],[State and Local Per Capita Result]]),0)&gt;0,IFERROR(SEARCH("Met",tblMoeHistory[[#This Row],[State and Local Total Result]]),0)&gt;0),"Met","Not Met")</f>
        <v>Met</v>
      </c>
    </row>
    <row r="1001" spans="1:22" x14ac:dyDescent="0.35">
      <c r="A1001" t="s">
        <v>34</v>
      </c>
      <c r="B1001">
        <v>2243</v>
      </c>
      <c r="C1001" t="s">
        <v>41</v>
      </c>
      <c r="D1001">
        <v>4841</v>
      </c>
      <c r="E1001">
        <v>46977895.829999998</v>
      </c>
      <c r="F1001">
        <v>4309869</v>
      </c>
      <c r="G1001">
        <f>tblMoeHistory[[#This Row],[LEA State and Local Amount]]+tblMoeHistory[[#This Row],[ESD State and Local Amount]]</f>
        <v>51287764.829999998</v>
      </c>
      <c r="H1001">
        <v>0</v>
      </c>
      <c r="I1001" t="s">
        <v>241</v>
      </c>
      <c r="J1001">
        <f>IFERROR(tblMoeHistory[[#This Row],[LEA State and Local Amount]]/tblMoeHistory[[#This Row],[Child Count]],0)</f>
        <v>9704.1718302003719</v>
      </c>
      <c r="K1001">
        <f>IFERROR(tblMoeHistory[[#This Row],[ESD State and Local Amount]]/tblMoeHistory[[#This Row],[Child Count]],0)</f>
        <v>890.28485850030984</v>
      </c>
      <c r="L1001">
        <f>IFERROR(tblMoeHistory[[#This Row],[State and Local Total Amount]]/tblMoeHistory[[#This Row],[Child Count]],0)</f>
        <v>10594.456688700682</v>
      </c>
      <c r="M1001">
        <v>0</v>
      </c>
      <c r="N1001" t="s">
        <v>241</v>
      </c>
      <c r="O1001">
        <v>6522239.6500000004</v>
      </c>
      <c r="P1001">
        <v>24337.42</v>
      </c>
      <c r="Q1001">
        <f>tblMoeHistory[[#This Row],[Amount of IDEA Part B, Section 611 award]]+tblMoeHistory[[#This Row],[Amount of IDEA Part B, Section 619 award]]</f>
        <v>6546577.0700000003</v>
      </c>
      <c r="U10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1" t="str">
        <f>IF(OR(IFERROR(SEARCH("Met",tblMoeHistory[[#This Row],[State and Local Per Capita Result]]),0)&gt;0,IFERROR(SEARCH("Met",tblMoeHistory[[#This Row],[State and Local Total Result]]),0)&gt;0),"Met","Not Met")</f>
        <v>Met</v>
      </c>
    </row>
    <row r="1002" spans="1:22" x14ac:dyDescent="0.35">
      <c r="A1002" t="s">
        <v>35</v>
      </c>
      <c r="B1002">
        <v>1976</v>
      </c>
      <c r="C1002" t="s">
        <v>41</v>
      </c>
      <c r="D1002">
        <v>1879</v>
      </c>
      <c r="E1002">
        <v>18442457</v>
      </c>
      <c r="F1002">
        <v>2067157.53</v>
      </c>
      <c r="G1002">
        <f>tblMoeHistory[[#This Row],[LEA State and Local Amount]]+tblMoeHistory[[#This Row],[ESD State and Local Amount]]</f>
        <v>20509614.530000001</v>
      </c>
      <c r="H1002">
        <v>0</v>
      </c>
      <c r="I1002" t="s">
        <v>241</v>
      </c>
      <c r="J1002">
        <f>IFERROR(tblMoeHistory[[#This Row],[LEA State and Local Amount]]/tblMoeHistory[[#This Row],[Child Count]],0)</f>
        <v>9815.0383182543901</v>
      </c>
      <c r="K1002">
        <f>IFERROR(tblMoeHistory[[#This Row],[ESD State and Local Amount]]/tblMoeHistory[[#This Row],[Child Count]],0)</f>
        <v>1100.1370569451835</v>
      </c>
      <c r="L1002">
        <f>IFERROR(tblMoeHistory[[#This Row],[State and Local Total Amount]]/tblMoeHistory[[#This Row],[Child Count]],0)</f>
        <v>10915.175375199575</v>
      </c>
      <c r="M1002">
        <v>0</v>
      </c>
      <c r="N1002" t="s">
        <v>241</v>
      </c>
      <c r="O1002">
        <v>2594995.1</v>
      </c>
      <c r="P1002">
        <v>15157.42</v>
      </c>
      <c r="Q1002">
        <f>tblMoeHistory[[#This Row],[Amount of IDEA Part B, Section 611 award]]+tblMoeHistory[[#This Row],[Amount of IDEA Part B, Section 619 award]]</f>
        <v>2610152.52</v>
      </c>
      <c r="U10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2" t="str">
        <f>IF(OR(IFERROR(SEARCH("Met",tblMoeHistory[[#This Row],[State and Local Per Capita Result]]),0)&gt;0,IFERROR(SEARCH("Met",tblMoeHistory[[#This Row],[State and Local Total Result]]),0)&gt;0),"Met","Not Met")</f>
        <v>Met</v>
      </c>
    </row>
    <row r="1003" spans="1:22" x14ac:dyDescent="0.35">
      <c r="A1003" t="s">
        <v>36</v>
      </c>
      <c r="B1003">
        <v>2088</v>
      </c>
      <c r="C1003" t="s">
        <v>41</v>
      </c>
      <c r="D1003">
        <v>964</v>
      </c>
      <c r="E1003">
        <v>8851064.5</v>
      </c>
      <c r="F1003">
        <v>1094503</v>
      </c>
      <c r="G1003">
        <f>tblMoeHistory[[#This Row],[LEA State and Local Amount]]+tblMoeHistory[[#This Row],[ESD State and Local Amount]]</f>
        <v>9945567.5</v>
      </c>
      <c r="H1003">
        <v>0</v>
      </c>
      <c r="I1003" t="s">
        <v>241</v>
      </c>
      <c r="J1003">
        <f>IFERROR(tblMoeHistory[[#This Row],[LEA State and Local Amount]]/tblMoeHistory[[#This Row],[Child Count]],0)</f>
        <v>9181.6021784232362</v>
      </c>
      <c r="K1003">
        <f>IFERROR(tblMoeHistory[[#This Row],[ESD State and Local Amount]]/tblMoeHistory[[#This Row],[Child Count]],0)</f>
        <v>1135.3765560165975</v>
      </c>
      <c r="L1003">
        <f>IFERROR(tblMoeHistory[[#This Row],[State and Local Total Amount]]/tblMoeHistory[[#This Row],[Child Count]],0)</f>
        <v>10316.978734439834</v>
      </c>
      <c r="M1003">
        <v>0</v>
      </c>
      <c r="N1003" t="s">
        <v>241</v>
      </c>
      <c r="O1003">
        <v>938391.62</v>
      </c>
      <c r="P1003">
        <v>4866.6499999999996</v>
      </c>
      <c r="Q1003">
        <f>tblMoeHistory[[#This Row],[Amount of IDEA Part B, Section 611 award]]+tblMoeHistory[[#This Row],[Amount of IDEA Part B, Section 619 award]]</f>
        <v>943258.27</v>
      </c>
      <c r="U10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3" t="str">
        <f>IF(OR(IFERROR(SEARCH("Met",tblMoeHistory[[#This Row],[State and Local Per Capita Result]]),0)&gt;0,IFERROR(SEARCH("Met",tblMoeHistory[[#This Row],[State and Local Total Result]]),0)&gt;0),"Met","Not Met")</f>
        <v>Met</v>
      </c>
    </row>
    <row r="1004" spans="1:22" x14ac:dyDescent="0.35">
      <c r="A1004" t="s">
        <v>37</v>
      </c>
      <c r="B1004">
        <v>2095</v>
      </c>
      <c r="C1004" t="s">
        <v>41</v>
      </c>
      <c r="D1004">
        <v>38</v>
      </c>
      <c r="E1004">
        <v>312505.25</v>
      </c>
      <c r="F1004">
        <v>49576</v>
      </c>
      <c r="G1004">
        <f>tblMoeHistory[[#This Row],[LEA State and Local Amount]]+tblMoeHistory[[#This Row],[ESD State and Local Amount]]</f>
        <v>362081.25</v>
      </c>
      <c r="H1004">
        <v>0</v>
      </c>
      <c r="I1004" t="s">
        <v>241</v>
      </c>
      <c r="J1004">
        <f>IFERROR(tblMoeHistory[[#This Row],[LEA State and Local Amount]]/tblMoeHistory[[#This Row],[Child Count]],0)</f>
        <v>8223.8223684210534</v>
      </c>
      <c r="K1004">
        <f>IFERROR(tblMoeHistory[[#This Row],[ESD State and Local Amount]]/tblMoeHistory[[#This Row],[Child Count]],0)</f>
        <v>1304.6315789473683</v>
      </c>
      <c r="L1004">
        <f>IFERROR(tblMoeHistory[[#This Row],[State and Local Total Amount]]/tblMoeHistory[[#This Row],[Child Count]],0)</f>
        <v>9528.4539473684217</v>
      </c>
      <c r="M1004">
        <v>0</v>
      </c>
      <c r="N1004" t="s">
        <v>242</v>
      </c>
      <c r="O1004">
        <v>42952.34</v>
      </c>
      <c r="P1004">
        <v>344.26</v>
      </c>
      <c r="Q1004">
        <f>tblMoeHistory[[#This Row],[Amount of IDEA Part B, Section 611 award]]+tblMoeHistory[[#This Row],[Amount of IDEA Part B, Section 619 award]]</f>
        <v>43296.6</v>
      </c>
      <c r="S1004">
        <v>17946.990000000002</v>
      </c>
      <c r="T1004">
        <v>17946.990000000002</v>
      </c>
      <c r="U10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4" t="str">
        <f>IF(OR(IFERROR(SEARCH("Met",tblMoeHistory[[#This Row],[State and Local Per Capita Result]]),0)&gt;0,IFERROR(SEARCH("Met",tblMoeHistory[[#This Row],[State and Local Total Result]]),0)&gt;0),"Met","Not Met")</f>
        <v>Met</v>
      </c>
    </row>
    <row r="1005" spans="1:22" x14ac:dyDescent="0.35">
      <c r="A1005" t="s">
        <v>38</v>
      </c>
      <c r="B1005">
        <v>2052</v>
      </c>
      <c r="C1005" t="s">
        <v>41</v>
      </c>
      <c r="D1005">
        <v>0</v>
      </c>
      <c r="E1005">
        <v>0.01</v>
      </c>
      <c r="F1005">
        <v>11122.39</v>
      </c>
      <c r="G1005">
        <f>tblMoeHistory[[#This Row],[LEA State and Local Amount]]+tblMoeHistory[[#This Row],[ESD State and Local Amount]]</f>
        <v>11122.4</v>
      </c>
      <c r="H1005">
        <v>5458.14</v>
      </c>
      <c r="I1005" t="s">
        <v>240</v>
      </c>
      <c r="J1005">
        <f>IFERROR(tblMoeHistory[[#This Row],[LEA State and Local Amount]]/tblMoeHistory[[#This Row],[Child Count]],0)</f>
        <v>0</v>
      </c>
      <c r="K1005">
        <f>IFERROR(tblMoeHistory[[#This Row],[ESD State and Local Amount]]/tblMoeHistory[[#This Row],[Child Count]],0)</f>
        <v>0</v>
      </c>
      <c r="L1005">
        <f>IFERROR(tblMoeHistory[[#This Row],[State and Local Total Amount]]/tblMoeHistory[[#This Row],[Child Count]],0)</f>
        <v>0</v>
      </c>
      <c r="M1005">
        <v>0</v>
      </c>
      <c r="N1005" t="s">
        <v>241</v>
      </c>
      <c r="O1005">
        <v>3868.5</v>
      </c>
      <c r="P1005">
        <v>0</v>
      </c>
      <c r="Q1005">
        <f>tblMoeHistory[[#This Row],[Amount of IDEA Part B, Section 611 award]]+tblMoeHistory[[#This Row],[Amount of IDEA Part B, Section 619 award]]</f>
        <v>3868.5</v>
      </c>
      <c r="U10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5" t="str">
        <f>IF(OR(IFERROR(SEARCH("Met",tblMoeHistory[[#This Row],[State and Local Per Capita Result]]),0)&gt;0,IFERROR(SEARCH("Met",tblMoeHistory[[#This Row],[State and Local Total Result]]),0)&gt;0),"Met","Not Met")</f>
        <v>Met</v>
      </c>
    </row>
    <row r="1006" spans="1:22" x14ac:dyDescent="0.35">
      <c r="A1006" t="s">
        <v>39</v>
      </c>
      <c r="B1006">
        <v>1974</v>
      </c>
      <c r="C1006" t="s">
        <v>41</v>
      </c>
      <c r="D1006">
        <v>247</v>
      </c>
      <c r="E1006">
        <v>1833163.31</v>
      </c>
      <c r="F1006">
        <v>125259</v>
      </c>
      <c r="G1006">
        <f>tblMoeHistory[[#This Row],[LEA State and Local Amount]]+tblMoeHistory[[#This Row],[ESD State and Local Amount]]</f>
        <v>1958422.31</v>
      </c>
      <c r="H1006">
        <v>0</v>
      </c>
      <c r="I1006" t="s">
        <v>241</v>
      </c>
      <c r="J1006">
        <f>IFERROR(tblMoeHistory[[#This Row],[LEA State and Local Amount]]/tblMoeHistory[[#This Row],[Child Count]],0)</f>
        <v>7421.713805668016</v>
      </c>
      <c r="K1006">
        <f>IFERROR(tblMoeHistory[[#This Row],[ESD State and Local Amount]]/tblMoeHistory[[#This Row],[Child Count]],0)</f>
        <v>507.12145748987854</v>
      </c>
      <c r="L1006">
        <f>IFERROR(tblMoeHistory[[#This Row],[State and Local Total Amount]]/tblMoeHistory[[#This Row],[Child Count]],0)</f>
        <v>7928.8352631578946</v>
      </c>
      <c r="M1006">
        <v>400687.35999999999</v>
      </c>
      <c r="N1006" t="s">
        <v>240</v>
      </c>
      <c r="O1006">
        <v>252188.19</v>
      </c>
      <c r="P1006">
        <v>4259.6499999999996</v>
      </c>
      <c r="Q1006">
        <f>tblMoeHistory[[#This Row],[Amount of IDEA Part B, Section 611 award]]+tblMoeHistory[[#This Row],[Amount of IDEA Part B, Section 619 award]]</f>
        <v>256447.84</v>
      </c>
      <c r="U10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6" t="str">
        <f>IF(OR(IFERROR(SEARCH("Met",tblMoeHistory[[#This Row],[State and Local Per Capita Result]]),0)&gt;0,IFERROR(SEARCH("Met",tblMoeHistory[[#This Row],[State and Local Total Result]]),0)&gt;0),"Met","Not Met")</f>
        <v>Met</v>
      </c>
    </row>
    <row r="1007" spans="1:22" x14ac:dyDescent="0.35">
      <c r="A1007" t="s">
        <v>40</v>
      </c>
      <c r="B1007">
        <v>1896</v>
      </c>
      <c r="C1007" t="s">
        <v>41</v>
      </c>
      <c r="D1007">
        <v>1</v>
      </c>
      <c r="E1007">
        <v>47290</v>
      </c>
      <c r="F1007">
        <v>13858.73</v>
      </c>
      <c r="G1007">
        <f>tblMoeHistory[[#This Row],[LEA State and Local Amount]]+tblMoeHistory[[#This Row],[ESD State and Local Amount]]</f>
        <v>61148.729999999996</v>
      </c>
      <c r="H1007">
        <v>0</v>
      </c>
      <c r="I1007" t="s">
        <v>241</v>
      </c>
      <c r="J1007">
        <f>IFERROR(tblMoeHistory[[#This Row],[LEA State and Local Amount]]/tblMoeHistory[[#This Row],[Child Count]],0)</f>
        <v>47290</v>
      </c>
      <c r="K1007">
        <f>IFERROR(tblMoeHistory[[#This Row],[ESD State and Local Amount]]/tblMoeHistory[[#This Row],[Child Count]],0)</f>
        <v>13858.73</v>
      </c>
      <c r="L1007">
        <f>IFERROR(tblMoeHistory[[#This Row],[State and Local Total Amount]]/tblMoeHistory[[#This Row],[Child Count]],0)</f>
        <v>61148.729999999996</v>
      </c>
      <c r="M1007">
        <v>0</v>
      </c>
      <c r="N1007" t="s">
        <v>241</v>
      </c>
      <c r="O1007">
        <v>14248.05</v>
      </c>
      <c r="P1007">
        <v>0</v>
      </c>
      <c r="Q1007">
        <f>tblMoeHistory[[#This Row],[Amount of IDEA Part B, Section 611 award]]+tblMoeHistory[[#This Row],[Amount of IDEA Part B, Section 619 award]]</f>
        <v>14248.05</v>
      </c>
      <c r="U10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7" t="str">
        <f>IF(OR(IFERROR(SEARCH("Met",tblMoeHistory[[#This Row],[State and Local Per Capita Result]]),0)&gt;0,IFERROR(SEARCH("Met",tblMoeHistory[[#This Row],[State and Local Total Result]]),0)&gt;0),"Met","Not Met")</f>
        <v>Met</v>
      </c>
    </row>
    <row r="1008" spans="1:22" x14ac:dyDescent="0.35">
      <c r="A1008" t="s">
        <v>42</v>
      </c>
      <c r="B1008">
        <v>2046</v>
      </c>
      <c r="C1008" t="s">
        <v>41</v>
      </c>
      <c r="D1008">
        <v>30</v>
      </c>
      <c r="E1008">
        <v>154535.43</v>
      </c>
      <c r="F1008">
        <v>67516.59</v>
      </c>
      <c r="G1008">
        <f>tblMoeHistory[[#This Row],[LEA State and Local Amount]]+tblMoeHistory[[#This Row],[ESD State and Local Amount]]</f>
        <v>222052.02</v>
      </c>
      <c r="H1008">
        <v>0</v>
      </c>
      <c r="I1008" t="s">
        <v>241</v>
      </c>
      <c r="J1008">
        <f>IFERROR(tblMoeHistory[[#This Row],[LEA State and Local Amount]]/tblMoeHistory[[#This Row],[Child Count]],0)</f>
        <v>5151.1809999999996</v>
      </c>
      <c r="K1008">
        <f>IFERROR(tblMoeHistory[[#This Row],[ESD State and Local Amount]]/tblMoeHistory[[#This Row],[Child Count]],0)</f>
        <v>2250.5529999999999</v>
      </c>
      <c r="L1008">
        <f>IFERROR(tblMoeHistory[[#This Row],[State and Local Total Amount]]/tblMoeHistory[[#This Row],[Child Count]],0)</f>
        <v>7401.7339999999995</v>
      </c>
      <c r="M1008">
        <v>0</v>
      </c>
      <c r="N1008" t="s">
        <v>241</v>
      </c>
      <c r="O1008">
        <v>24855.45</v>
      </c>
      <c r="P1008">
        <v>459.01</v>
      </c>
      <c r="Q1008">
        <f>tblMoeHistory[[#This Row],[Amount of IDEA Part B, Section 611 award]]+tblMoeHistory[[#This Row],[Amount of IDEA Part B, Section 619 award]]</f>
        <v>25314.46</v>
      </c>
      <c r="U10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8" t="str">
        <f>IF(OR(IFERROR(SEARCH("Met",tblMoeHistory[[#This Row],[State and Local Per Capita Result]]),0)&gt;0,IFERROR(SEARCH("Met",tblMoeHistory[[#This Row],[State and Local Total Result]]),0)&gt;0),"Met","Not Met")</f>
        <v>Met</v>
      </c>
    </row>
    <row r="1009" spans="1:22" x14ac:dyDescent="0.35">
      <c r="A1009" t="s">
        <v>43</v>
      </c>
      <c r="B1009">
        <v>1995</v>
      </c>
      <c r="C1009" t="s">
        <v>41</v>
      </c>
      <c r="D1009">
        <v>38</v>
      </c>
      <c r="E1009">
        <v>196072.34</v>
      </c>
      <c r="F1009">
        <v>43130.27</v>
      </c>
      <c r="G1009">
        <f>tblMoeHistory[[#This Row],[LEA State and Local Amount]]+tblMoeHistory[[#This Row],[ESD State and Local Amount]]</f>
        <v>239202.61</v>
      </c>
      <c r="H1009">
        <v>0</v>
      </c>
      <c r="I1009" t="s">
        <v>241</v>
      </c>
      <c r="J1009">
        <f>IFERROR(tblMoeHistory[[#This Row],[LEA State and Local Amount]]/tblMoeHistory[[#This Row],[Child Count]],0)</f>
        <v>5159.7984210526311</v>
      </c>
      <c r="K1009">
        <f>IFERROR(tblMoeHistory[[#This Row],[ESD State and Local Amount]]/tblMoeHistory[[#This Row],[Child Count]],0)</f>
        <v>1135.0071052631579</v>
      </c>
      <c r="L1009">
        <f>IFERROR(tblMoeHistory[[#This Row],[State and Local Total Amount]]/tblMoeHistory[[#This Row],[Child Count]],0)</f>
        <v>6294.8055263157894</v>
      </c>
      <c r="M1009">
        <v>102217.85</v>
      </c>
      <c r="N1009" t="s">
        <v>240</v>
      </c>
      <c r="O1009">
        <v>44292</v>
      </c>
      <c r="P1009">
        <v>0</v>
      </c>
      <c r="Q1009">
        <f>tblMoeHistory[[#This Row],[Amount of IDEA Part B, Section 611 award]]+tblMoeHistory[[#This Row],[Amount of IDEA Part B, Section 619 award]]</f>
        <v>44292</v>
      </c>
      <c r="U10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9" t="str">
        <f>IF(OR(IFERROR(SEARCH("Met",tblMoeHistory[[#This Row],[State and Local Per Capita Result]]),0)&gt;0,IFERROR(SEARCH("Met",tblMoeHistory[[#This Row],[State and Local Total Result]]),0)&gt;0),"Met","Not Met")</f>
        <v>Met</v>
      </c>
    </row>
    <row r="1010" spans="1:22" x14ac:dyDescent="0.35">
      <c r="A1010" t="s">
        <v>44</v>
      </c>
      <c r="B1010">
        <v>1929</v>
      </c>
      <c r="C1010" t="s">
        <v>41</v>
      </c>
      <c r="D1010">
        <v>530</v>
      </c>
      <c r="E1010">
        <v>5099422.0199999996</v>
      </c>
      <c r="F1010">
        <v>564173</v>
      </c>
      <c r="G1010">
        <f>tblMoeHistory[[#This Row],[LEA State and Local Amount]]+tblMoeHistory[[#This Row],[ESD State and Local Amount]]</f>
        <v>5663595.0199999996</v>
      </c>
      <c r="H1010">
        <v>0</v>
      </c>
      <c r="I1010" t="s">
        <v>241</v>
      </c>
      <c r="J1010">
        <f>IFERROR(tblMoeHistory[[#This Row],[LEA State and Local Amount]]/tblMoeHistory[[#This Row],[Child Count]],0)</f>
        <v>9621.5509811320753</v>
      </c>
      <c r="K1010">
        <f>IFERROR(tblMoeHistory[[#This Row],[ESD State and Local Amount]]/tblMoeHistory[[#This Row],[Child Count]],0)</f>
        <v>1064.4773584905661</v>
      </c>
      <c r="L1010">
        <f>IFERROR(tblMoeHistory[[#This Row],[State and Local Total Amount]]/tblMoeHistory[[#This Row],[Child Count]],0)</f>
        <v>10686.02833962264</v>
      </c>
      <c r="M1010">
        <v>0</v>
      </c>
      <c r="N1010" t="s">
        <v>241</v>
      </c>
      <c r="O1010">
        <v>735653.78</v>
      </c>
      <c r="P1010">
        <v>3402.1</v>
      </c>
      <c r="Q1010">
        <f>tblMoeHistory[[#This Row],[Amount of IDEA Part B, Section 611 award]]+tblMoeHistory[[#This Row],[Amount of IDEA Part B, Section 619 award]]</f>
        <v>739055.88</v>
      </c>
      <c r="U10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0" t="str">
        <f>IF(OR(IFERROR(SEARCH("Met",tblMoeHistory[[#This Row],[State and Local Per Capita Result]]),0)&gt;0,IFERROR(SEARCH("Met",tblMoeHistory[[#This Row],[State and Local Total Result]]),0)&gt;0),"Met","Not Met")</f>
        <v>Met</v>
      </c>
    </row>
    <row r="1011" spans="1:22" x14ac:dyDescent="0.35">
      <c r="A1011" t="s">
        <v>45</v>
      </c>
      <c r="B1011">
        <v>2139</v>
      </c>
      <c r="C1011" t="s">
        <v>41</v>
      </c>
      <c r="D1011">
        <v>297</v>
      </c>
      <c r="E1011">
        <v>3059897.38</v>
      </c>
      <c r="F1011">
        <v>204690.35</v>
      </c>
      <c r="G1011">
        <f>tblMoeHistory[[#This Row],[LEA State and Local Amount]]+tblMoeHistory[[#This Row],[ESD State and Local Amount]]</f>
        <v>3264587.73</v>
      </c>
      <c r="H1011">
        <v>0</v>
      </c>
      <c r="I1011" t="s">
        <v>241</v>
      </c>
      <c r="J1011">
        <f>IFERROR(tblMoeHistory[[#This Row],[LEA State and Local Amount]]/tblMoeHistory[[#This Row],[Child Count]],0)</f>
        <v>10302.684781144781</v>
      </c>
      <c r="K1011">
        <f>IFERROR(tblMoeHistory[[#This Row],[ESD State and Local Amount]]/tblMoeHistory[[#This Row],[Child Count]],0)</f>
        <v>689.19309764309764</v>
      </c>
      <c r="L1011">
        <f>IFERROR(tblMoeHistory[[#This Row],[State and Local Total Amount]]/tblMoeHistory[[#This Row],[Child Count]],0)</f>
        <v>10991.877878787878</v>
      </c>
      <c r="M1011">
        <v>0</v>
      </c>
      <c r="N1011" t="s">
        <v>241</v>
      </c>
      <c r="O1011">
        <v>369016.33</v>
      </c>
      <c r="P1011">
        <v>3304.9</v>
      </c>
      <c r="Q1011">
        <f>tblMoeHistory[[#This Row],[Amount of IDEA Part B, Section 611 award]]+tblMoeHistory[[#This Row],[Amount of IDEA Part B, Section 619 award]]</f>
        <v>372321.23000000004</v>
      </c>
      <c r="U10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1" t="str">
        <f>IF(OR(IFERROR(SEARCH("Met",tblMoeHistory[[#This Row],[State and Local Per Capita Result]]),0)&gt;0,IFERROR(SEARCH("Met",tblMoeHistory[[#This Row],[State and Local Total Result]]),0)&gt;0),"Met","Not Met")</f>
        <v>Met</v>
      </c>
    </row>
    <row r="1012" spans="1:22" x14ac:dyDescent="0.35">
      <c r="A1012" t="s">
        <v>46</v>
      </c>
      <c r="B1012">
        <v>2185</v>
      </c>
      <c r="C1012" t="s">
        <v>41</v>
      </c>
      <c r="D1012">
        <v>872</v>
      </c>
      <c r="E1012">
        <v>9898343.3900000006</v>
      </c>
      <c r="F1012">
        <v>1741360.07</v>
      </c>
      <c r="G1012">
        <f>tblMoeHistory[[#This Row],[LEA State and Local Amount]]+tblMoeHistory[[#This Row],[ESD State and Local Amount]]</f>
        <v>11639703.460000001</v>
      </c>
      <c r="H1012">
        <v>0</v>
      </c>
      <c r="I1012" t="s">
        <v>241</v>
      </c>
      <c r="J1012">
        <f>IFERROR(tblMoeHistory[[#This Row],[LEA State and Local Amount]]/tblMoeHistory[[#This Row],[Child Count]],0)</f>
        <v>11351.311227064221</v>
      </c>
      <c r="K1012">
        <f>IFERROR(tblMoeHistory[[#This Row],[ESD State and Local Amount]]/tblMoeHistory[[#This Row],[Child Count]],0)</f>
        <v>1996.9725573394496</v>
      </c>
      <c r="L1012">
        <f>IFERROR(tblMoeHistory[[#This Row],[State and Local Total Amount]]/tblMoeHistory[[#This Row],[Child Count]],0)</f>
        <v>13348.283784403671</v>
      </c>
      <c r="M1012">
        <v>0</v>
      </c>
      <c r="N1012" t="s">
        <v>241</v>
      </c>
      <c r="O1012">
        <v>959147.71</v>
      </c>
      <c r="P1012">
        <v>7201.76</v>
      </c>
      <c r="Q1012">
        <f>tblMoeHistory[[#This Row],[Amount of IDEA Part B, Section 611 award]]+tblMoeHistory[[#This Row],[Amount of IDEA Part B, Section 619 award]]</f>
        <v>966349.47</v>
      </c>
      <c r="U10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2" t="str">
        <f>IF(OR(IFERROR(SEARCH("Met",tblMoeHistory[[#This Row],[State and Local Per Capita Result]]),0)&gt;0,IFERROR(SEARCH("Met",tblMoeHistory[[#This Row],[State and Local Total Result]]),0)&gt;0),"Met","Not Met")</f>
        <v>Met</v>
      </c>
    </row>
    <row r="1013" spans="1:22" x14ac:dyDescent="0.35">
      <c r="A1013" t="s">
        <v>47</v>
      </c>
      <c r="B1013">
        <v>1972</v>
      </c>
      <c r="C1013" t="s">
        <v>41</v>
      </c>
      <c r="D1013">
        <v>56</v>
      </c>
      <c r="E1013">
        <v>414264.92</v>
      </c>
      <c r="F1013">
        <v>178689</v>
      </c>
      <c r="G1013">
        <f>tblMoeHistory[[#This Row],[LEA State and Local Amount]]+tblMoeHistory[[#This Row],[ESD State and Local Amount]]</f>
        <v>592953.91999999993</v>
      </c>
      <c r="H1013">
        <v>0</v>
      </c>
      <c r="I1013" t="s">
        <v>242</v>
      </c>
      <c r="J1013">
        <f>IFERROR(tblMoeHistory[[#This Row],[LEA State and Local Amount]]/tblMoeHistory[[#This Row],[Child Count]],0)</f>
        <v>7397.5878571428566</v>
      </c>
      <c r="K1013">
        <f>IFERROR(tblMoeHistory[[#This Row],[ESD State and Local Amount]]/tblMoeHistory[[#This Row],[Child Count]],0)</f>
        <v>3190.875</v>
      </c>
      <c r="L1013">
        <f>IFERROR(tblMoeHistory[[#This Row],[State and Local Total Amount]]/tblMoeHistory[[#This Row],[Child Count]],0)</f>
        <v>10588.462857142857</v>
      </c>
      <c r="M1013">
        <v>0</v>
      </c>
      <c r="N1013" t="s">
        <v>242</v>
      </c>
      <c r="O1013">
        <v>107189.45</v>
      </c>
      <c r="P1013">
        <v>1836.05</v>
      </c>
      <c r="Q1013">
        <f>tblMoeHistory[[#This Row],[Amount of IDEA Part B, Section 611 award]]+tblMoeHistory[[#This Row],[Amount of IDEA Part B, Section 619 award]]</f>
        <v>109025.5</v>
      </c>
      <c r="S1013">
        <v>74954.62</v>
      </c>
      <c r="T1013">
        <v>74954.62</v>
      </c>
      <c r="U10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3" t="str">
        <f>IF(OR(IFERROR(SEARCH("Met",tblMoeHistory[[#This Row],[State and Local Per Capita Result]]),0)&gt;0,IFERROR(SEARCH("Met",tblMoeHistory[[#This Row],[State and Local Total Result]]),0)&gt;0),"Met","Not Met")</f>
        <v>Met</v>
      </c>
    </row>
    <row r="1014" spans="1:22" x14ac:dyDescent="0.35">
      <c r="A1014" t="s">
        <v>48</v>
      </c>
      <c r="B1014">
        <v>2105</v>
      </c>
      <c r="C1014" t="s">
        <v>41</v>
      </c>
      <c r="D1014">
        <v>90</v>
      </c>
      <c r="E1014">
        <v>720812.75</v>
      </c>
      <c r="F1014">
        <v>80108</v>
      </c>
      <c r="G1014">
        <f>tblMoeHistory[[#This Row],[LEA State and Local Amount]]+tblMoeHistory[[#This Row],[ESD State and Local Amount]]</f>
        <v>800920.75</v>
      </c>
      <c r="H1014">
        <v>0</v>
      </c>
      <c r="I1014" t="s">
        <v>241</v>
      </c>
      <c r="J1014">
        <f>IFERROR(tblMoeHistory[[#This Row],[LEA State and Local Amount]]/tblMoeHistory[[#This Row],[Child Count]],0)</f>
        <v>8009.0305555555551</v>
      </c>
      <c r="K1014">
        <f>IFERROR(tblMoeHistory[[#This Row],[ESD State and Local Amount]]/tblMoeHistory[[#This Row],[Child Count]],0)</f>
        <v>890.08888888888885</v>
      </c>
      <c r="L1014">
        <f>IFERROR(tblMoeHistory[[#This Row],[State and Local Total Amount]]/tblMoeHistory[[#This Row],[Child Count]],0)</f>
        <v>8899.1194444444445</v>
      </c>
      <c r="M1014">
        <v>0</v>
      </c>
      <c r="N1014" t="s">
        <v>241</v>
      </c>
      <c r="O1014">
        <v>98572.17</v>
      </c>
      <c r="P1014">
        <v>1101.6300000000001</v>
      </c>
      <c r="Q1014">
        <f>tblMoeHistory[[#This Row],[Amount of IDEA Part B, Section 611 award]]+tblMoeHistory[[#This Row],[Amount of IDEA Part B, Section 619 award]]</f>
        <v>99673.8</v>
      </c>
      <c r="U10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4" t="str">
        <f>IF(OR(IFERROR(SEARCH("Met",tblMoeHistory[[#This Row],[State and Local Per Capita Result]]),0)&gt;0,IFERROR(SEARCH("Met",tblMoeHistory[[#This Row],[State and Local Total Result]]),0)&gt;0),"Met","Not Met")</f>
        <v>Met</v>
      </c>
    </row>
    <row r="1015" spans="1:22" x14ac:dyDescent="0.35">
      <c r="A1015" t="s">
        <v>49</v>
      </c>
      <c r="B1015">
        <v>2042</v>
      </c>
      <c r="C1015" t="s">
        <v>41</v>
      </c>
      <c r="D1015">
        <v>654</v>
      </c>
      <c r="E1015">
        <v>3308771.39</v>
      </c>
      <c r="F1015">
        <v>1180349.48</v>
      </c>
      <c r="G1015">
        <f>tblMoeHistory[[#This Row],[LEA State and Local Amount]]+tblMoeHistory[[#This Row],[ESD State and Local Amount]]</f>
        <v>4489120.87</v>
      </c>
      <c r="H1015">
        <v>0</v>
      </c>
      <c r="I1015" t="s">
        <v>241</v>
      </c>
      <c r="J1015">
        <f>IFERROR(tblMoeHistory[[#This Row],[LEA State and Local Amount]]/tblMoeHistory[[#This Row],[Child Count]],0)</f>
        <v>5059.2834709480121</v>
      </c>
      <c r="K1015">
        <f>IFERROR(tblMoeHistory[[#This Row],[ESD State and Local Amount]]/tblMoeHistory[[#This Row],[Child Count]],0)</f>
        <v>1804.8157186544342</v>
      </c>
      <c r="L1015">
        <f>IFERROR(tblMoeHistory[[#This Row],[State and Local Total Amount]]/tblMoeHistory[[#This Row],[Child Count]],0)</f>
        <v>6864.099189602447</v>
      </c>
      <c r="M1015">
        <v>280242.28999999998</v>
      </c>
      <c r="N1015" t="s">
        <v>240</v>
      </c>
      <c r="O1015">
        <v>633382.77</v>
      </c>
      <c r="P1015">
        <v>7951.73</v>
      </c>
      <c r="Q1015">
        <f>tblMoeHistory[[#This Row],[Amount of IDEA Part B, Section 611 award]]+tblMoeHistory[[#This Row],[Amount of IDEA Part B, Section 619 award]]</f>
        <v>641334.5</v>
      </c>
      <c r="U10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5" t="str">
        <f>IF(OR(IFERROR(SEARCH("Met",tblMoeHistory[[#This Row],[State and Local Per Capita Result]]),0)&gt;0,IFERROR(SEARCH("Met",tblMoeHistory[[#This Row],[State and Local Total Result]]),0)&gt;0),"Met","Not Met")</f>
        <v>Met</v>
      </c>
    </row>
    <row r="1016" spans="1:22" x14ac:dyDescent="0.35">
      <c r="A1016" t="s">
        <v>50</v>
      </c>
      <c r="B1016">
        <v>2191</v>
      </c>
      <c r="C1016" t="s">
        <v>41</v>
      </c>
      <c r="D1016">
        <v>374</v>
      </c>
      <c r="E1016">
        <v>5305328.16</v>
      </c>
      <c r="F1016">
        <v>455142.1</v>
      </c>
      <c r="G1016">
        <f>tblMoeHistory[[#This Row],[LEA State and Local Amount]]+tblMoeHistory[[#This Row],[ESD State and Local Amount]]</f>
        <v>5760470.2599999998</v>
      </c>
      <c r="H1016">
        <v>0</v>
      </c>
      <c r="I1016" t="s">
        <v>241</v>
      </c>
      <c r="J1016">
        <f>IFERROR(tblMoeHistory[[#This Row],[LEA State and Local Amount]]/tblMoeHistory[[#This Row],[Child Count]],0)</f>
        <v>14185.369411764706</v>
      </c>
      <c r="K1016">
        <f>IFERROR(tblMoeHistory[[#This Row],[ESD State and Local Amount]]/tblMoeHistory[[#This Row],[Child Count]],0)</f>
        <v>1216.9574866310161</v>
      </c>
      <c r="L1016">
        <f>IFERROR(tblMoeHistory[[#This Row],[State and Local Total Amount]]/tblMoeHistory[[#This Row],[Child Count]],0)</f>
        <v>15402.32689839572</v>
      </c>
      <c r="M1016">
        <v>0</v>
      </c>
      <c r="N1016" t="s">
        <v>241</v>
      </c>
      <c r="O1016">
        <v>417366.96</v>
      </c>
      <c r="P1016">
        <v>3878.99</v>
      </c>
      <c r="Q1016">
        <f>tblMoeHistory[[#This Row],[Amount of IDEA Part B, Section 611 award]]+tblMoeHistory[[#This Row],[Amount of IDEA Part B, Section 619 award]]</f>
        <v>421245.95</v>
      </c>
      <c r="U10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6" t="str">
        <f>IF(OR(IFERROR(SEARCH("Met",tblMoeHistory[[#This Row],[State and Local Per Capita Result]]),0)&gt;0,IFERROR(SEARCH("Met",tblMoeHistory[[#This Row],[State and Local Total Result]]),0)&gt;0),"Met","Not Met")</f>
        <v>Met</v>
      </c>
    </row>
    <row r="1017" spans="1:22" x14ac:dyDescent="0.35">
      <c r="A1017" t="s">
        <v>51</v>
      </c>
      <c r="B1017">
        <v>1945</v>
      </c>
      <c r="C1017" t="s">
        <v>41</v>
      </c>
      <c r="D1017">
        <v>115</v>
      </c>
      <c r="E1017">
        <v>1069580.07</v>
      </c>
      <c r="F1017">
        <v>248645</v>
      </c>
      <c r="G1017">
        <f>tblMoeHistory[[#This Row],[LEA State and Local Amount]]+tblMoeHistory[[#This Row],[ESD State and Local Amount]]</f>
        <v>1318225.07</v>
      </c>
      <c r="H1017">
        <v>0</v>
      </c>
      <c r="I1017" t="s">
        <v>241</v>
      </c>
      <c r="J1017">
        <f>IFERROR(tblMoeHistory[[#This Row],[LEA State and Local Amount]]/tblMoeHistory[[#This Row],[Child Count]],0)</f>
        <v>9300.6962608695667</v>
      </c>
      <c r="K1017">
        <f>IFERROR(tblMoeHistory[[#This Row],[ESD State and Local Amount]]/tblMoeHistory[[#This Row],[Child Count]],0)</f>
        <v>2162.1304347826085</v>
      </c>
      <c r="L1017">
        <f>IFERROR(tblMoeHistory[[#This Row],[State and Local Total Amount]]/tblMoeHistory[[#This Row],[Child Count]],0)</f>
        <v>11462.826695652175</v>
      </c>
      <c r="M1017">
        <v>0</v>
      </c>
      <c r="N1017" t="s">
        <v>241</v>
      </c>
      <c r="O1017">
        <v>117826.05</v>
      </c>
      <c r="P1017">
        <v>1468.84</v>
      </c>
      <c r="Q1017">
        <f>tblMoeHistory[[#This Row],[Amount of IDEA Part B, Section 611 award]]+tblMoeHistory[[#This Row],[Amount of IDEA Part B, Section 619 award]]</f>
        <v>119294.89</v>
      </c>
      <c r="U10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7" t="str">
        <f>IF(OR(IFERROR(SEARCH("Met",tblMoeHistory[[#This Row],[State and Local Per Capita Result]]),0)&gt;0,IFERROR(SEARCH("Met",tblMoeHistory[[#This Row],[State and Local Total Result]]),0)&gt;0),"Met","Not Met")</f>
        <v>Met</v>
      </c>
    </row>
    <row r="1018" spans="1:22" x14ac:dyDescent="0.35">
      <c r="A1018" t="s">
        <v>52</v>
      </c>
      <c r="B1018">
        <v>1927</v>
      </c>
      <c r="C1018" t="s">
        <v>41</v>
      </c>
      <c r="D1018">
        <v>86</v>
      </c>
      <c r="E1018">
        <v>1041962.81</v>
      </c>
      <c r="F1018">
        <v>162751</v>
      </c>
      <c r="G1018">
        <f>tblMoeHistory[[#This Row],[LEA State and Local Amount]]+tblMoeHistory[[#This Row],[ESD State and Local Amount]]</f>
        <v>1204713.81</v>
      </c>
      <c r="H1018">
        <v>0</v>
      </c>
      <c r="I1018" t="s">
        <v>241</v>
      </c>
      <c r="J1018">
        <f>IFERROR(tblMoeHistory[[#This Row],[LEA State and Local Amount]]/tblMoeHistory[[#This Row],[Child Count]],0)</f>
        <v>12115.846627906978</v>
      </c>
      <c r="K1018">
        <f>IFERROR(tblMoeHistory[[#This Row],[ESD State and Local Amount]]/tblMoeHistory[[#This Row],[Child Count]],0)</f>
        <v>1892.453488372093</v>
      </c>
      <c r="L1018">
        <f>IFERROR(tblMoeHistory[[#This Row],[State and Local Total Amount]]/tblMoeHistory[[#This Row],[Child Count]],0)</f>
        <v>14008.30011627907</v>
      </c>
      <c r="M1018">
        <v>0</v>
      </c>
      <c r="N1018" t="s">
        <v>241</v>
      </c>
      <c r="O1018">
        <v>121223.93</v>
      </c>
      <c r="P1018">
        <v>841.52</v>
      </c>
      <c r="Q1018">
        <f>tblMoeHistory[[#This Row],[Amount of IDEA Part B, Section 611 award]]+tblMoeHistory[[#This Row],[Amount of IDEA Part B, Section 619 award]]</f>
        <v>122065.45</v>
      </c>
      <c r="U10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8" t="str">
        <f>IF(OR(IFERROR(SEARCH("Met",tblMoeHistory[[#This Row],[State and Local Per Capita Result]]),0)&gt;0,IFERROR(SEARCH("Met",tblMoeHistory[[#This Row],[State and Local Total Result]]),0)&gt;0),"Met","Not Met")</f>
        <v>Met</v>
      </c>
    </row>
    <row r="1019" spans="1:22" x14ac:dyDescent="0.35">
      <c r="A1019" t="s">
        <v>53</v>
      </c>
      <c r="B1019">
        <v>2006</v>
      </c>
      <c r="C1019" t="s">
        <v>41</v>
      </c>
      <c r="D1019">
        <v>20</v>
      </c>
      <c r="E1019">
        <v>7141.08</v>
      </c>
      <c r="F1019">
        <v>99238</v>
      </c>
      <c r="G1019">
        <f>tblMoeHistory[[#This Row],[LEA State and Local Amount]]+tblMoeHistory[[#This Row],[ESD State and Local Amount]]</f>
        <v>106379.08</v>
      </c>
      <c r="H1019">
        <v>0</v>
      </c>
      <c r="I1019" t="s">
        <v>242</v>
      </c>
      <c r="J1019">
        <f>IFERROR(tblMoeHistory[[#This Row],[LEA State and Local Amount]]/tblMoeHistory[[#This Row],[Child Count]],0)</f>
        <v>357.05399999999997</v>
      </c>
      <c r="K1019">
        <f>IFERROR(tblMoeHistory[[#This Row],[ESD State and Local Amount]]/tblMoeHistory[[#This Row],[Child Count]],0)</f>
        <v>4961.8999999999996</v>
      </c>
      <c r="L1019">
        <f>IFERROR(tblMoeHistory[[#This Row],[State and Local Total Amount]]/tblMoeHistory[[#This Row],[Child Count]],0)</f>
        <v>5318.9539999999997</v>
      </c>
      <c r="M1019">
        <v>0</v>
      </c>
      <c r="N1019" t="s">
        <v>241</v>
      </c>
      <c r="O1019">
        <v>21755.87</v>
      </c>
      <c r="P1019">
        <v>0</v>
      </c>
      <c r="Q1019">
        <f>tblMoeHistory[[#This Row],[Amount of IDEA Part B, Section 611 award]]+tblMoeHistory[[#This Row],[Amount of IDEA Part B, Section 619 award]]</f>
        <v>21755.87</v>
      </c>
      <c r="S1019">
        <v>13831.24</v>
      </c>
      <c r="T1019">
        <v>13831.24</v>
      </c>
      <c r="U10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9" t="str">
        <f>IF(OR(IFERROR(SEARCH("Met",tblMoeHistory[[#This Row],[State and Local Per Capita Result]]),0)&gt;0,IFERROR(SEARCH("Met",tblMoeHistory[[#This Row],[State and Local Total Result]]),0)&gt;0),"Met","Not Met")</f>
        <v>Met</v>
      </c>
    </row>
    <row r="1020" spans="1:22" x14ac:dyDescent="0.35">
      <c r="A1020" t="s">
        <v>54</v>
      </c>
      <c r="B1020">
        <v>1965</v>
      </c>
      <c r="C1020" t="s">
        <v>41</v>
      </c>
      <c r="D1020">
        <v>442</v>
      </c>
      <c r="E1020">
        <v>4144300.44</v>
      </c>
      <c r="F1020">
        <v>1087892</v>
      </c>
      <c r="G1020">
        <f>tblMoeHistory[[#This Row],[LEA State and Local Amount]]+tblMoeHistory[[#This Row],[ESD State and Local Amount]]</f>
        <v>5232192.4399999995</v>
      </c>
      <c r="H1020">
        <v>0</v>
      </c>
      <c r="I1020" t="s">
        <v>241</v>
      </c>
      <c r="J1020">
        <f>IFERROR(tblMoeHistory[[#This Row],[LEA State and Local Amount]]/tblMoeHistory[[#This Row],[Child Count]],0)</f>
        <v>9376.2453393665164</v>
      </c>
      <c r="K1020">
        <f>IFERROR(tblMoeHistory[[#This Row],[ESD State and Local Amount]]/tblMoeHistory[[#This Row],[Child Count]],0)</f>
        <v>2461.294117647059</v>
      </c>
      <c r="L1020">
        <f>IFERROR(tblMoeHistory[[#This Row],[State and Local Total Amount]]/tblMoeHistory[[#This Row],[Child Count]],0)</f>
        <v>11837.539457013574</v>
      </c>
      <c r="M1020">
        <v>0</v>
      </c>
      <c r="N1020" t="s">
        <v>241</v>
      </c>
      <c r="O1020">
        <v>643034.16</v>
      </c>
      <c r="P1020">
        <v>8117.29</v>
      </c>
      <c r="Q1020">
        <f>tblMoeHistory[[#This Row],[Amount of IDEA Part B, Section 611 award]]+tblMoeHistory[[#This Row],[Amount of IDEA Part B, Section 619 award]]</f>
        <v>651151.45000000007</v>
      </c>
      <c r="U10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0" t="str">
        <f>IF(OR(IFERROR(SEARCH("Met",tblMoeHistory[[#This Row],[State and Local Per Capita Result]]),0)&gt;0,IFERROR(SEARCH("Met",tblMoeHistory[[#This Row],[State and Local Total Result]]),0)&gt;0),"Met","Not Met")</f>
        <v>Met</v>
      </c>
    </row>
    <row r="1021" spans="1:22" x14ac:dyDescent="0.35">
      <c r="A1021" t="s">
        <v>55</v>
      </c>
      <c r="B1021">
        <v>1964</v>
      </c>
      <c r="C1021" t="s">
        <v>41</v>
      </c>
      <c r="D1021">
        <v>94</v>
      </c>
      <c r="E1021">
        <v>852221.62</v>
      </c>
      <c r="F1021">
        <v>259345</v>
      </c>
      <c r="G1021">
        <f>tblMoeHistory[[#This Row],[LEA State and Local Amount]]+tblMoeHistory[[#This Row],[ESD State and Local Amount]]</f>
        <v>1111566.6200000001</v>
      </c>
      <c r="H1021">
        <v>0</v>
      </c>
      <c r="I1021" t="s">
        <v>241</v>
      </c>
      <c r="J1021">
        <f>IFERROR(tblMoeHistory[[#This Row],[LEA State and Local Amount]]/tblMoeHistory[[#This Row],[Child Count]],0)</f>
        <v>9066.1874468085098</v>
      </c>
      <c r="K1021">
        <f>IFERROR(tblMoeHistory[[#This Row],[ESD State and Local Amount]]/tblMoeHistory[[#This Row],[Child Count]],0)</f>
        <v>2758.9893617021276</v>
      </c>
      <c r="L1021">
        <f>IFERROR(tblMoeHistory[[#This Row],[State and Local Total Amount]]/tblMoeHistory[[#This Row],[Child Count]],0)</f>
        <v>11825.17680851064</v>
      </c>
      <c r="M1021">
        <v>0</v>
      </c>
      <c r="N1021" t="s">
        <v>242</v>
      </c>
      <c r="O1021">
        <v>145287.46</v>
      </c>
      <c r="P1021">
        <v>2360.64</v>
      </c>
      <c r="Q1021">
        <f>tblMoeHistory[[#This Row],[Amount of IDEA Part B, Section 611 award]]+tblMoeHistory[[#This Row],[Amount of IDEA Part B, Section 619 award]]</f>
        <v>147648.1</v>
      </c>
      <c r="U10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1" t="str">
        <f>IF(OR(IFERROR(SEARCH("Met",tblMoeHistory[[#This Row],[State and Local Per Capita Result]]),0)&gt;0,IFERROR(SEARCH("Met",tblMoeHistory[[#This Row],[State and Local Total Result]]),0)&gt;0),"Met","Not Met")</f>
        <v>Met</v>
      </c>
    </row>
    <row r="1022" spans="1:22" x14ac:dyDescent="0.35">
      <c r="A1022" t="s">
        <v>56</v>
      </c>
      <c r="B1022">
        <v>2186</v>
      </c>
      <c r="C1022" t="s">
        <v>41</v>
      </c>
      <c r="D1022">
        <v>125</v>
      </c>
      <c r="E1022">
        <v>700203.08</v>
      </c>
      <c r="F1022">
        <v>260514.74</v>
      </c>
      <c r="G1022">
        <f>tblMoeHistory[[#This Row],[LEA State and Local Amount]]+tblMoeHistory[[#This Row],[ESD State and Local Amount]]</f>
        <v>960717.82</v>
      </c>
      <c r="H1022">
        <v>0</v>
      </c>
      <c r="I1022" t="s">
        <v>241</v>
      </c>
      <c r="J1022">
        <f>IFERROR(tblMoeHistory[[#This Row],[LEA State and Local Amount]]/tblMoeHistory[[#This Row],[Child Count]],0)</f>
        <v>5601.62464</v>
      </c>
      <c r="K1022">
        <f>IFERROR(tblMoeHistory[[#This Row],[ESD State and Local Amount]]/tblMoeHistory[[#This Row],[Child Count]],0)</f>
        <v>2084.1179200000001</v>
      </c>
      <c r="L1022">
        <f>IFERROR(tblMoeHistory[[#This Row],[State and Local Total Amount]]/tblMoeHistory[[#This Row],[Child Count]],0)</f>
        <v>7685.7425599999997</v>
      </c>
      <c r="M1022">
        <v>891463.43</v>
      </c>
      <c r="N1022" t="s">
        <v>240</v>
      </c>
      <c r="O1022">
        <v>157234.79999999999</v>
      </c>
      <c r="P1022">
        <v>803.27</v>
      </c>
      <c r="Q1022">
        <f>tblMoeHistory[[#This Row],[Amount of IDEA Part B, Section 611 award]]+tblMoeHistory[[#This Row],[Amount of IDEA Part B, Section 619 award]]</f>
        <v>158038.06999999998</v>
      </c>
      <c r="U10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2" t="str">
        <f>IF(OR(IFERROR(SEARCH("Met",tblMoeHistory[[#This Row],[State and Local Per Capita Result]]),0)&gt;0,IFERROR(SEARCH("Met",tblMoeHistory[[#This Row],[State and Local Total Result]]),0)&gt;0),"Met","Not Met")</f>
        <v>Met</v>
      </c>
    </row>
    <row r="1023" spans="1:22" x14ac:dyDescent="0.35">
      <c r="A1023" t="s">
        <v>58</v>
      </c>
      <c r="B1023">
        <v>1901</v>
      </c>
      <c r="C1023" t="s">
        <v>41</v>
      </c>
      <c r="D1023">
        <v>725</v>
      </c>
      <c r="E1023">
        <v>7166604.9299999997</v>
      </c>
      <c r="F1023">
        <v>864515</v>
      </c>
      <c r="G1023">
        <f>tblMoeHistory[[#This Row],[LEA State and Local Amount]]+tblMoeHistory[[#This Row],[ESD State and Local Amount]]</f>
        <v>8031119.9299999997</v>
      </c>
      <c r="H1023">
        <v>0</v>
      </c>
      <c r="I1023" t="s">
        <v>241</v>
      </c>
      <c r="J1023">
        <f>IFERROR(tblMoeHistory[[#This Row],[LEA State and Local Amount]]/tblMoeHistory[[#This Row],[Child Count]],0)</f>
        <v>9884.9723172413796</v>
      </c>
      <c r="K1023">
        <f>IFERROR(tblMoeHistory[[#This Row],[ESD State and Local Amount]]/tblMoeHistory[[#This Row],[Child Count]],0)</f>
        <v>1192.4344827586208</v>
      </c>
      <c r="L1023">
        <f>IFERROR(tblMoeHistory[[#This Row],[State and Local Total Amount]]/tblMoeHistory[[#This Row],[Child Count]],0)</f>
        <v>11077.406799999999</v>
      </c>
      <c r="M1023">
        <v>0</v>
      </c>
      <c r="N1023" t="s">
        <v>241</v>
      </c>
      <c r="O1023">
        <v>1009065.44</v>
      </c>
      <c r="P1023">
        <v>9639.2800000000007</v>
      </c>
      <c r="Q1023">
        <f>tblMoeHistory[[#This Row],[Amount of IDEA Part B, Section 611 award]]+tblMoeHistory[[#This Row],[Amount of IDEA Part B, Section 619 award]]</f>
        <v>1018704.72</v>
      </c>
      <c r="U10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3" t="str">
        <f>IF(OR(IFERROR(SEARCH("Met",tblMoeHistory[[#This Row],[State and Local Per Capita Result]]),0)&gt;0,IFERROR(SEARCH("Met",tblMoeHistory[[#This Row],[State and Local Total Result]]),0)&gt;0),"Met","Not Met")</f>
        <v>Met</v>
      </c>
    </row>
    <row r="1024" spans="1:22" x14ac:dyDescent="0.35">
      <c r="A1024" t="s">
        <v>59</v>
      </c>
      <c r="B1024">
        <v>2216</v>
      </c>
      <c r="C1024" t="s">
        <v>41</v>
      </c>
      <c r="D1024">
        <v>28</v>
      </c>
      <c r="E1024">
        <v>154769.48000000001</v>
      </c>
      <c r="F1024">
        <v>47125.63</v>
      </c>
      <c r="G1024">
        <f>tblMoeHistory[[#This Row],[LEA State and Local Amount]]+tblMoeHistory[[#This Row],[ESD State and Local Amount]]</f>
        <v>201895.11000000002</v>
      </c>
      <c r="H1024">
        <v>0</v>
      </c>
      <c r="I1024" t="s">
        <v>241</v>
      </c>
      <c r="J1024">
        <f>IFERROR(tblMoeHistory[[#This Row],[LEA State and Local Amount]]/tblMoeHistory[[#This Row],[Child Count]],0)</f>
        <v>5527.4814285714292</v>
      </c>
      <c r="K1024">
        <f>IFERROR(tblMoeHistory[[#This Row],[ESD State and Local Amount]]/tblMoeHistory[[#This Row],[Child Count]],0)</f>
        <v>1683.0582142857143</v>
      </c>
      <c r="L1024">
        <f>IFERROR(tblMoeHistory[[#This Row],[State and Local Total Amount]]/tblMoeHistory[[#This Row],[Child Count]],0)</f>
        <v>7210.539642857143</v>
      </c>
      <c r="M1024">
        <v>0</v>
      </c>
      <c r="N1024" t="s">
        <v>242</v>
      </c>
      <c r="O1024">
        <v>40104.71</v>
      </c>
      <c r="P1024">
        <v>1377.04</v>
      </c>
      <c r="Q1024">
        <f>tblMoeHistory[[#This Row],[Amount of IDEA Part B, Section 611 award]]+tblMoeHistory[[#This Row],[Amount of IDEA Part B, Section 619 award]]</f>
        <v>41481.75</v>
      </c>
      <c r="T1024">
        <v>25879.69</v>
      </c>
      <c r="U10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4" t="str">
        <f>IF(OR(IFERROR(SEARCH("Met",tblMoeHistory[[#This Row],[State and Local Per Capita Result]]),0)&gt;0,IFERROR(SEARCH("Met",tblMoeHistory[[#This Row],[State and Local Total Result]]),0)&gt;0),"Met","Not Met")</f>
        <v>Met</v>
      </c>
    </row>
    <row r="1025" spans="1:22" x14ac:dyDescent="0.35">
      <c r="A1025" t="s">
        <v>60</v>
      </c>
      <c r="B1025">
        <v>2086</v>
      </c>
      <c r="C1025" t="s">
        <v>41</v>
      </c>
      <c r="D1025">
        <v>226</v>
      </c>
      <c r="E1025">
        <v>2404382</v>
      </c>
      <c r="F1025">
        <v>449353</v>
      </c>
      <c r="G1025">
        <f>tblMoeHistory[[#This Row],[LEA State and Local Amount]]+tblMoeHistory[[#This Row],[ESD State and Local Amount]]</f>
        <v>2853735</v>
      </c>
      <c r="H1025">
        <v>0</v>
      </c>
      <c r="I1025" t="s">
        <v>241</v>
      </c>
      <c r="J1025">
        <f>IFERROR(tblMoeHistory[[#This Row],[LEA State and Local Amount]]/tblMoeHistory[[#This Row],[Child Count]],0)</f>
        <v>10638.858407079646</v>
      </c>
      <c r="K1025">
        <f>IFERROR(tblMoeHistory[[#This Row],[ESD State and Local Amount]]/tblMoeHistory[[#This Row],[Child Count]],0)</f>
        <v>1988.287610619469</v>
      </c>
      <c r="L1025">
        <f>IFERROR(tblMoeHistory[[#This Row],[State and Local Total Amount]]/tblMoeHistory[[#This Row],[Child Count]],0)</f>
        <v>12627.146017699115</v>
      </c>
      <c r="M1025">
        <v>0</v>
      </c>
      <c r="N1025" t="s">
        <v>241</v>
      </c>
      <c r="O1025">
        <v>250097.78</v>
      </c>
      <c r="P1025">
        <v>2601.08</v>
      </c>
      <c r="Q1025">
        <f>tblMoeHistory[[#This Row],[Amount of IDEA Part B, Section 611 award]]+tblMoeHistory[[#This Row],[Amount of IDEA Part B, Section 619 award]]</f>
        <v>252698.86</v>
      </c>
      <c r="U10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5" t="str">
        <f>IF(OR(IFERROR(SEARCH("Met",tblMoeHistory[[#This Row],[State and Local Per Capita Result]]),0)&gt;0,IFERROR(SEARCH("Met",tblMoeHistory[[#This Row],[State and Local Total Result]]),0)&gt;0),"Met","Not Met")</f>
        <v>Met</v>
      </c>
    </row>
    <row r="1026" spans="1:22" x14ac:dyDescent="0.35">
      <c r="A1026" t="s">
        <v>61</v>
      </c>
      <c r="B1026">
        <v>1970</v>
      </c>
      <c r="C1026" t="s">
        <v>41</v>
      </c>
      <c r="D1026">
        <v>395</v>
      </c>
      <c r="E1026">
        <v>3411599.71</v>
      </c>
      <c r="F1026">
        <v>236033.68</v>
      </c>
      <c r="G1026">
        <f>tblMoeHistory[[#This Row],[LEA State and Local Amount]]+tblMoeHistory[[#This Row],[ESD State and Local Amount]]</f>
        <v>3647633.39</v>
      </c>
      <c r="H1026">
        <v>0</v>
      </c>
      <c r="I1026" t="s">
        <v>241</v>
      </c>
      <c r="J1026">
        <f>IFERROR(tblMoeHistory[[#This Row],[LEA State and Local Amount]]/tblMoeHistory[[#This Row],[Child Count]],0)</f>
        <v>8636.9612911392396</v>
      </c>
      <c r="K1026">
        <f>IFERROR(tblMoeHistory[[#This Row],[ESD State and Local Amount]]/tblMoeHistory[[#This Row],[Child Count]],0)</f>
        <v>597.55362025316458</v>
      </c>
      <c r="L1026">
        <f>IFERROR(tblMoeHistory[[#This Row],[State and Local Total Amount]]/tblMoeHistory[[#This Row],[Child Count]],0)</f>
        <v>9234.5149113924053</v>
      </c>
      <c r="M1026">
        <v>0</v>
      </c>
      <c r="N1026" t="s">
        <v>241</v>
      </c>
      <c r="O1026">
        <v>565267.4</v>
      </c>
      <c r="P1026">
        <v>4937.1899999999996</v>
      </c>
      <c r="Q1026">
        <f>tblMoeHistory[[#This Row],[Amount of IDEA Part B, Section 611 award]]+tblMoeHistory[[#This Row],[Amount of IDEA Part B, Section 619 award]]</f>
        <v>570204.59</v>
      </c>
      <c r="U10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6" t="str">
        <f>IF(OR(IFERROR(SEARCH("Met",tblMoeHistory[[#This Row],[State and Local Per Capita Result]]),0)&gt;0,IFERROR(SEARCH("Met",tblMoeHistory[[#This Row],[State and Local Total Result]]),0)&gt;0),"Met","Not Met")</f>
        <v>Met</v>
      </c>
    </row>
    <row r="1027" spans="1:22" x14ac:dyDescent="0.35">
      <c r="A1027" t="s">
        <v>62</v>
      </c>
      <c r="B1027">
        <v>2089</v>
      </c>
      <c r="C1027" t="s">
        <v>41</v>
      </c>
      <c r="D1027">
        <v>50</v>
      </c>
      <c r="E1027">
        <v>443133.96</v>
      </c>
      <c r="F1027">
        <v>104611</v>
      </c>
      <c r="G1027">
        <f>tblMoeHistory[[#This Row],[LEA State and Local Amount]]+tblMoeHistory[[#This Row],[ESD State and Local Amount]]</f>
        <v>547744.96</v>
      </c>
      <c r="H1027">
        <v>0</v>
      </c>
      <c r="I1027" t="s">
        <v>242</v>
      </c>
      <c r="J1027">
        <f>IFERROR(tblMoeHistory[[#This Row],[LEA State and Local Amount]]/tblMoeHistory[[#This Row],[Child Count]],0)</f>
        <v>8862.6792000000005</v>
      </c>
      <c r="K1027">
        <f>IFERROR(tblMoeHistory[[#This Row],[ESD State and Local Amount]]/tblMoeHistory[[#This Row],[Child Count]],0)</f>
        <v>2092.2199999999998</v>
      </c>
      <c r="L1027">
        <f>IFERROR(tblMoeHistory[[#This Row],[State and Local Total Amount]]/tblMoeHistory[[#This Row],[Child Count]],0)</f>
        <v>10954.8992</v>
      </c>
      <c r="M1027">
        <v>0</v>
      </c>
      <c r="N1027" t="s">
        <v>242</v>
      </c>
      <c r="O1027">
        <v>61000.26</v>
      </c>
      <c r="P1027">
        <v>0</v>
      </c>
      <c r="Q1027">
        <f>tblMoeHistory[[#This Row],[Amount of IDEA Part B, Section 611 award]]+tblMoeHistory[[#This Row],[Amount of IDEA Part B, Section 619 award]]</f>
        <v>61000.26</v>
      </c>
      <c r="S1027">
        <v>31070.83</v>
      </c>
      <c r="T1027">
        <v>52032.79</v>
      </c>
      <c r="U10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7" t="str">
        <f>IF(OR(IFERROR(SEARCH("Met",tblMoeHistory[[#This Row],[State and Local Per Capita Result]]),0)&gt;0,IFERROR(SEARCH("Met",tblMoeHistory[[#This Row],[State and Local Total Result]]),0)&gt;0),"Met","Not Met")</f>
        <v>Met</v>
      </c>
    </row>
    <row r="1028" spans="1:22" x14ac:dyDescent="0.35">
      <c r="A1028" t="s">
        <v>63</v>
      </c>
      <c r="B1028">
        <v>2050</v>
      </c>
      <c r="C1028" t="s">
        <v>41</v>
      </c>
      <c r="D1028">
        <v>87</v>
      </c>
      <c r="E1028">
        <v>716109.55</v>
      </c>
      <c r="F1028">
        <v>226707.59</v>
      </c>
      <c r="G1028">
        <f>tblMoeHistory[[#This Row],[LEA State and Local Amount]]+tblMoeHistory[[#This Row],[ESD State and Local Amount]]</f>
        <v>942817.14</v>
      </c>
      <c r="H1028">
        <v>0</v>
      </c>
      <c r="I1028" t="s">
        <v>241</v>
      </c>
      <c r="J1028">
        <f>IFERROR(tblMoeHistory[[#This Row],[LEA State and Local Amount]]/tblMoeHistory[[#This Row],[Child Count]],0)</f>
        <v>8231.1442528735643</v>
      </c>
      <c r="K1028">
        <f>IFERROR(tblMoeHistory[[#This Row],[ESD State and Local Amount]]/tblMoeHistory[[#This Row],[Child Count]],0)</f>
        <v>2605.8343678160918</v>
      </c>
      <c r="L1028">
        <f>IFERROR(tblMoeHistory[[#This Row],[State and Local Total Amount]]/tblMoeHistory[[#This Row],[Child Count]],0)</f>
        <v>10836.978620689655</v>
      </c>
      <c r="M1028">
        <v>0</v>
      </c>
      <c r="N1028" t="s">
        <v>241</v>
      </c>
      <c r="O1028">
        <v>111930.98</v>
      </c>
      <c r="P1028">
        <v>1049.17</v>
      </c>
      <c r="Q1028">
        <f>tblMoeHistory[[#This Row],[Amount of IDEA Part B, Section 611 award]]+tblMoeHistory[[#This Row],[Amount of IDEA Part B, Section 619 award]]</f>
        <v>112980.15</v>
      </c>
      <c r="U10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8" t="str">
        <f>IF(OR(IFERROR(SEARCH("Met",tblMoeHistory[[#This Row],[State and Local Per Capita Result]]),0)&gt;0,IFERROR(SEARCH("Met",tblMoeHistory[[#This Row],[State and Local Total Result]]),0)&gt;0),"Met","Not Met")</f>
        <v>Met</v>
      </c>
    </row>
    <row r="1029" spans="1:22" x14ac:dyDescent="0.35">
      <c r="A1029" t="s">
        <v>64</v>
      </c>
      <c r="B1029">
        <v>2190</v>
      </c>
      <c r="C1029" t="s">
        <v>41</v>
      </c>
      <c r="D1029">
        <v>462</v>
      </c>
      <c r="E1029">
        <v>4053359.24</v>
      </c>
      <c r="F1029">
        <v>273991.75</v>
      </c>
      <c r="G1029">
        <f>tblMoeHistory[[#This Row],[LEA State and Local Amount]]+tblMoeHistory[[#This Row],[ESD State and Local Amount]]</f>
        <v>4327350.99</v>
      </c>
      <c r="H1029">
        <v>0</v>
      </c>
      <c r="I1029" t="s">
        <v>241</v>
      </c>
      <c r="J1029">
        <f>IFERROR(tblMoeHistory[[#This Row],[LEA State and Local Amount]]/tblMoeHistory[[#This Row],[Child Count]],0)</f>
        <v>8773.5048484848485</v>
      </c>
      <c r="K1029">
        <f>IFERROR(tblMoeHistory[[#This Row],[ESD State and Local Amount]]/tblMoeHistory[[#This Row],[Child Count]],0)</f>
        <v>593.05573593073598</v>
      </c>
      <c r="L1029">
        <f>IFERROR(tblMoeHistory[[#This Row],[State and Local Total Amount]]/tblMoeHistory[[#This Row],[Child Count]],0)</f>
        <v>9366.5605844155853</v>
      </c>
      <c r="M1029">
        <v>0</v>
      </c>
      <c r="N1029" t="s">
        <v>241</v>
      </c>
      <c r="O1029">
        <v>465958.49</v>
      </c>
      <c r="P1029">
        <v>6854.6</v>
      </c>
      <c r="Q1029">
        <f>tblMoeHistory[[#This Row],[Amount of IDEA Part B, Section 611 award]]+tblMoeHistory[[#This Row],[Amount of IDEA Part B, Section 619 award]]</f>
        <v>472813.08999999997</v>
      </c>
      <c r="U10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9" t="str">
        <f>IF(OR(IFERROR(SEARCH("Met",tblMoeHistory[[#This Row],[State and Local Per Capita Result]]),0)&gt;0,IFERROR(SEARCH("Met",tblMoeHistory[[#This Row],[State and Local Total Result]]),0)&gt;0),"Met","Not Met")</f>
        <v>Met</v>
      </c>
    </row>
    <row r="1030" spans="1:22" x14ac:dyDescent="0.35">
      <c r="A1030" t="s">
        <v>65</v>
      </c>
      <c r="B1030">
        <v>2187</v>
      </c>
      <c r="C1030" t="s">
        <v>41</v>
      </c>
      <c r="D1030">
        <v>1293</v>
      </c>
      <c r="E1030">
        <v>12359545.26</v>
      </c>
      <c r="F1030">
        <v>1262420.8600000001</v>
      </c>
      <c r="G1030">
        <f>tblMoeHistory[[#This Row],[LEA State and Local Amount]]+tblMoeHistory[[#This Row],[ESD State and Local Amount]]</f>
        <v>13621966.119999999</v>
      </c>
      <c r="H1030">
        <v>0</v>
      </c>
      <c r="I1030" t="s">
        <v>241</v>
      </c>
      <c r="J1030">
        <f>IFERROR(tblMoeHistory[[#This Row],[LEA State and Local Amount]]/tblMoeHistory[[#This Row],[Child Count]],0)</f>
        <v>9558.8130394431555</v>
      </c>
      <c r="K1030">
        <f>IFERROR(tblMoeHistory[[#This Row],[ESD State and Local Amount]]/tblMoeHistory[[#This Row],[Child Count]],0)</f>
        <v>976.35023975251363</v>
      </c>
      <c r="L1030">
        <f>IFERROR(tblMoeHistory[[#This Row],[State and Local Total Amount]]/tblMoeHistory[[#This Row],[Child Count]],0)</f>
        <v>10535.163279195669</v>
      </c>
      <c r="M1030">
        <v>0</v>
      </c>
      <c r="N1030" t="s">
        <v>241</v>
      </c>
      <c r="O1030">
        <v>1577035.88</v>
      </c>
      <c r="P1030">
        <v>12262.91</v>
      </c>
      <c r="Q1030">
        <f>tblMoeHistory[[#This Row],[Amount of IDEA Part B, Section 611 award]]+tblMoeHistory[[#This Row],[Amount of IDEA Part B, Section 619 award]]</f>
        <v>1589298.7899999998</v>
      </c>
      <c r="U10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0" t="str">
        <f>IF(OR(IFERROR(SEARCH("Met",tblMoeHistory[[#This Row],[State and Local Per Capita Result]]),0)&gt;0,IFERROR(SEARCH("Met",tblMoeHistory[[#This Row],[State and Local Total Result]]),0)&gt;0),"Met","Not Met")</f>
        <v>Met</v>
      </c>
    </row>
    <row r="1031" spans="1:22" x14ac:dyDescent="0.35">
      <c r="A1031" t="s">
        <v>66</v>
      </c>
      <c r="B1031">
        <v>2253</v>
      </c>
      <c r="C1031" t="s">
        <v>41</v>
      </c>
      <c r="D1031">
        <v>133</v>
      </c>
      <c r="E1031">
        <v>930160.19</v>
      </c>
      <c r="F1031">
        <v>65704.25</v>
      </c>
      <c r="G1031">
        <f>tblMoeHistory[[#This Row],[LEA State and Local Amount]]+tblMoeHistory[[#This Row],[ESD State and Local Amount]]</f>
        <v>995864.44</v>
      </c>
      <c r="H1031">
        <v>0</v>
      </c>
      <c r="I1031" t="s">
        <v>242</v>
      </c>
      <c r="J1031">
        <f>IFERROR(tblMoeHistory[[#This Row],[LEA State and Local Amount]]/tblMoeHistory[[#This Row],[Child Count]],0)</f>
        <v>6993.6856390977437</v>
      </c>
      <c r="K1031">
        <f>IFERROR(tblMoeHistory[[#This Row],[ESD State and Local Amount]]/tblMoeHistory[[#This Row],[Child Count]],0)</f>
        <v>494.01691729323306</v>
      </c>
      <c r="L1031">
        <f>IFERROR(tblMoeHistory[[#This Row],[State and Local Total Amount]]/tblMoeHistory[[#This Row],[Child Count]],0)</f>
        <v>7487.7025563909774</v>
      </c>
      <c r="M1031">
        <v>21304.87</v>
      </c>
      <c r="N1031" t="s">
        <v>240</v>
      </c>
      <c r="O1031">
        <v>146285.04</v>
      </c>
      <c r="P1031">
        <v>1101.6300000000001</v>
      </c>
      <c r="Q1031">
        <f>tblMoeHistory[[#This Row],[Amount of IDEA Part B, Section 611 award]]+tblMoeHistory[[#This Row],[Amount of IDEA Part B, Section 619 award]]</f>
        <v>147386.67000000001</v>
      </c>
      <c r="S1031">
        <v>44484.24</v>
      </c>
      <c r="U10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1" t="str">
        <f>IF(OR(IFERROR(SEARCH("Met",tblMoeHistory[[#This Row],[State and Local Per Capita Result]]),0)&gt;0,IFERROR(SEARCH("Met",tblMoeHistory[[#This Row],[State and Local Total Result]]),0)&gt;0),"Met","Not Met")</f>
        <v>Met</v>
      </c>
    </row>
    <row r="1032" spans="1:22" x14ac:dyDescent="0.35">
      <c r="A1032" t="s">
        <v>67</v>
      </c>
      <c r="B1032">
        <v>2011</v>
      </c>
      <c r="C1032" t="s">
        <v>41</v>
      </c>
      <c r="D1032">
        <v>8</v>
      </c>
      <c r="E1032">
        <v>4941.08</v>
      </c>
      <c r="F1032">
        <v>69332.820000000007</v>
      </c>
      <c r="G1032">
        <f>tblMoeHistory[[#This Row],[LEA State and Local Amount]]+tblMoeHistory[[#This Row],[ESD State and Local Amount]]</f>
        <v>74273.900000000009</v>
      </c>
      <c r="H1032">
        <v>0</v>
      </c>
      <c r="I1032" t="s">
        <v>242</v>
      </c>
      <c r="J1032">
        <f>IFERROR(tblMoeHistory[[#This Row],[LEA State and Local Amount]]/tblMoeHistory[[#This Row],[Child Count]],0)</f>
        <v>617.63499999999999</v>
      </c>
      <c r="K1032">
        <f>IFERROR(tblMoeHistory[[#This Row],[ESD State and Local Amount]]/tblMoeHistory[[#This Row],[Child Count]],0)</f>
        <v>8666.6025000000009</v>
      </c>
      <c r="L1032">
        <f>IFERROR(tblMoeHistory[[#This Row],[State and Local Total Amount]]/tblMoeHistory[[#This Row],[Child Count]],0)</f>
        <v>9284.2375000000011</v>
      </c>
      <c r="M1032">
        <v>0</v>
      </c>
      <c r="N1032" t="s">
        <v>241</v>
      </c>
      <c r="O1032">
        <v>9488.11</v>
      </c>
      <c r="P1032">
        <v>0</v>
      </c>
      <c r="Q1032">
        <f>tblMoeHistory[[#This Row],[Amount of IDEA Part B, Section 611 award]]+tblMoeHistory[[#This Row],[Amount of IDEA Part B, Section 619 award]]</f>
        <v>9488.11</v>
      </c>
      <c r="S1032">
        <v>20288.240000000002</v>
      </c>
      <c r="T1032">
        <v>20288.240000000002</v>
      </c>
      <c r="U10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2" t="str">
        <f>IF(OR(IFERROR(SEARCH("Met",tblMoeHistory[[#This Row],[State and Local Per Capita Result]]),0)&gt;0,IFERROR(SEARCH("Met",tblMoeHistory[[#This Row],[State and Local Total Result]]),0)&gt;0),"Met","Not Met")</f>
        <v>Met</v>
      </c>
    </row>
    <row r="1033" spans="1:22" x14ac:dyDescent="0.35">
      <c r="A1033" t="s">
        <v>68</v>
      </c>
      <c r="B1033">
        <v>2017</v>
      </c>
      <c r="C1033" t="s">
        <v>41</v>
      </c>
      <c r="D1033">
        <v>0</v>
      </c>
      <c r="E1033">
        <v>0</v>
      </c>
      <c r="F1033">
        <v>6191</v>
      </c>
      <c r="G1033">
        <f>tblMoeHistory[[#This Row],[LEA State and Local Amount]]+tblMoeHistory[[#This Row],[ESD State and Local Amount]]</f>
        <v>6191</v>
      </c>
      <c r="H1033">
        <v>0</v>
      </c>
      <c r="I1033" t="s">
        <v>242</v>
      </c>
      <c r="J1033">
        <f>IFERROR(tblMoeHistory[[#This Row],[LEA State and Local Amount]]/tblMoeHistory[[#This Row],[Child Count]],0)</f>
        <v>0</v>
      </c>
      <c r="K1033">
        <f>IFERROR(tblMoeHistory[[#This Row],[ESD State and Local Amount]]/tblMoeHistory[[#This Row],[Child Count]],0)</f>
        <v>0</v>
      </c>
      <c r="L1033">
        <f>IFERROR(tblMoeHistory[[#This Row],[State and Local Total Amount]]/tblMoeHistory[[#This Row],[Child Count]],0)</f>
        <v>0</v>
      </c>
      <c r="M1033">
        <v>0</v>
      </c>
      <c r="N1033" t="s">
        <v>242</v>
      </c>
      <c r="O1033">
        <v>0</v>
      </c>
      <c r="P1033">
        <v>0</v>
      </c>
      <c r="Q1033">
        <f>tblMoeHistory[[#This Row],[Amount of IDEA Part B, Section 611 award]]+tblMoeHistory[[#This Row],[Amount of IDEA Part B, Section 619 award]]</f>
        <v>0</v>
      </c>
      <c r="U10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3" t="str">
        <f>IF(OR(IFERROR(SEARCH("Met",tblMoeHistory[[#This Row],[State and Local Per Capita Result]]),0)&gt;0,IFERROR(SEARCH("Met",tblMoeHistory[[#This Row],[State and Local Total Result]]),0)&gt;0),"Met","Not Met")</f>
        <v>Met</v>
      </c>
    </row>
    <row r="1034" spans="1:22" x14ac:dyDescent="0.35">
      <c r="A1034" t="s">
        <v>69</v>
      </c>
      <c r="B1034">
        <v>2021</v>
      </c>
      <c r="C1034" t="s">
        <v>41</v>
      </c>
      <c r="D1034">
        <v>0</v>
      </c>
      <c r="E1034">
        <v>5012.0600000000004</v>
      </c>
      <c r="F1034">
        <v>0</v>
      </c>
      <c r="G1034">
        <f>tblMoeHistory[[#This Row],[LEA State and Local Amount]]+tblMoeHistory[[#This Row],[ESD State and Local Amount]]</f>
        <v>5012.0600000000004</v>
      </c>
      <c r="H1034">
        <v>0</v>
      </c>
      <c r="I1034" t="s">
        <v>241</v>
      </c>
      <c r="J1034">
        <f>IFERROR(tblMoeHistory[[#This Row],[LEA State and Local Amount]]/tblMoeHistory[[#This Row],[Child Count]],0)</f>
        <v>0</v>
      </c>
      <c r="K1034">
        <f>IFERROR(tblMoeHistory[[#This Row],[ESD State and Local Amount]]/tblMoeHistory[[#This Row],[Child Count]],0)</f>
        <v>0</v>
      </c>
      <c r="L1034">
        <f>IFERROR(tblMoeHistory[[#This Row],[State and Local Total Amount]]/tblMoeHistory[[#This Row],[Child Count]],0)</f>
        <v>0</v>
      </c>
      <c r="M1034">
        <v>0</v>
      </c>
      <c r="N1034" t="s">
        <v>241</v>
      </c>
      <c r="O1034">
        <v>0</v>
      </c>
      <c r="P1034">
        <v>0</v>
      </c>
      <c r="Q1034">
        <f>tblMoeHistory[[#This Row],[Amount of IDEA Part B, Section 611 award]]+tblMoeHistory[[#This Row],[Amount of IDEA Part B, Section 619 award]]</f>
        <v>0</v>
      </c>
      <c r="U10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4" t="str">
        <f>IF(OR(IFERROR(SEARCH("Met",tblMoeHistory[[#This Row],[State and Local Per Capita Result]]),0)&gt;0,IFERROR(SEARCH("Met",tblMoeHistory[[#This Row],[State and Local Total Result]]),0)&gt;0),"Met","Not Met")</f>
        <v>Met</v>
      </c>
    </row>
    <row r="1035" spans="1:22" x14ac:dyDescent="0.35">
      <c r="A1035" t="s">
        <v>70</v>
      </c>
      <c r="B1035">
        <v>1993</v>
      </c>
      <c r="C1035" t="s">
        <v>41</v>
      </c>
      <c r="D1035">
        <v>22</v>
      </c>
      <c r="E1035">
        <v>149501.6</v>
      </c>
      <c r="F1035">
        <v>32748.28</v>
      </c>
      <c r="G1035">
        <f>tblMoeHistory[[#This Row],[LEA State and Local Amount]]+tblMoeHistory[[#This Row],[ESD State and Local Amount]]</f>
        <v>182249.88</v>
      </c>
      <c r="H1035">
        <v>0</v>
      </c>
      <c r="I1035" t="s">
        <v>241</v>
      </c>
      <c r="J1035">
        <f>IFERROR(tblMoeHistory[[#This Row],[LEA State and Local Amount]]/tblMoeHistory[[#This Row],[Child Count]],0)</f>
        <v>6795.5272727272732</v>
      </c>
      <c r="K1035">
        <f>IFERROR(tblMoeHistory[[#This Row],[ESD State and Local Amount]]/tblMoeHistory[[#This Row],[Child Count]],0)</f>
        <v>1488.5581818181818</v>
      </c>
      <c r="L1035">
        <f>IFERROR(tblMoeHistory[[#This Row],[State and Local Total Amount]]/tblMoeHistory[[#This Row],[Child Count]],0)</f>
        <v>8284.0854545454549</v>
      </c>
      <c r="M1035">
        <v>0</v>
      </c>
      <c r="N1035" t="s">
        <v>242</v>
      </c>
      <c r="O1035">
        <v>38250.65</v>
      </c>
      <c r="P1035">
        <v>0</v>
      </c>
      <c r="Q1035">
        <f>tblMoeHistory[[#This Row],[Amount of IDEA Part B, Section 611 award]]+tblMoeHistory[[#This Row],[Amount of IDEA Part B, Section 619 award]]</f>
        <v>38250.65</v>
      </c>
      <c r="T1035">
        <v>24920.25</v>
      </c>
      <c r="U10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5" t="str">
        <f>IF(OR(IFERROR(SEARCH("Met",tblMoeHistory[[#This Row],[State and Local Per Capita Result]]),0)&gt;0,IFERROR(SEARCH("Met",tblMoeHistory[[#This Row],[State and Local Total Result]]),0)&gt;0),"Met","Not Met")</f>
        <v>Met</v>
      </c>
    </row>
    <row r="1036" spans="1:22" x14ac:dyDescent="0.35">
      <c r="A1036" t="s">
        <v>71</v>
      </c>
      <c r="B1036">
        <v>1991</v>
      </c>
      <c r="C1036" t="s">
        <v>41</v>
      </c>
      <c r="D1036">
        <v>612</v>
      </c>
      <c r="E1036">
        <v>5469744.4800000004</v>
      </c>
      <c r="F1036">
        <v>1476891.2</v>
      </c>
      <c r="G1036">
        <f>tblMoeHistory[[#This Row],[LEA State and Local Amount]]+tblMoeHistory[[#This Row],[ESD State and Local Amount]]</f>
        <v>6946635.6800000006</v>
      </c>
      <c r="H1036">
        <v>0</v>
      </c>
      <c r="I1036" t="s">
        <v>241</v>
      </c>
      <c r="J1036">
        <f>IFERROR(tblMoeHistory[[#This Row],[LEA State and Local Amount]]/tblMoeHistory[[#This Row],[Child Count]],0)</f>
        <v>8937.4909803921582</v>
      </c>
      <c r="K1036">
        <f>IFERROR(tblMoeHistory[[#This Row],[ESD State and Local Amount]]/tblMoeHistory[[#This Row],[Child Count]],0)</f>
        <v>2413.2209150326798</v>
      </c>
      <c r="L1036">
        <f>IFERROR(tblMoeHistory[[#This Row],[State and Local Total Amount]]/tblMoeHistory[[#This Row],[Child Count]],0)</f>
        <v>11350.711895424838</v>
      </c>
      <c r="M1036">
        <v>0</v>
      </c>
      <c r="N1036" t="s">
        <v>241</v>
      </c>
      <c r="O1036">
        <v>970317.1</v>
      </c>
      <c r="P1036">
        <v>9282.27</v>
      </c>
      <c r="Q1036">
        <f>tblMoeHistory[[#This Row],[Amount of IDEA Part B, Section 611 award]]+tblMoeHistory[[#This Row],[Amount of IDEA Part B, Section 619 award]]</f>
        <v>979599.37</v>
      </c>
      <c r="U10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6" t="str">
        <f>IF(OR(IFERROR(SEARCH("Met",tblMoeHistory[[#This Row],[State and Local Per Capita Result]]),0)&gt;0,IFERROR(SEARCH("Met",tblMoeHistory[[#This Row],[State and Local Total Result]]),0)&gt;0),"Met","Not Met")</f>
        <v>Met</v>
      </c>
    </row>
    <row r="1037" spans="1:22" x14ac:dyDescent="0.35">
      <c r="A1037" t="s">
        <v>72</v>
      </c>
      <c r="B1037">
        <v>2019</v>
      </c>
      <c r="C1037" t="s">
        <v>41</v>
      </c>
      <c r="D1037">
        <v>1</v>
      </c>
      <c r="E1037">
        <v>3207.72</v>
      </c>
      <c r="F1037">
        <v>6100</v>
      </c>
      <c r="G1037">
        <f>tblMoeHistory[[#This Row],[LEA State and Local Amount]]+tblMoeHistory[[#This Row],[ESD State and Local Amount]]</f>
        <v>9307.7199999999993</v>
      </c>
      <c r="H1037">
        <v>0</v>
      </c>
      <c r="I1037" t="s">
        <v>241</v>
      </c>
      <c r="J1037">
        <f>IFERROR(tblMoeHistory[[#This Row],[LEA State and Local Amount]]/tblMoeHistory[[#This Row],[Child Count]],0)</f>
        <v>3207.72</v>
      </c>
      <c r="K1037">
        <f>IFERROR(tblMoeHistory[[#This Row],[ESD State and Local Amount]]/tblMoeHistory[[#This Row],[Child Count]],0)</f>
        <v>6100</v>
      </c>
      <c r="L1037">
        <f>IFERROR(tblMoeHistory[[#This Row],[State and Local Total Amount]]/tblMoeHistory[[#This Row],[Child Count]],0)</f>
        <v>9307.7199999999993</v>
      </c>
      <c r="M1037">
        <v>0</v>
      </c>
      <c r="N1037" t="s">
        <v>241</v>
      </c>
      <c r="O1037">
        <v>1657.57</v>
      </c>
      <c r="P1037">
        <v>0</v>
      </c>
      <c r="Q1037">
        <f>tblMoeHistory[[#This Row],[Amount of IDEA Part B, Section 611 award]]+tblMoeHistory[[#This Row],[Amount of IDEA Part B, Section 619 award]]</f>
        <v>1657.57</v>
      </c>
      <c r="S1037">
        <v>33762</v>
      </c>
      <c r="T1037">
        <v>33762</v>
      </c>
      <c r="U10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7" t="str">
        <f>IF(OR(IFERROR(SEARCH("Met",tblMoeHistory[[#This Row],[State and Local Per Capita Result]]),0)&gt;0,IFERROR(SEARCH("Met",tblMoeHistory[[#This Row],[State and Local Total Result]]),0)&gt;0),"Met","Not Met")</f>
        <v>Met</v>
      </c>
    </row>
    <row r="1038" spans="1:22" x14ac:dyDescent="0.35">
      <c r="A1038" t="s">
        <v>73</v>
      </c>
      <c r="B1038">
        <v>2229</v>
      </c>
      <c r="C1038" t="s">
        <v>41</v>
      </c>
      <c r="D1038">
        <v>44</v>
      </c>
      <c r="E1038">
        <v>189126.05</v>
      </c>
      <c r="F1038">
        <v>0</v>
      </c>
      <c r="G1038">
        <f>tblMoeHistory[[#This Row],[LEA State and Local Amount]]+tblMoeHistory[[#This Row],[ESD State and Local Amount]]</f>
        <v>189126.05</v>
      </c>
      <c r="H1038">
        <v>0</v>
      </c>
      <c r="I1038" t="s">
        <v>241</v>
      </c>
      <c r="J1038">
        <f>IFERROR(tblMoeHistory[[#This Row],[LEA State and Local Amount]]/tblMoeHistory[[#This Row],[Child Count]],0)</f>
        <v>4298.3193181818178</v>
      </c>
      <c r="K1038">
        <f>IFERROR(tblMoeHistory[[#This Row],[ESD State and Local Amount]]/tblMoeHistory[[#This Row],[Child Count]],0)</f>
        <v>0</v>
      </c>
      <c r="L1038">
        <f>IFERROR(tblMoeHistory[[#This Row],[State and Local Total Amount]]/tblMoeHistory[[#This Row],[Child Count]],0)</f>
        <v>4298.3193181818178</v>
      </c>
      <c r="M1038">
        <v>45801.63</v>
      </c>
      <c r="N1038" t="s">
        <v>240</v>
      </c>
      <c r="O1038">
        <v>45650.7</v>
      </c>
      <c r="P1038">
        <v>688.52</v>
      </c>
      <c r="Q1038">
        <f>tblMoeHistory[[#This Row],[Amount of IDEA Part B, Section 611 award]]+tblMoeHistory[[#This Row],[Amount of IDEA Part B, Section 619 award]]</f>
        <v>46339.219999999994</v>
      </c>
      <c r="U10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8" t="str">
        <f>IF(OR(IFERROR(SEARCH("Met",tblMoeHistory[[#This Row],[State and Local Per Capita Result]]),0)&gt;0,IFERROR(SEARCH("Met",tblMoeHistory[[#This Row],[State and Local Total Result]]),0)&gt;0),"Met","Not Met")</f>
        <v>Met</v>
      </c>
    </row>
    <row r="1039" spans="1:22" x14ac:dyDescent="0.35">
      <c r="A1039" t="s">
        <v>74</v>
      </c>
      <c r="B1039">
        <v>2043</v>
      </c>
      <c r="C1039" t="s">
        <v>41</v>
      </c>
      <c r="D1039">
        <v>501</v>
      </c>
      <c r="E1039">
        <v>3569577.91</v>
      </c>
      <c r="F1039">
        <v>231110.39</v>
      </c>
      <c r="G1039">
        <f>tblMoeHistory[[#This Row],[LEA State and Local Amount]]+tblMoeHistory[[#This Row],[ESD State and Local Amount]]</f>
        <v>3800688.3000000003</v>
      </c>
      <c r="H1039">
        <v>0</v>
      </c>
      <c r="I1039" t="s">
        <v>242</v>
      </c>
      <c r="J1039">
        <f>IFERROR(tblMoeHistory[[#This Row],[LEA State and Local Amount]]/tblMoeHistory[[#This Row],[Child Count]],0)</f>
        <v>7124.9060079840319</v>
      </c>
      <c r="K1039">
        <f>IFERROR(tblMoeHistory[[#This Row],[ESD State and Local Amount]]/tblMoeHistory[[#This Row],[Child Count]],0)</f>
        <v>461.29818363273455</v>
      </c>
      <c r="L1039">
        <f>IFERROR(tblMoeHistory[[#This Row],[State and Local Total Amount]]/tblMoeHistory[[#This Row],[Child Count]],0)</f>
        <v>7586.2041916167673</v>
      </c>
      <c r="M1039">
        <v>17299.599999999999</v>
      </c>
      <c r="N1039" t="s">
        <v>240</v>
      </c>
      <c r="O1039">
        <v>614751.42000000004</v>
      </c>
      <c r="P1039">
        <v>5841.99</v>
      </c>
      <c r="Q1039">
        <f>tblMoeHistory[[#This Row],[Amount of IDEA Part B, Section 611 award]]+tblMoeHistory[[#This Row],[Amount of IDEA Part B, Section 619 award]]</f>
        <v>620593.41</v>
      </c>
      <c r="S1039">
        <v>118816.73</v>
      </c>
      <c r="U10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9" t="str">
        <f>IF(OR(IFERROR(SEARCH("Met",tblMoeHistory[[#This Row],[State and Local Per Capita Result]]),0)&gt;0,IFERROR(SEARCH("Met",tblMoeHistory[[#This Row],[State and Local Total Result]]),0)&gt;0),"Met","Not Met")</f>
        <v>Met</v>
      </c>
    </row>
    <row r="1040" spans="1:22" x14ac:dyDescent="0.35">
      <c r="A1040" t="s">
        <v>75</v>
      </c>
      <c r="B1040">
        <v>2203</v>
      </c>
      <c r="C1040" t="s">
        <v>41</v>
      </c>
      <c r="D1040">
        <v>45</v>
      </c>
      <c r="E1040">
        <v>138503.66</v>
      </c>
      <c r="F1040">
        <v>75733.38</v>
      </c>
      <c r="G1040">
        <f>tblMoeHistory[[#This Row],[LEA State and Local Amount]]+tblMoeHistory[[#This Row],[ESD State and Local Amount]]</f>
        <v>214237.04</v>
      </c>
      <c r="H1040">
        <v>0</v>
      </c>
      <c r="I1040" t="s">
        <v>241</v>
      </c>
      <c r="J1040">
        <f>IFERROR(tblMoeHistory[[#This Row],[LEA State and Local Amount]]/tblMoeHistory[[#This Row],[Child Count]],0)</f>
        <v>3077.8591111111114</v>
      </c>
      <c r="K1040">
        <f>IFERROR(tblMoeHistory[[#This Row],[ESD State and Local Amount]]/tblMoeHistory[[#This Row],[Child Count]],0)</f>
        <v>1682.9640000000002</v>
      </c>
      <c r="L1040">
        <f>IFERROR(tblMoeHistory[[#This Row],[State and Local Total Amount]]/tblMoeHistory[[#This Row],[Child Count]],0)</f>
        <v>4760.8231111111108</v>
      </c>
      <c r="M1040">
        <v>34566.31</v>
      </c>
      <c r="N1040" t="s">
        <v>240</v>
      </c>
      <c r="O1040">
        <v>37283.120000000003</v>
      </c>
      <c r="P1040">
        <v>91.8</v>
      </c>
      <c r="Q1040">
        <f>tblMoeHistory[[#This Row],[Amount of IDEA Part B, Section 611 award]]+tblMoeHistory[[#This Row],[Amount of IDEA Part B, Section 619 award]]</f>
        <v>37374.920000000006</v>
      </c>
      <c r="U10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0" t="str">
        <f>IF(OR(IFERROR(SEARCH("Met",tblMoeHistory[[#This Row],[State and Local Per Capita Result]]),0)&gt;0,IFERROR(SEARCH("Met",tblMoeHistory[[#This Row],[State and Local Total Result]]),0)&gt;0),"Met","Not Met")</f>
        <v>Met</v>
      </c>
    </row>
    <row r="1041" spans="1:22" x14ac:dyDescent="0.35">
      <c r="A1041" t="s">
        <v>76</v>
      </c>
      <c r="B1041">
        <v>2217</v>
      </c>
      <c r="C1041" t="s">
        <v>41</v>
      </c>
      <c r="D1041">
        <v>52</v>
      </c>
      <c r="E1041">
        <v>339124.04</v>
      </c>
      <c r="F1041">
        <v>131554.1</v>
      </c>
      <c r="G1041">
        <f>tblMoeHistory[[#This Row],[LEA State and Local Amount]]+tblMoeHistory[[#This Row],[ESD State and Local Amount]]</f>
        <v>470678.14</v>
      </c>
      <c r="H1041">
        <v>0</v>
      </c>
      <c r="I1041" t="s">
        <v>241</v>
      </c>
      <c r="J1041">
        <f>IFERROR(tblMoeHistory[[#This Row],[LEA State and Local Amount]]/tblMoeHistory[[#This Row],[Child Count]],0)</f>
        <v>6521.6161538461538</v>
      </c>
      <c r="K1041">
        <f>IFERROR(tblMoeHistory[[#This Row],[ESD State and Local Amount]]/tblMoeHistory[[#This Row],[Child Count]],0)</f>
        <v>2529.8865384615387</v>
      </c>
      <c r="L1041">
        <f>IFERROR(tblMoeHistory[[#This Row],[State and Local Total Amount]]/tblMoeHistory[[#This Row],[Child Count]],0)</f>
        <v>9051.502692307693</v>
      </c>
      <c r="M1041">
        <v>27489</v>
      </c>
      <c r="N1041" t="s">
        <v>240</v>
      </c>
      <c r="O1041">
        <v>67798.3</v>
      </c>
      <c r="P1041">
        <v>131.15</v>
      </c>
      <c r="Q1041">
        <f>tblMoeHistory[[#This Row],[Amount of IDEA Part B, Section 611 award]]+tblMoeHistory[[#This Row],[Amount of IDEA Part B, Section 619 award]]</f>
        <v>67929.45</v>
      </c>
      <c r="U10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1" t="str">
        <f>IF(OR(IFERROR(SEARCH("Met",tblMoeHistory[[#This Row],[State and Local Per Capita Result]]),0)&gt;0,IFERROR(SEARCH("Met",tblMoeHistory[[#This Row],[State and Local Total Result]]),0)&gt;0),"Met","Not Met")</f>
        <v>Met</v>
      </c>
    </row>
    <row r="1042" spans="1:22" x14ac:dyDescent="0.35">
      <c r="A1042" t="s">
        <v>77</v>
      </c>
      <c r="B1042">
        <v>1998</v>
      </c>
      <c r="C1042" t="s">
        <v>41</v>
      </c>
      <c r="D1042">
        <v>49</v>
      </c>
      <c r="E1042">
        <v>170444.64</v>
      </c>
      <c r="F1042">
        <v>55491.46</v>
      </c>
      <c r="G1042">
        <f>tblMoeHistory[[#This Row],[LEA State and Local Amount]]+tblMoeHistory[[#This Row],[ESD State and Local Amount]]</f>
        <v>225936.1</v>
      </c>
      <c r="H1042">
        <v>0</v>
      </c>
      <c r="I1042" t="s">
        <v>241</v>
      </c>
      <c r="J1042">
        <f>IFERROR(tblMoeHistory[[#This Row],[LEA State and Local Amount]]/tblMoeHistory[[#This Row],[Child Count]],0)</f>
        <v>3478.4620408163269</v>
      </c>
      <c r="K1042">
        <f>IFERROR(tblMoeHistory[[#This Row],[ESD State and Local Amount]]/tblMoeHistory[[#This Row],[Child Count]],0)</f>
        <v>1132.4787755102041</v>
      </c>
      <c r="L1042">
        <f>IFERROR(tblMoeHistory[[#This Row],[State and Local Total Amount]]/tblMoeHistory[[#This Row],[Child Count]],0)</f>
        <v>4610.9408163265307</v>
      </c>
      <c r="M1042">
        <v>0</v>
      </c>
      <c r="N1042" t="s">
        <v>242</v>
      </c>
      <c r="O1042">
        <v>55754.64</v>
      </c>
      <c r="P1042">
        <v>344.26</v>
      </c>
      <c r="Q1042">
        <f>tblMoeHistory[[#This Row],[Amount of IDEA Part B, Section 611 award]]+tblMoeHistory[[#This Row],[Amount of IDEA Part B, Section 619 award]]</f>
        <v>56098.9</v>
      </c>
      <c r="T1042">
        <v>10524.64</v>
      </c>
      <c r="U10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2" t="str">
        <f>IF(OR(IFERROR(SEARCH("Met",tblMoeHistory[[#This Row],[State and Local Per Capita Result]]),0)&gt;0,IFERROR(SEARCH("Met",tblMoeHistory[[#This Row],[State and Local Total Result]]),0)&gt;0),"Met","Not Met")</f>
        <v>Met</v>
      </c>
    </row>
    <row r="1043" spans="1:22" x14ac:dyDescent="0.35">
      <c r="A1043" t="s">
        <v>78</v>
      </c>
      <c r="B1043">
        <v>2221</v>
      </c>
      <c r="C1043" t="s">
        <v>41</v>
      </c>
      <c r="D1043">
        <v>57</v>
      </c>
      <c r="E1043">
        <v>21106.97</v>
      </c>
      <c r="F1043">
        <v>297891.24</v>
      </c>
      <c r="G1043">
        <f>tblMoeHistory[[#This Row],[LEA State and Local Amount]]+tblMoeHistory[[#This Row],[ESD State and Local Amount]]</f>
        <v>318998.20999999996</v>
      </c>
      <c r="H1043">
        <v>0</v>
      </c>
      <c r="I1043" t="s">
        <v>241</v>
      </c>
      <c r="J1043">
        <f>IFERROR(tblMoeHistory[[#This Row],[LEA State and Local Amount]]/tblMoeHistory[[#This Row],[Child Count]],0)</f>
        <v>370.29771929824562</v>
      </c>
      <c r="K1043">
        <f>IFERROR(tblMoeHistory[[#This Row],[ESD State and Local Amount]]/tblMoeHistory[[#This Row],[Child Count]],0)</f>
        <v>5226.1621052631581</v>
      </c>
      <c r="L1043">
        <f>IFERROR(tblMoeHistory[[#This Row],[State and Local Total Amount]]/tblMoeHistory[[#This Row],[Child Count]],0)</f>
        <v>5596.4598245614025</v>
      </c>
      <c r="M1043">
        <v>0</v>
      </c>
      <c r="N1043" t="s">
        <v>241</v>
      </c>
      <c r="O1043">
        <v>96952.73</v>
      </c>
      <c r="P1043">
        <v>1530.04</v>
      </c>
      <c r="Q1043">
        <f>tblMoeHistory[[#This Row],[Amount of IDEA Part B, Section 611 award]]+tblMoeHistory[[#This Row],[Amount of IDEA Part B, Section 619 award]]</f>
        <v>98482.76999999999</v>
      </c>
      <c r="U10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3" t="str">
        <f>IF(OR(IFERROR(SEARCH("Met",tblMoeHistory[[#This Row],[State and Local Per Capita Result]]),0)&gt;0,IFERROR(SEARCH("Met",tblMoeHistory[[#This Row],[State and Local Total Result]]),0)&gt;0),"Met","Not Met")</f>
        <v>Met</v>
      </c>
    </row>
    <row r="1044" spans="1:22" x14ac:dyDescent="0.35">
      <c r="A1044" t="s">
        <v>79</v>
      </c>
      <c r="B1044">
        <v>1930</v>
      </c>
      <c r="C1044" t="s">
        <v>41</v>
      </c>
      <c r="D1044">
        <v>296</v>
      </c>
      <c r="E1044">
        <v>2261450.62</v>
      </c>
      <c r="F1044">
        <v>443228</v>
      </c>
      <c r="G1044">
        <f>tblMoeHistory[[#This Row],[LEA State and Local Amount]]+tblMoeHistory[[#This Row],[ESD State and Local Amount]]</f>
        <v>2704678.62</v>
      </c>
      <c r="H1044">
        <v>0</v>
      </c>
      <c r="I1044" t="s">
        <v>242</v>
      </c>
      <c r="J1044">
        <f>IFERROR(tblMoeHistory[[#This Row],[LEA State and Local Amount]]/tblMoeHistory[[#This Row],[Child Count]],0)</f>
        <v>7640.0358783783786</v>
      </c>
      <c r="K1044">
        <f>IFERROR(tblMoeHistory[[#This Row],[ESD State and Local Amount]]/tblMoeHistory[[#This Row],[Child Count]],0)</f>
        <v>1497.3918918918919</v>
      </c>
      <c r="L1044">
        <f>IFERROR(tblMoeHistory[[#This Row],[State and Local Total Amount]]/tblMoeHistory[[#This Row],[Child Count]],0)</f>
        <v>9137.4277702702711</v>
      </c>
      <c r="M1044">
        <v>0</v>
      </c>
      <c r="N1044" t="s">
        <v>242</v>
      </c>
      <c r="O1044">
        <v>415573.1</v>
      </c>
      <c r="P1044">
        <v>3029.49</v>
      </c>
      <c r="Q1044">
        <f>tblMoeHistory[[#This Row],[Amount of IDEA Part B, Section 611 award]]+tblMoeHistory[[#This Row],[Amount of IDEA Part B, Section 619 award]]</f>
        <v>418602.58999999997</v>
      </c>
      <c r="S1044">
        <v>97340.35</v>
      </c>
      <c r="T1044">
        <v>739750.55</v>
      </c>
      <c r="U10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4" t="str">
        <f>IF(OR(IFERROR(SEARCH("Met",tblMoeHistory[[#This Row],[State and Local Per Capita Result]]),0)&gt;0,IFERROR(SEARCH("Met",tblMoeHistory[[#This Row],[State and Local Total Result]]),0)&gt;0),"Met","Not Met")</f>
        <v>Met</v>
      </c>
    </row>
    <row r="1045" spans="1:22" x14ac:dyDescent="0.35">
      <c r="A1045" t="s">
        <v>80</v>
      </c>
      <c r="B1045">
        <v>2082</v>
      </c>
      <c r="C1045" t="s">
        <v>41</v>
      </c>
      <c r="D1045">
        <v>2192</v>
      </c>
      <c r="E1045">
        <v>21551726.420000002</v>
      </c>
      <c r="F1045">
        <v>2539935</v>
      </c>
      <c r="G1045">
        <f>tblMoeHistory[[#This Row],[LEA State and Local Amount]]+tblMoeHistory[[#This Row],[ESD State and Local Amount]]</f>
        <v>24091661.420000002</v>
      </c>
      <c r="H1045">
        <v>0</v>
      </c>
      <c r="I1045" t="s">
        <v>241</v>
      </c>
      <c r="J1045">
        <f>IFERROR(tblMoeHistory[[#This Row],[LEA State and Local Amount]]/tblMoeHistory[[#This Row],[Child Count]],0)</f>
        <v>9831.9919799270083</v>
      </c>
      <c r="K1045">
        <f>IFERROR(tblMoeHistory[[#This Row],[ESD State and Local Amount]]/tblMoeHistory[[#This Row],[Child Count]],0)</f>
        <v>1158.7294708029196</v>
      </c>
      <c r="L1045">
        <f>IFERROR(tblMoeHistory[[#This Row],[State and Local Total Amount]]/tblMoeHistory[[#This Row],[Child Count]],0)</f>
        <v>10990.721450729929</v>
      </c>
      <c r="M1045">
        <v>0</v>
      </c>
      <c r="N1045" t="s">
        <v>241</v>
      </c>
      <c r="O1045">
        <v>3003766</v>
      </c>
      <c r="P1045">
        <v>26991.87</v>
      </c>
      <c r="Q1045">
        <f>tblMoeHistory[[#This Row],[Amount of IDEA Part B, Section 611 award]]+tblMoeHistory[[#This Row],[Amount of IDEA Part B, Section 619 award]]</f>
        <v>3030757.87</v>
      </c>
      <c r="U10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5" t="str">
        <f>IF(OR(IFERROR(SEARCH("Met",tblMoeHistory[[#This Row],[State and Local Per Capita Result]]),0)&gt;0,IFERROR(SEARCH("Met",tblMoeHistory[[#This Row],[State and Local Total Result]]),0)&gt;0),"Met","Not Met")</f>
        <v>Met</v>
      </c>
    </row>
    <row r="1046" spans="1:22" x14ac:dyDescent="0.35">
      <c r="A1046" t="s">
        <v>81</v>
      </c>
      <c r="B1046">
        <v>2193</v>
      </c>
      <c r="C1046" t="s">
        <v>41</v>
      </c>
      <c r="D1046">
        <v>44</v>
      </c>
      <c r="E1046">
        <v>358654.2</v>
      </c>
      <c r="F1046">
        <v>37778.35</v>
      </c>
      <c r="G1046">
        <f>tblMoeHistory[[#This Row],[LEA State and Local Amount]]+tblMoeHistory[[#This Row],[ESD State and Local Amount]]</f>
        <v>396432.55</v>
      </c>
      <c r="H1046">
        <v>0</v>
      </c>
      <c r="I1046" t="s">
        <v>241</v>
      </c>
      <c r="J1046">
        <f>IFERROR(tblMoeHistory[[#This Row],[LEA State and Local Amount]]/tblMoeHistory[[#This Row],[Child Count]],0)</f>
        <v>8151.2318181818182</v>
      </c>
      <c r="K1046">
        <f>IFERROR(tblMoeHistory[[#This Row],[ESD State and Local Amount]]/tblMoeHistory[[#This Row],[Child Count]],0)</f>
        <v>858.5988636363636</v>
      </c>
      <c r="L1046">
        <f>IFERROR(tblMoeHistory[[#This Row],[State and Local Total Amount]]/tblMoeHistory[[#This Row],[Child Count]],0)</f>
        <v>9009.8306818181809</v>
      </c>
      <c r="M1046">
        <v>71761.279999999999</v>
      </c>
      <c r="N1046" t="s">
        <v>240</v>
      </c>
      <c r="O1046">
        <v>36594.75</v>
      </c>
      <c r="P1046">
        <v>612.02</v>
      </c>
      <c r="Q1046">
        <f>tblMoeHistory[[#This Row],[Amount of IDEA Part B, Section 611 award]]+tblMoeHistory[[#This Row],[Amount of IDEA Part B, Section 619 award]]</f>
        <v>37206.769999999997</v>
      </c>
      <c r="U10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6" t="str">
        <f>IF(OR(IFERROR(SEARCH("Met",tblMoeHistory[[#This Row],[State and Local Per Capita Result]]),0)&gt;0,IFERROR(SEARCH("Met",tblMoeHistory[[#This Row],[State and Local Total Result]]),0)&gt;0),"Met","Not Met")</f>
        <v>Met</v>
      </c>
    </row>
    <row r="1047" spans="1:22" x14ac:dyDescent="0.35">
      <c r="A1047" t="s">
        <v>82</v>
      </c>
      <c r="B1047">
        <v>2084</v>
      </c>
      <c r="C1047" t="s">
        <v>41</v>
      </c>
      <c r="D1047">
        <v>262</v>
      </c>
      <c r="E1047">
        <v>2382945.7000000002</v>
      </c>
      <c r="F1047">
        <v>468336</v>
      </c>
      <c r="G1047">
        <f>tblMoeHistory[[#This Row],[LEA State and Local Amount]]+tblMoeHistory[[#This Row],[ESD State and Local Amount]]</f>
        <v>2851281.7</v>
      </c>
      <c r="H1047">
        <v>0</v>
      </c>
      <c r="I1047" t="s">
        <v>242</v>
      </c>
      <c r="J1047">
        <f>IFERROR(tblMoeHistory[[#This Row],[LEA State and Local Amount]]/tblMoeHistory[[#This Row],[Child Count]],0)</f>
        <v>9095.2125954198473</v>
      </c>
      <c r="K1047">
        <f>IFERROR(tblMoeHistory[[#This Row],[ESD State and Local Amount]]/tblMoeHistory[[#This Row],[Child Count]],0)</f>
        <v>1787.5419847328244</v>
      </c>
      <c r="L1047">
        <f>IFERROR(tblMoeHistory[[#This Row],[State and Local Total Amount]]/tblMoeHistory[[#This Row],[Child Count]],0)</f>
        <v>10882.754580152672</v>
      </c>
      <c r="M1047">
        <v>182515.69</v>
      </c>
      <c r="N1047" t="s">
        <v>240</v>
      </c>
      <c r="O1047">
        <v>307720.93</v>
      </c>
      <c r="P1047">
        <v>1588.89</v>
      </c>
      <c r="Q1047">
        <f>tblMoeHistory[[#This Row],[Amount of IDEA Part B, Section 611 award]]+tblMoeHistory[[#This Row],[Amount of IDEA Part B, Section 619 award]]</f>
        <v>309309.82</v>
      </c>
      <c r="S1047">
        <v>39299</v>
      </c>
      <c r="U10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7" t="str">
        <f>IF(OR(IFERROR(SEARCH("Met",tblMoeHistory[[#This Row],[State and Local Per Capita Result]]),0)&gt;0,IFERROR(SEARCH("Met",tblMoeHistory[[#This Row],[State and Local Total Result]]),0)&gt;0),"Met","Not Met")</f>
        <v>Met</v>
      </c>
    </row>
    <row r="1048" spans="1:22" x14ac:dyDescent="0.35">
      <c r="A1048" t="s">
        <v>83</v>
      </c>
      <c r="B1048">
        <v>2241</v>
      </c>
      <c r="C1048" t="s">
        <v>41</v>
      </c>
      <c r="D1048">
        <v>897</v>
      </c>
      <c r="E1048">
        <v>11351074.82</v>
      </c>
      <c r="F1048">
        <v>265136</v>
      </c>
      <c r="G1048">
        <f>tblMoeHistory[[#This Row],[LEA State and Local Amount]]+tblMoeHistory[[#This Row],[ESD State and Local Amount]]</f>
        <v>11616210.82</v>
      </c>
      <c r="H1048">
        <v>0</v>
      </c>
      <c r="I1048" t="s">
        <v>242</v>
      </c>
      <c r="J1048">
        <f>IFERROR(tblMoeHistory[[#This Row],[LEA State and Local Amount]]/tblMoeHistory[[#This Row],[Child Count]],0)</f>
        <v>12654.486978818284</v>
      </c>
      <c r="K1048">
        <f>IFERROR(tblMoeHistory[[#This Row],[ESD State and Local Amount]]/tblMoeHistory[[#This Row],[Child Count]],0)</f>
        <v>295.58082497212934</v>
      </c>
      <c r="L1048">
        <f>IFERROR(tblMoeHistory[[#This Row],[State and Local Total Amount]]/tblMoeHistory[[#This Row],[Child Count]],0)</f>
        <v>12950.067803790413</v>
      </c>
      <c r="M1048">
        <v>0</v>
      </c>
      <c r="N1048" t="s">
        <v>241</v>
      </c>
      <c r="O1048">
        <v>909207.43</v>
      </c>
      <c r="P1048">
        <v>5427.83</v>
      </c>
      <c r="Q1048">
        <f>tblMoeHistory[[#This Row],[Amount of IDEA Part B, Section 611 award]]+tblMoeHistory[[#This Row],[Amount of IDEA Part B, Section 619 award]]</f>
        <v>914635.26</v>
      </c>
      <c r="S1048">
        <v>119910</v>
      </c>
      <c r="T1048">
        <v>119910</v>
      </c>
      <c r="U10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8" t="str">
        <f>IF(OR(IFERROR(SEARCH("Met",tblMoeHistory[[#This Row],[State and Local Per Capita Result]]),0)&gt;0,IFERROR(SEARCH("Met",tblMoeHistory[[#This Row],[State and Local Total Result]]),0)&gt;0),"Met","Not Met")</f>
        <v>Met</v>
      </c>
    </row>
    <row r="1049" spans="1:22" x14ac:dyDescent="0.35">
      <c r="A1049" t="s">
        <v>84</v>
      </c>
      <c r="B1049">
        <v>2248</v>
      </c>
      <c r="C1049" t="s">
        <v>41</v>
      </c>
      <c r="D1049">
        <v>26</v>
      </c>
      <c r="E1049">
        <v>116109.83</v>
      </c>
      <c r="F1049">
        <v>67392</v>
      </c>
      <c r="G1049">
        <f>tblMoeHistory[[#This Row],[LEA State and Local Amount]]+tblMoeHistory[[#This Row],[ESD State and Local Amount]]</f>
        <v>183501.83000000002</v>
      </c>
      <c r="H1049">
        <v>0</v>
      </c>
      <c r="I1049" t="s">
        <v>242</v>
      </c>
      <c r="J1049">
        <f>IFERROR(tblMoeHistory[[#This Row],[LEA State and Local Amount]]/tblMoeHistory[[#This Row],[Child Count]],0)</f>
        <v>4465.7626923076923</v>
      </c>
      <c r="K1049">
        <f>IFERROR(tblMoeHistory[[#This Row],[ESD State and Local Amount]]/tblMoeHistory[[#This Row],[Child Count]],0)</f>
        <v>2592</v>
      </c>
      <c r="L1049">
        <f>IFERROR(tblMoeHistory[[#This Row],[State and Local Total Amount]]/tblMoeHistory[[#This Row],[Child Count]],0)</f>
        <v>7057.7626923076932</v>
      </c>
      <c r="M1049">
        <v>0</v>
      </c>
      <c r="N1049" t="s">
        <v>242</v>
      </c>
      <c r="O1049">
        <v>32668.31</v>
      </c>
      <c r="P1049">
        <v>0</v>
      </c>
      <c r="Q1049">
        <f>tblMoeHistory[[#This Row],[Amount of IDEA Part B, Section 611 award]]+tblMoeHistory[[#This Row],[Amount of IDEA Part B, Section 619 award]]</f>
        <v>32668.31</v>
      </c>
      <c r="S1049">
        <v>57818.55</v>
      </c>
      <c r="T1049">
        <v>57818.55</v>
      </c>
      <c r="U10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9" t="str">
        <f>IF(OR(IFERROR(SEARCH("Met",tblMoeHistory[[#This Row],[State and Local Per Capita Result]]),0)&gt;0,IFERROR(SEARCH("Met",tblMoeHistory[[#This Row],[State and Local Total Result]]),0)&gt;0),"Met","Not Met")</f>
        <v>Met</v>
      </c>
    </row>
    <row r="1050" spans="1:22" x14ac:dyDescent="0.35">
      <c r="A1050" t="s">
        <v>85</v>
      </c>
      <c r="B1050">
        <v>2020</v>
      </c>
      <c r="C1050" t="s">
        <v>41</v>
      </c>
      <c r="D1050">
        <v>8</v>
      </c>
      <c r="E1050">
        <v>24878.95</v>
      </c>
      <c r="F1050">
        <v>9425</v>
      </c>
      <c r="G1050">
        <f>tblMoeHistory[[#This Row],[LEA State and Local Amount]]+tblMoeHistory[[#This Row],[ESD State and Local Amount]]</f>
        <v>34303.949999999997</v>
      </c>
      <c r="H1050">
        <v>0</v>
      </c>
      <c r="I1050" t="s">
        <v>241</v>
      </c>
      <c r="J1050">
        <f>IFERROR(tblMoeHistory[[#This Row],[LEA State and Local Amount]]/tblMoeHistory[[#This Row],[Child Count]],0)</f>
        <v>3109.8687500000001</v>
      </c>
      <c r="K1050">
        <f>IFERROR(tblMoeHistory[[#This Row],[ESD State and Local Amount]]/tblMoeHistory[[#This Row],[Child Count]],0)</f>
        <v>1178.125</v>
      </c>
      <c r="L1050">
        <f>IFERROR(tblMoeHistory[[#This Row],[State and Local Total Amount]]/tblMoeHistory[[#This Row],[Child Count]],0)</f>
        <v>4287.9937499999996</v>
      </c>
      <c r="M1050">
        <v>63119.57</v>
      </c>
      <c r="N1050" t="s">
        <v>240</v>
      </c>
      <c r="O1050">
        <v>0</v>
      </c>
      <c r="P1050">
        <v>0</v>
      </c>
      <c r="Q1050">
        <f>tblMoeHistory[[#This Row],[Amount of IDEA Part B, Section 611 award]]+tblMoeHistory[[#This Row],[Amount of IDEA Part B, Section 619 award]]</f>
        <v>0</v>
      </c>
      <c r="U10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0" t="str">
        <f>IF(OR(IFERROR(SEARCH("Met",tblMoeHistory[[#This Row],[State and Local Per Capita Result]]),0)&gt;0,IFERROR(SEARCH("Met",tblMoeHistory[[#This Row],[State and Local Total Result]]),0)&gt;0),"Met","Not Met")</f>
        <v>Met</v>
      </c>
    </row>
    <row r="1051" spans="1:22" x14ac:dyDescent="0.35">
      <c r="A1051" t="s">
        <v>86</v>
      </c>
      <c r="B1051">
        <v>2245</v>
      </c>
      <c r="C1051" t="s">
        <v>41</v>
      </c>
      <c r="D1051">
        <v>87</v>
      </c>
      <c r="E1051">
        <v>813661.19</v>
      </c>
      <c r="F1051">
        <v>80844</v>
      </c>
      <c r="G1051">
        <f>tblMoeHistory[[#This Row],[LEA State and Local Amount]]+tblMoeHistory[[#This Row],[ESD State and Local Amount]]</f>
        <v>894505.19</v>
      </c>
      <c r="H1051">
        <v>0</v>
      </c>
      <c r="I1051" t="s">
        <v>242</v>
      </c>
      <c r="J1051">
        <f>IFERROR(tblMoeHistory[[#This Row],[LEA State and Local Amount]]/tblMoeHistory[[#This Row],[Child Count]],0)</f>
        <v>9352.4274712643673</v>
      </c>
      <c r="K1051">
        <f>IFERROR(tblMoeHistory[[#This Row],[ESD State and Local Amount]]/tblMoeHistory[[#This Row],[Child Count]],0)</f>
        <v>929.24137931034488</v>
      </c>
      <c r="L1051">
        <f>IFERROR(tblMoeHistory[[#This Row],[State and Local Total Amount]]/tblMoeHistory[[#This Row],[Child Count]],0)</f>
        <v>10281.668850574712</v>
      </c>
      <c r="M1051">
        <v>0</v>
      </c>
      <c r="N1051" t="s">
        <v>241</v>
      </c>
      <c r="O1051">
        <v>97338.54</v>
      </c>
      <c r="P1051">
        <v>765.02</v>
      </c>
      <c r="Q1051">
        <f>tblMoeHistory[[#This Row],[Amount of IDEA Part B, Section 611 award]]+tblMoeHistory[[#This Row],[Amount of IDEA Part B, Section 619 award]]</f>
        <v>98103.56</v>
      </c>
      <c r="S1051">
        <v>60638.03</v>
      </c>
      <c r="T1051">
        <v>60638.03</v>
      </c>
      <c r="U10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1" t="str">
        <f>IF(OR(IFERROR(SEARCH("Met",tblMoeHistory[[#This Row],[State and Local Per Capita Result]]),0)&gt;0,IFERROR(SEARCH("Met",tblMoeHistory[[#This Row],[State and Local Total Result]]),0)&gt;0),"Met","Not Met")</f>
        <v>Met</v>
      </c>
    </row>
    <row r="1052" spans="1:22" x14ac:dyDescent="0.35">
      <c r="A1052" t="s">
        <v>87</v>
      </c>
      <c r="B1052">
        <v>2137</v>
      </c>
      <c r="C1052" t="s">
        <v>41</v>
      </c>
      <c r="D1052">
        <v>147</v>
      </c>
      <c r="E1052">
        <v>1317721.79</v>
      </c>
      <c r="F1052">
        <v>120014</v>
      </c>
      <c r="G1052">
        <f>tblMoeHistory[[#This Row],[LEA State and Local Amount]]+tblMoeHistory[[#This Row],[ESD State and Local Amount]]</f>
        <v>1437735.79</v>
      </c>
      <c r="H1052">
        <v>0</v>
      </c>
      <c r="I1052" t="s">
        <v>241</v>
      </c>
      <c r="J1052">
        <f>IFERROR(tblMoeHistory[[#This Row],[LEA State and Local Amount]]/tblMoeHistory[[#This Row],[Child Count]],0)</f>
        <v>8964.0938095238089</v>
      </c>
      <c r="K1052">
        <f>IFERROR(tblMoeHistory[[#This Row],[ESD State and Local Amount]]/tblMoeHistory[[#This Row],[Child Count]],0)</f>
        <v>816.42176870748301</v>
      </c>
      <c r="L1052">
        <f>IFERROR(tblMoeHistory[[#This Row],[State and Local Total Amount]]/tblMoeHistory[[#This Row],[Child Count]],0)</f>
        <v>9780.5155782312922</v>
      </c>
      <c r="M1052">
        <v>54415.65</v>
      </c>
      <c r="N1052" t="s">
        <v>240</v>
      </c>
      <c r="O1052">
        <v>159751.18</v>
      </c>
      <c r="P1052">
        <v>856.83</v>
      </c>
      <c r="Q1052">
        <f>tblMoeHistory[[#This Row],[Amount of IDEA Part B, Section 611 award]]+tblMoeHistory[[#This Row],[Amount of IDEA Part B, Section 619 award]]</f>
        <v>160608.00999999998</v>
      </c>
      <c r="U10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2" t="str">
        <f>IF(OR(IFERROR(SEARCH("Met",tblMoeHistory[[#This Row],[State and Local Per Capita Result]]),0)&gt;0,IFERROR(SEARCH("Met",tblMoeHistory[[#This Row],[State and Local Total Result]]),0)&gt;0),"Met","Not Met")</f>
        <v>Met</v>
      </c>
    </row>
    <row r="1053" spans="1:22" x14ac:dyDescent="0.35">
      <c r="A1053" t="s">
        <v>88</v>
      </c>
      <c r="B1053">
        <v>1931</v>
      </c>
      <c r="C1053" t="s">
        <v>41</v>
      </c>
      <c r="D1053">
        <v>308</v>
      </c>
      <c r="E1053">
        <v>2746134</v>
      </c>
      <c r="F1053">
        <v>252164</v>
      </c>
      <c r="G1053">
        <f>tblMoeHistory[[#This Row],[LEA State and Local Amount]]+tblMoeHistory[[#This Row],[ESD State and Local Amount]]</f>
        <v>2998298</v>
      </c>
      <c r="H1053">
        <v>0</v>
      </c>
      <c r="I1053" t="s">
        <v>241</v>
      </c>
      <c r="J1053">
        <f>IFERROR(tblMoeHistory[[#This Row],[LEA State and Local Amount]]/tblMoeHistory[[#This Row],[Child Count]],0)</f>
        <v>8916.0194805194806</v>
      </c>
      <c r="K1053">
        <f>IFERROR(tblMoeHistory[[#This Row],[ESD State and Local Amount]]/tblMoeHistory[[#This Row],[Child Count]],0)</f>
        <v>818.71428571428567</v>
      </c>
      <c r="L1053">
        <f>IFERROR(tblMoeHistory[[#This Row],[State and Local Total Amount]]/tblMoeHistory[[#This Row],[Child Count]],0)</f>
        <v>9734.7337662337668</v>
      </c>
      <c r="M1053">
        <v>0</v>
      </c>
      <c r="N1053" t="s">
        <v>242</v>
      </c>
      <c r="O1053">
        <v>359743.78</v>
      </c>
      <c r="P1053">
        <v>1139.6199999999999</v>
      </c>
      <c r="Q1053">
        <f>tblMoeHistory[[#This Row],[Amount of IDEA Part B, Section 611 award]]+tblMoeHistory[[#This Row],[Amount of IDEA Part B, Section 619 award]]</f>
        <v>360883.4</v>
      </c>
      <c r="T1053">
        <v>37917</v>
      </c>
      <c r="U10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3" t="str">
        <f>IF(OR(IFERROR(SEARCH("Met",tblMoeHistory[[#This Row],[State and Local Per Capita Result]]),0)&gt;0,IFERROR(SEARCH("Met",tblMoeHistory[[#This Row],[State and Local Total Result]]),0)&gt;0),"Met","Not Met")</f>
        <v>Met</v>
      </c>
    </row>
    <row r="1054" spans="1:22" x14ac:dyDescent="0.35">
      <c r="A1054" t="s">
        <v>89</v>
      </c>
      <c r="B1054">
        <v>2000</v>
      </c>
      <c r="C1054" t="s">
        <v>41</v>
      </c>
      <c r="D1054">
        <v>56</v>
      </c>
      <c r="E1054">
        <v>334803.03999999998</v>
      </c>
      <c r="F1054">
        <v>82697.88</v>
      </c>
      <c r="G1054">
        <f>tblMoeHistory[[#This Row],[LEA State and Local Amount]]+tblMoeHistory[[#This Row],[ESD State and Local Amount]]</f>
        <v>417500.92</v>
      </c>
      <c r="H1054">
        <v>0</v>
      </c>
      <c r="I1054" t="s">
        <v>242</v>
      </c>
      <c r="J1054">
        <f>IFERROR(tblMoeHistory[[#This Row],[LEA State and Local Amount]]/tblMoeHistory[[#This Row],[Child Count]],0)</f>
        <v>5978.6257142857139</v>
      </c>
      <c r="K1054">
        <f>IFERROR(tblMoeHistory[[#This Row],[ESD State and Local Amount]]/tblMoeHistory[[#This Row],[Child Count]],0)</f>
        <v>1476.7478571428571</v>
      </c>
      <c r="L1054">
        <f>IFERROR(tblMoeHistory[[#This Row],[State and Local Total Amount]]/tblMoeHistory[[#This Row],[Child Count]],0)</f>
        <v>7455.3735714285713</v>
      </c>
      <c r="M1054">
        <v>0</v>
      </c>
      <c r="N1054" t="s">
        <v>242</v>
      </c>
      <c r="O1054">
        <v>59699.21</v>
      </c>
      <c r="P1054">
        <v>65.569999999999993</v>
      </c>
      <c r="Q1054">
        <f>tblMoeHistory[[#This Row],[Amount of IDEA Part B, Section 611 award]]+tblMoeHistory[[#This Row],[Amount of IDEA Part B, Section 619 award]]</f>
        <v>59764.78</v>
      </c>
      <c r="S1054">
        <v>114798.65</v>
      </c>
      <c r="T1054">
        <v>229597.3</v>
      </c>
      <c r="U10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4" t="str">
        <f>IF(OR(IFERROR(SEARCH("Met",tblMoeHistory[[#This Row],[State and Local Per Capita Result]]),0)&gt;0,IFERROR(SEARCH("Met",tblMoeHistory[[#This Row],[State and Local Total Result]]),0)&gt;0),"Met","Not Met")</f>
        <v>Met</v>
      </c>
    </row>
    <row r="1055" spans="1:22" x14ac:dyDescent="0.35">
      <c r="A1055" t="s">
        <v>90</v>
      </c>
      <c r="B1055">
        <v>1992</v>
      </c>
      <c r="C1055" t="s">
        <v>41</v>
      </c>
      <c r="D1055">
        <v>86</v>
      </c>
      <c r="E1055">
        <v>503281.36</v>
      </c>
      <c r="F1055">
        <v>146523.51</v>
      </c>
      <c r="G1055">
        <f>tblMoeHistory[[#This Row],[LEA State and Local Amount]]+tblMoeHistory[[#This Row],[ESD State and Local Amount]]</f>
        <v>649804.87</v>
      </c>
      <c r="H1055">
        <v>0</v>
      </c>
      <c r="I1055" t="s">
        <v>241</v>
      </c>
      <c r="J1055">
        <f>IFERROR(tblMoeHistory[[#This Row],[LEA State and Local Amount]]/tblMoeHistory[[#This Row],[Child Count]],0)</f>
        <v>5852.1088372093018</v>
      </c>
      <c r="K1055">
        <f>IFERROR(tblMoeHistory[[#This Row],[ESD State and Local Amount]]/tblMoeHistory[[#This Row],[Child Count]],0)</f>
        <v>1703.7617441860466</v>
      </c>
      <c r="L1055">
        <f>IFERROR(tblMoeHistory[[#This Row],[State and Local Total Amount]]/tblMoeHistory[[#This Row],[Child Count]],0)</f>
        <v>7555.8705813953484</v>
      </c>
      <c r="M1055">
        <v>50709.11</v>
      </c>
      <c r="N1055" t="s">
        <v>240</v>
      </c>
      <c r="O1055">
        <v>147077.43</v>
      </c>
      <c r="P1055">
        <v>1468.84</v>
      </c>
      <c r="Q1055">
        <f>tblMoeHistory[[#This Row],[Amount of IDEA Part B, Section 611 award]]+tblMoeHistory[[#This Row],[Amount of IDEA Part B, Section 619 award]]</f>
        <v>148546.26999999999</v>
      </c>
      <c r="U10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5" t="str">
        <f>IF(OR(IFERROR(SEARCH("Met",tblMoeHistory[[#This Row],[State and Local Per Capita Result]]),0)&gt;0,IFERROR(SEARCH("Met",tblMoeHistory[[#This Row],[State and Local Total Result]]),0)&gt;0),"Met","Not Met")</f>
        <v>Met</v>
      </c>
    </row>
    <row r="1056" spans="1:22" x14ac:dyDescent="0.35">
      <c r="A1056" t="s">
        <v>91</v>
      </c>
      <c r="B1056">
        <v>2054</v>
      </c>
      <c r="C1056" t="s">
        <v>41</v>
      </c>
      <c r="D1056">
        <v>697</v>
      </c>
      <c r="E1056">
        <v>5613602.4000000004</v>
      </c>
      <c r="F1056">
        <v>0</v>
      </c>
      <c r="G1056">
        <f>tblMoeHistory[[#This Row],[LEA State and Local Amount]]+tblMoeHistory[[#This Row],[ESD State and Local Amount]]</f>
        <v>5613602.4000000004</v>
      </c>
      <c r="H1056">
        <v>0</v>
      </c>
      <c r="I1056" t="s">
        <v>241</v>
      </c>
      <c r="J1056">
        <f>IFERROR(tblMoeHistory[[#This Row],[LEA State and Local Amount]]/tblMoeHistory[[#This Row],[Child Count]],0)</f>
        <v>8053.9489239598288</v>
      </c>
      <c r="K1056">
        <f>IFERROR(tblMoeHistory[[#This Row],[ESD State and Local Amount]]/tblMoeHistory[[#This Row],[Child Count]],0)</f>
        <v>0</v>
      </c>
      <c r="L1056">
        <f>IFERROR(tblMoeHistory[[#This Row],[State and Local Total Amount]]/tblMoeHistory[[#This Row],[Child Count]],0)</f>
        <v>8053.9489239598288</v>
      </c>
      <c r="M1056">
        <v>0</v>
      </c>
      <c r="N1056" t="s">
        <v>241</v>
      </c>
      <c r="O1056">
        <v>836865.11</v>
      </c>
      <c r="P1056">
        <v>9280.06</v>
      </c>
      <c r="Q1056">
        <f>tblMoeHistory[[#This Row],[Amount of IDEA Part B, Section 611 award]]+tblMoeHistory[[#This Row],[Amount of IDEA Part B, Section 619 award]]</f>
        <v>846145.17</v>
      </c>
      <c r="U10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6" t="str">
        <f>IF(OR(IFERROR(SEARCH("Met",tblMoeHistory[[#This Row],[State and Local Per Capita Result]]),0)&gt;0,IFERROR(SEARCH("Met",tblMoeHistory[[#This Row],[State and Local Total Result]]),0)&gt;0),"Met","Not Met")</f>
        <v>Met</v>
      </c>
    </row>
    <row r="1057" spans="1:22" x14ac:dyDescent="0.35">
      <c r="A1057" t="s">
        <v>92</v>
      </c>
      <c r="B1057">
        <v>2100</v>
      </c>
      <c r="C1057" t="s">
        <v>41</v>
      </c>
      <c r="D1057">
        <v>1298</v>
      </c>
      <c r="E1057">
        <v>11130203.470000001</v>
      </c>
      <c r="F1057">
        <v>988866</v>
      </c>
      <c r="G1057">
        <f>tblMoeHistory[[#This Row],[LEA State and Local Amount]]+tblMoeHistory[[#This Row],[ESD State and Local Amount]]</f>
        <v>12119069.470000001</v>
      </c>
      <c r="H1057">
        <v>0</v>
      </c>
      <c r="I1057" t="s">
        <v>241</v>
      </c>
      <c r="J1057">
        <f>IFERROR(tblMoeHistory[[#This Row],[LEA State and Local Amount]]/tblMoeHistory[[#This Row],[Child Count]],0)</f>
        <v>8574.8871109399079</v>
      </c>
      <c r="K1057">
        <f>IFERROR(tblMoeHistory[[#This Row],[ESD State and Local Amount]]/tblMoeHistory[[#This Row],[Child Count]],0)</f>
        <v>761.83821263482275</v>
      </c>
      <c r="L1057">
        <f>IFERROR(tblMoeHistory[[#This Row],[State and Local Total Amount]]/tblMoeHistory[[#This Row],[Child Count]],0)</f>
        <v>9336.7253235747303</v>
      </c>
      <c r="M1057">
        <v>10174.030000000001</v>
      </c>
      <c r="N1057" t="s">
        <v>240</v>
      </c>
      <c r="O1057">
        <v>1455686.53</v>
      </c>
      <c r="P1057">
        <v>13444.48</v>
      </c>
      <c r="Q1057">
        <f>tblMoeHistory[[#This Row],[Amount of IDEA Part B, Section 611 award]]+tblMoeHistory[[#This Row],[Amount of IDEA Part B, Section 619 award]]</f>
        <v>1469131.01</v>
      </c>
      <c r="U10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7" t="str">
        <f>IF(OR(IFERROR(SEARCH("Met",tblMoeHistory[[#This Row],[State and Local Per Capita Result]]),0)&gt;0,IFERROR(SEARCH("Met",tblMoeHistory[[#This Row],[State and Local Total Result]]),0)&gt;0),"Met","Not Met")</f>
        <v>Met</v>
      </c>
    </row>
    <row r="1058" spans="1:22" x14ac:dyDescent="0.35">
      <c r="A1058" t="s">
        <v>93</v>
      </c>
      <c r="B1058">
        <v>2183</v>
      </c>
      <c r="C1058" t="s">
        <v>41</v>
      </c>
      <c r="D1058">
        <v>1500</v>
      </c>
      <c r="E1058">
        <v>14759652.390000001</v>
      </c>
      <c r="F1058">
        <v>777944.54</v>
      </c>
      <c r="G1058">
        <f>tblMoeHistory[[#This Row],[LEA State and Local Amount]]+tblMoeHistory[[#This Row],[ESD State and Local Amount]]</f>
        <v>15537596.93</v>
      </c>
      <c r="H1058">
        <v>0</v>
      </c>
      <c r="I1058" t="s">
        <v>241</v>
      </c>
      <c r="J1058">
        <f>IFERROR(tblMoeHistory[[#This Row],[LEA State and Local Amount]]/tblMoeHistory[[#This Row],[Child Count]],0)</f>
        <v>9839.7682600000007</v>
      </c>
      <c r="K1058">
        <f>IFERROR(tblMoeHistory[[#This Row],[ESD State and Local Amount]]/tblMoeHistory[[#This Row],[Child Count]],0)</f>
        <v>518.62969333333331</v>
      </c>
      <c r="L1058">
        <f>IFERROR(tblMoeHistory[[#This Row],[State and Local Total Amount]]/tblMoeHistory[[#This Row],[Child Count]],0)</f>
        <v>10358.397953333333</v>
      </c>
      <c r="M1058">
        <v>742533.33</v>
      </c>
      <c r="N1058" t="s">
        <v>240</v>
      </c>
      <c r="O1058">
        <v>2005358.38</v>
      </c>
      <c r="P1058">
        <v>11431.09</v>
      </c>
      <c r="Q1058">
        <f>tblMoeHistory[[#This Row],[Amount of IDEA Part B, Section 611 award]]+tblMoeHistory[[#This Row],[Amount of IDEA Part B, Section 619 award]]</f>
        <v>2016789.47</v>
      </c>
      <c r="U10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8" t="str">
        <f>IF(OR(IFERROR(SEARCH("Met",tblMoeHistory[[#This Row],[State and Local Per Capita Result]]),0)&gt;0,IFERROR(SEARCH("Met",tblMoeHistory[[#This Row],[State and Local Total Result]]),0)&gt;0),"Met","Not Met")</f>
        <v>Met</v>
      </c>
    </row>
    <row r="1059" spans="1:22" x14ac:dyDescent="0.35">
      <c r="A1059" t="s">
        <v>94</v>
      </c>
      <c r="B1059">
        <v>2014</v>
      </c>
      <c r="C1059" t="s">
        <v>41</v>
      </c>
      <c r="D1059">
        <v>129</v>
      </c>
      <c r="E1059">
        <v>1363404.4</v>
      </c>
      <c r="F1059">
        <v>207425</v>
      </c>
      <c r="G1059">
        <f>tblMoeHistory[[#This Row],[LEA State and Local Amount]]+tblMoeHistory[[#This Row],[ESD State and Local Amount]]</f>
        <v>1570829.4</v>
      </c>
      <c r="H1059">
        <v>0</v>
      </c>
      <c r="I1059" t="s">
        <v>241</v>
      </c>
      <c r="J1059">
        <f>IFERROR(tblMoeHistory[[#This Row],[LEA State and Local Amount]]/tblMoeHistory[[#This Row],[Child Count]],0)</f>
        <v>10569.026356589147</v>
      </c>
      <c r="K1059">
        <f>IFERROR(tblMoeHistory[[#This Row],[ESD State and Local Amount]]/tblMoeHistory[[#This Row],[Child Count]],0)</f>
        <v>1607.9457364341085</v>
      </c>
      <c r="L1059">
        <f>IFERROR(tblMoeHistory[[#This Row],[State and Local Total Amount]]/tblMoeHistory[[#This Row],[Child Count]],0)</f>
        <v>12176.972093023254</v>
      </c>
      <c r="M1059">
        <v>66503.91</v>
      </c>
      <c r="N1059" t="s">
        <v>240</v>
      </c>
      <c r="O1059">
        <v>169466.89</v>
      </c>
      <c r="P1059">
        <v>1938.06</v>
      </c>
      <c r="Q1059">
        <f>tblMoeHistory[[#This Row],[Amount of IDEA Part B, Section 611 award]]+tblMoeHistory[[#This Row],[Amount of IDEA Part B, Section 619 award]]</f>
        <v>171404.95</v>
      </c>
      <c r="U10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9" t="str">
        <f>IF(OR(IFERROR(SEARCH("Met",tblMoeHistory[[#This Row],[State and Local Per Capita Result]]),0)&gt;0,IFERROR(SEARCH("Met",tblMoeHistory[[#This Row],[State and Local Total Result]]),0)&gt;0),"Met","Not Met")</f>
        <v>Met</v>
      </c>
    </row>
    <row r="1060" spans="1:22" x14ac:dyDescent="0.35">
      <c r="A1060" t="s">
        <v>95</v>
      </c>
      <c r="B1060">
        <v>2015</v>
      </c>
      <c r="C1060" t="s">
        <v>41</v>
      </c>
      <c r="D1060">
        <v>8</v>
      </c>
      <c r="E1060">
        <v>15479.21</v>
      </c>
      <c r="F1060">
        <v>5194.5</v>
      </c>
      <c r="G1060">
        <f>tblMoeHistory[[#This Row],[LEA State and Local Amount]]+tblMoeHistory[[#This Row],[ESD State and Local Amount]]</f>
        <v>20673.71</v>
      </c>
      <c r="H1060">
        <v>83130.89</v>
      </c>
      <c r="I1060" t="s">
        <v>240</v>
      </c>
      <c r="J1060">
        <f>IFERROR(tblMoeHistory[[#This Row],[LEA State and Local Amount]]/tblMoeHistory[[#This Row],[Child Count]],0)</f>
        <v>1934.9012499999999</v>
      </c>
      <c r="K1060">
        <f>IFERROR(tblMoeHistory[[#This Row],[ESD State and Local Amount]]/tblMoeHistory[[#This Row],[Child Count]],0)</f>
        <v>649.3125</v>
      </c>
      <c r="L1060">
        <f>IFERROR(tblMoeHistory[[#This Row],[State and Local Total Amount]]/tblMoeHistory[[#This Row],[Child Count]],0)</f>
        <v>2584.2137499999999</v>
      </c>
      <c r="M1060">
        <v>117732.42</v>
      </c>
      <c r="N1060" t="s">
        <v>240</v>
      </c>
      <c r="O1060">
        <v>8278.33</v>
      </c>
      <c r="P1060">
        <v>0</v>
      </c>
      <c r="Q1060">
        <f>tblMoeHistory[[#This Row],[Amount of IDEA Part B, Section 611 award]]+tblMoeHistory[[#This Row],[Amount of IDEA Part B, Section 619 award]]</f>
        <v>8278.33</v>
      </c>
      <c r="U10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8278.33</v>
      </c>
      <c r="V1060" t="str">
        <f>IF(OR(IFERROR(SEARCH("Met",tblMoeHistory[[#This Row],[State and Local Per Capita Result]]),0)&gt;0,IFERROR(SEARCH("Met",tblMoeHistory[[#This Row],[State and Local Total Result]]),0)&gt;0),"Met","Not Met")</f>
        <v>Not Met</v>
      </c>
    </row>
    <row r="1061" spans="1:22" x14ac:dyDescent="0.35">
      <c r="A1061" t="s">
        <v>96</v>
      </c>
      <c r="B1061">
        <v>2023</v>
      </c>
      <c r="C1061" t="s">
        <v>41</v>
      </c>
      <c r="D1061">
        <v>1</v>
      </c>
      <c r="E1061">
        <v>39137.99</v>
      </c>
      <c r="F1061">
        <v>5719.5</v>
      </c>
      <c r="G1061">
        <f>tblMoeHistory[[#This Row],[LEA State and Local Amount]]+tblMoeHistory[[#This Row],[ESD State and Local Amount]]</f>
        <v>44857.49</v>
      </c>
      <c r="H1061">
        <v>0</v>
      </c>
      <c r="I1061" t="s">
        <v>242</v>
      </c>
      <c r="J1061">
        <f>IFERROR(tblMoeHistory[[#This Row],[LEA State and Local Amount]]/tblMoeHistory[[#This Row],[Child Count]],0)</f>
        <v>39137.99</v>
      </c>
      <c r="K1061">
        <f>IFERROR(tblMoeHistory[[#This Row],[ESD State and Local Amount]]/tblMoeHistory[[#This Row],[Child Count]],0)</f>
        <v>5719.5</v>
      </c>
      <c r="L1061">
        <f>IFERROR(tblMoeHistory[[#This Row],[State and Local Total Amount]]/tblMoeHistory[[#This Row],[Child Count]],0)</f>
        <v>44857.49</v>
      </c>
      <c r="M1061">
        <v>0</v>
      </c>
      <c r="N1061" t="s">
        <v>241</v>
      </c>
      <c r="O1061">
        <v>13244.61</v>
      </c>
      <c r="P1061">
        <v>0</v>
      </c>
      <c r="Q1061">
        <f>tblMoeHistory[[#This Row],[Amount of IDEA Part B, Section 611 award]]+tblMoeHistory[[#This Row],[Amount of IDEA Part B, Section 619 award]]</f>
        <v>13244.61</v>
      </c>
      <c r="U10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1" t="str">
        <f>IF(OR(IFERROR(SEARCH("Met",tblMoeHistory[[#This Row],[State and Local Per Capita Result]]),0)&gt;0,IFERROR(SEARCH("Met",tblMoeHistory[[#This Row],[State and Local Total Result]]),0)&gt;0),"Met","Not Met")</f>
        <v>Met</v>
      </c>
    </row>
    <row r="1062" spans="1:22" x14ac:dyDescent="0.35">
      <c r="A1062" t="s">
        <v>97</v>
      </c>
      <c r="B1062">
        <v>2114</v>
      </c>
      <c r="C1062" t="s">
        <v>41</v>
      </c>
      <c r="D1062">
        <v>16</v>
      </c>
      <c r="E1062">
        <v>65897.960000000006</v>
      </c>
      <c r="F1062">
        <v>32076.13</v>
      </c>
      <c r="G1062">
        <f>tblMoeHistory[[#This Row],[LEA State and Local Amount]]+tblMoeHistory[[#This Row],[ESD State and Local Amount]]</f>
        <v>97974.090000000011</v>
      </c>
      <c r="H1062">
        <v>0</v>
      </c>
      <c r="I1062" t="s">
        <v>241</v>
      </c>
      <c r="J1062">
        <f>IFERROR(tblMoeHistory[[#This Row],[LEA State and Local Amount]]/tblMoeHistory[[#This Row],[Child Count]],0)</f>
        <v>4118.6225000000004</v>
      </c>
      <c r="K1062">
        <f>IFERROR(tblMoeHistory[[#This Row],[ESD State and Local Amount]]/tblMoeHistory[[#This Row],[Child Count]],0)</f>
        <v>2004.7581250000001</v>
      </c>
      <c r="L1062">
        <f>IFERROR(tblMoeHistory[[#This Row],[State and Local Total Amount]]/tblMoeHistory[[#This Row],[Child Count]],0)</f>
        <v>6123.3806250000007</v>
      </c>
      <c r="M1062">
        <v>0</v>
      </c>
      <c r="N1062" t="s">
        <v>241</v>
      </c>
      <c r="O1062">
        <v>14674.32</v>
      </c>
      <c r="P1062">
        <v>0</v>
      </c>
      <c r="Q1062">
        <f>tblMoeHistory[[#This Row],[Amount of IDEA Part B, Section 611 award]]+tblMoeHistory[[#This Row],[Amount of IDEA Part B, Section 619 award]]</f>
        <v>14674.32</v>
      </c>
      <c r="U10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2" t="str">
        <f>IF(OR(IFERROR(SEARCH("Met",tblMoeHistory[[#This Row],[State and Local Per Capita Result]]),0)&gt;0,IFERROR(SEARCH("Met",tblMoeHistory[[#This Row],[State and Local Total Result]]),0)&gt;0),"Met","Not Met")</f>
        <v>Met</v>
      </c>
    </row>
    <row r="1063" spans="1:22" x14ac:dyDescent="0.35">
      <c r="A1063" t="s">
        <v>98</v>
      </c>
      <c r="B1063">
        <v>2099</v>
      </c>
      <c r="C1063" t="s">
        <v>41</v>
      </c>
      <c r="D1063">
        <v>127</v>
      </c>
      <c r="E1063">
        <v>1134970.74</v>
      </c>
      <c r="F1063">
        <v>97207</v>
      </c>
      <c r="G1063">
        <f>tblMoeHistory[[#This Row],[LEA State and Local Amount]]+tblMoeHistory[[#This Row],[ESD State and Local Amount]]</f>
        <v>1232177.74</v>
      </c>
      <c r="H1063">
        <v>0</v>
      </c>
      <c r="I1063" t="s">
        <v>241</v>
      </c>
      <c r="J1063">
        <f>IFERROR(tblMoeHistory[[#This Row],[LEA State and Local Amount]]/tblMoeHistory[[#This Row],[Child Count]],0)</f>
        <v>8936.7774803149605</v>
      </c>
      <c r="K1063">
        <f>IFERROR(tblMoeHistory[[#This Row],[ESD State and Local Amount]]/tblMoeHistory[[#This Row],[Child Count]],0)</f>
        <v>765.40944881889766</v>
      </c>
      <c r="L1063">
        <f>IFERROR(tblMoeHistory[[#This Row],[State and Local Total Amount]]/tblMoeHistory[[#This Row],[Child Count]],0)</f>
        <v>9702.1869291338589</v>
      </c>
      <c r="M1063">
        <v>0</v>
      </c>
      <c r="N1063" t="s">
        <v>241</v>
      </c>
      <c r="O1063">
        <v>132133.63</v>
      </c>
      <c r="P1063">
        <v>306.01</v>
      </c>
      <c r="Q1063">
        <f>tblMoeHistory[[#This Row],[Amount of IDEA Part B, Section 611 award]]+tblMoeHistory[[#This Row],[Amount of IDEA Part B, Section 619 award]]</f>
        <v>132439.64000000001</v>
      </c>
      <c r="U10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3" t="str">
        <f>IF(OR(IFERROR(SEARCH("Met",tblMoeHistory[[#This Row],[State and Local Per Capita Result]]),0)&gt;0,IFERROR(SEARCH("Met",tblMoeHistory[[#This Row],[State and Local Total Result]]),0)&gt;0),"Met","Not Met")</f>
        <v>Met</v>
      </c>
    </row>
    <row r="1064" spans="1:22" x14ac:dyDescent="0.35">
      <c r="A1064" t="s">
        <v>99</v>
      </c>
      <c r="B1064">
        <v>2201</v>
      </c>
      <c r="C1064" t="s">
        <v>41</v>
      </c>
      <c r="D1064">
        <v>31</v>
      </c>
      <c r="E1064">
        <v>76872.789999999994</v>
      </c>
      <c r="F1064">
        <v>52170.57</v>
      </c>
      <c r="G1064">
        <f>tblMoeHistory[[#This Row],[LEA State and Local Amount]]+tblMoeHistory[[#This Row],[ESD State and Local Amount]]</f>
        <v>129043.35999999999</v>
      </c>
      <c r="H1064">
        <v>0</v>
      </c>
      <c r="I1064" t="s">
        <v>241</v>
      </c>
      <c r="J1064">
        <f>IFERROR(tblMoeHistory[[#This Row],[LEA State and Local Amount]]/tblMoeHistory[[#This Row],[Child Count]],0)</f>
        <v>2479.7674193548387</v>
      </c>
      <c r="K1064">
        <f>IFERROR(tblMoeHistory[[#This Row],[ESD State and Local Amount]]/tblMoeHistory[[#This Row],[Child Count]],0)</f>
        <v>1682.9216129032259</v>
      </c>
      <c r="L1064">
        <f>IFERROR(tblMoeHistory[[#This Row],[State and Local Total Amount]]/tblMoeHistory[[#This Row],[Child Count]],0)</f>
        <v>4162.6890322580639</v>
      </c>
      <c r="M1064">
        <v>5517.82</v>
      </c>
      <c r="N1064" t="s">
        <v>240</v>
      </c>
      <c r="O1064">
        <v>24029.4</v>
      </c>
      <c r="P1064">
        <v>918.03</v>
      </c>
      <c r="Q1064">
        <f>tblMoeHistory[[#This Row],[Amount of IDEA Part B, Section 611 award]]+tblMoeHistory[[#This Row],[Amount of IDEA Part B, Section 619 award]]</f>
        <v>24947.43</v>
      </c>
      <c r="U10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4" t="str">
        <f>IF(OR(IFERROR(SEARCH("Met",tblMoeHistory[[#This Row],[State and Local Per Capita Result]]),0)&gt;0,IFERROR(SEARCH("Met",tblMoeHistory[[#This Row],[State and Local Total Result]]),0)&gt;0),"Met","Not Met")</f>
        <v>Met</v>
      </c>
    </row>
    <row r="1065" spans="1:22" x14ac:dyDescent="0.35">
      <c r="A1065" t="s">
        <v>100</v>
      </c>
      <c r="B1065">
        <v>2206</v>
      </c>
      <c r="C1065" t="s">
        <v>41</v>
      </c>
      <c r="D1065">
        <v>637</v>
      </c>
      <c r="E1065">
        <v>4622764.88</v>
      </c>
      <c r="F1065">
        <v>0</v>
      </c>
      <c r="G1065">
        <f>tblMoeHistory[[#This Row],[LEA State and Local Amount]]+tblMoeHistory[[#This Row],[ESD State and Local Amount]]</f>
        <v>4622764.88</v>
      </c>
      <c r="H1065">
        <v>0</v>
      </c>
      <c r="I1065" t="s">
        <v>241</v>
      </c>
      <c r="J1065">
        <f>IFERROR(tblMoeHistory[[#This Row],[LEA State and Local Amount]]/tblMoeHistory[[#This Row],[Child Count]],0)</f>
        <v>7257.0877237048662</v>
      </c>
      <c r="K1065">
        <f>IFERROR(tblMoeHistory[[#This Row],[ESD State and Local Amount]]/tblMoeHistory[[#This Row],[Child Count]],0)</f>
        <v>0</v>
      </c>
      <c r="L1065">
        <f>IFERROR(tblMoeHistory[[#This Row],[State and Local Total Amount]]/tblMoeHistory[[#This Row],[Child Count]],0)</f>
        <v>7257.0877237048662</v>
      </c>
      <c r="M1065">
        <v>763814.01</v>
      </c>
      <c r="N1065" t="s">
        <v>240</v>
      </c>
      <c r="O1065">
        <v>734721.13</v>
      </c>
      <c r="P1065">
        <v>5437.54</v>
      </c>
      <c r="Q1065">
        <f>tblMoeHistory[[#This Row],[Amount of IDEA Part B, Section 611 award]]+tblMoeHistory[[#This Row],[Amount of IDEA Part B, Section 619 award]]</f>
        <v>740158.67</v>
      </c>
      <c r="U10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5" t="str">
        <f>IF(OR(IFERROR(SEARCH("Met",tblMoeHistory[[#This Row],[State and Local Per Capita Result]]),0)&gt;0,IFERROR(SEARCH("Met",tblMoeHistory[[#This Row],[State and Local Total Result]]),0)&gt;0),"Met","Not Met")</f>
        <v>Met</v>
      </c>
    </row>
    <row r="1066" spans="1:22" x14ac:dyDescent="0.35">
      <c r="A1066" t="s">
        <v>101</v>
      </c>
      <c r="B1066">
        <v>2239</v>
      </c>
      <c r="C1066" t="s">
        <v>41</v>
      </c>
      <c r="D1066">
        <v>2843</v>
      </c>
      <c r="E1066">
        <v>31634388.620000001</v>
      </c>
      <c r="F1066">
        <v>3630195</v>
      </c>
      <c r="G1066">
        <f>tblMoeHistory[[#This Row],[LEA State and Local Amount]]+tblMoeHistory[[#This Row],[ESD State and Local Amount]]</f>
        <v>35264583.620000005</v>
      </c>
      <c r="H1066">
        <v>0</v>
      </c>
      <c r="I1066" t="s">
        <v>241</v>
      </c>
      <c r="J1066">
        <f>IFERROR(tblMoeHistory[[#This Row],[LEA State and Local Amount]]/tblMoeHistory[[#This Row],[Child Count]],0)</f>
        <v>11127.115237425256</v>
      </c>
      <c r="K1066">
        <f>IFERROR(tblMoeHistory[[#This Row],[ESD State and Local Amount]]/tblMoeHistory[[#This Row],[Child Count]],0)</f>
        <v>1276.8888498065423</v>
      </c>
      <c r="L1066">
        <f>IFERROR(tblMoeHistory[[#This Row],[State and Local Total Amount]]/tblMoeHistory[[#This Row],[Child Count]],0)</f>
        <v>12404.004087231799</v>
      </c>
      <c r="M1066">
        <v>0</v>
      </c>
      <c r="N1066" t="s">
        <v>241</v>
      </c>
      <c r="O1066">
        <v>2877042.36</v>
      </c>
      <c r="P1066">
        <v>16484.86</v>
      </c>
      <c r="Q1066">
        <f>tblMoeHistory[[#This Row],[Amount of IDEA Part B, Section 611 award]]+tblMoeHistory[[#This Row],[Amount of IDEA Part B, Section 619 award]]</f>
        <v>2893527.2199999997</v>
      </c>
      <c r="U10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6" t="str">
        <f>IF(OR(IFERROR(SEARCH("Met",tblMoeHistory[[#This Row],[State and Local Per Capita Result]]),0)&gt;0,IFERROR(SEARCH("Met",tblMoeHistory[[#This Row],[State and Local Total Result]]),0)&gt;0),"Met","Not Met")</f>
        <v>Met</v>
      </c>
    </row>
    <row r="1067" spans="1:22" x14ac:dyDescent="0.35">
      <c r="A1067" t="s">
        <v>102</v>
      </c>
      <c r="B1067">
        <v>2024</v>
      </c>
      <c r="C1067" t="s">
        <v>41</v>
      </c>
      <c r="D1067">
        <v>514</v>
      </c>
      <c r="E1067">
        <v>3814231.57</v>
      </c>
      <c r="F1067">
        <v>0</v>
      </c>
      <c r="G1067">
        <f>tblMoeHistory[[#This Row],[LEA State and Local Amount]]+tblMoeHistory[[#This Row],[ESD State and Local Amount]]</f>
        <v>3814231.57</v>
      </c>
      <c r="H1067">
        <v>0</v>
      </c>
      <c r="I1067" t="s">
        <v>242</v>
      </c>
      <c r="J1067">
        <f>IFERROR(tblMoeHistory[[#This Row],[LEA State and Local Amount]]/tblMoeHistory[[#This Row],[Child Count]],0)</f>
        <v>7420.6839883268476</v>
      </c>
      <c r="K1067">
        <f>IFERROR(tblMoeHistory[[#This Row],[ESD State and Local Amount]]/tblMoeHistory[[#This Row],[Child Count]],0)</f>
        <v>0</v>
      </c>
      <c r="L1067">
        <f>IFERROR(tblMoeHistory[[#This Row],[State and Local Total Amount]]/tblMoeHistory[[#This Row],[Child Count]],0)</f>
        <v>7420.6839883268476</v>
      </c>
      <c r="M1067">
        <v>0</v>
      </c>
      <c r="N1067" t="s">
        <v>241</v>
      </c>
      <c r="O1067">
        <v>667390.44999999995</v>
      </c>
      <c r="P1067">
        <v>6070.82</v>
      </c>
      <c r="Q1067">
        <f>tblMoeHistory[[#This Row],[Amount of IDEA Part B, Section 611 award]]+tblMoeHistory[[#This Row],[Amount of IDEA Part B, Section 619 award]]</f>
        <v>673461.2699999999</v>
      </c>
      <c r="S1067">
        <v>210490.06</v>
      </c>
      <c r="T1067">
        <v>210490.06</v>
      </c>
      <c r="U10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7" t="str">
        <f>IF(OR(IFERROR(SEARCH("Met",tblMoeHistory[[#This Row],[State and Local Per Capita Result]]),0)&gt;0,IFERROR(SEARCH("Met",tblMoeHistory[[#This Row],[State and Local Total Result]]),0)&gt;0),"Met","Not Met")</f>
        <v>Met</v>
      </c>
    </row>
    <row r="1068" spans="1:22" x14ac:dyDescent="0.35">
      <c r="A1068" t="s">
        <v>103</v>
      </c>
      <c r="B1068">
        <v>1895</v>
      </c>
      <c r="C1068" t="s">
        <v>41</v>
      </c>
      <c r="D1068">
        <v>9</v>
      </c>
      <c r="E1068">
        <v>69750.39</v>
      </c>
      <c r="F1068">
        <v>18304.240000000002</v>
      </c>
      <c r="G1068">
        <f>tblMoeHistory[[#This Row],[LEA State and Local Amount]]+tblMoeHistory[[#This Row],[ESD State and Local Amount]]</f>
        <v>88054.63</v>
      </c>
      <c r="H1068">
        <v>26858.43</v>
      </c>
      <c r="I1068" t="s">
        <v>240</v>
      </c>
      <c r="J1068">
        <f>IFERROR(tblMoeHistory[[#This Row],[LEA State and Local Amount]]/tblMoeHistory[[#This Row],[Child Count]],0)</f>
        <v>7750.0433333333331</v>
      </c>
      <c r="K1068">
        <f>IFERROR(tblMoeHistory[[#This Row],[ESD State and Local Amount]]/tblMoeHistory[[#This Row],[Child Count]],0)</f>
        <v>2033.8044444444447</v>
      </c>
      <c r="L1068">
        <f>IFERROR(tblMoeHistory[[#This Row],[State and Local Total Amount]]/tblMoeHistory[[#This Row],[Child Count]],0)</f>
        <v>9783.8477777777789</v>
      </c>
      <c r="M1068">
        <v>41222.559999999998</v>
      </c>
      <c r="N1068" t="s">
        <v>240</v>
      </c>
      <c r="O1068">
        <v>13015.23</v>
      </c>
      <c r="P1068">
        <v>0</v>
      </c>
      <c r="Q1068">
        <f>tblMoeHistory[[#This Row],[Amount of IDEA Part B, Section 611 award]]+tblMoeHistory[[#This Row],[Amount of IDEA Part B, Section 619 award]]</f>
        <v>13015.23</v>
      </c>
      <c r="U10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13015.23</v>
      </c>
      <c r="V1068" t="str">
        <f>IF(OR(IFERROR(SEARCH("Met",tblMoeHistory[[#This Row],[State and Local Per Capita Result]]),0)&gt;0,IFERROR(SEARCH("Met",tblMoeHistory[[#This Row],[State and Local Total Result]]),0)&gt;0),"Met","Not Met")</f>
        <v>Not Met</v>
      </c>
    </row>
    <row r="1069" spans="1:22" x14ac:dyDescent="0.35">
      <c r="A1069" t="s">
        <v>104</v>
      </c>
      <c r="B1069">
        <v>2215</v>
      </c>
      <c r="C1069" t="s">
        <v>41</v>
      </c>
      <c r="D1069">
        <v>36</v>
      </c>
      <c r="E1069">
        <v>207529.7</v>
      </c>
      <c r="F1069">
        <v>60598.58</v>
      </c>
      <c r="G1069">
        <f>tblMoeHistory[[#This Row],[LEA State and Local Amount]]+tblMoeHistory[[#This Row],[ESD State and Local Amount]]</f>
        <v>268128.28000000003</v>
      </c>
      <c r="H1069">
        <v>0</v>
      </c>
      <c r="I1069" t="s">
        <v>241</v>
      </c>
      <c r="J1069">
        <f>IFERROR(tblMoeHistory[[#This Row],[LEA State and Local Amount]]/tblMoeHistory[[#This Row],[Child Count]],0)</f>
        <v>5764.7138888888894</v>
      </c>
      <c r="K1069">
        <f>IFERROR(tblMoeHistory[[#This Row],[ESD State and Local Amount]]/tblMoeHistory[[#This Row],[Child Count]],0)</f>
        <v>1683.2938888888889</v>
      </c>
      <c r="L1069">
        <f>IFERROR(tblMoeHistory[[#This Row],[State and Local Total Amount]]/tblMoeHistory[[#This Row],[Child Count]],0)</f>
        <v>7448.0077777777788</v>
      </c>
      <c r="M1069">
        <v>0</v>
      </c>
      <c r="N1069" t="s">
        <v>242</v>
      </c>
      <c r="O1069">
        <v>63467.46</v>
      </c>
      <c r="P1069">
        <v>229.51</v>
      </c>
      <c r="Q1069">
        <f>tblMoeHistory[[#This Row],[Amount of IDEA Part B, Section 611 award]]+tblMoeHistory[[#This Row],[Amount of IDEA Part B, Section 619 award]]</f>
        <v>63696.97</v>
      </c>
      <c r="T1069">
        <v>55892.4</v>
      </c>
      <c r="U10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9" t="str">
        <f>IF(OR(IFERROR(SEARCH("Met",tblMoeHistory[[#This Row],[State and Local Per Capita Result]]),0)&gt;0,IFERROR(SEARCH("Met",tblMoeHistory[[#This Row],[State and Local Total Result]]),0)&gt;0),"Met","Not Met")</f>
        <v>Met</v>
      </c>
    </row>
    <row r="1070" spans="1:22" x14ac:dyDescent="0.35">
      <c r="A1070" t="s">
        <v>105</v>
      </c>
      <c r="B1070">
        <v>3997</v>
      </c>
      <c r="C1070" t="s">
        <v>41</v>
      </c>
      <c r="D1070">
        <v>24</v>
      </c>
      <c r="E1070">
        <v>155399.85999999999</v>
      </c>
      <c r="F1070">
        <v>40389.160000000003</v>
      </c>
      <c r="G1070">
        <f>tblMoeHistory[[#This Row],[LEA State and Local Amount]]+tblMoeHistory[[#This Row],[ESD State and Local Amount]]</f>
        <v>195789.02</v>
      </c>
      <c r="H1070">
        <v>0</v>
      </c>
      <c r="I1070" t="s">
        <v>241</v>
      </c>
      <c r="J1070">
        <f>IFERROR(tblMoeHistory[[#This Row],[LEA State and Local Amount]]/tblMoeHistory[[#This Row],[Child Count]],0)</f>
        <v>6474.9941666666664</v>
      </c>
      <c r="K1070">
        <f>IFERROR(tblMoeHistory[[#This Row],[ESD State and Local Amount]]/tblMoeHistory[[#This Row],[Child Count]],0)</f>
        <v>1682.8816666666669</v>
      </c>
      <c r="L1070">
        <f>IFERROR(tblMoeHistory[[#This Row],[State and Local Total Amount]]/tblMoeHistory[[#This Row],[Child Count]],0)</f>
        <v>8157.8758333333326</v>
      </c>
      <c r="M1070">
        <v>0</v>
      </c>
      <c r="N1070" t="s">
        <v>241</v>
      </c>
      <c r="O1070">
        <v>22511.84</v>
      </c>
      <c r="P1070">
        <v>153</v>
      </c>
      <c r="Q1070">
        <f>tblMoeHistory[[#This Row],[Amount of IDEA Part B, Section 611 award]]+tblMoeHistory[[#This Row],[Amount of IDEA Part B, Section 619 award]]</f>
        <v>22664.84</v>
      </c>
      <c r="U10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0" t="str">
        <f>IF(OR(IFERROR(SEARCH("Met",tblMoeHistory[[#This Row],[State and Local Per Capita Result]]),0)&gt;0,IFERROR(SEARCH("Met",tblMoeHistory[[#This Row],[State and Local Total Result]]),0)&gt;0),"Met","Not Met")</f>
        <v>Met</v>
      </c>
    </row>
    <row r="1071" spans="1:22" x14ac:dyDescent="0.35">
      <c r="A1071" t="s">
        <v>106</v>
      </c>
      <c r="B1071">
        <v>2053</v>
      </c>
      <c r="C1071" t="s">
        <v>41</v>
      </c>
      <c r="D1071">
        <v>420</v>
      </c>
      <c r="E1071">
        <v>3666875.37</v>
      </c>
      <c r="F1071">
        <v>963239.72</v>
      </c>
      <c r="G1071">
        <f>tblMoeHistory[[#This Row],[LEA State and Local Amount]]+tblMoeHistory[[#This Row],[ESD State and Local Amount]]</f>
        <v>4630115.09</v>
      </c>
      <c r="H1071">
        <v>0</v>
      </c>
      <c r="I1071" t="s">
        <v>241</v>
      </c>
      <c r="J1071">
        <f>IFERROR(tblMoeHistory[[#This Row],[LEA State and Local Amount]]/tblMoeHistory[[#This Row],[Child Count]],0)</f>
        <v>8730.6556428571439</v>
      </c>
      <c r="K1071">
        <f>IFERROR(tblMoeHistory[[#This Row],[ESD State and Local Amount]]/tblMoeHistory[[#This Row],[Child Count]],0)</f>
        <v>2293.4279047619048</v>
      </c>
      <c r="L1071">
        <f>IFERROR(tblMoeHistory[[#This Row],[State and Local Total Amount]]/tblMoeHistory[[#This Row],[Child Count]],0)</f>
        <v>11024.083547619048</v>
      </c>
      <c r="M1071">
        <v>11733.17</v>
      </c>
      <c r="N1071" t="s">
        <v>240</v>
      </c>
      <c r="O1071">
        <v>474509.54</v>
      </c>
      <c r="P1071">
        <v>10722.35</v>
      </c>
      <c r="Q1071">
        <f>tblMoeHistory[[#This Row],[Amount of IDEA Part B, Section 611 award]]+tblMoeHistory[[#This Row],[Amount of IDEA Part B, Section 619 award]]</f>
        <v>485231.88999999996</v>
      </c>
      <c r="U10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1" t="str">
        <f>IF(OR(IFERROR(SEARCH("Met",tblMoeHistory[[#This Row],[State and Local Per Capita Result]]),0)&gt;0,IFERROR(SEARCH("Met",tblMoeHistory[[#This Row],[State and Local Total Result]]),0)&gt;0),"Met","Not Met")</f>
        <v>Met</v>
      </c>
    </row>
    <row r="1072" spans="1:22" x14ac:dyDescent="0.35">
      <c r="A1072" t="s">
        <v>107</v>
      </c>
      <c r="B1072">
        <v>2140</v>
      </c>
      <c r="C1072" t="s">
        <v>41</v>
      </c>
      <c r="D1072">
        <v>134</v>
      </c>
      <c r="E1072">
        <v>1028765.96</v>
      </c>
      <c r="F1072">
        <v>76086.850000000006</v>
      </c>
      <c r="G1072">
        <f>tblMoeHistory[[#This Row],[LEA State and Local Amount]]+tblMoeHistory[[#This Row],[ESD State and Local Amount]]</f>
        <v>1104852.81</v>
      </c>
      <c r="H1072">
        <v>0</v>
      </c>
      <c r="I1072" t="s">
        <v>242</v>
      </c>
      <c r="J1072">
        <f>IFERROR(tblMoeHistory[[#This Row],[LEA State and Local Amount]]/tblMoeHistory[[#This Row],[Child Count]],0)</f>
        <v>7677.3579104477612</v>
      </c>
      <c r="K1072">
        <f>IFERROR(tblMoeHistory[[#This Row],[ESD State and Local Amount]]/tblMoeHistory[[#This Row],[Child Count]],0)</f>
        <v>567.81231343283582</v>
      </c>
      <c r="L1072">
        <f>IFERROR(tblMoeHistory[[#This Row],[State and Local Total Amount]]/tblMoeHistory[[#This Row],[Child Count]],0)</f>
        <v>8245.1702238805974</v>
      </c>
      <c r="M1072">
        <v>0</v>
      </c>
      <c r="N1072" t="s">
        <v>242</v>
      </c>
      <c r="O1072">
        <v>136433.51</v>
      </c>
      <c r="P1072">
        <v>459.01</v>
      </c>
      <c r="Q1072">
        <f>tblMoeHistory[[#This Row],[Amount of IDEA Part B, Section 611 award]]+tblMoeHistory[[#This Row],[Amount of IDEA Part B, Section 619 award]]</f>
        <v>136892.52000000002</v>
      </c>
      <c r="S1072">
        <v>173637.55</v>
      </c>
      <c r="T1072">
        <v>173637.55</v>
      </c>
      <c r="U10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2" t="str">
        <f>IF(OR(IFERROR(SEARCH("Met",tblMoeHistory[[#This Row],[State and Local Per Capita Result]]),0)&gt;0,IFERROR(SEARCH("Met",tblMoeHistory[[#This Row],[State and Local Total Result]]),0)&gt;0),"Met","Not Met")</f>
        <v>Met</v>
      </c>
    </row>
    <row r="1073" spans="1:22" x14ac:dyDescent="0.35">
      <c r="A1073" t="s">
        <v>108</v>
      </c>
      <c r="B1073">
        <v>1934</v>
      </c>
      <c r="C1073" t="s">
        <v>41</v>
      </c>
      <c r="D1073">
        <v>17</v>
      </c>
      <c r="E1073">
        <v>226890.51</v>
      </c>
      <c r="F1073">
        <v>44557</v>
      </c>
      <c r="G1073">
        <f>tblMoeHistory[[#This Row],[LEA State and Local Amount]]+tblMoeHistory[[#This Row],[ESD State and Local Amount]]</f>
        <v>271447.51</v>
      </c>
      <c r="H1073">
        <v>0</v>
      </c>
      <c r="I1073" t="s">
        <v>242</v>
      </c>
      <c r="J1073">
        <f>IFERROR(tblMoeHistory[[#This Row],[LEA State and Local Amount]]/tblMoeHistory[[#This Row],[Child Count]],0)</f>
        <v>13346.500588235294</v>
      </c>
      <c r="K1073">
        <f>IFERROR(tblMoeHistory[[#This Row],[ESD State and Local Amount]]/tblMoeHistory[[#This Row],[Child Count]],0)</f>
        <v>2621</v>
      </c>
      <c r="L1073">
        <f>IFERROR(tblMoeHistory[[#This Row],[State and Local Total Amount]]/tblMoeHistory[[#This Row],[Child Count]],0)</f>
        <v>15967.500588235294</v>
      </c>
      <c r="M1073">
        <v>0</v>
      </c>
      <c r="N1073" t="s">
        <v>241</v>
      </c>
      <c r="O1073">
        <v>23425.200000000001</v>
      </c>
      <c r="P1073">
        <v>918.03</v>
      </c>
      <c r="Q1073">
        <f>tblMoeHistory[[#This Row],[Amount of IDEA Part B, Section 611 award]]+tblMoeHistory[[#This Row],[Amount of IDEA Part B, Section 619 award]]</f>
        <v>24343.23</v>
      </c>
      <c r="S1073">
        <v>15462.48</v>
      </c>
      <c r="T1073">
        <v>15462.48</v>
      </c>
      <c r="U10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3" t="str">
        <f>IF(OR(IFERROR(SEARCH("Met",tblMoeHistory[[#This Row],[State and Local Per Capita Result]]),0)&gt;0,IFERROR(SEARCH("Met",tblMoeHistory[[#This Row],[State and Local Total Result]]),0)&gt;0),"Met","Not Met")</f>
        <v>Met</v>
      </c>
    </row>
    <row r="1074" spans="1:22" x14ac:dyDescent="0.35">
      <c r="A1074" t="s">
        <v>109</v>
      </c>
      <c r="B1074">
        <v>2008</v>
      </c>
      <c r="C1074" t="s">
        <v>41</v>
      </c>
      <c r="D1074">
        <v>90</v>
      </c>
      <c r="E1074">
        <v>704673.58</v>
      </c>
      <c r="F1074">
        <v>155265.67000000001</v>
      </c>
      <c r="G1074">
        <f>tblMoeHistory[[#This Row],[LEA State and Local Amount]]+tblMoeHistory[[#This Row],[ESD State and Local Amount]]</f>
        <v>859939.25</v>
      </c>
      <c r="H1074">
        <v>0</v>
      </c>
      <c r="I1074" t="s">
        <v>242</v>
      </c>
      <c r="J1074">
        <f>IFERROR(tblMoeHistory[[#This Row],[LEA State and Local Amount]]/tblMoeHistory[[#This Row],[Child Count]],0)</f>
        <v>7829.7064444444441</v>
      </c>
      <c r="K1074">
        <f>IFERROR(tblMoeHistory[[#This Row],[ESD State and Local Amount]]/tblMoeHistory[[#This Row],[Child Count]],0)</f>
        <v>1725.1741111111112</v>
      </c>
      <c r="L1074">
        <f>IFERROR(tblMoeHistory[[#This Row],[State and Local Total Amount]]/tblMoeHistory[[#This Row],[Child Count]],0)</f>
        <v>9554.8805555555555</v>
      </c>
      <c r="M1074">
        <v>0</v>
      </c>
      <c r="N1074" t="s">
        <v>242</v>
      </c>
      <c r="O1074">
        <v>134511.5</v>
      </c>
      <c r="P1074">
        <v>2244.0700000000002</v>
      </c>
      <c r="Q1074">
        <f>tblMoeHistory[[#This Row],[Amount of IDEA Part B, Section 611 award]]+tblMoeHistory[[#This Row],[Amount of IDEA Part B, Section 619 award]]</f>
        <v>136755.57</v>
      </c>
      <c r="S1074">
        <v>84473.13</v>
      </c>
      <c r="T1074">
        <v>84473.13</v>
      </c>
      <c r="U10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4" t="str">
        <f>IF(OR(IFERROR(SEARCH("Met",tblMoeHistory[[#This Row],[State and Local Per Capita Result]]),0)&gt;0,IFERROR(SEARCH("Met",tblMoeHistory[[#This Row],[State and Local Total Result]]),0)&gt;0),"Met","Not Met")</f>
        <v>Met</v>
      </c>
    </row>
    <row r="1075" spans="1:22" x14ac:dyDescent="0.35">
      <c r="A1075" t="s">
        <v>110</v>
      </c>
      <c r="B1075">
        <v>2107</v>
      </c>
      <c r="C1075" t="s">
        <v>41</v>
      </c>
      <c r="D1075">
        <v>9</v>
      </c>
      <c r="E1075">
        <v>66257.789999999994</v>
      </c>
      <c r="F1075">
        <v>22020.2</v>
      </c>
      <c r="G1075">
        <f>tblMoeHistory[[#This Row],[LEA State and Local Amount]]+tblMoeHistory[[#This Row],[ESD State and Local Amount]]</f>
        <v>88277.989999999991</v>
      </c>
      <c r="H1075">
        <v>11179.29</v>
      </c>
      <c r="I1075" t="s">
        <v>240</v>
      </c>
      <c r="J1075">
        <f>IFERROR(tblMoeHistory[[#This Row],[LEA State and Local Amount]]/tblMoeHistory[[#This Row],[Child Count]],0)</f>
        <v>7361.9766666666656</v>
      </c>
      <c r="K1075">
        <f>IFERROR(tblMoeHistory[[#This Row],[ESD State and Local Amount]]/tblMoeHistory[[#This Row],[Child Count]],0)</f>
        <v>2446.6888888888889</v>
      </c>
      <c r="L1075">
        <f>IFERROR(tblMoeHistory[[#This Row],[State and Local Total Amount]]/tblMoeHistory[[#This Row],[Child Count]],0)</f>
        <v>9808.6655555555553</v>
      </c>
      <c r="M1075">
        <v>60907.93</v>
      </c>
      <c r="N1075" t="s">
        <v>240</v>
      </c>
      <c r="O1075">
        <v>18290.900000000001</v>
      </c>
      <c r="P1075">
        <v>459.01</v>
      </c>
      <c r="Q1075">
        <f>tblMoeHistory[[#This Row],[Amount of IDEA Part B, Section 611 award]]+tblMoeHistory[[#This Row],[Amount of IDEA Part B, Section 619 award]]</f>
        <v>18749.91</v>
      </c>
      <c r="U10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11179.29</v>
      </c>
      <c r="V1075" t="str">
        <f>IF(OR(IFERROR(SEARCH("Met",tblMoeHistory[[#This Row],[State and Local Per Capita Result]]),0)&gt;0,IFERROR(SEARCH("Met",tblMoeHistory[[#This Row],[State and Local Total Result]]),0)&gt;0),"Met","Not Met")</f>
        <v>Not Met</v>
      </c>
    </row>
    <row r="1076" spans="1:22" x14ac:dyDescent="0.35">
      <c r="A1076" t="s">
        <v>111</v>
      </c>
      <c r="B1076">
        <v>2219</v>
      </c>
      <c r="C1076" t="s">
        <v>41</v>
      </c>
      <c r="D1076">
        <v>21</v>
      </c>
      <c r="E1076">
        <v>112930.83</v>
      </c>
      <c r="F1076">
        <v>107487.4</v>
      </c>
      <c r="G1076">
        <f>tblMoeHistory[[#This Row],[LEA State and Local Amount]]+tblMoeHistory[[#This Row],[ESD State and Local Amount]]</f>
        <v>220418.22999999998</v>
      </c>
      <c r="H1076">
        <v>0</v>
      </c>
      <c r="I1076" t="s">
        <v>242</v>
      </c>
      <c r="J1076">
        <f>IFERROR(tblMoeHistory[[#This Row],[LEA State and Local Amount]]/tblMoeHistory[[#This Row],[Child Count]],0)</f>
        <v>5377.6585714285711</v>
      </c>
      <c r="K1076">
        <f>IFERROR(tblMoeHistory[[#This Row],[ESD State and Local Amount]]/tblMoeHistory[[#This Row],[Child Count]],0)</f>
        <v>5118.4476190476189</v>
      </c>
      <c r="L1076">
        <f>IFERROR(tblMoeHistory[[#This Row],[State and Local Total Amount]]/tblMoeHistory[[#This Row],[Child Count]],0)</f>
        <v>10496.10619047619</v>
      </c>
      <c r="M1076">
        <v>0</v>
      </c>
      <c r="N1076" t="s">
        <v>241</v>
      </c>
      <c r="O1076">
        <v>50839.05</v>
      </c>
      <c r="P1076">
        <v>1147.53</v>
      </c>
      <c r="Q1076">
        <f>tblMoeHistory[[#This Row],[Amount of IDEA Part B, Section 611 award]]+tblMoeHistory[[#This Row],[Amount of IDEA Part B, Section 619 award]]</f>
        <v>51986.58</v>
      </c>
      <c r="S1076">
        <v>43585.11</v>
      </c>
      <c r="T1076">
        <v>43585.11</v>
      </c>
      <c r="U10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6" t="str">
        <f>IF(OR(IFERROR(SEARCH("Met",tblMoeHistory[[#This Row],[State and Local Per Capita Result]]),0)&gt;0,IFERROR(SEARCH("Met",tblMoeHistory[[#This Row],[State and Local Total Result]]),0)&gt;0),"Met","Not Met")</f>
        <v>Met</v>
      </c>
    </row>
    <row r="1077" spans="1:22" x14ac:dyDescent="0.35">
      <c r="A1077" t="s">
        <v>112</v>
      </c>
      <c r="B1077">
        <v>2091</v>
      </c>
      <c r="C1077" t="s">
        <v>41</v>
      </c>
      <c r="D1077">
        <v>242</v>
      </c>
      <c r="E1077">
        <v>1623335.51</v>
      </c>
      <c r="F1077">
        <v>388688</v>
      </c>
      <c r="G1077">
        <f>tblMoeHistory[[#This Row],[LEA State and Local Amount]]+tblMoeHistory[[#This Row],[ESD State and Local Amount]]</f>
        <v>2012023.51</v>
      </c>
      <c r="H1077">
        <v>0</v>
      </c>
      <c r="I1077" t="s">
        <v>241</v>
      </c>
      <c r="J1077">
        <f>IFERROR(tblMoeHistory[[#This Row],[LEA State and Local Amount]]/tblMoeHistory[[#This Row],[Child Count]],0)</f>
        <v>6707.997975206612</v>
      </c>
      <c r="K1077">
        <f>IFERROR(tblMoeHistory[[#This Row],[ESD State and Local Amount]]/tblMoeHistory[[#This Row],[Child Count]],0)</f>
        <v>1606.1487603305786</v>
      </c>
      <c r="L1077">
        <f>IFERROR(tblMoeHistory[[#This Row],[State and Local Total Amount]]/tblMoeHistory[[#This Row],[Child Count]],0)</f>
        <v>8314.1467355371897</v>
      </c>
      <c r="M1077">
        <v>160571.72</v>
      </c>
      <c r="N1077" t="s">
        <v>240</v>
      </c>
      <c r="O1077">
        <v>287089.01</v>
      </c>
      <c r="P1077">
        <v>1367.27</v>
      </c>
      <c r="Q1077">
        <f>tblMoeHistory[[#This Row],[Amount of IDEA Part B, Section 611 award]]+tblMoeHistory[[#This Row],[Amount of IDEA Part B, Section 619 award]]</f>
        <v>288456.28000000003</v>
      </c>
      <c r="U10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7" t="str">
        <f>IF(OR(IFERROR(SEARCH("Met",tblMoeHistory[[#This Row],[State and Local Per Capita Result]]),0)&gt;0,IFERROR(SEARCH("Met",tblMoeHistory[[#This Row],[State and Local Total Result]]),0)&gt;0),"Met","Not Met")</f>
        <v>Met</v>
      </c>
    </row>
    <row r="1078" spans="1:22" x14ac:dyDescent="0.35">
      <c r="A1078" t="s">
        <v>113</v>
      </c>
      <c r="B1078">
        <v>2109</v>
      </c>
      <c r="C1078" t="s">
        <v>41</v>
      </c>
      <c r="D1078">
        <v>2</v>
      </c>
      <c r="E1078">
        <v>0</v>
      </c>
      <c r="F1078">
        <v>2914.32</v>
      </c>
      <c r="G1078">
        <f>tblMoeHistory[[#This Row],[LEA State and Local Amount]]+tblMoeHistory[[#This Row],[ESD State and Local Amount]]</f>
        <v>2914.32</v>
      </c>
      <c r="H1078">
        <v>0</v>
      </c>
      <c r="I1078" t="s">
        <v>241</v>
      </c>
      <c r="J1078">
        <f>IFERROR(tblMoeHistory[[#This Row],[LEA State and Local Amount]]/tblMoeHistory[[#This Row],[Child Count]],0)</f>
        <v>0</v>
      </c>
      <c r="K1078">
        <f>IFERROR(tblMoeHistory[[#This Row],[ESD State and Local Amount]]/tblMoeHistory[[#This Row],[Child Count]],0)</f>
        <v>1457.16</v>
      </c>
      <c r="L1078">
        <f>IFERROR(tblMoeHistory[[#This Row],[State and Local Total Amount]]/tblMoeHistory[[#This Row],[Child Count]],0)</f>
        <v>1457.16</v>
      </c>
      <c r="M1078">
        <v>2744.7</v>
      </c>
      <c r="N1078" t="s">
        <v>240</v>
      </c>
      <c r="O1078">
        <v>1355.83</v>
      </c>
      <c r="P1078">
        <v>0</v>
      </c>
      <c r="Q1078">
        <f>tblMoeHistory[[#This Row],[Amount of IDEA Part B, Section 611 award]]+tblMoeHistory[[#This Row],[Amount of IDEA Part B, Section 619 award]]</f>
        <v>1355.83</v>
      </c>
      <c r="U10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8" t="str">
        <f>IF(OR(IFERROR(SEARCH("Met",tblMoeHistory[[#This Row],[State and Local Per Capita Result]]),0)&gt;0,IFERROR(SEARCH("Met",tblMoeHistory[[#This Row],[State and Local Total Result]]),0)&gt;0),"Met","Not Met")</f>
        <v>Met</v>
      </c>
    </row>
    <row r="1079" spans="1:22" x14ac:dyDescent="0.35">
      <c r="A1079" t="s">
        <v>114</v>
      </c>
      <c r="B1079">
        <v>2057</v>
      </c>
      <c r="C1079" t="s">
        <v>41</v>
      </c>
      <c r="D1079">
        <v>847</v>
      </c>
      <c r="E1079">
        <v>6504652.1500000004</v>
      </c>
      <c r="F1079">
        <v>240462.27</v>
      </c>
      <c r="G1079">
        <f>tblMoeHistory[[#This Row],[LEA State and Local Amount]]+tblMoeHistory[[#This Row],[ESD State and Local Amount]]</f>
        <v>6745114.4199999999</v>
      </c>
      <c r="H1079">
        <v>0</v>
      </c>
      <c r="I1079" t="s">
        <v>241</v>
      </c>
      <c r="J1079">
        <f>IFERROR(tblMoeHistory[[#This Row],[LEA State and Local Amount]]/tblMoeHistory[[#This Row],[Child Count]],0)</f>
        <v>7679.6365407319954</v>
      </c>
      <c r="K1079">
        <f>IFERROR(tblMoeHistory[[#This Row],[ESD State and Local Amount]]/tblMoeHistory[[#This Row],[Child Count]],0)</f>
        <v>283.89878394332936</v>
      </c>
      <c r="L1079">
        <f>IFERROR(tblMoeHistory[[#This Row],[State and Local Total Amount]]/tblMoeHistory[[#This Row],[Child Count]],0)</f>
        <v>7963.5353246753248</v>
      </c>
      <c r="M1079">
        <v>0</v>
      </c>
      <c r="N1079" t="s">
        <v>241</v>
      </c>
      <c r="O1079">
        <v>1158151.81</v>
      </c>
      <c r="P1079">
        <v>6867.38</v>
      </c>
      <c r="Q1079">
        <f>tblMoeHistory[[#This Row],[Amount of IDEA Part B, Section 611 award]]+tblMoeHistory[[#This Row],[Amount of IDEA Part B, Section 619 award]]</f>
        <v>1165019.19</v>
      </c>
      <c r="U10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9" t="str">
        <f>IF(OR(IFERROR(SEARCH("Met",tblMoeHistory[[#This Row],[State and Local Per Capita Result]]),0)&gt;0,IFERROR(SEARCH("Met",tblMoeHistory[[#This Row],[State and Local Total Result]]),0)&gt;0),"Met","Not Met")</f>
        <v>Met</v>
      </c>
    </row>
    <row r="1080" spans="1:22" x14ac:dyDescent="0.35">
      <c r="A1080" t="s">
        <v>115</v>
      </c>
      <c r="B1080">
        <v>2056</v>
      </c>
      <c r="C1080" t="s">
        <v>41</v>
      </c>
      <c r="D1080">
        <v>470</v>
      </c>
      <c r="E1080">
        <v>3473882.41</v>
      </c>
      <c r="F1080">
        <v>32226.28</v>
      </c>
      <c r="G1080">
        <f>tblMoeHistory[[#This Row],[LEA State and Local Amount]]+tblMoeHistory[[#This Row],[ESD State and Local Amount]]</f>
        <v>3506108.69</v>
      </c>
      <c r="H1080">
        <v>0</v>
      </c>
      <c r="I1080" t="s">
        <v>241</v>
      </c>
      <c r="J1080">
        <f>IFERROR(tblMoeHistory[[#This Row],[LEA State and Local Amount]]/tblMoeHistory[[#This Row],[Child Count]],0)</f>
        <v>7391.2391702127661</v>
      </c>
      <c r="K1080">
        <f>IFERROR(tblMoeHistory[[#This Row],[ESD State and Local Amount]]/tblMoeHistory[[#This Row],[Child Count]],0)</f>
        <v>68.566553191489362</v>
      </c>
      <c r="L1080">
        <f>IFERROR(tblMoeHistory[[#This Row],[State and Local Total Amount]]/tblMoeHistory[[#This Row],[Child Count]],0)</f>
        <v>7459.8057234042553</v>
      </c>
      <c r="M1080">
        <v>0</v>
      </c>
      <c r="N1080" t="s">
        <v>241</v>
      </c>
      <c r="O1080">
        <v>637139.99</v>
      </c>
      <c r="P1080">
        <v>4498.33</v>
      </c>
      <c r="Q1080">
        <f>tblMoeHistory[[#This Row],[Amount of IDEA Part B, Section 611 award]]+tblMoeHistory[[#This Row],[Amount of IDEA Part B, Section 619 award]]</f>
        <v>641638.31999999995</v>
      </c>
      <c r="U10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0" t="str">
        <f>IF(OR(IFERROR(SEARCH("Met",tblMoeHistory[[#This Row],[State and Local Per Capita Result]]),0)&gt;0,IFERROR(SEARCH("Met",tblMoeHistory[[#This Row],[State and Local Total Result]]),0)&gt;0),"Met","Not Met")</f>
        <v>Met</v>
      </c>
    </row>
    <row r="1081" spans="1:22" x14ac:dyDescent="0.35">
      <c r="A1081" t="s">
        <v>116</v>
      </c>
      <c r="B1081">
        <v>2262</v>
      </c>
      <c r="C1081" t="s">
        <v>41</v>
      </c>
      <c r="D1081">
        <v>79</v>
      </c>
      <c r="E1081">
        <v>490348.67</v>
      </c>
      <c r="F1081">
        <v>169964</v>
      </c>
      <c r="G1081">
        <f>tblMoeHistory[[#This Row],[LEA State and Local Amount]]+tblMoeHistory[[#This Row],[ESD State and Local Amount]]</f>
        <v>660312.66999999993</v>
      </c>
      <c r="H1081">
        <v>0</v>
      </c>
      <c r="I1081" t="s">
        <v>242</v>
      </c>
      <c r="J1081">
        <f>IFERROR(tblMoeHistory[[#This Row],[LEA State and Local Amount]]/tblMoeHistory[[#This Row],[Child Count]],0)</f>
        <v>6206.9451898734178</v>
      </c>
      <c r="K1081">
        <f>IFERROR(tblMoeHistory[[#This Row],[ESD State and Local Amount]]/tblMoeHistory[[#This Row],[Child Count]],0)</f>
        <v>2151.4430379746836</v>
      </c>
      <c r="L1081">
        <f>IFERROR(tblMoeHistory[[#This Row],[State and Local Total Amount]]/tblMoeHistory[[#This Row],[Child Count]],0)</f>
        <v>8358.3882278480996</v>
      </c>
      <c r="M1081">
        <v>0</v>
      </c>
      <c r="N1081" t="s">
        <v>241</v>
      </c>
      <c r="O1081">
        <v>78668.97</v>
      </c>
      <c r="P1081">
        <v>803.27</v>
      </c>
      <c r="Q1081">
        <f>tblMoeHistory[[#This Row],[Amount of IDEA Part B, Section 611 award]]+tblMoeHistory[[#This Row],[Amount of IDEA Part B, Section 619 award]]</f>
        <v>79472.240000000005</v>
      </c>
      <c r="S1081">
        <v>40683.11</v>
      </c>
      <c r="T1081">
        <v>40683.11</v>
      </c>
      <c r="U10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1" t="str">
        <f>IF(OR(IFERROR(SEARCH("Met",tblMoeHistory[[#This Row],[State and Local Per Capita Result]]),0)&gt;0,IFERROR(SEARCH("Met",tblMoeHistory[[#This Row],[State and Local Total Result]]),0)&gt;0),"Met","Not Met")</f>
        <v>Met</v>
      </c>
    </row>
    <row r="1082" spans="1:22" x14ac:dyDescent="0.35">
      <c r="A1082" t="s">
        <v>117</v>
      </c>
      <c r="B1082">
        <v>2212</v>
      </c>
      <c r="C1082" t="s">
        <v>41</v>
      </c>
      <c r="D1082">
        <v>300</v>
      </c>
      <c r="E1082">
        <v>2204778.3199999998</v>
      </c>
      <c r="F1082">
        <v>405879.87</v>
      </c>
      <c r="G1082">
        <f>tblMoeHistory[[#This Row],[LEA State and Local Amount]]+tblMoeHistory[[#This Row],[ESD State and Local Amount]]</f>
        <v>2610658.19</v>
      </c>
      <c r="H1082">
        <v>0</v>
      </c>
      <c r="I1082" t="s">
        <v>241</v>
      </c>
      <c r="J1082">
        <f>IFERROR(tblMoeHistory[[#This Row],[LEA State and Local Amount]]/tblMoeHistory[[#This Row],[Child Count]],0)</f>
        <v>7349.261066666666</v>
      </c>
      <c r="K1082">
        <f>IFERROR(tblMoeHistory[[#This Row],[ESD State and Local Amount]]/tblMoeHistory[[#This Row],[Child Count]],0)</f>
        <v>1352.9329</v>
      </c>
      <c r="L1082">
        <f>IFERROR(tblMoeHistory[[#This Row],[State and Local Total Amount]]/tblMoeHistory[[#This Row],[Child Count]],0)</f>
        <v>8702.1939666666658</v>
      </c>
      <c r="M1082">
        <v>56060.41</v>
      </c>
      <c r="N1082" t="s">
        <v>240</v>
      </c>
      <c r="O1082">
        <v>430289.12</v>
      </c>
      <c r="P1082">
        <v>2882.18</v>
      </c>
      <c r="Q1082">
        <f>tblMoeHistory[[#This Row],[Amount of IDEA Part B, Section 611 award]]+tblMoeHistory[[#This Row],[Amount of IDEA Part B, Section 619 award]]</f>
        <v>433171.3</v>
      </c>
      <c r="U10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2" t="str">
        <f>IF(OR(IFERROR(SEARCH("Met",tblMoeHistory[[#This Row],[State and Local Per Capita Result]]),0)&gt;0,IFERROR(SEARCH("Met",tblMoeHistory[[#This Row],[State and Local Total Result]]),0)&gt;0),"Met","Not Met")</f>
        <v>Met</v>
      </c>
    </row>
    <row r="1083" spans="1:22" x14ac:dyDescent="0.35">
      <c r="A1083" t="s">
        <v>118</v>
      </c>
      <c r="B1083">
        <v>2059</v>
      </c>
      <c r="C1083" t="s">
        <v>41</v>
      </c>
      <c r="D1083">
        <v>109</v>
      </c>
      <c r="E1083">
        <v>490323.11</v>
      </c>
      <c r="F1083">
        <v>246118.39999999999</v>
      </c>
      <c r="G1083">
        <f>tblMoeHistory[[#This Row],[LEA State and Local Amount]]+tblMoeHistory[[#This Row],[ESD State and Local Amount]]</f>
        <v>736441.51</v>
      </c>
      <c r="H1083">
        <v>0</v>
      </c>
      <c r="I1083" t="s">
        <v>241</v>
      </c>
      <c r="J1083">
        <f>IFERROR(tblMoeHistory[[#This Row],[LEA State and Local Amount]]/tblMoeHistory[[#This Row],[Child Count]],0)</f>
        <v>4498.3771559633024</v>
      </c>
      <c r="K1083">
        <f>IFERROR(tblMoeHistory[[#This Row],[ESD State and Local Amount]]/tblMoeHistory[[#This Row],[Child Count]],0)</f>
        <v>2257.9669724770642</v>
      </c>
      <c r="L1083">
        <f>IFERROR(tblMoeHistory[[#This Row],[State and Local Total Amount]]/tblMoeHistory[[#This Row],[Child Count]],0)</f>
        <v>6756.3441284403671</v>
      </c>
      <c r="M1083">
        <v>0</v>
      </c>
      <c r="N1083" t="s">
        <v>241</v>
      </c>
      <c r="O1083">
        <v>136508.96</v>
      </c>
      <c r="P1083">
        <v>2754.08</v>
      </c>
      <c r="Q1083">
        <f>tblMoeHistory[[#This Row],[Amount of IDEA Part B, Section 611 award]]+tblMoeHistory[[#This Row],[Amount of IDEA Part B, Section 619 award]]</f>
        <v>139263.03999999998</v>
      </c>
      <c r="U10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3" t="str">
        <f>IF(OR(IFERROR(SEARCH("Met",tblMoeHistory[[#This Row],[State and Local Per Capita Result]]),0)&gt;0,IFERROR(SEARCH("Met",tblMoeHistory[[#This Row],[State and Local Total Result]]),0)&gt;0),"Met","Not Met")</f>
        <v>Met</v>
      </c>
    </row>
    <row r="1084" spans="1:22" x14ac:dyDescent="0.35">
      <c r="A1084" t="s">
        <v>119</v>
      </c>
      <c r="B1084">
        <v>1923</v>
      </c>
      <c r="C1084" t="s">
        <v>41</v>
      </c>
      <c r="D1084">
        <v>596</v>
      </c>
      <c r="E1084">
        <v>10712967.02</v>
      </c>
      <c r="F1084">
        <v>255120</v>
      </c>
      <c r="G1084">
        <f>tblMoeHistory[[#This Row],[LEA State and Local Amount]]+tblMoeHistory[[#This Row],[ESD State and Local Amount]]</f>
        <v>10968087.02</v>
      </c>
      <c r="H1084">
        <v>0</v>
      </c>
      <c r="I1084" t="s">
        <v>241</v>
      </c>
      <c r="J1084">
        <f>IFERROR(tblMoeHistory[[#This Row],[LEA State and Local Amount]]/tblMoeHistory[[#This Row],[Child Count]],0)</f>
        <v>17974.776879194629</v>
      </c>
      <c r="K1084">
        <f>IFERROR(tblMoeHistory[[#This Row],[ESD State and Local Amount]]/tblMoeHistory[[#This Row],[Child Count]],0)</f>
        <v>428.05369127516781</v>
      </c>
      <c r="L1084">
        <f>IFERROR(tblMoeHistory[[#This Row],[State and Local Total Amount]]/tblMoeHistory[[#This Row],[Child Count]],0)</f>
        <v>18402.8305704698</v>
      </c>
      <c r="M1084">
        <v>0</v>
      </c>
      <c r="N1084" t="s">
        <v>241</v>
      </c>
      <c r="O1084">
        <v>993038</v>
      </c>
      <c r="P1084">
        <v>2790.08</v>
      </c>
      <c r="Q1084">
        <f>tblMoeHistory[[#This Row],[Amount of IDEA Part B, Section 611 award]]+tblMoeHistory[[#This Row],[Amount of IDEA Part B, Section 619 award]]</f>
        <v>995828.08</v>
      </c>
      <c r="U10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4" t="str">
        <f>IF(OR(IFERROR(SEARCH("Met",tblMoeHistory[[#This Row],[State and Local Per Capita Result]]),0)&gt;0,IFERROR(SEARCH("Met",tblMoeHistory[[#This Row],[State and Local Total Result]]),0)&gt;0),"Met","Not Met")</f>
        <v>Met</v>
      </c>
    </row>
    <row r="1085" spans="1:22" x14ac:dyDescent="0.35">
      <c r="A1085" t="s">
        <v>120</v>
      </c>
      <c r="B1085">
        <v>2101</v>
      </c>
      <c r="C1085" t="s">
        <v>41</v>
      </c>
      <c r="D1085">
        <v>614</v>
      </c>
      <c r="E1085">
        <v>4647746.33</v>
      </c>
      <c r="F1085">
        <v>715524</v>
      </c>
      <c r="G1085">
        <f>tblMoeHistory[[#This Row],[LEA State and Local Amount]]+tblMoeHistory[[#This Row],[ESD State and Local Amount]]</f>
        <v>5363270.33</v>
      </c>
      <c r="H1085">
        <v>0</v>
      </c>
      <c r="I1085" t="s">
        <v>241</v>
      </c>
      <c r="J1085">
        <f>IFERROR(tblMoeHistory[[#This Row],[LEA State and Local Amount]]/tblMoeHistory[[#This Row],[Child Count]],0)</f>
        <v>7569.6194299674271</v>
      </c>
      <c r="K1085">
        <f>IFERROR(tblMoeHistory[[#This Row],[ESD State and Local Amount]]/tblMoeHistory[[#This Row],[Child Count]],0)</f>
        <v>1165.3485342019544</v>
      </c>
      <c r="L1085">
        <f>IFERROR(tblMoeHistory[[#This Row],[State and Local Total Amount]]/tblMoeHistory[[#This Row],[Child Count]],0)</f>
        <v>8734.967964169382</v>
      </c>
      <c r="M1085">
        <v>0</v>
      </c>
      <c r="N1085" t="s">
        <v>241</v>
      </c>
      <c r="O1085">
        <v>747173.85</v>
      </c>
      <c r="P1085">
        <v>5874.28</v>
      </c>
      <c r="Q1085">
        <f>tblMoeHistory[[#This Row],[Amount of IDEA Part B, Section 611 award]]+tblMoeHistory[[#This Row],[Amount of IDEA Part B, Section 619 award]]</f>
        <v>753048.13</v>
      </c>
      <c r="U10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5" t="str">
        <f>IF(OR(IFERROR(SEARCH("Met",tblMoeHistory[[#This Row],[State and Local Per Capita Result]]),0)&gt;0,IFERROR(SEARCH("Met",tblMoeHistory[[#This Row],[State and Local Total Result]]),0)&gt;0),"Met","Not Met")</f>
        <v>Met</v>
      </c>
    </row>
    <row r="1086" spans="1:22" x14ac:dyDescent="0.35">
      <c r="A1086" t="s">
        <v>121</v>
      </c>
      <c r="B1086">
        <v>2097</v>
      </c>
      <c r="C1086" t="s">
        <v>41</v>
      </c>
      <c r="D1086">
        <v>674</v>
      </c>
      <c r="E1086">
        <v>6268277.6100000003</v>
      </c>
      <c r="F1086">
        <v>531977</v>
      </c>
      <c r="G1086">
        <f>tblMoeHistory[[#This Row],[LEA State and Local Amount]]+tblMoeHistory[[#This Row],[ESD State and Local Amount]]</f>
        <v>6800254.6100000003</v>
      </c>
      <c r="H1086">
        <v>0</v>
      </c>
      <c r="I1086" t="s">
        <v>241</v>
      </c>
      <c r="J1086">
        <f>IFERROR(tblMoeHistory[[#This Row],[LEA State and Local Amount]]/tblMoeHistory[[#This Row],[Child Count]],0)</f>
        <v>9300.1151483679532</v>
      </c>
      <c r="K1086">
        <f>IFERROR(tblMoeHistory[[#This Row],[ESD State and Local Amount]]/tblMoeHistory[[#This Row],[Child Count]],0)</f>
        <v>789.28338278931756</v>
      </c>
      <c r="L1086">
        <f>IFERROR(tblMoeHistory[[#This Row],[State and Local Total Amount]]/tblMoeHistory[[#This Row],[Child Count]],0)</f>
        <v>10089.398531157271</v>
      </c>
      <c r="M1086">
        <v>0</v>
      </c>
      <c r="N1086" t="s">
        <v>241</v>
      </c>
      <c r="O1086">
        <v>938907.34</v>
      </c>
      <c r="P1086">
        <v>10121.25</v>
      </c>
      <c r="Q1086">
        <f>tblMoeHistory[[#This Row],[Amount of IDEA Part B, Section 611 award]]+tblMoeHistory[[#This Row],[Amount of IDEA Part B, Section 619 award]]</f>
        <v>949028.59</v>
      </c>
      <c r="U10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6" t="str">
        <f>IF(OR(IFERROR(SEARCH("Met",tblMoeHistory[[#This Row],[State and Local Per Capita Result]]),0)&gt;0,IFERROR(SEARCH("Met",tblMoeHistory[[#This Row],[State and Local Total Result]]),0)&gt;0),"Met","Not Met")</f>
        <v>Met</v>
      </c>
    </row>
    <row r="1087" spans="1:22" x14ac:dyDescent="0.35">
      <c r="A1087" t="s">
        <v>122</v>
      </c>
      <c r="B1087">
        <v>2012</v>
      </c>
      <c r="C1087" t="s">
        <v>41</v>
      </c>
      <c r="D1087">
        <v>5</v>
      </c>
      <c r="E1087">
        <v>30278.240000000002</v>
      </c>
      <c r="F1087">
        <v>51946.14</v>
      </c>
      <c r="G1087">
        <f>tblMoeHistory[[#This Row],[LEA State and Local Amount]]+tblMoeHistory[[#This Row],[ESD State and Local Amount]]</f>
        <v>82224.38</v>
      </c>
      <c r="H1087">
        <v>0</v>
      </c>
      <c r="I1087" t="s">
        <v>241</v>
      </c>
      <c r="J1087">
        <f>IFERROR(tblMoeHistory[[#This Row],[LEA State and Local Amount]]/tblMoeHistory[[#This Row],[Child Count]],0)</f>
        <v>6055.6480000000001</v>
      </c>
      <c r="K1087">
        <f>IFERROR(tblMoeHistory[[#This Row],[ESD State and Local Amount]]/tblMoeHistory[[#This Row],[Child Count]],0)</f>
        <v>10389.227999999999</v>
      </c>
      <c r="L1087">
        <f>IFERROR(tblMoeHistory[[#This Row],[State and Local Total Amount]]/tblMoeHistory[[#This Row],[Child Count]],0)</f>
        <v>16444.876</v>
      </c>
      <c r="M1087">
        <v>117779.8</v>
      </c>
      <c r="N1087" t="s">
        <v>240</v>
      </c>
      <c r="O1087">
        <v>7157.09</v>
      </c>
      <c r="P1087">
        <v>0</v>
      </c>
      <c r="Q1087">
        <f>tblMoeHistory[[#This Row],[Amount of IDEA Part B, Section 611 award]]+tblMoeHistory[[#This Row],[Amount of IDEA Part B, Section 619 award]]</f>
        <v>7157.09</v>
      </c>
      <c r="U10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7" t="str">
        <f>IF(OR(IFERROR(SEARCH("Met",tblMoeHistory[[#This Row],[State and Local Per Capita Result]]),0)&gt;0,IFERROR(SEARCH("Met",tblMoeHistory[[#This Row],[State and Local Total Result]]),0)&gt;0),"Met","Not Met")</f>
        <v>Met</v>
      </c>
    </row>
    <row r="1088" spans="1:22" x14ac:dyDescent="0.35">
      <c r="A1088" t="s">
        <v>123</v>
      </c>
      <c r="B1088">
        <v>2092</v>
      </c>
      <c r="C1088" t="s">
        <v>41</v>
      </c>
      <c r="D1088">
        <v>53</v>
      </c>
      <c r="E1088">
        <v>436382.26</v>
      </c>
      <c r="F1088">
        <v>97821</v>
      </c>
      <c r="G1088">
        <f>tblMoeHistory[[#This Row],[LEA State and Local Amount]]+tblMoeHistory[[#This Row],[ESD State and Local Amount]]</f>
        <v>534203.26</v>
      </c>
      <c r="H1088">
        <v>0</v>
      </c>
      <c r="I1088" t="s">
        <v>242</v>
      </c>
      <c r="J1088">
        <f>IFERROR(tblMoeHistory[[#This Row],[LEA State and Local Amount]]/tblMoeHistory[[#This Row],[Child Count]],0)</f>
        <v>8233.6275471698118</v>
      </c>
      <c r="K1088">
        <f>IFERROR(tblMoeHistory[[#This Row],[ESD State and Local Amount]]/tblMoeHistory[[#This Row],[Child Count]],0)</f>
        <v>1845.6792452830189</v>
      </c>
      <c r="L1088">
        <f>IFERROR(tblMoeHistory[[#This Row],[State and Local Total Amount]]/tblMoeHistory[[#This Row],[Child Count]],0)</f>
        <v>10079.30679245283</v>
      </c>
      <c r="M1088">
        <v>65927.539999999994</v>
      </c>
      <c r="N1088" t="s">
        <v>240</v>
      </c>
      <c r="O1088">
        <v>61786.77</v>
      </c>
      <c r="P1088">
        <v>196.72</v>
      </c>
      <c r="Q1088">
        <f>tblMoeHistory[[#This Row],[Amount of IDEA Part B, Section 611 award]]+tblMoeHistory[[#This Row],[Amount of IDEA Part B, Section 619 award]]</f>
        <v>61983.49</v>
      </c>
      <c r="S1088">
        <v>6968</v>
      </c>
      <c r="U10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8" t="str">
        <f>IF(OR(IFERROR(SEARCH("Met",tblMoeHistory[[#This Row],[State and Local Per Capita Result]]),0)&gt;0,IFERROR(SEARCH("Met",tblMoeHistory[[#This Row],[State and Local Total Result]]),0)&gt;0),"Met","Not Met")</f>
        <v>Met</v>
      </c>
    </row>
    <row r="1089" spans="1:22" x14ac:dyDescent="0.35">
      <c r="A1089" t="s">
        <v>124</v>
      </c>
      <c r="B1089">
        <v>2112</v>
      </c>
      <c r="C1089" t="s">
        <v>41</v>
      </c>
      <c r="D1089">
        <v>0</v>
      </c>
      <c r="E1089">
        <v>0</v>
      </c>
      <c r="F1089">
        <v>264.45999999999998</v>
      </c>
      <c r="G1089">
        <f>tblMoeHistory[[#This Row],[LEA State and Local Amount]]+tblMoeHistory[[#This Row],[ESD State and Local Amount]]</f>
        <v>264.45999999999998</v>
      </c>
      <c r="H1089">
        <v>0</v>
      </c>
      <c r="I1089" t="s">
        <v>241</v>
      </c>
      <c r="J1089">
        <f>IFERROR(tblMoeHistory[[#This Row],[LEA State and Local Amount]]/tblMoeHistory[[#This Row],[Child Count]],0)</f>
        <v>0</v>
      </c>
      <c r="K1089">
        <f>IFERROR(tblMoeHistory[[#This Row],[ESD State and Local Amount]]/tblMoeHistory[[#This Row],[Child Count]],0)</f>
        <v>0</v>
      </c>
      <c r="L1089">
        <f>IFERROR(tblMoeHistory[[#This Row],[State and Local Total Amount]]/tblMoeHistory[[#This Row],[Child Count]],0)</f>
        <v>0</v>
      </c>
      <c r="M1089">
        <v>0</v>
      </c>
      <c r="N1089" t="s">
        <v>241</v>
      </c>
      <c r="O1089">
        <v>771.95</v>
      </c>
      <c r="P1089">
        <v>0</v>
      </c>
      <c r="Q1089">
        <f>tblMoeHistory[[#This Row],[Amount of IDEA Part B, Section 611 award]]+tblMoeHistory[[#This Row],[Amount of IDEA Part B, Section 619 award]]</f>
        <v>771.95</v>
      </c>
      <c r="U10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9" t="str">
        <f>IF(OR(IFERROR(SEARCH("Met",tblMoeHistory[[#This Row],[State and Local Per Capita Result]]),0)&gt;0,IFERROR(SEARCH("Met",tblMoeHistory[[#This Row],[State and Local Total Result]]),0)&gt;0),"Met","Not Met")</f>
        <v>Met</v>
      </c>
    </row>
    <row r="1090" spans="1:22" x14ac:dyDescent="0.35">
      <c r="A1090" t="s">
        <v>125</v>
      </c>
      <c r="B1090">
        <v>2085</v>
      </c>
      <c r="C1090" t="s">
        <v>41</v>
      </c>
      <c r="D1090">
        <v>32</v>
      </c>
      <c r="E1090">
        <v>229650.93</v>
      </c>
      <c r="F1090">
        <v>93389</v>
      </c>
      <c r="G1090">
        <f>tblMoeHistory[[#This Row],[LEA State and Local Amount]]+tblMoeHistory[[#This Row],[ESD State and Local Amount]]</f>
        <v>323039.93</v>
      </c>
      <c r="H1090">
        <v>0</v>
      </c>
      <c r="I1090" t="s">
        <v>241</v>
      </c>
      <c r="J1090">
        <f>IFERROR(tblMoeHistory[[#This Row],[LEA State and Local Amount]]/tblMoeHistory[[#This Row],[Child Count]],0)</f>
        <v>7176.5915624999998</v>
      </c>
      <c r="K1090">
        <f>IFERROR(tblMoeHistory[[#This Row],[ESD State and Local Amount]]/tblMoeHistory[[#This Row],[Child Count]],0)</f>
        <v>2918.40625</v>
      </c>
      <c r="L1090">
        <f>IFERROR(tblMoeHistory[[#This Row],[State and Local Total Amount]]/tblMoeHistory[[#This Row],[Child Count]],0)</f>
        <v>10094.9978125</v>
      </c>
      <c r="M1090">
        <v>0</v>
      </c>
      <c r="N1090" t="s">
        <v>241</v>
      </c>
      <c r="O1090">
        <v>51132.25</v>
      </c>
      <c r="P1090">
        <v>0</v>
      </c>
      <c r="Q1090">
        <f>tblMoeHistory[[#This Row],[Amount of IDEA Part B, Section 611 award]]+tblMoeHistory[[#This Row],[Amount of IDEA Part B, Section 619 award]]</f>
        <v>51132.25</v>
      </c>
      <c r="U10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0" t="str">
        <f>IF(OR(IFERROR(SEARCH("Met",tblMoeHistory[[#This Row],[State and Local Per Capita Result]]),0)&gt;0,IFERROR(SEARCH("Met",tblMoeHistory[[#This Row],[State and Local Total Result]]),0)&gt;0),"Met","Not Met")</f>
        <v>Met</v>
      </c>
    </row>
    <row r="1091" spans="1:22" x14ac:dyDescent="0.35">
      <c r="A1091" t="s">
        <v>126</v>
      </c>
      <c r="B1091">
        <v>2094</v>
      </c>
      <c r="C1091" t="s">
        <v>41</v>
      </c>
      <c r="D1091">
        <v>39</v>
      </c>
      <c r="E1091">
        <v>240107.83</v>
      </c>
      <c r="F1091">
        <v>75144</v>
      </c>
      <c r="G1091">
        <f>tblMoeHistory[[#This Row],[LEA State and Local Amount]]+tblMoeHistory[[#This Row],[ESD State and Local Amount]]</f>
        <v>315251.82999999996</v>
      </c>
      <c r="H1091">
        <v>0</v>
      </c>
      <c r="I1091" t="s">
        <v>241</v>
      </c>
      <c r="J1091">
        <f>IFERROR(tblMoeHistory[[#This Row],[LEA State and Local Amount]]/tblMoeHistory[[#This Row],[Child Count]],0)</f>
        <v>6156.6110256410257</v>
      </c>
      <c r="K1091">
        <f>IFERROR(tblMoeHistory[[#This Row],[ESD State and Local Amount]]/tblMoeHistory[[#This Row],[Child Count]],0)</f>
        <v>1926.7692307692307</v>
      </c>
      <c r="L1091">
        <f>IFERROR(tblMoeHistory[[#This Row],[State and Local Total Amount]]/tblMoeHistory[[#This Row],[Child Count]],0)</f>
        <v>8083.3802564102552</v>
      </c>
      <c r="M1091">
        <v>82398.570000000007</v>
      </c>
      <c r="N1091" t="s">
        <v>240</v>
      </c>
      <c r="O1091">
        <v>45104.47</v>
      </c>
      <c r="P1091">
        <v>612.02</v>
      </c>
      <c r="Q1091">
        <f>tblMoeHistory[[#This Row],[Amount of IDEA Part B, Section 611 award]]+tblMoeHistory[[#This Row],[Amount of IDEA Part B, Section 619 award]]</f>
        <v>45716.49</v>
      </c>
      <c r="U10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1" t="str">
        <f>IF(OR(IFERROR(SEARCH("Met",tblMoeHistory[[#This Row],[State and Local Per Capita Result]]),0)&gt;0,IFERROR(SEARCH("Met",tblMoeHistory[[#This Row],[State and Local Total Result]]),0)&gt;0),"Met","Not Met")</f>
        <v>Met</v>
      </c>
    </row>
    <row r="1092" spans="1:22" x14ac:dyDescent="0.35">
      <c r="A1092" t="s">
        <v>127</v>
      </c>
      <c r="B1092">
        <v>2090</v>
      </c>
      <c r="C1092" t="s">
        <v>41</v>
      </c>
      <c r="D1092">
        <v>30</v>
      </c>
      <c r="E1092">
        <v>321572.31</v>
      </c>
      <c r="F1092">
        <v>84287</v>
      </c>
      <c r="G1092">
        <f>tblMoeHistory[[#This Row],[LEA State and Local Amount]]+tblMoeHistory[[#This Row],[ESD State and Local Amount]]</f>
        <v>405859.31</v>
      </c>
      <c r="H1092">
        <v>0</v>
      </c>
      <c r="I1092" t="s">
        <v>241</v>
      </c>
      <c r="J1092">
        <f>IFERROR(tblMoeHistory[[#This Row],[LEA State and Local Amount]]/tblMoeHistory[[#This Row],[Child Count]],0)</f>
        <v>10719.076999999999</v>
      </c>
      <c r="K1092">
        <f>IFERROR(tblMoeHistory[[#This Row],[ESD State and Local Amount]]/tblMoeHistory[[#This Row],[Child Count]],0)</f>
        <v>2809.5666666666666</v>
      </c>
      <c r="L1092">
        <f>IFERROR(tblMoeHistory[[#This Row],[State and Local Total Amount]]/tblMoeHistory[[#This Row],[Child Count]],0)</f>
        <v>13528.643666666667</v>
      </c>
      <c r="M1092">
        <v>0</v>
      </c>
      <c r="N1092" t="s">
        <v>241</v>
      </c>
      <c r="O1092">
        <v>46429.63</v>
      </c>
      <c r="P1092">
        <v>153</v>
      </c>
      <c r="Q1092">
        <f>tblMoeHistory[[#This Row],[Amount of IDEA Part B, Section 611 award]]+tblMoeHistory[[#This Row],[Amount of IDEA Part B, Section 619 award]]</f>
        <v>46582.63</v>
      </c>
      <c r="U10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2" t="str">
        <f>IF(OR(IFERROR(SEARCH("Met",tblMoeHistory[[#This Row],[State and Local Per Capita Result]]),0)&gt;0,IFERROR(SEARCH("Met",tblMoeHistory[[#This Row],[State and Local Total Result]]),0)&gt;0),"Met","Not Met")</f>
        <v>Met</v>
      </c>
    </row>
    <row r="1093" spans="1:22" x14ac:dyDescent="0.35">
      <c r="A1093" t="s">
        <v>128</v>
      </c>
      <c r="B1093">
        <v>2256</v>
      </c>
      <c r="C1093" t="s">
        <v>41</v>
      </c>
      <c r="D1093">
        <v>781</v>
      </c>
      <c r="E1093">
        <v>6468574.9400000004</v>
      </c>
      <c r="F1093">
        <v>26440.9</v>
      </c>
      <c r="G1093">
        <f>tblMoeHistory[[#This Row],[LEA State and Local Amount]]+tblMoeHistory[[#This Row],[ESD State and Local Amount]]</f>
        <v>6495015.8400000008</v>
      </c>
      <c r="H1093">
        <v>0</v>
      </c>
      <c r="I1093" t="s">
        <v>241</v>
      </c>
      <c r="J1093">
        <f>IFERROR(tblMoeHistory[[#This Row],[LEA State and Local Amount]]/tblMoeHistory[[#This Row],[Child Count]],0)</f>
        <v>8282.4262996158777</v>
      </c>
      <c r="K1093">
        <f>IFERROR(tblMoeHistory[[#This Row],[ESD State and Local Amount]]/tblMoeHistory[[#This Row],[Child Count]],0)</f>
        <v>33.855185659411013</v>
      </c>
      <c r="L1093">
        <f>IFERROR(tblMoeHistory[[#This Row],[State and Local Total Amount]]/tblMoeHistory[[#This Row],[Child Count]],0)</f>
        <v>8316.281485275289</v>
      </c>
      <c r="M1093">
        <v>0</v>
      </c>
      <c r="N1093" t="s">
        <v>241</v>
      </c>
      <c r="O1093">
        <v>927932.85</v>
      </c>
      <c r="P1093">
        <v>11016.32</v>
      </c>
      <c r="Q1093">
        <f>tblMoeHistory[[#This Row],[Amount of IDEA Part B, Section 611 award]]+tblMoeHistory[[#This Row],[Amount of IDEA Part B, Section 619 award]]</f>
        <v>938949.16999999993</v>
      </c>
      <c r="U10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3" t="str">
        <f>IF(OR(IFERROR(SEARCH("Met",tblMoeHistory[[#This Row],[State and Local Per Capita Result]]),0)&gt;0,IFERROR(SEARCH("Met",tblMoeHistory[[#This Row],[State and Local Total Result]]),0)&gt;0),"Met","Not Met")</f>
        <v>Met</v>
      </c>
    </row>
    <row r="1094" spans="1:22" x14ac:dyDescent="0.35">
      <c r="A1094" t="s">
        <v>129</v>
      </c>
      <c r="B1094">
        <v>2048</v>
      </c>
      <c r="C1094" t="s">
        <v>41</v>
      </c>
      <c r="D1094">
        <v>1709</v>
      </c>
      <c r="E1094">
        <v>12681415.560000001</v>
      </c>
      <c r="F1094">
        <v>1835221.64</v>
      </c>
      <c r="G1094">
        <f>tblMoeHistory[[#This Row],[LEA State and Local Amount]]+tblMoeHistory[[#This Row],[ESD State and Local Amount]]</f>
        <v>14516637.200000001</v>
      </c>
      <c r="H1094">
        <v>0</v>
      </c>
      <c r="I1094" t="s">
        <v>241</v>
      </c>
      <c r="J1094">
        <f>IFERROR(tblMoeHistory[[#This Row],[LEA State and Local Amount]]/tblMoeHistory[[#This Row],[Child Count]],0)</f>
        <v>7420.3718899941487</v>
      </c>
      <c r="K1094">
        <f>IFERROR(tblMoeHistory[[#This Row],[ESD State and Local Amount]]/tblMoeHistory[[#This Row],[Child Count]],0)</f>
        <v>1073.8570157987126</v>
      </c>
      <c r="L1094">
        <f>IFERROR(tblMoeHistory[[#This Row],[State and Local Total Amount]]/tblMoeHistory[[#This Row],[Child Count]],0)</f>
        <v>8494.2289057928629</v>
      </c>
      <c r="M1094">
        <v>232802.53</v>
      </c>
      <c r="N1094" t="s">
        <v>240</v>
      </c>
      <c r="O1094">
        <v>2037572.8</v>
      </c>
      <c r="P1094">
        <v>21961.53</v>
      </c>
      <c r="Q1094">
        <f>tblMoeHistory[[#This Row],[Amount of IDEA Part B, Section 611 award]]+tblMoeHistory[[#This Row],[Amount of IDEA Part B, Section 619 award]]</f>
        <v>2059534.33</v>
      </c>
      <c r="U10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4" t="str">
        <f>IF(OR(IFERROR(SEARCH("Met",tblMoeHistory[[#This Row],[State and Local Per Capita Result]]),0)&gt;0,IFERROR(SEARCH("Met",tblMoeHistory[[#This Row],[State and Local Total Result]]),0)&gt;0),"Met","Not Met")</f>
        <v>Met</v>
      </c>
    </row>
    <row r="1095" spans="1:22" x14ac:dyDescent="0.35">
      <c r="A1095" t="s">
        <v>130</v>
      </c>
      <c r="B1095">
        <v>2205</v>
      </c>
      <c r="C1095" t="s">
        <v>41</v>
      </c>
      <c r="D1095">
        <v>184</v>
      </c>
      <c r="E1095">
        <v>1470697.07</v>
      </c>
      <c r="F1095">
        <v>309729.33</v>
      </c>
      <c r="G1095">
        <f>tblMoeHistory[[#This Row],[LEA State and Local Amount]]+tblMoeHistory[[#This Row],[ESD State and Local Amount]]</f>
        <v>1780426.4000000001</v>
      </c>
      <c r="H1095">
        <v>0</v>
      </c>
      <c r="I1095" t="s">
        <v>241</v>
      </c>
      <c r="J1095">
        <f>IFERROR(tblMoeHistory[[#This Row],[LEA State and Local Amount]]/tblMoeHistory[[#This Row],[Child Count]],0)</f>
        <v>7992.9188586956525</v>
      </c>
      <c r="K1095">
        <f>IFERROR(tblMoeHistory[[#This Row],[ESD State and Local Amount]]/tblMoeHistory[[#This Row],[Child Count]],0)</f>
        <v>1683.3115760869566</v>
      </c>
      <c r="L1095">
        <f>IFERROR(tblMoeHistory[[#This Row],[State and Local Total Amount]]/tblMoeHistory[[#This Row],[Child Count]],0)</f>
        <v>9676.2304347826102</v>
      </c>
      <c r="M1095">
        <v>0</v>
      </c>
      <c r="N1095" t="s">
        <v>241</v>
      </c>
      <c r="O1095">
        <v>296743.27</v>
      </c>
      <c r="P1095">
        <v>3332.1</v>
      </c>
      <c r="Q1095">
        <f>tblMoeHistory[[#This Row],[Amount of IDEA Part B, Section 611 award]]+tblMoeHistory[[#This Row],[Amount of IDEA Part B, Section 619 award]]</f>
        <v>300075.37</v>
      </c>
      <c r="U10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5" t="str">
        <f>IF(OR(IFERROR(SEARCH("Met",tblMoeHistory[[#This Row],[State and Local Per Capita Result]]),0)&gt;0,IFERROR(SEARCH("Met",tblMoeHistory[[#This Row],[State and Local Total Result]]),0)&gt;0),"Met","Not Met")</f>
        <v>Met</v>
      </c>
    </row>
    <row r="1096" spans="1:22" x14ac:dyDescent="0.35">
      <c r="A1096" t="s">
        <v>131</v>
      </c>
      <c r="B1096">
        <v>2249</v>
      </c>
      <c r="C1096" t="s">
        <v>41</v>
      </c>
      <c r="D1096">
        <v>56</v>
      </c>
      <c r="E1096">
        <v>35934.85</v>
      </c>
      <c r="F1096">
        <v>44579</v>
      </c>
      <c r="G1096">
        <f>tblMoeHistory[[#This Row],[LEA State and Local Amount]]+tblMoeHistory[[#This Row],[ESD State and Local Amount]]</f>
        <v>80513.850000000006</v>
      </c>
      <c r="H1096">
        <v>0</v>
      </c>
      <c r="I1096" t="s">
        <v>241</v>
      </c>
      <c r="J1096">
        <f>IFERROR(tblMoeHistory[[#This Row],[LEA State and Local Amount]]/tblMoeHistory[[#This Row],[Child Count]],0)</f>
        <v>641.69375000000002</v>
      </c>
      <c r="K1096">
        <f>IFERROR(tblMoeHistory[[#This Row],[ESD State and Local Amount]]/tblMoeHistory[[#This Row],[Child Count]],0)</f>
        <v>796.05357142857144</v>
      </c>
      <c r="L1096">
        <f>IFERROR(tblMoeHistory[[#This Row],[State and Local Total Amount]]/tblMoeHistory[[#This Row],[Child Count]],0)</f>
        <v>1437.7473214285715</v>
      </c>
      <c r="M1096">
        <v>542321.17000000004</v>
      </c>
      <c r="N1096" t="s">
        <v>240</v>
      </c>
      <c r="O1096">
        <v>13549.06</v>
      </c>
      <c r="P1096">
        <v>0</v>
      </c>
      <c r="Q1096">
        <f>tblMoeHistory[[#This Row],[Amount of IDEA Part B, Section 611 award]]+tblMoeHistory[[#This Row],[Amount of IDEA Part B, Section 619 award]]</f>
        <v>13549.06</v>
      </c>
      <c r="U10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6" t="str">
        <f>IF(OR(IFERROR(SEARCH("Met",tblMoeHistory[[#This Row],[State and Local Per Capita Result]]),0)&gt;0,IFERROR(SEARCH("Met",tblMoeHistory[[#This Row],[State and Local Total Result]]),0)&gt;0),"Met","Not Met")</f>
        <v>Met</v>
      </c>
    </row>
    <row r="1097" spans="1:22" x14ac:dyDescent="0.35">
      <c r="A1097" t="s">
        <v>132</v>
      </c>
      <c r="B1097">
        <v>1925</v>
      </c>
      <c r="C1097" t="s">
        <v>41</v>
      </c>
      <c r="D1097">
        <v>430</v>
      </c>
      <c r="E1097">
        <v>3451820.06</v>
      </c>
      <c r="F1097">
        <v>404674</v>
      </c>
      <c r="G1097">
        <f>tblMoeHistory[[#This Row],[LEA State and Local Amount]]+tblMoeHistory[[#This Row],[ESD State and Local Amount]]</f>
        <v>3856494.06</v>
      </c>
      <c r="H1097">
        <v>0</v>
      </c>
      <c r="I1097" t="s">
        <v>242</v>
      </c>
      <c r="J1097">
        <f>IFERROR(tblMoeHistory[[#This Row],[LEA State and Local Amount]]/tblMoeHistory[[#This Row],[Child Count]],0)</f>
        <v>8027.4885116279074</v>
      </c>
      <c r="K1097">
        <f>IFERROR(tblMoeHistory[[#This Row],[ESD State and Local Amount]]/tblMoeHistory[[#This Row],[Child Count]],0)</f>
        <v>941.10232558139535</v>
      </c>
      <c r="L1097">
        <f>IFERROR(tblMoeHistory[[#This Row],[State and Local Total Amount]]/tblMoeHistory[[#This Row],[Child Count]],0)</f>
        <v>8968.5908372093018</v>
      </c>
      <c r="M1097">
        <v>71343.88</v>
      </c>
      <c r="N1097" t="s">
        <v>240</v>
      </c>
      <c r="O1097">
        <v>429942.03</v>
      </c>
      <c r="P1097">
        <v>2922.7</v>
      </c>
      <c r="Q1097">
        <f>tblMoeHistory[[#This Row],[Amount of IDEA Part B, Section 611 award]]+tblMoeHistory[[#This Row],[Amount of IDEA Part B, Section 619 award]]</f>
        <v>432864.73000000004</v>
      </c>
      <c r="S1097">
        <v>33762</v>
      </c>
      <c r="U10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7" t="str">
        <f>IF(OR(IFERROR(SEARCH("Met",tblMoeHistory[[#This Row],[State and Local Per Capita Result]]),0)&gt;0,IFERROR(SEARCH("Met",tblMoeHistory[[#This Row],[State and Local Total Result]]),0)&gt;0),"Met","Not Met")</f>
        <v>Met</v>
      </c>
    </row>
    <row r="1098" spans="1:22" x14ac:dyDescent="0.35">
      <c r="A1098" t="s">
        <v>133</v>
      </c>
      <c r="B1098">
        <v>1898</v>
      </c>
      <c r="C1098" t="s">
        <v>41</v>
      </c>
      <c r="D1098">
        <v>66</v>
      </c>
      <c r="E1098">
        <v>634284.85</v>
      </c>
      <c r="F1098">
        <v>59049</v>
      </c>
      <c r="G1098">
        <f>tblMoeHistory[[#This Row],[LEA State and Local Amount]]+tblMoeHistory[[#This Row],[ESD State and Local Amount]]</f>
        <v>693333.85</v>
      </c>
      <c r="H1098">
        <v>0</v>
      </c>
      <c r="I1098" t="s">
        <v>241</v>
      </c>
      <c r="J1098">
        <f>IFERROR(tblMoeHistory[[#This Row],[LEA State and Local Amount]]/tblMoeHistory[[#This Row],[Child Count]],0)</f>
        <v>9610.3765151515145</v>
      </c>
      <c r="K1098">
        <f>IFERROR(tblMoeHistory[[#This Row],[ESD State and Local Amount]]/tblMoeHistory[[#This Row],[Child Count]],0)</f>
        <v>894.68181818181813</v>
      </c>
      <c r="L1098">
        <f>IFERROR(tblMoeHistory[[#This Row],[State and Local Total Amount]]/tblMoeHistory[[#This Row],[Child Count]],0)</f>
        <v>10505.058333333332</v>
      </c>
      <c r="M1098">
        <v>0</v>
      </c>
      <c r="N1098" t="s">
        <v>241</v>
      </c>
      <c r="O1098">
        <v>78098.34</v>
      </c>
      <c r="P1098">
        <v>550.82000000000005</v>
      </c>
      <c r="Q1098">
        <f>tblMoeHistory[[#This Row],[Amount of IDEA Part B, Section 611 award]]+tblMoeHistory[[#This Row],[Amount of IDEA Part B, Section 619 award]]</f>
        <v>78649.16</v>
      </c>
      <c r="U10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8" t="str">
        <f>IF(OR(IFERROR(SEARCH("Met",tblMoeHistory[[#This Row],[State and Local Per Capita Result]]),0)&gt;0,IFERROR(SEARCH("Met",tblMoeHistory[[#This Row],[State and Local Total Result]]),0)&gt;0),"Met","Not Met")</f>
        <v>Met</v>
      </c>
    </row>
    <row r="1099" spans="1:22" x14ac:dyDescent="0.35">
      <c r="A1099" t="s">
        <v>134</v>
      </c>
      <c r="B1099">
        <v>2010</v>
      </c>
      <c r="C1099" t="s">
        <v>41</v>
      </c>
      <c r="D1099">
        <v>8</v>
      </c>
      <c r="E1099">
        <v>0</v>
      </c>
      <c r="F1099">
        <v>88998.22</v>
      </c>
      <c r="G1099">
        <f>tblMoeHistory[[#This Row],[LEA State and Local Amount]]+tblMoeHistory[[#This Row],[ESD State and Local Amount]]</f>
        <v>88998.22</v>
      </c>
      <c r="H1099">
        <v>0</v>
      </c>
      <c r="I1099" t="s">
        <v>242</v>
      </c>
      <c r="J1099">
        <f>IFERROR(tblMoeHistory[[#This Row],[LEA State and Local Amount]]/tblMoeHistory[[#This Row],[Child Count]],0)</f>
        <v>0</v>
      </c>
      <c r="K1099">
        <f>IFERROR(tblMoeHistory[[#This Row],[ESD State and Local Amount]]/tblMoeHistory[[#This Row],[Child Count]],0)</f>
        <v>11124.7775</v>
      </c>
      <c r="L1099">
        <f>IFERROR(tblMoeHistory[[#This Row],[State and Local Total Amount]]/tblMoeHistory[[#This Row],[Child Count]],0)</f>
        <v>11124.7775</v>
      </c>
      <c r="M1099">
        <v>0</v>
      </c>
      <c r="N1099" t="s">
        <v>241</v>
      </c>
      <c r="O1099">
        <v>10722.01</v>
      </c>
      <c r="P1099">
        <v>0</v>
      </c>
      <c r="Q1099">
        <f>tblMoeHistory[[#This Row],[Amount of IDEA Part B, Section 611 award]]+tblMoeHistory[[#This Row],[Amount of IDEA Part B, Section 619 award]]</f>
        <v>10722.01</v>
      </c>
      <c r="S1099">
        <v>18219</v>
      </c>
      <c r="T1099">
        <v>18219</v>
      </c>
      <c r="U10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9" t="str">
        <f>IF(OR(IFERROR(SEARCH("Met",tblMoeHistory[[#This Row],[State and Local Per Capita Result]]),0)&gt;0,IFERROR(SEARCH("Met",tblMoeHistory[[#This Row],[State and Local Total Result]]),0)&gt;0),"Met","Not Met")</f>
        <v>Met</v>
      </c>
    </row>
    <row r="1100" spans="1:22" x14ac:dyDescent="0.35">
      <c r="A1100" t="s">
        <v>135</v>
      </c>
      <c r="B1100">
        <v>2147</v>
      </c>
      <c r="C1100" t="s">
        <v>41</v>
      </c>
      <c r="D1100">
        <v>268</v>
      </c>
      <c r="E1100">
        <v>1608470.43</v>
      </c>
      <c r="F1100">
        <v>451106.22</v>
      </c>
      <c r="G1100">
        <f>tblMoeHistory[[#This Row],[LEA State and Local Amount]]+tblMoeHistory[[#This Row],[ESD State and Local Amount]]</f>
        <v>2059576.65</v>
      </c>
      <c r="H1100">
        <v>0</v>
      </c>
      <c r="I1100" t="s">
        <v>241</v>
      </c>
      <c r="J1100">
        <f>IFERROR(tblMoeHistory[[#This Row],[LEA State and Local Amount]]/tblMoeHistory[[#This Row],[Child Count]],0)</f>
        <v>6001.7553358208952</v>
      </c>
      <c r="K1100">
        <f>IFERROR(tblMoeHistory[[#This Row],[ESD State and Local Amount]]/tblMoeHistory[[#This Row],[Child Count]],0)</f>
        <v>1683.2321641791043</v>
      </c>
      <c r="L1100">
        <f>IFERROR(tblMoeHistory[[#This Row],[State and Local Total Amount]]/tblMoeHistory[[#This Row],[Child Count]],0)</f>
        <v>7684.9874999999993</v>
      </c>
      <c r="M1100">
        <v>0</v>
      </c>
      <c r="N1100" t="s">
        <v>241</v>
      </c>
      <c r="O1100">
        <v>316488.03000000003</v>
      </c>
      <c r="P1100">
        <v>1501.1</v>
      </c>
      <c r="Q1100">
        <f>tblMoeHistory[[#This Row],[Amount of IDEA Part B, Section 611 award]]+tblMoeHistory[[#This Row],[Amount of IDEA Part B, Section 619 award]]</f>
        <v>317989.13</v>
      </c>
      <c r="U11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0" t="str">
        <f>IF(OR(IFERROR(SEARCH("Met",tblMoeHistory[[#This Row],[State and Local Per Capita Result]]),0)&gt;0,IFERROR(SEARCH("Met",tblMoeHistory[[#This Row],[State and Local Total Result]]),0)&gt;0),"Met","Not Met")</f>
        <v>Met</v>
      </c>
    </row>
    <row r="1101" spans="1:22" x14ac:dyDescent="0.35">
      <c r="A1101" t="s">
        <v>136</v>
      </c>
      <c r="B1101">
        <v>2145</v>
      </c>
      <c r="C1101" t="s">
        <v>41</v>
      </c>
      <c r="D1101">
        <v>71</v>
      </c>
      <c r="E1101">
        <v>431808.95</v>
      </c>
      <c r="F1101">
        <v>80433.91</v>
      </c>
      <c r="G1101">
        <f>tblMoeHistory[[#This Row],[LEA State and Local Amount]]+tblMoeHistory[[#This Row],[ESD State and Local Amount]]</f>
        <v>512242.86</v>
      </c>
      <c r="H1101">
        <v>0</v>
      </c>
      <c r="I1101" t="s">
        <v>241</v>
      </c>
      <c r="J1101">
        <f>IFERROR(tblMoeHistory[[#This Row],[LEA State and Local Amount]]/tblMoeHistory[[#This Row],[Child Count]],0)</f>
        <v>6081.8161971830987</v>
      </c>
      <c r="K1101">
        <f>IFERROR(tblMoeHistory[[#This Row],[ESD State and Local Amount]]/tblMoeHistory[[#This Row],[Child Count]],0)</f>
        <v>1132.871971830986</v>
      </c>
      <c r="L1101">
        <f>IFERROR(tblMoeHistory[[#This Row],[State and Local Total Amount]]/tblMoeHistory[[#This Row],[Child Count]],0)</f>
        <v>7214.6881690140845</v>
      </c>
      <c r="M1101">
        <v>30581.23</v>
      </c>
      <c r="N1101" t="s">
        <v>240</v>
      </c>
      <c r="O1101">
        <v>114073.01</v>
      </c>
      <c r="P1101">
        <v>803.27</v>
      </c>
      <c r="Q1101">
        <f>tblMoeHistory[[#This Row],[Amount of IDEA Part B, Section 611 award]]+tblMoeHistory[[#This Row],[Amount of IDEA Part B, Section 619 award]]</f>
        <v>114876.28</v>
      </c>
      <c r="U11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1" t="str">
        <f>IF(OR(IFERROR(SEARCH("Met",tblMoeHistory[[#This Row],[State and Local Per Capita Result]]),0)&gt;0,IFERROR(SEARCH("Met",tblMoeHistory[[#This Row],[State and Local Total Result]]),0)&gt;0),"Met","Not Met")</f>
        <v>Met</v>
      </c>
    </row>
    <row r="1102" spans="1:22" x14ac:dyDescent="0.35">
      <c r="A1102" t="s">
        <v>137</v>
      </c>
      <c r="B1102">
        <v>1968</v>
      </c>
      <c r="C1102" t="s">
        <v>41</v>
      </c>
      <c r="D1102">
        <v>79</v>
      </c>
      <c r="E1102">
        <v>703918.02</v>
      </c>
      <c r="F1102">
        <v>76854</v>
      </c>
      <c r="G1102">
        <f>tblMoeHistory[[#This Row],[LEA State and Local Amount]]+tblMoeHistory[[#This Row],[ESD State and Local Amount]]</f>
        <v>780772.02</v>
      </c>
      <c r="H1102">
        <v>0</v>
      </c>
      <c r="I1102" t="s">
        <v>242</v>
      </c>
      <c r="J1102">
        <f>IFERROR(tblMoeHistory[[#This Row],[LEA State and Local Amount]]/tblMoeHistory[[#This Row],[Child Count]],0)</f>
        <v>8910.3546835443049</v>
      </c>
      <c r="K1102">
        <f>IFERROR(tblMoeHistory[[#This Row],[ESD State and Local Amount]]/tblMoeHistory[[#This Row],[Child Count]],0)</f>
        <v>972.83544303797464</v>
      </c>
      <c r="L1102">
        <f>IFERROR(tblMoeHistory[[#This Row],[State and Local Total Amount]]/tblMoeHistory[[#This Row],[Child Count]],0)</f>
        <v>9883.190126582278</v>
      </c>
      <c r="M1102">
        <v>11448.81</v>
      </c>
      <c r="N1102" t="s">
        <v>240</v>
      </c>
      <c r="O1102">
        <v>130803.45</v>
      </c>
      <c r="P1102">
        <v>367.21</v>
      </c>
      <c r="Q1102">
        <f>tblMoeHistory[[#This Row],[Amount of IDEA Part B, Section 611 award]]+tblMoeHistory[[#This Row],[Amount of IDEA Part B, Section 619 award]]</f>
        <v>131170.66</v>
      </c>
      <c r="S1102">
        <v>41966</v>
      </c>
      <c r="U11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2" t="str">
        <f>IF(OR(IFERROR(SEARCH("Met",tblMoeHistory[[#This Row],[State and Local Per Capita Result]]),0)&gt;0,IFERROR(SEARCH("Met",tblMoeHistory[[#This Row],[State and Local Total Result]]),0)&gt;0),"Met","Not Met")</f>
        <v>Met</v>
      </c>
    </row>
    <row r="1103" spans="1:22" x14ac:dyDescent="0.35">
      <c r="A1103" t="s">
        <v>138</v>
      </c>
      <c r="B1103">
        <v>2198</v>
      </c>
      <c r="C1103" t="s">
        <v>41</v>
      </c>
      <c r="D1103">
        <v>100</v>
      </c>
      <c r="E1103">
        <v>1308772.67</v>
      </c>
      <c r="F1103">
        <v>222515</v>
      </c>
      <c r="G1103">
        <f>tblMoeHistory[[#This Row],[LEA State and Local Amount]]+tblMoeHistory[[#This Row],[ESD State and Local Amount]]</f>
        <v>1531287.67</v>
      </c>
      <c r="H1103">
        <v>0</v>
      </c>
      <c r="I1103" t="s">
        <v>241</v>
      </c>
      <c r="J1103">
        <f>IFERROR(tblMoeHistory[[#This Row],[LEA State and Local Amount]]/tblMoeHistory[[#This Row],[Child Count]],0)</f>
        <v>13087.726699999999</v>
      </c>
      <c r="K1103">
        <f>IFERROR(tblMoeHistory[[#This Row],[ESD State and Local Amount]]/tblMoeHistory[[#This Row],[Child Count]],0)</f>
        <v>2225.15</v>
      </c>
      <c r="L1103">
        <f>IFERROR(tblMoeHistory[[#This Row],[State and Local Total Amount]]/tblMoeHistory[[#This Row],[Child Count]],0)</f>
        <v>15312.876699999999</v>
      </c>
      <c r="M1103">
        <v>129976.94</v>
      </c>
      <c r="N1103" t="s">
        <v>240</v>
      </c>
      <c r="O1103">
        <v>103217.62</v>
      </c>
      <c r="P1103">
        <v>1573.76</v>
      </c>
      <c r="Q1103">
        <f>tblMoeHistory[[#This Row],[Amount of IDEA Part B, Section 611 award]]+tblMoeHistory[[#This Row],[Amount of IDEA Part B, Section 619 award]]</f>
        <v>104791.37999999999</v>
      </c>
      <c r="U11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3" t="str">
        <f>IF(OR(IFERROR(SEARCH("Met",tblMoeHistory[[#This Row],[State and Local Per Capita Result]]),0)&gt;0,IFERROR(SEARCH("Met",tblMoeHistory[[#This Row],[State and Local Total Result]]),0)&gt;0),"Met","Not Met")</f>
        <v>Met</v>
      </c>
    </row>
    <row r="1104" spans="1:22" x14ac:dyDescent="0.35">
      <c r="A1104" t="s">
        <v>139</v>
      </c>
      <c r="B1104">
        <v>2199</v>
      </c>
      <c r="C1104" t="s">
        <v>41</v>
      </c>
      <c r="D1104">
        <v>92</v>
      </c>
      <c r="E1104">
        <v>898407.99</v>
      </c>
      <c r="F1104">
        <v>117764</v>
      </c>
      <c r="G1104">
        <f>tblMoeHistory[[#This Row],[LEA State and Local Amount]]+tblMoeHistory[[#This Row],[ESD State and Local Amount]]</f>
        <v>1016171.99</v>
      </c>
      <c r="H1104">
        <v>0</v>
      </c>
      <c r="I1104" t="s">
        <v>241</v>
      </c>
      <c r="J1104">
        <f>IFERROR(tblMoeHistory[[#This Row],[LEA State and Local Amount]]/tblMoeHistory[[#This Row],[Child Count]],0)</f>
        <v>9765.3042391304352</v>
      </c>
      <c r="K1104">
        <f>IFERROR(tblMoeHistory[[#This Row],[ESD State and Local Amount]]/tblMoeHistory[[#This Row],[Child Count]],0)</f>
        <v>1280.0434782608695</v>
      </c>
      <c r="L1104">
        <f>IFERROR(tblMoeHistory[[#This Row],[State and Local Total Amount]]/tblMoeHistory[[#This Row],[Child Count]],0)</f>
        <v>11045.347717391303</v>
      </c>
      <c r="M1104">
        <v>23467.1</v>
      </c>
      <c r="N1104" t="s">
        <v>240</v>
      </c>
      <c r="O1104">
        <v>95181.85</v>
      </c>
      <c r="P1104">
        <v>1049.17</v>
      </c>
      <c r="Q1104">
        <f>tblMoeHistory[[#This Row],[Amount of IDEA Part B, Section 611 award]]+tblMoeHistory[[#This Row],[Amount of IDEA Part B, Section 619 award]]</f>
        <v>96231.02</v>
      </c>
      <c r="U11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4" t="str">
        <f>IF(OR(IFERROR(SEARCH("Met",tblMoeHistory[[#This Row],[State and Local Per Capita Result]]),0)&gt;0,IFERROR(SEARCH("Met",tblMoeHistory[[#This Row],[State and Local Total Result]]),0)&gt;0),"Met","Not Met")</f>
        <v>Met</v>
      </c>
    </row>
    <row r="1105" spans="1:22" x14ac:dyDescent="0.35">
      <c r="A1105" t="s">
        <v>140</v>
      </c>
      <c r="B1105">
        <v>2254</v>
      </c>
      <c r="C1105" t="s">
        <v>41</v>
      </c>
      <c r="D1105">
        <v>660</v>
      </c>
      <c r="E1105">
        <v>6052048.6600000001</v>
      </c>
      <c r="F1105">
        <v>0</v>
      </c>
      <c r="G1105">
        <f>tblMoeHistory[[#This Row],[LEA State and Local Amount]]+tblMoeHistory[[#This Row],[ESD State and Local Amount]]</f>
        <v>6052048.6600000001</v>
      </c>
      <c r="H1105">
        <v>0</v>
      </c>
      <c r="I1105" t="s">
        <v>241</v>
      </c>
      <c r="J1105">
        <f>IFERROR(tblMoeHistory[[#This Row],[LEA State and Local Amount]]/tblMoeHistory[[#This Row],[Child Count]],0)</f>
        <v>9169.7706969696974</v>
      </c>
      <c r="K1105">
        <f>IFERROR(tblMoeHistory[[#This Row],[ESD State and Local Amount]]/tblMoeHistory[[#This Row],[Child Count]],0)</f>
        <v>0</v>
      </c>
      <c r="L1105">
        <f>IFERROR(tblMoeHistory[[#This Row],[State and Local Total Amount]]/tblMoeHistory[[#This Row],[Child Count]],0)</f>
        <v>9169.7706969696974</v>
      </c>
      <c r="M1105">
        <v>80827.94</v>
      </c>
      <c r="N1105" t="s">
        <v>240</v>
      </c>
      <c r="O1105">
        <v>727091.74</v>
      </c>
      <c r="P1105">
        <v>4590.13</v>
      </c>
      <c r="Q1105">
        <f>tblMoeHistory[[#This Row],[Amount of IDEA Part B, Section 611 award]]+tblMoeHistory[[#This Row],[Amount of IDEA Part B, Section 619 award]]</f>
        <v>731681.87</v>
      </c>
      <c r="U11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5" t="str">
        <f>IF(OR(IFERROR(SEARCH("Met",tblMoeHistory[[#This Row],[State and Local Per Capita Result]]),0)&gt;0,IFERROR(SEARCH("Met",tblMoeHistory[[#This Row],[State and Local Total Result]]),0)&gt;0),"Met","Not Met")</f>
        <v>Met</v>
      </c>
    </row>
    <row r="1106" spans="1:22" x14ac:dyDescent="0.35">
      <c r="A1106" t="s">
        <v>141</v>
      </c>
      <c r="B1106">
        <v>1966</v>
      </c>
      <c r="C1106" t="s">
        <v>41</v>
      </c>
      <c r="D1106">
        <v>565</v>
      </c>
      <c r="E1106">
        <v>3648976.24</v>
      </c>
      <c r="F1106">
        <v>940706</v>
      </c>
      <c r="G1106">
        <f>tblMoeHistory[[#This Row],[LEA State and Local Amount]]+tblMoeHistory[[#This Row],[ESD State and Local Amount]]</f>
        <v>4589682.24</v>
      </c>
      <c r="H1106">
        <v>0</v>
      </c>
      <c r="I1106" t="s">
        <v>241</v>
      </c>
      <c r="J1106">
        <f>IFERROR(tblMoeHistory[[#This Row],[LEA State and Local Amount]]/tblMoeHistory[[#This Row],[Child Count]],0)</f>
        <v>6458.3650265486731</v>
      </c>
      <c r="K1106">
        <f>IFERROR(tblMoeHistory[[#This Row],[ESD State and Local Amount]]/tblMoeHistory[[#This Row],[Child Count]],0)</f>
        <v>1664.9663716814159</v>
      </c>
      <c r="L1106">
        <f>IFERROR(tblMoeHistory[[#This Row],[State and Local Total Amount]]/tblMoeHistory[[#This Row],[Child Count]],0)</f>
        <v>8123.3313982300888</v>
      </c>
      <c r="M1106">
        <v>1371669.26</v>
      </c>
      <c r="N1106" t="s">
        <v>240</v>
      </c>
      <c r="O1106">
        <v>545258.80000000005</v>
      </c>
      <c r="P1106">
        <v>4896.1400000000003</v>
      </c>
      <c r="Q1106">
        <f>tblMoeHistory[[#This Row],[Amount of IDEA Part B, Section 611 award]]+tblMoeHistory[[#This Row],[Amount of IDEA Part B, Section 619 award]]</f>
        <v>550154.94000000006</v>
      </c>
      <c r="U11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6" t="str">
        <f>IF(OR(IFERROR(SEARCH("Met",tblMoeHistory[[#This Row],[State and Local Per Capita Result]]),0)&gt;0,IFERROR(SEARCH("Met",tblMoeHistory[[#This Row],[State and Local Total Result]]),0)&gt;0),"Met","Not Met")</f>
        <v>Met</v>
      </c>
    </row>
    <row r="1107" spans="1:22" x14ac:dyDescent="0.35">
      <c r="A1107" t="s">
        <v>142</v>
      </c>
      <c r="B1107">
        <v>1924</v>
      </c>
      <c r="C1107" t="s">
        <v>41</v>
      </c>
      <c r="D1107">
        <v>2609</v>
      </c>
      <c r="E1107">
        <v>19490333.5</v>
      </c>
      <c r="F1107">
        <v>2373634</v>
      </c>
      <c r="G1107">
        <f>tblMoeHistory[[#This Row],[LEA State and Local Amount]]+tblMoeHistory[[#This Row],[ESD State and Local Amount]]</f>
        <v>21863967.5</v>
      </c>
      <c r="H1107">
        <v>0</v>
      </c>
      <c r="I1107" t="s">
        <v>241</v>
      </c>
      <c r="J1107">
        <f>IFERROR(tblMoeHistory[[#This Row],[LEA State and Local Amount]]/tblMoeHistory[[#This Row],[Child Count]],0)</f>
        <v>7470.4229589881179</v>
      </c>
      <c r="K1107">
        <f>IFERROR(tblMoeHistory[[#This Row],[ESD State and Local Amount]]/tblMoeHistory[[#This Row],[Child Count]],0)</f>
        <v>909.78689152932157</v>
      </c>
      <c r="L1107">
        <f>IFERROR(tblMoeHistory[[#This Row],[State and Local Total Amount]]/tblMoeHistory[[#This Row],[Child Count]],0)</f>
        <v>8380.2098505174399</v>
      </c>
      <c r="M1107">
        <v>0</v>
      </c>
      <c r="N1107" t="s">
        <v>241</v>
      </c>
      <c r="O1107">
        <v>2504636.2400000002</v>
      </c>
      <c r="P1107">
        <v>18058.439999999999</v>
      </c>
      <c r="Q1107">
        <f>tblMoeHistory[[#This Row],[Amount of IDEA Part B, Section 611 award]]+tblMoeHistory[[#This Row],[Amount of IDEA Part B, Section 619 award]]</f>
        <v>2522694.6800000002</v>
      </c>
      <c r="U11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7" t="str">
        <f>IF(OR(IFERROR(SEARCH("Met",tblMoeHistory[[#This Row],[State and Local Per Capita Result]]),0)&gt;0,IFERROR(SEARCH("Met",tblMoeHistory[[#This Row],[State and Local Total Result]]),0)&gt;0),"Met","Not Met")</f>
        <v>Met</v>
      </c>
    </row>
    <row r="1108" spans="1:22" x14ac:dyDescent="0.35">
      <c r="A1108" t="s">
        <v>143</v>
      </c>
      <c r="B1108">
        <v>1996</v>
      </c>
      <c r="C1108" t="s">
        <v>41</v>
      </c>
      <c r="D1108">
        <v>30</v>
      </c>
      <c r="E1108">
        <v>294750.52</v>
      </c>
      <c r="F1108">
        <v>48094.6</v>
      </c>
      <c r="G1108">
        <f>tblMoeHistory[[#This Row],[LEA State and Local Amount]]+tblMoeHistory[[#This Row],[ESD State and Local Amount]]</f>
        <v>342845.12</v>
      </c>
      <c r="H1108">
        <v>0</v>
      </c>
      <c r="I1108" t="s">
        <v>242</v>
      </c>
      <c r="J1108">
        <f>IFERROR(tblMoeHistory[[#This Row],[LEA State and Local Amount]]/tblMoeHistory[[#This Row],[Child Count]],0)</f>
        <v>9825.0173333333332</v>
      </c>
      <c r="K1108">
        <f>IFERROR(tblMoeHistory[[#This Row],[ESD State and Local Amount]]/tblMoeHistory[[#This Row],[Child Count]],0)</f>
        <v>1603.1533333333332</v>
      </c>
      <c r="L1108">
        <f>IFERROR(tblMoeHistory[[#This Row],[State and Local Total Amount]]/tblMoeHistory[[#This Row],[Child Count]],0)</f>
        <v>11428.170666666667</v>
      </c>
      <c r="M1108">
        <v>0</v>
      </c>
      <c r="N1108" t="s">
        <v>241</v>
      </c>
      <c r="O1108">
        <v>56509.22</v>
      </c>
      <c r="P1108">
        <v>0</v>
      </c>
      <c r="Q1108">
        <f>tblMoeHistory[[#This Row],[Amount of IDEA Part B, Section 611 award]]+tblMoeHistory[[#This Row],[Amount of IDEA Part B, Section 619 award]]</f>
        <v>56509.22</v>
      </c>
      <c r="S1108">
        <v>75808.84</v>
      </c>
      <c r="T1108">
        <v>75808.84</v>
      </c>
      <c r="U11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8" t="str">
        <f>IF(OR(IFERROR(SEARCH("Met",tblMoeHistory[[#This Row],[State and Local Per Capita Result]]),0)&gt;0,IFERROR(SEARCH("Met",tblMoeHistory[[#This Row],[State and Local Total Result]]),0)&gt;0),"Met","Not Met")</f>
        <v>Met</v>
      </c>
    </row>
    <row r="1109" spans="1:22" x14ac:dyDescent="0.35">
      <c r="A1109" t="s">
        <v>144</v>
      </c>
      <c r="B1109">
        <v>2061</v>
      </c>
      <c r="C1109" t="s">
        <v>41</v>
      </c>
      <c r="D1109">
        <v>47</v>
      </c>
      <c r="E1109">
        <v>195621.48</v>
      </c>
      <c r="F1109">
        <v>86813.31</v>
      </c>
      <c r="G1109">
        <f>tblMoeHistory[[#This Row],[LEA State and Local Amount]]+tblMoeHistory[[#This Row],[ESD State and Local Amount]]</f>
        <v>282434.79000000004</v>
      </c>
      <c r="H1109">
        <v>0</v>
      </c>
      <c r="I1109" t="s">
        <v>241</v>
      </c>
      <c r="J1109">
        <f>IFERROR(tblMoeHistory[[#This Row],[LEA State and Local Amount]]/tblMoeHistory[[#This Row],[Child Count]],0)</f>
        <v>4162.1591489361708</v>
      </c>
      <c r="K1109">
        <f>IFERROR(tblMoeHistory[[#This Row],[ESD State and Local Amount]]/tblMoeHistory[[#This Row],[Child Count]],0)</f>
        <v>1847.0917021276596</v>
      </c>
      <c r="L1109">
        <f>IFERROR(tblMoeHistory[[#This Row],[State and Local Total Amount]]/tblMoeHistory[[#This Row],[Child Count]],0)</f>
        <v>6009.2508510638309</v>
      </c>
      <c r="M1109">
        <v>29952.36</v>
      </c>
      <c r="N1109" t="s">
        <v>240</v>
      </c>
      <c r="O1109">
        <v>42607.24</v>
      </c>
      <c r="P1109">
        <v>918.03</v>
      </c>
      <c r="Q1109">
        <f>tblMoeHistory[[#This Row],[Amount of IDEA Part B, Section 611 award]]+tblMoeHistory[[#This Row],[Amount of IDEA Part B, Section 619 award]]</f>
        <v>43525.27</v>
      </c>
      <c r="U11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9" t="str">
        <f>IF(OR(IFERROR(SEARCH("Met",tblMoeHistory[[#This Row],[State and Local Per Capita Result]]),0)&gt;0,IFERROR(SEARCH("Met",tblMoeHistory[[#This Row],[State and Local Total Result]]),0)&gt;0),"Met","Not Met")</f>
        <v>Met</v>
      </c>
    </row>
    <row r="1110" spans="1:22" x14ac:dyDescent="0.35">
      <c r="A1110" t="s">
        <v>145</v>
      </c>
      <c r="B1110">
        <v>2141</v>
      </c>
      <c r="C1110" t="s">
        <v>41</v>
      </c>
      <c r="D1110">
        <v>296</v>
      </c>
      <c r="E1110">
        <v>2358496.81</v>
      </c>
      <c r="F1110">
        <v>343860.47999999998</v>
      </c>
      <c r="G1110">
        <f>tblMoeHistory[[#This Row],[LEA State and Local Amount]]+tblMoeHistory[[#This Row],[ESD State and Local Amount]]</f>
        <v>2702357.29</v>
      </c>
      <c r="H1110">
        <v>0</v>
      </c>
      <c r="I1110" t="s">
        <v>241</v>
      </c>
      <c r="J1110">
        <f>IFERROR(tblMoeHistory[[#This Row],[LEA State and Local Amount]]/tblMoeHistory[[#This Row],[Child Count]],0)</f>
        <v>7967.8946283783789</v>
      </c>
      <c r="K1110">
        <f>IFERROR(tblMoeHistory[[#This Row],[ESD State and Local Amount]]/tblMoeHistory[[#This Row],[Child Count]],0)</f>
        <v>1161.6908108108107</v>
      </c>
      <c r="L1110">
        <f>IFERROR(tblMoeHistory[[#This Row],[State and Local Total Amount]]/tblMoeHistory[[#This Row],[Child Count]],0)</f>
        <v>9129.5854391891899</v>
      </c>
      <c r="M1110">
        <v>70254.86</v>
      </c>
      <c r="N1110" t="s">
        <v>240</v>
      </c>
      <c r="O1110">
        <v>260281.91</v>
      </c>
      <c r="P1110">
        <v>1596.57</v>
      </c>
      <c r="Q1110">
        <f>tblMoeHistory[[#This Row],[Amount of IDEA Part B, Section 611 award]]+tblMoeHistory[[#This Row],[Amount of IDEA Part B, Section 619 award]]</f>
        <v>261878.48</v>
      </c>
      <c r="U11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0" t="str">
        <f>IF(OR(IFERROR(SEARCH("Met",tblMoeHistory[[#This Row],[State and Local Per Capita Result]]),0)&gt;0,IFERROR(SEARCH("Met",tblMoeHistory[[#This Row],[State and Local Total Result]]),0)&gt;0),"Met","Not Met")</f>
        <v>Met</v>
      </c>
    </row>
    <row r="1111" spans="1:22" x14ac:dyDescent="0.35">
      <c r="A1111" t="s">
        <v>146</v>
      </c>
      <c r="B1111">
        <v>2214</v>
      </c>
      <c r="C1111" t="s">
        <v>41</v>
      </c>
      <c r="D1111">
        <v>43</v>
      </c>
      <c r="E1111">
        <v>180103.98</v>
      </c>
      <c r="F1111">
        <v>52378.29</v>
      </c>
      <c r="G1111">
        <f>tblMoeHistory[[#This Row],[LEA State and Local Amount]]+tblMoeHistory[[#This Row],[ESD State and Local Amount]]</f>
        <v>232482.27000000002</v>
      </c>
      <c r="H1111">
        <v>0</v>
      </c>
      <c r="I1111" t="s">
        <v>241</v>
      </c>
      <c r="J1111">
        <f>IFERROR(tblMoeHistory[[#This Row],[LEA State and Local Amount]]/tblMoeHistory[[#This Row],[Child Count]],0)</f>
        <v>4188.4646511627907</v>
      </c>
      <c r="K1111">
        <f>IFERROR(tblMoeHistory[[#This Row],[ESD State and Local Amount]]/tblMoeHistory[[#This Row],[Child Count]],0)</f>
        <v>1218.0997674418604</v>
      </c>
      <c r="L1111">
        <f>IFERROR(tblMoeHistory[[#This Row],[State and Local Total Amount]]/tblMoeHistory[[#This Row],[Child Count]],0)</f>
        <v>5406.564418604652</v>
      </c>
      <c r="M1111">
        <v>0</v>
      </c>
      <c r="N1111" t="s">
        <v>241</v>
      </c>
      <c r="O1111">
        <v>42677.53</v>
      </c>
      <c r="P1111">
        <v>0</v>
      </c>
      <c r="Q1111">
        <f>tblMoeHistory[[#This Row],[Amount of IDEA Part B, Section 611 award]]+tblMoeHistory[[#This Row],[Amount of IDEA Part B, Section 619 award]]</f>
        <v>42677.53</v>
      </c>
      <c r="U11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1" t="str">
        <f>IF(OR(IFERROR(SEARCH("Met",tblMoeHistory[[#This Row],[State and Local Per Capita Result]]),0)&gt;0,IFERROR(SEARCH("Met",tblMoeHistory[[#This Row],[State and Local Total Result]]),0)&gt;0),"Met","Not Met")</f>
        <v>Met</v>
      </c>
    </row>
    <row r="1112" spans="1:22" x14ac:dyDescent="0.35">
      <c r="A1112" t="s">
        <v>147</v>
      </c>
      <c r="B1112">
        <v>2143</v>
      </c>
      <c r="C1112" t="s">
        <v>41</v>
      </c>
      <c r="D1112">
        <v>290</v>
      </c>
      <c r="E1112">
        <v>2659606.38</v>
      </c>
      <c r="F1112">
        <v>122231.24</v>
      </c>
      <c r="G1112">
        <f>tblMoeHistory[[#This Row],[LEA State and Local Amount]]+tblMoeHistory[[#This Row],[ESD State and Local Amount]]</f>
        <v>2781837.62</v>
      </c>
      <c r="H1112">
        <v>0</v>
      </c>
      <c r="I1112" t="s">
        <v>241</v>
      </c>
      <c r="J1112">
        <f>IFERROR(tblMoeHistory[[#This Row],[LEA State and Local Amount]]/tblMoeHistory[[#This Row],[Child Count]],0)</f>
        <v>9171.0564827586204</v>
      </c>
      <c r="K1112">
        <f>IFERROR(tblMoeHistory[[#This Row],[ESD State and Local Amount]]/tblMoeHistory[[#This Row],[Child Count]],0)</f>
        <v>421.48703448275865</v>
      </c>
      <c r="L1112">
        <f>IFERROR(tblMoeHistory[[#This Row],[State and Local Total Amount]]/tblMoeHistory[[#This Row],[Child Count]],0)</f>
        <v>9592.54351724138</v>
      </c>
      <c r="M1112">
        <v>146572.04999999999</v>
      </c>
      <c r="N1112" t="s">
        <v>240</v>
      </c>
      <c r="O1112">
        <v>420358.69</v>
      </c>
      <c r="P1112">
        <v>2503.71</v>
      </c>
      <c r="Q1112">
        <f>tblMoeHistory[[#This Row],[Amount of IDEA Part B, Section 611 award]]+tblMoeHistory[[#This Row],[Amount of IDEA Part B, Section 619 award]]</f>
        <v>422862.4</v>
      </c>
      <c r="U11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2" t="str">
        <f>IF(OR(IFERROR(SEARCH("Met",tblMoeHistory[[#This Row],[State and Local Per Capita Result]]),0)&gt;0,IFERROR(SEARCH("Met",tblMoeHistory[[#This Row],[State and Local Total Result]]),0)&gt;0),"Met","Not Met")</f>
        <v>Met</v>
      </c>
    </row>
    <row r="1113" spans="1:22" x14ac:dyDescent="0.35">
      <c r="A1113" t="s">
        <v>148</v>
      </c>
      <c r="B1113">
        <v>4131</v>
      </c>
      <c r="C1113" t="s">
        <v>41</v>
      </c>
      <c r="D1113">
        <v>461</v>
      </c>
      <c r="E1113">
        <v>3991369.95</v>
      </c>
      <c r="F1113">
        <v>0</v>
      </c>
      <c r="G1113">
        <f>tblMoeHistory[[#This Row],[LEA State and Local Amount]]+tblMoeHistory[[#This Row],[ESD State and Local Amount]]</f>
        <v>3991369.95</v>
      </c>
      <c r="H1113">
        <v>0</v>
      </c>
      <c r="I1113" t="s">
        <v>241</v>
      </c>
      <c r="J1113">
        <f>IFERROR(tblMoeHistory[[#This Row],[LEA State and Local Amount]]/tblMoeHistory[[#This Row],[Child Count]],0)</f>
        <v>8658.069305856834</v>
      </c>
      <c r="K1113">
        <f>IFERROR(tblMoeHistory[[#This Row],[ESD State and Local Amount]]/tblMoeHistory[[#This Row],[Child Count]],0)</f>
        <v>0</v>
      </c>
      <c r="L1113">
        <f>IFERROR(tblMoeHistory[[#This Row],[State and Local Total Amount]]/tblMoeHistory[[#This Row],[Child Count]],0)</f>
        <v>8658.069305856834</v>
      </c>
      <c r="M1113">
        <v>133951.76999999999</v>
      </c>
      <c r="N1113" t="s">
        <v>240</v>
      </c>
      <c r="O1113">
        <v>505452.52</v>
      </c>
      <c r="P1113">
        <v>6819.63</v>
      </c>
      <c r="Q1113">
        <f>tblMoeHistory[[#This Row],[Amount of IDEA Part B, Section 611 award]]+tblMoeHistory[[#This Row],[Amount of IDEA Part B, Section 619 award]]</f>
        <v>512272.15</v>
      </c>
      <c r="U11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3" t="str">
        <f>IF(OR(IFERROR(SEARCH("Met",tblMoeHistory[[#This Row],[State and Local Per Capita Result]]),0)&gt;0,IFERROR(SEARCH("Met",tblMoeHistory[[#This Row],[State and Local Total Result]]),0)&gt;0),"Met","Not Met")</f>
        <v>Met</v>
      </c>
    </row>
    <row r="1114" spans="1:22" x14ac:dyDescent="0.35">
      <c r="A1114" t="s">
        <v>149</v>
      </c>
      <c r="B1114">
        <v>2110</v>
      </c>
      <c r="C1114" t="s">
        <v>41</v>
      </c>
      <c r="D1114">
        <v>180</v>
      </c>
      <c r="E1114">
        <v>777495.49</v>
      </c>
      <c r="F1114">
        <v>370445.87</v>
      </c>
      <c r="G1114">
        <f>tblMoeHistory[[#This Row],[LEA State and Local Amount]]+tblMoeHistory[[#This Row],[ESD State and Local Amount]]</f>
        <v>1147941.3599999999</v>
      </c>
      <c r="H1114">
        <v>0</v>
      </c>
      <c r="I1114" t="s">
        <v>241</v>
      </c>
      <c r="J1114">
        <f>IFERROR(tblMoeHistory[[#This Row],[LEA State and Local Amount]]/tblMoeHistory[[#This Row],[Child Count]],0)</f>
        <v>4319.4193888888885</v>
      </c>
      <c r="K1114">
        <f>IFERROR(tblMoeHistory[[#This Row],[ESD State and Local Amount]]/tblMoeHistory[[#This Row],[Child Count]],0)</f>
        <v>2058.0326111111112</v>
      </c>
      <c r="L1114">
        <f>IFERROR(tblMoeHistory[[#This Row],[State and Local Total Amount]]/tblMoeHistory[[#This Row],[Child Count]],0)</f>
        <v>6377.4519999999993</v>
      </c>
      <c r="M1114">
        <v>130267.9</v>
      </c>
      <c r="N1114" t="s">
        <v>240</v>
      </c>
      <c r="O1114">
        <v>214090.14</v>
      </c>
      <c r="P1114">
        <v>1032.78</v>
      </c>
      <c r="Q1114">
        <f>tblMoeHistory[[#This Row],[Amount of IDEA Part B, Section 611 award]]+tblMoeHistory[[#This Row],[Amount of IDEA Part B, Section 619 award]]</f>
        <v>215122.92</v>
      </c>
      <c r="U11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4" t="str">
        <f>IF(OR(IFERROR(SEARCH("Met",tblMoeHistory[[#This Row],[State and Local Per Capita Result]]),0)&gt;0,IFERROR(SEARCH("Met",tblMoeHistory[[#This Row],[State and Local Total Result]]),0)&gt;0),"Met","Not Met")</f>
        <v>Met</v>
      </c>
    </row>
    <row r="1115" spans="1:22" x14ac:dyDescent="0.35">
      <c r="A1115" t="s">
        <v>150</v>
      </c>
      <c r="B1115">
        <v>1990</v>
      </c>
      <c r="C1115" t="s">
        <v>41</v>
      </c>
      <c r="D1115">
        <v>78</v>
      </c>
      <c r="E1115">
        <v>351152.72</v>
      </c>
      <c r="F1115">
        <v>112587.32</v>
      </c>
      <c r="G1115">
        <f>tblMoeHistory[[#This Row],[LEA State and Local Amount]]+tblMoeHistory[[#This Row],[ESD State and Local Amount]]</f>
        <v>463740.04</v>
      </c>
      <c r="H1115">
        <v>0</v>
      </c>
      <c r="I1115" t="s">
        <v>241</v>
      </c>
      <c r="J1115">
        <f>IFERROR(tblMoeHistory[[#This Row],[LEA State and Local Amount]]/tblMoeHistory[[#This Row],[Child Count]],0)</f>
        <v>4501.9579487179481</v>
      </c>
      <c r="K1115">
        <f>IFERROR(tblMoeHistory[[#This Row],[ESD State and Local Amount]]/tblMoeHistory[[#This Row],[Child Count]],0)</f>
        <v>1443.4271794871795</v>
      </c>
      <c r="L1115">
        <f>IFERROR(tblMoeHistory[[#This Row],[State and Local Total Amount]]/tblMoeHistory[[#This Row],[Child Count]],0)</f>
        <v>5945.3851282051282</v>
      </c>
      <c r="M1115">
        <v>142094.37</v>
      </c>
      <c r="N1115" t="s">
        <v>240</v>
      </c>
      <c r="O1115">
        <v>90208.34</v>
      </c>
      <c r="P1115">
        <v>2360.64</v>
      </c>
      <c r="Q1115">
        <f>tblMoeHistory[[#This Row],[Amount of IDEA Part B, Section 611 award]]+tblMoeHistory[[#This Row],[Amount of IDEA Part B, Section 619 award]]</f>
        <v>92568.98</v>
      </c>
      <c r="U11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5" t="str">
        <f>IF(OR(IFERROR(SEARCH("Met",tblMoeHistory[[#This Row],[State and Local Per Capita Result]]),0)&gt;0,IFERROR(SEARCH("Met",tblMoeHistory[[#This Row],[State and Local Total Result]]),0)&gt;0),"Met","Not Met")</f>
        <v>Met</v>
      </c>
    </row>
    <row r="1116" spans="1:22" x14ac:dyDescent="0.35">
      <c r="A1116" t="s">
        <v>151</v>
      </c>
      <c r="B1116">
        <v>2093</v>
      </c>
      <c r="C1116" t="s">
        <v>41</v>
      </c>
      <c r="D1116">
        <v>90</v>
      </c>
      <c r="E1116">
        <v>423017.81</v>
      </c>
      <c r="F1116">
        <v>189577</v>
      </c>
      <c r="G1116">
        <f>tblMoeHistory[[#This Row],[LEA State and Local Amount]]+tblMoeHistory[[#This Row],[ESD State and Local Amount]]</f>
        <v>612594.81000000006</v>
      </c>
      <c r="H1116">
        <v>0</v>
      </c>
      <c r="I1116" t="s">
        <v>241</v>
      </c>
      <c r="J1116">
        <f>IFERROR(tblMoeHistory[[#This Row],[LEA State and Local Amount]]/tblMoeHistory[[#This Row],[Child Count]],0)</f>
        <v>4700.1978888888889</v>
      </c>
      <c r="K1116">
        <f>IFERROR(tblMoeHistory[[#This Row],[ESD State and Local Amount]]/tblMoeHistory[[#This Row],[Child Count]],0)</f>
        <v>2106.411111111111</v>
      </c>
      <c r="L1116">
        <f>IFERROR(tblMoeHistory[[#This Row],[State and Local Total Amount]]/tblMoeHistory[[#This Row],[Child Count]],0)</f>
        <v>6806.6090000000004</v>
      </c>
      <c r="M1116">
        <v>8070.1</v>
      </c>
      <c r="N1116" t="s">
        <v>240</v>
      </c>
      <c r="O1116">
        <v>114597.07</v>
      </c>
      <c r="P1116">
        <v>1156.71</v>
      </c>
      <c r="Q1116">
        <f>tblMoeHistory[[#This Row],[Amount of IDEA Part B, Section 611 award]]+tblMoeHistory[[#This Row],[Amount of IDEA Part B, Section 619 award]]</f>
        <v>115753.78000000001</v>
      </c>
      <c r="U11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6" t="str">
        <f>IF(OR(IFERROR(SEARCH("Met",tblMoeHistory[[#This Row],[State and Local Per Capita Result]]),0)&gt;0,IFERROR(SEARCH("Met",tblMoeHistory[[#This Row],[State and Local Total Result]]),0)&gt;0),"Met","Not Met")</f>
        <v>Met</v>
      </c>
    </row>
    <row r="1117" spans="1:22" x14ac:dyDescent="0.35">
      <c r="A1117" t="s">
        <v>152</v>
      </c>
      <c r="B1117">
        <v>2108</v>
      </c>
      <c r="C1117" t="s">
        <v>41</v>
      </c>
      <c r="D1117">
        <v>288</v>
      </c>
      <c r="E1117">
        <v>2689996.26</v>
      </c>
      <c r="F1117">
        <v>0</v>
      </c>
      <c r="G1117">
        <f>tblMoeHistory[[#This Row],[LEA State and Local Amount]]+tblMoeHistory[[#This Row],[ESD State and Local Amount]]</f>
        <v>2689996.26</v>
      </c>
      <c r="H1117">
        <v>0</v>
      </c>
      <c r="I1117" t="s">
        <v>241</v>
      </c>
      <c r="J1117">
        <f>IFERROR(tblMoeHistory[[#This Row],[LEA State and Local Amount]]/tblMoeHistory[[#This Row],[Child Count]],0)</f>
        <v>9340.2647916666665</v>
      </c>
      <c r="K1117">
        <f>IFERROR(tblMoeHistory[[#This Row],[ESD State and Local Amount]]/tblMoeHistory[[#This Row],[Child Count]],0)</f>
        <v>0</v>
      </c>
      <c r="L1117">
        <f>IFERROR(tblMoeHistory[[#This Row],[State and Local Total Amount]]/tblMoeHistory[[#This Row],[Child Count]],0)</f>
        <v>9340.2647916666665</v>
      </c>
      <c r="M1117">
        <v>0</v>
      </c>
      <c r="N1117" t="s">
        <v>241</v>
      </c>
      <c r="O1117">
        <v>470091.51</v>
      </c>
      <c r="P1117">
        <v>2142.06</v>
      </c>
      <c r="Q1117">
        <f>tblMoeHistory[[#This Row],[Amount of IDEA Part B, Section 611 award]]+tblMoeHistory[[#This Row],[Amount of IDEA Part B, Section 619 award]]</f>
        <v>472233.57</v>
      </c>
      <c r="U11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7" t="str">
        <f>IF(OR(IFERROR(SEARCH("Met",tblMoeHistory[[#This Row],[State and Local Per Capita Result]]),0)&gt;0,IFERROR(SEARCH("Met",tblMoeHistory[[#This Row],[State and Local Total Result]]),0)&gt;0),"Met","Not Met")</f>
        <v>Met</v>
      </c>
    </row>
    <row r="1118" spans="1:22" x14ac:dyDescent="0.35">
      <c r="A1118" t="s">
        <v>153</v>
      </c>
      <c r="B1118">
        <v>1928</v>
      </c>
      <c r="C1118" t="s">
        <v>41</v>
      </c>
      <c r="D1118">
        <v>1310</v>
      </c>
      <c r="E1118">
        <v>13476689.08</v>
      </c>
      <c r="F1118">
        <v>1841326</v>
      </c>
      <c r="G1118">
        <f>tblMoeHistory[[#This Row],[LEA State and Local Amount]]+tblMoeHistory[[#This Row],[ESD State and Local Amount]]</f>
        <v>15318015.08</v>
      </c>
      <c r="H1118">
        <v>0</v>
      </c>
      <c r="I1118" t="s">
        <v>241</v>
      </c>
      <c r="J1118">
        <f>IFERROR(tblMoeHistory[[#This Row],[LEA State and Local Amount]]/tblMoeHistory[[#This Row],[Child Count]],0)</f>
        <v>10287.548916030535</v>
      </c>
      <c r="K1118">
        <f>IFERROR(tblMoeHistory[[#This Row],[ESD State and Local Amount]]/tblMoeHistory[[#This Row],[Child Count]],0)</f>
        <v>1405.5923664122138</v>
      </c>
      <c r="L1118">
        <f>IFERROR(tblMoeHistory[[#This Row],[State and Local Total Amount]]/tblMoeHistory[[#This Row],[Child Count]],0)</f>
        <v>11693.141282442748</v>
      </c>
      <c r="M1118">
        <v>25035.919999999998</v>
      </c>
      <c r="N1118" t="s">
        <v>240</v>
      </c>
      <c r="O1118">
        <v>1256079.21</v>
      </c>
      <c r="P1118">
        <v>9466.1200000000008</v>
      </c>
      <c r="Q1118">
        <f>tblMoeHistory[[#This Row],[Amount of IDEA Part B, Section 611 award]]+tblMoeHistory[[#This Row],[Amount of IDEA Part B, Section 619 award]]</f>
        <v>1265545.33</v>
      </c>
      <c r="U11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8" t="str">
        <f>IF(OR(IFERROR(SEARCH("Met",tblMoeHistory[[#This Row],[State and Local Per Capita Result]]),0)&gt;0,IFERROR(SEARCH("Met",tblMoeHistory[[#This Row],[State and Local Total Result]]),0)&gt;0),"Met","Not Met")</f>
        <v>Met</v>
      </c>
    </row>
    <row r="1119" spans="1:22" x14ac:dyDescent="0.35">
      <c r="A1119" t="s">
        <v>154</v>
      </c>
      <c r="B1119">
        <v>1926</v>
      </c>
      <c r="C1119" t="s">
        <v>41</v>
      </c>
      <c r="D1119">
        <v>526</v>
      </c>
      <c r="E1119">
        <v>5833243.1600000001</v>
      </c>
      <c r="F1119">
        <v>628098</v>
      </c>
      <c r="G1119">
        <f>tblMoeHistory[[#This Row],[LEA State and Local Amount]]+tblMoeHistory[[#This Row],[ESD State and Local Amount]]</f>
        <v>6461341.1600000001</v>
      </c>
      <c r="H1119">
        <v>0</v>
      </c>
      <c r="I1119" t="s">
        <v>241</v>
      </c>
      <c r="J1119">
        <f>IFERROR(tblMoeHistory[[#This Row],[LEA State and Local Amount]]/tblMoeHistory[[#This Row],[Child Count]],0)</f>
        <v>11089.815893536123</v>
      </c>
      <c r="K1119">
        <f>IFERROR(tblMoeHistory[[#This Row],[ESD State and Local Amount]]/tblMoeHistory[[#This Row],[Child Count]],0)</f>
        <v>1194.1026615969581</v>
      </c>
      <c r="L1119">
        <f>IFERROR(tblMoeHistory[[#This Row],[State and Local Total Amount]]/tblMoeHistory[[#This Row],[Child Count]],0)</f>
        <v>12283.918555133079</v>
      </c>
      <c r="M1119">
        <v>0</v>
      </c>
      <c r="N1119" t="s">
        <v>241</v>
      </c>
      <c r="O1119">
        <v>617448.95999999996</v>
      </c>
      <c r="P1119">
        <v>5166.57</v>
      </c>
      <c r="Q1119">
        <f>tblMoeHistory[[#This Row],[Amount of IDEA Part B, Section 611 award]]+tblMoeHistory[[#This Row],[Amount of IDEA Part B, Section 619 award]]</f>
        <v>622615.52999999991</v>
      </c>
      <c r="U11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9" t="str">
        <f>IF(OR(IFERROR(SEARCH("Met",tblMoeHistory[[#This Row],[State and Local Per Capita Result]]),0)&gt;0,IFERROR(SEARCH("Met",tblMoeHistory[[#This Row],[State and Local Total Result]]),0)&gt;0),"Met","Not Met")</f>
        <v>Met</v>
      </c>
    </row>
    <row r="1120" spans="1:22" x14ac:dyDescent="0.35">
      <c r="A1120" t="s">
        <v>155</v>
      </c>
      <c r="B1120">
        <v>2060</v>
      </c>
      <c r="C1120" t="s">
        <v>41</v>
      </c>
      <c r="D1120">
        <v>24</v>
      </c>
      <c r="E1120">
        <v>64444.41</v>
      </c>
      <c r="F1120">
        <v>76280.03</v>
      </c>
      <c r="G1120">
        <f>tblMoeHistory[[#This Row],[LEA State and Local Amount]]+tblMoeHistory[[#This Row],[ESD State and Local Amount]]</f>
        <v>140724.44</v>
      </c>
      <c r="H1120">
        <v>0</v>
      </c>
      <c r="I1120" t="s">
        <v>241</v>
      </c>
      <c r="J1120">
        <f>IFERROR(tblMoeHistory[[#This Row],[LEA State and Local Amount]]/tblMoeHistory[[#This Row],[Child Count]],0)</f>
        <v>2685.1837500000001</v>
      </c>
      <c r="K1120">
        <f>IFERROR(tblMoeHistory[[#This Row],[ESD State and Local Amount]]/tblMoeHistory[[#This Row],[Child Count]],0)</f>
        <v>3178.3345833333333</v>
      </c>
      <c r="L1120">
        <f>IFERROR(tblMoeHistory[[#This Row],[State and Local Total Amount]]/tblMoeHistory[[#This Row],[Child Count]],0)</f>
        <v>5863.5183333333334</v>
      </c>
      <c r="M1120">
        <v>0</v>
      </c>
      <c r="N1120" t="s">
        <v>241</v>
      </c>
      <c r="O1120">
        <v>27922.86</v>
      </c>
      <c r="P1120">
        <v>459.01</v>
      </c>
      <c r="Q1120">
        <f>tblMoeHistory[[#This Row],[Amount of IDEA Part B, Section 611 award]]+tblMoeHistory[[#This Row],[Amount of IDEA Part B, Section 619 award]]</f>
        <v>28381.87</v>
      </c>
      <c r="U11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0" t="str">
        <f>IF(OR(IFERROR(SEARCH("Met",tblMoeHistory[[#This Row],[State and Local Per Capita Result]]),0)&gt;0,IFERROR(SEARCH("Met",tblMoeHistory[[#This Row],[State and Local Total Result]]),0)&gt;0),"Met","Not Met")</f>
        <v>Met</v>
      </c>
    </row>
    <row r="1121" spans="1:22" x14ac:dyDescent="0.35">
      <c r="A1121" t="s">
        <v>156</v>
      </c>
      <c r="B1121">
        <v>2181</v>
      </c>
      <c r="C1121" t="s">
        <v>41</v>
      </c>
      <c r="D1121">
        <v>500</v>
      </c>
      <c r="E1121">
        <v>6692362.3499999996</v>
      </c>
      <c r="F1121">
        <v>801948.98</v>
      </c>
      <c r="G1121">
        <f>tblMoeHistory[[#This Row],[LEA State and Local Amount]]+tblMoeHistory[[#This Row],[ESD State and Local Amount]]</f>
        <v>7494311.3300000001</v>
      </c>
      <c r="H1121">
        <v>0</v>
      </c>
      <c r="I1121" t="s">
        <v>241</v>
      </c>
      <c r="J1121">
        <f>IFERROR(tblMoeHistory[[#This Row],[LEA State and Local Amount]]/tblMoeHistory[[#This Row],[Child Count]],0)</f>
        <v>13384.724699999999</v>
      </c>
      <c r="K1121">
        <f>IFERROR(tblMoeHistory[[#This Row],[ESD State and Local Amount]]/tblMoeHistory[[#This Row],[Child Count]],0)</f>
        <v>1603.89796</v>
      </c>
      <c r="L1121">
        <f>IFERROR(tblMoeHistory[[#This Row],[State and Local Total Amount]]/tblMoeHistory[[#This Row],[Child Count]],0)</f>
        <v>14988.622660000001</v>
      </c>
      <c r="M1121">
        <v>0</v>
      </c>
      <c r="N1121" t="s">
        <v>241</v>
      </c>
      <c r="O1121">
        <v>604464.04</v>
      </c>
      <c r="P1121">
        <v>3049.72</v>
      </c>
      <c r="Q1121">
        <f>tblMoeHistory[[#This Row],[Amount of IDEA Part B, Section 611 award]]+tblMoeHistory[[#This Row],[Amount of IDEA Part B, Section 619 award]]</f>
        <v>607513.76</v>
      </c>
      <c r="U11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1" t="str">
        <f>IF(OR(IFERROR(SEARCH("Met",tblMoeHistory[[#This Row],[State and Local Per Capita Result]]),0)&gt;0,IFERROR(SEARCH("Met",tblMoeHistory[[#This Row],[State and Local Total Result]]),0)&gt;0),"Met","Not Met")</f>
        <v>Met</v>
      </c>
    </row>
    <row r="1122" spans="1:22" x14ac:dyDescent="0.35">
      <c r="A1122" t="s">
        <v>157</v>
      </c>
      <c r="B1122">
        <v>2207</v>
      </c>
      <c r="C1122" t="s">
        <v>41</v>
      </c>
      <c r="D1122">
        <v>399</v>
      </c>
      <c r="E1122">
        <v>3824684.62</v>
      </c>
      <c r="F1122">
        <v>671629.23</v>
      </c>
      <c r="G1122">
        <f>tblMoeHistory[[#This Row],[LEA State and Local Amount]]+tblMoeHistory[[#This Row],[ESD State and Local Amount]]</f>
        <v>4496313.8499999996</v>
      </c>
      <c r="H1122">
        <v>0</v>
      </c>
      <c r="I1122" t="s">
        <v>241</v>
      </c>
      <c r="J1122">
        <f>IFERROR(tblMoeHistory[[#This Row],[LEA State and Local Amount]]/tblMoeHistory[[#This Row],[Child Count]],0)</f>
        <v>9585.6757393483713</v>
      </c>
      <c r="K1122">
        <f>IFERROR(tblMoeHistory[[#This Row],[ESD State and Local Amount]]/tblMoeHistory[[#This Row],[Child Count]],0)</f>
        <v>1683.2812781954888</v>
      </c>
      <c r="L1122">
        <f>IFERROR(tblMoeHistory[[#This Row],[State and Local Total Amount]]/tblMoeHistory[[#This Row],[Child Count]],0)</f>
        <v>11268.957017543858</v>
      </c>
      <c r="M1122">
        <v>0</v>
      </c>
      <c r="N1122" t="s">
        <v>241</v>
      </c>
      <c r="O1122">
        <v>515816.23</v>
      </c>
      <c r="P1122">
        <v>3851.05</v>
      </c>
      <c r="Q1122">
        <f>tblMoeHistory[[#This Row],[Amount of IDEA Part B, Section 611 award]]+tblMoeHistory[[#This Row],[Amount of IDEA Part B, Section 619 award]]</f>
        <v>519667.27999999997</v>
      </c>
      <c r="U11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2" t="str">
        <f>IF(OR(IFERROR(SEARCH("Met",tblMoeHistory[[#This Row],[State and Local Per Capita Result]]),0)&gt;0,IFERROR(SEARCH("Met",tblMoeHistory[[#This Row],[State and Local Total Result]]),0)&gt;0),"Met","Not Met")</f>
        <v>Met</v>
      </c>
    </row>
    <row r="1123" spans="1:22" x14ac:dyDescent="0.35">
      <c r="A1123" t="s">
        <v>158</v>
      </c>
      <c r="B1123">
        <v>2192</v>
      </c>
      <c r="C1123" t="s">
        <v>41</v>
      </c>
      <c r="D1123">
        <v>37</v>
      </c>
      <c r="E1123">
        <v>287489.21999999997</v>
      </c>
      <c r="F1123">
        <v>21025.95</v>
      </c>
      <c r="G1123">
        <f>tblMoeHistory[[#This Row],[LEA State and Local Amount]]+tblMoeHistory[[#This Row],[ESD State and Local Amount]]</f>
        <v>308515.17</v>
      </c>
      <c r="H1123">
        <v>0</v>
      </c>
      <c r="I1123" t="s">
        <v>241</v>
      </c>
      <c r="J1123">
        <f>IFERROR(tblMoeHistory[[#This Row],[LEA State and Local Amount]]/tblMoeHistory[[#This Row],[Child Count]],0)</f>
        <v>7769.9789189189178</v>
      </c>
      <c r="K1123">
        <f>IFERROR(tblMoeHistory[[#This Row],[ESD State and Local Amount]]/tblMoeHistory[[#This Row],[Child Count]],0)</f>
        <v>568.26891891891898</v>
      </c>
      <c r="L1123">
        <f>IFERROR(tblMoeHistory[[#This Row],[State and Local Total Amount]]/tblMoeHistory[[#This Row],[Child Count]],0)</f>
        <v>8338.2478378378382</v>
      </c>
      <c r="M1123">
        <v>573557.55000000005</v>
      </c>
      <c r="N1123" t="s">
        <v>240</v>
      </c>
      <c r="O1123">
        <v>28221.57</v>
      </c>
      <c r="P1123">
        <v>344.26</v>
      </c>
      <c r="Q1123">
        <f>tblMoeHistory[[#This Row],[Amount of IDEA Part B, Section 611 award]]+tblMoeHistory[[#This Row],[Amount of IDEA Part B, Section 619 award]]</f>
        <v>28565.829999999998</v>
      </c>
      <c r="U11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3" t="str">
        <f>IF(OR(IFERROR(SEARCH("Met",tblMoeHistory[[#This Row],[State and Local Per Capita Result]]),0)&gt;0,IFERROR(SEARCH("Met",tblMoeHistory[[#This Row],[State and Local Total Result]]),0)&gt;0),"Met","Not Met")</f>
        <v>Met</v>
      </c>
    </row>
    <row r="1124" spans="1:22" x14ac:dyDescent="0.35">
      <c r="A1124" t="s">
        <v>160</v>
      </c>
      <c r="B1124">
        <v>1900</v>
      </c>
      <c r="C1124" t="s">
        <v>41</v>
      </c>
      <c r="D1124">
        <v>195</v>
      </c>
      <c r="E1124">
        <v>1257365.94</v>
      </c>
      <c r="F1124">
        <v>402434</v>
      </c>
      <c r="G1124">
        <f>tblMoeHistory[[#This Row],[LEA State and Local Amount]]+tblMoeHistory[[#This Row],[ESD State and Local Amount]]</f>
        <v>1659799.94</v>
      </c>
      <c r="H1124">
        <v>0</v>
      </c>
      <c r="I1124" t="s">
        <v>241</v>
      </c>
      <c r="J1124">
        <f>IFERROR(tblMoeHistory[[#This Row],[LEA State and Local Amount]]/tblMoeHistory[[#This Row],[Child Count]],0)</f>
        <v>6448.0304615384612</v>
      </c>
      <c r="K1124">
        <f>IFERROR(tblMoeHistory[[#This Row],[ESD State and Local Amount]]/tblMoeHistory[[#This Row],[Child Count]],0)</f>
        <v>2063.7641025641024</v>
      </c>
      <c r="L1124">
        <f>IFERROR(tblMoeHistory[[#This Row],[State and Local Total Amount]]/tblMoeHistory[[#This Row],[Child Count]],0)</f>
        <v>8511.7945641025635</v>
      </c>
      <c r="M1124">
        <v>0</v>
      </c>
      <c r="N1124" t="s">
        <v>241</v>
      </c>
      <c r="O1124">
        <v>227188.32</v>
      </c>
      <c r="P1124">
        <v>3978.12</v>
      </c>
      <c r="Q1124">
        <f>tblMoeHistory[[#This Row],[Amount of IDEA Part B, Section 611 award]]+tblMoeHistory[[#This Row],[Amount of IDEA Part B, Section 619 award]]</f>
        <v>231166.44</v>
      </c>
      <c r="U11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4" t="str">
        <f>IF(OR(IFERROR(SEARCH("Met",tblMoeHistory[[#This Row],[State and Local Per Capita Result]]),0)&gt;0,IFERROR(SEARCH("Met",tblMoeHistory[[#This Row],[State and Local Total Result]]),0)&gt;0),"Met","Not Met")</f>
        <v>Met</v>
      </c>
    </row>
    <row r="1125" spans="1:22" x14ac:dyDescent="0.35">
      <c r="A1125" t="s">
        <v>161</v>
      </c>
      <c r="B1125">
        <v>2039</v>
      </c>
      <c r="C1125" t="s">
        <v>41</v>
      </c>
      <c r="D1125">
        <v>421</v>
      </c>
      <c r="E1125">
        <v>2655932.48</v>
      </c>
      <c r="F1125">
        <v>704842.75</v>
      </c>
      <c r="G1125">
        <f>tblMoeHistory[[#This Row],[LEA State and Local Amount]]+tblMoeHistory[[#This Row],[ESD State and Local Amount]]</f>
        <v>3360775.23</v>
      </c>
      <c r="H1125">
        <v>0</v>
      </c>
      <c r="I1125" t="s">
        <v>241</v>
      </c>
      <c r="J1125">
        <f>IFERROR(tblMoeHistory[[#This Row],[LEA State and Local Amount]]/tblMoeHistory[[#This Row],[Child Count]],0)</f>
        <v>6308.6282185273158</v>
      </c>
      <c r="K1125">
        <f>IFERROR(tblMoeHistory[[#This Row],[ESD State and Local Amount]]/tblMoeHistory[[#This Row],[Child Count]],0)</f>
        <v>1674.2108076009501</v>
      </c>
      <c r="L1125">
        <f>IFERROR(tblMoeHistory[[#This Row],[State and Local Total Amount]]/tblMoeHistory[[#This Row],[Child Count]],0)</f>
        <v>7982.8390261282657</v>
      </c>
      <c r="M1125">
        <v>51572.59</v>
      </c>
      <c r="N1125" t="s">
        <v>240</v>
      </c>
      <c r="O1125">
        <v>435228.23</v>
      </c>
      <c r="P1125">
        <v>4619.43</v>
      </c>
      <c r="Q1125">
        <f>tblMoeHistory[[#This Row],[Amount of IDEA Part B, Section 611 award]]+tblMoeHistory[[#This Row],[Amount of IDEA Part B, Section 619 award]]</f>
        <v>439847.66</v>
      </c>
      <c r="U11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5" t="str">
        <f>IF(OR(IFERROR(SEARCH("Met",tblMoeHistory[[#This Row],[State and Local Per Capita Result]]),0)&gt;0,IFERROR(SEARCH("Met",tblMoeHistory[[#This Row],[State and Local Total Result]]),0)&gt;0),"Met","Not Met")</f>
        <v>Met</v>
      </c>
    </row>
    <row r="1126" spans="1:22" x14ac:dyDescent="0.35">
      <c r="A1126" t="s">
        <v>162</v>
      </c>
      <c r="B1126">
        <v>2202</v>
      </c>
      <c r="C1126" t="s">
        <v>41</v>
      </c>
      <c r="D1126">
        <v>43</v>
      </c>
      <c r="E1126">
        <v>309185.55</v>
      </c>
      <c r="F1126">
        <v>72379.98</v>
      </c>
      <c r="G1126">
        <f>tblMoeHistory[[#This Row],[LEA State and Local Amount]]+tblMoeHistory[[#This Row],[ESD State and Local Amount]]</f>
        <v>381565.52999999997</v>
      </c>
      <c r="H1126">
        <v>0</v>
      </c>
      <c r="I1126" t="s">
        <v>241</v>
      </c>
      <c r="J1126">
        <f>IFERROR(tblMoeHistory[[#This Row],[LEA State and Local Amount]]/tblMoeHistory[[#This Row],[Child Count]],0)</f>
        <v>7190.3616279069765</v>
      </c>
      <c r="K1126">
        <f>IFERROR(tblMoeHistory[[#This Row],[ESD State and Local Amount]]/tblMoeHistory[[#This Row],[Child Count]],0)</f>
        <v>1683.2553488372091</v>
      </c>
      <c r="L1126">
        <f>IFERROR(tblMoeHistory[[#This Row],[State and Local Total Amount]]/tblMoeHistory[[#This Row],[Child Count]],0)</f>
        <v>8873.6169767441861</v>
      </c>
      <c r="M1126">
        <v>0</v>
      </c>
      <c r="N1126" t="s">
        <v>241</v>
      </c>
      <c r="O1126">
        <v>78341.81</v>
      </c>
      <c r="P1126">
        <v>1377.04</v>
      </c>
      <c r="Q1126">
        <f>tblMoeHistory[[#This Row],[Amount of IDEA Part B, Section 611 award]]+tblMoeHistory[[#This Row],[Amount of IDEA Part B, Section 619 award]]</f>
        <v>79718.849999999991</v>
      </c>
      <c r="U11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6" t="str">
        <f>IF(OR(IFERROR(SEARCH("Met",tblMoeHistory[[#This Row],[State and Local Per Capita Result]]),0)&gt;0,IFERROR(SEARCH("Met",tblMoeHistory[[#This Row],[State and Local Total Result]]),0)&gt;0),"Met","Not Met")</f>
        <v>Met</v>
      </c>
    </row>
    <row r="1127" spans="1:22" x14ac:dyDescent="0.35">
      <c r="A1127" t="s">
        <v>163</v>
      </c>
      <c r="B1127">
        <v>2016</v>
      </c>
      <c r="C1127" t="s">
        <v>41</v>
      </c>
      <c r="D1127">
        <v>1</v>
      </c>
      <c r="E1127">
        <v>31465.02</v>
      </c>
      <c r="F1127">
        <v>6099</v>
      </c>
      <c r="G1127">
        <f>tblMoeHistory[[#This Row],[LEA State and Local Amount]]+tblMoeHistory[[#This Row],[ESD State and Local Amount]]</f>
        <v>37564.020000000004</v>
      </c>
      <c r="H1127">
        <v>0</v>
      </c>
      <c r="I1127" t="s">
        <v>241</v>
      </c>
      <c r="J1127">
        <f>IFERROR(tblMoeHistory[[#This Row],[LEA State and Local Amount]]/tblMoeHistory[[#This Row],[Child Count]],0)</f>
        <v>31465.02</v>
      </c>
      <c r="K1127">
        <f>IFERROR(tblMoeHistory[[#This Row],[ESD State and Local Amount]]/tblMoeHistory[[#This Row],[Child Count]],0)</f>
        <v>6099</v>
      </c>
      <c r="L1127">
        <f>IFERROR(tblMoeHistory[[#This Row],[State and Local Total Amount]]/tblMoeHistory[[#This Row],[Child Count]],0)</f>
        <v>37564.020000000004</v>
      </c>
      <c r="M1127">
        <v>0</v>
      </c>
      <c r="N1127" t="s">
        <v>241</v>
      </c>
      <c r="O1127">
        <v>0</v>
      </c>
      <c r="P1127">
        <v>0</v>
      </c>
      <c r="Q1127">
        <f>tblMoeHistory[[#This Row],[Amount of IDEA Part B, Section 611 award]]+tblMoeHistory[[#This Row],[Amount of IDEA Part B, Section 619 award]]</f>
        <v>0</v>
      </c>
      <c r="U11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7" t="str">
        <f>IF(OR(IFERROR(SEARCH("Met",tblMoeHistory[[#This Row],[State and Local Per Capita Result]]),0)&gt;0,IFERROR(SEARCH("Met",tblMoeHistory[[#This Row],[State and Local Total Result]]),0)&gt;0),"Met","Not Met")</f>
        <v>Met</v>
      </c>
    </row>
    <row r="1128" spans="1:22" x14ac:dyDescent="0.35">
      <c r="A1128" t="s">
        <v>164</v>
      </c>
      <c r="B1128">
        <v>1897</v>
      </c>
      <c r="C1128" t="s">
        <v>41</v>
      </c>
      <c r="D1128">
        <v>27</v>
      </c>
      <c r="E1128">
        <v>159008.70000000001</v>
      </c>
      <c r="F1128">
        <v>0</v>
      </c>
      <c r="G1128">
        <f>tblMoeHistory[[#This Row],[LEA State and Local Amount]]+tblMoeHistory[[#This Row],[ESD State and Local Amount]]</f>
        <v>159008.70000000001</v>
      </c>
      <c r="H1128">
        <v>0</v>
      </c>
      <c r="I1128" t="s">
        <v>241</v>
      </c>
      <c r="J1128">
        <f>IFERROR(tblMoeHistory[[#This Row],[LEA State and Local Amount]]/tblMoeHistory[[#This Row],[Child Count]],0)</f>
        <v>5889.2111111111117</v>
      </c>
      <c r="K1128">
        <f>IFERROR(tblMoeHistory[[#This Row],[ESD State and Local Amount]]/tblMoeHistory[[#This Row],[Child Count]],0)</f>
        <v>0</v>
      </c>
      <c r="L1128">
        <f>IFERROR(tblMoeHistory[[#This Row],[State and Local Total Amount]]/tblMoeHistory[[#This Row],[Child Count]],0)</f>
        <v>5889.2111111111117</v>
      </c>
      <c r="M1128">
        <v>0</v>
      </c>
      <c r="N1128" t="s">
        <v>242</v>
      </c>
      <c r="O1128">
        <v>30394.63</v>
      </c>
      <c r="P1128">
        <v>0</v>
      </c>
      <c r="Q1128">
        <f>tblMoeHistory[[#This Row],[Amount of IDEA Part B, Section 611 award]]+tblMoeHistory[[#This Row],[Amount of IDEA Part B, Section 619 award]]</f>
        <v>30394.63</v>
      </c>
      <c r="U11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8" t="str">
        <f>IF(OR(IFERROR(SEARCH("Met",tblMoeHistory[[#This Row],[State and Local Per Capita Result]]),0)&gt;0,IFERROR(SEARCH("Met",tblMoeHistory[[#This Row],[State and Local Total Result]]),0)&gt;0),"Met","Not Met")</f>
        <v>Met</v>
      </c>
    </row>
    <row r="1129" spans="1:22" x14ac:dyDescent="0.35">
      <c r="A1129" t="s">
        <v>165</v>
      </c>
      <c r="B1129">
        <v>2047</v>
      </c>
      <c r="C1129" t="s">
        <v>41</v>
      </c>
      <c r="D1129">
        <v>2</v>
      </c>
      <c r="E1129">
        <v>8438</v>
      </c>
      <c r="F1129">
        <v>4386.17</v>
      </c>
      <c r="G1129">
        <f>tblMoeHistory[[#This Row],[LEA State and Local Amount]]+tblMoeHistory[[#This Row],[ESD State and Local Amount]]</f>
        <v>12824.17</v>
      </c>
      <c r="H1129">
        <v>2504.59</v>
      </c>
      <c r="I1129" t="s">
        <v>240</v>
      </c>
      <c r="J1129">
        <f>IFERROR(tblMoeHistory[[#This Row],[LEA State and Local Amount]]/tblMoeHistory[[#This Row],[Child Count]],0)</f>
        <v>4219</v>
      </c>
      <c r="K1129">
        <f>IFERROR(tblMoeHistory[[#This Row],[ESD State and Local Amount]]/tblMoeHistory[[#This Row],[Child Count]],0)</f>
        <v>2193.085</v>
      </c>
      <c r="L1129">
        <f>IFERROR(tblMoeHistory[[#This Row],[State and Local Total Amount]]/tblMoeHistory[[#This Row],[Child Count]],0)</f>
        <v>6412.085</v>
      </c>
      <c r="M1129">
        <v>2504.59</v>
      </c>
      <c r="N1129" t="s">
        <v>240</v>
      </c>
      <c r="O1129">
        <v>8063.82</v>
      </c>
      <c r="P1129">
        <v>918.03</v>
      </c>
      <c r="Q1129">
        <f>tblMoeHistory[[#This Row],[Amount of IDEA Part B, Section 611 award]]+tblMoeHistory[[#This Row],[Amount of IDEA Part B, Section 619 award]]</f>
        <v>8981.85</v>
      </c>
      <c r="U11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2504.59</v>
      </c>
      <c r="V1129" t="str">
        <f>IF(OR(IFERROR(SEARCH("Met",tblMoeHistory[[#This Row],[State and Local Per Capita Result]]),0)&gt;0,IFERROR(SEARCH("Met",tblMoeHistory[[#This Row],[State and Local Total Result]]),0)&gt;0),"Met","Not Met")</f>
        <v>Not Met</v>
      </c>
    </row>
    <row r="1130" spans="1:22" x14ac:dyDescent="0.35">
      <c r="A1130" t="s">
        <v>166</v>
      </c>
      <c r="B1130">
        <v>2081</v>
      </c>
      <c r="C1130" t="s">
        <v>41</v>
      </c>
      <c r="D1130">
        <v>130</v>
      </c>
      <c r="E1130">
        <v>1062604.82</v>
      </c>
      <c r="F1130">
        <v>277421</v>
      </c>
      <c r="G1130">
        <f>tblMoeHistory[[#This Row],[LEA State and Local Amount]]+tblMoeHistory[[#This Row],[ESD State and Local Amount]]</f>
        <v>1340025.82</v>
      </c>
      <c r="H1130">
        <v>0</v>
      </c>
      <c r="I1130" t="s">
        <v>241</v>
      </c>
      <c r="J1130">
        <f>IFERROR(tblMoeHistory[[#This Row],[LEA State and Local Amount]]/tblMoeHistory[[#This Row],[Child Count]],0)</f>
        <v>8173.883230769231</v>
      </c>
      <c r="K1130">
        <f>IFERROR(tblMoeHistory[[#This Row],[ESD State and Local Amount]]/tblMoeHistory[[#This Row],[Child Count]],0)</f>
        <v>2134.0076923076922</v>
      </c>
      <c r="L1130">
        <f>IFERROR(tblMoeHistory[[#This Row],[State and Local Total Amount]]/tblMoeHistory[[#This Row],[Child Count]],0)</f>
        <v>10307.890923076924</v>
      </c>
      <c r="M1130">
        <v>132977.57999999999</v>
      </c>
      <c r="N1130" t="s">
        <v>240</v>
      </c>
      <c r="O1130">
        <v>175160.32000000001</v>
      </c>
      <c r="P1130">
        <v>918.03</v>
      </c>
      <c r="Q1130">
        <f>tblMoeHistory[[#This Row],[Amount of IDEA Part B, Section 611 award]]+tblMoeHistory[[#This Row],[Amount of IDEA Part B, Section 619 award]]</f>
        <v>176078.35</v>
      </c>
      <c r="U11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0" t="str">
        <f>IF(OR(IFERROR(SEARCH("Met",tblMoeHistory[[#This Row],[State and Local Per Capita Result]]),0)&gt;0,IFERROR(SEARCH("Met",tblMoeHistory[[#This Row],[State and Local Total Result]]),0)&gt;0),"Met","Not Met")</f>
        <v>Met</v>
      </c>
    </row>
    <row r="1131" spans="1:22" x14ac:dyDescent="0.35">
      <c r="A1131" t="s">
        <v>167</v>
      </c>
      <c r="B1131">
        <v>2062</v>
      </c>
      <c r="C1131" t="s">
        <v>41</v>
      </c>
      <c r="D1131">
        <v>3</v>
      </c>
      <c r="E1131">
        <v>0</v>
      </c>
      <c r="F1131">
        <v>12762.13</v>
      </c>
      <c r="G1131">
        <f>tblMoeHistory[[#This Row],[LEA State and Local Amount]]+tblMoeHistory[[#This Row],[ESD State and Local Amount]]</f>
        <v>12762.13</v>
      </c>
      <c r="H1131">
        <v>0</v>
      </c>
      <c r="I1131" t="s">
        <v>241</v>
      </c>
      <c r="J1131">
        <f>IFERROR(tblMoeHistory[[#This Row],[LEA State and Local Amount]]/tblMoeHistory[[#This Row],[Child Count]],0)</f>
        <v>0</v>
      </c>
      <c r="K1131">
        <f>IFERROR(tblMoeHistory[[#This Row],[ESD State and Local Amount]]/tblMoeHistory[[#This Row],[Child Count]],0)</f>
        <v>4254.0433333333331</v>
      </c>
      <c r="L1131">
        <f>IFERROR(tblMoeHistory[[#This Row],[State and Local Total Amount]]/tblMoeHistory[[#This Row],[Child Count]],0)</f>
        <v>4254.0433333333331</v>
      </c>
      <c r="M1131">
        <v>6501.38</v>
      </c>
      <c r="N1131" t="s">
        <v>240</v>
      </c>
      <c r="O1131">
        <v>2315.15</v>
      </c>
      <c r="P1131">
        <v>0</v>
      </c>
      <c r="Q1131">
        <f>tblMoeHistory[[#This Row],[Amount of IDEA Part B, Section 611 award]]+tblMoeHistory[[#This Row],[Amount of IDEA Part B, Section 619 award]]</f>
        <v>2315.15</v>
      </c>
      <c r="U11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1" t="str">
        <f>IF(OR(IFERROR(SEARCH("Met",tblMoeHistory[[#This Row],[State and Local Per Capita Result]]),0)&gt;0,IFERROR(SEARCH("Met",tblMoeHistory[[#This Row],[State and Local Total Result]]),0)&gt;0),"Met","Not Met")</f>
        <v>Met</v>
      </c>
    </row>
    <row r="1132" spans="1:22" x14ac:dyDescent="0.35">
      <c r="A1132" t="s">
        <v>168</v>
      </c>
      <c r="B1132">
        <v>1973</v>
      </c>
      <c r="C1132" t="s">
        <v>41</v>
      </c>
      <c r="D1132">
        <v>20</v>
      </c>
      <c r="E1132">
        <v>168618.46</v>
      </c>
      <c r="F1132">
        <v>85193</v>
      </c>
      <c r="G1132">
        <f>tblMoeHistory[[#This Row],[LEA State and Local Amount]]+tblMoeHistory[[#This Row],[ESD State and Local Amount]]</f>
        <v>253811.46</v>
      </c>
      <c r="H1132">
        <v>0</v>
      </c>
      <c r="I1132" t="s">
        <v>242</v>
      </c>
      <c r="J1132">
        <f>IFERROR(tblMoeHistory[[#This Row],[LEA State and Local Amount]]/tblMoeHistory[[#This Row],[Child Count]],0)</f>
        <v>8430.9229999999989</v>
      </c>
      <c r="K1132">
        <f>IFERROR(tblMoeHistory[[#This Row],[ESD State and Local Amount]]/tblMoeHistory[[#This Row],[Child Count]],0)</f>
        <v>4259.6499999999996</v>
      </c>
      <c r="L1132">
        <f>IFERROR(tblMoeHistory[[#This Row],[State and Local Total Amount]]/tblMoeHistory[[#This Row],[Child Count]],0)</f>
        <v>12690.573</v>
      </c>
      <c r="M1132">
        <v>0</v>
      </c>
      <c r="N1132" t="s">
        <v>241</v>
      </c>
      <c r="O1132">
        <v>63545.46</v>
      </c>
      <c r="P1132">
        <v>765.02</v>
      </c>
      <c r="Q1132">
        <f>tblMoeHistory[[#This Row],[Amount of IDEA Part B, Section 611 award]]+tblMoeHistory[[#This Row],[Amount of IDEA Part B, Section 619 award]]</f>
        <v>64310.479999999996</v>
      </c>
      <c r="S1132">
        <v>46432.21</v>
      </c>
      <c r="T1132">
        <v>46432.21</v>
      </c>
      <c r="U11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2" t="str">
        <f>IF(OR(IFERROR(SEARCH("Met",tblMoeHistory[[#This Row],[State and Local Per Capita Result]]),0)&gt;0,IFERROR(SEARCH("Met",tblMoeHistory[[#This Row],[State and Local Total Result]]),0)&gt;0),"Met","Not Met")</f>
        <v>Met</v>
      </c>
    </row>
    <row r="1133" spans="1:22" x14ac:dyDescent="0.35">
      <c r="A1133" t="s">
        <v>169</v>
      </c>
      <c r="B1133">
        <v>2180</v>
      </c>
      <c r="C1133" t="s">
        <v>41</v>
      </c>
      <c r="D1133">
        <v>6890</v>
      </c>
      <c r="E1133">
        <v>76515109.239999995</v>
      </c>
      <c r="F1133">
        <v>815492.02</v>
      </c>
      <c r="G1133">
        <f>tblMoeHistory[[#This Row],[LEA State and Local Amount]]+tblMoeHistory[[#This Row],[ESD State and Local Amount]]</f>
        <v>77330601.25999999</v>
      </c>
      <c r="H1133">
        <v>0</v>
      </c>
      <c r="I1133" t="s">
        <v>241</v>
      </c>
      <c r="J1133">
        <f>IFERROR(tblMoeHistory[[#This Row],[LEA State and Local Amount]]/tblMoeHistory[[#This Row],[Child Count]],0)</f>
        <v>11105.240818577648</v>
      </c>
      <c r="K1133">
        <f>IFERROR(tblMoeHistory[[#This Row],[ESD State and Local Amount]]/tblMoeHistory[[#This Row],[Child Count]],0)</f>
        <v>118.35878374455733</v>
      </c>
      <c r="L1133">
        <f>IFERROR(tblMoeHistory[[#This Row],[State and Local Total Amount]]/tblMoeHistory[[#This Row],[Child Count]],0)</f>
        <v>11223.599602322205</v>
      </c>
      <c r="M1133">
        <v>0</v>
      </c>
      <c r="N1133" t="s">
        <v>241</v>
      </c>
      <c r="O1133">
        <v>7804486.8200000003</v>
      </c>
      <c r="P1133">
        <v>91704.02</v>
      </c>
      <c r="Q1133">
        <f>tblMoeHistory[[#This Row],[Amount of IDEA Part B, Section 611 award]]+tblMoeHistory[[#This Row],[Amount of IDEA Part B, Section 619 award]]</f>
        <v>7896190.8399999999</v>
      </c>
      <c r="U11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3" t="str">
        <f>IF(OR(IFERROR(SEARCH("Met",tblMoeHistory[[#This Row],[State and Local Per Capita Result]]),0)&gt;0,IFERROR(SEARCH("Met",tblMoeHistory[[#This Row],[State and Local Total Result]]),0)&gt;0),"Met","Not Met")</f>
        <v>Met</v>
      </c>
    </row>
    <row r="1134" spans="1:22" x14ac:dyDescent="0.35">
      <c r="A1134" t="s">
        <v>170</v>
      </c>
      <c r="B1134">
        <v>1967</v>
      </c>
      <c r="C1134" t="s">
        <v>41</v>
      </c>
      <c r="D1134">
        <v>18</v>
      </c>
      <c r="E1134">
        <v>118397.54</v>
      </c>
      <c r="F1134">
        <v>30456</v>
      </c>
      <c r="G1134">
        <f>tblMoeHistory[[#This Row],[LEA State and Local Amount]]+tblMoeHistory[[#This Row],[ESD State and Local Amount]]</f>
        <v>148853.53999999998</v>
      </c>
      <c r="H1134">
        <v>0</v>
      </c>
      <c r="I1134" t="s">
        <v>242</v>
      </c>
      <c r="J1134">
        <f>IFERROR(tblMoeHistory[[#This Row],[LEA State and Local Amount]]/tblMoeHistory[[#This Row],[Child Count]],0)</f>
        <v>6577.6411111111111</v>
      </c>
      <c r="K1134">
        <f>IFERROR(tblMoeHistory[[#This Row],[ESD State and Local Amount]]/tblMoeHistory[[#This Row],[Child Count]],0)</f>
        <v>1692</v>
      </c>
      <c r="L1134">
        <f>IFERROR(tblMoeHistory[[#This Row],[State and Local Total Amount]]/tblMoeHistory[[#This Row],[Child Count]],0)</f>
        <v>8269.6411111111101</v>
      </c>
      <c r="M1134">
        <v>0</v>
      </c>
      <c r="N1134" t="s">
        <v>242</v>
      </c>
      <c r="O1134">
        <v>30527.64</v>
      </c>
      <c r="P1134">
        <v>0</v>
      </c>
      <c r="Q1134">
        <f>tblMoeHistory[[#This Row],[Amount of IDEA Part B, Section 611 award]]+tblMoeHistory[[#This Row],[Amount of IDEA Part B, Section 619 award]]</f>
        <v>30527.64</v>
      </c>
      <c r="S1134">
        <v>6973.32</v>
      </c>
      <c r="T1134">
        <v>43296.78</v>
      </c>
      <c r="U11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4" t="str">
        <f>IF(OR(IFERROR(SEARCH("Met",tblMoeHistory[[#This Row],[State and Local Per Capita Result]]),0)&gt;0,IFERROR(SEARCH("Met",tblMoeHistory[[#This Row],[State and Local Total Result]]),0)&gt;0),"Met","Not Met")</f>
        <v>Met</v>
      </c>
    </row>
    <row r="1135" spans="1:22" x14ac:dyDescent="0.35">
      <c r="A1135" t="s">
        <v>171</v>
      </c>
      <c r="B1135">
        <v>2009</v>
      </c>
      <c r="C1135" t="s">
        <v>41</v>
      </c>
      <c r="D1135">
        <v>26</v>
      </c>
      <c r="E1135">
        <v>136238.97</v>
      </c>
      <c r="F1135">
        <v>99322.93</v>
      </c>
      <c r="G1135">
        <f>tblMoeHistory[[#This Row],[LEA State and Local Amount]]+tblMoeHistory[[#This Row],[ESD State and Local Amount]]</f>
        <v>235561.9</v>
      </c>
      <c r="H1135">
        <v>0</v>
      </c>
      <c r="I1135" t="s">
        <v>241</v>
      </c>
      <c r="J1135">
        <f>IFERROR(tblMoeHistory[[#This Row],[LEA State and Local Amount]]/tblMoeHistory[[#This Row],[Child Count]],0)</f>
        <v>5239.960384615385</v>
      </c>
      <c r="K1135">
        <f>IFERROR(tblMoeHistory[[#This Row],[ESD State and Local Amount]]/tblMoeHistory[[#This Row],[Child Count]],0)</f>
        <v>3820.1126923076922</v>
      </c>
      <c r="L1135">
        <f>IFERROR(tblMoeHistory[[#This Row],[State and Local Total Amount]]/tblMoeHistory[[#This Row],[Child Count]],0)</f>
        <v>9060.0730769230759</v>
      </c>
      <c r="M1135">
        <v>0</v>
      </c>
      <c r="N1135" t="s">
        <v>241</v>
      </c>
      <c r="O1135">
        <v>28821.13</v>
      </c>
      <c r="P1135">
        <v>918.03</v>
      </c>
      <c r="Q1135">
        <f>tblMoeHistory[[#This Row],[Amount of IDEA Part B, Section 611 award]]+tblMoeHistory[[#This Row],[Amount of IDEA Part B, Section 619 award]]</f>
        <v>29739.16</v>
      </c>
      <c r="U11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5" t="str">
        <f>IF(OR(IFERROR(SEARCH("Met",tblMoeHistory[[#This Row],[State and Local Per Capita Result]]),0)&gt;0,IFERROR(SEARCH("Met",tblMoeHistory[[#This Row],[State and Local Total Result]]),0)&gt;0),"Met","Not Met")</f>
        <v>Met</v>
      </c>
    </row>
    <row r="1136" spans="1:22" x14ac:dyDescent="0.35">
      <c r="A1136" t="s">
        <v>172</v>
      </c>
      <c r="B1136">
        <v>2045</v>
      </c>
      <c r="C1136" t="s">
        <v>41</v>
      </c>
      <c r="D1136">
        <v>21</v>
      </c>
      <c r="E1136">
        <v>154254.81</v>
      </c>
      <c r="F1136">
        <v>86920.3</v>
      </c>
      <c r="G1136">
        <f>tblMoeHistory[[#This Row],[LEA State and Local Amount]]+tblMoeHistory[[#This Row],[ESD State and Local Amount]]</f>
        <v>241175.11</v>
      </c>
      <c r="H1136">
        <v>4140.82</v>
      </c>
      <c r="I1136" t="s">
        <v>240</v>
      </c>
      <c r="J1136">
        <f>IFERROR(tblMoeHistory[[#This Row],[LEA State and Local Amount]]/tblMoeHistory[[#This Row],[Child Count]],0)</f>
        <v>7345.4671428571428</v>
      </c>
      <c r="K1136">
        <f>IFERROR(tblMoeHistory[[#This Row],[ESD State and Local Amount]]/tblMoeHistory[[#This Row],[Child Count]],0)</f>
        <v>4139.0619047619048</v>
      </c>
      <c r="L1136">
        <f>IFERROR(tblMoeHistory[[#This Row],[State and Local Total Amount]]/tblMoeHistory[[#This Row],[Child Count]],0)</f>
        <v>11484.529047619048</v>
      </c>
      <c r="M1136">
        <v>61862.22</v>
      </c>
      <c r="N1136" t="s">
        <v>240</v>
      </c>
      <c r="O1136">
        <v>37552.050000000003</v>
      </c>
      <c r="P1136">
        <v>918.03</v>
      </c>
      <c r="Q1136">
        <f>tblMoeHistory[[#This Row],[Amount of IDEA Part B, Section 611 award]]+tblMoeHistory[[#This Row],[Amount of IDEA Part B, Section 619 award]]</f>
        <v>38470.080000000002</v>
      </c>
      <c r="U11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4140.82</v>
      </c>
      <c r="V1136" t="str">
        <f>IF(OR(IFERROR(SEARCH("Met",tblMoeHistory[[#This Row],[State and Local Per Capita Result]]),0)&gt;0,IFERROR(SEARCH("Met",tblMoeHistory[[#This Row],[State and Local Total Result]]),0)&gt;0),"Met","Not Met")</f>
        <v>Not Met</v>
      </c>
    </row>
    <row r="1137" spans="1:22" x14ac:dyDescent="0.35">
      <c r="A1137" t="s">
        <v>173</v>
      </c>
      <c r="B1137">
        <v>1946</v>
      </c>
      <c r="C1137" t="s">
        <v>41</v>
      </c>
      <c r="D1137">
        <v>105</v>
      </c>
      <c r="E1137">
        <v>1377137.23</v>
      </c>
      <c r="F1137">
        <v>131707</v>
      </c>
      <c r="G1137">
        <f>tblMoeHistory[[#This Row],[LEA State and Local Amount]]+tblMoeHistory[[#This Row],[ESD State and Local Amount]]</f>
        <v>1508844.23</v>
      </c>
      <c r="H1137">
        <v>0</v>
      </c>
      <c r="I1137" t="s">
        <v>242</v>
      </c>
      <c r="J1137">
        <f>IFERROR(tblMoeHistory[[#This Row],[LEA State and Local Amount]]/tblMoeHistory[[#This Row],[Child Count]],0)</f>
        <v>13115.592666666667</v>
      </c>
      <c r="K1137">
        <f>IFERROR(tblMoeHistory[[#This Row],[ESD State and Local Amount]]/tblMoeHistory[[#This Row],[Child Count]],0)</f>
        <v>1254.3523809523811</v>
      </c>
      <c r="L1137">
        <f>IFERROR(tblMoeHistory[[#This Row],[State and Local Total Amount]]/tblMoeHistory[[#This Row],[Child Count]],0)</f>
        <v>14369.945047619047</v>
      </c>
      <c r="M1137">
        <v>0</v>
      </c>
      <c r="N1137" t="s">
        <v>241</v>
      </c>
      <c r="O1137">
        <v>188579.06</v>
      </c>
      <c r="P1137">
        <v>510.01</v>
      </c>
      <c r="Q1137">
        <f>tblMoeHistory[[#This Row],[Amount of IDEA Part B, Section 611 award]]+tblMoeHistory[[#This Row],[Amount of IDEA Part B, Section 619 award]]</f>
        <v>189089.07</v>
      </c>
      <c r="S1137">
        <v>219331.35</v>
      </c>
      <c r="T1137">
        <v>219331.35</v>
      </c>
      <c r="U11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7" t="str">
        <f>IF(OR(IFERROR(SEARCH("Met",tblMoeHistory[[#This Row],[State and Local Per Capita Result]]),0)&gt;0,IFERROR(SEARCH("Met",tblMoeHistory[[#This Row],[State and Local Total Result]]),0)&gt;0),"Met","Not Met")</f>
        <v>Met</v>
      </c>
    </row>
    <row r="1138" spans="1:22" x14ac:dyDescent="0.35">
      <c r="A1138" t="s">
        <v>174</v>
      </c>
      <c r="B1138">
        <v>1977</v>
      </c>
      <c r="C1138" t="s">
        <v>41</v>
      </c>
      <c r="D1138">
        <v>966</v>
      </c>
      <c r="E1138">
        <v>8138093.5999999996</v>
      </c>
      <c r="F1138">
        <v>1310559.29</v>
      </c>
      <c r="G1138">
        <f>tblMoeHistory[[#This Row],[LEA State and Local Amount]]+tblMoeHistory[[#This Row],[ESD State and Local Amount]]</f>
        <v>9448652.8900000006</v>
      </c>
      <c r="H1138">
        <v>0</v>
      </c>
      <c r="I1138" t="s">
        <v>241</v>
      </c>
      <c r="J1138">
        <f>IFERROR(tblMoeHistory[[#This Row],[LEA State and Local Amount]]/tblMoeHistory[[#This Row],[Child Count]],0)</f>
        <v>8424.5275362318844</v>
      </c>
      <c r="K1138">
        <f>IFERROR(tblMoeHistory[[#This Row],[ESD State and Local Amount]]/tblMoeHistory[[#This Row],[Child Count]],0)</f>
        <v>1356.6866356107662</v>
      </c>
      <c r="L1138">
        <f>IFERROR(tblMoeHistory[[#This Row],[State and Local Total Amount]]/tblMoeHistory[[#This Row],[Child Count]],0)</f>
        <v>9781.2141718426501</v>
      </c>
      <c r="M1138">
        <v>0</v>
      </c>
      <c r="N1138" t="s">
        <v>241</v>
      </c>
      <c r="O1138">
        <v>1026403.06</v>
      </c>
      <c r="P1138">
        <v>4437.13</v>
      </c>
      <c r="Q1138">
        <f>tblMoeHistory[[#This Row],[Amount of IDEA Part B, Section 611 award]]+tblMoeHistory[[#This Row],[Amount of IDEA Part B, Section 619 award]]</f>
        <v>1030840.1900000001</v>
      </c>
      <c r="U11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8" t="str">
        <f>IF(OR(IFERROR(SEARCH("Met",tblMoeHistory[[#This Row],[State and Local Per Capita Result]]),0)&gt;0,IFERROR(SEARCH("Met",tblMoeHistory[[#This Row],[State and Local Total Result]]),0)&gt;0),"Met","Not Met")</f>
        <v>Met</v>
      </c>
    </row>
    <row r="1139" spans="1:22" x14ac:dyDescent="0.35">
      <c r="A1139" t="s">
        <v>175</v>
      </c>
      <c r="B1139">
        <v>2001</v>
      </c>
      <c r="C1139" t="s">
        <v>41</v>
      </c>
      <c r="D1139">
        <v>104</v>
      </c>
      <c r="E1139">
        <v>821647.92</v>
      </c>
      <c r="F1139">
        <v>231049</v>
      </c>
      <c r="G1139">
        <f>tblMoeHistory[[#This Row],[LEA State and Local Amount]]+tblMoeHistory[[#This Row],[ESD State and Local Amount]]</f>
        <v>1052696.92</v>
      </c>
      <c r="H1139">
        <v>0</v>
      </c>
      <c r="I1139" t="s">
        <v>241</v>
      </c>
      <c r="J1139">
        <f>IFERROR(tblMoeHistory[[#This Row],[LEA State and Local Amount]]/tblMoeHistory[[#This Row],[Child Count]],0)</f>
        <v>7900.46076923077</v>
      </c>
      <c r="K1139">
        <f>IFERROR(tblMoeHistory[[#This Row],[ESD State and Local Amount]]/tblMoeHistory[[#This Row],[Child Count]],0)</f>
        <v>2221.625</v>
      </c>
      <c r="L1139">
        <f>IFERROR(tblMoeHistory[[#This Row],[State and Local Total Amount]]/tblMoeHistory[[#This Row],[Child Count]],0)</f>
        <v>10122.085769230769</v>
      </c>
      <c r="M1139">
        <v>0</v>
      </c>
      <c r="N1139" t="s">
        <v>241</v>
      </c>
      <c r="O1139">
        <v>126777.9</v>
      </c>
      <c r="P1139">
        <v>2725.39</v>
      </c>
      <c r="Q1139">
        <f>tblMoeHistory[[#This Row],[Amount of IDEA Part B, Section 611 award]]+tblMoeHistory[[#This Row],[Amount of IDEA Part B, Section 619 award]]</f>
        <v>129503.29</v>
      </c>
      <c r="U11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9" t="str">
        <f>IF(OR(IFERROR(SEARCH("Met",tblMoeHistory[[#This Row],[State and Local Per Capita Result]]),0)&gt;0,IFERROR(SEARCH("Met",tblMoeHistory[[#This Row],[State and Local Total Result]]),0)&gt;0),"Met","Not Met")</f>
        <v>Met</v>
      </c>
    </row>
    <row r="1140" spans="1:22" x14ac:dyDescent="0.35">
      <c r="A1140" t="s">
        <v>176</v>
      </c>
      <c r="B1140">
        <v>2182</v>
      </c>
      <c r="C1140" t="s">
        <v>41</v>
      </c>
      <c r="D1140">
        <v>1736</v>
      </c>
      <c r="E1140">
        <v>16645782.630000001</v>
      </c>
      <c r="F1140">
        <v>1078229.19</v>
      </c>
      <c r="G1140">
        <f>tblMoeHistory[[#This Row],[LEA State and Local Amount]]+tblMoeHistory[[#This Row],[ESD State and Local Amount]]</f>
        <v>17724011.82</v>
      </c>
      <c r="H1140">
        <v>0</v>
      </c>
      <c r="I1140" t="s">
        <v>241</v>
      </c>
      <c r="J1140">
        <f>IFERROR(tblMoeHistory[[#This Row],[LEA State and Local Amount]]/tblMoeHistory[[#This Row],[Child Count]],0)</f>
        <v>9588.5844642857155</v>
      </c>
      <c r="K1140">
        <f>IFERROR(tblMoeHistory[[#This Row],[ESD State and Local Amount]]/tblMoeHistory[[#This Row],[Child Count]],0)</f>
        <v>621.0997638248848</v>
      </c>
      <c r="L1140">
        <f>IFERROR(tblMoeHistory[[#This Row],[State and Local Total Amount]]/tblMoeHistory[[#This Row],[Child Count]],0)</f>
        <v>10209.6842281106</v>
      </c>
      <c r="M1140">
        <v>358747.52</v>
      </c>
      <c r="N1140" t="s">
        <v>240</v>
      </c>
      <c r="O1140">
        <v>1709515.57</v>
      </c>
      <c r="P1140">
        <v>10456.17</v>
      </c>
      <c r="Q1140">
        <f>tblMoeHistory[[#This Row],[Amount of IDEA Part B, Section 611 award]]+tblMoeHistory[[#This Row],[Amount of IDEA Part B, Section 619 award]]</f>
        <v>1719971.74</v>
      </c>
      <c r="U11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0" t="str">
        <f>IF(OR(IFERROR(SEARCH("Met",tblMoeHistory[[#This Row],[State and Local Per Capita Result]]),0)&gt;0,IFERROR(SEARCH("Met",tblMoeHistory[[#This Row],[State and Local Total Result]]),0)&gt;0),"Met","Not Met")</f>
        <v>Met</v>
      </c>
    </row>
    <row r="1141" spans="1:22" x14ac:dyDescent="0.35">
      <c r="A1141" t="s">
        <v>177</v>
      </c>
      <c r="B1141">
        <v>1999</v>
      </c>
      <c r="C1141" t="s">
        <v>41</v>
      </c>
      <c r="D1141">
        <v>72</v>
      </c>
      <c r="E1141">
        <v>490901.32</v>
      </c>
      <c r="F1141">
        <v>98511.99</v>
      </c>
      <c r="G1141">
        <f>tblMoeHistory[[#This Row],[LEA State and Local Amount]]+tblMoeHistory[[#This Row],[ESD State and Local Amount]]</f>
        <v>589413.31000000006</v>
      </c>
      <c r="H1141">
        <v>0</v>
      </c>
      <c r="I1141" t="s">
        <v>241</v>
      </c>
      <c r="J1141">
        <f>IFERROR(tblMoeHistory[[#This Row],[LEA State and Local Amount]]/tblMoeHistory[[#This Row],[Child Count]],0)</f>
        <v>6818.0738888888891</v>
      </c>
      <c r="K1141">
        <f>IFERROR(tblMoeHistory[[#This Row],[ESD State and Local Amount]]/tblMoeHistory[[#This Row],[Child Count]],0)</f>
        <v>1368.2220833333333</v>
      </c>
      <c r="L1141">
        <f>IFERROR(tblMoeHistory[[#This Row],[State and Local Total Amount]]/tblMoeHistory[[#This Row],[Child Count]],0)</f>
        <v>8186.2959722222231</v>
      </c>
      <c r="M1141">
        <v>105124.36</v>
      </c>
      <c r="N1141" t="s">
        <v>240</v>
      </c>
      <c r="O1141">
        <v>66870.600000000006</v>
      </c>
      <c r="P1141">
        <v>0</v>
      </c>
      <c r="Q1141">
        <f>tblMoeHistory[[#This Row],[Amount of IDEA Part B, Section 611 award]]+tblMoeHistory[[#This Row],[Amount of IDEA Part B, Section 619 award]]</f>
        <v>66870.600000000006</v>
      </c>
      <c r="U11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1" t="str">
        <f>IF(OR(IFERROR(SEARCH("Met",tblMoeHistory[[#This Row],[State and Local Per Capita Result]]),0)&gt;0,IFERROR(SEARCH("Met",tblMoeHistory[[#This Row],[State and Local Total Result]]),0)&gt;0),"Met","Not Met")</f>
        <v>Met</v>
      </c>
    </row>
    <row r="1142" spans="1:22" x14ac:dyDescent="0.35">
      <c r="A1142" t="s">
        <v>178</v>
      </c>
      <c r="B1142">
        <v>2188</v>
      </c>
      <c r="C1142" t="s">
        <v>41</v>
      </c>
      <c r="D1142">
        <v>57</v>
      </c>
      <c r="E1142">
        <v>365096.72</v>
      </c>
      <c r="F1142">
        <v>208440.74</v>
      </c>
      <c r="G1142">
        <f>tblMoeHistory[[#This Row],[LEA State and Local Amount]]+tblMoeHistory[[#This Row],[ESD State and Local Amount]]</f>
        <v>573537.46</v>
      </c>
      <c r="H1142">
        <v>0</v>
      </c>
      <c r="I1142" t="s">
        <v>241</v>
      </c>
      <c r="J1142">
        <f>IFERROR(tblMoeHistory[[#This Row],[LEA State and Local Amount]]/tblMoeHistory[[#This Row],[Child Count]],0)</f>
        <v>6405.2056140350869</v>
      </c>
      <c r="K1142">
        <f>IFERROR(tblMoeHistory[[#This Row],[ESD State and Local Amount]]/tblMoeHistory[[#This Row],[Child Count]],0)</f>
        <v>3656.8550877192979</v>
      </c>
      <c r="L1142">
        <f>IFERROR(tblMoeHistory[[#This Row],[State and Local Total Amount]]/tblMoeHistory[[#This Row],[Child Count]],0)</f>
        <v>10062.060701754386</v>
      </c>
      <c r="M1142">
        <v>0</v>
      </c>
      <c r="N1142" t="s">
        <v>241</v>
      </c>
      <c r="O1142">
        <v>56529.05</v>
      </c>
      <c r="P1142">
        <v>229.51</v>
      </c>
      <c r="Q1142">
        <f>tblMoeHistory[[#This Row],[Amount of IDEA Part B, Section 611 award]]+tblMoeHistory[[#This Row],[Amount of IDEA Part B, Section 619 award]]</f>
        <v>56758.560000000005</v>
      </c>
      <c r="U11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2" t="str">
        <f>IF(OR(IFERROR(SEARCH("Met",tblMoeHistory[[#This Row],[State and Local Per Capita Result]]),0)&gt;0,IFERROR(SEARCH("Met",tblMoeHistory[[#This Row],[State and Local Total Result]]),0)&gt;0),"Met","Not Met")</f>
        <v>Met</v>
      </c>
    </row>
    <row r="1143" spans="1:22" x14ac:dyDescent="0.35">
      <c r="A1143" t="s">
        <v>179</v>
      </c>
      <c r="B1143">
        <v>2044</v>
      </c>
      <c r="C1143" t="s">
        <v>41</v>
      </c>
      <c r="D1143">
        <v>138</v>
      </c>
      <c r="E1143">
        <v>852135.3</v>
      </c>
      <c r="F1143">
        <v>373749.22</v>
      </c>
      <c r="G1143">
        <f>tblMoeHistory[[#This Row],[LEA State and Local Amount]]+tblMoeHistory[[#This Row],[ESD State and Local Amount]]</f>
        <v>1225884.52</v>
      </c>
      <c r="H1143">
        <v>0</v>
      </c>
      <c r="I1143" t="s">
        <v>242</v>
      </c>
      <c r="J1143">
        <f>IFERROR(tblMoeHistory[[#This Row],[LEA State and Local Amount]]/tblMoeHistory[[#This Row],[Child Count]],0)</f>
        <v>6174.8934782608703</v>
      </c>
      <c r="K1143">
        <f>IFERROR(tblMoeHistory[[#This Row],[ESD State and Local Amount]]/tblMoeHistory[[#This Row],[Child Count]],0)</f>
        <v>2708.3276811594201</v>
      </c>
      <c r="L1143">
        <f>IFERROR(tblMoeHistory[[#This Row],[State and Local Total Amount]]/tblMoeHistory[[#This Row],[Child Count]],0)</f>
        <v>8883.2211594202909</v>
      </c>
      <c r="M1143">
        <v>0</v>
      </c>
      <c r="N1143" t="s">
        <v>242</v>
      </c>
      <c r="O1143">
        <v>163255.31</v>
      </c>
      <c r="P1143">
        <v>1836.05</v>
      </c>
      <c r="Q1143">
        <f>tblMoeHistory[[#This Row],[Amount of IDEA Part B, Section 611 award]]+tblMoeHistory[[#This Row],[Amount of IDEA Part B, Section 619 award]]</f>
        <v>165091.35999999999</v>
      </c>
      <c r="S1143">
        <v>61795.92</v>
      </c>
      <c r="T1143">
        <v>208697.19</v>
      </c>
      <c r="U11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3" t="str">
        <f>IF(OR(IFERROR(SEARCH("Met",tblMoeHistory[[#This Row],[State and Local Per Capita Result]]),0)&gt;0,IFERROR(SEARCH("Met",tblMoeHistory[[#This Row],[State and Local Total Result]]),0)&gt;0),"Met","Not Met")</f>
        <v>Met</v>
      </c>
    </row>
    <row r="1144" spans="1:22" x14ac:dyDescent="0.35">
      <c r="A1144" t="s">
        <v>180</v>
      </c>
      <c r="B1144">
        <v>2142</v>
      </c>
      <c r="C1144" t="s">
        <v>41</v>
      </c>
      <c r="D1144">
        <v>6602</v>
      </c>
      <c r="E1144">
        <v>72398958.599999994</v>
      </c>
      <c r="F1144">
        <v>0</v>
      </c>
      <c r="G1144">
        <f>tblMoeHistory[[#This Row],[LEA State and Local Amount]]+tblMoeHistory[[#This Row],[ESD State and Local Amount]]</f>
        <v>72398958.599999994</v>
      </c>
      <c r="H1144">
        <v>0</v>
      </c>
      <c r="I1144" t="s">
        <v>241</v>
      </c>
      <c r="J1144">
        <f>IFERROR(tblMoeHistory[[#This Row],[LEA State and Local Amount]]/tblMoeHistory[[#This Row],[Child Count]],0)</f>
        <v>10966.216086034534</v>
      </c>
      <c r="K1144">
        <f>IFERROR(tblMoeHistory[[#This Row],[ESD State and Local Amount]]/tblMoeHistory[[#This Row],[Child Count]],0)</f>
        <v>0</v>
      </c>
      <c r="L1144">
        <f>IFERROR(tblMoeHistory[[#This Row],[State and Local Total Amount]]/tblMoeHistory[[#This Row],[Child Count]],0)</f>
        <v>10966.216086034534</v>
      </c>
      <c r="M1144">
        <v>0</v>
      </c>
      <c r="N1144" t="s">
        <v>241</v>
      </c>
      <c r="O1144">
        <v>6754059.96</v>
      </c>
      <c r="P1144">
        <v>37425.69</v>
      </c>
      <c r="Q1144">
        <f>tblMoeHistory[[#This Row],[Amount of IDEA Part B, Section 611 award]]+tblMoeHistory[[#This Row],[Amount of IDEA Part B, Section 619 award]]</f>
        <v>6791485.6500000004</v>
      </c>
      <c r="U11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4" t="str">
        <f>IF(OR(IFERROR(SEARCH("Met",tblMoeHistory[[#This Row],[State and Local Per Capita Result]]),0)&gt;0,IFERROR(SEARCH("Met",tblMoeHistory[[#This Row],[State and Local Total Result]]),0)&gt;0),"Met","Not Met")</f>
        <v>Met</v>
      </c>
    </row>
    <row r="1145" spans="1:22" x14ac:dyDescent="0.35">
      <c r="A1145" t="s">
        <v>181</v>
      </c>
      <c r="B1145">
        <v>2104</v>
      </c>
      <c r="C1145" t="s">
        <v>41</v>
      </c>
      <c r="D1145">
        <v>564</v>
      </c>
      <c r="E1145">
        <v>2764044.37</v>
      </c>
      <c r="F1145">
        <v>357941</v>
      </c>
      <c r="G1145">
        <f>tblMoeHistory[[#This Row],[LEA State and Local Amount]]+tblMoeHistory[[#This Row],[ESD State and Local Amount]]</f>
        <v>3121985.37</v>
      </c>
      <c r="H1145">
        <v>0</v>
      </c>
      <c r="I1145" t="s">
        <v>241</v>
      </c>
      <c r="J1145">
        <f>IFERROR(tblMoeHistory[[#This Row],[LEA State and Local Amount]]/tblMoeHistory[[#This Row],[Child Count]],0)</f>
        <v>4900.787890070922</v>
      </c>
      <c r="K1145">
        <f>IFERROR(tblMoeHistory[[#This Row],[ESD State and Local Amount]]/tblMoeHistory[[#This Row],[Child Count]],0)</f>
        <v>634.64716312056737</v>
      </c>
      <c r="L1145">
        <f>IFERROR(tblMoeHistory[[#This Row],[State and Local Total Amount]]/tblMoeHistory[[#This Row],[Child Count]],0)</f>
        <v>5535.4350531914897</v>
      </c>
      <c r="M1145">
        <v>2178382.96</v>
      </c>
      <c r="N1145" t="s">
        <v>240</v>
      </c>
      <c r="O1145">
        <v>125431.94</v>
      </c>
      <c r="P1145">
        <v>1147.53</v>
      </c>
      <c r="Q1145">
        <f>tblMoeHistory[[#This Row],[Amount of IDEA Part B, Section 611 award]]+tblMoeHistory[[#This Row],[Amount of IDEA Part B, Section 619 award]]</f>
        <v>126579.47</v>
      </c>
      <c r="U11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5" t="str">
        <f>IF(OR(IFERROR(SEARCH("Met",tblMoeHistory[[#This Row],[State and Local Per Capita Result]]),0)&gt;0,IFERROR(SEARCH("Met",tblMoeHistory[[#This Row],[State and Local Total Result]]),0)&gt;0),"Met","Not Met")</f>
        <v>Met</v>
      </c>
    </row>
    <row r="1146" spans="1:22" x14ac:dyDescent="0.35">
      <c r="A1146" t="s">
        <v>182</v>
      </c>
      <c r="B1146">
        <v>1944</v>
      </c>
      <c r="C1146" t="s">
        <v>41</v>
      </c>
      <c r="D1146">
        <v>269</v>
      </c>
      <c r="E1146">
        <v>2375983.91</v>
      </c>
      <c r="F1146">
        <v>430338</v>
      </c>
      <c r="G1146">
        <f>tblMoeHistory[[#This Row],[LEA State and Local Amount]]+tblMoeHistory[[#This Row],[ESD State and Local Amount]]</f>
        <v>2806321.91</v>
      </c>
      <c r="H1146">
        <v>0</v>
      </c>
      <c r="I1146" t="s">
        <v>241</v>
      </c>
      <c r="J1146">
        <f>IFERROR(tblMoeHistory[[#This Row],[LEA State and Local Amount]]/tblMoeHistory[[#This Row],[Child Count]],0)</f>
        <v>8832.6539405204458</v>
      </c>
      <c r="K1146">
        <f>IFERROR(tblMoeHistory[[#This Row],[ESD State and Local Amount]]/tblMoeHistory[[#This Row],[Child Count]],0)</f>
        <v>1599.7695167286245</v>
      </c>
      <c r="L1146">
        <f>IFERROR(tblMoeHistory[[#This Row],[State and Local Total Amount]]/tblMoeHistory[[#This Row],[Child Count]],0)</f>
        <v>10432.423457249071</v>
      </c>
      <c r="M1146">
        <v>124420.33</v>
      </c>
      <c r="N1146" t="s">
        <v>240</v>
      </c>
      <c r="O1146">
        <v>374782.44</v>
      </c>
      <c r="P1146">
        <v>2106.06</v>
      </c>
      <c r="Q1146">
        <f>tblMoeHistory[[#This Row],[Amount of IDEA Part B, Section 611 award]]+tblMoeHistory[[#This Row],[Amount of IDEA Part B, Section 619 award]]</f>
        <v>376888.5</v>
      </c>
      <c r="U11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6" t="str">
        <f>IF(OR(IFERROR(SEARCH("Met",tblMoeHistory[[#This Row],[State and Local Per Capita Result]]),0)&gt;0,IFERROR(SEARCH("Met",tblMoeHistory[[#This Row],[State and Local Total Result]]),0)&gt;0),"Met","Not Met")</f>
        <v>Met</v>
      </c>
    </row>
    <row r="1147" spans="1:22" x14ac:dyDescent="0.35">
      <c r="A1147" t="s">
        <v>183</v>
      </c>
      <c r="B1147">
        <v>2103</v>
      </c>
      <c r="C1147" t="s">
        <v>41</v>
      </c>
      <c r="D1147">
        <v>91</v>
      </c>
      <c r="E1147">
        <v>446058.66</v>
      </c>
      <c r="F1147">
        <v>187578</v>
      </c>
      <c r="G1147">
        <f>tblMoeHistory[[#This Row],[LEA State and Local Amount]]+tblMoeHistory[[#This Row],[ESD State and Local Amount]]</f>
        <v>633636.65999999992</v>
      </c>
      <c r="H1147">
        <v>0</v>
      </c>
      <c r="I1147" t="s">
        <v>242</v>
      </c>
      <c r="J1147">
        <f>IFERROR(tblMoeHistory[[#This Row],[LEA State and Local Amount]]/tblMoeHistory[[#This Row],[Child Count]],0)</f>
        <v>4901.743516483516</v>
      </c>
      <c r="K1147">
        <f>IFERROR(tblMoeHistory[[#This Row],[ESD State and Local Amount]]/tblMoeHistory[[#This Row],[Child Count]],0)</f>
        <v>2061.2967032967031</v>
      </c>
      <c r="L1147">
        <f>IFERROR(tblMoeHistory[[#This Row],[State and Local Total Amount]]/tblMoeHistory[[#This Row],[Child Count]],0)</f>
        <v>6963.0402197802186</v>
      </c>
      <c r="M1147">
        <v>0</v>
      </c>
      <c r="N1147" t="s">
        <v>241</v>
      </c>
      <c r="O1147">
        <v>450248.7</v>
      </c>
      <c r="P1147">
        <v>688.52</v>
      </c>
      <c r="Q1147">
        <f>tblMoeHistory[[#This Row],[Amount of IDEA Part B, Section 611 award]]+tblMoeHistory[[#This Row],[Amount of IDEA Part B, Section 619 award]]</f>
        <v>450937.22000000003</v>
      </c>
      <c r="S1147">
        <v>30000</v>
      </c>
      <c r="T1147">
        <v>30000</v>
      </c>
      <c r="U11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7" t="str">
        <f>IF(OR(IFERROR(SEARCH("Met",tblMoeHistory[[#This Row],[State and Local Per Capita Result]]),0)&gt;0,IFERROR(SEARCH("Met",tblMoeHistory[[#This Row],[State and Local Total Result]]),0)&gt;0),"Met","Not Met")</f>
        <v>Met</v>
      </c>
    </row>
    <row r="1148" spans="1:22" x14ac:dyDescent="0.35">
      <c r="A1148" t="s">
        <v>184</v>
      </c>
      <c r="B1148">
        <v>1935</v>
      </c>
      <c r="C1148" t="s">
        <v>41</v>
      </c>
      <c r="D1148">
        <v>261</v>
      </c>
      <c r="E1148">
        <v>2227695.92</v>
      </c>
      <c r="F1148">
        <v>400921</v>
      </c>
      <c r="G1148">
        <f>tblMoeHistory[[#This Row],[LEA State and Local Amount]]+tblMoeHistory[[#This Row],[ESD State and Local Amount]]</f>
        <v>2628616.92</v>
      </c>
      <c r="H1148">
        <v>0</v>
      </c>
      <c r="I1148" t="s">
        <v>241</v>
      </c>
      <c r="J1148">
        <f>IFERROR(tblMoeHistory[[#This Row],[LEA State and Local Amount]]/tblMoeHistory[[#This Row],[Child Count]],0)</f>
        <v>8535.2334099616855</v>
      </c>
      <c r="K1148">
        <f>IFERROR(tblMoeHistory[[#This Row],[ESD State and Local Amount]]/tblMoeHistory[[#This Row],[Child Count]],0)</f>
        <v>1536.0957854406131</v>
      </c>
      <c r="L1148">
        <f>IFERROR(tblMoeHistory[[#This Row],[State and Local Total Amount]]/tblMoeHistory[[#This Row],[Child Count]],0)</f>
        <v>10071.329195402299</v>
      </c>
      <c r="M1148">
        <v>0</v>
      </c>
      <c r="N1148" t="s">
        <v>242</v>
      </c>
      <c r="O1148">
        <v>234276.23</v>
      </c>
      <c r="P1148">
        <v>2394.85</v>
      </c>
      <c r="Q1148">
        <f>tblMoeHistory[[#This Row],[Amount of IDEA Part B, Section 611 award]]+tblMoeHistory[[#This Row],[Amount of IDEA Part B, Section 619 award]]</f>
        <v>236671.08000000002</v>
      </c>
      <c r="S1148">
        <v>91395.43</v>
      </c>
      <c r="T1148">
        <v>91395.43</v>
      </c>
      <c r="U11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8" t="str">
        <f>IF(OR(IFERROR(SEARCH("Met",tblMoeHistory[[#This Row],[State and Local Per Capita Result]]),0)&gt;0,IFERROR(SEARCH("Met",tblMoeHistory[[#This Row],[State and Local Total Result]]),0)&gt;0),"Met","Not Met")</f>
        <v>Met</v>
      </c>
    </row>
    <row r="1149" spans="1:22" x14ac:dyDescent="0.35">
      <c r="A1149" t="s">
        <v>185</v>
      </c>
      <c r="B1149">
        <v>2257</v>
      </c>
      <c r="C1149" t="s">
        <v>41</v>
      </c>
      <c r="D1149">
        <v>102</v>
      </c>
      <c r="E1149">
        <v>921861.69</v>
      </c>
      <c r="F1149">
        <v>40302.15</v>
      </c>
      <c r="G1149">
        <f>tblMoeHistory[[#This Row],[LEA State and Local Amount]]+tblMoeHistory[[#This Row],[ESD State and Local Amount]]</f>
        <v>962163.84</v>
      </c>
      <c r="H1149">
        <v>0</v>
      </c>
      <c r="I1149" t="s">
        <v>242</v>
      </c>
      <c r="J1149">
        <f>IFERROR(tblMoeHistory[[#This Row],[LEA State and Local Amount]]/tblMoeHistory[[#This Row],[Child Count]],0)</f>
        <v>9037.8597058823525</v>
      </c>
      <c r="K1149">
        <f>IFERROR(tblMoeHistory[[#This Row],[ESD State and Local Amount]]/tblMoeHistory[[#This Row],[Child Count]],0)</f>
        <v>395.11911764705883</v>
      </c>
      <c r="L1149">
        <f>IFERROR(tblMoeHistory[[#This Row],[State and Local Total Amount]]/tblMoeHistory[[#This Row],[Child Count]],0)</f>
        <v>9432.9788235294109</v>
      </c>
      <c r="M1149">
        <v>0</v>
      </c>
      <c r="N1149" t="s">
        <v>241</v>
      </c>
      <c r="O1149">
        <v>166680.13</v>
      </c>
      <c r="P1149">
        <v>1271.1099999999999</v>
      </c>
      <c r="Q1149">
        <f>tblMoeHistory[[#This Row],[Amount of IDEA Part B, Section 611 award]]+tblMoeHistory[[#This Row],[Amount of IDEA Part B, Section 619 award]]</f>
        <v>167951.24</v>
      </c>
      <c r="S1149">
        <v>118604.55</v>
      </c>
      <c r="T1149">
        <v>118604.55</v>
      </c>
      <c r="U11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9" t="str">
        <f>IF(OR(IFERROR(SEARCH("Met",tblMoeHistory[[#This Row],[State and Local Per Capita Result]]),0)&gt;0,IFERROR(SEARCH("Met",tblMoeHistory[[#This Row],[State and Local Total Result]]),0)&gt;0),"Met","Not Met")</f>
        <v>Met</v>
      </c>
    </row>
    <row r="1150" spans="1:22" x14ac:dyDescent="0.35">
      <c r="A1150" t="s">
        <v>186</v>
      </c>
      <c r="B1150">
        <v>2195</v>
      </c>
      <c r="C1150" t="s">
        <v>41</v>
      </c>
      <c r="D1150">
        <v>46</v>
      </c>
      <c r="E1150">
        <v>165398.17000000001</v>
      </c>
      <c r="F1150">
        <v>161136</v>
      </c>
      <c r="G1150">
        <f>tblMoeHistory[[#This Row],[LEA State and Local Amount]]+tblMoeHistory[[#This Row],[ESD State and Local Amount]]</f>
        <v>326534.17000000004</v>
      </c>
      <c r="H1150">
        <v>12674.45</v>
      </c>
      <c r="I1150" t="s">
        <v>240</v>
      </c>
      <c r="J1150">
        <f>IFERROR(tblMoeHistory[[#This Row],[LEA State and Local Amount]]/tblMoeHistory[[#This Row],[Child Count]],0)</f>
        <v>3595.612391304348</v>
      </c>
      <c r="K1150">
        <f>IFERROR(tblMoeHistory[[#This Row],[ESD State and Local Amount]]/tblMoeHistory[[#This Row],[Child Count]],0)</f>
        <v>3502.9565217391305</v>
      </c>
      <c r="L1150">
        <f>IFERROR(tblMoeHistory[[#This Row],[State and Local Total Amount]]/tblMoeHistory[[#This Row],[Child Count]],0)</f>
        <v>7098.5689130434794</v>
      </c>
      <c r="M1150">
        <v>84086.79</v>
      </c>
      <c r="N1150" t="s">
        <v>240</v>
      </c>
      <c r="O1150">
        <v>53389.59</v>
      </c>
      <c r="P1150">
        <v>153</v>
      </c>
      <c r="Q1150">
        <f>tblMoeHistory[[#This Row],[Amount of IDEA Part B, Section 611 award]]+tblMoeHistory[[#This Row],[Amount of IDEA Part B, Section 619 award]]</f>
        <v>53542.59</v>
      </c>
      <c r="U11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12674.45</v>
      </c>
      <c r="V1150" t="str">
        <f>IF(OR(IFERROR(SEARCH("Met",tblMoeHistory[[#This Row],[State and Local Per Capita Result]]),0)&gt;0,IFERROR(SEARCH("Met",tblMoeHistory[[#This Row],[State and Local Total Result]]),0)&gt;0),"Met","Not Met")</f>
        <v>Not Met</v>
      </c>
    </row>
    <row r="1151" spans="1:22" x14ac:dyDescent="0.35">
      <c r="A1151" t="s">
        <v>187</v>
      </c>
      <c r="B1151">
        <v>2244</v>
      </c>
      <c r="C1151" t="s">
        <v>41</v>
      </c>
      <c r="D1151">
        <v>549</v>
      </c>
      <c r="E1151">
        <v>4337360.26</v>
      </c>
      <c r="F1151">
        <v>754651</v>
      </c>
      <c r="G1151">
        <f>tblMoeHistory[[#This Row],[LEA State and Local Amount]]+tblMoeHistory[[#This Row],[ESD State and Local Amount]]</f>
        <v>5092011.26</v>
      </c>
      <c r="H1151">
        <v>0</v>
      </c>
      <c r="I1151" t="s">
        <v>241</v>
      </c>
      <c r="J1151">
        <f>IFERROR(tblMoeHistory[[#This Row],[LEA State and Local Amount]]/tblMoeHistory[[#This Row],[Child Count]],0)</f>
        <v>7900.4740619307831</v>
      </c>
      <c r="K1151">
        <f>IFERROR(tblMoeHistory[[#This Row],[ESD State and Local Amount]]/tblMoeHistory[[#This Row],[Child Count]],0)</f>
        <v>1374.591985428051</v>
      </c>
      <c r="L1151">
        <f>IFERROR(tblMoeHistory[[#This Row],[State and Local Total Amount]]/tblMoeHistory[[#This Row],[Child Count]],0)</f>
        <v>9275.0660473588341</v>
      </c>
      <c r="M1151">
        <v>0</v>
      </c>
      <c r="N1151" t="s">
        <v>241</v>
      </c>
      <c r="O1151">
        <v>665352.32999999996</v>
      </c>
      <c r="P1151">
        <v>2325.67</v>
      </c>
      <c r="Q1151">
        <f>tblMoeHistory[[#This Row],[Amount of IDEA Part B, Section 611 award]]+tblMoeHistory[[#This Row],[Amount of IDEA Part B, Section 619 award]]</f>
        <v>667678</v>
      </c>
      <c r="U11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1" t="str">
        <f>IF(OR(IFERROR(SEARCH("Met",tblMoeHistory[[#This Row],[State and Local Per Capita Result]]),0)&gt;0,IFERROR(SEARCH("Met",tblMoeHistory[[#This Row],[State and Local Total Result]]),0)&gt;0),"Met","Not Met")</f>
        <v>Met</v>
      </c>
    </row>
    <row r="1152" spans="1:22" x14ac:dyDescent="0.35">
      <c r="A1152" t="s">
        <v>188</v>
      </c>
      <c r="B1152">
        <v>2138</v>
      </c>
      <c r="C1152" t="s">
        <v>41</v>
      </c>
      <c r="D1152">
        <v>471</v>
      </c>
      <c r="E1152">
        <v>4092299.46</v>
      </c>
      <c r="F1152">
        <v>364615.1</v>
      </c>
      <c r="G1152">
        <f>tblMoeHistory[[#This Row],[LEA State and Local Amount]]+tblMoeHistory[[#This Row],[ESD State and Local Amount]]</f>
        <v>4456914.5599999996</v>
      </c>
      <c r="H1152">
        <v>0</v>
      </c>
      <c r="I1152" t="s">
        <v>241</v>
      </c>
      <c r="J1152">
        <f>IFERROR(tblMoeHistory[[#This Row],[LEA State and Local Amount]]/tblMoeHistory[[#This Row],[Child Count]],0)</f>
        <v>8688.5338853503181</v>
      </c>
      <c r="K1152">
        <f>IFERROR(tblMoeHistory[[#This Row],[ESD State and Local Amount]]/tblMoeHistory[[#This Row],[Child Count]],0)</f>
        <v>774.12972399150738</v>
      </c>
      <c r="L1152">
        <f>IFERROR(tblMoeHistory[[#This Row],[State and Local Total Amount]]/tblMoeHistory[[#This Row],[Child Count]],0)</f>
        <v>9462.6636093418256</v>
      </c>
      <c r="M1152">
        <v>0</v>
      </c>
      <c r="N1152" t="s">
        <v>241</v>
      </c>
      <c r="O1152">
        <v>504089.64</v>
      </c>
      <c r="P1152">
        <v>2386.87</v>
      </c>
      <c r="Q1152">
        <f>tblMoeHistory[[#This Row],[Amount of IDEA Part B, Section 611 award]]+tblMoeHistory[[#This Row],[Amount of IDEA Part B, Section 619 award]]</f>
        <v>506476.51</v>
      </c>
      <c r="U11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2" t="str">
        <f>IF(OR(IFERROR(SEARCH("Met",tblMoeHistory[[#This Row],[State and Local Per Capita Result]]),0)&gt;0,IFERROR(SEARCH("Met",tblMoeHistory[[#This Row],[State and Local Total Result]]),0)&gt;0),"Met","Not Met")</f>
        <v>Met</v>
      </c>
    </row>
    <row r="1153" spans="1:22" x14ac:dyDescent="0.35">
      <c r="A1153" t="s">
        <v>189</v>
      </c>
      <c r="B1153">
        <v>1978</v>
      </c>
      <c r="C1153" t="s">
        <v>41</v>
      </c>
      <c r="D1153">
        <v>108</v>
      </c>
      <c r="E1153">
        <v>775274.8</v>
      </c>
      <c r="F1153">
        <v>108809.97</v>
      </c>
      <c r="G1153">
        <f>tblMoeHistory[[#This Row],[LEA State and Local Amount]]+tblMoeHistory[[#This Row],[ESD State and Local Amount]]</f>
        <v>884084.77</v>
      </c>
      <c r="H1153">
        <v>0</v>
      </c>
      <c r="I1153" t="s">
        <v>241</v>
      </c>
      <c r="J1153">
        <f>IFERROR(tblMoeHistory[[#This Row],[LEA State and Local Amount]]/tblMoeHistory[[#This Row],[Child Count]],0)</f>
        <v>7178.4703703703708</v>
      </c>
      <c r="K1153">
        <f>IFERROR(tblMoeHistory[[#This Row],[ESD State and Local Amount]]/tblMoeHistory[[#This Row],[Child Count]],0)</f>
        <v>1007.4997222222222</v>
      </c>
      <c r="L1153">
        <f>IFERROR(tblMoeHistory[[#This Row],[State and Local Total Amount]]/tblMoeHistory[[#This Row],[Child Count]],0)</f>
        <v>8185.9700925925927</v>
      </c>
      <c r="M1153">
        <v>0</v>
      </c>
      <c r="N1153" t="s">
        <v>241</v>
      </c>
      <c r="O1153">
        <v>168281.85</v>
      </c>
      <c r="P1153">
        <v>765.02</v>
      </c>
      <c r="Q1153">
        <f>tblMoeHistory[[#This Row],[Amount of IDEA Part B, Section 611 award]]+tblMoeHistory[[#This Row],[Amount of IDEA Part B, Section 619 award]]</f>
        <v>169046.87</v>
      </c>
      <c r="U11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3" t="str">
        <f>IF(OR(IFERROR(SEARCH("Met",tblMoeHistory[[#This Row],[State and Local Per Capita Result]]),0)&gt;0,IFERROR(SEARCH("Met",tblMoeHistory[[#This Row],[State and Local Total Result]]),0)&gt;0),"Met","Not Met")</f>
        <v>Met</v>
      </c>
    </row>
    <row r="1154" spans="1:22" x14ac:dyDescent="0.35">
      <c r="A1154" t="s">
        <v>190</v>
      </c>
      <c r="B1154">
        <v>2096</v>
      </c>
      <c r="C1154" t="s">
        <v>41</v>
      </c>
      <c r="D1154">
        <v>169</v>
      </c>
      <c r="E1154">
        <v>1499723.94</v>
      </c>
      <c r="F1154">
        <v>416910</v>
      </c>
      <c r="G1154">
        <f>tblMoeHistory[[#This Row],[LEA State and Local Amount]]+tblMoeHistory[[#This Row],[ESD State and Local Amount]]</f>
        <v>1916633.94</v>
      </c>
      <c r="H1154">
        <v>0</v>
      </c>
      <c r="I1154" t="s">
        <v>241</v>
      </c>
      <c r="J1154">
        <f>IFERROR(tblMoeHistory[[#This Row],[LEA State and Local Amount]]/tblMoeHistory[[#This Row],[Child Count]],0)</f>
        <v>8874.1061538461527</v>
      </c>
      <c r="K1154">
        <f>IFERROR(tblMoeHistory[[#This Row],[ESD State and Local Amount]]/tblMoeHistory[[#This Row],[Child Count]],0)</f>
        <v>2466.9230769230771</v>
      </c>
      <c r="L1154">
        <f>IFERROR(tblMoeHistory[[#This Row],[State and Local Total Amount]]/tblMoeHistory[[#This Row],[Child Count]],0)</f>
        <v>11341.029230769231</v>
      </c>
      <c r="M1154">
        <v>0</v>
      </c>
      <c r="N1154" t="s">
        <v>241</v>
      </c>
      <c r="O1154">
        <v>204672.98</v>
      </c>
      <c r="P1154">
        <v>1022.94</v>
      </c>
      <c r="Q1154">
        <f>tblMoeHistory[[#This Row],[Amount of IDEA Part B, Section 611 award]]+tblMoeHistory[[#This Row],[Amount of IDEA Part B, Section 619 award]]</f>
        <v>205695.92</v>
      </c>
      <c r="U11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4" t="str">
        <f>IF(OR(IFERROR(SEARCH("Met",tblMoeHistory[[#This Row],[State and Local Per Capita Result]]),0)&gt;0,IFERROR(SEARCH("Met",tblMoeHistory[[#This Row],[State and Local Total Result]]),0)&gt;0),"Met","Not Met")</f>
        <v>Met</v>
      </c>
    </row>
    <row r="1155" spans="1:22" x14ac:dyDescent="0.35">
      <c r="A1155" t="s">
        <v>191</v>
      </c>
      <c r="B1155">
        <v>2022</v>
      </c>
      <c r="C1155" t="s">
        <v>41</v>
      </c>
      <c r="D1155">
        <v>1</v>
      </c>
      <c r="E1155">
        <v>0</v>
      </c>
      <c r="F1155">
        <v>6010</v>
      </c>
      <c r="G1155">
        <f>tblMoeHistory[[#This Row],[LEA State and Local Amount]]+tblMoeHistory[[#This Row],[ESD State and Local Amount]]</f>
        <v>6010</v>
      </c>
      <c r="H1155">
        <v>0</v>
      </c>
      <c r="I1155" t="s">
        <v>242</v>
      </c>
      <c r="J1155">
        <f>IFERROR(tblMoeHistory[[#This Row],[LEA State and Local Amount]]/tblMoeHistory[[#This Row],[Child Count]],0)</f>
        <v>0</v>
      </c>
      <c r="K1155">
        <f>IFERROR(tblMoeHistory[[#This Row],[ESD State and Local Amount]]/tblMoeHistory[[#This Row],[Child Count]],0)</f>
        <v>6010</v>
      </c>
      <c r="L1155">
        <f>IFERROR(tblMoeHistory[[#This Row],[State and Local Total Amount]]/tblMoeHistory[[#This Row],[Child Count]],0)</f>
        <v>6010</v>
      </c>
      <c r="M1155">
        <v>0</v>
      </c>
      <c r="N1155" t="s">
        <v>242</v>
      </c>
      <c r="O1155">
        <v>2846.08</v>
      </c>
      <c r="P1155">
        <v>0</v>
      </c>
      <c r="Q1155">
        <f>tblMoeHistory[[#This Row],[Amount of IDEA Part B, Section 611 award]]+tblMoeHistory[[#This Row],[Amount of IDEA Part B, Section 619 award]]</f>
        <v>2846.08</v>
      </c>
      <c r="S1155">
        <v>5020</v>
      </c>
      <c r="T1155">
        <v>7537.53</v>
      </c>
      <c r="U11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5" t="str">
        <f>IF(OR(IFERROR(SEARCH("Met",tblMoeHistory[[#This Row],[State and Local Per Capita Result]]),0)&gt;0,IFERROR(SEARCH("Met",tblMoeHistory[[#This Row],[State and Local Total Result]]),0)&gt;0),"Met","Not Met")</f>
        <v>Met</v>
      </c>
    </row>
    <row r="1156" spans="1:22" x14ac:dyDescent="0.35">
      <c r="A1156" t="s">
        <v>192</v>
      </c>
      <c r="B1156">
        <v>2087</v>
      </c>
      <c r="C1156" t="s">
        <v>41</v>
      </c>
      <c r="D1156">
        <v>458</v>
      </c>
      <c r="E1156">
        <v>3575366</v>
      </c>
      <c r="F1156">
        <v>524865</v>
      </c>
      <c r="G1156">
        <f>tblMoeHistory[[#This Row],[LEA State and Local Amount]]+tblMoeHistory[[#This Row],[ESD State and Local Amount]]</f>
        <v>4100231</v>
      </c>
      <c r="H1156">
        <v>0</v>
      </c>
      <c r="I1156" t="s">
        <v>241</v>
      </c>
      <c r="J1156">
        <f>IFERROR(tblMoeHistory[[#This Row],[LEA State and Local Amount]]/tblMoeHistory[[#This Row],[Child Count]],0)</f>
        <v>7806.475982532751</v>
      </c>
      <c r="K1156">
        <f>IFERROR(tblMoeHistory[[#This Row],[ESD State and Local Amount]]/tblMoeHistory[[#This Row],[Child Count]],0)</f>
        <v>1145.9934497816594</v>
      </c>
      <c r="L1156">
        <f>IFERROR(tblMoeHistory[[#This Row],[State and Local Total Amount]]/tblMoeHistory[[#This Row],[Child Count]],0)</f>
        <v>8952.4694323144104</v>
      </c>
      <c r="M1156">
        <v>0</v>
      </c>
      <c r="N1156" t="s">
        <v>241</v>
      </c>
      <c r="O1156">
        <v>526841.63</v>
      </c>
      <c r="P1156">
        <v>3264.1</v>
      </c>
      <c r="Q1156">
        <f>tblMoeHistory[[#This Row],[Amount of IDEA Part B, Section 611 award]]+tblMoeHistory[[#This Row],[Amount of IDEA Part B, Section 619 award]]</f>
        <v>530105.73</v>
      </c>
      <c r="U11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6" t="str">
        <f>IF(OR(IFERROR(SEARCH("Met",tblMoeHistory[[#This Row],[State and Local Per Capita Result]]),0)&gt;0,IFERROR(SEARCH("Met",tblMoeHistory[[#This Row],[State and Local Total Result]]),0)&gt;0),"Met","Not Met")</f>
        <v>Met</v>
      </c>
    </row>
    <row r="1157" spans="1:22" x14ac:dyDescent="0.35">
      <c r="A1157" t="s">
        <v>193</v>
      </c>
      <c r="B1157">
        <v>1994</v>
      </c>
      <c r="C1157" t="s">
        <v>41</v>
      </c>
      <c r="D1157">
        <v>234</v>
      </c>
      <c r="E1157">
        <v>1944774.91</v>
      </c>
      <c r="F1157">
        <v>313802.23</v>
      </c>
      <c r="G1157">
        <f>tblMoeHistory[[#This Row],[LEA State and Local Amount]]+tblMoeHistory[[#This Row],[ESD State and Local Amount]]</f>
        <v>2258577.1399999997</v>
      </c>
      <c r="H1157">
        <v>0</v>
      </c>
      <c r="I1157" t="s">
        <v>241</v>
      </c>
      <c r="J1157">
        <f>IFERROR(tblMoeHistory[[#This Row],[LEA State and Local Amount]]/tblMoeHistory[[#This Row],[Child Count]],0)</f>
        <v>8311.0038888888885</v>
      </c>
      <c r="K1157">
        <f>IFERROR(tblMoeHistory[[#This Row],[ESD State and Local Amount]]/tblMoeHistory[[#This Row],[Child Count]],0)</f>
        <v>1341.0351709401709</v>
      </c>
      <c r="L1157">
        <f>IFERROR(tblMoeHistory[[#This Row],[State and Local Total Amount]]/tblMoeHistory[[#This Row],[Child Count]],0)</f>
        <v>9652.0390598290578</v>
      </c>
      <c r="M1157">
        <v>144718.43</v>
      </c>
      <c r="N1157" t="s">
        <v>240</v>
      </c>
      <c r="O1157">
        <v>298712.87</v>
      </c>
      <c r="P1157">
        <v>3029.49</v>
      </c>
      <c r="Q1157">
        <f>tblMoeHistory[[#This Row],[Amount of IDEA Part B, Section 611 award]]+tblMoeHistory[[#This Row],[Amount of IDEA Part B, Section 619 award]]</f>
        <v>301742.36</v>
      </c>
      <c r="U11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7" t="str">
        <f>IF(OR(IFERROR(SEARCH("Met",tblMoeHistory[[#This Row],[State and Local Per Capita Result]]),0)&gt;0,IFERROR(SEARCH("Met",tblMoeHistory[[#This Row],[State and Local Total Result]]),0)&gt;0),"Met","Not Met")</f>
        <v>Met</v>
      </c>
    </row>
    <row r="1158" spans="1:22" x14ac:dyDescent="0.35">
      <c r="A1158" t="s">
        <v>194</v>
      </c>
      <c r="B1158">
        <v>2225</v>
      </c>
      <c r="C1158" t="s">
        <v>41</v>
      </c>
      <c r="D1158">
        <v>34</v>
      </c>
      <c r="E1158">
        <v>202672.25</v>
      </c>
      <c r="F1158">
        <v>48760</v>
      </c>
      <c r="G1158">
        <f>tblMoeHistory[[#This Row],[LEA State and Local Amount]]+tblMoeHistory[[#This Row],[ESD State and Local Amount]]</f>
        <v>251432.25</v>
      </c>
      <c r="H1158">
        <v>0</v>
      </c>
      <c r="I1158" t="s">
        <v>241</v>
      </c>
      <c r="J1158">
        <f>IFERROR(tblMoeHistory[[#This Row],[LEA State and Local Amount]]/tblMoeHistory[[#This Row],[Child Count]],0)</f>
        <v>5960.9485294117649</v>
      </c>
      <c r="K1158">
        <f>IFERROR(tblMoeHistory[[#This Row],[ESD State and Local Amount]]/tblMoeHistory[[#This Row],[Child Count]],0)</f>
        <v>1434.1176470588234</v>
      </c>
      <c r="L1158">
        <f>IFERROR(tblMoeHistory[[#This Row],[State and Local Total Amount]]/tblMoeHistory[[#This Row],[Child Count]],0)</f>
        <v>7395.0661764705883</v>
      </c>
      <c r="M1158">
        <v>24138.79</v>
      </c>
      <c r="N1158" t="s">
        <v>240</v>
      </c>
      <c r="O1158">
        <v>46097.15</v>
      </c>
      <c r="P1158">
        <v>0</v>
      </c>
      <c r="Q1158">
        <f>tblMoeHistory[[#This Row],[Amount of IDEA Part B, Section 611 award]]+tblMoeHistory[[#This Row],[Amount of IDEA Part B, Section 619 award]]</f>
        <v>46097.15</v>
      </c>
      <c r="U11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8" t="str">
        <f>IF(OR(IFERROR(SEARCH("Met",tblMoeHistory[[#This Row],[State and Local Per Capita Result]]),0)&gt;0,IFERROR(SEARCH("Met",tblMoeHistory[[#This Row],[State and Local Total Result]]),0)&gt;0),"Met","Not Met")</f>
        <v>Met</v>
      </c>
    </row>
    <row r="1159" spans="1:22" x14ac:dyDescent="0.35">
      <c r="A1159" t="s">
        <v>195</v>
      </c>
      <c r="B1159">
        <v>2247</v>
      </c>
      <c r="C1159" t="s">
        <v>41</v>
      </c>
      <c r="D1159">
        <v>5</v>
      </c>
      <c r="E1159">
        <v>17331.43</v>
      </c>
      <c r="F1159">
        <v>16025</v>
      </c>
      <c r="G1159">
        <f>tblMoeHistory[[#This Row],[LEA State and Local Amount]]+tblMoeHistory[[#This Row],[ESD State and Local Amount]]</f>
        <v>33356.43</v>
      </c>
      <c r="H1159">
        <v>0</v>
      </c>
      <c r="I1159" t="s">
        <v>241</v>
      </c>
      <c r="J1159">
        <f>IFERROR(tblMoeHistory[[#This Row],[LEA State and Local Amount]]/tblMoeHistory[[#This Row],[Child Count]],0)</f>
        <v>3466.2860000000001</v>
      </c>
      <c r="K1159">
        <f>IFERROR(tblMoeHistory[[#This Row],[ESD State and Local Amount]]/tblMoeHistory[[#This Row],[Child Count]],0)</f>
        <v>3205</v>
      </c>
      <c r="L1159">
        <f>IFERROR(tblMoeHistory[[#This Row],[State and Local Total Amount]]/tblMoeHistory[[#This Row],[Child Count]],0)</f>
        <v>6671.2860000000001</v>
      </c>
      <c r="M1159">
        <v>19141.150000000001</v>
      </c>
      <c r="N1159" t="s">
        <v>240</v>
      </c>
      <c r="O1159">
        <v>5469.1</v>
      </c>
      <c r="P1159">
        <v>0</v>
      </c>
      <c r="Q1159">
        <f>tblMoeHistory[[#This Row],[Amount of IDEA Part B, Section 611 award]]+tblMoeHistory[[#This Row],[Amount of IDEA Part B, Section 619 award]]</f>
        <v>5469.1</v>
      </c>
      <c r="U11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9" t="str">
        <f>IF(OR(IFERROR(SEARCH("Met",tblMoeHistory[[#This Row],[State and Local Per Capita Result]]),0)&gt;0,IFERROR(SEARCH("Met",tblMoeHistory[[#This Row],[State and Local Total Result]]),0)&gt;0),"Met","Not Met")</f>
        <v>Met</v>
      </c>
    </row>
    <row r="1160" spans="1:22" x14ac:dyDescent="0.35">
      <c r="A1160" t="s">
        <v>196</v>
      </c>
      <c r="B1160">
        <v>2083</v>
      </c>
      <c r="C1160" t="s">
        <v>41</v>
      </c>
      <c r="D1160">
        <v>1637</v>
      </c>
      <c r="E1160">
        <v>16111473.23</v>
      </c>
      <c r="F1160">
        <v>1925492</v>
      </c>
      <c r="G1160">
        <f>tblMoeHistory[[#This Row],[LEA State and Local Amount]]+tblMoeHistory[[#This Row],[ESD State and Local Amount]]</f>
        <v>18036965.23</v>
      </c>
      <c r="H1160">
        <v>0</v>
      </c>
      <c r="I1160" t="s">
        <v>241</v>
      </c>
      <c r="J1160">
        <f>IFERROR(tblMoeHistory[[#This Row],[LEA State and Local Amount]]/tblMoeHistory[[#This Row],[Child Count]],0)</f>
        <v>9842.072834453269</v>
      </c>
      <c r="K1160">
        <f>IFERROR(tblMoeHistory[[#This Row],[ESD State and Local Amount]]/tblMoeHistory[[#This Row],[Child Count]],0)</f>
        <v>1176.2321319486866</v>
      </c>
      <c r="L1160">
        <f>IFERROR(tblMoeHistory[[#This Row],[State and Local Total Amount]]/tblMoeHistory[[#This Row],[Child Count]],0)</f>
        <v>11018.304966401955</v>
      </c>
      <c r="M1160">
        <v>0</v>
      </c>
      <c r="N1160" t="s">
        <v>241</v>
      </c>
      <c r="O1160">
        <v>1822370.49</v>
      </c>
      <c r="P1160">
        <v>22232.66</v>
      </c>
      <c r="Q1160">
        <f>tblMoeHistory[[#This Row],[Amount of IDEA Part B, Section 611 award]]+tblMoeHistory[[#This Row],[Amount of IDEA Part B, Section 619 award]]</f>
        <v>1844603.15</v>
      </c>
      <c r="U11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0" t="str">
        <f>IF(OR(IFERROR(SEARCH("Met",tblMoeHistory[[#This Row],[State and Local Per Capita Result]]),0)&gt;0,IFERROR(SEARCH("Met",tblMoeHistory[[#This Row],[State and Local Total Result]]),0)&gt;0),"Met","Not Met")</f>
        <v>Met</v>
      </c>
    </row>
    <row r="1161" spans="1:22" x14ac:dyDescent="0.35">
      <c r="A1161" t="s">
        <v>197</v>
      </c>
      <c r="B1161">
        <v>1948</v>
      </c>
      <c r="C1161" t="s">
        <v>41</v>
      </c>
      <c r="D1161">
        <v>457</v>
      </c>
      <c r="E1161">
        <v>3440018.51</v>
      </c>
      <c r="F1161">
        <v>717784</v>
      </c>
      <c r="G1161">
        <f>tblMoeHistory[[#This Row],[LEA State and Local Amount]]+tblMoeHistory[[#This Row],[ESD State and Local Amount]]</f>
        <v>4157802.51</v>
      </c>
      <c r="H1161">
        <v>0</v>
      </c>
      <c r="I1161" t="s">
        <v>242</v>
      </c>
      <c r="J1161">
        <f>IFERROR(tblMoeHistory[[#This Row],[LEA State and Local Amount]]/tblMoeHistory[[#This Row],[Child Count]],0)</f>
        <v>7527.3928008752728</v>
      </c>
      <c r="K1161">
        <f>IFERROR(tblMoeHistory[[#This Row],[ESD State and Local Amount]]/tblMoeHistory[[#This Row],[Child Count]],0)</f>
        <v>1570.6433260393874</v>
      </c>
      <c r="L1161">
        <f>IFERROR(tblMoeHistory[[#This Row],[State and Local Total Amount]]/tblMoeHistory[[#This Row],[Child Count]],0)</f>
        <v>9098.0361269146597</v>
      </c>
      <c r="M1161">
        <v>0</v>
      </c>
      <c r="N1161" t="s">
        <v>241</v>
      </c>
      <c r="O1161">
        <v>536047.42000000004</v>
      </c>
      <c r="P1161">
        <v>5286.85</v>
      </c>
      <c r="Q1161">
        <f>tblMoeHistory[[#This Row],[Amount of IDEA Part B, Section 611 award]]+tblMoeHistory[[#This Row],[Amount of IDEA Part B, Section 619 award]]</f>
        <v>541334.27</v>
      </c>
      <c r="S1161">
        <v>193887.14</v>
      </c>
      <c r="T1161">
        <v>193887.14</v>
      </c>
      <c r="U11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1" t="str">
        <f>IF(OR(IFERROR(SEARCH("Met",tblMoeHistory[[#This Row],[State and Local Per Capita Result]]),0)&gt;0,IFERROR(SEARCH("Met",tblMoeHistory[[#This Row],[State and Local Total Result]]),0)&gt;0),"Met","Not Met")</f>
        <v>Met</v>
      </c>
    </row>
    <row r="1162" spans="1:22" x14ac:dyDescent="0.35">
      <c r="A1162" t="s">
        <v>198</v>
      </c>
      <c r="B1162">
        <v>2144</v>
      </c>
      <c r="C1162" t="s">
        <v>41</v>
      </c>
      <c r="D1162">
        <v>40</v>
      </c>
      <c r="E1162">
        <v>292427.43</v>
      </c>
      <c r="F1162">
        <v>36534.300000000003</v>
      </c>
      <c r="G1162">
        <f>tblMoeHistory[[#This Row],[LEA State and Local Amount]]+tblMoeHistory[[#This Row],[ESD State and Local Amount]]</f>
        <v>328961.73</v>
      </c>
      <c r="H1162">
        <v>0</v>
      </c>
      <c r="I1162" t="s">
        <v>241</v>
      </c>
      <c r="J1162">
        <f>IFERROR(tblMoeHistory[[#This Row],[LEA State and Local Amount]]/tblMoeHistory[[#This Row],[Child Count]],0)</f>
        <v>7310.6857499999996</v>
      </c>
      <c r="K1162">
        <f>IFERROR(tblMoeHistory[[#This Row],[ESD State and Local Amount]]/tblMoeHistory[[#This Row],[Child Count]],0)</f>
        <v>913.35750000000007</v>
      </c>
      <c r="L1162">
        <f>IFERROR(tblMoeHistory[[#This Row],[State and Local Total Amount]]/tblMoeHistory[[#This Row],[Child Count]],0)</f>
        <v>8224.0432499999988</v>
      </c>
      <c r="M1162">
        <v>12070.1</v>
      </c>
      <c r="N1162" t="s">
        <v>240</v>
      </c>
      <c r="O1162">
        <v>37960.559999999998</v>
      </c>
      <c r="P1162">
        <v>344.26</v>
      </c>
      <c r="Q1162">
        <f>tblMoeHistory[[#This Row],[Amount of IDEA Part B, Section 611 award]]+tblMoeHistory[[#This Row],[Amount of IDEA Part B, Section 619 award]]</f>
        <v>38304.82</v>
      </c>
      <c r="U11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2" t="str">
        <f>IF(OR(IFERROR(SEARCH("Met",tblMoeHistory[[#This Row],[State and Local Per Capita Result]]),0)&gt;0,IFERROR(SEARCH("Met",tblMoeHistory[[#This Row],[State and Local Total Result]]),0)&gt;0),"Met","Not Met")</f>
        <v>Met</v>
      </c>
    </row>
    <row r="1163" spans="1:22" x14ac:dyDescent="0.35">
      <c r="A1163" t="s">
        <v>199</v>
      </c>
      <c r="B1163">
        <v>2209</v>
      </c>
      <c r="C1163" t="s">
        <v>41</v>
      </c>
      <c r="D1163">
        <v>61</v>
      </c>
      <c r="E1163">
        <v>443373.99</v>
      </c>
      <c r="F1163">
        <v>102679.26</v>
      </c>
      <c r="G1163">
        <f>tblMoeHistory[[#This Row],[LEA State and Local Amount]]+tblMoeHistory[[#This Row],[ESD State and Local Amount]]</f>
        <v>546053.25</v>
      </c>
      <c r="H1163">
        <v>0</v>
      </c>
      <c r="I1163" t="s">
        <v>242</v>
      </c>
      <c r="J1163">
        <f>IFERROR(tblMoeHistory[[#This Row],[LEA State and Local Amount]]/tblMoeHistory[[#This Row],[Child Count]],0)</f>
        <v>7268.4260655737708</v>
      </c>
      <c r="K1163">
        <f>IFERROR(tblMoeHistory[[#This Row],[ESD State and Local Amount]]/tblMoeHistory[[#This Row],[Child Count]],0)</f>
        <v>1683.2665573770491</v>
      </c>
      <c r="L1163">
        <f>IFERROR(tblMoeHistory[[#This Row],[State and Local Total Amount]]/tblMoeHistory[[#This Row],[Child Count]],0)</f>
        <v>8951.692622950819</v>
      </c>
      <c r="M1163">
        <v>0</v>
      </c>
      <c r="N1163" t="s">
        <v>241</v>
      </c>
      <c r="O1163">
        <v>81750.39</v>
      </c>
      <c r="P1163">
        <v>1101.6300000000001</v>
      </c>
      <c r="Q1163">
        <f>tblMoeHistory[[#This Row],[Amount of IDEA Part B, Section 611 award]]+tblMoeHistory[[#This Row],[Amount of IDEA Part B, Section 619 award]]</f>
        <v>82852.02</v>
      </c>
      <c r="S1163">
        <v>75859.02</v>
      </c>
      <c r="T1163">
        <v>75859.02</v>
      </c>
      <c r="U11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3" t="str">
        <f>IF(OR(IFERROR(SEARCH("Met",tblMoeHistory[[#This Row],[State and Local Per Capita Result]]),0)&gt;0,IFERROR(SEARCH("Met",tblMoeHistory[[#This Row],[State and Local Total Result]]),0)&gt;0),"Met","Not Met")</f>
        <v>Met</v>
      </c>
    </row>
    <row r="1164" spans="1:22" x14ac:dyDescent="0.35">
      <c r="A1164" t="s">
        <v>200</v>
      </c>
      <c r="B1164">
        <v>2018</v>
      </c>
      <c r="C1164" t="s">
        <v>41</v>
      </c>
      <c r="D1164">
        <v>2</v>
      </c>
      <c r="E1164">
        <v>7303.02</v>
      </c>
      <c r="F1164">
        <v>6285</v>
      </c>
      <c r="G1164">
        <f>tblMoeHistory[[#This Row],[LEA State and Local Amount]]+tblMoeHistory[[#This Row],[ESD State and Local Amount]]</f>
        <v>13588.02</v>
      </c>
      <c r="H1164">
        <v>0</v>
      </c>
      <c r="I1164" t="s">
        <v>241</v>
      </c>
      <c r="J1164">
        <f>IFERROR(tblMoeHistory[[#This Row],[LEA State and Local Amount]]/tblMoeHistory[[#This Row],[Child Count]],0)</f>
        <v>3651.51</v>
      </c>
      <c r="K1164">
        <f>IFERROR(tblMoeHistory[[#This Row],[ESD State and Local Amount]]/tblMoeHistory[[#This Row],[Child Count]],0)</f>
        <v>3142.5</v>
      </c>
      <c r="L1164">
        <f>IFERROR(tblMoeHistory[[#This Row],[State and Local Total Amount]]/tblMoeHistory[[#This Row],[Child Count]],0)</f>
        <v>6794.01</v>
      </c>
      <c r="M1164">
        <v>10423.02</v>
      </c>
      <c r="N1164" t="s">
        <v>240</v>
      </c>
      <c r="O1164">
        <v>0</v>
      </c>
      <c r="P1164">
        <v>0</v>
      </c>
      <c r="Q1164">
        <f>tblMoeHistory[[#This Row],[Amount of IDEA Part B, Section 611 award]]+tblMoeHistory[[#This Row],[Amount of IDEA Part B, Section 619 award]]</f>
        <v>0</v>
      </c>
      <c r="U11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4" t="str">
        <f>IF(OR(IFERROR(SEARCH("Met",tblMoeHistory[[#This Row],[State and Local Per Capita Result]]),0)&gt;0,IFERROR(SEARCH("Met",tblMoeHistory[[#This Row],[State and Local Total Result]]),0)&gt;0),"Met","Not Met")</f>
        <v>Met</v>
      </c>
    </row>
    <row r="1165" spans="1:22" x14ac:dyDescent="0.35">
      <c r="A1165" t="s">
        <v>201</v>
      </c>
      <c r="B1165">
        <v>2003</v>
      </c>
      <c r="C1165" t="s">
        <v>41</v>
      </c>
      <c r="D1165">
        <v>165</v>
      </c>
      <c r="E1165">
        <v>1027597</v>
      </c>
      <c r="F1165">
        <v>283204</v>
      </c>
      <c r="G1165">
        <f>tblMoeHistory[[#This Row],[LEA State and Local Amount]]+tblMoeHistory[[#This Row],[ESD State and Local Amount]]</f>
        <v>1310801</v>
      </c>
      <c r="H1165">
        <v>0</v>
      </c>
      <c r="I1165" t="s">
        <v>241</v>
      </c>
      <c r="J1165">
        <f>IFERROR(tblMoeHistory[[#This Row],[LEA State and Local Amount]]/tblMoeHistory[[#This Row],[Child Count]],0)</f>
        <v>6227.8606060606062</v>
      </c>
      <c r="K1165">
        <f>IFERROR(tblMoeHistory[[#This Row],[ESD State and Local Amount]]/tblMoeHistory[[#This Row],[Child Count]],0)</f>
        <v>1716.3878787878789</v>
      </c>
      <c r="L1165">
        <f>IFERROR(tblMoeHistory[[#This Row],[State and Local Total Amount]]/tblMoeHistory[[#This Row],[Child Count]],0)</f>
        <v>7944.2484848484846</v>
      </c>
      <c r="M1165">
        <v>29973.200000000001</v>
      </c>
      <c r="N1165" t="s">
        <v>240</v>
      </c>
      <c r="O1165">
        <v>218395.05</v>
      </c>
      <c r="P1165">
        <v>1573.76</v>
      </c>
      <c r="Q1165">
        <f>tblMoeHistory[[#This Row],[Amount of IDEA Part B, Section 611 award]]+tblMoeHistory[[#This Row],[Amount of IDEA Part B, Section 619 award]]</f>
        <v>219968.81</v>
      </c>
      <c r="U11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5" t="str">
        <f>IF(OR(IFERROR(SEARCH("Met",tblMoeHistory[[#This Row],[State and Local Per Capita Result]]),0)&gt;0,IFERROR(SEARCH("Met",tblMoeHistory[[#This Row],[State and Local Total Result]]),0)&gt;0),"Met","Not Met")</f>
        <v>Met</v>
      </c>
    </row>
    <row r="1166" spans="1:22" x14ac:dyDescent="0.35">
      <c r="A1166" t="s">
        <v>202</v>
      </c>
      <c r="B1166">
        <v>2102</v>
      </c>
      <c r="C1166" t="s">
        <v>41</v>
      </c>
      <c r="D1166">
        <v>426</v>
      </c>
      <c r="E1166">
        <v>2356446.7999999998</v>
      </c>
      <c r="F1166">
        <v>375274</v>
      </c>
      <c r="G1166">
        <f>tblMoeHistory[[#This Row],[LEA State and Local Amount]]+tblMoeHistory[[#This Row],[ESD State and Local Amount]]</f>
        <v>2731720.8</v>
      </c>
      <c r="H1166">
        <v>0</v>
      </c>
      <c r="I1166" t="s">
        <v>241</v>
      </c>
      <c r="J1166">
        <f>IFERROR(tblMoeHistory[[#This Row],[LEA State and Local Amount]]/tblMoeHistory[[#This Row],[Child Count]],0)</f>
        <v>5531.5652582159619</v>
      </c>
      <c r="K1166">
        <f>IFERROR(tblMoeHistory[[#This Row],[ESD State and Local Amount]]/tblMoeHistory[[#This Row],[Child Count]],0)</f>
        <v>880.92488262910797</v>
      </c>
      <c r="L1166">
        <f>IFERROR(tblMoeHistory[[#This Row],[State and Local Total Amount]]/tblMoeHistory[[#This Row],[Child Count]],0)</f>
        <v>6412.4901408450696</v>
      </c>
      <c r="M1166">
        <v>0</v>
      </c>
      <c r="N1166" t="s">
        <v>241</v>
      </c>
      <c r="O1166">
        <v>420123.26</v>
      </c>
      <c r="P1166">
        <v>3415.6</v>
      </c>
      <c r="Q1166">
        <f>tblMoeHistory[[#This Row],[Amount of IDEA Part B, Section 611 award]]+tblMoeHistory[[#This Row],[Amount of IDEA Part B, Section 619 award]]</f>
        <v>423538.86</v>
      </c>
      <c r="U11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6" t="str">
        <f>IF(OR(IFERROR(SEARCH("Met",tblMoeHistory[[#This Row],[State and Local Per Capita Result]]),0)&gt;0,IFERROR(SEARCH("Met",tblMoeHistory[[#This Row],[State and Local Total Result]]),0)&gt;0),"Met","Not Met")</f>
        <v>Met</v>
      </c>
    </row>
    <row r="1167" spans="1:22" x14ac:dyDescent="0.35">
      <c r="A1167" t="s">
        <v>203</v>
      </c>
      <c r="B1167">
        <v>2055</v>
      </c>
      <c r="C1167" t="s">
        <v>41</v>
      </c>
      <c r="D1167">
        <v>482</v>
      </c>
      <c r="E1167">
        <v>5906717.9299999997</v>
      </c>
      <c r="F1167">
        <v>346967.12</v>
      </c>
      <c r="G1167">
        <f>tblMoeHistory[[#This Row],[LEA State and Local Amount]]+tblMoeHistory[[#This Row],[ESD State and Local Amount]]</f>
        <v>6253685.0499999998</v>
      </c>
      <c r="H1167">
        <v>0</v>
      </c>
      <c r="I1167" t="s">
        <v>242</v>
      </c>
      <c r="J1167">
        <f>IFERROR(tblMoeHistory[[#This Row],[LEA State and Local Amount]]/tblMoeHistory[[#This Row],[Child Count]],0)</f>
        <v>12254.601514522821</v>
      </c>
      <c r="K1167">
        <f>IFERROR(tblMoeHistory[[#This Row],[ESD State and Local Amount]]/tblMoeHistory[[#This Row],[Child Count]],0)</f>
        <v>719.84879668049791</v>
      </c>
      <c r="L1167">
        <f>IFERROR(tblMoeHistory[[#This Row],[State and Local Total Amount]]/tblMoeHistory[[#This Row],[Child Count]],0)</f>
        <v>12974.45031120332</v>
      </c>
      <c r="M1167">
        <v>0</v>
      </c>
      <c r="N1167" t="s">
        <v>241</v>
      </c>
      <c r="O1167">
        <v>868590.97</v>
      </c>
      <c r="P1167">
        <v>8412.86</v>
      </c>
      <c r="Q1167">
        <f>tblMoeHistory[[#This Row],[Amount of IDEA Part B, Section 611 award]]+tblMoeHistory[[#This Row],[Amount of IDEA Part B, Section 619 award]]</f>
        <v>877003.83</v>
      </c>
      <c r="S1167">
        <v>86283</v>
      </c>
      <c r="T1167">
        <v>86283</v>
      </c>
      <c r="U11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7" t="str">
        <f>IF(OR(IFERROR(SEARCH("Met",tblMoeHistory[[#This Row],[State and Local Per Capita Result]]),0)&gt;0,IFERROR(SEARCH("Met",tblMoeHistory[[#This Row],[State and Local Total Result]]),0)&gt;0),"Met","Not Met")</f>
        <v>Met</v>
      </c>
    </row>
    <row r="1168" spans="1:22" x14ac:dyDescent="0.35">
      <c r="A1168" t="s">
        <v>204</v>
      </c>
      <c r="B1168">
        <v>2242</v>
      </c>
      <c r="C1168" t="s">
        <v>41</v>
      </c>
      <c r="D1168">
        <v>1284</v>
      </c>
      <c r="E1168">
        <v>10316065.800000001</v>
      </c>
      <c r="F1168">
        <v>1791371</v>
      </c>
      <c r="G1168">
        <f>tblMoeHistory[[#This Row],[LEA State and Local Amount]]+tblMoeHistory[[#This Row],[ESD State and Local Amount]]</f>
        <v>12107436.800000001</v>
      </c>
      <c r="H1168">
        <v>0</v>
      </c>
      <c r="I1168" t="s">
        <v>241</v>
      </c>
      <c r="J1168">
        <f>IFERROR(tblMoeHistory[[#This Row],[LEA State and Local Amount]]/tblMoeHistory[[#This Row],[Child Count]],0)</f>
        <v>8034.3191588785048</v>
      </c>
      <c r="K1168">
        <f>IFERROR(tblMoeHistory[[#This Row],[ESD State and Local Amount]]/tblMoeHistory[[#This Row],[Child Count]],0)</f>
        <v>1395.148753894081</v>
      </c>
      <c r="L1168">
        <f>IFERROR(tblMoeHistory[[#This Row],[State and Local Total Amount]]/tblMoeHistory[[#This Row],[Child Count]],0)</f>
        <v>9429.4679127725867</v>
      </c>
      <c r="M1168">
        <v>0</v>
      </c>
      <c r="N1168" t="s">
        <v>241</v>
      </c>
      <c r="O1168">
        <v>1917033.06</v>
      </c>
      <c r="P1168">
        <v>11001.36</v>
      </c>
      <c r="Q1168">
        <f>tblMoeHistory[[#This Row],[Amount of IDEA Part B, Section 611 award]]+tblMoeHistory[[#This Row],[Amount of IDEA Part B, Section 619 award]]</f>
        <v>1928034.4200000002</v>
      </c>
      <c r="U11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8" t="str">
        <f>IF(OR(IFERROR(SEARCH("Met",tblMoeHistory[[#This Row],[State and Local Per Capita Result]]),0)&gt;0,IFERROR(SEARCH("Met",tblMoeHistory[[#This Row],[State and Local Total Result]]),0)&gt;0),"Met","Not Met")</f>
        <v>Met</v>
      </c>
    </row>
    <row r="1169" spans="1:22" x14ac:dyDescent="0.35">
      <c r="A1169" t="s">
        <v>205</v>
      </c>
      <c r="B1169">
        <v>2197</v>
      </c>
      <c r="C1169" t="s">
        <v>41</v>
      </c>
      <c r="D1169">
        <v>245</v>
      </c>
      <c r="E1169">
        <v>2747146.2400000002</v>
      </c>
      <c r="F1169">
        <v>202752</v>
      </c>
      <c r="G1169">
        <f>tblMoeHistory[[#This Row],[LEA State and Local Amount]]+tblMoeHistory[[#This Row],[ESD State and Local Amount]]</f>
        <v>2949898.2400000002</v>
      </c>
      <c r="H1169">
        <v>0</v>
      </c>
      <c r="I1169" t="s">
        <v>241</v>
      </c>
      <c r="J1169">
        <f>IFERROR(tblMoeHistory[[#This Row],[LEA State and Local Amount]]/tblMoeHistory[[#This Row],[Child Count]],0)</f>
        <v>11212.841795918368</v>
      </c>
      <c r="K1169">
        <f>IFERROR(tblMoeHistory[[#This Row],[ESD State and Local Amount]]/tblMoeHistory[[#This Row],[Child Count]],0)</f>
        <v>827.55918367346942</v>
      </c>
      <c r="L1169">
        <f>IFERROR(tblMoeHistory[[#This Row],[State and Local Total Amount]]/tblMoeHistory[[#This Row],[Child Count]],0)</f>
        <v>12040.400979591837</v>
      </c>
      <c r="M1169">
        <v>0</v>
      </c>
      <c r="N1169" t="s">
        <v>241</v>
      </c>
      <c r="O1169">
        <v>343478.39</v>
      </c>
      <c r="P1169">
        <v>3786.86</v>
      </c>
      <c r="Q1169">
        <f>tblMoeHistory[[#This Row],[Amount of IDEA Part B, Section 611 award]]+tblMoeHistory[[#This Row],[Amount of IDEA Part B, Section 619 award]]</f>
        <v>347265.25</v>
      </c>
      <c r="U11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9" t="str">
        <f>IF(OR(IFERROR(SEARCH("Met",tblMoeHistory[[#This Row],[State and Local Per Capita Result]]),0)&gt;0,IFERROR(SEARCH("Met",tblMoeHistory[[#This Row],[State and Local Total Result]]),0)&gt;0),"Met","Not Met")</f>
        <v>Met</v>
      </c>
    </row>
    <row r="1170" spans="1:22" x14ac:dyDescent="0.35">
      <c r="A1170" t="s">
        <v>206</v>
      </c>
      <c r="B1170">
        <v>2222</v>
      </c>
      <c r="C1170" t="s">
        <v>41</v>
      </c>
      <c r="D1170">
        <v>0</v>
      </c>
      <c r="E1170">
        <v>0</v>
      </c>
      <c r="F1170">
        <v>3700</v>
      </c>
      <c r="G1170">
        <f>tblMoeHistory[[#This Row],[LEA State and Local Amount]]+tblMoeHistory[[#This Row],[ESD State and Local Amount]]</f>
        <v>3700</v>
      </c>
      <c r="H1170">
        <v>0</v>
      </c>
      <c r="I1170" t="s">
        <v>241</v>
      </c>
      <c r="J1170">
        <f>IFERROR(tblMoeHistory[[#This Row],[LEA State and Local Amount]]/tblMoeHistory[[#This Row],[Child Count]],0)</f>
        <v>0</v>
      </c>
      <c r="K1170">
        <f>IFERROR(tblMoeHistory[[#This Row],[ESD State and Local Amount]]/tblMoeHistory[[#This Row],[Child Count]],0)</f>
        <v>0</v>
      </c>
      <c r="L1170">
        <f>IFERROR(tblMoeHistory[[#This Row],[State and Local Total Amount]]/tblMoeHistory[[#This Row],[Child Count]],0)</f>
        <v>0</v>
      </c>
      <c r="M1170">
        <v>0</v>
      </c>
      <c r="O1170">
        <v>2450.67</v>
      </c>
      <c r="P1170">
        <v>0</v>
      </c>
      <c r="Q1170">
        <f>tblMoeHistory[[#This Row],[Amount of IDEA Part B, Section 611 award]]+tblMoeHistory[[#This Row],[Amount of IDEA Part B, Section 619 award]]</f>
        <v>2450.67</v>
      </c>
      <c r="U11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0" t="str">
        <f>IF(OR(IFERROR(SEARCH("Met",tblMoeHistory[[#This Row],[State and Local Per Capita Result]]),0)&gt;0,IFERROR(SEARCH("Met",tblMoeHistory[[#This Row],[State and Local Total Result]]),0)&gt;0),"Met","Not Met")</f>
        <v>Met</v>
      </c>
    </row>
    <row r="1171" spans="1:22" x14ac:dyDescent="0.35">
      <c r="A1171" t="s">
        <v>207</v>
      </c>
      <c r="B1171">
        <v>2210</v>
      </c>
      <c r="C1171" t="s">
        <v>41</v>
      </c>
      <c r="D1171">
        <v>2</v>
      </c>
      <c r="E1171">
        <v>4656.28</v>
      </c>
      <c r="F1171">
        <v>3353.39</v>
      </c>
      <c r="G1171">
        <f>tblMoeHistory[[#This Row],[LEA State and Local Amount]]+tblMoeHistory[[#This Row],[ESD State and Local Amount]]</f>
        <v>8009.67</v>
      </c>
      <c r="H1171">
        <v>0</v>
      </c>
      <c r="I1171" t="s">
        <v>242</v>
      </c>
      <c r="J1171">
        <f>IFERROR(tblMoeHistory[[#This Row],[LEA State and Local Amount]]/tblMoeHistory[[#This Row],[Child Count]],0)</f>
        <v>2328.14</v>
      </c>
      <c r="K1171">
        <f>IFERROR(tblMoeHistory[[#This Row],[ESD State and Local Amount]]/tblMoeHistory[[#This Row],[Child Count]],0)</f>
        <v>1676.6949999999999</v>
      </c>
      <c r="L1171">
        <f>IFERROR(tblMoeHistory[[#This Row],[State and Local Total Amount]]/tblMoeHistory[[#This Row],[Child Count]],0)</f>
        <v>4004.835</v>
      </c>
      <c r="M1171">
        <v>0</v>
      </c>
      <c r="N1171" t="s">
        <v>241</v>
      </c>
      <c r="O1171">
        <v>8764.2900000000009</v>
      </c>
      <c r="P1171">
        <v>0</v>
      </c>
      <c r="Q1171">
        <f>tblMoeHistory[[#This Row],[Amount of IDEA Part B, Section 611 award]]+tblMoeHistory[[#This Row],[Amount of IDEA Part B, Section 619 award]]</f>
        <v>8764.2900000000009</v>
      </c>
      <c r="S1171">
        <v>6898.28</v>
      </c>
      <c r="T1171">
        <v>6898.28</v>
      </c>
      <c r="U11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1" t="str">
        <f>IF(OR(IFERROR(SEARCH("Met",tblMoeHistory[[#This Row],[State and Local Per Capita Result]]),0)&gt;0,IFERROR(SEARCH("Met",tblMoeHistory[[#This Row],[State and Local Total Result]]),0)&gt;0),"Met","Not Met")</f>
        <v>Met</v>
      </c>
    </row>
    <row r="1172" spans="1:22" x14ac:dyDescent="0.35">
      <c r="A1172" t="s">
        <v>208</v>
      </c>
      <c r="B1172">
        <v>2204</v>
      </c>
      <c r="C1172" t="s">
        <v>41</v>
      </c>
      <c r="D1172">
        <v>130</v>
      </c>
      <c r="E1172">
        <v>1076694.2</v>
      </c>
      <c r="F1172">
        <v>218831.48</v>
      </c>
      <c r="G1172">
        <f>tblMoeHistory[[#This Row],[LEA State and Local Amount]]+tblMoeHistory[[#This Row],[ESD State and Local Amount]]</f>
        <v>1295525.68</v>
      </c>
      <c r="H1172">
        <v>0</v>
      </c>
      <c r="I1172" t="s">
        <v>241</v>
      </c>
      <c r="J1172">
        <f>IFERROR(tblMoeHistory[[#This Row],[LEA State and Local Amount]]/tblMoeHistory[[#This Row],[Child Count]],0)</f>
        <v>8282.2630769230764</v>
      </c>
      <c r="K1172">
        <f>IFERROR(tblMoeHistory[[#This Row],[ESD State and Local Amount]]/tblMoeHistory[[#This Row],[Child Count]],0)</f>
        <v>1683.3190769230771</v>
      </c>
      <c r="L1172">
        <f>IFERROR(tblMoeHistory[[#This Row],[State and Local Total Amount]]/tblMoeHistory[[#This Row],[Child Count]],0)</f>
        <v>9965.5821538461532</v>
      </c>
      <c r="M1172">
        <v>0</v>
      </c>
      <c r="N1172" t="s">
        <v>241</v>
      </c>
      <c r="O1172">
        <v>176706.08</v>
      </c>
      <c r="P1172">
        <v>734.42</v>
      </c>
      <c r="Q1172">
        <f>tblMoeHistory[[#This Row],[Amount of IDEA Part B, Section 611 award]]+tblMoeHistory[[#This Row],[Amount of IDEA Part B, Section 619 award]]</f>
        <v>177440.5</v>
      </c>
      <c r="U11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2" t="str">
        <f>IF(OR(IFERROR(SEARCH("Met",tblMoeHistory[[#This Row],[State and Local Per Capita Result]]),0)&gt;0,IFERROR(SEARCH("Met",tblMoeHistory[[#This Row],[State and Local Total Result]]),0)&gt;0),"Met","Not Met")</f>
        <v>Met</v>
      </c>
    </row>
    <row r="1173" spans="1:22" x14ac:dyDescent="0.35">
      <c r="A1173" t="s">
        <v>209</v>
      </c>
      <c r="B1173">
        <v>2213</v>
      </c>
      <c r="C1173" t="s">
        <v>41</v>
      </c>
      <c r="D1173">
        <v>39</v>
      </c>
      <c r="E1173">
        <v>329566.07</v>
      </c>
      <c r="F1173">
        <v>128586.49</v>
      </c>
      <c r="G1173">
        <f>tblMoeHistory[[#This Row],[LEA State and Local Amount]]+tblMoeHistory[[#This Row],[ESD State and Local Amount]]</f>
        <v>458152.56</v>
      </c>
      <c r="H1173">
        <v>0</v>
      </c>
      <c r="I1173" t="s">
        <v>241</v>
      </c>
      <c r="J1173">
        <f>IFERROR(tblMoeHistory[[#This Row],[LEA State and Local Amount]]/tblMoeHistory[[#This Row],[Child Count]],0)</f>
        <v>8450.4120512820518</v>
      </c>
      <c r="K1173">
        <f>IFERROR(tblMoeHistory[[#This Row],[ESD State and Local Amount]]/tblMoeHistory[[#This Row],[Child Count]],0)</f>
        <v>3297.0894871794872</v>
      </c>
      <c r="L1173">
        <f>IFERROR(tblMoeHistory[[#This Row],[State and Local Total Amount]]/tblMoeHistory[[#This Row],[Child Count]],0)</f>
        <v>11747.501538461538</v>
      </c>
      <c r="M1173">
        <v>0</v>
      </c>
      <c r="N1173" t="s">
        <v>241</v>
      </c>
      <c r="O1173">
        <v>61912.59</v>
      </c>
      <c r="P1173">
        <v>153</v>
      </c>
      <c r="Q1173">
        <f>tblMoeHistory[[#This Row],[Amount of IDEA Part B, Section 611 award]]+tblMoeHistory[[#This Row],[Amount of IDEA Part B, Section 619 award]]</f>
        <v>62065.59</v>
      </c>
      <c r="U11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3" t="str">
        <f>IF(OR(IFERROR(SEARCH("Met",tblMoeHistory[[#This Row],[State and Local Per Capita Result]]),0)&gt;0,IFERROR(SEARCH("Met",tblMoeHistory[[#This Row],[State and Local Total Result]]),0)&gt;0),"Met","Not Met")</f>
        <v>Met</v>
      </c>
    </row>
    <row r="1174" spans="1:22" x14ac:dyDescent="0.35">
      <c r="A1174" t="s">
        <v>210</v>
      </c>
      <c r="B1174">
        <v>2116</v>
      </c>
      <c r="C1174" t="s">
        <v>41</v>
      </c>
      <c r="D1174">
        <v>112</v>
      </c>
      <c r="E1174">
        <v>767881.27</v>
      </c>
      <c r="F1174">
        <v>296941.71000000002</v>
      </c>
      <c r="G1174">
        <f>tblMoeHistory[[#This Row],[LEA State and Local Amount]]+tblMoeHistory[[#This Row],[ESD State and Local Amount]]</f>
        <v>1064822.98</v>
      </c>
      <c r="H1174">
        <v>0</v>
      </c>
      <c r="I1174" t="s">
        <v>241</v>
      </c>
      <c r="J1174">
        <f>IFERROR(tblMoeHistory[[#This Row],[LEA State and Local Amount]]/tblMoeHistory[[#This Row],[Child Count]],0)</f>
        <v>6856.0827678571432</v>
      </c>
      <c r="K1174">
        <f>IFERROR(tblMoeHistory[[#This Row],[ESD State and Local Amount]]/tblMoeHistory[[#This Row],[Child Count]],0)</f>
        <v>2651.265267857143</v>
      </c>
      <c r="L1174">
        <f>IFERROR(tblMoeHistory[[#This Row],[State and Local Total Amount]]/tblMoeHistory[[#This Row],[Child Count]],0)</f>
        <v>9507.3480357142853</v>
      </c>
      <c r="M1174">
        <v>0</v>
      </c>
      <c r="N1174" t="s">
        <v>241</v>
      </c>
      <c r="O1174">
        <v>182061.33</v>
      </c>
      <c r="P1174">
        <v>847.41</v>
      </c>
      <c r="Q1174">
        <f>tblMoeHistory[[#This Row],[Amount of IDEA Part B, Section 611 award]]+tblMoeHistory[[#This Row],[Amount of IDEA Part B, Section 619 award]]</f>
        <v>182908.74</v>
      </c>
      <c r="U11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4" t="str">
        <f>IF(OR(IFERROR(SEARCH("Met",tblMoeHistory[[#This Row],[State and Local Per Capita Result]]),0)&gt;0,IFERROR(SEARCH("Met",tblMoeHistory[[#This Row],[State and Local Total Result]]),0)&gt;0),"Met","Not Met")</f>
        <v>Met</v>
      </c>
    </row>
    <row r="1175" spans="1:22" x14ac:dyDescent="0.35">
      <c r="A1175" t="s">
        <v>211</v>
      </c>
      <c r="B1175">
        <v>1947</v>
      </c>
      <c r="C1175" t="s">
        <v>41</v>
      </c>
      <c r="D1175">
        <v>92</v>
      </c>
      <c r="E1175">
        <v>1107533.18</v>
      </c>
      <c r="F1175">
        <v>99253</v>
      </c>
      <c r="G1175">
        <f>tblMoeHistory[[#This Row],[LEA State and Local Amount]]+tblMoeHistory[[#This Row],[ESD State and Local Amount]]</f>
        <v>1206786.18</v>
      </c>
      <c r="H1175">
        <v>0</v>
      </c>
      <c r="I1175" t="s">
        <v>241</v>
      </c>
      <c r="J1175">
        <f>IFERROR(tblMoeHistory[[#This Row],[LEA State and Local Amount]]/tblMoeHistory[[#This Row],[Child Count]],0)</f>
        <v>12038.404130434781</v>
      </c>
      <c r="K1175">
        <f>IFERROR(tblMoeHistory[[#This Row],[ESD State and Local Amount]]/tblMoeHistory[[#This Row],[Child Count]],0)</f>
        <v>1078.8369565217392</v>
      </c>
      <c r="L1175">
        <f>IFERROR(tblMoeHistory[[#This Row],[State and Local Total Amount]]/tblMoeHistory[[#This Row],[Child Count]],0)</f>
        <v>13117.241086956521</v>
      </c>
      <c r="M1175">
        <v>0</v>
      </c>
      <c r="N1175" t="s">
        <v>241</v>
      </c>
      <c r="O1175">
        <v>110194.26</v>
      </c>
      <c r="P1175">
        <v>3029.49</v>
      </c>
      <c r="Q1175">
        <f>tblMoeHistory[[#This Row],[Amount of IDEA Part B, Section 611 award]]+tblMoeHistory[[#This Row],[Amount of IDEA Part B, Section 619 award]]</f>
        <v>113223.75</v>
      </c>
      <c r="U11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5" t="str">
        <f>IF(OR(IFERROR(SEARCH("Met",tblMoeHistory[[#This Row],[State and Local Per Capita Result]]),0)&gt;0,IFERROR(SEARCH("Met",tblMoeHistory[[#This Row],[State and Local Total Result]]),0)&gt;0),"Met","Not Met")</f>
        <v>Met</v>
      </c>
    </row>
    <row r="1176" spans="1:22" x14ac:dyDescent="0.35">
      <c r="A1176" t="s">
        <v>212</v>
      </c>
      <c r="B1176">
        <v>2220</v>
      </c>
      <c r="C1176" t="s">
        <v>41</v>
      </c>
      <c r="D1176">
        <v>34</v>
      </c>
      <c r="E1176">
        <v>89111.81</v>
      </c>
      <c r="F1176">
        <v>179005.86</v>
      </c>
      <c r="G1176">
        <f>tblMoeHistory[[#This Row],[LEA State and Local Amount]]+tblMoeHistory[[#This Row],[ESD State and Local Amount]]</f>
        <v>268117.67</v>
      </c>
      <c r="H1176">
        <v>0</v>
      </c>
      <c r="I1176" t="s">
        <v>241</v>
      </c>
      <c r="J1176">
        <f>IFERROR(tblMoeHistory[[#This Row],[LEA State and Local Amount]]/tblMoeHistory[[#This Row],[Child Count]],0)</f>
        <v>2620.9355882352938</v>
      </c>
      <c r="K1176">
        <f>IFERROR(tblMoeHistory[[#This Row],[ESD State and Local Amount]]/tblMoeHistory[[#This Row],[Child Count]],0)</f>
        <v>5264.8782352941171</v>
      </c>
      <c r="L1176">
        <f>IFERROR(tblMoeHistory[[#This Row],[State and Local Total Amount]]/tblMoeHistory[[#This Row],[Child Count]],0)</f>
        <v>7885.8138235294109</v>
      </c>
      <c r="M1176">
        <v>0</v>
      </c>
      <c r="N1176" t="s">
        <v>241</v>
      </c>
      <c r="O1176">
        <v>60034.400000000001</v>
      </c>
      <c r="P1176">
        <v>0</v>
      </c>
      <c r="Q1176">
        <f>tblMoeHistory[[#This Row],[Amount of IDEA Part B, Section 611 award]]+tblMoeHistory[[#This Row],[Amount of IDEA Part B, Section 619 award]]</f>
        <v>60034.400000000001</v>
      </c>
      <c r="U11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6" t="str">
        <f>IF(OR(IFERROR(SEARCH("Met",tblMoeHistory[[#This Row],[State and Local Per Capita Result]]),0)&gt;0,IFERROR(SEARCH("Met",tblMoeHistory[[#This Row],[State and Local Total Result]]),0)&gt;0),"Met","Not Met")</f>
        <v>Met</v>
      </c>
    </row>
    <row r="1177" spans="1:22" x14ac:dyDescent="0.35">
      <c r="A1177" t="s">
        <v>213</v>
      </c>
      <c r="B1177">
        <v>1936</v>
      </c>
      <c r="C1177" t="s">
        <v>41</v>
      </c>
      <c r="D1177">
        <v>178</v>
      </c>
      <c r="E1177">
        <v>1347589.79</v>
      </c>
      <c r="F1177">
        <v>402560</v>
      </c>
      <c r="G1177">
        <f>tblMoeHistory[[#This Row],[LEA State and Local Amount]]+tblMoeHistory[[#This Row],[ESD State and Local Amount]]</f>
        <v>1750149.79</v>
      </c>
      <c r="H1177">
        <v>0</v>
      </c>
      <c r="I1177" t="s">
        <v>241</v>
      </c>
      <c r="J1177">
        <f>IFERROR(tblMoeHistory[[#This Row],[LEA State and Local Amount]]/tblMoeHistory[[#This Row],[Child Count]],0)</f>
        <v>7570.7291573033708</v>
      </c>
      <c r="K1177">
        <f>IFERROR(tblMoeHistory[[#This Row],[ESD State and Local Amount]]/tblMoeHistory[[#This Row],[Child Count]],0)</f>
        <v>2261.5730337078653</v>
      </c>
      <c r="L1177">
        <f>IFERROR(tblMoeHistory[[#This Row],[State and Local Total Amount]]/tblMoeHistory[[#This Row],[Child Count]],0)</f>
        <v>9832.3021910112366</v>
      </c>
      <c r="M1177">
        <v>0</v>
      </c>
      <c r="N1177" t="s">
        <v>241</v>
      </c>
      <c r="O1177">
        <v>158958.74</v>
      </c>
      <c r="P1177">
        <v>1721.3</v>
      </c>
      <c r="Q1177">
        <f>tblMoeHistory[[#This Row],[Amount of IDEA Part B, Section 611 award]]+tblMoeHistory[[#This Row],[Amount of IDEA Part B, Section 619 award]]</f>
        <v>160680.03999999998</v>
      </c>
      <c r="U11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7" t="str">
        <f>IF(OR(IFERROR(SEARCH("Met",tblMoeHistory[[#This Row],[State and Local Per Capita Result]]),0)&gt;0,IFERROR(SEARCH("Met",tblMoeHistory[[#This Row],[State and Local Total Result]]),0)&gt;0),"Met","Not Met")</f>
        <v>Met</v>
      </c>
    </row>
    <row r="1178" spans="1:22" x14ac:dyDescent="0.35">
      <c r="A1178" t="s">
        <v>214</v>
      </c>
      <c r="B1178">
        <v>1922</v>
      </c>
      <c r="C1178" t="s">
        <v>41</v>
      </c>
      <c r="D1178">
        <v>970</v>
      </c>
      <c r="E1178">
        <v>8989526.8300000001</v>
      </c>
      <c r="F1178">
        <v>66152</v>
      </c>
      <c r="G1178">
        <f>tblMoeHistory[[#This Row],[LEA State and Local Amount]]+tblMoeHistory[[#This Row],[ESD State and Local Amount]]</f>
        <v>9055678.8300000001</v>
      </c>
      <c r="H1178">
        <v>0</v>
      </c>
      <c r="I1178" t="s">
        <v>241</v>
      </c>
      <c r="J1178">
        <f>IFERROR(tblMoeHistory[[#This Row],[LEA State and Local Amount]]/tblMoeHistory[[#This Row],[Child Count]],0)</f>
        <v>9267.5534329896909</v>
      </c>
      <c r="K1178">
        <f>IFERROR(tblMoeHistory[[#This Row],[ESD State and Local Amount]]/tblMoeHistory[[#This Row],[Child Count]],0)</f>
        <v>68.197938144329896</v>
      </c>
      <c r="L1178">
        <f>IFERROR(tblMoeHistory[[#This Row],[State and Local Total Amount]]/tblMoeHistory[[#This Row],[Child Count]],0)</f>
        <v>9335.7513711340198</v>
      </c>
      <c r="M1178">
        <v>0</v>
      </c>
      <c r="N1178" t="s">
        <v>241</v>
      </c>
      <c r="O1178">
        <v>1238431</v>
      </c>
      <c r="P1178">
        <v>4138.8999999999996</v>
      </c>
      <c r="Q1178">
        <f>tblMoeHistory[[#This Row],[Amount of IDEA Part B, Section 611 award]]+tblMoeHistory[[#This Row],[Amount of IDEA Part B, Section 619 award]]</f>
        <v>1242569.8999999999</v>
      </c>
      <c r="U11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8" t="str">
        <f>IF(OR(IFERROR(SEARCH("Met",tblMoeHistory[[#This Row],[State and Local Per Capita Result]]),0)&gt;0,IFERROR(SEARCH("Met",tblMoeHistory[[#This Row],[State and Local Total Result]]),0)&gt;0),"Met","Not Met")</f>
        <v>Met</v>
      </c>
    </row>
    <row r="1179" spans="1:22" x14ac:dyDescent="0.35">
      <c r="A1179" t="s">
        <v>215</v>
      </c>
      <c r="B1179">
        <v>2255</v>
      </c>
      <c r="C1179" t="s">
        <v>41</v>
      </c>
      <c r="D1179">
        <v>140</v>
      </c>
      <c r="E1179">
        <v>982248.11</v>
      </c>
      <c r="F1179">
        <v>37804.269999999997</v>
      </c>
      <c r="G1179">
        <f>tblMoeHistory[[#This Row],[LEA State and Local Amount]]+tblMoeHistory[[#This Row],[ESD State and Local Amount]]</f>
        <v>1020052.38</v>
      </c>
      <c r="H1179">
        <v>0</v>
      </c>
      <c r="I1179" t="s">
        <v>241</v>
      </c>
      <c r="J1179">
        <f>IFERROR(tblMoeHistory[[#This Row],[LEA State and Local Amount]]/tblMoeHistory[[#This Row],[Child Count]],0)</f>
        <v>7016.0579285714284</v>
      </c>
      <c r="K1179">
        <f>IFERROR(tblMoeHistory[[#This Row],[ESD State and Local Amount]]/tblMoeHistory[[#This Row],[Child Count]],0)</f>
        <v>270.03049999999996</v>
      </c>
      <c r="L1179">
        <f>IFERROR(tblMoeHistory[[#This Row],[State and Local Total Amount]]/tblMoeHistory[[#This Row],[Child Count]],0)</f>
        <v>7286.0884285714283</v>
      </c>
      <c r="M1179">
        <v>255013.1</v>
      </c>
      <c r="N1179" t="s">
        <v>240</v>
      </c>
      <c r="O1179">
        <v>188206.95</v>
      </c>
      <c r="P1179">
        <v>2786.87</v>
      </c>
      <c r="Q1179">
        <f>tblMoeHistory[[#This Row],[Amount of IDEA Part B, Section 611 award]]+tblMoeHistory[[#This Row],[Amount of IDEA Part B, Section 619 award]]</f>
        <v>190993.82</v>
      </c>
      <c r="U11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9" t="str">
        <f>IF(OR(IFERROR(SEARCH("Met",tblMoeHistory[[#This Row],[State and Local Per Capita Result]]),0)&gt;0,IFERROR(SEARCH("Met",tblMoeHistory[[#This Row],[State and Local Total Result]]),0)&gt;0),"Met","Not Met")</f>
        <v>Met</v>
      </c>
    </row>
    <row r="1180" spans="1:22" x14ac:dyDescent="0.35">
      <c r="A1180" t="s">
        <v>216</v>
      </c>
      <c r="B1180">
        <v>2002</v>
      </c>
      <c r="C1180" t="s">
        <v>41</v>
      </c>
      <c r="D1180">
        <v>177</v>
      </c>
      <c r="E1180">
        <v>1404043.88</v>
      </c>
      <c r="F1180">
        <v>262674.77</v>
      </c>
      <c r="G1180">
        <f>tblMoeHistory[[#This Row],[LEA State and Local Amount]]+tblMoeHistory[[#This Row],[ESD State and Local Amount]]</f>
        <v>1666718.65</v>
      </c>
      <c r="H1180">
        <v>0</v>
      </c>
      <c r="I1180" t="s">
        <v>242</v>
      </c>
      <c r="J1180">
        <f>IFERROR(tblMoeHistory[[#This Row],[LEA State and Local Amount]]/tblMoeHistory[[#This Row],[Child Count]],0)</f>
        <v>7932.451299435028</v>
      </c>
      <c r="K1180">
        <f>IFERROR(tblMoeHistory[[#This Row],[ESD State and Local Amount]]/tblMoeHistory[[#This Row],[Child Count]],0)</f>
        <v>1484.0382485875707</v>
      </c>
      <c r="L1180">
        <f>IFERROR(tblMoeHistory[[#This Row],[State and Local Total Amount]]/tblMoeHistory[[#This Row],[Child Count]],0)</f>
        <v>9416.4895480225987</v>
      </c>
      <c r="M1180">
        <v>0</v>
      </c>
      <c r="N1180" t="s">
        <v>241</v>
      </c>
      <c r="O1180">
        <v>271736.45</v>
      </c>
      <c r="P1180">
        <v>2268.0700000000002</v>
      </c>
      <c r="Q1180">
        <f>tblMoeHistory[[#This Row],[Amount of IDEA Part B, Section 611 award]]+tblMoeHistory[[#This Row],[Amount of IDEA Part B, Section 619 award]]</f>
        <v>274004.52</v>
      </c>
      <c r="S1180">
        <v>158939.19</v>
      </c>
      <c r="T1180">
        <v>228928.41</v>
      </c>
      <c r="U11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0" t="str">
        <f>IF(OR(IFERROR(SEARCH("Met",tblMoeHistory[[#This Row],[State and Local Per Capita Result]]),0)&gt;0,IFERROR(SEARCH("Met",tblMoeHistory[[#This Row],[State and Local Total Result]]),0)&gt;0),"Met","Not Met")</f>
        <v>Met</v>
      </c>
    </row>
    <row r="1181" spans="1:22" x14ac:dyDescent="0.35">
      <c r="A1181" t="s">
        <v>217</v>
      </c>
      <c r="B1181">
        <v>2146</v>
      </c>
      <c r="C1181" t="s">
        <v>41</v>
      </c>
      <c r="D1181">
        <v>770</v>
      </c>
      <c r="E1181">
        <v>6555598.6200000001</v>
      </c>
      <c r="F1181">
        <v>420762.47</v>
      </c>
      <c r="G1181">
        <f>tblMoeHistory[[#This Row],[LEA State and Local Amount]]+tblMoeHistory[[#This Row],[ESD State and Local Amount]]</f>
        <v>6976361.0899999999</v>
      </c>
      <c r="H1181">
        <v>0</v>
      </c>
      <c r="I1181" t="s">
        <v>241</v>
      </c>
      <c r="J1181">
        <f>IFERROR(tblMoeHistory[[#This Row],[LEA State and Local Amount]]/tblMoeHistory[[#This Row],[Child Count]],0)</f>
        <v>8513.7644415584418</v>
      </c>
      <c r="K1181">
        <f>IFERROR(tblMoeHistory[[#This Row],[ESD State and Local Amount]]/tblMoeHistory[[#This Row],[Child Count]],0)</f>
        <v>546.44476623376625</v>
      </c>
      <c r="L1181">
        <f>IFERROR(tblMoeHistory[[#This Row],[State and Local Total Amount]]/tblMoeHistory[[#This Row],[Child Count]],0)</f>
        <v>9060.209207792208</v>
      </c>
      <c r="M1181">
        <v>31657.43</v>
      </c>
      <c r="N1181" t="s">
        <v>240</v>
      </c>
      <c r="O1181">
        <v>800002.56000000006</v>
      </c>
      <c r="P1181">
        <v>3519.1</v>
      </c>
      <c r="Q1181">
        <f>tblMoeHistory[[#This Row],[Amount of IDEA Part B, Section 611 award]]+tblMoeHistory[[#This Row],[Amount of IDEA Part B, Section 619 award]]</f>
        <v>803521.66</v>
      </c>
      <c r="U11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1" t="str">
        <f>IF(OR(IFERROR(SEARCH("Met",tblMoeHistory[[#This Row],[State and Local Per Capita Result]]),0)&gt;0,IFERROR(SEARCH("Met",tblMoeHistory[[#This Row],[State and Local Total Result]]),0)&gt;0),"Met","Not Met")</f>
        <v>Met</v>
      </c>
    </row>
    <row r="1182" spans="1:22" x14ac:dyDescent="0.35">
      <c r="A1182" t="s">
        <v>218</v>
      </c>
      <c r="B1182">
        <v>2251</v>
      </c>
      <c r="C1182" t="s">
        <v>41</v>
      </c>
      <c r="D1182">
        <v>164</v>
      </c>
      <c r="E1182">
        <v>1427983.98</v>
      </c>
      <c r="F1182">
        <v>101373.38</v>
      </c>
      <c r="G1182">
        <f>tblMoeHistory[[#This Row],[LEA State and Local Amount]]+tblMoeHistory[[#This Row],[ESD State and Local Amount]]</f>
        <v>1529357.3599999999</v>
      </c>
      <c r="H1182">
        <v>0</v>
      </c>
      <c r="I1182" t="s">
        <v>241</v>
      </c>
      <c r="J1182">
        <f>IFERROR(tblMoeHistory[[#This Row],[LEA State and Local Amount]]/tblMoeHistory[[#This Row],[Child Count]],0)</f>
        <v>8707.219390243903</v>
      </c>
      <c r="K1182">
        <f>IFERROR(tblMoeHistory[[#This Row],[ESD State and Local Amount]]/tblMoeHistory[[#This Row],[Child Count]],0)</f>
        <v>618.13036585365853</v>
      </c>
      <c r="L1182">
        <f>IFERROR(tblMoeHistory[[#This Row],[State and Local Total Amount]]/tblMoeHistory[[#This Row],[Child Count]],0)</f>
        <v>9325.3497560975593</v>
      </c>
      <c r="M1182">
        <v>0</v>
      </c>
      <c r="N1182" t="s">
        <v>241</v>
      </c>
      <c r="O1182">
        <v>196649.1</v>
      </c>
      <c r="P1182">
        <v>1377.04</v>
      </c>
      <c r="Q1182">
        <f>tblMoeHistory[[#This Row],[Amount of IDEA Part B, Section 611 award]]+tblMoeHistory[[#This Row],[Amount of IDEA Part B, Section 619 award]]</f>
        <v>198026.14</v>
      </c>
      <c r="U11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2" t="str">
        <f>IF(OR(IFERROR(SEARCH("Met",tblMoeHistory[[#This Row],[State and Local Per Capita Result]]),0)&gt;0,IFERROR(SEARCH("Met",tblMoeHistory[[#This Row],[State and Local Total Result]]),0)&gt;0),"Met","Not Met")</f>
        <v>Met</v>
      </c>
    </row>
    <row r="1183" spans="1:22" x14ac:dyDescent="0.35">
      <c r="A1183" t="s">
        <v>219</v>
      </c>
      <c r="B1183">
        <v>1997</v>
      </c>
      <c r="C1183" t="s">
        <v>41</v>
      </c>
      <c r="D1183">
        <v>34</v>
      </c>
      <c r="E1183">
        <v>237159.34</v>
      </c>
      <c r="F1183">
        <v>54390.12</v>
      </c>
      <c r="G1183">
        <f>tblMoeHistory[[#This Row],[LEA State and Local Amount]]+tblMoeHistory[[#This Row],[ESD State and Local Amount]]</f>
        <v>291549.46000000002</v>
      </c>
      <c r="H1183">
        <v>0</v>
      </c>
      <c r="I1183" t="s">
        <v>241</v>
      </c>
      <c r="J1183">
        <f>IFERROR(tblMoeHistory[[#This Row],[LEA State and Local Amount]]/tblMoeHistory[[#This Row],[Child Count]],0)</f>
        <v>6975.2747058823525</v>
      </c>
      <c r="K1183">
        <f>IFERROR(tblMoeHistory[[#This Row],[ESD State and Local Amount]]/tblMoeHistory[[#This Row],[Child Count]],0)</f>
        <v>1599.7094117647059</v>
      </c>
      <c r="L1183">
        <f>IFERROR(tblMoeHistory[[#This Row],[State and Local Total Amount]]/tblMoeHistory[[#This Row],[Child Count]],0)</f>
        <v>8574.98411764706</v>
      </c>
      <c r="M1183">
        <v>0</v>
      </c>
      <c r="N1183" t="s">
        <v>241</v>
      </c>
      <c r="O1183">
        <v>60310.879999999997</v>
      </c>
      <c r="P1183">
        <v>459.01</v>
      </c>
      <c r="Q1183">
        <f>tblMoeHistory[[#This Row],[Amount of IDEA Part B, Section 611 award]]+tblMoeHistory[[#This Row],[Amount of IDEA Part B, Section 619 award]]</f>
        <v>60769.89</v>
      </c>
      <c r="U11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3" t="str">
        <f>IF(OR(IFERROR(SEARCH("Met",tblMoeHistory[[#This Row],[State and Local Per Capita Result]]),0)&gt;0,IFERROR(SEARCH("Met",tblMoeHistory[[#This Row],[State and Local Total Result]]),0)&gt;0),"Met","Not Met")</f>
        <v>Met</v>
      </c>
    </row>
    <row r="1184" spans="1:22" x14ac:dyDescent="0.35">
      <c r="A1184" t="s">
        <v>14</v>
      </c>
      <c r="B1184">
        <v>2063</v>
      </c>
      <c r="C1184" t="s">
        <v>18</v>
      </c>
      <c r="D1184">
        <v>1</v>
      </c>
      <c r="E1184">
        <v>4607.29</v>
      </c>
      <c r="F1184">
        <v>17026.87</v>
      </c>
      <c r="G1184">
        <f>tblMoeHistory[[#This Row],[LEA State and Local Amount]]+tblMoeHistory[[#This Row],[ESD State and Local Amount]]</f>
        <v>21634.16</v>
      </c>
      <c r="H1184">
        <v>0</v>
      </c>
      <c r="I1184" t="s">
        <v>242</v>
      </c>
      <c r="J1184" s="44">
        <f>IFERROR(tblMoeHistory[[#This Row],[LEA State and Local Amount]]/tblMoeHistory[[#This Row],[Child Count]],0)</f>
        <v>4607.29</v>
      </c>
      <c r="K1184">
        <f>IFERROR(tblMoeHistory[[#This Row],[ESD State and Local Amount]]/tblMoeHistory[[#This Row],[Child Count]],0)</f>
        <v>17026.87</v>
      </c>
      <c r="L1184" s="1">
        <f>IFERROR(tblMoeHistory[[#This Row],[State and Local Total Amount]]/tblMoeHistory[[#This Row],[Child Count]],0)</f>
        <v>21634.16</v>
      </c>
      <c r="M1184">
        <v>0</v>
      </c>
      <c r="N1184" t="s">
        <v>241</v>
      </c>
      <c r="O1184">
        <v>2809.93</v>
      </c>
      <c r="P1184">
        <v>485.19</v>
      </c>
      <c r="Q1184">
        <f>tblMoeHistory[[#This Row],[Amount of IDEA Part B, Section 611 award]]+tblMoeHistory[[#This Row],[Amount of IDEA Part B, Section 619 award]]</f>
        <v>3295.12</v>
      </c>
      <c r="S1184">
        <v>13842.43</v>
      </c>
      <c r="U11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4" t="str">
        <f>IF(OR(IFERROR(SEARCH("Met",tblMoeHistory[[#This Row],[State and Local Per Capita Result]]),0)&gt;0,IFERROR(SEARCH("Met",tblMoeHistory[[#This Row],[State and Local Total Result]]),0)&gt;0),"Met","Not Met")</f>
        <v>Met</v>
      </c>
    </row>
    <row r="1185" spans="1:22" x14ac:dyDescent="0.35">
      <c r="A1185" t="s">
        <v>17</v>
      </c>
      <c r="B1185">
        <v>2113</v>
      </c>
      <c r="C1185" t="s">
        <v>18</v>
      </c>
      <c r="D1185">
        <v>41</v>
      </c>
      <c r="E1185">
        <v>221631.35</v>
      </c>
      <c r="F1185">
        <v>118685.32</v>
      </c>
      <c r="G1185">
        <f>tblMoeHistory[[#This Row],[LEA State and Local Amount]]+tblMoeHistory[[#This Row],[ESD State and Local Amount]]</f>
        <v>340316.67000000004</v>
      </c>
      <c r="H1185">
        <v>0</v>
      </c>
      <c r="I1185" t="s">
        <v>241</v>
      </c>
      <c r="J1185" s="44">
        <f>IFERROR(tblMoeHistory[[#This Row],[LEA State and Local Amount]]/tblMoeHistory[[#This Row],[Child Count]],0)</f>
        <v>5405.6426829268294</v>
      </c>
      <c r="K1185">
        <f>IFERROR(tblMoeHistory[[#This Row],[ESD State and Local Amount]]/tblMoeHistory[[#This Row],[Child Count]],0)</f>
        <v>2894.7639024390246</v>
      </c>
      <c r="L1185" s="1">
        <f>IFERROR(tblMoeHistory[[#This Row],[State and Local Total Amount]]/tblMoeHistory[[#This Row],[Child Count]],0)</f>
        <v>8300.406585365854</v>
      </c>
      <c r="M1185">
        <v>81311.86</v>
      </c>
      <c r="N1185" t="s">
        <v>240</v>
      </c>
      <c r="O1185">
        <v>52207.89</v>
      </c>
      <c r="P1185">
        <v>0</v>
      </c>
      <c r="Q1185">
        <f>tblMoeHistory[[#This Row],[Amount of IDEA Part B, Section 611 award]]+tblMoeHistory[[#This Row],[Amount of IDEA Part B, Section 619 award]]</f>
        <v>52207.89</v>
      </c>
      <c r="T1185">
        <v>0</v>
      </c>
      <c r="U11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5" t="str">
        <f>IF(OR(IFERROR(SEARCH("Met",tblMoeHistory[[#This Row],[State and Local Per Capita Result]]),0)&gt;0,IFERROR(SEARCH("Met",tblMoeHistory[[#This Row],[State and Local Total Result]]),0)&gt;0),"Met","Not Met")</f>
        <v>Met</v>
      </c>
    </row>
    <row r="1186" spans="1:22" x14ac:dyDescent="0.35">
      <c r="A1186" t="s">
        <v>20</v>
      </c>
      <c r="B1186">
        <v>1899</v>
      </c>
      <c r="C1186" t="s">
        <v>18</v>
      </c>
      <c r="D1186">
        <v>19</v>
      </c>
      <c r="E1186">
        <v>196232.54</v>
      </c>
      <c r="F1186">
        <v>33915</v>
      </c>
      <c r="G1186">
        <f>tblMoeHistory[[#This Row],[LEA State and Local Amount]]+tblMoeHistory[[#This Row],[ESD State and Local Amount]]</f>
        <v>230147.54</v>
      </c>
      <c r="H1186">
        <v>0</v>
      </c>
      <c r="I1186" t="s">
        <v>242</v>
      </c>
      <c r="J1186" s="44">
        <f>IFERROR(tblMoeHistory[[#This Row],[LEA State and Local Amount]]/tblMoeHistory[[#This Row],[Child Count]],0)</f>
        <v>10328.028421052632</v>
      </c>
      <c r="K1186">
        <f>IFERROR(tblMoeHistory[[#This Row],[ESD State and Local Amount]]/tblMoeHistory[[#This Row],[Child Count]],0)</f>
        <v>1785</v>
      </c>
      <c r="L1186" s="1">
        <f>IFERROR(tblMoeHistory[[#This Row],[State and Local Total Amount]]/tblMoeHistory[[#This Row],[Child Count]],0)</f>
        <v>12113.028421052632</v>
      </c>
      <c r="M1186">
        <v>0</v>
      </c>
      <c r="N1186" t="s">
        <v>242</v>
      </c>
      <c r="O1186">
        <v>30448.17</v>
      </c>
      <c r="P1186">
        <v>0</v>
      </c>
      <c r="Q1186">
        <f>tblMoeHistory[[#This Row],[Amount of IDEA Part B, Section 611 award]]+tblMoeHistory[[#This Row],[Amount of IDEA Part B, Section 619 award]]</f>
        <v>30448.17</v>
      </c>
      <c r="S1186">
        <v>62247.44</v>
      </c>
      <c r="T1186">
        <v>2706.41</v>
      </c>
      <c r="U11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6" t="str">
        <f>IF(OR(IFERROR(SEARCH("Met",tblMoeHistory[[#This Row],[State and Local Per Capita Result]]),0)&gt;0,IFERROR(SEARCH("Met",tblMoeHistory[[#This Row],[State and Local Total Result]]),0)&gt;0),"Met","Not Met")</f>
        <v>Met</v>
      </c>
    </row>
    <row r="1187" spans="1:22" x14ac:dyDescent="0.35">
      <c r="A1187" t="s">
        <v>21</v>
      </c>
      <c r="B1187">
        <v>2252</v>
      </c>
      <c r="C1187" t="s">
        <v>18</v>
      </c>
      <c r="D1187">
        <v>137</v>
      </c>
      <c r="E1187">
        <v>605968.81000000006</v>
      </c>
      <c r="F1187">
        <v>180725.04</v>
      </c>
      <c r="G1187">
        <f>tblMoeHistory[[#This Row],[LEA State and Local Amount]]+tblMoeHistory[[#This Row],[ESD State and Local Amount]]</f>
        <v>786693.85000000009</v>
      </c>
      <c r="H1187">
        <v>0</v>
      </c>
      <c r="I1187" t="s">
        <v>241</v>
      </c>
      <c r="J1187" s="44">
        <f>IFERROR(tblMoeHistory[[#This Row],[LEA State and Local Amount]]/tblMoeHistory[[#This Row],[Child Count]],0)</f>
        <v>4423.13</v>
      </c>
      <c r="K1187">
        <f>IFERROR(tblMoeHistory[[#This Row],[ESD State and Local Amount]]/tblMoeHistory[[#This Row],[Child Count]],0)</f>
        <v>1319.1608759124088</v>
      </c>
      <c r="L1187" s="1">
        <f>IFERROR(tblMoeHistory[[#This Row],[State and Local Total Amount]]/tblMoeHistory[[#This Row],[Child Count]],0)</f>
        <v>5742.2908759124093</v>
      </c>
      <c r="M1187">
        <v>242554.1</v>
      </c>
      <c r="N1187" t="s">
        <v>240</v>
      </c>
      <c r="O1187">
        <v>147677.94</v>
      </c>
      <c r="P1187">
        <v>3881.54</v>
      </c>
      <c r="Q1187">
        <f>tblMoeHistory[[#This Row],[Amount of IDEA Part B, Section 611 award]]+tblMoeHistory[[#This Row],[Amount of IDEA Part B, Section 619 award]]</f>
        <v>151559.48000000001</v>
      </c>
      <c r="T1187">
        <v>0</v>
      </c>
      <c r="U11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7" t="str">
        <f>IF(OR(IFERROR(SEARCH("Met",tblMoeHistory[[#This Row],[State and Local Per Capita Result]]),0)&gt;0,IFERROR(SEARCH("Met",tblMoeHistory[[#This Row],[State and Local Total Result]]),0)&gt;0),"Met","Not Met")</f>
        <v>Met</v>
      </c>
    </row>
    <row r="1188" spans="1:22" x14ac:dyDescent="0.35">
      <c r="A1188" t="s">
        <v>23</v>
      </c>
      <c r="B1188">
        <v>2111</v>
      </c>
      <c r="C1188" t="s">
        <v>18</v>
      </c>
      <c r="D1188">
        <v>11</v>
      </c>
      <c r="E1188">
        <v>22752.95</v>
      </c>
      <c r="F1188">
        <v>45490.45</v>
      </c>
      <c r="G1188">
        <f>tblMoeHistory[[#This Row],[LEA State and Local Amount]]+tblMoeHistory[[#This Row],[ESD State and Local Amount]]</f>
        <v>68243.399999999994</v>
      </c>
      <c r="H1188">
        <v>0</v>
      </c>
      <c r="I1188" t="s">
        <v>241</v>
      </c>
      <c r="J1188" s="44">
        <f>IFERROR(tblMoeHistory[[#This Row],[LEA State and Local Amount]]/tblMoeHistory[[#This Row],[Child Count]],0)</f>
        <v>2068.4500000000003</v>
      </c>
      <c r="K1188">
        <f>IFERROR(tblMoeHistory[[#This Row],[ESD State and Local Amount]]/tblMoeHistory[[#This Row],[Child Count]],0)</f>
        <v>4135.4954545454539</v>
      </c>
      <c r="L1188" s="1">
        <f>IFERROR(tblMoeHistory[[#This Row],[State and Local Total Amount]]/tblMoeHistory[[#This Row],[Child Count]],0)</f>
        <v>6203.9454545454537</v>
      </c>
      <c r="M1188">
        <v>0</v>
      </c>
      <c r="N1188" t="s">
        <v>241</v>
      </c>
      <c r="O1188">
        <v>20213.169999999998</v>
      </c>
      <c r="P1188">
        <v>0</v>
      </c>
      <c r="Q1188">
        <f>tblMoeHistory[[#This Row],[Amount of IDEA Part B, Section 611 award]]+tblMoeHistory[[#This Row],[Amount of IDEA Part B, Section 619 award]]</f>
        <v>20213.169999999998</v>
      </c>
      <c r="U11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8" t="str">
        <f>IF(OR(IFERROR(SEARCH("Met",tblMoeHistory[[#This Row],[State and Local Per Capita Result]]),0)&gt;0,IFERROR(SEARCH("Met",tblMoeHistory[[#This Row],[State and Local Total Result]]),0)&gt;0),"Met","Not Met")</f>
        <v>Met</v>
      </c>
    </row>
    <row r="1189" spans="1:22" x14ac:dyDescent="0.35">
      <c r="A1189" t="s">
        <v>24</v>
      </c>
      <c r="B1189">
        <v>2005</v>
      </c>
      <c r="C1189" t="s">
        <v>18</v>
      </c>
      <c r="D1189">
        <v>20</v>
      </c>
      <c r="E1189">
        <v>57382.59</v>
      </c>
      <c r="F1189">
        <v>107825</v>
      </c>
      <c r="G1189">
        <f>tblMoeHistory[[#This Row],[LEA State and Local Amount]]+tblMoeHistory[[#This Row],[ESD State and Local Amount]]</f>
        <v>165207.59</v>
      </c>
      <c r="H1189">
        <v>0</v>
      </c>
      <c r="I1189" t="s">
        <v>241</v>
      </c>
      <c r="J1189" s="44">
        <f>IFERROR(tblMoeHistory[[#This Row],[LEA State and Local Amount]]/tblMoeHistory[[#This Row],[Child Count]],0)</f>
        <v>2869.1295</v>
      </c>
      <c r="K1189">
        <f>IFERROR(tblMoeHistory[[#This Row],[ESD State and Local Amount]]/tblMoeHistory[[#This Row],[Child Count]],0)</f>
        <v>5391.25</v>
      </c>
      <c r="L1189" s="1">
        <f>IFERROR(tblMoeHistory[[#This Row],[State and Local Total Amount]]/tblMoeHistory[[#This Row],[Child Count]],0)</f>
        <v>8260.3794999999991</v>
      </c>
      <c r="M1189">
        <v>0</v>
      </c>
      <c r="N1189" t="s">
        <v>242</v>
      </c>
      <c r="O1189">
        <v>28813.9</v>
      </c>
      <c r="P1189">
        <v>0</v>
      </c>
      <c r="Q1189">
        <f>tblMoeHistory[[#This Row],[Amount of IDEA Part B, Section 611 award]]+tblMoeHistory[[#This Row],[Amount of IDEA Part B, Section 619 award]]</f>
        <v>28813.9</v>
      </c>
      <c r="T1189">
        <v>2510.58</v>
      </c>
      <c r="U11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9" t="str">
        <f>IF(OR(IFERROR(SEARCH("Met",tblMoeHistory[[#This Row],[State and Local Per Capita Result]]),0)&gt;0,IFERROR(SEARCH("Met",tblMoeHistory[[#This Row],[State and Local Total Result]]),0)&gt;0),"Met","Not Met")</f>
        <v>Met</v>
      </c>
    </row>
    <row r="1190" spans="1:22" x14ac:dyDescent="0.35">
      <c r="A1190" t="s">
        <v>25</v>
      </c>
      <c r="B1190">
        <v>2115</v>
      </c>
      <c r="C1190" t="s">
        <v>18</v>
      </c>
      <c r="D1190">
        <v>0</v>
      </c>
      <c r="E1190">
        <v>0</v>
      </c>
      <c r="F1190">
        <v>10956.83</v>
      </c>
      <c r="G1190">
        <f>tblMoeHistory[[#This Row],[LEA State and Local Amount]]+tblMoeHistory[[#This Row],[ESD State and Local Amount]]</f>
        <v>10956.83</v>
      </c>
      <c r="H1190">
        <v>0</v>
      </c>
      <c r="I1190" t="s">
        <v>241</v>
      </c>
      <c r="J1190" s="44">
        <f>IFERROR(tblMoeHistory[[#This Row],[LEA State and Local Amount]]/tblMoeHistory[[#This Row],[Child Count]],0)</f>
        <v>0</v>
      </c>
      <c r="K1190">
        <f>IFERROR(tblMoeHistory[[#This Row],[ESD State and Local Amount]]/tblMoeHistory[[#This Row],[Child Count]],0)</f>
        <v>0</v>
      </c>
      <c r="L1190" s="1">
        <f>IFERROR(tblMoeHistory[[#This Row],[State and Local Total Amount]]/tblMoeHistory[[#This Row],[Child Count]],0)</f>
        <v>0</v>
      </c>
      <c r="M1190">
        <v>0</v>
      </c>
      <c r="N1190" t="s">
        <v>240</v>
      </c>
      <c r="O1190">
        <v>3314.92</v>
      </c>
      <c r="P1190">
        <v>0</v>
      </c>
      <c r="Q1190">
        <f>tblMoeHistory[[#This Row],[Amount of IDEA Part B, Section 611 award]]+tblMoeHistory[[#This Row],[Amount of IDEA Part B, Section 619 award]]</f>
        <v>3314.92</v>
      </c>
      <c r="T1190">
        <v>1250.3499999999999</v>
      </c>
      <c r="U11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0" t="str">
        <f>IF(OR(IFERROR(SEARCH("Met",tblMoeHistory[[#This Row],[State and Local Per Capita Result]]),0)&gt;0,IFERROR(SEARCH("Met",tblMoeHistory[[#This Row],[State and Local Total Result]]),0)&gt;0),"Met","Not Met")</f>
        <v>Met</v>
      </c>
    </row>
    <row r="1191" spans="1:22" x14ac:dyDescent="0.35">
      <c r="A1191" t="s">
        <v>26</v>
      </c>
      <c r="B1191">
        <v>2041</v>
      </c>
      <c r="C1191" t="s">
        <v>18</v>
      </c>
      <c r="D1191">
        <v>345</v>
      </c>
      <c r="E1191">
        <v>2545903.9900000002</v>
      </c>
      <c r="F1191">
        <v>359562.57</v>
      </c>
      <c r="G1191">
        <f>tblMoeHistory[[#This Row],[LEA State and Local Amount]]+tblMoeHistory[[#This Row],[ESD State and Local Amount]]</f>
        <v>2905466.56</v>
      </c>
      <c r="H1191">
        <v>0</v>
      </c>
      <c r="I1191" t="s">
        <v>241</v>
      </c>
      <c r="J1191" s="44">
        <f>IFERROR(tblMoeHistory[[#This Row],[LEA State and Local Amount]]/tblMoeHistory[[#This Row],[Child Count]],0)</f>
        <v>7379.4318550724647</v>
      </c>
      <c r="K1191">
        <f>IFERROR(tblMoeHistory[[#This Row],[ESD State and Local Amount]]/tblMoeHistory[[#This Row],[Child Count]],0)</f>
        <v>1042.2103478260869</v>
      </c>
      <c r="L1191" s="1">
        <f>IFERROR(tblMoeHistory[[#This Row],[State and Local Total Amount]]/tblMoeHistory[[#This Row],[Child Count]],0)</f>
        <v>8421.6422028985507</v>
      </c>
      <c r="M1191">
        <v>31908.46</v>
      </c>
      <c r="N1191" t="s">
        <v>240</v>
      </c>
      <c r="O1191">
        <v>475298.07</v>
      </c>
      <c r="P1191">
        <v>5137.33</v>
      </c>
      <c r="Q1191">
        <f>tblMoeHistory[[#This Row],[Amount of IDEA Part B, Section 611 award]]+tblMoeHistory[[#This Row],[Amount of IDEA Part B, Section 619 award]]</f>
        <v>480435.4</v>
      </c>
      <c r="T1191">
        <v>0</v>
      </c>
      <c r="U11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1" t="str">
        <f>IF(OR(IFERROR(SEARCH("Met",tblMoeHistory[[#This Row],[State and Local Per Capita Result]]),0)&gt;0,IFERROR(SEARCH("Met",tblMoeHistory[[#This Row],[State and Local Total Result]]),0)&gt;0),"Met","Not Met")</f>
        <v>Met</v>
      </c>
    </row>
    <row r="1192" spans="1:22" x14ac:dyDescent="0.35">
      <c r="A1192" t="s">
        <v>27</v>
      </c>
      <c r="B1192">
        <v>2051</v>
      </c>
      <c r="C1192" t="s">
        <v>18</v>
      </c>
      <c r="D1192">
        <v>0</v>
      </c>
      <c r="E1192">
        <v>0</v>
      </c>
      <c r="F1192">
        <v>7524.01</v>
      </c>
      <c r="G1192">
        <f>tblMoeHistory[[#This Row],[LEA State and Local Amount]]+tblMoeHistory[[#This Row],[ESD State and Local Amount]]</f>
        <v>7524.01</v>
      </c>
      <c r="H1192">
        <v>830.89</v>
      </c>
      <c r="I1192" t="s">
        <v>240</v>
      </c>
      <c r="J1192" s="44">
        <f>IFERROR(tblMoeHistory[[#This Row],[LEA State and Local Amount]]/tblMoeHistory[[#This Row],[Child Count]],0)</f>
        <v>0</v>
      </c>
      <c r="K1192">
        <f>IFERROR(tblMoeHistory[[#This Row],[ESD State and Local Amount]]/tblMoeHistory[[#This Row],[Child Count]],0)</f>
        <v>0</v>
      </c>
      <c r="L1192" s="1">
        <f>IFERROR(tblMoeHistory[[#This Row],[State and Local Total Amount]]/tblMoeHistory[[#This Row],[Child Count]],0)</f>
        <v>0</v>
      </c>
      <c r="M1192">
        <v>0</v>
      </c>
      <c r="N1192" t="s">
        <v>241</v>
      </c>
      <c r="O1192">
        <v>825.66</v>
      </c>
      <c r="P1192">
        <v>0</v>
      </c>
      <c r="Q1192">
        <f>tblMoeHistory[[#This Row],[Amount of IDEA Part B, Section 611 award]]+tblMoeHistory[[#This Row],[Amount of IDEA Part B, Section 619 award]]</f>
        <v>825.66</v>
      </c>
      <c r="S1192">
        <v>0</v>
      </c>
      <c r="U11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2" t="str">
        <f>IF(OR(IFERROR(SEARCH("Met",tblMoeHistory[[#This Row],[State and Local Per Capita Result]]),0)&gt;0,IFERROR(SEARCH("Met",tblMoeHistory[[#This Row],[State and Local Total Result]]),0)&gt;0),"Met","Not Met")</f>
        <v>Met</v>
      </c>
    </row>
    <row r="1193" spans="1:22" x14ac:dyDescent="0.35">
      <c r="A1193" t="s">
        <v>28</v>
      </c>
      <c r="B1193">
        <v>1933</v>
      </c>
      <c r="C1193" t="s">
        <v>18</v>
      </c>
      <c r="D1193">
        <v>262</v>
      </c>
      <c r="E1193">
        <v>2452177.06</v>
      </c>
      <c r="F1193">
        <v>454170</v>
      </c>
      <c r="G1193">
        <f>tblMoeHistory[[#This Row],[LEA State and Local Amount]]+tblMoeHistory[[#This Row],[ESD State and Local Amount]]</f>
        <v>2906347.06</v>
      </c>
      <c r="H1193">
        <v>0</v>
      </c>
      <c r="I1193" t="s">
        <v>241</v>
      </c>
      <c r="J1193" s="44">
        <f>IFERROR(tblMoeHistory[[#This Row],[LEA State and Local Amount]]/tblMoeHistory[[#This Row],[Child Count]],0)</f>
        <v>9359.4544274809159</v>
      </c>
      <c r="K1193">
        <f>IFERROR(tblMoeHistory[[#This Row],[ESD State and Local Amount]]/tblMoeHistory[[#This Row],[Child Count]],0)</f>
        <v>1733.4732824427481</v>
      </c>
      <c r="L1193" s="1">
        <f>IFERROR(tblMoeHistory[[#This Row],[State and Local Total Amount]]/tblMoeHistory[[#This Row],[Child Count]],0)</f>
        <v>11092.927709923664</v>
      </c>
      <c r="M1193">
        <v>0</v>
      </c>
      <c r="N1193" t="s">
        <v>241</v>
      </c>
      <c r="O1193">
        <v>265841.15000000002</v>
      </c>
      <c r="P1193">
        <v>1816.89</v>
      </c>
      <c r="Q1193">
        <f>tblMoeHistory[[#This Row],[Amount of IDEA Part B, Section 611 award]]+tblMoeHistory[[#This Row],[Amount of IDEA Part B, Section 619 award]]</f>
        <v>267658.04000000004</v>
      </c>
      <c r="U11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3" t="str">
        <f>IF(OR(IFERROR(SEARCH("Met",tblMoeHistory[[#This Row],[State and Local Per Capita Result]]),0)&gt;0,IFERROR(SEARCH("Met",tblMoeHistory[[#This Row],[State and Local Total Result]]),0)&gt;0),"Met","Not Met")</f>
        <v>Met</v>
      </c>
    </row>
    <row r="1194" spans="1:22" x14ac:dyDescent="0.35">
      <c r="A1194" t="s">
        <v>29</v>
      </c>
      <c r="B1194">
        <v>2208</v>
      </c>
      <c r="C1194" t="s">
        <v>18</v>
      </c>
      <c r="D1194">
        <v>86</v>
      </c>
      <c r="E1194">
        <v>357591.92</v>
      </c>
      <c r="F1194">
        <v>128711.21</v>
      </c>
      <c r="G1194">
        <f>tblMoeHistory[[#This Row],[LEA State and Local Amount]]+tblMoeHistory[[#This Row],[ESD State and Local Amount]]</f>
        <v>486303.13</v>
      </c>
      <c r="H1194">
        <v>0</v>
      </c>
      <c r="I1194" t="s">
        <v>242</v>
      </c>
      <c r="J1194" s="44">
        <f>IFERROR(tblMoeHistory[[#This Row],[LEA State and Local Amount]]/tblMoeHistory[[#This Row],[Child Count]],0)</f>
        <v>4158.0455813953486</v>
      </c>
      <c r="K1194">
        <f>IFERROR(tblMoeHistory[[#This Row],[ESD State and Local Amount]]/tblMoeHistory[[#This Row],[Child Count]],0)</f>
        <v>1496.6419767441862</v>
      </c>
      <c r="L1194" s="1">
        <f>IFERROR(tblMoeHistory[[#This Row],[State and Local Total Amount]]/tblMoeHistory[[#This Row],[Child Count]],0)</f>
        <v>5654.6875581395352</v>
      </c>
      <c r="M1194">
        <v>38498.49</v>
      </c>
      <c r="N1194" t="s">
        <v>240</v>
      </c>
      <c r="O1194">
        <v>97695.64</v>
      </c>
      <c r="P1194">
        <v>808.65</v>
      </c>
      <c r="Q1194">
        <f>tblMoeHistory[[#This Row],[Amount of IDEA Part B, Section 611 award]]+tblMoeHistory[[#This Row],[Amount of IDEA Part B, Section 619 award]]</f>
        <v>98504.29</v>
      </c>
      <c r="S1194">
        <v>89456.9</v>
      </c>
      <c r="T1194">
        <v>1161.78</v>
      </c>
      <c r="U11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4" t="str">
        <f>IF(OR(IFERROR(SEARCH("Met",tblMoeHistory[[#This Row],[State and Local Per Capita Result]]),0)&gt;0,IFERROR(SEARCH("Met",tblMoeHistory[[#This Row],[State and Local Total Result]]),0)&gt;0),"Met","Not Met")</f>
        <v>Met</v>
      </c>
    </row>
    <row r="1195" spans="1:22" x14ac:dyDescent="0.35">
      <c r="A1195" t="s">
        <v>30</v>
      </c>
      <c r="B1195">
        <v>1894</v>
      </c>
      <c r="C1195" t="s">
        <v>18</v>
      </c>
      <c r="D1195">
        <v>333</v>
      </c>
      <c r="E1195">
        <v>2197720.64</v>
      </c>
      <c r="F1195">
        <v>0</v>
      </c>
      <c r="G1195">
        <f>tblMoeHistory[[#This Row],[LEA State and Local Amount]]+tblMoeHistory[[#This Row],[ESD State and Local Amount]]</f>
        <v>2197720.64</v>
      </c>
      <c r="H1195">
        <v>0</v>
      </c>
      <c r="I1195" t="s">
        <v>241</v>
      </c>
      <c r="J1195" s="44">
        <f>IFERROR(tblMoeHistory[[#This Row],[LEA State and Local Amount]]/tblMoeHistory[[#This Row],[Child Count]],0)</f>
        <v>6599.7616816816817</v>
      </c>
      <c r="K1195">
        <f>IFERROR(tblMoeHistory[[#This Row],[ESD State and Local Amount]]/tblMoeHistory[[#This Row],[Child Count]],0)</f>
        <v>0</v>
      </c>
      <c r="L1195" s="1">
        <f>IFERROR(tblMoeHistory[[#This Row],[State and Local Total Amount]]/tblMoeHistory[[#This Row],[Child Count]],0)</f>
        <v>6599.7616816816817</v>
      </c>
      <c r="M1195">
        <v>357759.1</v>
      </c>
      <c r="N1195" t="s">
        <v>240</v>
      </c>
      <c r="O1195">
        <v>443759.89</v>
      </c>
      <c r="P1195">
        <v>3968.63</v>
      </c>
      <c r="Q1195">
        <f>tblMoeHistory[[#This Row],[Amount of IDEA Part B, Section 611 award]]+tblMoeHistory[[#This Row],[Amount of IDEA Part B, Section 619 award]]</f>
        <v>447728.52</v>
      </c>
      <c r="T1195">
        <v>0</v>
      </c>
      <c r="U11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5" t="str">
        <f>IF(OR(IFERROR(SEARCH("Met",tblMoeHistory[[#This Row],[State and Local Per Capita Result]]),0)&gt;0,IFERROR(SEARCH("Met",tblMoeHistory[[#This Row],[State and Local Total Result]]),0)&gt;0),"Met","Not Met")</f>
        <v>Met</v>
      </c>
    </row>
    <row r="1196" spans="1:22" x14ac:dyDescent="0.35">
      <c r="A1196" t="s">
        <v>32</v>
      </c>
      <c r="B1196">
        <v>1969</v>
      </c>
      <c r="C1196" t="s">
        <v>18</v>
      </c>
      <c r="D1196">
        <v>98</v>
      </c>
      <c r="E1196">
        <v>906428.26</v>
      </c>
      <c r="F1196">
        <v>299274.40999999997</v>
      </c>
      <c r="G1196">
        <f>tblMoeHistory[[#This Row],[LEA State and Local Amount]]+tblMoeHistory[[#This Row],[ESD State and Local Amount]]</f>
        <v>1205702.67</v>
      </c>
      <c r="H1196">
        <v>0</v>
      </c>
      <c r="I1196" t="s">
        <v>241</v>
      </c>
      <c r="J1196" s="44">
        <f>IFERROR(tblMoeHistory[[#This Row],[LEA State and Local Amount]]/tblMoeHistory[[#This Row],[Child Count]],0)</f>
        <v>9249.2679591836732</v>
      </c>
      <c r="K1196">
        <f>IFERROR(tblMoeHistory[[#This Row],[ESD State and Local Amount]]/tblMoeHistory[[#This Row],[Child Count]],0)</f>
        <v>3053.8205102040815</v>
      </c>
      <c r="L1196" s="1">
        <f>IFERROR(tblMoeHistory[[#This Row],[State and Local Total Amount]]/tblMoeHistory[[#This Row],[Child Count]],0)</f>
        <v>12303.088469387754</v>
      </c>
      <c r="M1196">
        <v>53343.64</v>
      </c>
      <c r="N1196" t="s">
        <v>240</v>
      </c>
      <c r="O1196">
        <v>142287.82999999999</v>
      </c>
      <c r="P1196">
        <v>762.45</v>
      </c>
      <c r="Q1196">
        <f>tblMoeHistory[[#This Row],[Amount of IDEA Part B, Section 611 award]]+tblMoeHistory[[#This Row],[Amount of IDEA Part B, Section 619 award]]</f>
        <v>143050.28</v>
      </c>
      <c r="T1196">
        <v>0</v>
      </c>
      <c r="U11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6" t="str">
        <f>IF(OR(IFERROR(SEARCH("Met",tblMoeHistory[[#This Row],[State and Local Per Capita Result]]),0)&gt;0,IFERROR(SEARCH("Met",tblMoeHistory[[#This Row],[State and Local Total Result]]),0)&gt;0),"Met","Not Met")</f>
        <v>Met</v>
      </c>
    </row>
    <row r="1197" spans="1:22" x14ac:dyDescent="0.35">
      <c r="A1197" t="s">
        <v>33</v>
      </c>
      <c r="B1197">
        <v>2240</v>
      </c>
      <c r="C1197" t="s">
        <v>18</v>
      </c>
      <c r="D1197">
        <v>176</v>
      </c>
      <c r="E1197">
        <v>1568155.34</v>
      </c>
      <c r="F1197">
        <v>284775</v>
      </c>
      <c r="G1197">
        <f>tblMoeHistory[[#This Row],[LEA State and Local Amount]]+tblMoeHistory[[#This Row],[ESD State and Local Amount]]</f>
        <v>1852930.34</v>
      </c>
      <c r="H1197">
        <v>0</v>
      </c>
      <c r="I1197" t="s">
        <v>241</v>
      </c>
      <c r="J1197" s="44">
        <f>IFERROR(tblMoeHistory[[#This Row],[LEA State and Local Amount]]/tblMoeHistory[[#This Row],[Child Count]],0)</f>
        <v>8909.973522727274</v>
      </c>
      <c r="K1197">
        <f>IFERROR(tblMoeHistory[[#This Row],[ESD State and Local Amount]]/tblMoeHistory[[#This Row],[Child Count]],0)</f>
        <v>1618.0397727272727</v>
      </c>
      <c r="L1197" s="1">
        <f>IFERROR(tblMoeHistory[[#This Row],[State and Local Total Amount]]/tblMoeHistory[[#This Row],[Child Count]],0)</f>
        <v>10528.013295454546</v>
      </c>
      <c r="M1197">
        <v>149645.51</v>
      </c>
      <c r="N1197" t="s">
        <v>240</v>
      </c>
      <c r="O1197">
        <v>171430.17</v>
      </c>
      <c r="P1197">
        <v>415.88</v>
      </c>
      <c r="Q1197">
        <f>tblMoeHistory[[#This Row],[Amount of IDEA Part B, Section 611 award]]+tblMoeHistory[[#This Row],[Amount of IDEA Part B, Section 619 award]]</f>
        <v>171846.05000000002</v>
      </c>
      <c r="T1197">
        <v>0</v>
      </c>
      <c r="U11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7" t="str">
        <f>IF(OR(IFERROR(SEARCH("Met",tblMoeHistory[[#This Row],[State and Local Per Capita Result]]),0)&gt;0,IFERROR(SEARCH("Met",tblMoeHistory[[#This Row],[State and Local Total Result]]),0)&gt;0),"Met","Not Met")</f>
        <v>Met</v>
      </c>
    </row>
    <row r="1198" spans="1:22" x14ac:dyDescent="0.35">
      <c r="A1198" t="s">
        <v>34</v>
      </c>
      <c r="B1198">
        <v>2243</v>
      </c>
      <c r="C1198" t="s">
        <v>18</v>
      </c>
      <c r="D1198">
        <v>4923</v>
      </c>
      <c r="E1198">
        <v>49655566.539999999</v>
      </c>
      <c r="F1198">
        <v>4234597</v>
      </c>
      <c r="G1198">
        <f>tblMoeHistory[[#This Row],[LEA State and Local Amount]]+tblMoeHistory[[#This Row],[ESD State and Local Amount]]</f>
        <v>53890163.539999999</v>
      </c>
      <c r="H1198">
        <v>0</v>
      </c>
      <c r="I1198" t="s">
        <v>241</v>
      </c>
      <c r="J1198" s="44">
        <f>IFERROR(tblMoeHistory[[#This Row],[LEA State and Local Amount]]/tblMoeHistory[[#This Row],[Child Count]],0)</f>
        <v>10086.444554133659</v>
      </c>
      <c r="K1198">
        <f>IFERROR(tblMoeHistory[[#This Row],[ESD State and Local Amount]]/tblMoeHistory[[#This Row],[Child Count]],0)</f>
        <v>860.16595571805806</v>
      </c>
      <c r="L1198" s="1">
        <f>IFERROR(tblMoeHistory[[#This Row],[State and Local Total Amount]]/tblMoeHistory[[#This Row],[Child Count]],0)</f>
        <v>10946.610509851716</v>
      </c>
      <c r="M1198">
        <v>0</v>
      </c>
      <c r="N1198" t="s">
        <v>241</v>
      </c>
      <c r="O1198">
        <v>6876494.1500000004</v>
      </c>
      <c r="P1198">
        <v>27003.919999999998</v>
      </c>
      <c r="Q1198">
        <f>tblMoeHistory[[#This Row],[Amount of IDEA Part B, Section 611 award]]+tblMoeHistory[[#This Row],[Amount of IDEA Part B, Section 619 award]]</f>
        <v>6903498.0700000003</v>
      </c>
      <c r="U11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8" t="str">
        <f>IF(OR(IFERROR(SEARCH("Met",tblMoeHistory[[#This Row],[State and Local Per Capita Result]]),0)&gt;0,IFERROR(SEARCH("Met",tblMoeHistory[[#This Row],[State and Local Total Result]]),0)&gt;0),"Met","Not Met")</f>
        <v>Met</v>
      </c>
    </row>
    <row r="1199" spans="1:22" x14ac:dyDescent="0.35">
      <c r="A1199" t="s">
        <v>35</v>
      </c>
      <c r="B1199">
        <v>1976</v>
      </c>
      <c r="C1199" t="s">
        <v>18</v>
      </c>
      <c r="D1199">
        <v>1926</v>
      </c>
      <c r="E1199">
        <v>19185156</v>
      </c>
      <c r="F1199">
        <v>2213704.13</v>
      </c>
      <c r="G1199">
        <f>tblMoeHistory[[#This Row],[LEA State and Local Amount]]+tblMoeHistory[[#This Row],[ESD State and Local Amount]]</f>
        <v>21398860.129999999</v>
      </c>
      <c r="H1199">
        <v>0</v>
      </c>
      <c r="I1199" t="s">
        <v>241</v>
      </c>
      <c r="J1199" s="44">
        <f>IFERROR(tblMoeHistory[[#This Row],[LEA State and Local Amount]]/tblMoeHistory[[#This Row],[Child Count]],0)</f>
        <v>9961.1401869158872</v>
      </c>
      <c r="K1199">
        <f>IFERROR(tblMoeHistory[[#This Row],[ESD State and Local Amount]]/tblMoeHistory[[#This Row],[Child Count]],0)</f>
        <v>1149.3790913811006</v>
      </c>
      <c r="L1199" s="1">
        <f>IFERROR(tblMoeHistory[[#This Row],[State and Local Total Amount]]/tblMoeHistory[[#This Row],[Child Count]],0)</f>
        <v>11110.519278296988</v>
      </c>
      <c r="M1199">
        <v>0</v>
      </c>
      <c r="N1199" t="s">
        <v>241</v>
      </c>
      <c r="O1199">
        <v>2648356.42</v>
      </c>
      <c r="P1199">
        <v>15189.89</v>
      </c>
      <c r="Q1199">
        <f>tblMoeHistory[[#This Row],[Amount of IDEA Part B, Section 611 award]]+tblMoeHistory[[#This Row],[Amount of IDEA Part B, Section 619 award]]</f>
        <v>2663546.31</v>
      </c>
      <c r="U11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9" t="str">
        <f>IF(OR(IFERROR(SEARCH("Met",tblMoeHistory[[#This Row],[State and Local Per Capita Result]]),0)&gt;0,IFERROR(SEARCH("Met",tblMoeHistory[[#This Row],[State and Local Total Result]]),0)&gt;0),"Met","Not Met")</f>
        <v>Met</v>
      </c>
    </row>
    <row r="1200" spans="1:22" x14ac:dyDescent="0.35">
      <c r="A1200" t="s">
        <v>36</v>
      </c>
      <c r="B1200">
        <v>2088</v>
      </c>
      <c r="C1200" t="s">
        <v>18</v>
      </c>
      <c r="D1200">
        <v>981</v>
      </c>
      <c r="E1200">
        <v>9256230.9299999997</v>
      </c>
      <c r="F1200">
        <v>1286208</v>
      </c>
      <c r="G1200">
        <f>tblMoeHistory[[#This Row],[LEA State and Local Amount]]+tblMoeHistory[[#This Row],[ESD State and Local Amount]]</f>
        <v>10542438.93</v>
      </c>
      <c r="H1200">
        <v>0</v>
      </c>
      <c r="I1200" t="s">
        <v>241</v>
      </c>
      <c r="J1200" s="44">
        <f>IFERROR(tblMoeHistory[[#This Row],[LEA State and Local Amount]]/tblMoeHistory[[#This Row],[Child Count]],0)</f>
        <v>9435.5055351681949</v>
      </c>
      <c r="K1200">
        <f>IFERROR(tblMoeHistory[[#This Row],[ESD State and Local Amount]]/tblMoeHistory[[#This Row],[Child Count]],0)</f>
        <v>1311.119266055046</v>
      </c>
      <c r="L1200" s="1">
        <f>IFERROR(tblMoeHistory[[#This Row],[State and Local Total Amount]]/tblMoeHistory[[#This Row],[Child Count]],0)</f>
        <v>10746.624801223241</v>
      </c>
      <c r="M1200">
        <v>0</v>
      </c>
      <c r="N1200" t="s">
        <v>241</v>
      </c>
      <c r="O1200">
        <v>983235.28</v>
      </c>
      <c r="P1200">
        <v>6602.62</v>
      </c>
      <c r="Q1200">
        <f>tblMoeHistory[[#This Row],[Amount of IDEA Part B, Section 611 award]]+tblMoeHistory[[#This Row],[Amount of IDEA Part B, Section 619 award]]</f>
        <v>989837.9</v>
      </c>
      <c r="U12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0" t="str">
        <f>IF(OR(IFERROR(SEARCH("Met",tblMoeHistory[[#This Row],[State and Local Per Capita Result]]),0)&gt;0,IFERROR(SEARCH("Met",tblMoeHistory[[#This Row],[State and Local Total Result]]),0)&gt;0),"Met","Not Met")</f>
        <v>Met</v>
      </c>
    </row>
    <row r="1201" spans="1:22" x14ac:dyDescent="0.35">
      <c r="A1201" t="s">
        <v>37</v>
      </c>
      <c r="B1201">
        <v>2095</v>
      </c>
      <c r="C1201" t="s">
        <v>18</v>
      </c>
      <c r="D1201">
        <v>41</v>
      </c>
      <c r="E1201">
        <v>332006.84000000003</v>
      </c>
      <c r="F1201">
        <v>37168</v>
      </c>
      <c r="G1201">
        <f>tblMoeHistory[[#This Row],[LEA State and Local Amount]]+tblMoeHistory[[#This Row],[ESD State and Local Amount]]</f>
        <v>369174.84</v>
      </c>
      <c r="H1201">
        <v>0</v>
      </c>
      <c r="I1201" t="s">
        <v>241</v>
      </c>
      <c r="J1201" s="44">
        <f>IFERROR(tblMoeHistory[[#This Row],[LEA State and Local Amount]]/tblMoeHistory[[#This Row],[Child Count]],0)</f>
        <v>8097.727804878049</v>
      </c>
      <c r="K1201">
        <f>IFERROR(tblMoeHistory[[#This Row],[ESD State and Local Amount]]/tblMoeHistory[[#This Row],[Child Count]],0)</f>
        <v>906.53658536585363</v>
      </c>
      <c r="L1201" s="1">
        <f>IFERROR(tblMoeHistory[[#This Row],[State and Local Total Amount]]/tblMoeHistory[[#This Row],[Child Count]],0)</f>
        <v>9004.2643902439031</v>
      </c>
      <c r="M1201">
        <v>21491.77</v>
      </c>
      <c r="N1201" t="s">
        <v>240</v>
      </c>
      <c r="O1201">
        <v>46443.48</v>
      </c>
      <c r="P1201">
        <v>485.19</v>
      </c>
      <c r="Q1201">
        <f>tblMoeHistory[[#This Row],[Amount of IDEA Part B, Section 611 award]]+tblMoeHistory[[#This Row],[Amount of IDEA Part B, Section 619 award]]</f>
        <v>46928.670000000006</v>
      </c>
      <c r="T1201">
        <v>0</v>
      </c>
      <c r="U12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1" t="str">
        <f>IF(OR(IFERROR(SEARCH("Met",tblMoeHistory[[#This Row],[State and Local Per Capita Result]]),0)&gt;0,IFERROR(SEARCH("Met",tblMoeHistory[[#This Row],[State and Local Total Result]]),0)&gt;0),"Met","Not Met")</f>
        <v>Met</v>
      </c>
    </row>
    <row r="1202" spans="1:22" x14ac:dyDescent="0.35">
      <c r="A1202" t="s">
        <v>38</v>
      </c>
      <c r="B1202">
        <v>2052</v>
      </c>
      <c r="C1202" t="s">
        <v>18</v>
      </c>
      <c r="D1202">
        <v>0</v>
      </c>
      <c r="E1202">
        <v>558.1</v>
      </c>
      <c r="F1202">
        <v>14608.72</v>
      </c>
      <c r="G1202">
        <f>tblMoeHistory[[#This Row],[LEA State and Local Amount]]+tblMoeHistory[[#This Row],[ESD State and Local Amount]]</f>
        <v>15166.82</v>
      </c>
      <c r="H1202">
        <v>1413.72</v>
      </c>
      <c r="I1202" t="s">
        <v>240</v>
      </c>
      <c r="J1202" s="44">
        <f>IFERROR(tblMoeHistory[[#This Row],[LEA State and Local Amount]]/tblMoeHistory[[#This Row],[Child Count]],0)</f>
        <v>0</v>
      </c>
      <c r="K1202">
        <f>IFERROR(tblMoeHistory[[#This Row],[ESD State and Local Amount]]/tblMoeHistory[[#This Row],[Child Count]],0)</f>
        <v>0</v>
      </c>
      <c r="L1202" s="1">
        <f>IFERROR(tblMoeHistory[[#This Row],[State and Local Total Amount]]/tblMoeHistory[[#This Row],[Child Count]],0)</f>
        <v>0</v>
      </c>
      <c r="M1202">
        <v>0</v>
      </c>
      <c r="N1202" t="s">
        <v>241</v>
      </c>
      <c r="O1202">
        <v>3295.78</v>
      </c>
      <c r="P1202">
        <v>0</v>
      </c>
      <c r="Q1202">
        <f>tblMoeHistory[[#This Row],[Amount of IDEA Part B, Section 611 award]]+tblMoeHistory[[#This Row],[Amount of IDEA Part B, Section 619 award]]</f>
        <v>3295.78</v>
      </c>
      <c r="S1202">
        <v>0</v>
      </c>
      <c r="U12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2" t="str">
        <f>IF(OR(IFERROR(SEARCH("Met",tblMoeHistory[[#This Row],[State and Local Per Capita Result]]),0)&gt;0,IFERROR(SEARCH("Met",tblMoeHistory[[#This Row],[State and Local Total Result]]),0)&gt;0),"Met","Not Met")</f>
        <v>Met</v>
      </c>
    </row>
    <row r="1203" spans="1:22" x14ac:dyDescent="0.35">
      <c r="A1203" t="s">
        <v>39</v>
      </c>
      <c r="B1203">
        <v>1974</v>
      </c>
      <c r="C1203" t="s">
        <v>18</v>
      </c>
      <c r="D1203">
        <v>240</v>
      </c>
      <c r="E1203">
        <v>1868298.17</v>
      </c>
      <c r="F1203">
        <v>154588.42000000001</v>
      </c>
      <c r="G1203">
        <f>tblMoeHistory[[#This Row],[LEA State and Local Amount]]+tblMoeHistory[[#This Row],[ESD State and Local Amount]]</f>
        <v>2022886.5899999999</v>
      </c>
      <c r="H1203">
        <v>0</v>
      </c>
      <c r="I1203" t="s">
        <v>241</v>
      </c>
      <c r="J1203" s="44">
        <f>IFERROR(tblMoeHistory[[#This Row],[LEA State and Local Amount]]/tblMoeHistory[[#This Row],[Child Count]],0)</f>
        <v>7784.5757083333328</v>
      </c>
      <c r="K1203">
        <f>IFERROR(tblMoeHistory[[#This Row],[ESD State and Local Amount]]/tblMoeHistory[[#This Row],[Child Count]],0)</f>
        <v>644.11841666666669</v>
      </c>
      <c r="L1203" s="1">
        <f>IFERROR(tblMoeHistory[[#This Row],[State and Local Total Amount]]/tblMoeHistory[[#This Row],[Child Count]],0)</f>
        <v>8428.694125</v>
      </c>
      <c r="M1203">
        <v>187140.76</v>
      </c>
      <c r="N1203" t="s">
        <v>240</v>
      </c>
      <c r="O1203">
        <v>289656.78999999998</v>
      </c>
      <c r="P1203">
        <v>3752.15</v>
      </c>
      <c r="Q1203">
        <f>tblMoeHistory[[#This Row],[Amount of IDEA Part B, Section 611 award]]+tblMoeHistory[[#This Row],[Amount of IDEA Part B, Section 619 award]]</f>
        <v>293408.94</v>
      </c>
      <c r="T1203">
        <v>342.6</v>
      </c>
      <c r="U12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3" t="str">
        <f>IF(OR(IFERROR(SEARCH("Met",tblMoeHistory[[#This Row],[State and Local Per Capita Result]]),0)&gt;0,IFERROR(SEARCH("Met",tblMoeHistory[[#This Row],[State and Local Total Result]]),0)&gt;0),"Met","Not Met")</f>
        <v>Met</v>
      </c>
    </row>
    <row r="1204" spans="1:22" x14ac:dyDescent="0.35">
      <c r="A1204" t="s">
        <v>40</v>
      </c>
      <c r="B1204">
        <v>1896</v>
      </c>
      <c r="C1204" t="s">
        <v>18</v>
      </c>
      <c r="D1204">
        <v>5</v>
      </c>
      <c r="E1204">
        <v>47555</v>
      </c>
      <c r="F1204">
        <v>13858.67</v>
      </c>
      <c r="G1204">
        <f>tblMoeHistory[[#This Row],[LEA State and Local Amount]]+tblMoeHistory[[#This Row],[ESD State and Local Amount]]</f>
        <v>61413.67</v>
      </c>
      <c r="H1204">
        <v>0</v>
      </c>
      <c r="I1204" t="s">
        <v>241</v>
      </c>
      <c r="J1204" s="44">
        <f>IFERROR(tblMoeHistory[[#This Row],[LEA State and Local Amount]]/tblMoeHistory[[#This Row],[Child Count]],0)</f>
        <v>9511</v>
      </c>
      <c r="K1204">
        <f>IFERROR(tblMoeHistory[[#This Row],[ESD State and Local Amount]]/tblMoeHistory[[#This Row],[Child Count]],0)</f>
        <v>2771.7339999999999</v>
      </c>
      <c r="L1204" s="1">
        <f>IFERROR(tblMoeHistory[[#This Row],[State and Local Total Amount]]/tblMoeHistory[[#This Row],[Child Count]],0)</f>
        <v>12282.734</v>
      </c>
      <c r="M1204">
        <v>244329.98</v>
      </c>
      <c r="N1204" t="s">
        <v>240</v>
      </c>
      <c r="O1204">
        <v>14024.05</v>
      </c>
      <c r="P1204">
        <v>0</v>
      </c>
      <c r="Q1204">
        <f>tblMoeHistory[[#This Row],[Amount of IDEA Part B, Section 611 award]]+tblMoeHistory[[#This Row],[Amount of IDEA Part B, Section 619 award]]</f>
        <v>14024.05</v>
      </c>
      <c r="T1204">
        <v>0</v>
      </c>
      <c r="U12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4" t="str">
        <f>IF(OR(IFERROR(SEARCH("Met",tblMoeHistory[[#This Row],[State and Local Per Capita Result]]),0)&gt;0,IFERROR(SEARCH("Met",tblMoeHistory[[#This Row],[State and Local Total Result]]),0)&gt;0),"Met","Not Met")</f>
        <v>Met</v>
      </c>
    </row>
    <row r="1205" spans="1:22" x14ac:dyDescent="0.35">
      <c r="A1205" t="s">
        <v>42</v>
      </c>
      <c r="B1205">
        <v>2046</v>
      </c>
      <c r="C1205" t="s">
        <v>18</v>
      </c>
      <c r="D1205">
        <v>37</v>
      </c>
      <c r="E1205">
        <v>262106.62</v>
      </c>
      <c r="F1205">
        <v>99349.99</v>
      </c>
      <c r="G1205">
        <f>tblMoeHistory[[#This Row],[LEA State and Local Amount]]+tblMoeHistory[[#This Row],[ESD State and Local Amount]]</f>
        <v>361456.61</v>
      </c>
      <c r="H1205">
        <v>0</v>
      </c>
      <c r="I1205" t="s">
        <v>241</v>
      </c>
      <c r="J1205" s="44">
        <f>IFERROR(tblMoeHistory[[#This Row],[LEA State and Local Amount]]/tblMoeHistory[[#This Row],[Child Count]],0)</f>
        <v>7083.9627027027027</v>
      </c>
      <c r="K1205">
        <f>IFERROR(tblMoeHistory[[#This Row],[ESD State and Local Amount]]/tblMoeHistory[[#This Row],[Child Count]],0)</f>
        <v>2685.134864864865</v>
      </c>
      <c r="L1205" s="1">
        <f>IFERROR(tblMoeHistory[[#This Row],[State and Local Total Amount]]/tblMoeHistory[[#This Row],[Child Count]],0)</f>
        <v>9769.0975675675672</v>
      </c>
      <c r="M1205">
        <v>0</v>
      </c>
      <c r="N1205" t="s">
        <v>241</v>
      </c>
      <c r="O1205">
        <v>26390.22</v>
      </c>
      <c r="P1205">
        <v>485.19</v>
      </c>
      <c r="Q1205">
        <f>tblMoeHistory[[#This Row],[Amount of IDEA Part B, Section 611 award]]+tblMoeHistory[[#This Row],[Amount of IDEA Part B, Section 619 award]]</f>
        <v>26875.41</v>
      </c>
      <c r="U12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5" t="str">
        <f>IF(OR(IFERROR(SEARCH("Met",tblMoeHistory[[#This Row],[State and Local Per Capita Result]]),0)&gt;0,IFERROR(SEARCH("Met",tblMoeHistory[[#This Row],[State and Local Total Result]]),0)&gt;0),"Met","Not Met")</f>
        <v>Met</v>
      </c>
    </row>
    <row r="1206" spans="1:22" x14ac:dyDescent="0.35">
      <c r="A1206" t="s">
        <v>43</v>
      </c>
      <c r="B1206">
        <v>1995</v>
      </c>
      <c r="C1206" t="s">
        <v>18</v>
      </c>
      <c r="D1206">
        <v>31</v>
      </c>
      <c r="E1206">
        <v>202038.62</v>
      </c>
      <c r="F1206">
        <v>42671.37</v>
      </c>
      <c r="G1206">
        <f>tblMoeHistory[[#This Row],[LEA State and Local Amount]]+tblMoeHistory[[#This Row],[ESD State and Local Amount]]</f>
        <v>244709.99</v>
      </c>
      <c r="H1206">
        <v>0</v>
      </c>
      <c r="I1206" t="s">
        <v>241</v>
      </c>
      <c r="J1206" s="44">
        <f>IFERROR(tblMoeHistory[[#This Row],[LEA State and Local Amount]]/tblMoeHistory[[#This Row],[Child Count]],0)</f>
        <v>6517.3748387096775</v>
      </c>
      <c r="K1206">
        <f>IFERROR(tblMoeHistory[[#This Row],[ESD State and Local Amount]]/tblMoeHistory[[#This Row],[Child Count]],0)</f>
        <v>1376.4958064516129</v>
      </c>
      <c r="L1206" s="1">
        <f>IFERROR(tblMoeHistory[[#This Row],[State and Local Total Amount]]/tblMoeHistory[[#This Row],[Child Count]],0)</f>
        <v>7893.8706451612898</v>
      </c>
      <c r="M1206">
        <v>0</v>
      </c>
      <c r="N1206" t="s">
        <v>242</v>
      </c>
      <c r="O1206">
        <v>43079.71</v>
      </c>
      <c r="P1206">
        <v>0</v>
      </c>
      <c r="Q1206">
        <f>tblMoeHistory[[#This Row],[Amount of IDEA Part B, Section 611 award]]+tblMoeHistory[[#This Row],[Amount of IDEA Part B, Section 619 award]]</f>
        <v>43079.71</v>
      </c>
      <c r="T1206">
        <v>2098.27</v>
      </c>
      <c r="U12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6" t="str">
        <f>IF(OR(IFERROR(SEARCH("Met",tblMoeHistory[[#This Row],[State and Local Per Capita Result]]),0)&gt;0,IFERROR(SEARCH("Met",tblMoeHistory[[#This Row],[State and Local Total Result]]),0)&gt;0),"Met","Not Met")</f>
        <v>Met</v>
      </c>
    </row>
    <row r="1207" spans="1:22" x14ac:dyDescent="0.35">
      <c r="A1207" t="s">
        <v>44</v>
      </c>
      <c r="B1207">
        <v>1929</v>
      </c>
      <c r="C1207" t="s">
        <v>18</v>
      </c>
      <c r="D1207">
        <v>545</v>
      </c>
      <c r="E1207">
        <v>5914041</v>
      </c>
      <c r="F1207">
        <v>590874</v>
      </c>
      <c r="G1207">
        <f>tblMoeHistory[[#This Row],[LEA State and Local Amount]]+tblMoeHistory[[#This Row],[ESD State and Local Amount]]</f>
        <v>6504915</v>
      </c>
      <c r="H1207">
        <v>0</v>
      </c>
      <c r="I1207" t="s">
        <v>241</v>
      </c>
      <c r="J1207" s="44">
        <f>IFERROR(tblMoeHistory[[#This Row],[LEA State and Local Amount]]/tblMoeHistory[[#This Row],[Child Count]],0)</f>
        <v>10851.45137614679</v>
      </c>
      <c r="K1207">
        <f>IFERROR(tblMoeHistory[[#This Row],[ESD State and Local Amount]]/tblMoeHistory[[#This Row],[Child Count]],0)</f>
        <v>1084.1724770642202</v>
      </c>
      <c r="L1207" s="1">
        <f>IFERROR(tblMoeHistory[[#This Row],[State and Local Total Amount]]/tblMoeHistory[[#This Row],[Child Count]],0)</f>
        <v>11935.623853211009</v>
      </c>
      <c r="M1207">
        <v>0</v>
      </c>
      <c r="N1207" t="s">
        <v>241</v>
      </c>
      <c r="O1207">
        <v>752894.12</v>
      </c>
      <c r="P1207">
        <v>3558.08</v>
      </c>
      <c r="Q1207">
        <f>tblMoeHistory[[#This Row],[Amount of IDEA Part B, Section 611 award]]+tblMoeHistory[[#This Row],[Amount of IDEA Part B, Section 619 award]]</f>
        <v>756452.2</v>
      </c>
      <c r="U12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7" t="str">
        <f>IF(OR(IFERROR(SEARCH("Met",tblMoeHistory[[#This Row],[State and Local Per Capita Result]]),0)&gt;0,IFERROR(SEARCH("Met",tblMoeHistory[[#This Row],[State and Local Total Result]]),0)&gt;0),"Met","Not Met")</f>
        <v>Met</v>
      </c>
    </row>
    <row r="1208" spans="1:22" x14ac:dyDescent="0.35">
      <c r="A1208" t="s">
        <v>45</v>
      </c>
      <c r="B1208">
        <v>2139</v>
      </c>
      <c r="C1208" t="s">
        <v>18</v>
      </c>
      <c r="D1208">
        <v>316</v>
      </c>
      <c r="E1208">
        <v>3302604.95</v>
      </c>
      <c r="F1208">
        <v>224758.24</v>
      </c>
      <c r="G1208">
        <f>tblMoeHistory[[#This Row],[LEA State and Local Amount]]+tblMoeHistory[[#This Row],[ESD State and Local Amount]]</f>
        <v>3527363.1900000004</v>
      </c>
      <c r="H1208">
        <v>0</v>
      </c>
      <c r="I1208" t="s">
        <v>241</v>
      </c>
      <c r="J1208" s="44">
        <f>IFERROR(tblMoeHistory[[#This Row],[LEA State and Local Amount]]/tblMoeHistory[[#This Row],[Child Count]],0)</f>
        <v>10451.281487341772</v>
      </c>
      <c r="K1208">
        <f>IFERROR(tblMoeHistory[[#This Row],[ESD State and Local Amount]]/tblMoeHistory[[#This Row],[Child Count]],0)</f>
        <v>711.26025316455696</v>
      </c>
      <c r="L1208" s="1">
        <f>IFERROR(tblMoeHistory[[#This Row],[State and Local Total Amount]]/tblMoeHistory[[#This Row],[Child Count]],0)</f>
        <v>11162.541740506331</v>
      </c>
      <c r="M1208">
        <v>0</v>
      </c>
      <c r="N1208" t="s">
        <v>241</v>
      </c>
      <c r="O1208">
        <v>395271.61</v>
      </c>
      <c r="P1208">
        <v>6010.13</v>
      </c>
      <c r="Q1208">
        <f>tblMoeHistory[[#This Row],[Amount of IDEA Part B, Section 611 award]]+tblMoeHistory[[#This Row],[Amount of IDEA Part B, Section 619 award]]</f>
        <v>401281.74</v>
      </c>
      <c r="U12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8" t="str">
        <f>IF(OR(IFERROR(SEARCH("Met",tblMoeHistory[[#This Row],[State and Local Per Capita Result]]),0)&gt;0,IFERROR(SEARCH("Met",tblMoeHistory[[#This Row],[State and Local Total Result]]),0)&gt;0),"Met","Not Met")</f>
        <v>Met</v>
      </c>
    </row>
    <row r="1209" spans="1:22" x14ac:dyDescent="0.35">
      <c r="A1209" t="s">
        <v>46</v>
      </c>
      <c r="B1209">
        <v>2185</v>
      </c>
      <c r="C1209" t="s">
        <v>18</v>
      </c>
      <c r="D1209">
        <v>878</v>
      </c>
      <c r="E1209">
        <v>9908871.3900000006</v>
      </c>
      <c r="F1209">
        <v>1782236.89</v>
      </c>
      <c r="G1209">
        <f>tblMoeHistory[[#This Row],[LEA State and Local Amount]]+tblMoeHistory[[#This Row],[ESD State and Local Amount]]</f>
        <v>11691108.280000001</v>
      </c>
      <c r="H1209">
        <v>0</v>
      </c>
      <c r="I1209" t="s">
        <v>241</v>
      </c>
      <c r="J1209" s="44">
        <f>IFERROR(tblMoeHistory[[#This Row],[LEA State and Local Amount]]/tblMoeHistory[[#This Row],[Child Count]],0)</f>
        <v>11285.730512528475</v>
      </c>
      <c r="K1209">
        <f>IFERROR(tblMoeHistory[[#This Row],[ESD State and Local Amount]]/tblMoeHistory[[#This Row],[Child Count]],0)</f>
        <v>2029.8825626423688</v>
      </c>
      <c r="L1209" s="1">
        <f>IFERROR(tblMoeHistory[[#This Row],[State and Local Total Amount]]/tblMoeHistory[[#This Row],[Child Count]],0)</f>
        <v>13315.613075170844</v>
      </c>
      <c r="M1209">
        <v>28684.880000000001</v>
      </c>
      <c r="N1209" t="s">
        <v>240</v>
      </c>
      <c r="O1209">
        <v>1013466.25</v>
      </c>
      <c r="P1209">
        <v>10427.719999999999</v>
      </c>
      <c r="Q1209">
        <f>tblMoeHistory[[#This Row],[Amount of IDEA Part B, Section 611 award]]+tblMoeHistory[[#This Row],[Amount of IDEA Part B, Section 619 award]]</f>
        <v>1023893.97</v>
      </c>
      <c r="T1209">
        <v>0</v>
      </c>
      <c r="U12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9" t="str">
        <f>IF(OR(IFERROR(SEARCH("Met",tblMoeHistory[[#This Row],[State and Local Per Capita Result]]),0)&gt;0,IFERROR(SEARCH("Met",tblMoeHistory[[#This Row],[State and Local Total Result]]),0)&gt;0),"Met","Not Met")</f>
        <v>Met</v>
      </c>
    </row>
    <row r="1210" spans="1:22" x14ac:dyDescent="0.35">
      <c r="A1210" t="s">
        <v>47</v>
      </c>
      <c r="B1210">
        <v>1972</v>
      </c>
      <c r="C1210" t="s">
        <v>18</v>
      </c>
      <c r="D1210">
        <v>51</v>
      </c>
      <c r="E1210">
        <v>425836.41</v>
      </c>
      <c r="F1210">
        <v>196721.36</v>
      </c>
      <c r="G1210">
        <f>tblMoeHistory[[#This Row],[LEA State and Local Amount]]+tblMoeHistory[[#This Row],[ESD State and Local Amount]]</f>
        <v>622557.77</v>
      </c>
      <c r="H1210">
        <v>0</v>
      </c>
      <c r="I1210" t="s">
        <v>241</v>
      </c>
      <c r="J1210" s="44">
        <f>IFERROR(tblMoeHistory[[#This Row],[LEA State and Local Amount]]/tblMoeHistory[[#This Row],[Child Count]],0)</f>
        <v>8349.7335294117638</v>
      </c>
      <c r="K1210">
        <f>IFERROR(tblMoeHistory[[#This Row],[ESD State and Local Amount]]/tblMoeHistory[[#This Row],[Child Count]],0)</f>
        <v>3857.2815686274507</v>
      </c>
      <c r="L1210" s="1">
        <f>IFERROR(tblMoeHistory[[#This Row],[State and Local Total Amount]]/tblMoeHistory[[#This Row],[Child Count]],0)</f>
        <v>12207.015098039215</v>
      </c>
      <c r="M1210">
        <v>0</v>
      </c>
      <c r="N1210" t="s">
        <v>241</v>
      </c>
      <c r="O1210">
        <v>106216.82</v>
      </c>
      <c r="P1210">
        <v>776.31</v>
      </c>
      <c r="Q1210">
        <f>tblMoeHistory[[#This Row],[Amount of IDEA Part B, Section 611 award]]+tblMoeHistory[[#This Row],[Amount of IDEA Part B, Section 619 award]]</f>
        <v>106993.13</v>
      </c>
      <c r="U12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0" t="str">
        <f>IF(OR(IFERROR(SEARCH("Met",tblMoeHistory[[#This Row],[State and Local Per Capita Result]]),0)&gt;0,IFERROR(SEARCH("Met",tblMoeHistory[[#This Row],[State and Local Total Result]]),0)&gt;0),"Met","Not Met")</f>
        <v>Met</v>
      </c>
    </row>
    <row r="1211" spans="1:22" x14ac:dyDescent="0.35">
      <c r="A1211" t="s">
        <v>48</v>
      </c>
      <c r="B1211">
        <v>2105</v>
      </c>
      <c r="C1211" t="s">
        <v>18</v>
      </c>
      <c r="D1211">
        <v>103</v>
      </c>
      <c r="E1211">
        <v>653088.23</v>
      </c>
      <c r="F1211">
        <v>88640</v>
      </c>
      <c r="G1211">
        <f>tblMoeHistory[[#This Row],[LEA State and Local Amount]]+tblMoeHistory[[#This Row],[ESD State and Local Amount]]</f>
        <v>741728.23</v>
      </c>
      <c r="H1211">
        <v>232.3</v>
      </c>
      <c r="I1211" t="s">
        <v>240</v>
      </c>
      <c r="J1211" s="44">
        <f>IFERROR(tblMoeHistory[[#This Row],[LEA State and Local Amount]]/tblMoeHistory[[#This Row],[Child Count]],0)</f>
        <v>6340.6624271844657</v>
      </c>
      <c r="K1211">
        <f>IFERROR(tblMoeHistory[[#This Row],[ESD State and Local Amount]]/tblMoeHistory[[#This Row],[Child Count]],0)</f>
        <v>860.5825242718447</v>
      </c>
      <c r="L1211" s="1">
        <f>IFERROR(tblMoeHistory[[#This Row],[State and Local Total Amount]]/tblMoeHistory[[#This Row],[Child Count]],0)</f>
        <v>7201.2449514563104</v>
      </c>
      <c r="M1211">
        <v>107404.38</v>
      </c>
      <c r="N1211" t="s">
        <v>240</v>
      </c>
      <c r="O1211">
        <v>106298.76</v>
      </c>
      <c r="P1211">
        <v>431.28</v>
      </c>
      <c r="Q1211">
        <f>tblMoeHistory[[#This Row],[Amount of IDEA Part B, Section 611 award]]+tblMoeHistory[[#This Row],[Amount of IDEA Part B, Section 619 award]]</f>
        <v>106730.04</v>
      </c>
      <c r="S1211">
        <v>55096.72</v>
      </c>
      <c r="T1211">
        <v>612.19000000000005</v>
      </c>
      <c r="U12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232.3</v>
      </c>
      <c r="V1211" t="str">
        <f>IF(OR(IFERROR(SEARCH("Met",tblMoeHistory[[#This Row],[State and Local Per Capita Result]]),0)&gt;0,IFERROR(SEARCH("Met",tblMoeHistory[[#This Row],[State and Local Total Result]]),0)&gt;0),"Met","Not Met")</f>
        <v>Not Met</v>
      </c>
    </row>
    <row r="1212" spans="1:22" x14ac:dyDescent="0.35">
      <c r="A1212" t="s">
        <v>49</v>
      </c>
      <c r="B1212">
        <v>2042</v>
      </c>
      <c r="C1212" t="s">
        <v>18</v>
      </c>
      <c r="D1212">
        <v>680</v>
      </c>
      <c r="E1212">
        <v>3278479.3599999999</v>
      </c>
      <c r="F1212">
        <v>1212329.8700000001</v>
      </c>
      <c r="G1212">
        <f>tblMoeHistory[[#This Row],[LEA State and Local Amount]]+tblMoeHistory[[#This Row],[ESD State and Local Amount]]</f>
        <v>4490809.2300000004</v>
      </c>
      <c r="H1212">
        <v>0</v>
      </c>
      <c r="I1212" t="s">
        <v>241</v>
      </c>
      <c r="J1212" s="44">
        <f>IFERROR(tblMoeHistory[[#This Row],[LEA State and Local Amount]]/tblMoeHistory[[#This Row],[Child Count]],0)</f>
        <v>4821.2931764705882</v>
      </c>
      <c r="K1212">
        <f>IFERROR(tblMoeHistory[[#This Row],[ESD State and Local Amount]]/tblMoeHistory[[#This Row],[Child Count]],0)</f>
        <v>1782.8380441176473</v>
      </c>
      <c r="L1212" s="1">
        <f>IFERROR(tblMoeHistory[[#This Row],[State and Local Total Amount]]/tblMoeHistory[[#This Row],[Child Count]],0)</f>
        <v>6604.1312205882359</v>
      </c>
      <c r="M1212">
        <v>468161.64</v>
      </c>
      <c r="N1212" t="s">
        <v>240</v>
      </c>
      <c r="O1212">
        <v>695381.8</v>
      </c>
      <c r="P1212">
        <v>8719.4</v>
      </c>
      <c r="Q1212">
        <f>tblMoeHistory[[#This Row],[Amount of IDEA Part B, Section 611 award]]+tblMoeHistory[[#This Row],[Amount of IDEA Part B, Section 619 award]]</f>
        <v>704101.20000000007</v>
      </c>
      <c r="T1212">
        <v>0</v>
      </c>
      <c r="U12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2" t="str">
        <f>IF(OR(IFERROR(SEARCH("Met",tblMoeHistory[[#This Row],[State and Local Per Capita Result]]),0)&gt;0,IFERROR(SEARCH("Met",tblMoeHistory[[#This Row],[State and Local Total Result]]),0)&gt;0),"Met","Not Met")</f>
        <v>Met</v>
      </c>
    </row>
    <row r="1213" spans="1:22" x14ac:dyDescent="0.35">
      <c r="A1213" t="s">
        <v>50</v>
      </c>
      <c r="B1213">
        <v>2191</v>
      </c>
      <c r="C1213" t="s">
        <v>18</v>
      </c>
      <c r="D1213">
        <v>383</v>
      </c>
      <c r="E1213">
        <v>5508407.54</v>
      </c>
      <c r="F1213">
        <v>538181.17000000004</v>
      </c>
      <c r="G1213">
        <f>tblMoeHistory[[#This Row],[LEA State and Local Amount]]+tblMoeHistory[[#This Row],[ESD State and Local Amount]]</f>
        <v>6046588.71</v>
      </c>
      <c r="H1213">
        <v>0</v>
      </c>
      <c r="I1213" t="s">
        <v>241</v>
      </c>
      <c r="J1213" s="44">
        <f>IFERROR(tblMoeHistory[[#This Row],[LEA State and Local Amount]]/tblMoeHistory[[#This Row],[Child Count]],0)</f>
        <v>14382.265117493473</v>
      </c>
      <c r="K1213">
        <f>IFERROR(tblMoeHistory[[#This Row],[ESD State and Local Amount]]/tblMoeHistory[[#This Row],[Child Count]],0)</f>
        <v>1405.1727676240209</v>
      </c>
      <c r="L1213" s="1">
        <f>IFERROR(tblMoeHistory[[#This Row],[State and Local Total Amount]]/tblMoeHistory[[#This Row],[Child Count]],0)</f>
        <v>15787.437885117493</v>
      </c>
      <c r="M1213">
        <v>0</v>
      </c>
      <c r="N1213" t="s">
        <v>241</v>
      </c>
      <c r="O1213">
        <v>433145.89</v>
      </c>
      <c r="P1213">
        <v>3424.89</v>
      </c>
      <c r="Q1213">
        <f>tblMoeHistory[[#This Row],[Amount of IDEA Part B, Section 611 award]]+tblMoeHistory[[#This Row],[Amount of IDEA Part B, Section 619 award]]</f>
        <v>436570.78</v>
      </c>
      <c r="U12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3" t="str">
        <f>IF(OR(IFERROR(SEARCH("Met",tblMoeHistory[[#This Row],[State and Local Per Capita Result]]),0)&gt;0,IFERROR(SEARCH("Met",tblMoeHistory[[#This Row],[State and Local Total Result]]),0)&gt;0),"Met","Not Met")</f>
        <v>Met</v>
      </c>
    </row>
    <row r="1214" spans="1:22" x14ac:dyDescent="0.35">
      <c r="A1214" t="s">
        <v>51</v>
      </c>
      <c r="B1214">
        <v>1945</v>
      </c>
      <c r="C1214" t="s">
        <v>18</v>
      </c>
      <c r="D1214">
        <v>128</v>
      </c>
      <c r="E1214">
        <v>1267560.22</v>
      </c>
      <c r="F1214">
        <v>193968</v>
      </c>
      <c r="G1214">
        <f>tblMoeHistory[[#This Row],[LEA State and Local Amount]]+tblMoeHistory[[#This Row],[ESD State and Local Amount]]</f>
        <v>1461528.22</v>
      </c>
      <c r="H1214">
        <v>0</v>
      </c>
      <c r="I1214" t="s">
        <v>241</v>
      </c>
      <c r="J1214" s="44">
        <f>IFERROR(tblMoeHistory[[#This Row],[LEA State and Local Amount]]/tblMoeHistory[[#This Row],[Child Count]],0)</f>
        <v>9902.8142187499998</v>
      </c>
      <c r="K1214">
        <f>IFERROR(tblMoeHistory[[#This Row],[ESD State and Local Amount]]/tblMoeHistory[[#This Row],[Child Count]],0)</f>
        <v>1515.375</v>
      </c>
      <c r="L1214" s="1">
        <f>IFERROR(tblMoeHistory[[#This Row],[State and Local Total Amount]]/tblMoeHistory[[#This Row],[Child Count]],0)</f>
        <v>11418.18921875</v>
      </c>
      <c r="M1214">
        <v>5713.6</v>
      </c>
      <c r="N1214" t="s">
        <v>240</v>
      </c>
      <c r="O1214">
        <v>129054.36</v>
      </c>
      <c r="P1214">
        <v>2587.69</v>
      </c>
      <c r="Q1214">
        <f>tblMoeHistory[[#This Row],[Amount of IDEA Part B, Section 611 award]]+tblMoeHistory[[#This Row],[Amount of IDEA Part B, Section 619 award]]</f>
        <v>131642.04999999999</v>
      </c>
      <c r="T1214">
        <v>0</v>
      </c>
      <c r="U12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4" t="str">
        <f>IF(OR(IFERROR(SEARCH("Met",tblMoeHistory[[#This Row],[State and Local Per Capita Result]]),0)&gt;0,IFERROR(SEARCH("Met",tblMoeHistory[[#This Row],[State and Local Total Result]]),0)&gt;0),"Met","Not Met")</f>
        <v>Met</v>
      </c>
    </row>
    <row r="1215" spans="1:22" x14ac:dyDescent="0.35">
      <c r="A1215" t="s">
        <v>52</v>
      </c>
      <c r="B1215">
        <v>1927</v>
      </c>
      <c r="C1215" t="s">
        <v>18</v>
      </c>
      <c r="D1215">
        <v>98</v>
      </c>
      <c r="E1215">
        <v>894301.96</v>
      </c>
      <c r="F1215">
        <v>86232</v>
      </c>
      <c r="G1215">
        <f>tblMoeHistory[[#This Row],[LEA State and Local Amount]]+tblMoeHistory[[#This Row],[ESD State and Local Amount]]</f>
        <v>980533.96</v>
      </c>
      <c r="H1215">
        <v>0</v>
      </c>
      <c r="I1215" t="s">
        <v>242</v>
      </c>
      <c r="J1215" s="44">
        <f>IFERROR(tblMoeHistory[[#This Row],[LEA State and Local Amount]]/tblMoeHistory[[#This Row],[Child Count]],0)</f>
        <v>9125.5302040816314</v>
      </c>
      <c r="K1215">
        <f>IFERROR(tblMoeHistory[[#This Row],[ESD State and Local Amount]]/tblMoeHistory[[#This Row],[Child Count]],0)</f>
        <v>879.91836734693879</v>
      </c>
      <c r="L1215" s="1">
        <f>IFERROR(tblMoeHistory[[#This Row],[State and Local Total Amount]]/tblMoeHistory[[#This Row],[Child Count]],0)</f>
        <v>10005.448571428571</v>
      </c>
      <c r="M1215">
        <v>90206.7</v>
      </c>
      <c r="N1215" t="s">
        <v>240</v>
      </c>
      <c r="O1215">
        <v>110374.74</v>
      </c>
      <c r="P1215">
        <v>533.71</v>
      </c>
      <c r="Q1215">
        <f>tblMoeHistory[[#This Row],[Amount of IDEA Part B, Section 611 award]]+tblMoeHistory[[#This Row],[Amount of IDEA Part B, Section 619 award]]</f>
        <v>110908.45000000001</v>
      </c>
      <c r="S1215">
        <v>265084.25</v>
      </c>
      <c r="T1215">
        <v>3082.38</v>
      </c>
      <c r="U12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5" t="str">
        <f>IF(OR(IFERROR(SEARCH("Met",tblMoeHistory[[#This Row],[State and Local Per Capita Result]]),0)&gt;0,IFERROR(SEARCH("Met",tblMoeHistory[[#This Row],[State and Local Total Result]]),0)&gt;0),"Met","Not Met")</f>
        <v>Met</v>
      </c>
    </row>
    <row r="1216" spans="1:22" x14ac:dyDescent="0.35">
      <c r="A1216" t="s">
        <v>53</v>
      </c>
      <c r="B1216">
        <v>2006</v>
      </c>
      <c r="C1216" t="s">
        <v>18</v>
      </c>
      <c r="D1216">
        <v>17</v>
      </c>
      <c r="E1216">
        <v>10553.33</v>
      </c>
      <c r="F1216">
        <v>109553</v>
      </c>
      <c r="G1216">
        <f>tblMoeHistory[[#This Row],[LEA State and Local Amount]]+tblMoeHistory[[#This Row],[ESD State and Local Amount]]</f>
        <v>120106.33</v>
      </c>
      <c r="H1216">
        <v>0</v>
      </c>
      <c r="I1216" t="s">
        <v>241</v>
      </c>
      <c r="J1216" s="44">
        <f>IFERROR(tblMoeHistory[[#This Row],[LEA State and Local Amount]]/tblMoeHistory[[#This Row],[Child Count]],0)</f>
        <v>620.78411764705879</v>
      </c>
      <c r="K1216">
        <f>IFERROR(tblMoeHistory[[#This Row],[ESD State and Local Amount]]/tblMoeHistory[[#This Row],[Child Count]],0)</f>
        <v>6444.2941176470586</v>
      </c>
      <c r="L1216" s="1">
        <f>IFERROR(tblMoeHistory[[#This Row],[State and Local Total Amount]]/tblMoeHistory[[#This Row],[Child Count]],0)</f>
        <v>7065.0782352941178</v>
      </c>
      <c r="M1216">
        <v>0</v>
      </c>
      <c r="N1216" t="s">
        <v>241</v>
      </c>
      <c r="O1216">
        <v>22070.21</v>
      </c>
      <c r="P1216">
        <v>0</v>
      </c>
      <c r="Q1216">
        <f>tblMoeHistory[[#This Row],[Amount of IDEA Part B, Section 611 award]]+tblMoeHistory[[#This Row],[Amount of IDEA Part B, Section 619 award]]</f>
        <v>22070.21</v>
      </c>
      <c r="U12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6" t="str">
        <f>IF(OR(IFERROR(SEARCH("Met",tblMoeHistory[[#This Row],[State and Local Per Capita Result]]),0)&gt;0,IFERROR(SEARCH("Met",tblMoeHistory[[#This Row],[State and Local Total Result]]),0)&gt;0),"Met","Not Met")</f>
        <v>Met</v>
      </c>
    </row>
    <row r="1217" spans="1:22" x14ac:dyDescent="0.35">
      <c r="A1217" t="s">
        <v>54</v>
      </c>
      <c r="B1217">
        <v>1965</v>
      </c>
      <c r="C1217" t="s">
        <v>18</v>
      </c>
      <c r="D1217">
        <v>511</v>
      </c>
      <c r="E1217">
        <v>4030768.44</v>
      </c>
      <c r="F1217">
        <v>1365866.25</v>
      </c>
      <c r="G1217">
        <f>tblMoeHistory[[#This Row],[LEA State and Local Amount]]+tblMoeHistory[[#This Row],[ESD State and Local Amount]]</f>
        <v>5396634.6899999995</v>
      </c>
      <c r="H1217">
        <v>0</v>
      </c>
      <c r="I1217" t="s">
        <v>241</v>
      </c>
      <c r="J1217" s="44">
        <f>IFERROR(tblMoeHistory[[#This Row],[LEA State and Local Amount]]/tblMoeHistory[[#This Row],[Child Count]],0)</f>
        <v>7888.0008610567511</v>
      </c>
      <c r="K1217">
        <f>IFERROR(tblMoeHistory[[#This Row],[ESD State and Local Amount]]/tblMoeHistory[[#This Row],[Child Count]],0)</f>
        <v>2672.928082191781</v>
      </c>
      <c r="L1217" s="1">
        <f>IFERROR(tblMoeHistory[[#This Row],[State and Local Total Amount]]/tblMoeHistory[[#This Row],[Child Count]],0)</f>
        <v>10560.928943248531</v>
      </c>
      <c r="M1217">
        <v>652347.97</v>
      </c>
      <c r="N1217" t="s">
        <v>240</v>
      </c>
      <c r="O1217">
        <v>671915.07</v>
      </c>
      <c r="P1217">
        <v>8625.64</v>
      </c>
      <c r="Q1217">
        <f>tblMoeHistory[[#This Row],[Amount of IDEA Part B, Section 611 award]]+tblMoeHistory[[#This Row],[Amount of IDEA Part B, Section 619 award]]</f>
        <v>680540.71</v>
      </c>
      <c r="T1217">
        <v>0</v>
      </c>
      <c r="U12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7" t="str">
        <f>IF(OR(IFERROR(SEARCH("Met",tblMoeHistory[[#This Row],[State and Local Per Capita Result]]),0)&gt;0,IFERROR(SEARCH("Met",tblMoeHistory[[#This Row],[State and Local Total Result]]),0)&gt;0),"Met","Not Met")</f>
        <v>Met</v>
      </c>
    </row>
    <row r="1218" spans="1:22" x14ac:dyDescent="0.35">
      <c r="A1218" t="s">
        <v>55</v>
      </c>
      <c r="B1218">
        <v>1964</v>
      </c>
      <c r="C1218" t="s">
        <v>18</v>
      </c>
      <c r="D1218">
        <v>102</v>
      </c>
      <c r="E1218">
        <v>940442.93</v>
      </c>
      <c r="F1218">
        <v>172354.5</v>
      </c>
      <c r="G1218">
        <f>tblMoeHistory[[#This Row],[LEA State and Local Amount]]+tblMoeHistory[[#This Row],[ESD State and Local Amount]]</f>
        <v>1112797.4300000002</v>
      </c>
      <c r="H1218">
        <v>0</v>
      </c>
      <c r="I1218" t="s">
        <v>241</v>
      </c>
      <c r="J1218" s="44">
        <f>IFERROR(tblMoeHistory[[#This Row],[LEA State and Local Amount]]/tblMoeHistory[[#This Row],[Child Count]],0)</f>
        <v>9220.0287254901959</v>
      </c>
      <c r="K1218">
        <f>IFERROR(tblMoeHistory[[#This Row],[ESD State and Local Amount]]/tblMoeHistory[[#This Row],[Child Count]],0)</f>
        <v>1689.75</v>
      </c>
      <c r="L1218" s="1">
        <f>IFERROR(tblMoeHistory[[#This Row],[State and Local Total Amount]]/tblMoeHistory[[#This Row],[Child Count]],0)</f>
        <v>10909.778725490198</v>
      </c>
      <c r="M1218">
        <v>93370.6</v>
      </c>
      <c r="N1218" t="s">
        <v>240</v>
      </c>
      <c r="O1218">
        <v>162902.76999999999</v>
      </c>
      <c r="P1218">
        <v>1637.52</v>
      </c>
      <c r="Q1218">
        <f>tblMoeHistory[[#This Row],[Amount of IDEA Part B, Section 611 award]]+tblMoeHistory[[#This Row],[Amount of IDEA Part B, Section 619 award]]</f>
        <v>164540.28999999998</v>
      </c>
      <c r="T1218">
        <v>0</v>
      </c>
      <c r="U12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8" t="str">
        <f>IF(OR(IFERROR(SEARCH("Met",tblMoeHistory[[#This Row],[State and Local Per Capita Result]]),0)&gt;0,IFERROR(SEARCH("Met",tblMoeHistory[[#This Row],[State and Local Total Result]]),0)&gt;0),"Met","Not Met")</f>
        <v>Met</v>
      </c>
    </row>
    <row r="1219" spans="1:22" x14ac:dyDescent="0.35">
      <c r="A1219" t="s">
        <v>56</v>
      </c>
      <c r="B1219">
        <v>2186</v>
      </c>
      <c r="C1219" t="s">
        <v>18</v>
      </c>
      <c r="D1219">
        <v>141</v>
      </c>
      <c r="E1219">
        <v>580748.11</v>
      </c>
      <c r="F1219">
        <v>379970.03</v>
      </c>
      <c r="G1219">
        <f>tblMoeHistory[[#This Row],[LEA State and Local Amount]]+tblMoeHistory[[#This Row],[ESD State and Local Amount]]</f>
        <v>960718.14</v>
      </c>
      <c r="H1219">
        <v>0</v>
      </c>
      <c r="I1219" t="s">
        <v>241</v>
      </c>
      <c r="J1219" s="44">
        <f>IFERROR(tblMoeHistory[[#This Row],[LEA State and Local Amount]]/tblMoeHistory[[#This Row],[Child Count]],0)</f>
        <v>4118.7809219858154</v>
      </c>
      <c r="K1219">
        <f>IFERROR(tblMoeHistory[[#This Row],[ESD State and Local Amount]]/tblMoeHistory[[#This Row],[Child Count]],0)</f>
        <v>2694.8229078014188</v>
      </c>
      <c r="L1219" s="1">
        <f>IFERROR(tblMoeHistory[[#This Row],[State and Local Total Amount]]/tblMoeHistory[[#This Row],[Child Count]],0)</f>
        <v>6813.6038297872337</v>
      </c>
      <c r="M1219">
        <v>1128542.31</v>
      </c>
      <c r="N1219" t="s">
        <v>240</v>
      </c>
      <c r="O1219">
        <v>153551.03</v>
      </c>
      <c r="P1219">
        <v>1698.17</v>
      </c>
      <c r="Q1219">
        <f>tblMoeHistory[[#This Row],[Amount of IDEA Part B, Section 611 award]]+tblMoeHistory[[#This Row],[Amount of IDEA Part B, Section 619 award]]</f>
        <v>155249.20000000001</v>
      </c>
      <c r="T1219">
        <v>0</v>
      </c>
      <c r="U12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9" t="str">
        <f>IF(OR(IFERROR(SEARCH("Met",tblMoeHistory[[#This Row],[State and Local Per Capita Result]]),0)&gt;0,IFERROR(SEARCH("Met",tblMoeHistory[[#This Row],[State and Local Total Result]]),0)&gt;0),"Met","Not Met")</f>
        <v>Met</v>
      </c>
    </row>
    <row r="1220" spans="1:22" x14ac:dyDescent="0.35">
      <c r="A1220" t="s">
        <v>58</v>
      </c>
      <c r="B1220">
        <v>1901</v>
      </c>
      <c r="C1220" t="s">
        <v>18</v>
      </c>
      <c r="D1220">
        <v>694</v>
      </c>
      <c r="E1220">
        <v>7685879.3099999996</v>
      </c>
      <c r="F1220">
        <v>836674</v>
      </c>
      <c r="G1220">
        <f>tblMoeHistory[[#This Row],[LEA State and Local Amount]]+tblMoeHistory[[#This Row],[ESD State and Local Amount]]</f>
        <v>8522553.3099999987</v>
      </c>
      <c r="H1220">
        <v>0</v>
      </c>
      <c r="I1220" t="s">
        <v>241</v>
      </c>
      <c r="J1220" s="44">
        <f>IFERROR(tblMoeHistory[[#This Row],[LEA State and Local Amount]]/tblMoeHistory[[#This Row],[Child Count]],0)</f>
        <v>11074.754048991354</v>
      </c>
      <c r="K1220">
        <f>IFERROR(tblMoeHistory[[#This Row],[ESD State and Local Amount]]/tblMoeHistory[[#This Row],[Child Count]],0)</f>
        <v>1205.5821325648415</v>
      </c>
      <c r="L1220" s="1">
        <f>IFERROR(tblMoeHistory[[#This Row],[State and Local Total Amount]]/tblMoeHistory[[#This Row],[Child Count]],0)</f>
        <v>12280.336181556195</v>
      </c>
      <c r="M1220">
        <v>0</v>
      </c>
      <c r="N1220" t="s">
        <v>241</v>
      </c>
      <c r="O1220">
        <v>1004471.35</v>
      </c>
      <c r="P1220">
        <v>7364.97</v>
      </c>
      <c r="Q1220">
        <f>tblMoeHistory[[#This Row],[Amount of IDEA Part B, Section 611 award]]+tblMoeHistory[[#This Row],[Amount of IDEA Part B, Section 619 award]]</f>
        <v>1011836.32</v>
      </c>
      <c r="U12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0" t="str">
        <f>IF(OR(IFERROR(SEARCH("Met",tblMoeHistory[[#This Row],[State and Local Per Capita Result]]),0)&gt;0,IFERROR(SEARCH("Met",tblMoeHistory[[#This Row],[State and Local Total Result]]),0)&gt;0),"Met","Not Met")</f>
        <v>Met</v>
      </c>
    </row>
    <row r="1221" spans="1:22" x14ac:dyDescent="0.35">
      <c r="A1221" t="s">
        <v>59</v>
      </c>
      <c r="B1221">
        <v>2216</v>
      </c>
      <c r="C1221" t="s">
        <v>18</v>
      </c>
      <c r="D1221">
        <v>25</v>
      </c>
      <c r="E1221">
        <v>128162.52</v>
      </c>
      <c r="F1221">
        <v>51764.29</v>
      </c>
      <c r="G1221">
        <f>tblMoeHistory[[#This Row],[LEA State and Local Amount]]+tblMoeHistory[[#This Row],[ESD State and Local Amount]]</f>
        <v>179926.81</v>
      </c>
      <c r="H1221">
        <v>336.68</v>
      </c>
      <c r="I1221" t="s">
        <v>240</v>
      </c>
      <c r="J1221" s="44">
        <f>IFERROR(tblMoeHistory[[#This Row],[LEA State and Local Amount]]/tblMoeHistory[[#This Row],[Child Count]],0)</f>
        <v>5126.5007999999998</v>
      </c>
      <c r="K1221">
        <f>IFERROR(tblMoeHistory[[#This Row],[ESD State and Local Amount]]/tblMoeHistory[[#This Row],[Child Count]],0)</f>
        <v>2070.5716000000002</v>
      </c>
      <c r="L1221" s="1">
        <f>IFERROR(tblMoeHistory[[#This Row],[State and Local Total Amount]]/tblMoeHistory[[#This Row],[Child Count]],0)</f>
        <v>7197.0724</v>
      </c>
      <c r="M1221">
        <v>0</v>
      </c>
      <c r="N1221" t="s">
        <v>242</v>
      </c>
      <c r="O1221">
        <v>41374.550000000003</v>
      </c>
      <c r="P1221">
        <v>0</v>
      </c>
      <c r="Q1221">
        <f>tblMoeHistory[[#This Row],[Amount of IDEA Part B, Section 611 award]]+tblMoeHistory[[#This Row],[Amount of IDEA Part B, Section 619 award]]</f>
        <v>41374.550000000003</v>
      </c>
      <c r="S1221">
        <v>21631.62</v>
      </c>
      <c r="T1221">
        <v>772.56</v>
      </c>
      <c r="U12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1" t="str">
        <f>IF(OR(IFERROR(SEARCH("Met",tblMoeHistory[[#This Row],[State and Local Per Capita Result]]),0)&gt;0,IFERROR(SEARCH("Met",tblMoeHistory[[#This Row],[State and Local Total Result]]),0)&gt;0),"Met","Not Met")</f>
        <v>Met</v>
      </c>
    </row>
    <row r="1222" spans="1:22" x14ac:dyDescent="0.35">
      <c r="A1222" t="s">
        <v>60</v>
      </c>
      <c r="B1222">
        <v>2086</v>
      </c>
      <c r="C1222" t="s">
        <v>18</v>
      </c>
      <c r="D1222">
        <v>242</v>
      </c>
      <c r="E1222">
        <v>2548999.56</v>
      </c>
      <c r="F1222">
        <v>491342</v>
      </c>
      <c r="G1222">
        <f>tblMoeHistory[[#This Row],[LEA State and Local Amount]]+tblMoeHistory[[#This Row],[ESD State and Local Amount]]</f>
        <v>3040341.56</v>
      </c>
      <c r="H1222">
        <v>0</v>
      </c>
      <c r="I1222" t="s">
        <v>241</v>
      </c>
      <c r="J1222" s="44">
        <f>IFERROR(tblMoeHistory[[#This Row],[LEA State and Local Amount]]/tblMoeHistory[[#This Row],[Child Count]],0)</f>
        <v>10533.056033057852</v>
      </c>
      <c r="K1222">
        <f>IFERROR(tblMoeHistory[[#This Row],[ESD State and Local Amount]]/tblMoeHistory[[#This Row],[Child Count]],0)</f>
        <v>2030.3388429752067</v>
      </c>
      <c r="L1222" s="1">
        <f>IFERROR(tblMoeHistory[[#This Row],[State and Local Total Amount]]/tblMoeHistory[[#This Row],[Child Count]],0)</f>
        <v>12563.394876033059</v>
      </c>
      <c r="M1222">
        <v>15427.78</v>
      </c>
      <c r="N1222" t="s">
        <v>240</v>
      </c>
      <c r="O1222">
        <v>263697.18</v>
      </c>
      <c r="P1222">
        <v>2624.45</v>
      </c>
      <c r="Q1222">
        <f>tblMoeHistory[[#This Row],[Amount of IDEA Part B, Section 611 award]]+tblMoeHistory[[#This Row],[Amount of IDEA Part B, Section 619 award]]</f>
        <v>266321.63</v>
      </c>
      <c r="T1222">
        <v>0</v>
      </c>
      <c r="U12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2" t="str">
        <f>IF(OR(IFERROR(SEARCH("Met",tblMoeHistory[[#This Row],[State and Local Per Capita Result]]),0)&gt;0,IFERROR(SEARCH("Met",tblMoeHistory[[#This Row],[State and Local Total Result]]),0)&gt;0),"Met","Not Met")</f>
        <v>Met</v>
      </c>
    </row>
    <row r="1223" spans="1:22" x14ac:dyDescent="0.35">
      <c r="A1223" t="s">
        <v>61</v>
      </c>
      <c r="B1223">
        <v>1970</v>
      </c>
      <c r="C1223" t="s">
        <v>18</v>
      </c>
      <c r="D1223">
        <v>410</v>
      </c>
      <c r="E1223">
        <v>3751015.85</v>
      </c>
      <c r="F1223">
        <v>247351.28</v>
      </c>
      <c r="G1223">
        <f>tblMoeHistory[[#This Row],[LEA State and Local Amount]]+tblMoeHistory[[#This Row],[ESD State and Local Amount]]</f>
        <v>3998367.13</v>
      </c>
      <c r="H1223">
        <v>0</v>
      </c>
      <c r="I1223" t="s">
        <v>241</v>
      </c>
      <c r="J1223" s="44">
        <f>IFERROR(tblMoeHistory[[#This Row],[LEA State and Local Amount]]/tblMoeHistory[[#This Row],[Child Count]],0)</f>
        <v>9148.8191463414641</v>
      </c>
      <c r="K1223">
        <f>IFERROR(tblMoeHistory[[#This Row],[ESD State and Local Amount]]/tblMoeHistory[[#This Row],[Child Count]],0)</f>
        <v>603.29580487804878</v>
      </c>
      <c r="L1223" s="1">
        <f>IFERROR(tblMoeHistory[[#This Row],[State and Local Total Amount]]/tblMoeHistory[[#This Row],[Child Count]],0)</f>
        <v>9752.1149512195116</v>
      </c>
      <c r="M1223">
        <v>0</v>
      </c>
      <c r="N1223" t="s">
        <v>241</v>
      </c>
      <c r="O1223">
        <v>528323.77</v>
      </c>
      <c r="P1223">
        <v>5528.94</v>
      </c>
      <c r="Q1223">
        <f>tblMoeHistory[[#This Row],[Amount of IDEA Part B, Section 611 award]]+tblMoeHistory[[#This Row],[Amount of IDEA Part B, Section 619 award]]</f>
        <v>533852.71</v>
      </c>
      <c r="U12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3" t="str">
        <f>IF(OR(IFERROR(SEARCH("Met",tblMoeHistory[[#This Row],[State and Local Per Capita Result]]),0)&gt;0,IFERROR(SEARCH("Met",tblMoeHistory[[#This Row],[State and Local Total Result]]),0)&gt;0),"Met","Not Met")</f>
        <v>Met</v>
      </c>
    </row>
    <row r="1224" spans="1:22" x14ac:dyDescent="0.35">
      <c r="A1224" t="s">
        <v>62</v>
      </c>
      <c r="B1224">
        <v>2089</v>
      </c>
      <c r="C1224" t="s">
        <v>18</v>
      </c>
      <c r="D1224">
        <v>56</v>
      </c>
      <c r="E1224">
        <v>525207.67000000004</v>
      </c>
      <c r="F1224">
        <v>119456</v>
      </c>
      <c r="G1224">
        <f>tblMoeHistory[[#This Row],[LEA State and Local Amount]]+tblMoeHistory[[#This Row],[ESD State and Local Amount]]</f>
        <v>644663.67000000004</v>
      </c>
      <c r="H1224">
        <v>0</v>
      </c>
      <c r="I1224" t="s">
        <v>241</v>
      </c>
      <c r="J1224" s="44">
        <f>IFERROR(tblMoeHistory[[#This Row],[LEA State and Local Amount]]/tblMoeHistory[[#This Row],[Child Count]],0)</f>
        <v>9378.7083928571428</v>
      </c>
      <c r="K1224">
        <f>IFERROR(tblMoeHistory[[#This Row],[ESD State and Local Amount]]/tblMoeHistory[[#This Row],[Child Count]],0)</f>
        <v>2133.1428571428573</v>
      </c>
      <c r="L1224" s="1">
        <f>IFERROR(tblMoeHistory[[#This Row],[State and Local Total Amount]]/tblMoeHistory[[#This Row],[Child Count]],0)</f>
        <v>11511.851250000002</v>
      </c>
      <c r="M1224">
        <v>0</v>
      </c>
      <c r="N1224" t="s">
        <v>241</v>
      </c>
      <c r="O1224">
        <v>62888.58</v>
      </c>
      <c r="P1224">
        <v>0</v>
      </c>
      <c r="Q1224">
        <f>tblMoeHistory[[#This Row],[Amount of IDEA Part B, Section 611 award]]+tblMoeHistory[[#This Row],[Amount of IDEA Part B, Section 619 award]]</f>
        <v>62888.58</v>
      </c>
      <c r="U12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4" t="str">
        <f>IF(OR(IFERROR(SEARCH("Met",tblMoeHistory[[#This Row],[State and Local Per Capita Result]]),0)&gt;0,IFERROR(SEARCH("Met",tblMoeHistory[[#This Row],[State and Local Total Result]]),0)&gt;0),"Met","Not Met")</f>
        <v>Met</v>
      </c>
    </row>
    <row r="1225" spans="1:22" x14ac:dyDescent="0.35">
      <c r="A1225" t="s">
        <v>63</v>
      </c>
      <c r="B1225">
        <v>2050</v>
      </c>
      <c r="C1225" t="s">
        <v>18</v>
      </c>
      <c r="D1225">
        <v>85</v>
      </c>
      <c r="E1225">
        <v>661817.43999999994</v>
      </c>
      <c r="F1225">
        <v>226137.48</v>
      </c>
      <c r="G1225">
        <f>tblMoeHistory[[#This Row],[LEA State and Local Amount]]+tblMoeHistory[[#This Row],[ESD State and Local Amount]]</f>
        <v>887954.91999999993</v>
      </c>
      <c r="H1225">
        <v>33188.26</v>
      </c>
      <c r="I1225" t="s">
        <v>240</v>
      </c>
      <c r="J1225" s="44">
        <f>IFERROR(tblMoeHistory[[#This Row],[LEA State and Local Amount]]/tblMoeHistory[[#This Row],[Child Count]],0)</f>
        <v>7786.0875294117641</v>
      </c>
      <c r="K1225">
        <f>IFERROR(tblMoeHistory[[#This Row],[ESD State and Local Amount]]/tblMoeHistory[[#This Row],[Child Count]],0)</f>
        <v>2660.4409411764709</v>
      </c>
      <c r="L1225" s="1">
        <f>IFERROR(tblMoeHistory[[#This Row],[State and Local Total Amount]]/tblMoeHistory[[#This Row],[Child Count]],0)</f>
        <v>10446.528470588235</v>
      </c>
      <c r="M1225">
        <v>12012.56</v>
      </c>
      <c r="N1225" t="s">
        <v>240</v>
      </c>
      <c r="O1225">
        <v>113353.49</v>
      </c>
      <c r="P1225">
        <v>485.19</v>
      </c>
      <c r="Q1225">
        <f>tblMoeHistory[[#This Row],[Amount of IDEA Part B, Section 611 award]]+tblMoeHistory[[#This Row],[Amount of IDEA Part B, Section 619 award]]</f>
        <v>113838.68000000001</v>
      </c>
      <c r="S1225">
        <v>21673.96</v>
      </c>
      <c r="T1225">
        <v>249.13</v>
      </c>
      <c r="U12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12012.56</v>
      </c>
      <c r="V1225" t="str">
        <f>IF(OR(IFERROR(SEARCH("Met",tblMoeHistory[[#This Row],[State and Local Per Capita Result]]),0)&gt;0,IFERROR(SEARCH("Met",tblMoeHistory[[#This Row],[State and Local Total Result]]),0)&gt;0),"Met","Not Met")</f>
        <v>Not Met</v>
      </c>
    </row>
    <row r="1226" spans="1:22" x14ac:dyDescent="0.35">
      <c r="A1226" t="s">
        <v>64</v>
      </c>
      <c r="B1226">
        <v>2190</v>
      </c>
      <c r="C1226" t="s">
        <v>18</v>
      </c>
      <c r="D1226">
        <v>485</v>
      </c>
      <c r="E1226">
        <v>4265257.47</v>
      </c>
      <c r="F1226">
        <v>296717.25</v>
      </c>
      <c r="G1226">
        <f>tblMoeHistory[[#This Row],[LEA State and Local Amount]]+tblMoeHistory[[#This Row],[ESD State and Local Amount]]</f>
        <v>4561974.72</v>
      </c>
      <c r="H1226">
        <v>0</v>
      </c>
      <c r="I1226" t="s">
        <v>241</v>
      </c>
      <c r="J1226" s="44">
        <f>IFERROR(tblMoeHistory[[#This Row],[LEA State and Local Amount]]/tblMoeHistory[[#This Row],[Child Count]],0)</f>
        <v>8794.3452989690722</v>
      </c>
      <c r="K1226">
        <f>IFERROR(tblMoeHistory[[#This Row],[ESD State and Local Amount]]/tblMoeHistory[[#This Row],[Child Count]],0)</f>
        <v>611.78814432989691</v>
      </c>
      <c r="L1226" s="1">
        <f>IFERROR(tblMoeHistory[[#This Row],[State and Local Total Amount]]/tblMoeHistory[[#This Row],[Child Count]],0)</f>
        <v>9406.1334432989679</v>
      </c>
      <c r="M1226">
        <v>0</v>
      </c>
      <c r="N1226" t="s">
        <v>241</v>
      </c>
      <c r="O1226">
        <v>495794.14</v>
      </c>
      <c r="P1226">
        <v>6499.32</v>
      </c>
      <c r="Q1226">
        <f>tblMoeHistory[[#This Row],[Amount of IDEA Part B, Section 611 award]]+tblMoeHistory[[#This Row],[Amount of IDEA Part B, Section 619 award]]</f>
        <v>502293.46</v>
      </c>
      <c r="U12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6" t="str">
        <f>IF(OR(IFERROR(SEARCH("Met",tblMoeHistory[[#This Row],[State and Local Per Capita Result]]),0)&gt;0,IFERROR(SEARCH("Met",tblMoeHistory[[#This Row],[State and Local Total Result]]),0)&gt;0),"Met","Not Met")</f>
        <v>Met</v>
      </c>
    </row>
    <row r="1227" spans="1:22" x14ac:dyDescent="0.35">
      <c r="A1227" t="s">
        <v>65</v>
      </c>
      <c r="B1227">
        <v>2187</v>
      </c>
      <c r="C1227" t="s">
        <v>18</v>
      </c>
      <c r="D1227">
        <v>1260</v>
      </c>
      <c r="E1227">
        <v>13216777.26</v>
      </c>
      <c r="F1227">
        <v>1549189.93</v>
      </c>
      <c r="G1227">
        <f>tblMoeHistory[[#This Row],[LEA State and Local Amount]]+tblMoeHistory[[#This Row],[ESD State and Local Amount]]</f>
        <v>14765967.189999999</v>
      </c>
      <c r="H1227">
        <v>0</v>
      </c>
      <c r="I1227" t="s">
        <v>241</v>
      </c>
      <c r="J1227" s="44">
        <f>IFERROR(tblMoeHistory[[#This Row],[LEA State and Local Amount]]/tblMoeHistory[[#This Row],[Child Count]],0)</f>
        <v>10489.505761904762</v>
      </c>
      <c r="K1227">
        <f>IFERROR(tblMoeHistory[[#This Row],[ESD State and Local Amount]]/tblMoeHistory[[#This Row],[Child Count]],0)</f>
        <v>1229.5158174603175</v>
      </c>
      <c r="L1227" s="1">
        <f>IFERROR(tblMoeHistory[[#This Row],[State and Local Total Amount]]/tblMoeHistory[[#This Row],[Child Count]],0)</f>
        <v>11719.021579365079</v>
      </c>
      <c r="M1227">
        <v>0</v>
      </c>
      <c r="N1227" t="s">
        <v>241</v>
      </c>
      <c r="O1227">
        <v>1603262.98</v>
      </c>
      <c r="P1227">
        <v>9739.23</v>
      </c>
      <c r="Q1227">
        <f>tblMoeHistory[[#This Row],[Amount of IDEA Part B, Section 611 award]]+tblMoeHistory[[#This Row],[Amount of IDEA Part B, Section 619 award]]</f>
        <v>1613002.21</v>
      </c>
      <c r="U12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7" t="str">
        <f>IF(OR(IFERROR(SEARCH("Met",tblMoeHistory[[#This Row],[State and Local Per Capita Result]]),0)&gt;0,IFERROR(SEARCH("Met",tblMoeHistory[[#This Row],[State and Local Total Result]]),0)&gt;0),"Met","Not Met")</f>
        <v>Met</v>
      </c>
    </row>
    <row r="1228" spans="1:22" x14ac:dyDescent="0.35">
      <c r="A1228" t="s">
        <v>66</v>
      </c>
      <c r="B1228">
        <v>2253</v>
      </c>
      <c r="C1228" t="s">
        <v>18</v>
      </c>
      <c r="D1228">
        <v>132</v>
      </c>
      <c r="E1228">
        <v>939115.14</v>
      </c>
      <c r="F1228">
        <v>56891.83</v>
      </c>
      <c r="G1228">
        <f>tblMoeHistory[[#This Row],[LEA State and Local Amount]]+tblMoeHistory[[#This Row],[ESD State and Local Amount]]</f>
        <v>996006.97</v>
      </c>
      <c r="H1228">
        <v>0</v>
      </c>
      <c r="I1228" t="s">
        <v>241</v>
      </c>
      <c r="J1228" s="44">
        <f>IFERROR(tblMoeHistory[[#This Row],[LEA State and Local Amount]]/tblMoeHistory[[#This Row],[Child Count]],0)</f>
        <v>7114.5086363636365</v>
      </c>
      <c r="K1228">
        <f>IFERROR(tblMoeHistory[[#This Row],[ESD State and Local Amount]]/tblMoeHistory[[#This Row],[Child Count]],0)</f>
        <v>430.99871212121212</v>
      </c>
      <c r="L1228" s="1">
        <f>IFERROR(tblMoeHistory[[#This Row],[State and Local Total Amount]]/tblMoeHistory[[#This Row],[Child Count]],0)</f>
        <v>7545.5073484848481</v>
      </c>
      <c r="M1228">
        <v>5911.55</v>
      </c>
      <c r="N1228" t="s">
        <v>240</v>
      </c>
      <c r="O1228">
        <v>150229.57999999999</v>
      </c>
      <c r="P1228">
        <v>1247.6400000000001</v>
      </c>
      <c r="Q1228">
        <f>tblMoeHistory[[#This Row],[Amount of IDEA Part B, Section 611 award]]+tblMoeHistory[[#This Row],[Amount of IDEA Part B, Section 619 award]]</f>
        <v>151477.22</v>
      </c>
      <c r="T1228">
        <v>399.78</v>
      </c>
      <c r="U12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8" t="str">
        <f>IF(OR(IFERROR(SEARCH("Met",tblMoeHistory[[#This Row],[State and Local Per Capita Result]]),0)&gt;0,IFERROR(SEARCH("Met",tblMoeHistory[[#This Row],[State and Local Total Result]]),0)&gt;0),"Met","Not Met")</f>
        <v>Met</v>
      </c>
    </row>
    <row r="1229" spans="1:22" x14ac:dyDescent="0.35">
      <c r="A1229" t="s">
        <v>67</v>
      </c>
      <c r="B1229">
        <v>2011</v>
      </c>
      <c r="C1229" t="s">
        <v>18</v>
      </c>
      <c r="D1229">
        <v>3</v>
      </c>
      <c r="E1229">
        <v>2445.12</v>
      </c>
      <c r="F1229">
        <v>81627.960000000006</v>
      </c>
      <c r="G1229">
        <f>tblMoeHistory[[#This Row],[LEA State and Local Amount]]+tblMoeHistory[[#This Row],[ESD State and Local Amount]]</f>
        <v>84073.08</v>
      </c>
      <c r="H1229">
        <v>0</v>
      </c>
      <c r="I1229" t="s">
        <v>241</v>
      </c>
      <c r="J1229" s="44">
        <f>IFERROR(tblMoeHistory[[#This Row],[LEA State and Local Amount]]/tblMoeHistory[[#This Row],[Child Count]],0)</f>
        <v>815.04</v>
      </c>
      <c r="K1229">
        <f>IFERROR(tblMoeHistory[[#This Row],[ESD State and Local Amount]]/tblMoeHistory[[#This Row],[Child Count]],0)</f>
        <v>27209.320000000003</v>
      </c>
      <c r="L1229" s="1">
        <f>IFERROR(tblMoeHistory[[#This Row],[State and Local Total Amount]]/tblMoeHistory[[#This Row],[Child Count]],0)</f>
        <v>28024.36</v>
      </c>
      <c r="M1229">
        <v>0</v>
      </c>
      <c r="N1229" t="s">
        <v>241</v>
      </c>
      <c r="O1229">
        <v>7924.65</v>
      </c>
      <c r="P1229">
        <v>1940.77</v>
      </c>
      <c r="Q1229">
        <f>tblMoeHistory[[#This Row],[Amount of IDEA Part B, Section 611 award]]+tblMoeHistory[[#This Row],[Amount of IDEA Part B, Section 619 award]]</f>
        <v>9865.42</v>
      </c>
      <c r="U12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9" t="str">
        <f>IF(OR(IFERROR(SEARCH("Met",tblMoeHistory[[#This Row],[State and Local Per Capita Result]]),0)&gt;0,IFERROR(SEARCH("Met",tblMoeHistory[[#This Row],[State and Local Total Result]]),0)&gt;0),"Met","Not Met")</f>
        <v>Met</v>
      </c>
    </row>
    <row r="1230" spans="1:22" x14ac:dyDescent="0.35">
      <c r="A1230" t="s">
        <v>68</v>
      </c>
      <c r="B1230">
        <v>2017</v>
      </c>
      <c r="C1230" t="s">
        <v>18</v>
      </c>
      <c r="D1230">
        <v>0</v>
      </c>
      <c r="E1230">
        <v>0</v>
      </c>
      <c r="F1230">
        <v>3045</v>
      </c>
      <c r="G1230">
        <f>tblMoeHistory[[#This Row],[LEA State and Local Amount]]+tblMoeHistory[[#This Row],[ESD State and Local Amount]]</f>
        <v>3045</v>
      </c>
      <c r="H1230">
        <v>3146</v>
      </c>
      <c r="I1230" t="s">
        <v>240</v>
      </c>
      <c r="J1230" s="44">
        <f>IFERROR(tblMoeHistory[[#This Row],[LEA State and Local Amount]]/tblMoeHistory[[#This Row],[Child Count]],0)</f>
        <v>0</v>
      </c>
      <c r="K1230">
        <f>IFERROR(tblMoeHistory[[#This Row],[ESD State and Local Amount]]/tblMoeHistory[[#This Row],[Child Count]],0)</f>
        <v>0</v>
      </c>
      <c r="L1230" s="1">
        <f>IFERROR(tblMoeHistory[[#This Row],[State and Local Total Amount]]/tblMoeHistory[[#This Row],[Child Count]],0)</f>
        <v>0</v>
      </c>
      <c r="M1230">
        <v>0</v>
      </c>
      <c r="N1230" t="s">
        <v>241</v>
      </c>
      <c r="O1230">
        <v>0</v>
      </c>
      <c r="P1230">
        <v>0</v>
      </c>
      <c r="Q1230">
        <f>tblMoeHistory[[#This Row],[Amount of IDEA Part B, Section 611 award]]+tblMoeHistory[[#This Row],[Amount of IDEA Part B, Section 619 award]]</f>
        <v>0</v>
      </c>
      <c r="S1230">
        <v>0</v>
      </c>
      <c r="U12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0" t="str">
        <f>IF(OR(IFERROR(SEARCH("Met",tblMoeHistory[[#This Row],[State and Local Per Capita Result]]),0)&gt;0,IFERROR(SEARCH("Met",tblMoeHistory[[#This Row],[State and Local Total Result]]),0)&gt;0),"Met","Not Met")</f>
        <v>Met</v>
      </c>
    </row>
    <row r="1231" spans="1:22" x14ac:dyDescent="0.35">
      <c r="A1231" t="s">
        <v>69</v>
      </c>
      <c r="B1231">
        <v>2021</v>
      </c>
      <c r="C1231" t="s">
        <v>18</v>
      </c>
      <c r="D1231">
        <v>0</v>
      </c>
      <c r="E1231">
        <v>2378.41</v>
      </c>
      <c r="F1231">
        <v>3045</v>
      </c>
      <c r="G1231">
        <f>tblMoeHistory[[#This Row],[LEA State and Local Amount]]+tblMoeHistory[[#This Row],[ESD State and Local Amount]]</f>
        <v>5423.41</v>
      </c>
      <c r="H1231">
        <v>0</v>
      </c>
      <c r="I1231" t="s">
        <v>241</v>
      </c>
      <c r="J1231" s="44">
        <f>IFERROR(tblMoeHistory[[#This Row],[LEA State and Local Amount]]/tblMoeHistory[[#This Row],[Child Count]],0)</f>
        <v>0</v>
      </c>
      <c r="K1231">
        <f>IFERROR(tblMoeHistory[[#This Row],[ESD State and Local Amount]]/tblMoeHistory[[#This Row],[Child Count]],0)</f>
        <v>0</v>
      </c>
      <c r="L1231" s="1">
        <f>IFERROR(tblMoeHistory[[#This Row],[State and Local Total Amount]]/tblMoeHistory[[#This Row],[Child Count]],0)</f>
        <v>0</v>
      </c>
      <c r="M1231">
        <v>0</v>
      </c>
      <c r="N1231" t="s">
        <v>241</v>
      </c>
      <c r="O1231">
        <v>0</v>
      </c>
      <c r="P1231">
        <v>0</v>
      </c>
      <c r="Q1231">
        <f>tblMoeHistory[[#This Row],[Amount of IDEA Part B, Section 611 award]]+tblMoeHistory[[#This Row],[Amount of IDEA Part B, Section 619 award]]</f>
        <v>0</v>
      </c>
      <c r="U12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1" t="str">
        <f>IF(OR(IFERROR(SEARCH("Met",tblMoeHistory[[#This Row],[State and Local Per Capita Result]]),0)&gt;0,IFERROR(SEARCH("Met",tblMoeHistory[[#This Row],[State and Local Total Result]]),0)&gt;0),"Met","Not Met")</f>
        <v>Met</v>
      </c>
    </row>
    <row r="1232" spans="1:22" x14ac:dyDescent="0.35">
      <c r="A1232" t="s">
        <v>70</v>
      </c>
      <c r="B1232">
        <v>1993</v>
      </c>
      <c r="C1232" t="s">
        <v>18</v>
      </c>
      <c r="D1232">
        <v>21</v>
      </c>
      <c r="E1232">
        <v>159902.84</v>
      </c>
      <c r="F1232">
        <v>35556.85</v>
      </c>
      <c r="G1232">
        <f>tblMoeHistory[[#This Row],[LEA State and Local Amount]]+tblMoeHistory[[#This Row],[ESD State and Local Amount]]</f>
        <v>195459.69</v>
      </c>
      <c r="H1232">
        <v>0</v>
      </c>
      <c r="I1232" t="s">
        <v>241</v>
      </c>
      <c r="J1232" s="44">
        <f>IFERROR(tblMoeHistory[[#This Row],[LEA State and Local Amount]]/tblMoeHistory[[#This Row],[Child Count]],0)</f>
        <v>7614.4209523809523</v>
      </c>
      <c r="K1232">
        <f>IFERROR(tblMoeHistory[[#This Row],[ESD State and Local Amount]]/tblMoeHistory[[#This Row],[Child Count]],0)</f>
        <v>1693.1833333333332</v>
      </c>
      <c r="L1232" s="1">
        <f>IFERROR(tblMoeHistory[[#This Row],[State and Local Total Amount]]/tblMoeHistory[[#This Row],[Child Count]],0)</f>
        <v>9307.6042857142857</v>
      </c>
      <c r="M1232">
        <v>0</v>
      </c>
      <c r="N1232" t="s">
        <v>241</v>
      </c>
      <c r="O1232">
        <v>32793.360000000001</v>
      </c>
      <c r="P1232">
        <v>727.79</v>
      </c>
      <c r="Q1232">
        <f>tblMoeHistory[[#This Row],[Amount of IDEA Part B, Section 611 award]]+tblMoeHistory[[#This Row],[Amount of IDEA Part B, Section 619 award]]</f>
        <v>33521.15</v>
      </c>
      <c r="U12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2" t="str">
        <f>IF(OR(IFERROR(SEARCH("Met",tblMoeHistory[[#This Row],[State and Local Per Capita Result]]),0)&gt;0,IFERROR(SEARCH("Met",tblMoeHistory[[#This Row],[State and Local Total Result]]),0)&gt;0),"Met","Not Met")</f>
        <v>Met</v>
      </c>
    </row>
    <row r="1233" spans="1:22" x14ac:dyDescent="0.35">
      <c r="A1233" t="s">
        <v>71</v>
      </c>
      <c r="B1233">
        <v>1991</v>
      </c>
      <c r="C1233" t="s">
        <v>18</v>
      </c>
      <c r="D1233">
        <v>650</v>
      </c>
      <c r="E1233">
        <v>5583344.6399999997</v>
      </c>
      <c r="F1233">
        <v>1547682.52</v>
      </c>
      <c r="G1233">
        <f>tblMoeHistory[[#This Row],[LEA State and Local Amount]]+tblMoeHistory[[#This Row],[ESD State and Local Amount]]</f>
        <v>7131027.1600000001</v>
      </c>
      <c r="H1233">
        <v>0</v>
      </c>
      <c r="I1233" t="s">
        <v>241</v>
      </c>
      <c r="J1233" s="44">
        <f>IFERROR(tblMoeHistory[[#This Row],[LEA State and Local Amount]]/tblMoeHistory[[#This Row],[Child Count]],0)</f>
        <v>8589.7609846153846</v>
      </c>
      <c r="K1233">
        <f>IFERROR(tblMoeHistory[[#This Row],[ESD State and Local Amount]]/tblMoeHistory[[#This Row],[Child Count]],0)</f>
        <v>2381.0500307692309</v>
      </c>
      <c r="L1233" s="1">
        <f>IFERROR(tblMoeHistory[[#This Row],[State and Local Total Amount]]/tblMoeHistory[[#This Row],[Child Count]],0)</f>
        <v>10970.811015384616</v>
      </c>
      <c r="M1233">
        <v>246935.57</v>
      </c>
      <c r="N1233" t="s">
        <v>240</v>
      </c>
      <c r="O1233">
        <v>936653.45</v>
      </c>
      <c r="P1233">
        <v>10806.56</v>
      </c>
      <c r="Q1233">
        <f>tblMoeHistory[[#This Row],[Amount of IDEA Part B, Section 611 award]]+tblMoeHistory[[#This Row],[Amount of IDEA Part B, Section 619 award]]</f>
        <v>947460.01</v>
      </c>
      <c r="T1233">
        <v>0</v>
      </c>
      <c r="U12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3" t="str">
        <f>IF(OR(IFERROR(SEARCH("Met",tblMoeHistory[[#This Row],[State and Local Per Capita Result]]),0)&gt;0,IFERROR(SEARCH("Met",tblMoeHistory[[#This Row],[State and Local Total Result]]),0)&gt;0),"Met","Not Met")</f>
        <v>Met</v>
      </c>
    </row>
    <row r="1234" spans="1:22" x14ac:dyDescent="0.35">
      <c r="A1234" t="s">
        <v>72</v>
      </c>
      <c r="B1234">
        <v>2019</v>
      </c>
      <c r="C1234" t="s">
        <v>18</v>
      </c>
      <c r="D1234">
        <v>1</v>
      </c>
      <c r="E1234">
        <v>5952.18</v>
      </c>
      <c r="F1234">
        <v>3045</v>
      </c>
      <c r="G1234">
        <f>tblMoeHistory[[#This Row],[LEA State and Local Amount]]+tblMoeHistory[[#This Row],[ESD State and Local Amount]]</f>
        <v>8997.18</v>
      </c>
      <c r="H1234">
        <v>310.54000000000002</v>
      </c>
      <c r="I1234" t="s">
        <v>240</v>
      </c>
      <c r="J1234" s="44">
        <f>IFERROR(tblMoeHistory[[#This Row],[LEA State and Local Amount]]/tblMoeHistory[[#This Row],[Child Count]],0)</f>
        <v>5952.18</v>
      </c>
      <c r="K1234">
        <f>IFERROR(tblMoeHistory[[#This Row],[ESD State and Local Amount]]/tblMoeHistory[[#This Row],[Child Count]],0)</f>
        <v>3045</v>
      </c>
      <c r="L1234" s="1">
        <f>IFERROR(tblMoeHistory[[#This Row],[State and Local Total Amount]]/tblMoeHistory[[#This Row],[Child Count]],0)</f>
        <v>8997.18</v>
      </c>
      <c r="M1234">
        <v>310.54000000000002</v>
      </c>
      <c r="N1234" t="s">
        <v>240</v>
      </c>
      <c r="O1234">
        <v>0</v>
      </c>
      <c r="P1234">
        <v>0</v>
      </c>
      <c r="Q1234">
        <f>tblMoeHistory[[#This Row],[Amount of IDEA Part B, Section 611 award]]+tblMoeHistory[[#This Row],[Amount of IDEA Part B, Section 619 award]]</f>
        <v>0</v>
      </c>
      <c r="S1234">
        <v>0</v>
      </c>
      <c r="T1234">
        <v>0</v>
      </c>
      <c r="U12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4" t="str">
        <f>IF(OR(IFERROR(SEARCH("Met",tblMoeHistory[[#This Row],[State and Local Per Capita Result]]),0)&gt;0,IFERROR(SEARCH("Met",tblMoeHistory[[#This Row],[State and Local Total Result]]),0)&gt;0),"Met","Not Met")</f>
        <v>Not Met</v>
      </c>
    </row>
    <row r="1235" spans="1:22" x14ac:dyDescent="0.35">
      <c r="A1235" t="s">
        <v>73</v>
      </c>
      <c r="B1235">
        <v>2229</v>
      </c>
      <c r="C1235" t="s">
        <v>18</v>
      </c>
      <c r="D1235">
        <v>38</v>
      </c>
      <c r="E1235">
        <v>206132.57</v>
      </c>
      <c r="F1235">
        <v>0</v>
      </c>
      <c r="G1235">
        <f>tblMoeHistory[[#This Row],[LEA State and Local Amount]]+tblMoeHistory[[#This Row],[ESD State and Local Amount]]</f>
        <v>206132.57</v>
      </c>
      <c r="H1235">
        <v>0</v>
      </c>
      <c r="I1235" t="s">
        <v>241</v>
      </c>
      <c r="J1235" s="44">
        <f>IFERROR(tblMoeHistory[[#This Row],[LEA State and Local Amount]]/tblMoeHistory[[#This Row],[Child Count]],0)</f>
        <v>5424.5413157894736</v>
      </c>
      <c r="K1235">
        <f>IFERROR(tblMoeHistory[[#This Row],[ESD State and Local Amount]]/tblMoeHistory[[#This Row],[Child Count]],0)</f>
        <v>0</v>
      </c>
      <c r="L1235" s="1">
        <f>IFERROR(tblMoeHistory[[#This Row],[State and Local Total Amount]]/tblMoeHistory[[#This Row],[Child Count]],0)</f>
        <v>5424.5413157894736</v>
      </c>
      <c r="M1235">
        <v>0</v>
      </c>
      <c r="N1235" t="s">
        <v>242</v>
      </c>
      <c r="O1235">
        <v>46856.86</v>
      </c>
      <c r="P1235">
        <v>485.19</v>
      </c>
      <c r="Q1235">
        <f>tblMoeHistory[[#This Row],[Amount of IDEA Part B, Section 611 award]]+tblMoeHistory[[#This Row],[Amount of IDEA Part B, Section 619 award]]</f>
        <v>47342.05</v>
      </c>
      <c r="T1235">
        <v>1254.6300000000001</v>
      </c>
      <c r="U12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5" t="str">
        <f>IF(OR(IFERROR(SEARCH("Met",tblMoeHistory[[#This Row],[State and Local Per Capita Result]]),0)&gt;0,IFERROR(SEARCH("Met",tblMoeHistory[[#This Row],[State and Local Total Result]]),0)&gt;0),"Met","Not Met")</f>
        <v>Met</v>
      </c>
    </row>
    <row r="1236" spans="1:22" x14ac:dyDescent="0.35">
      <c r="A1236" t="s">
        <v>74</v>
      </c>
      <c r="B1236">
        <v>2043</v>
      </c>
      <c r="C1236" t="s">
        <v>18</v>
      </c>
      <c r="D1236">
        <v>512</v>
      </c>
      <c r="E1236">
        <v>3602703.09</v>
      </c>
      <c r="F1236">
        <v>202464.36</v>
      </c>
      <c r="G1236">
        <f>tblMoeHistory[[#This Row],[LEA State and Local Amount]]+tblMoeHistory[[#This Row],[ESD State and Local Amount]]</f>
        <v>3805167.4499999997</v>
      </c>
      <c r="H1236">
        <v>0</v>
      </c>
      <c r="I1236" t="s">
        <v>241</v>
      </c>
      <c r="J1236" s="44">
        <f>IFERROR(tblMoeHistory[[#This Row],[LEA State and Local Amount]]/tblMoeHistory[[#This Row],[Child Count]],0)</f>
        <v>7036.5294726562497</v>
      </c>
      <c r="K1236">
        <f>IFERROR(tblMoeHistory[[#This Row],[ESD State and Local Amount]]/tblMoeHistory[[#This Row],[Child Count]],0)</f>
        <v>395.43820312499997</v>
      </c>
      <c r="L1236" s="1">
        <f>IFERROR(tblMoeHistory[[#This Row],[State and Local Total Amount]]/tblMoeHistory[[#This Row],[Child Count]],0)</f>
        <v>7431.9676757812495</v>
      </c>
      <c r="M1236">
        <v>96648.53</v>
      </c>
      <c r="N1236" t="s">
        <v>240</v>
      </c>
      <c r="O1236">
        <v>662531.72</v>
      </c>
      <c r="P1236">
        <v>4552.42</v>
      </c>
      <c r="Q1236">
        <f>tblMoeHistory[[#This Row],[Amount of IDEA Part B, Section 611 award]]+tblMoeHistory[[#This Row],[Amount of IDEA Part B, Section 619 award]]</f>
        <v>667084.14</v>
      </c>
      <c r="T1236">
        <v>243.98</v>
      </c>
      <c r="U12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6" t="str">
        <f>IF(OR(IFERROR(SEARCH("Met",tblMoeHistory[[#This Row],[State and Local Per Capita Result]]),0)&gt;0,IFERROR(SEARCH("Met",tblMoeHistory[[#This Row],[State and Local Total Result]]),0)&gt;0),"Met","Not Met")</f>
        <v>Met</v>
      </c>
    </row>
    <row r="1237" spans="1:22" x14ac:dyDescent="0.35">
      <c r="A1237" t="s">
        <v>75</v>
      </c>
      <c r="B1237">
        <v>2203</v>
      </c>
      <c r="C1237" t="s">
        <v>18</v>
      </c>
      <c r="D1237">
        <v>41</v>
      </c>
      <c r="E1237">
        <v>141682.51999999999</v>
      </c>
      <c r="F1237">
        <v>61365.5</v>
      </c>
      <c r="G1237">
        <f>tblMoeHistory[[#This Row],[LEA State and Local Amount]]+tblMoeHistory[[#This Row],[ESD State and Local Amount]]</f>
        <v>203048.02</v>
      </c>
      <c r="H1237">
        <v>0</v>
      </c>
      <c r="I1237" t="s">
        <v>242</v>
      </c>
      <c r="J1237" s="44">
        <f>IFERROR(tblMoeHistory[[#This Row],[LEA State and Local Amount]]/tblMoeHistory[[#This Row],[Child Count]],0)</f>
        <v>3455.671219512195</v>
      </c>
      <c r="K1237">
        <f>IFERROR(tblMoeHistory[[#This Row],[ESD State and Local Amount]]/tblMoeHistory[[#This Row],[Child Count]],0)</f>
        <v>1496.719512195122</v>
      </c>
      <c r="L1237" s="1">
        <f>IFERROR(tblMoeHistory[[#This Row],[State and Local Total Amount]]/tblMoeHistory[[#This Row],[Child Count]],0)</f>
        <v>4952.3907317073172</v>
      </c>
      <c r="M1237">
        <v>3092.77</v>
      </c>
      <c r="N1237" t="s">
        <v>240</v>
      </c>
      <c r="O1237">
        <v>44714.66</v>
      </c>
      <c r="P1237">
        <v>415.88</v>
      </c>
      <c r="Q1237">
        <f>tblMoeHistory[[#This Row],[Amount of IDEA Part B, Section 611 award]]+tblMoeHistory[[#This Row],[Amount of IDEA Part B, Section 619 award]]</f>
        <v>45130.54</v>
      </c>
      <c r="S1237">
        <v>19043.29</v>
      </c>
      <c r="T1237">
        <v>501.14</v>
      </c>
      <c r="U12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7" t="str">
        <f>IF(OR(IFERROR(SEARCH("Met",tblMoeHistory[[#This Row],[State and Local Per Capita Result]]),0)&gt;0,IFERROR(SEARCH("Met",tblMoeHistory[[#This Row],[State and Local Total Result]]),0)&gt;0),"Met","Not Met")</f>
        <v>Met</v>
      </c>
    </row>
    <row r="1238" spans="1:22" x14ac:dyDescent="0.35">
      <c r="A1238" t="s">
        <v>76</v>
      </c>
      <c r="B1238">
        <v>2217</v>
      </c>
      <c r="C1238" t="s">
        <v>18</v>
      </c>
      <c r="D1238">
        <v>54</v>
      </c>
      <c r="E1238">
        <v>208809.07</v>
      </c>
      <c r="F1238">
        <v>149842.12</v>
      </c>
      <c r="G1238">
        <f>tblMoeHistory[[#This Row],[LEA State and Local Amount]]+tblMoeHistory[[#This Row],[ESD State and Local Amount]]</f>
        <v>358651.19</v>
      </c>
      <c r="H1238">
        <v>110536.45</v>
      </c>
      <c r="I1238" t="s">
        <v>240</v>
      </c>
      <c r="J1238" s="44">
        <f>IFERROR(tblMoeHistory[[#This Row],[LEA State and Local Amount]]/tblMoeHistory[[#This Row],[Child Count]],0)</f>
        <v>3866.8346296296299</v>
      </c>
      <c r="K1238">
        <f>IFERROR(tblMoeHistory[[#This Row],[ESD State and Local Amount]]/tblMoeHistory[[#This Row],[Child Count]],0)</f>
        <v>2774.8540740740741</v>
      </c>
      <c r="L1238" s="1">
        <f>IFERROR(tblMoeHistory[[#This Row],[State and Local Total Amount]]/tblMoeHistory[[#This Row],[Child Count]],0)</f>
        <v>6641.688703703704</v>
      </c>
      <c r="M1238">
        <v>157033.63</v>
      </c>
      <c r="N1238" t="s">
        <v>240</v>
      </c>
      <c r="O1238">
        <v>70779.460000000006</v>
      </c>
      <c r="P1238">
        <v>194.08</v>
      </c>
      <c r="Q1238">
        <f>tblMoeHistory[[#This Row],[Amount of IDEA Part B, Section 611 award]]+tblMoeHistory[[#This Row],[Amount of IDEA Part B, Section 619 award]]</f>
        <v>70973.540000000008</v>
      </c>
      <c r="S1238">
        <v>0</v>
      </c>
      <c r="T1238">
        <v>0</v>
      </c>
      <c r="U12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70973.540000000008</v>
      </c>
      <c r="V1238" t="str">
        <f>IF(OR(IFERROR(SEARCH("Met",tblMoeHistory[[#This Row],[State and Local Per Capita Result]]),0)&gt;0,IFERROR(SEARCH("Met",tblMoeHistory[[#This Row],[State and Local Total Result]]),0)&gt;0),"Met","Not Met")</f>
        <v>Not Met</v>
      </c>
    </row>
    <row r="1239" spans="1:22" x14ac:dyDescent="0.35">
      <c r="A1239" t="s">
        <v>77</v>
      </c>
      <c r="B1239">
        <v>1998</v>
      </c>
      <c r="C1239" t="s">
        <v>18</v>
      </c>
      <c r="D1239">
        <v>26</v>
      </c>
      <c r="E1239">
        <v>105529.4</v>
      </c>
      <c r="F1239">
        <v>44499.97</v>
      </c>
      <c r="G1239">
        <f>tblMoeHistory[[#This Row],[LEA State and Local Amount]]+tblMoeHistory[[#This Row],[ESD State and Local Amount]]</f>
        <v>150029.37</v>
      </c>
      <c r="H1239">
        <v>0</v>
      </c>
      <c r="I1239" t="s">
        <v>242</v>
      </c>
      <c r="J1239" s="44">
        <f>IFERROR(tblMoeHistory[[#This Row],[LEA State and Local Amount]]/tblMoeHistory[[#This Row],[Child Count]],0)</f>
        <v>4058.8230769230768</v>
      </c>
      <c r="K1239">
        <f>IFERROR(tblMoeHistory[[#This Row],[ESD State and Local Amount]]/tblMoeHistory[[#This Row],[Child Count]],0)</f>
        <v>1711.5373076923076</v>
      </c>
      <c r="L1239" s="1">
        <f>IFERROR(tblMoeHistory[[#This Row],[State and Local Total Amount]]/tblMoeHistory[[#This Row],[Child Count]],0)</f>
        <v>5770.3603846153846</v>
      </c>
      <c r="M1239">
        <v>0</v>
      </c>
      <c r="N1239" t="s">
        <v>241</v>
      </c>
      <c r="O1239">
        <v>64819.91</v>
      </c>
      <c r="P1239">
        <v>485.19</v>
      </c>
      <c r="Q1239">
        <f>tblMoeHistory[[#This Row],[Amount of IDEA Part B, Section 611 award]]+tblMoeHistory[[#This Row],[Amount of IDEA Part B, Section 619 award]]</f>
        <v>65305.100000000006</v>
      </c>
      <c r="S1239">
        <v>106051.64</v>
      </c>
      <c r="U12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9" t="str">
        <f>IF(OR(IFERROR(SEARCH("Met",tblMoeHistory[[#This Row],[State and Local Per Capita Result]]),0)&gt;0,IFERROR(SEARCH("Met",tblMoeHistory[[#This Row],[State and Local Total Result]]),0)&gt;0),"Met","Not Met")</f>
        <v>Met</v>
      </c>
    </row>
    <row r="1240" spans="1:22" x14ac:dyDescent="0.35">
      <c r="A1240" t="s">
        <v>78</v>
      </c>
      <c r="B1240">
        <v>2221</v>
      </c>
      <c r="C1240" t="s">
        <v>18</v>
      </c>
      <c r="D1240">
        <v>56</v>
      </c>
      <c r="E1240">
        <v>37921.919999999998</v>
      </c>
      <c r="F1240">
        <v>299719.15000000002</v>
      </c>
      <c r="G1240">
        <f>tblMoeHistory[[#This Row],[LEA State and Local Amount]]+tblMoeHistory[[#This Row],[ESD State and Local Amount]]</f>
        <v>337641.07</v>
      </c>
      <c r="H1240">
        <v>0</v>
      </c>
      <c r="I1240" t="s">
        <v>241</v>
      </c>
      <c r="J1240" s="44">
        <f>IFERROR(tblMoeHistory[[#This Row],[LEA State and Local Amount]]/tblMoeHistory[[#This Row],[Child Count]],0)</f>
        <v>677.17714285714283</v>
      </c>
      <c r="K1240">
        <f>IFERROR(tblMoeHistory[[#This Row],[ESD State and Local Amount]]/tblMoeHistory[[#This Row],[Child Count]],0)</f>
        <v>5352.127678571429</v>
      </c>
      <c r="L1240" s="1">
        <f>IFERROR(tblMoeHistory[[#This Row],[State and Local Total Amount]]/tblMoeHistory[[#This Row],[Child Count]],0)</f>
        <v>6029.3048214285718</v>
      </c>
      <c r="M1240">
        <v>0</v>
      </c>
      <c r="N1240" t="s">
        <v>241</v>
      </c>
      <c r="O1240">
        <v>90238.59</v>
      </c>
      <c r="P1240">
        <v>404.33</v>
      </c>
      <c r="Q1240">
        <f>tblMoeHistory[[#This Row],[Amount of IDEA Part B, Section 611 award]]+tblMoeHistory[[#This Row],[Amount of IDEA Part B, Section 619 award]]</f>
        <v>90642.92</v>
      </c>
      <c r="U12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0" t="str">
        <f>IF(OR(IFERROR(SEARCH("Met",tblMoeHistory[[#This Row],[State and Local Per Capita Result]]),0)&gt;0,IFERROR(SEARCH("Met",tblMoeHistory[[#This Row],[State and Local Total Result]]),0)&gt;0),"Met","Not Met")</f>
        <v>Met</v>
      </c>
    </row>
    <row r="1241" spans="1:22" x14ac:dyDescent="0.35">
      <c r="A1241" t="s">
        <v>79</v>
      </c>
      <c r="B1241">
        <v>1930</v>
      </c>
      <c r="C1241" t="s">
        <v>18</v>
      </c>
      <c r="D1241">
        <v>278</v>
      </c>
      <c r="E1241">
        <v>2560393.12</v>
      </c>
      <c r="F1241">
        <v>518952</v>
      </c>
      <c r="G1241">
        <f>tblMoeHistory[[#This Row],[LEA State and Local Amount]]+tblMoeHistory[[#This Row],[ESD State and Local Amount]]</f>
        <v>3079345.12</v>
      </c>
      <c r="H1241">
        <v>0</v>
      </c>
      <c r="I1241" t="s">
        <v>241</v>
      </c>
      <c r="J1241" s="44">
        <f>IFERROR(tblMoeHistory[[#This Row],[LEA State and Local Amount]]/tblMoeHistory[[#This Row],[Child Count]],0)</f>
        <v>9210.0471942446038</v>
      </c>
      <c r="K1241">
        <f>IFERROR(tblMoeHistory[[#This Row],[ESD State and Local Amount]]/tblMoeHistory[[#This Row],[Child Count]],0)</f>
        <v>1866.7338129496402</v>
      </c>
      <c r="L1241" s="1">
        <f>IFERROR(tblMoeHistory[[#This Row],[State and Local Total Amount]]/tblMoeHistory[[#This Row],[Child Count]],0)</f>
        <v>11076.781007194246</v>
      </c>
      <c r="M1241">
        <v>0</v>
      </c>
      <c r="N1241" t="s">
        <v>241</v>
      </c>
      <c r="O1241">
        <v>429315.26</v>
      </c>
      <c r="P1241">
        <v>3453.43</v>
      </c>
      <c r="Q1241">
        <f>tblMoeHistory[[#This Row],[Amount of IDEA Part B, Section 611 award]]+tblMoeHistory[[#This Row],[Amount of IDEA Part B, Section 619 award]]</f>
        <v>432768.69</v>
      </c>
      <c r="U12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1" t="str">
        <f>IF(OR(IFERROR(SEARCH("Met",tblMoeHistory[[#This Row],[State and Local Per Capita Result]]),0)&gt;0,IFERROR(SEARCH("Met",tblMoeHistory[[#This Row],[State and Local Total Result]]),0)&gt;0),"Met","Not Met")</f>
        <v>Met</v>
      </c>
    </row>
    <row r="1242" spans="1:22" x14ac:dyDescent="0.35">
      <c r="A1242" t="s">
        <v>80</v>
      </c>
      <c r="B1242">
        <v>2082</v>
      </c>
      <c r="C1242" t="s">
        <v>18</v>
      </c>
      <c r="D1242">
        <v>2270</v>
      </c>
      <c r="E1242">
        <v>21814271.719999999</v>
      </c>
      <c r="F1242">
        <v>2928285</v>
      </c>
      <c r="G1242">
        <f>tblMoeHistory[[#This Row],[LEA State and Local Amount]]+tblMoeHistory[[#This Row],[ESD State and Local Amount]]</f>
        <v>24742556.719999999</v>
      </c>
      <c r="H1242">
        <v>0</v>
      </c>
      <c r="I1242" t="s">
        <v>241</v>
      </c>
      <c r="J1242" s="44">
        <f>IFERROR(tblMoeHistory[[#This Row],[LEA State and Local Amount]]/tblMoeHistory[[#This Row],[Child Count]],0)</f>
        <v>9609.8113303964747</v>
      </c>
      <c r="K1242">
        <f>IFERROR(tblMoeHistory[[#This Row],[ESD State and Local Amount]]/tblMoeHistory[[#This Row],[Child Count]],0)</f>
        <v>1289.9933920704846</v>
      </c>
      <c r="L1242" s="1">
        <f>IFERROR(tblMoeHistory[[#This Row],[State and Local Total Amount]]/tblMoeHistory[[#This Row],[Child Count]],0)</f>
        <v>10899.804722466959</v>
      </c>
      <c r="M1242">
        <v>206380.97</v>
      </c>
      <c r="N1242" t="s">
        <v>240</v>
      </c>
      <c r="O1242">
        <v>3118229.43</v>
      </c>
      <c r="P1242">
        <v>25001.24</v>
      </c>
      <c r="Q1242">
        <f>tblMoeHistory[[#This Row],[Amount of IDEA Part B, Section 611 award]]+tblMoeHistory[[#This Row],[Amount of IDEA Part B, Section 619 award]]</f>
        <v>3143230.6700000004</v>
      </c>
      <c r="T1242">
        <v>0</v>
      </c>
      <c r="U12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2" t="str">
        <f>IF(OR(IFERROR(SEARCH("Met",tblMoeHistory[[#This Row],[State and Local Per Capita Result]]),0)&gt;0,IFERROR(SEARCH("Met",tblMoeHistory[[#This Row],[State and Local Total Result]]),0)&gt;0),"Met","Not Met")</f>
        <v>Met</v>
      </c>
    </row>
    <row r="1243" spans="1:22" x14ac:dyDescent="0.35">
      <c r="A1243" t="s">
        <v>81</v>
      </c>
      <c r="B1243">
        <v>2193</v>
      </c>
      <c r="C1243" t="s">
        <v>18</v>
      </c>
      <c r="D1243">
        <v>34</v>
      </c>
      <c r="E1243">
        <v>313960.78999999998</v>
      </c>
      <c r="F1243">
        <v>34552.85</v>
      </c>
      <c r="G1243">
        <f>tblMoeHistory[[#This Row],[LEA State and Local Amount]]+tblMoeHistory[[#This Row],[ESD State and Local Amount]]</f>
        <v>348513.63999999996</v>
      </c>
      <c r="H1243">
        <v>0</v>
      </c>
      <c r="I1243" t="s">
        <v>242</v>
      </c>
      <c r="J1243" s="44">
        <f>IFERROR(tblMoeHistory[[#This Row],[LEA State and Local Amount]]/tblMoeHistory[[#This Row],[Child Count]],0)</f>
        <v>9234.14088235294</v>
      </c>
      <c r="K1243">
        <f>IFERROR(tblMoeHistory[[#This Row],[ESD State and Local Amount]]/tblMoeHistory[[#This Row],[Child Count]],0)</f>
        <v>1016.260294117647</v>
      </c>
      <c r="L1243" s="1">
        <f>IFERROR(tblMoeHistory[[#This Row],[State and Local Total Amount]]/tblMoeHistory[[#This Row],[Child Count]],0)</f>
        <v>10250.401176470587</v>
      </c>
      <c r="M1243">
        <v>0</v>
      </c>
      <c r="N1243" t="s">
        <v>242</v>
      </c>
      <c r="O1243">
        <v>41683.51</v>
      </c>
      <c r="P1243">
        <v>970.38</v>
      </c>
      <c r="Q1243">
        <f>tblMoeHistory[[#This Row],[Amount of IDEA Part B, Section 611 award]]+tblMoeHistory[[#This Row],[Amount of IDEA Part B, Section 619 award]]</f>
        <v>42653.89</v>
      </c>
      <c r="S1243">
        <v>90098.31</v>
      </c>
      <c r="T1243">
        <v>2815.57</v>
      </c>
      <c r="U12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3" t="str">
        <f>IF(OR(IFERROR(SEARCH("Met",tblMoeHistory[[#This Row],[State and Local Per Capita Result]]),0)&gt;0,IFERROR(SEARCH("Met",tblMoeHistory[[#This Row],[State and Local Total Result]]),0)&gt;0),"Met","Not Met")</f>
        <v>Met</v>
      </c>
    </row>
    <row r="1244" spans="1:22" x14ac:dyDescent="0.35">
      <c r="A1244" t="s">
        <v>82</v>
      </c>
      <c r="B1244">
        <v>2084</v>
      </c>
      <c r="C1244" t="s">
        <v>18</v>
      </c>
      <c r="D1244">
        <v>251</v>
      </c>
      <c r="E1244">
        <v>2464676.66</v>
      </c>
      <c r="F1244">
        <v>423879</v>
      </c>
      <c r="G1244">
        <f>tblMoeHistory[[#This Row],[LEA State and Local Amount]]+tblMoeHistory[[#This Row],[ESD State and Local Amount]]</f>
        <v>2888555.66</v>
      </c>
      <c r="H1244">
        <v>0</v>
      </c>
      <c r="I1244" t="s">
        <v>241</v>
      </c>
      <c r="J1244" s="44">
        <f>IFERROR(tblMoeHistory[[#This Row],[LEA State and Local Amount]]/tblMoeHistory[[#This Row],[Child Count]],0)</f>
        <v>9819.4289243027888</v>
      </c>
      <c r="K1244">
        <f>IFERROR(tblMoeHistory[[#This Row],[ESD State and Local Amount]]/tblMoeHistory[[#This Row],[Child Count]],0)</f>
        <v>1688.7609561752988</v>
      </c>
      <c r="L1244" s="1">
        <f>IFERROR(tblMoeHistory[[#This Row],[State and Local Total Amount]]/tblMoeHistory[[#This Row],[Child Count]],0)</f>
        <v>11508.189880478089</v>
      </c>
      <c r="M1244">
        <v>0</v>
      </c>
      <c r="N1244" t="s">
        <v>242</v>
      </c>
      <c r="O1244">
        <v>329906.3</v>
      </c>
      <c r="P1244">
        <v>1886.86</v>
      </c>
      <c r="Q1244">
        <f>tblMoeHistory[[#This Row],[Amount of IDEA Part B, Section 611 award]]+tblMoeHistory[[#This Row],[Amount of IDEA Part B, Section 619 award]]</f>
        <v>331793.15999999997</v>
      </c>
      <c r="T1244">
        <v>649.02</v>
      </c>
      <c r="U12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4" t="str">
        <f>IF(OR(IFERROR(SEARCH("Met",tblMoeHistory[[#This Row],[State and Local Per Capita Result]]),0)&gt;0,IFERROR(SEARCH("Met",tblMoeHistory[[#This Row],[State and Local Total Result]]),0)&gt;0),"Met","Not Met")</f>
        <v>Met</v>
      </c>
    </row>
    <row r="1245" spans="1:22" x14ac:dyDescent="0.35">
      <c r="A1245" t="s">
        <v>83</v>
      </c>
      <c r="B1245">
        <v>2241</v>
      </c>
      <c r="C1245" t="s">
        <v>18</v>
      </c>
      <c r="D1245">
        <v>914</v>
      </c>
      <c r="E1245">
        <v>11407837.99</v>
      </c>
      <c r="F1245">
        <v>239298</v>
      </c>
      <c r="G1245">
        <f>tblMoeHistory[[#This Row],[LEA State and Local Amount]]+tblMoeHistory[[#This Row],[ESD State and Local Amount]]</f>
        <v>11647135.99</v>
      </c>
      <c r="H1245">
        <v>0</v>
      </c>
      <c r="I1245" t="s">
        <v>241</v>
      </c>
      <c r="J1245" s="44">
        <f>IFERROR(tblMoeHistory[[#This Row],[LEA State and Local Amount]]/tblMoeHistory[[#This Row],[Child Count]],0)</f>
        <v>12481.22318380744</v>
      </c>
      <c r="K1245">
        <f>IFERROR(tblMoeHistory[[#This Row],[ESD State and Local Amount]]/tblMoeHistory[[#This Row],[Child Count]],0)</f>
        <v>261.81400437636762</v>
      </c>
      <c r="L1245" s="1">
        <f>IFERROR(tblMoeHistory[[#This Row],[State and Local Total Amount]]/tblMoeHistory[[#This Row],[Child Count]],0)</f>
        <v>12743.037188183807</v>
      </c>
      <c r="M1245">
        <v>189225.98</v>
      </c>
      <c r="N1245" t="s">
        <v>240</v>
      </c>
      <c r="O1245">
        <v>910033.37</v>
      </c>
      <c r="P1245">
        <v>5442.59</v>
      </c>
      <c r="Q1245">
        <f>tblMoeHistory[[#This Row],[Amount of IDEA Part B, Section 611 award]]+tblMoeHistory[[#This Row],[Amount of IDEA Part B, Section 619 award]]</f>
        <v>915475.96</v>
      </c>
      <c r="T1245">
        <v>0</v>
      </c>
      <c r="U12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5" t="str">
        <f>IF(OR(IFERROR(SEARCH("Met",tblMoeHistory[[#This Row],[State and Local Per Capita Result]]),0)&gt;0,IFERROR(SEARCH("Met",tblMoeHistory[[#This Row],[State and Local Total Result]]),0)&gt;0),"Met","Not Met")</f>
        <v>Met</v>
      </c>
    </row>
    <row r="1246" spans="1:22" x14ac:dyDescent="0.35">
      <c r="A1246" t="s">
        <v>84</v>
      </c>
      <c r="B1246">
        <v>2248</v>
      </c>
      <c r="C1246" t="s">
        <v>18</v>
      </c>
      <c r="D1246">
        <v>32</v>
      </c>
      <c r="E1246">
        <v>142118.65</v>
      </c>
      <c r="F1246">
        <v>104516</v>
      </c>
      <c r="G1246">
        <f>tblMoeHistory[[#This Row],[LEA State and Local Amount]]+tblMoeHistory[[#This Row],[ESD State and Local Amount]]</f>
        <v>246634.65</v>
      </c>
      <c r="H1246">
        <v>0</v>
      </c>
      <c r="I1246" t="s">
        <v>241</v>
      </c>
      <c r="J1246" s="44">
        <f>IFERROR(tblMoeHistory[[#This Row],[LEA State and Local Amount]]/tblMoeHistory[[#This Row],[Child Count]],0)</f>
        <v>4441.2078124999998</v>
      </c>
      <c r="K1246">
        <f>IFERROR(tblMoeHistory[[#This Row],[ESD State and Local Amount]]/tblMoeHistory[[#This Row],[Child Count]],0)</f>
        <v>3266.125</v>
      </c>
      <c r="L1246" s="1">
        <f>IFERROR(tblMoeHistory[[#This Row],[State and Local Total Amount]]/tblMoeHistory[[#This Row],[Child Count]],0)</f>
        <v>7707.3328124999998</v>
      </c>
      <c r="M1246">
        <v>0</v>
      </c>
      <c r="N1246" t="s">
        <v>241</v>
      </c>
      <c r="O1246">
        <v>51462.37</v>
      </c>
      <c r="P1246">
        <v>0</v>
      </c>
      <c r="Q1246">
        <f>tblMoeHistory[[#This Row],[Amount of IDEA Part B, Section 611 award]]+tblMoeHistory[[#This Row],[Amount of IDEA Part B, Section 619 award]]</f>
        <v>51462.37</v>
      </c>
      <c r="U12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6" t="str">
        <f>IF(OR(IFERROR(SEARCH("Met",tblMoeHistory[[#This Row],[State and Local Per Capita Result]]),0)&gt;0,IFERROR(SEARCH("Met",tblMoeHistory[[#This Row],[State and Local Total Result]]),0)&gt;0),"Met","Not Met")</f>
        <v>Met</v>
      </c>
    </row>
    <row r="1247" spans="1:22" x14ac:dyDescent="0.35">
      <c r="A1247" t="s">
        <v>85</v>
      </c>
      <c r="B1247">
        <v>2020</v>
      </c>
      <c r="C1247" t="s">
        <v>18</v>
      </c>
      <c r="D1247">
        <v>22</v>
      </c>
      <c r="E1247">
        <v>93301.07</v>
      </c>
      <c r="F1247">
        <v>3045</v>
      </c>
      <c r="G1247">
        <f>tblMoeHistory[[#This Row],[LEA State and Local Amount]]+tblMoeHistory[[#This Row],[ESD State and Local Amount]]</f>
        <v>96346.07</v>
      </c>
      <c r="H1247">
        <v>0</v>
      </c>
      <c r="I1247" t="s">
        <v>241</v>
      </c>
      <c r="J1247" s="44">
        <f>IFERROR(tblMoeHistory[[#This Row],[LEA State and Local Amount]]/tblMoeHistory[[#This Row],[Child Count]],0)</f>
        <v>4240.9577272727274</v>
      </c>
      <c r="K1247">
        <f>IFERROR(tblMoeHistory[[#This Row],[ESD State and Local Amount]]/tblMoeHistory[[#This Row],[Child Count]],0)</f>
        <v>138.40909090909091</v>
      </c>
      <c r="L1247" s="1">
        <f>IFERROR(tblMoeHistory[[#This Row],[State and Local Total Amount]]/tblMoeHistory[[#This Row],[Child Count]],0)</f>
        <v>4379.3668181818184</v>
      </c>
      <c r="M1247">
        <v>171568.61</v>
      </c>
      <c r="N1247" t="s">
        <v>240</v>
      </c>
      <c r="O1247">
        <v>0</v>
      </c>
      <c r="P1247">
        <v>0</v>
      </c>
      <c r="Q1247">
        <f>tblMoeHistory[[#This Row],[Amount of IDEA Part B, Section 611 award]]+tblMoeHistory[[#This Row],[Amount of IDEA Part B, Section 619 award]]</f>
        <v>0</v>
      </c>
      <c r="T1247">
        <v>0</v>
      </c>
      <c r="U12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7" t="str">
        <f>IF(OR(IFERROR(SEARCH("Met",tblMoeHistory[[#This Row],[State and Local Per Capita Result]]),0)&gt;0,IFERROR(SEARCH("Met",tblMoeHistory[[#This Row],[State and Local Total Result]]),0)&gt;0),"Met","Not Met")</f>
        <v>Met</v>
      </c>
    </row>
    <row r="1248" spans="1:22" x14ac:dyDescent="0.35">
      <c r="A1248" t="s">
        <v>86</v>
      </c>
      <c r="B1248">
        <v>2245</v>
      </c>
      <c r="C1248" t="s">
        <v>18</v>
      </c>
      <c r="D1248">
        <v>86</v>
      </c>
      <c r="E1248">
        <v>867446.09</v>
      </c>
      <c r="F1248">
        <v>27586</v>
      </c>
      <c r="G1248">
        <f>tblMoeHistory[[#This Row],[LEA State and Local Amount]]+tblMoeHistory[[#This Row],[ESD State and Local Amount]]</f>
        <v>895032.09</v>
      </c>
      <c r="H1248">
        <v>0</v>
      </c>
      <c r="I1248" t="s">
        <v>241</v>
      </c>
      <c r="J1248" s="44">
        <f>IFERROR(tblMoeHistory[[#This Row],[LEA State and Local Amount]]/tblMoeHistory[[#This Row],[Child Count]],0)</f>
        <v>10086.582441860464</v>
      </c>
      <c r="K1248">
        <f>IFERROR(tblMoeHistory[[#This Row],[ESD State and Local Amount]]/tblMoeHistory[[#This Row],[Child Count]],0)</f>
        <v>320.76744186046511</v>
      </c>
      <c r="L1248" s="1">
        <f>IFERROR(tblMoeHistory[[#This Row],[State and Local Total Amount]]/tblMoeHistory[[#This Row],[Child Count]],0)</f>
        <v>10407.34988372093</v>
      </c>
      <c r="M1248">
        <v>0</v>
      </c>
      <c r="N1248" t="s">
        <v>241</v>
      </c>
      <c r="O1248">
        <v>94835.76</v>
      </c>
      <c r="P1248">
        <v>693.13</v>
      </c>
      <c r="Q1248">
        <f>tblMoeHistory[[#This Row],[Amount of IDEA Part B, Section 611 award]]+tblMoeHistory[[#This Row],[Amount of IDEA Part B, Section 619 award]]</f>
        <v>95528.89</v>
      </c>
      <c r="U12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8" t="str">
        <f>IF(OR(IFERROR(SEARCH("Met",tblMoeHistory[[#This Row],[State and Local Per Capita Result]]),0)&gt;0,IFERROR(SEARCH("Met",tblMoeHistory[[#This Row],[State and Local Total Result]]),0)&gt;0),"Met","Not Met")</f>
        <v>Met</v>
      </c>
    </row>
    <row r="1249" spans="1:22" x14ac:dyDescent="0.35">
      <c r="A1249" t="s">
        <v>87</v>
      </c>
      <c r="B1249">
        <v>2137</v>
      </c>
      <c r="C1249" t="s">
        <v>18</v>
      </c>
      <c r="D1249">
        <v>138</v>
      </c>
      <c r="E1249">
        <v>1326303.28</v>
      </c>
      <c r="F1249">
        <v>115404.29</v>
      </c>
      <c r="G1249">
        <f>tblMoeHistory[[#This Row],[LEA State and Local Amount]]+tblMoeHistory[[#This Row],[ESD State and Local Amount]]</f>
        <v>1441707.57</v>
      </c>
      <c r="H1249">
        <v>0</v>
      </c>
      <c r="I1249" t="s">
        <v>241</v>
      </c>
      <c r="J1249" s="44">
        <f>IFERROR(tblMoeHistory[[#This Row],[LEA State and Local Amount]]/tblMoeHistory[[#This Row],[Child Count]],0)</f>
        <v>9610.8933333333334</v>
      </c>
      <c r="K1249">
        <f>IFERROR(tblMoeHistory[[#This Row],[ESD State and Local Amount]]/tblMoeHistory[[#This Row],[Child Count]],0)</f>
        <v>836.26297101449268</v>
      </c>
      <c r="L1249" s="1">
        <f>IFERROR(tblMoeHistory[[#This Row],[State and Local Total Amount]]/tblMoeHistory[[#This Row],[Child Count]],0)</f>
        <v>10447.156304347827</v>
      </c>
      <c r="M1249">
        <v>0</v>
      </c>
      <c r="N1249" t="s">
        <v>241</v>
      </c>
      <c r="O1249">
        <v>193219.85</v>
      </c>
      <c r="P1249">
        <v>522.51</v>
      </c>
      <c r="Q1249">
        <f>tblMoeHistory[[#This Row],[Amount of IDEA Part B, Section 611 award]]+tblMoeHistory[[#This Row],[Amount of IDEA Part B, Section 619 award]]</f>
        <v>193742.36000000002</v>
      </c>
      <c r="U12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9" t="str">
        <f>IF(OR(IFERROR(SEARCH("Met",tblMoeHistory[[#This Row],[State and Local Per Capita Result]]),0)&gt;0,IFERROR(SEARCH("Met",tblMoeHistory[[#This Row],[State and Local Total Result]]),0)&gt;0),"Met","Not Met")</f>
        <v>Met</v>
      </c>
    </row>
    <row r="1250" spans="1:22" x14ac:dyDescent="0.35">
      <c r="A1250" t="s">
        <v>88</v>
      </c>
      <c r="B1250">
        <v>1931</v>
      </c>
      <c r="C1250" t="s">
        <v>18</v>
      </c>
      <c r="D1250">
        <v>267</v>
      </c>
      <c r="E1250">
        <v>3117547</v>
      </c>
      <c r="F1250">
        <v>234919</v>
      </c>
      <c r="G1250">
        <f>tblMoeHistory[[#This Row],[LEA State and Local Amount]]+tblMoeHistory[[#This Row],[ESD State and Local Amount]]</f>
        <v>3352466</v>
      </c>
      <c r="H1250">
        <v>0</v>
      </c>
      <c r="I1250" t="s">
        <v>241</v>
      </c>
      <c r="J1250" s="44">
        <f>IFERROR(tblMoeHistory[[#This Row],[LEA State and Local Amount]]/tblMoeHistory[[#This Row],[Child Count]],0)</f>
        <v>11676.205992509364</v>
      </c>
      <c r="K1250">
        <f>IFERROR(tblMoeHistory[[#This Row],[ESD State and Local Amount]]/tblMoeHistory[[#This Row],[Child Count]],0)</f>
        <v>879.84644194756549</v>
      </c>
      <c r="L1250" s="1">
        <f>IFERROR(tblMoeHistory[[#This Row],[State and Local Total Amount]]/tblMoeHistory[[#This Row],[Child Count]],0)</f>
        <v>12556.052434456929</v>
      </c>
      <c r="M1250">
        <v>0</v>
      </c>
      <c r="N1250" t="s">
        <v>241</v>
      </c>
      <c r="O1250">
        <v>348431.64</v>
      </c>
      <c r="P1250">
        <v>818.76</v>
      </c>
      <c r="Q1250">
        <f>tblMoeHistory[[#This Row],[Amount of IDEA Part B, Section 611 award]]+tblMoeHistory[[#This Row],[Amount of IDEA Part B, Section 619 award]]</f>
        <v>349250.4</v>
      </c>
      <c r="U12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0" t="str">
        <f>IF(OR(IFERROR(SEARCH("Met",tblMoeHistory[[#This Row],[State and Local Per Capita Result]]),0)&gt;0,IFERROR(SEARCH("Met",tblMoeHistory[[#This Row],[State and Local Total Result]]),0)&gt;0),"Met","Not Met")</f>
        <v>Met</v>
      </c>
    </row>
    <row r="1251" spans="1:22" x14ac:dyDescent="0.35">
      <c r="A1251" t="s">
        <v>89</v>
      </c>
      <c r="B1251">
        <v>2000</v>
      </c>
      <c r="C1251" t="s">
        <v>18</v>
      </c>
      <c r="D1251">
        <v>48</v>
      </c>
      <c r="E1251">
        <v>332600.63</v>
      </c>
      <c r="F1251">
        <v>88738.44</v>
      </c>
      <c r="G1251">
        <f>tblMoeHistory[[#This Row],[LEA State and Local Amount]]+tblMoeHistory[[#This Row],[ESD State and Local Amount]]</f>
        <v>421339.07</v>
      </c>
      <c r="H1251">
        <v>0</v>
      </c>
      <c r="I1251" t="s">
        <v>241</v>
      </c>
      <c r="J1251" s="44">
        <f>IFERROR(tblMoeHistory[[#This Row],[LEA State and Local Amount]]/tblMoeHistory[[#This Row],[Child Count]],0)</f>
        <v>6929.1797916666665</v>
      </c>
      <c r="K1251">
        <f>IFERROR(tblMoeHistory[[#This Row],[ESD State and Local Amount]]/tblMoeHistory[[#This Row],[Child Count]],0)</f>
        <v>1848.7175</v>
      </c>
      <c r="L1251" s="1">
        <f>IFERROR(tblMoeHistory[[#This Row],[State and Local Total Amount]]/tblMoeHistory[[#This Row],[Child Count]],0)</f>
        <v>8777.8972916666662</v>
      </c>
      <c r="M1251">
        <v>0</v>
      </c>
      <c r="N1251" t="s">
        <v>241</v>
      </c>
      <c r="O1251">
        <v>61987.22</v>
      </c>
      <c r="P1251">
        <v>269.55</v>
      </c>
      <c r="Q1251">
        <f>tblMoeHistory[[#This Row],[Amount of IDEA Part B, Section 611 award]]+tblMoeHistory[[#This Row],[Amount of IDEA Part B, Section 619 award]]</f>
        <v>62256.770000000004</v>
      </c>
      <c r="U12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1" t="str">
        <f>IF(OR(IFERROR(SEARCH("Met",tblMoeHistory[[#This Row],[State and Local Per Capita Result]]),0)&gt;0,IFERROR(SEARCH("Met",tblMoeHistory[[#This Row],[State and Local Total Result]]),0)&gt;0),"Met","Not Met")</f>
        <v>Met</v>
      </c>
    </row>
    <row r="1252" spans="1:22" x14ac:dyDescent="0.35">
      <c r="A1252" t="s">
        <v>90</v>
      </c>
      <c r="B1252">
        <v>1992</v>
      </c>
      <c r="C1252" t="s">
        <v>18</v>
      </c>
      <c r="D1252">
        <v>87</v>
      </c>
      <c r="E1252">
        <v>523606.27</v>
      </c>
      <c r="F1252">
        <v>160862.82</v>
      </c>
      <c r="G1252">
        <f>tblMoeHistory[[#This Row],[LEA State and Local Amount]]+tblMoeHistory[[#This Row],[ESD State and Local Amount]]</f>
        <v>684469.09000000008</v>
      </c>
      <c r="H1252">
        <v>0</v>
      </c>
      <c r="I1252" t="s">
        <v>241</v>
      </c>
      <c r="J1252" s="44">
        <f>IFERROR(tblMoeHistory[[#This Row],[LEA State and Local Amount]]/tblMoeHistory[[#This Row],[Child Count]],0)</f>
        <v>6018.4628735632186</v>
      </c>
      <c r="K1252">
        <f>IFERROR(tblMoeHistory[[#This Row],[ESD State and Local Amount]]/tblMoeHistory[[#This Row],[Child Count]],0)</f>
        <v>1848.9979310344829</v>
      </c>
      <c r="L1252" s="1">
        <f>IFERROR(tblMoeHistory[[#This Row],[State and Local Total Amount]]/tblMoeHistory[[#This Row],[Child Count]],0)</f>
        <v>7867.460804597702</v>
      </c>
      <c r="M1252">
        <v>24190.400000000001</v>
      </c>
      <c r="N1252" t="s">
        <v>240</v>
      </c>
      <c r="O1252">
        <v>155247.51999999999</v>
      </c>
      <c r="P1252">
        <v>0</v>
      </c>
      <c r="Q1252">
        <f>tblMoeHistory[[#This Row],[Amount of IDEA Part B, Section 611 award]]+tblMoeHistory[[#This Row],[Amount of IDEA Part B, Section 619 award]]</f>
        <v>155247.51999999999</v>
      </c>
      <c r="T1252">
        <v>479.05</v>
      </c>
      <c r="U12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2" t="str">
        <f>IF(OR(IFERROR(SEARCH("Met",tblMoeHistory[[#This Row],[State and Local Per Capita Result]]),0)&gt;0,IFERROR(SEARCH("Met",tblMoeHistory[[#This Row],[State and Local Total Result]]),0)&gt;0),"Met","Not Met")</f>
        <v>Met</v>
      </c>
    </row>
    <row r="1253" spans="1:22" x14ac:dyDescent="0.35">
      <c r="A1253" t="s">
        <v>91</v>
      </c>
      <c r="B1253">
        <v>2054</v>
      </c>
      <c r="C1253" t="s">
        <v>18</v>
      </c>
      <c r="D1253">
        <v>713</v>
      </c>
      <c r="E1253">
        <v>6196653.2699999996</v>
      </c>
      <c r="F1253">
        <v>0</v>
      </c>
      <c r="G1253">
        <f>tblMoeHistory[[#This Row],[LEA State and Local Amount]]+tblMoeHistory[[#This Row],[ESD State and Local Amount]]</f>
        <v>6196653.2699999996</v>
      </c>
      <c r="H1253">
        <v>0</v>
      </c>
      <c r="I1253" t="s">
        <v>241</v>
      </c>
      <c r="J1253" s="44">
        <f>IFERROR(tblMoeHistory[[#This Row],[LEA State and Local Amount]]/tblMoeHistory[[#This Row],[Child Count]],0)</f>
        <v>8690.9583029453006</v>
      </c>
      <c r="K1253">
        <f>IFERROR(tblMoeHistory[[#This Row],[ESD State and Local Amount]]/tblMoeHistory[[#This Row],[Child Count]],0)</f>
        <v>0</v>
      </c>
      <c r="L1253" s="1">
        <f>IFERROR(tblMoeHistory[[#This Row],[State and Local Total Amount]]/tblMoeHistory[[#This Row],[Child Count]],0)</f>
        <v>8690.9583029453006</v>
      </c>
      <c r="M1253">
        <v>0</v>
      </c>
      <c r="N1253" t="s">
        <v>241</v>
      </c>
      <c r="O1253">
        <v>884304.26</v>
      </c>
      <c r="P1253">
        <v>8978.33</v>
      </c>
      <c r="Q1253">
        <f>tblMoeHistory[[#This Row],[Amount of IDEA Part B, Section 611 award]]+tblMoeHistory[[#This Row],[Amount of IDEA Part B, Section 619 award]]</f>
        <v>893282.59</v>
      </c>
      <c r="U12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3" t="str">
        <f>IF(OR(IFERROR(SEARCH("Met",tblMoeHistory[[#This Row],[State and Local Per Capita Result]]),0)&gt;0,IFERROR(SEARCH("Met",tblMoeHistory[[#This Row],[State and Local Total Result]]),0)&gt;0),"Met","Not Met")</f>
        <v>Met</v>
      </c>
    </row>
    <row r="1254" spans="1:22" x14ac:dyDescent="0.35">
      <c r="A1254" t="s">
        <v>92</v>
      </c>
      <c r="B1254">
        <v>2100</v>
      </c>
      <c r="C1254" t="s">
        <v>18</v>
      </c>
      <c r="D1254">
        <v>1233</v>
      </c>
      <c r="E1254">
        <v>12518650.529999999</v>
      </c>
      <c r="F1254">
        <v>1032102</v>
      </c>
      <c r="G1254">
        <f>tblMoeHistory[[#This Row],[LEA State and Local Amount]]+tblMoeHistory[[#This Row],[ESD State and Local Amount]]</f>
        <v>13550752.529999999</v>
      </c>
      <c r="H1254">
        <v>0</v>
      </c>
      <c r="I1254" t="s">
        <v>241</v>
      </c>
      <c r="J1254" s="44">
        <f>IFERROR(tblMoeHistory[[#This Row],[LEA State and Local Amount]]/tblMoeHistory[[#This Row],[Child Count]],0)</f>
        <v>10153.001240875912</v>
      </c>
      <c r="K1254">
        <f>IFERROR(tblMoeHistory[[#This Row],[ESD State and Local Amount]]/tblMoeHistory[[#This Row],[Child Count]],0)</f>
        <v>837.06569343065689</v>
      </c>
      <c r="L1254" s="1">
        <f>IFERROR(tblMoeHistory[[#This Row],[State and Local Total Amount]]/tblMoeHistory[[#This Row],[Child Count]],0)</f>
        <v>10990.066934306569</v>
      </c>
      <c r="M1254">
        <v>0</v>
      </c>
      <c r="N1254" t="s">
        <v>241</v>
      </c>
      <c r="O1254">
        <v>1497873.4</v>
      </c>
      <c r="P1254">
        <v>14334.77</v>
      </c>
      <c r="Q1254">
        <f>tblMoeHistory[[#This Row],[Amount of IDEA Part B, Section 611 award]]+tblMoeHistory[[#This Row],[Amount of IDEA Part B, Section 619 award]]</f>
        <v>1512208.17</v>
      </c>
      <c r="U12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4" t="str">
        <f>IF(OR(IFERROR(SEARCH("Met",tblMoeHistory[[#This Row],[State and Local Per Capita Result]]),0)&gt;0,IFERROR(SEARCH("Met",tblMoeHistory[[#This Row],[State and Local Total Result]]),0)&gt;0),"Met","Not Met")</f>
        <v>Met</v>
      </c>
    </row>
    <row r="1255" spans="1:22" x14ac:dyDescent="0.35">
      <c r="A1255" t="s">
        <v>93</v>
      </c>
      <c r="B1255">
        <v>2183</v>
      </c>
      <c r="C1255" t="s">
        <v>18</v>
      </c>
      <c r="D1255">
        <v>1525</v>
      </c>
      <c r="E1255">
        <v>15871205.85</v>
      </c>
      <c r="F1255">
        <v>831378.8</v>
      </c>
      <c r="G1255">
        <f>tblMoeHistory[[#This Row],[LEA State and Local Amount]]+tblMoeHistory[[#This Row],[ESD State and Local Amount]]</f>
        <v>16702584.65</v>
      </c>
      <c r="H1255">
        <v>0</v>
      </c>
      <c r="I1255" t="s">
        <v>241</v>
      </c>
      <c r="J1255" s="44">
        <f>IFERROR(tblMoeHistory[[#This Row],[LEA State and Local Amount]]/tblMoeHistory[[#This Row],[Child Count]],0)</f>
        <v>10407.348098360655</v>
      </c>
      <c r="K1255">
        <f>IFERROR(tblMoeHistory[[#This Row],[ESD State and Local Amount]]/tblMoeHistory[[#This Row],[Child Count]],0)</f>
        <v>545.16642622950826</v>
      </c>
      <c r="L1255" s="1">
        <f>IFERROR(tblMoeHistory[[#This Row],[State and Local Total Amount]]/tblMoeHistory[[#This Row],[Child Count]],0)</f>
        <v>10952.514524590164</v>
      </c>
      <c r="M1255">
        <v>0</v>
      </c>
      <c r="N1255" t="s">
        <v>241</v>
      </c>
      <c r="O1255">
        <v>2059623.78</v>
      </c>
      <c r="P1255">
        <v>14904.21</v>
      </c>
      <c r="Q1255">
        <f>tblMoeHistory[[#This Row],[Amount of IDEA Part B, Section 611 award]]+tblMoeHistory[[#This Row],[Amount of IDEA Part B, Section 619 award]]</f>
        <v>2074527.99</v>
      </c>
      <c r="U12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5" t="str">
        <f>IF(OR(IFERROR(SEARCH("Met",tblMoeHistory[[#This Row],[State and Local Per Capita Result]]),0)&gt;0,IFERROR(SEARCH("Met",tblMoeHistory[[#This Row],[State and Local Total Result]]),0)&gt;0),"Met","Not Met")</f>
        <v>Met</v>
      </c>
    </row>
    <row r="1256" spans="1:22" x14ac:dyDescent="0.35">
      <c r="A1256" t="s">
        <v>94</v>
      </c>
      <c r="B1256">
        <v>2014</v>
      </c>
      <c r="C1256" t="s">
        <v>18</v>
      </c>
      <c r="D1256">
        <v>123</v>
      </c>
      <c r="E1256">
        <v>1303270.45</v>
      </c>
      <c r="F1256">
        <v>177475</v>
      </c>
      <c r="G1256">
        <f>tblMoeHistory[[#This Row],[LEA State and Local Amount]]+tblMoeHistory[[#This Row],[ESD State and Local Amount]]</f>
        <v>1480745.45</v>
      </c>
      <c r="H1256">
        <v>17022.12</v>
      </c>
      <c r="I1256" t="s">
        <v>240</v>
      </c>
      <c r="J1256" s="44">
        <f>IFERROR(tblMoeHistory[[#This Row],[LEA State and Local Amount]]/tblMoeHistory[[#This Row],[Child Count]],0)</f>
        <v>10595.694715447155</v>
      </c>
      <c r="K1256">
        <f>IFERROR(tblMoeHistory[[#This Row],[ESD State and Local Amount]]/tblMoeHistory[[#This Row],[Child Count]],0)</f>
        <v>1442.8861788617887</v>
      </c>
      <c r="L1256" s="1">
        <f>IFERROR(tblMoeHistory[[#This Row],[State and Local Total Amount]]/tblMoeHistory[[#This Row],[Child Count]],0)</f>
        <v>12038.580894308943</v>
      </c>
      <c r="M1256">
        <v>0</v>
      </c>
      <c r="N1256" t="s">
        <v>242</v>
      </c>
      <c r="O1256">
        <v>170903.64</v>
      </c>
      <c r="P1256">
        <v>1676.12</v>
      </c>
      <c r="Q1256">
        <f>tblMoeHistory[[#This Row],[Amount of IDEA Part B, Section 611 award]]+tblMoeHistory[[#This Row],[Amount of IDEA Part B, Section 619 award]]</f>
        <v>172579.76</v>
      </c>
      <c r="S1256">
        <v>73061.83</v>
      </c>
      <c r="T1256">
        <v>695.83</v>
      </c>
      <c r="U12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6" t="str">
        <f>IF(OR(IFERROR(SEARCH("Met",tblMoeHistory[[#This Row],[State and Local Per Capita Result]]),0)&gt;0,IFERROR(SEARCH("Met",tblMoeHistory[[#This Row],[State and Local Total Result]]),0)&gt;0),"Met","Not Met")</f>
        <v>Met</v>
      </c>
    </row>
    <row r="1257" spans="1:22" x14ac:dyDescent="0.35">
      <c r="A1257" t="s">
        <v>95</v>
      </c>
      <c r="B1257">
        <v>2015</v>
      </c>
      <c r="C1257" t="s">
        <v>18</v>
      </c>
      <c r="D1257">
        <v>4</v>
      </c>
      <c r="E1257">
        <v>46626.65</v>
      </c>
      <c r="F1257">
        <v>3045</v>
      </c>
      <c r="G1257">
        <f>tblMoeHistory[[#This Row],[LEA State and Local Amount]]+tblMoeHistory[[#This Row],[ESD State and Local Amount]]</f>
        <v>49671.65</v>
      </c>
      <c r="H1257">
        <v>40531.599999999999</v>
      </c>
      <c r="I1257" t="s">
        <v>240</v>
      </c>
      <c r="J1257" s="44">
        <f>IFERROR(tblMoeHistory[[#This Row],[LEA State and Local Amount]]/tblMoeHistory[[#This Row],[Child Count]],0)</f>
        <v>11656.6625</v>
      </c>
      <c r="K1257">
        <f>IFERROR(tblMoeHistory[[#This Row],[ESD State and Local Amount]]/tblMoeHistory[[#This Row],[Child Count]],0)</f>
        <v>761.25</v>
      </c>
      <c r="L1257" s="1">
        <f>IFERROR(tblMoeHistory[[#This Row],[State and Local Total Amount]]/tblMoeHistory[[#This Row],[Child Count]],0)</f>
        <v>12417.9125</v>
      </c>
      <c r="M1257">
        <v>10463.85</v>
      </c>
      <c r="N1257" t="s">
        <v>240</v>
      </c>
      <c r="O1257">
        <v>14807.35</v>
      </c>
      <c r="P1257">
        <v>0</v>
      </c>
      <c r="Q1257">
        <f>tblMoeHistory[[#This Row],[Amount of IDEA Part B, Section 611 award]]+tblMoeHistory[[#This Row],[Amount of IDEA Part B, Section 619 award]]</f>
        <v>14807.35</v>
      </c>
      <c r="S1257">
        <v>10336.86</v>
      </c>
      <c r="T1257">
        <v>1722.81</v>
      </c>
      <c r="U12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10463.85</v>
      </c>
      <c r="V1257" t="str">
        <f>IF(OR(IFERROR(SEARCH("Met",tblMoeHistory[[#This Row],[State and Local Per Capita Result]]),0)&gt;0,IFERROR(SEARCH("Met",tblMoeHistory[[#This Row],[State and Local Total Result]]),0)&gt;0),"Met","Not Met")</f>
        <v>Not Met</v>
      </c>
    </row>
    <row r="1258" spans="1:22" x14ac:dyDescent="0.35">
      <c r="A1258" t="s">
        <v>96</v>
      </c>
      <c r="B1258">
        <v>2023</v>
      </c>
      <c r="C1258" t="s">
        <v>18</v>
      </c>
      <c r="D1258">
        <v>0</v>
      </c>
      <c r="E1258">
        <v>32808.29</v>
      </c>
      <c r="F1258">
        <v>3045</v>
      </c>
      <c r="G1258">
        <f>tblMoeHistory[[#This Row],[LEA State and Local Amount]]+tblMoeHistory[[#This Row],[ESD State and Local Amount]]</f>
        <v>35853.29</v>
      </c>
      <c r="H1258">
        <v>0</v>
      </c>
      <c r="I1258" t="s">
        <v>242</v>
      </c>
      <c r="J1258" s="44">
        <f>IFERROR(tblMoeHistory[[#This Row],[LEA State and Local Amount]]/tblMoeHistory[[#This Row],[Child Count]],0)</f>
        <v>0</v>
      </c>
      <c r="K1258">
        <f>IFERROR(tblMoeHistory[[#This Row],[ESD State and Local Amount]]/tblMoeHistory[[#This Row],[Child Count]],0)</f>
        <v>0</v>
      </c>
      <c r="L1258" s="1">
        <f>IFERROR(tblMoeHistory[[#This Row],[State and Local Total Amount]]/tblMoeHistory[[#This Row],[Child Count]],0)</f>
        <v>0</v>
      </c>
      <c r="M1258">
        <v>0</v>
      </c>
      <c r="N1258" t="s">
        <v>242</v>
      </c>
      <c r="O1258">
        <v>0</v>
      </c>
      <c r="P1258">
        <v>0</v>
      </c>
      <c r="Q1258">
        <f>tblMoeHistory[[#This Row],[Amount of IDEA Part B, Section 611 award]]+tblMoeHistory[[#This Row],[Amount of IDEA Part B, Section 619 award]]</f>
        <v>0</v>
      </c>
      <c r="S1258">
        <v>44857.49</v>
      </c>
      <c r="T1258">
        <v>44857.49</v>
      </c>
      <c r="U12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8" t="str">
        <f>IF(OR(IFERROR(SEARCH("Met",tblMoeHistory[[#This Row],[State and Local Per Capita Result]]),0)&gt;0,IFERROR(SEARCH("Met",tblMoeHistory[[#This Row],[State and Local Total Result]]),0)&gt;0),"Met","Not Met")</f>
        <v>Met</v>
      </c>
    </row>
    <row r="1259" spans="1:22" x14ac:dyDescent="0.35">
      <c r="A1259" t="s">
        <v>97</v>
      </c>
      <c r="B1259">
        <v>2114</v>
      </c>
      <c r="C1259" t="s">
        <v>18</v>
      </c>
      <c r="D1259">
        <v>14</v>
      </c>
      <c r="E1259">
        <v>83226.67</v>
      </c>
      <c r="F1259">
        <v>59517.93</v>
      </c>
      <c r="G1259">
        <f>tblMoeHistory[[#This Row],[LEA State and Local Amount]]+tblMoeHistory[[#This Row],[ESD State and Local Amount]]</f>
        <v>142744.6</v>
      </c>
      <c r="H1259">
        <v>0</v>
      </c>
      <c r="I1259" t="s">
        <v>241</v>
      </c>
      <c r="J1259" s="44">
        <f>IFERROR(tblMoeHistory[[#This Row],[LEA State and Local Amount]]/tblMoeHistory[[#This Row],[Child Count]],0)</f>
        <v>5944.7621428571429</v>
      </c>
      <c r="K1259">
        <f>IFERROR(tblMoeHistory[[#This Row],[ESD State and Local Amount]]/tblMoeHistory[[#This Row],[Child Count]],0)</f>
        <v>4251.2807142857146</v>
      </c>
      <c r="L1259" s="1">
        <f>IFERROR(tblMoeHistory[[#This Row],[State and Local Total Amount]]/tblMoeHistory[[#This Row],[Child Count]],0)</f>
        <v>10196.042857142858</v>
      </c>
      <c r="M1259">
        <v>0</v>
      </c>
      <c r="N1259" t="s">
        <v>241</v>
      </c>
      <c r="O1259">
        <v>15797.56</v>
      </c>
      <c r="P1259">
        <v>485.19</v>
      </c>
      <c r="Q1259">
        <f>tblMoeHistory[[#This Row],[Amount of IDEA Part B, Section 611 award]]+tblMoeHistory[[#This Row],[Amount of IDEA Part B, Section 619 award]]</f>
        <v>16282.75</v>
      </c>
      <c r="U12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9" t="str">
        <f>IF(OR(IFERROR(SEARCH("Met",tblMoeHistory[[#This Row],[State and Local Per Capita Result]]),0)&gt;0,IFERROR(SEARCH("Met",tblMoeHistory[[#This Row],[State and Local Total Result]]),0)&gt;0),"Met","Not Met")</f>
        <v>Met</v>
      </c>
    </row>
    <row r="1260" spans="1:22" x14ac:dyDescent="0.35">
      <c r="A1260" t="s">
        <v>98</v>
      </c>
      <c r="B1260">
        <v>2099</v>
      </c>
      <c r="C1260" t="s">
        <v>18</v>
      </c>
      <c r="D1260">
        <v>119</v>
      </c>
      <c r="E1260">
        <v>1100802.42</v>
      </c>
      <c r="F1260">
        <v>102162</v>
      </c>
      <c r="G1260">
        <f>tblMoeHistory[[#This Row],[LEA State and Local Amount]]+tblMoeHistory[[#This Row],[ESD State and Local Amount]]</f>
        <v>1202964.42</v>
      </c>
      <c r="H1260">
        <v>0</v>
      </c>
      <c r="I1260" t="s">
        <v>242</v>
      </c>
      <c r="J1260" s="44">
        <f>IFERROR(tblMoeHistory[[#This Row],[LEA State and Local Amount]]/tblMoeHistory[[#This Row],[Child Count]],0)</f>
        <v>9250.4405042016806</v>
      </c>
      <c r="K1260">
        <f>IFERROR(tblMoeHistory[[#This Row],[ESD State and Local Amount]]/tblMoeHistory[[#This Row],[Child Count]],0)</f>
        <v>858.50420168067228</v>
      </c>
      <c r="L1260" s="1">
        <f>IFERROR(tblMoeHistory[[#This Row],[State and Local Total Amount]]/tblMoeHistory[[#This Row],[Child Count]],0)</f>
        <v>10108.944705882352</v>
      </c>
      <c r="M1260">
        <v>0</v>
      </c>
      <c r="N1260" t="s">
        <v>241</v>
      </c>
      <c r="O1260">
        <v>143667.47</v>
      </c>
      <c r="P1260">
        <v>311.91000000000003</v>
      </c>
      <c r="Q1260">
        <f>tblMoeHistory[[#This Row],[Amount of IDEA Part B, Section 611 award]]+tblMoeHistory[[#This Row],[Amount of IDEA Part B, Section 619 award]]</f>
        <v>143979.38</v>
      </c>
      <c r="S1260">
        <v>77617.5</v>
      </c>
      <c r="U12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0" t="str">
        <f>IF(OR(IFERROR(SEARCH("Met",tblMoeHistory[[#This Row],[State and Local Per Capita Result]]),0)&gt;0,IFERROR(SEARCH("Met",tblMoeHistory[[#This Row],[State and Local Total Result]]),0)&gt;0),"Met","Not Met")</f>
        <v>Met</v>
      </c>
    </row>
    <row r="1261" spans="1:22" x14ac:dyDescent="0.35">
      <c r="A1261" t="s">
        <v>99</v>
      </c>
      <c r="B1261">
        <v>2201</v>
      </c>
      <c r="C1261" t="s">
        <v>18</v>
      </c>
      <c r="D1261">
        <v>25</v>
      </c>
      <c r="E1261">
        <v>75364.009999999995</v>
      </c>
      <c r="F1261">
        <v>37417.32</v>
      </c>
      <c r="G1261">
        <f>tblMoeHistory[[#This Row],[LEA State and Local Amount]]+tblMoeHistory[[#This Row],[ESD State and Local Amount]]</f>
        <v>112781.32999999999</v>
      </c>
      <c r="H1261">
        <v>0</v>
      </c>
      <c r="I1261" t="s">
        <v>242</v>
      </c>
      <c r="J1261" s="44">
        <f>IFERROR(tblMoeHistory[[#This Row],[LEA State and Local Amount]]/tblMoeHistory[[#This Row],[Child Count]],0)</f>
        <v>3014.5603999999998</v>
      </c>
      <c r="K1261">
        <f>IFERROR(tblMoeHistory[[#This Row],[ESD State and Local Amount]]/tblMoeHistory[[#This Row],[Child Count]],0)</f>
        <v>1496.6928</v>
      </c>
      <c r="L1261" s="1">
        <f>IFERROR(tblMoeHistory[[#This Row],[State and Local Total Amount]]/tblMoeHistory[[#This Row],[Child Count]],0)</f>
        <v>4511.2531999999992</v>
      </c>
      <c r="M1261">
        <v>0</v>
      </c>
      <c r="N1261" t="s">
        <v>241</v>
      </c>
      <c r="O1261">
        <v>25640.75</v>
      </c>
      <c r="P1261">
        <v>970.38</v>
      </c>
      <c r="Q1261">
        <f>tblMoeHistory[[#This Row],[Amount of IDEA Part B, Section 611 award]]+tblMoeHistory[[#This Row],[Amount of IDEA Part B, Section 619 award]]</f>
        <v>26611.13</v>
      </c>
      <c r="S1261">
        <v>24976.13</v>
      </c>
      <c r="U12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1" t="str">
        <f>IF(OR(IFERROR(SEARCH("Met",tblMoeHistory[[#This Row],[State and Local Per Capita Result]]),0)&gt;0,IFERROR(SEARCH("Met",tblMoeHistory[[#This Row],[State and Local Total Result]]),0)&gt;0),"Met","Not Met")</f>
        <v>Met</v>
      </c>
    </row>
    <row r="1262" spans="1:22" x14ac:dyDescent="0.35">
      <c r="A1262" t="s">
        <v>100</v>
      </c>
      <c r="B1262">
        <v>2206</v>
      </c>
      <c r="C1262" t="s">
        <v>18</v>
      </c>
      <c r="D1262">
        <v>724</v>
      </c>
      <c r="E1262">
        <v>5635649.2300000004</v>
      </c>
      <c r="F1262">
        <v>0</v>
      </c>
      <c r="G1262">
        <f>tblMoeHistory[[#This Row],[LEA State and Local Amount]]+tblMoeHistory[[#This Row],[ESD State and Local Amount]]</f>
        <v>5635649.2300000004</v>
      </c>
      <c r="H1262">
        <v>0</v>
      </c>
      <c r="I1262" t="s">
        <v>241</v>
      </c>
      <c r="J1262" s="44">
        <f>IFERROR(tblMoeHistory[[#This Row],[LEA State and Local Amount]]/tblMoeHistory[[#This Row],[Child Count]],0)</f>
        <v>7784.0458977900562</v>
      </c>
      <c r="K1262">
        <f>IFERROR(tblMoeHistory[[#This Row],[ESD State and Local Amount]]/tblMoeHistory[[#This Row],[Child Count]],0)</f>
        <v>0</v>
      </c>
      <c r="L1262" s="1">
        <f>IFERROR(tblMoeHistory[[#This Row],[State and Local Total Amount]]/tblMoeHistory[[#This Row],[Child Count]],0)</f>
        <v>7784.0458977900562</v>
      </c>
      <c r="M1262">
        <v>486616.26</v>
      </c>
      <c r="N1262" t="s">
        <v>240</v>
      </c>
      <c r="O1262">
        <v>767054.03</v>
      </c>
      <c r="P1262">
        <v>4754.8900000000003</v>
      </c>
      <c r="Q1262">
        <f>tblMoeHistory[[#This Row],[Amount of IDEA Part B, Section 611 award]]+tblMoeHistory[[#This Row],[Amount of IDEA Part B, Section 619 award]]</f>
        <v>771808.92</v>
      </c>
      <c r="T1262">
        <v>0</v>
      </c>
      <c r="U12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2" t="str">
        <f>IF(OR(IFERROR(SEARCH("Met",tblMoeHistory[[#This Row],[State and Local Per Capita Result]]),0)&gt;0,IFERROR(SEARCH("Met",tblMoeHistory[[#This Row],[State and Local Total Result]]),0)&gt;0),"Met","Not Met")</f>
        <v>Met</v>
      </c>
    </row>
    <row r="1263" spans="1:22" x14ac:dyDescent="0.35">
      <c r="A1263" t="s">
        <v>101</v>
      </c>
      <c r="B1263">
        <v>2239</v>
      </c>
      <c r="C1263" t="s">
        <v>18</v>
      </c>
      <c r="D1263">
        <v>2818</v>
      </c>
      <c r="E1263">
        <v>32161444.140000001</v>
      </c>
      <c r="F1263">
        <v>3760450</v>
      </c>
      <c r="G1263">
        <f>tblMoeHistory[[#This Row],[LEA State and Local Amount]]+tblMoeHistory[[#This Row],[ESD State and Local Amount]]</f>
        <v>35921894.140000001</v>
      </c>
      <c r="H1263">
        <v>0</v>
      </c>
      <c r="I1263" t="s">
        <v>241</v>
      </c>
      <c r="J1263" s="44">
        <f>IFERROR(tblMoeHistory[[#This Row],[LEA State and Local Amount]]/tblMoeHistory[[#This Row],[Child Count]],0)</f>
        <v>11412.861653655074</v>
      </c>
      <c r="K1263">
        <f>IFERROR(tblMoeHistory[[#This Row],[ESD State and Local Amount]]/tblMoeHistory[[#This Row],[Child Count]],0)</f>
        <v>1334.4393186657203</v>
      </c>
      <c r="L1263" s="1">
        <f>IFERROR(tblMoeHistory[[#This Row],[State and Local Total Amount]]/tblMoeHistory[[#This Row],[Child Count]],0)</f>
        <v>12747.300972320794</v>
      </c>
      <c r="M1263">
        <v>0</v>
      </c>
      <c r="N1263" t="s">
        <v>241</v>
      </c>
      <c r="O1263">
        <v>2909691.09</v>
      </c>
      <c r="P1263">
        <v>15990.16</v>
      </c>
      <c r="Q1263">
        <f>tblMoeHistory[[#This Row],[Amount of IDEA Part B, Section 611 award]]+tblMoeHistory[[#This Row],[Amount of IDEA Part B, Section 619 award]]</f>
        <v>2925681.25</v>
      </c>
      <c r="U12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3" t="str">
        <f>IF(OR(IFERROR(SEARCH("Met",tblMoeHistory[[#This Row],[State and Local Per Capita Result]]),0)&gt;0,IFERROR(SEARCH("Met",tblMoeHistory[[#This Row],[State and Local Total Result]]),0)&gt;0),"Met","Not Met")</f>
        <v>Met</v>
      </c>
    </row>
    <row r="1264" spans="1:22" x14ac:dyDescent="0.35">
      <c r="A1264" t="s">
        <v>102</v>
      </c>
      <c r="B1264">
        <v>2024</v>
      </c>
      <c r="C1264" t="s">
        <v>18</v>
      </c>
      <c r="D1264">
        <v>488</v>
      </c>
      <c r="E1264">
        <v>4181249</v>
      </c>
      <c r="F1264">
        <v>0</v>
      </c>
      <c r="G1264">
        <f>tblMoeHistory[[#This Row],[LEA State and Local Amount]]+tblMoeHistory[[#This Row],[ESD State and Local Amount]]</f>
        <v>4181249</v>
      </c>
      <c r="H1264">
        <v>0</v>
      </c>
      <c r="I1264" t="s">
        <v>241</v>
      </c>
      <c r="J1264" s="44">
        <f>IFERROR(tblMoeHistory[[#This Row],[LEA State and Local Amount]]/tblMoeHistory[[#This Row],[Child Count]],0)</f>
        <v>8568.1331967213118</v>
      </c>
      <c r="K1264">
        <f>IFERROR(tblMoeHistory[[#This Row],[ESD State and Local Amount]]/tblMoeHistory[[#This Row],[Child Count]],0)</f>
        <v>0</v>
      </c>
      <c r="L1264" s="1">
        <f>IFERROR(tblMoeHistory[[#This Row],[State and Local Total Amount]]/tblMoeHistory[[#This Row],[Child Count]],0)</f>
        <v>8568.1331967213118</v>
      </c>
      <c r="M1264">
        <v>0</v>
      </c>
      <c r="N1264" t="s">
        <v>241</v>
      </c>
      <c r="O1264">
        <v>663782.67000000004</v>
      </c>
      <c r="P1264">
        <v>5083.74</v>
      </c>
      <c r="Q1264">
        <f>tblMoeHistory[[#This Row],[Amount of IDEA Part B, Section 611 award]]+tblMoeHistory[[#This Row],[Amount of IDEA Part B, Section 619 award]]</f>
        <v>668866.41</v>
      </c>
      <c r="U12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4" t="str">
        <f>IF(OR(IFERROR(SEARCH("Met",tblMoeHistory[[#This Row],[State and Local Per Capita Result]]),0)&gt;0,IFERROR(SEARCH("Met",tblMoeHistory[[#This Row],[State and Local Total Result]]),0)&gt;0),"Met","Not Met")</f>
        <v>Met</v>
      </c>
    </row>
    <row r="1265" spans="1:22" x14ac:dyDescent="0.35">
      <c r="A1265" t="s">
        <v>103</v>
      </c>
      <c r="B1265">
        <v>1895</v>
      </c>
      <c r="C1265" t="s">
        <v>18</v>
      </c>
      <c r="D1265">
        <v>8</v>
      </c>
      <c r="E1265">
        <v>65509.85</v>
      </c>
      <c r="F1265">
        <v>46573.75</v>
      </c>
      <c r="G1265">
        <f>tblMoeHistory[[#This Row],[LEA State and Local Amount]]+tblMoeHistory[[#This Row],[ESD State and Local Amount]]</f>
        <v>112083.6</v>
      </c>
      <c r="H1265">
        <v>0</v>
      </c>
      <c r="I1265" t="s">
        <v>242</v>
      </c>
      <c r="J1265" s="44">
        <f>IFERROR(tblMoeHistory[[#This Row],[LEA State and Local Amount]]/tblMoeHistory[[#This Row],[Child Count]],0)</f>
        <v>8188.7312499999998</v>
      </c>
      <c r="K1265">
        <f>IFERROR(tblMoeHistory[[#This Row],[ESD State and Local Amount]]/tblMoeHistory[[#This Row],[Child Count]],0)</f>
        <v>5821.71875</v>
      </c>
      <c r="L1265" s="1">
        <f>IFERROR(tblMoeHistory[[#This Row],[State and Local Total Amount]]/tblMoeHistory[[#This Row],[Child Count]],0)</f>
        <v>14010.45</v>
      </c>
      <c r="M1265">
        <v>0</v>
      </c>
      <c r="N1265" t="s">
        <v>242</v>
      </c>
      <c r="O1265">
        <v>15475.29</v>
      </c>
      <c r="P1265">
        <v>970.38</v>
      </c>
      <c r="Q1265">
        <f>tblMoeHistory[[#This Row],[Amount of IDEA Part B, Section 611 award]]+tblMoeHistory[[#This Row],[Amount of IDEA Part B, Section 619 award]]</f>
        <v>16445.670000000002</v>
      </c>
      <c r="S1265">
        <v>9783.85</v>
      </c>
      <c r="T1265">
        <v>1222.98</v>
      </c>
      <c r="U12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5" t="str">
        <f>IF(OR(IFERROR(SEARCH("Met",tblMoeHistory[[#This Row],[State and Local Per Capita Result]]),0)&gt;0,IFERROR(SEARCH("Met",tblMoeHistory[[#This Row],[State and Local Total Result]]),0)&gt;0),"Met","Not Met")</f>
        <v>Met</v>
      </c>
    </row>
    <row r="1266" spans="1:22" x14ac:dyDescent="0.35">
      <c r="A1266" t="s">
        <v>104</v>
      </c>
      <c r="B1266">
        <v>2215</v>
      </c>
      <c r="C1266" t="s">
        <v>18</v>
      </c>
      <c r="D1266">
        <v>35</v>
      </c>
      <c r="E1266">
        <v>228634.52</v>
      </c>
      <c r="F1266">
        <v>52381.51</v>
      </c>
      <c r="G1266">
        <f>tblMoeHistory[[#This Row],[LEA State and Local Amount]]+tblMoeHistory[[#This Row],[ESD State and Local Amount]]</f>
        <v>281016.02999999997</v>
      </c>
      <c r="H1266">
        <v>0</v>
      </c>
      <c r="I1266" t="s">
        <v>241</v>
      </c>
      <c r="J1266" s="44">
        <f>IFERROR(tblMoeHistory[[#This Row],[LEA State and Local Amount]]/tblMoeHistory[[#This Row],[Child Count]],0)</f>
        <v>6532.4148571428568</v>
      </c>
      <c r="K1266">
        <f>IFERROR(tblMoeHistory[[#This Row],[ESD State and Local Amount]]/tblMoeHistory[[#This Row],[Child Count]],0)</f>
        <v>1496.6145714285715</v>
      </c>
      <c r="L1266" s="1">
        <f>IFERROR(tblMoeHistory[[#This Row],[State and Local Total Amount]]/tblMoeHistory[[#This Row],[Child Count]],0)</f>
        <v>8029.0294285714281</v>
      </c>
      <c r="M1266">
        <v>0</v>
      </c>
      <c r="N1266" t="s">
        <v>241</v>
      </c>
      <c r="O1266">
        <v>62226.18</v>
      </c>
      <c r="P1266">
        <v>0</v>
      </c>
      <c r="Q1266">
        <f>tblMoeHistory[[#This Row],[Amount of IDEA Part B, Section 611 award]]+tblMoeHistory[[#This Row],[Amount of IDEA Part B, Section 619 award]]</f>
        <v>62226.18</v>
      </c>
      <c r="U12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6" t="str">
        <f>IF(OR(IFERROR(SEARCH("Met",tblMoeHistory[[#This Row],[State and Local Per Capita Result]]),0)&gt;0,IFERROR(SEARCH("Met",tblMoeHistory[[#This Row],[State and Local Total Result]]),0)&gt;0),"Met","Not Met")</f>
        <v>Met</v>
      </c>
    </row>
    <row r="1267" spans="1:22" x14ac:dyDescent="0.35">
      <c r="A1267" t="s">
        <v>105</v>
      </c>
      <c r="B1267">
        <v>3997</v>
      </c>
      <c r="C1267" t="s">
        <v>18</v>
      </c>
      <c r="D1267">
        <v>24</v>
      </c>
      <c r="E1267">
        <v>168390.38</v>
      </c>
      <c r="F1267">
        <v>35908.559999999998</v>
      </c>
      <c r="G1267">
        <f>tblMoeHistory[[#This Row],[LEA State and Local Amount]]+tblMoeHistory[[#This Row],[ESD State and Local Amount]]</f>
        <v>204298.94</v>
      </c>
      <c r="H1267">
        <v>0</v>
      </c>
      <c r="I1267" t="s">
        <v>241</v>
      </c>
      <c r="J1267" s="44">
        <f>IFERROR(tblMoeHistory[[#This Row],[LEA State and Local Amount]]/tblMoeHistory[[#This Row],[Child Count]],0)</f>
        <v>7016.2658333333338</v>
      </c>
      <c r="K1267">
        <f>IFERROR(tblMoeHistory[[#This Row],[ESD State and Local Amount]]/tblMoeHistory[[#This Row],[Child Count]],0)</f>
        <v>1496.1899999999998</v>
      </c>
      <c r="L1267" s="1">
        <f>IFERROR(tblMoeHistory[[#This Row],[State and Local Total Amount]]/tblMoeHistory[[#This Row],[Child Count]],0)</f>
        <v>8512.4558333333334</v>
      </c>
      <c r="M1267">
        <v>0</v>
      </c>
      <c r="N1267" t="s">
        <v>241</v>
      </c>
      <c r="O1267">
        <v>22241.91</v>
      </c>
      <c r="P1267">
        <v>242.6</v>
      </c>
      <c r="Q1267">
        <f>tblMoeHistory[[#This Row],[Amount of IDEA Part B, Section 611 award]]+tblMoeHistory[[#This Row],[Amount of IDEA Part B, Section 619 award]]</f>
        <v>22484.51</v>
      </c>
      <c r="U12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7" t="str">
        <f>IF(OR(IFERROR(SEARCH("Met",tblMoeHistory[[#This Row],[State and Local Per Capita Result]]),0)&gt;0,IFERROR(SEARCH("Met",tblMoeHistory[[#This Row],[State and Local Total Result]]),0)&gt;0),"Met","Not Met")</f>
        <v>Met</v>
      </c>
    </row>
    <row r="1268" spans="1:22" x14ac:dyDescent="0.35">
      <c r="A1268" t="s">
        <v>106</v>
      </c>
      <c r="B1268">
        <v>2053</v>
      </c>
      <c r="C1268" t="s">
        <v>18</v>
      </c>
      <c r="D1268">
        <v>440</v>
      </c>
      <c r="E1268">
        <v>3934226.97</v>
      </c>
      <c r="F1268">
        <v>973520.18</v>
      </c>
      <c r="G1268">
        <f>tblMoeHistory[[#This Row],[LEA State and Local Amount]]+tblMoeHistory[[#This Row],[ESD State and Local Amount]]</f>
        <v>4907747.1500000004</v>
      </c>
      <c r="H1268">
        <v>0</v>
      </c>
      <c r="I1268" t="s">
        <v>241</v>
      </c>
      <c r="J1268" s="44">
        <f>IFERROR(tblMoeHistory[[#This Row],[LEA State and Local Amount]]/tblMoeHistory[[#This Row],[Child Count]],0)</f>
        <v>8941.4249318181828</v>
      </c>
      <c r="K1268">
        <f>IFERROR(tblMoeHistory[[#This Row],[ESD State and Local Amount]]/tblMoeHistory[[#This Row],[Child Count]],0)</f>
        <v>2212.5458636363637</v>
      </c>
      <c r="L1268" s="1">
        <f>IFERROR(tblMoeHistory[[#This Row],[State and Local Total Amount]]/tblMoeHistory[[#This Row],[Child Count]],0)</f>
        <v>11153.970795454547</v>
      </c>
      <c r="M1268">
        <v>0</v>
      </c>
      <c r="N1268" t="s">
        <v>241</v>
      </c>
      <c r="O1268">
        <v>479010.9</v>
      </c>
      <c r="P1268">
        <v>7317.9</v>
      </c>
      <c r="Q1268">
        <f>tblMoeHistory[[#This Row],[Amount of IDEA Part B, Section 611 award]]+tblMoeHistory[[#This Row],[Amount of IDEA Part B, Section 619 award]]</f>
        <v>486328.80000000005</v>
      </c>
      <c r="U12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8" t="str">
        <f>IF(OR(IFERROR(SEARCH("Met",tblMoeHistory[[#This Row],[State and Local Per Capita Result]]),0)&gt;0,IFERROR(SEARCH("Met",tblMoeHistory[[#This Row],[State and Local Total Result]]),0)&gt;0),"Met","Not Met")</f>
        <v>Met</v>
      </c>
    </row>
    <row r="1269" spans="1:22" x14ac:dyDescent="0.35">
      <c r="A1269" t="s">
        <v>107</v>
      </c>
      <c r="B1269">
        <v>2140</v>
      </c>
      <c r="C1269" t="s">
        <v>18</v>
      </c>
      <c r="D1269">
        <v>132</v>
      </c>
      <c r="E1269">
        <v>1063129.82</v>
      </c>
      <c r="F1269">
        <v>135980.26999999999</v>
      </c>
      <c r="G1269">
        <f>tblMoeHistory[[#This Row],[LEA State and Local Amount]]+tblMoeHistory[[#This Row],[ESD State and Local Amount]]</f>
        <v>1199110.0900000001</v>
      </c>
      <c r="H1269">
        <v>0</v>
      </c>
      <c r="I1269" t="s">
        <v>241</v>
      </c>
      <c r="J1269" s="44">
        <f>IFERROR(tblMoeHistory[[#This Row],[LEA State and Local Amount]]/tblMoeHistory[[#This Row],[Child Count]],0)</f>
        <v>8054.0137878787882</v>
      </c>
      <c r="K1269">
        <f>IFERROR(tblMoeHistory[[#This Row],[ESD State and Local Amount]]/tblMoeHistory[[#This Row],[Child Count]],0)</f>
        <v>1030.1535606060606</v>
      </c>
      <c r="L1269" s="1">
        <f>IFERROR(tblMoeHistory[[#This Row],[State and Local Total Amount]]/tblMoeHistory[[#This Row],[Child Count]],0)</f>
        <v>9084.1673484848488</v>
      </c>
      <c r="M1269">
        <v>0</v>
      </c>
      <c r="N1269" t="s">
        <v>241</v>
      </c>
      <c r="O1269">
        <v>142426.98000000001</v>
      </c>
      <c r="P1269">
        <v>909.74</v>
      </c>
      <c r="Q1269">
        <f>tblMoeHistory[[#This Row],[Amount of IDEA Part B, Section 611 award]]+tblMoeHistory[[#This Row],[Amount of IDEA Part B, Section 619 award]]</f>
        <v>143336.72</v>
      </c>
      <c r="U12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9" t="str">
        <f>IF(OR(IFERROR(SEARCH("Met",tblMoeHistory[[#This Row],[State and Local Per Capita Result]]),0)&gt;0,IFERROR(SEARCH("Met",tblMoeHistory[[#This Row],[State and Local Total Result]]),0)&gt;0),"Met","Not Met")</f>
        <v>Met</v>
      </c>
    </row>
    <row r="1270" spans="1:22" x14ac:dyDescent="0.35">
      <c r="A1270" t="s">
        <v>108</v>
      </c>
      <c r="B1270">
        <v>1934</v>
      </c>
      <c r="C1270" t="s">
        <v>18</v>
      </c>
      <c r="D1270">
        <v>15</v>
      </c>
      <c r="E1270">
        <v>278181.03999999998</v>
      </c>
      <c r="F1270">
        <v>51066</v>
      </c>
      <c r="G1270">
        <f>tblMoeHistory[[#This Row],[LEA State and Local Amount]]+tblMoeHistory[[#This Row],[ESD State and Local Amount]]</f>
        <v>329247.03999999998</v>
      </c>
      <c r="H1270">
        <v>0</v>
      </c>
      <c r="I1270" t="s">
        <v>241</v>
      </c>
      <c r="J1270" s="44">
        <f>IFERROR(tblMoeHistory[[#This Row],[LEA State and Local Amount]]/tblMoeHistory[[#This Row],[Child Count]],0)</f>
        <v>18545.402666666665</v>
      </c>
      <c r="K1270">
        <f>IFERROR(tblMoeHistory[[#This Row],[ESD State and Local Amount]]/tblMoeHistory[[#This Row],[Child Count]],0)</f>
        <v>3404.4</v>
      </c>
      <c r="L1270" s="1">
        <f>IFERROR(tblMoeHistory[[#This Row],[State and Local Total Amount]]/tblMoeHistory[[#This Row],[Child Count]],0)</f>
        <v>21949.802666666666</v>
      </c>
      <c r="M1270">
        <v>0</v>
      </c>
      <c r="N1270" t="s">
        <v>241</v>
      </c>
      <c r="O1270">
        <v>24798.01</v>
      </c>
      <c r="P1270">
        <v>970.38</v>
      </c>
      <c r="Q1270">
        <f>tblMoeHistory[[#This Row],[Amount of IDEA Part B, Section 611 award]]+tblMoeHistory[[#This Row],[Amount of IDEA Part B, Section 619 award]]</f>
        <v>25768.39</v>
      </c>
      <c r="U12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0" t="str">
        <f>IF(OR(IFERROR(SEARCH("Met",tblMoeHistory[[#This Row],[State and Local Per Capita Result]]),0)&gt;0,IFERROR(SEARCH("Met",tblMoeHistory[[#This Row],[State and Local Total Result]]),0)&gt;0),"Met","Not Met")</f>
        <v>Met</v>
      </c>
    </row>
    <row r="1271" spans="1:22" x14ac:dyDescent="0.35">
      <c r="A1271" t="s">
        <v>109</v>
      </c>
      <c r="B1271">
        <v>2008</v>
      </c>
      <c r="C1271" t="s">
        <v>18</v>
      </c>
      <c r="D1271">
        <v>96</v>
      </c>
      <c r="E1271">
        <v>803104.23</v>
      </c>
      <c r="F1271">
        <v>168502.98</v>
      </c>
      <c r="G1271">
        <f>tblMoeHistory[[#This Row],[LEA State and Local Amount]]+tblMoeHistory[[#This Row],[ESD State and Local Amount]]</f>
        <v>971607.21</v>
      </c>
      <c r="H1271">
        <v>0</v>
      </c>
      <c r="I1271" t="s">
        <v>241</v>
      </c>
      <c r="J1271" s="44">
        <f>IFERROR(tblMoeHistory[[#This Row],[LEA State and Local Amount]]/tblMoeHistory[[#This Row],[Child Count]],0)</f>
        <v>8365.6690624999992</v>
      </c>
      <c r="K1271">
        <f>IFERROR(tblMoeHistory[[#This Row],[ESD State and Local Amount]]/tblMoeHistory[[#This Row],[Child Count]],0)</f>
        <v>1755.2393750000001</v>
      </c>
      <c r="L1271" s="1">
        <f>IFERROR(tblMoeHistory[[#This Row],[State and Local Total Amount]]/tblMoeHistory[[#This Row],[Child Count]],0)</f>
        <v>10120.9084375</v>
      </c>
      <c r="M1271">
        <v>0</v>
      </c>
      <c r="N1271" t="s">
        <v>241</v>
      </c>
      <c r="O1271">
        <v>137792.32999999999</v>
      </c>
      <c r="P1271">
        <v>889.52</v>
      </c>
      <c r="Q1271">
        <f>tblMoeHistory[[#This Row],[Amount of IDEA Part B, Section 611 award]]+tblMoeHistory[[#This Row],[Amount of IDEA Part B, Section 619 award]]</f>
        <v>138681.84999999998</v>
      </c>
      <c r="U12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1" t="str">
        <f>IF(OR(IFERROR(SEARCH("Met",tblMoeHistory[[#This Row],[State and Local Per Capita Result]]),0)&gt;0,IFERROR(SEARCH("Met",tblMoeHistory[[#This Row],[State and Local Total Result]]),0)&gt;0),"Met","Not Met")</f>
        <v>Met</v>
      </c>
    </row>
    <row r="1272" spans="1:22" x14ac:dyDescent="0.35">
      <c r="A1272" t="s">
        <v>110</v>
      </c>
      <c r="B1272">
        <v>2107</v>
      </c>
      <c r="C1272" t="s">
        <v>18</v>
      </c>
      <c r="D1272">
        <v>8</v>
      </c>
      <c r="E1272">
        <v>67084.36</v>
      </c>
      <c r="F1272">
        <v>50912.2</v>
      </c>
      <c r="G1272">
        <f>tblMoeHistory[[#This Row],[LEA State and Local Amount]]+tblMoeHistory[[#This Row],[ESD State and Local Amount]]</f>
        <v>117996.56</v>
      </c>
      <c r="H1272">
        <v>0</v>
      </c>
      <c r="I1272" t="s">
        <v>241</v>
      </c>
      <c r="J1272" s="44">
        <f>IFERROR(tblMoeHistory[[#This Row],[LEA State and Local Amount]]/tblMoeHistory[[#This Row],[Child Count]],0)</f>
        <v>8385.5450000000001</v>
      </c>
      <c r="K1272">
        <f>IFERROR(tblMoeHistory[[#This Row],[ESD State and Local Amount]]/tblMoeHistory[[#This Row],[Child Count]],0)</f>
        <v>6364.0249999999996</v>
      </c>
      <c r="L1272" s="1">
        <f>IFERROR(tblMoeHistory[[#This Row],[State and Local Total Amount]]/tblMoeHistory[[#This Row],[Child Count]],0)</f>
        <v>14749.57</v>
      </c>
      <c r="M1272">
        <v>1534.93</v>
      </c>
      <c r="N1272" t="s">
        <v>240</v>
      </c>
      <c r="O1272">
        <v>17897.490000000002</v>
      </c>
      <c r="P1272">
        <v>485.19</v>
      </c>
      <c r="Q1272">
        <f>tblMoeHistory[[#This Row],[Amount of IDEA Part B, Section 611 award]]+tblMoeHistory[[#This Row],[Amount of IDEA Part B, Section 619 award]]</f>
        <v>18382.68</v>
      </c>
      <c r="T1272">
        <v>1634.78</v>
      </c>
      <c r="U12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2" t="str">
        <f>IF(OR(IFERROR(SEARCH("Met",tblMoeHistory[[#This Row],[State and Local Per Capita Result]]),0)&gt;0,IFERROR(SEARCH("Met",tblMoeHistory[[#This Row],[State and Local Total Result]]),0)&gt;0),"Met","Not Met")</f>
        <v>Met</v>
      </c>
    </row>
    <row r="1273" spans="1:22" x14ac:dyDescent="0.35">
      <c r="A1273" t="s">
        <v>111</v>
      </c>
      <c r="B1273">
        <v>2219</v>
      </c>
      <c r="C1273" t="s">
        <v>18</v>
      </c>
      <c r="D1273">
        <v>28</v>
      </c>
      <c r="E1273">
        <v>112899.75</v>
      </c>
      <c r="F1273">
        <v>152281.66</v>
      </c>
      <c r="G1273">
        <f>tblMoeHistory[[#This Row],[LEA State and Local Amount]]+tblMoeHistory[[#This Row],[ESD State and Local Amount]]</f>
        <v>265181.41000000003</v>
      </c>
      <c r="H1273">
        <v>0</v>
      </c>
      <c r="I1273" t="s">
        <v>241</v>
      </c>
      <c r="J1273" s="44">
        <f>IFERROR(tblMoeHistory[[#This Row],[LEA State and Local Amount]]/tblMoeHistory[[#This Row],[Child Count]],0)</f>
        <v>4032.1339285714284</v>
      </c>
      <c r="K1273">
        <f>IFERROR(tblMoeHistory[[#This Row],[ESD State and Local Amount]]/tblMoeHistory[[#This Row],[Child Count]],0)</f>
        <v>5438.630714285714</v>
      </c>
      <c r="L1273" s="1">
        <f>IFERROR(tblMoeHistory[[#This Row],[State and Local Total Amount]]/tblMoeHistory[[#This Row],[Child Count]],0)</f>
        <v>9470.7646428571443</v>
      </c>
      <c r="M1273">
        <v>28709.56</v>
      </c>
      <c r="N1273" t="s">
        <v>240</v>
      </c>
      <c r="O1273">
        <v>49897.29</v>
      </c>
      <c r="P1273">
        <v>606.49</v>
      </c>
      <c r="Q1273">
        <f>tblMoeHistory[[#This Row],[Amount of IDEA Part B, Section 611 award]]+tblMoeHistory[[#This Row],[Amount of IDEA Part B, Section 619 award]]</f>
        <v>50503.78</v>
      </c>
      <c r="T1273">
        <v>0</v>
      </c>
      <c r="U12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3" t="str">
        <f>IF(OR(IFERROR(SEARCH("Met",tblMoeHistory[[#This Row],[State and Local Per Capita Result]]),0)&gt;0,IFERROR(SEARCH("Met",tblMoeHistory[[#This Row],[State and Local Total Result]]),0)&gt;0),"Met","Not Met")</f>
        <v>Met</v>
      </c>
    </row>
    <row r="1274" spans="1:22" x14ac:dyDescent="0.35">
      <c r="A1274" t="s">
        <v>112</v>
      </c>
      <c r="B1274">
        <v>2091</v>
      </c>
      <c r="C1274" t="s">
        <v>18</v>
      </c>
      <c r="D1274">
        <v>239</v>
      </c>
      <c r="E1274">
        <v>1607384.62</v>
      </c>
      <c r="F1274">
        <v>442220</v>
      </c>
      <c r="G1274">
        <f>tblMoeHistory[[#This Row],[LEA State and Local Amount]]+tblMoeHistory[[#This Row],[ESD State and Local Amount]]</f>
        <v>2049604.62</v>
      </c>
      <c r="H1274">
        <v>0</v>
      </c>
      <c r="I1274" t="s">
        <v>241</v>
      </c>
      <c r="J1274" s="44">
        <f>IFERROR(tblMoeHistory[[#This Row],[LEA State and Local Amount]]/tblMoeHistory[[#This Row],[Child Count]],0)</f>
        <v>6725.4586610878669</v>
      </c>
      <c r="K1274">
        <f>IFERROR(tblMoeHistory[[#This Row],[ESD State and Local Amount]]/tblMoeHistory[[#This Row],[Child Count]],0)</f>
        <v>1850.2928870292887</v>
      </c>
      <c r="L1274" s="1">
        <f>IFERROR(tblMoeHistory[[#This Row],[State and Local Total Amount]]/tblMoeHistory[[#This Row],[Child Count]],0)</f>
        <v>8575.7515481171558</v>
      </c>
      <c r="M1274">
        <v>67938.539999999994</v>
      </c>
      <c r="N1274" t="s">
        <v>240</v>
      </c>
      <c r="O1274">
        <v>308555.31</v>
      </c>
      <c r="P1274">
        <v>2953.35</v>
      </c>
      <c r="Q1274">
        <f>tblMoeHistory[[#This Row],[Amount of IDEA Part B, Section 611 award]]+tblMoeHistory[[#This Row],[Amount of IDEA Part B, Section 619 award]]</f>
        <v>311508.65999999997</v>
      </c>
      <c r="T1274">
        <v>588.88</v>
      </c>
      <c r="U12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4" t="str">
        <f>IF(OR(IFERROR(SEARCH("Met",tblMoeHistory[[#This Row],[State and Local Per Capita Result]]),0)&gt;0,IFERROR(SEARCH("Met",tblMoeHistory[[#This Row],[State and Local Total Result]]),0)&gt;0),"Met","Not Met")</f>
        <v>Met</v>
      </c>
    </row>
    <row r="1275" spans="1:22" x14ac:dyDescent="0.35">
      <c r="A1275" t="s">
        <v>113</v>
      </c>
      <c r="B1275">
        <v>2109</v>
      </c>
      <c r="C1275" t="s">
        <v>18</v>
      </c>
      <c r="D1275">
        <v>0</v>
      </c>
      <c r="E1275">
        <v>0</v>
      </c>
      <c r="F1275">
        <v>10366.42</v>
      </c>
      <c r="G1275">
        <f>tblMoeHistory[[#This Row],[LEA State and Local Amount]]+tblMoeHistory[[#This Row],[ESD State and Local Amount]]</f>
        <v>10366.42</v>
      </c>
      <c r="H1275">
        <v>0</v>
      </c>
      <c r="I1275" t="s">
        <v>241</v>
      </c>
      <c r="J1275" s="44">
        <f>IFERROR(tblMoeHistory[[#This Row],[LEA State and Local Amount]]/tblMoeHistory[[#This Row],[Child Count]],0)</f>
        <v>0</v>
      </c>
      <c r="K1275">
        <f>IFERROR(tblMoeHistory[[#This Row],[ESD State and Local Amount]]/tblMoeHistory[[#This Row],[Child Count]],0)</f>
        <v>0</v>
      </c>
      <c r="L1275" s="1">
        <f>IFERROR(tblMoeHistory[[#This Row],[State and Local Total Amount]]/tblMoeHistory[[#This Row],[Child Count]],0)</f>
        <v>0</v>
      </c>
      <c r="M1275">
        <v>0</v>
      </c>
      <c r="N1275" t="s">
        <v>242</v>
      </c>
      <c r="O1275">
        <v>1645.78</v>
      </c>
      <c r="P1275">
        <v>0</v>
      </c>
      <c r="Q1275">
        <f>tblMoeHistory[[#This Row],[Amount of IDEA Part B, Section 611 award]]+tblMoeHistory[[#This Row],[Amount of IDEA Part B, Section 619 award]]</f>
        <v>1645.78</v>
      </c>
      <c r="T1275">
        <v>2914.32</v>
      </c>
      <c r="U12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5" t="str">
        <f>IF(OR(IFERROR(SEARCH("Met",tblMoeHistory[[#This Row],[State and Local Per Capita Result]]),0)&gt;0,IFERROR(SEARCH("Met",tblMoeHistory[[#This Row],[State and Local Total Result]]),0)&gt;0),"Met","Not Met")</f>
        <v>Met</v>
      </c>
    </row>
    <row r="1276" spans="1:22" x14ac:dyDescent="0.35">
      <c r="A1276" t="s">
        <v>114</v>
      </c>
      <c r="B1276">
        <v>2057</v>
      </c>
      <c r="C1276" t="s">
        <v>18</v>
      </c>
      <c r="D1276">
        <v>876</v>
      </c>
      <c r="E1276">
        <v>6735694.7999999998</v>
      </c>
      <c r="F1276">
        <v>324239.26</v>
      </c>
      <c r="G1276">
        <f>tblMoeHistory[[#This Row],[LEA State and Local Amount]]+tblMoeHistory[[#This Row],[ESD State and Local Amount]]</f>
        <v>7059934.0599999996</v>
      </c>
      <c r="H1276">
        <v>0</v>
      </c>
      <c r="I1276" t="s">
        <v>241</v>
      </c>
      <c r="J1276" s="44">
        <f>IFERROR(tblMoeHistory[[#This Row],[LEA State and Local Amount]]/tblMoeHistory[[#This Row],[Child Count]],0)</f>
        <v>7689.1493150684928</v>
      </c>
      <c r="K1276">
        <f>IFERROR(tblMoeHistory[[#This Row],[ESD State and Local Amount]]/tblMoeHistory[[#This Row],[Child Count]],0)</f>
        <v>370.13614155251145</v>
      </c>
      <c r="L1276" s="1">
        <f>IFERROR(tblMoeHistory[[#This Row],[State and Local Total Amount]]/tblMoeHistory[[#This Row],[Child Count]],0)</f>
        <v>8059.2854566210044</v>
      </c>
      <c r="M1276">
        <v>0</v>
      </c>
      <c r="N1276" t="s">
        <v>241</v>
      </c>
      <c r="O1276">
        <v>1193750.3400000001</v>
      </c>
      <c r="P1276">
        <v>10750.64</v>
      </c>
      <c r="Q1276">
        <f>tblMoeHistory[[#This Row],[Amount of IDEA Part B, Section 611 award]]+tblMoeHistory[[#This Row],[Amount of IDEA Part B, Section 619 award]]</f>
        <v>1204500.98</v>
      </c>
      <c r="U12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6" t="str">
        <f>IF(OR(IFERROR(SEARCH("Met",tblMoeHistory[[#This Row],[State and Local Per Capita Result]]),0)&gt;0,IFERROR(SEARCH("Met",tblMoeHistory[[#This Row],[State and Local Total Result]]),0)&gt;0),"Met","Not Met")</f>
        <v>Met</v>
      </c>
    </row>
    <row r="1277" spans="1:22" x14ac:dyDescent="0.35">
      <c r="A1277" t="s">
        <v>115</v>
      </c>
      <c r="B1277">
        <v>2056</v>
      </c>
      <c r="C1277" t="s">
        <v>18</v>
      </c>
      <c r="D1277">
        <v>413</v>
      </c>
      <c r="E1277">
        <v>3457935.2</v>
      </c>
      <c r="F1277">
        <v>48411.19</v>
      </c>
      <c r="G1277">
        <f>tblMoeHistory[[#This Row],[LEA State and Local Amount]]+tblMoeHistory[[#This Row],[ESD State and Local Amount]]</f>
        <v>3506346.39</v>
      </c>
      <c r="H1277">
        <v>0</v>
      </c>
      <c r="I1277" t="s">
        <v>241</v>
      </c>
      <c r="J1277" s="44">
        <f>IFERROR(tblMoeHistory[[#This Row],[LEA State and Local Amount]]/tblMoeHistory[[#This Row],[Child Count]],0)</f>
        <v>8372.724455205811</v>
      </c>
      <c r="K1277">
        <f>IFERROR(tblMoeHistory[[#This Row],[ESD State and Local Amount]]/tblMoeHistory[[#This Row],[Child Count]],0)</f>
        <v>117.21837772397095</v>
      </c>
      <c r="L1277" s="1">
        <f>IFERROR(tblMoeHistory[[#This Row],[State and Local Total Amount]]/tblMoeHistory[[#This Row],[Child Count]],0)</f>
        <v>8489.9428329297825</v>
      </c>
      <c r="M1277">
        <v>0</v>
      </c>
      <c r="N1277" t="s">
        <v>241</v>
      </c>
      <c r="O1277">
        <v>642641.53</v>
      </c>
      <c r="P1277">
        <v>5337.12</v>
      </c>
      <c r="Q1277">
        <f>tblMoeHistory[[#This Row],[Amount of IDEA Part B, Section 611 award]]+tblMoeHistory[[#This Row],[Amount of IDEA Part B, Section 619 award]]</f>
        <v>647978.65</v>
      </c>
      <c r="U12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7" t="str">
        <f>IF(OR(IFERROR(SEARCH("Met",tblMoeHistory[[#This Row],[State and Local Per Capita Result]]),0)&gt;0,IFERROR(SEARCH("Met",tblMoeHistory[[#This Row],[State and Local Total Result]]),0)&gt;0),"Met","Not Met")</f>
        <v>Met</v>
      </c>
    </row>
    <row r="1278" spans="1:22" x14ac:dyDescent="0.35">
      <c r="A1278" t="s">
        <v>116</v>
      </c>
      <c r="B1278">
        <v>2262</v>
      </c>
      <c r="C1278" t="s">
        <v>18</v>
      </c>
      <c r="D1278">
        <v>85</v>
      </c>
      <c r="E1278">
        <v>626637.64</v>
      </c>
      <c r="F1278">
        <v>104434</v>
      </c>
      <c r="G1278">
        <f>tblMoeHistory[[#This Row],[LEA State and Local Amount]]+tblMoeHistory[[#This Row],[ESD State and Local Amount]]</f>
        <v>731071.64</v>
      </c>
      <c r="H1278">
        <v>0</v>
      </c>
      <c r="I1278" t="s">
        <v>241</v>
      </c>
      <c r="J1278" s="44">
        <f>IFERROR(tblMoeHistory[[#This Row],[LEA State and Local Amount]]/tblMoeHistory[[#This Row],[Child Count]],0)</f>
        <v>7372.2075294117649</v>
      </c>
      <c r="K1278">
        <f>IFERROR(tblMoeHistory[[#This Row],[ESD State and Local Amount]]/tblMoeHistory[[#This Row],[Child Count]],0)</f>
        <v>1228.6352941176472</v>
      </c>
      <c r="L1278" s="1">
        <f>IFERROR(tblMoeHistory[[#This Row],[State and Local Total Amount]]/tblMoeHistory[[#This Row],[Child Count]],0)</f>
        <v>8600.8428235294123</v>
      </c>
      <c r="M1278">
        <v>0</v>
      </c>
      <c r="N1278" t="s">
        <v>241</v>
      </c>
      <c r="O1278">
        <v>78158.47</v>
      </c>
      <c r="P1278">
        <v>377.37</v>
      </c>
      <c r="Q1278">
        <f>tblMoeHistory[[#This Row],[Amount of IDEA Part B, Section 611 award]]+tblMoeHistory[[#This Row],[Amount of IDEA Part B, Section 619 award]]</f>
        <v>78535.839999999997</v>
      </c>
      <c r="U12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8" t="str">
        <f>IF(OR(IFERROR(SEARCH("Met",tblMoeHistory[[#This Row],[State and Local Per Capita Result]]),0)&gt;0,IFERROR(SEARCH("Met",tblMoeHistory[[#This Row],[State and Local Total Result]]),0)&gt;0),"Met","Not Met")</f>
        <v>Met</v>
      </c>
    </row>
    <row r="1279" spans="1:22" x14ac:dyDescent="0.35">
      <c r="A1279" t="s">
        <v>117</v>
      </c>
      <c r="B1279">
        <v>2212</v>
      </c>
      <c r="C1279" t="s">
        <v>18</v>
      </c>
      <c r="D1279">
        <v>304</v>
      </c>
      <c r="E1279">
        <v>2466892.73</v>
      </c>
      <c r="F1279">
        <v>303947.18</v>
      </c>
      <c r="G1279">
        <f>tblMoeHistory[[#This Row],[LEA State and Local Amount]]+tblMoeHistory[[#This Row],[ESD State and Local Amount]]</f>
        <v>2770839.91</v>
      </c>
      <c r="H1279">
        <v>0</v>
      </c>
      <c r="I1279" t="s">
        <v>241</v>
      </c>
      <c r="J1279" s="44">
        <f>IFERROR(tblMoeHistory[[#This Row],[LEA State and Local Amount]]/tblMoeHistory[[#This Row],[Child Count]],0)</f>
        <v>8114.7787171052632</v>
      </c>
      <c r="K1279">
        <f>IFERROR(tblMoeHistory[[#This Row],[ESD State and Local Amount]]/tblMoeHistory[[#This Row],[Child Count]],0)</f>
        <v>999.82624999999996</v>
      </c>
      <c r="L1279" s="1">
        <f>IFERROR(tblMoeHistory[[#This Row],[State and Local Total Amount]]/tblMoeHistory[[#This Row],[Child Count]],0)</f>
        <v>9114.6049671052642</v>
      </c>
      <c r="M1279">
        <v>0</v>
      </c>
      <c r="N1279" t="s">
        <v>241</v>
      </c>
      <c r="O1279">
        <v>435867.23</v>
      </c>
      <c r="P1279">
        <v>1672.37</v>
      </c>
      <c r="Q1279">
        <f>tblMoeHistory[[#This Row],[Amount of IDEA Part B, Section 611 award]]+tblMoeHistory[[#This Row],[Amount of IDEA Part B, Section 619 award]]</f>
        <v>437539.6</v>
      </c>
      <c r="U12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9" t="str">
        <f>IF(OR(IFERROR(SEARCH("Met",tblMoeHistory[[#This Row],[State and Local Per Capita Result]]),0)&gt;0,IFERROR(SEARCH("Met",tblMoeHistory[[#This Row],[State and Local Total Result]]),0)&gt;0),"Met","Not Met")</f>
        <v>Met</v>
      </c>
    </row>
    <row r="1280" spans="1:22" x14ac:dyDescent="0.35">
      <c r="A1280" t="s">
        <v>118</v>
      </c>
      <c r="B1280">
        <v>2059</v>
      </c>
      <c r="C1280" t="s">
        <v>18</v>
      </c>
      <c r="D1280">
        <v>97</v>
      </c>
      <c r="E1280">
        <v>441259.34</v>
      </c>
      <c r="F1280">
        <v>268118.5</v>
      </c>
      <c r="G1280">
        <f>tblMoeHistory[[#This Row],[LEA State and Local Amount]]+tblMoeHistory[[#This Row],[ESD State and Local Amount]]</f>
        <v>709377.84000000008</v>
      </c>
      <c r="H1280">
        <v>0</v>
      </c>
      <c r="I1280" t="s">
        <v>242</v>
      </c>
      <c r="J1280" s="44">
        <f>IFERROR(tblMoeHistory[[#This Row],[LEA State and Local Amount]]/tblMoeHistory[[#This Row],[Child Count]],0)</f>
        <v>4549.0653608247421</v>
      </c>
      <c r="K1280">
        <f>IFERROR(tblMoeHistory[[#This Row],[ESD State and Local Amount]]/tblMoeHistory[[#This Row],[Child Count]],0)</f>
        <v>2764.1082474226805</v>
      </c>
      <c r="L1280" s="1">
        <f>IFERROR(tblMoeHistory[[#This Row],[State and Local Total Amount]]/tblMoeHistory[[#This Row],[Child Count]],0)</f>
        <v>7313.1736082474235</v>
      </c>
      <c r="M1280">
        <v>0</v>
      </c>
      <c r="N1280" t="s">
        <v>241</v>
      </c>
      <c r="O1280">
        <v>137970.82999999999</v>
      </c>
      <c r="P1280">
        <v>2646.5</v>
      </c>
      <c r="Q1280">
        <f>tblMoeHistory[[#This Row],[Amount of IDEA Part B, Section 611 award]]+tblMoeHistory[[#This Row],[Amount of IDEA Part B, Section 619 award]]</f>
        <v>140617.32999999999</v>
      </c>
      <c r="S1280">
        <v>81076.13</v>
      </c>
      <c r="U12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0" t="str">
        <f>IF(OR(IFERROR(SEARCH("Met",tblMoeHistory[[#This Row],[State and Local Per Capita Result]]),0)&gt;0,IFERROR(SEARCH("Met",tblMoeHistory[[#This Row],[State and Local Total Result]]),0)&gt;0),"Met","Not Met")</f>
        <v>Met</v>
      </c>
    </row>
    <row r="1281" spans="1:22" x14ac:dyDescent="0.35">
      <c r="A1281" t="s">
        <v>119</v>
      </c>
      <c r="B1281">
        <v>1923</v>
      </c>
      <c r="C1281" t="s">
        <v>18</v>
      </c>
      <c r="D1281">
        <v>640</v>
      </c>
      <c r="E1281">
        <v>11102832.199999999</v>
      </c>
      <c r="F1281">
        <v>224361</v>
      </c>
      <c r="G1281">
        <f>tblMoeHistory[[#This Row],[LEA State and Local Amount]]+tblMoeHistory[[#This Row],[ESD State and Local Amount]]</f>
        <v>11327193.199999999</v>
      </c>
      <c r="H1281">
        <v>0</v>
      </c>
      <c r="I1281" t="s">
        <v>241</v>
      </c>
      <c r="J1281" s="44">
        <f>IFERROR(tblMoeHistory[[#This Row],[LEA State and Local Amount]]/tblMoeHistory[[#This Row],[Child Count]],0)</f>
        <v>17348.1753125</v>
      </c>
      <c r="K1281">
        <f>IFERROR(tblMoeHistory[[#This Row],[ESD State and Local Amount]]/tblMoeHistory[[#This Row],[Child Count]],0)</f>
        <v>350.56406249999998</v>
      </c>
      <c r="L1281" s="1">
        <f>IFERROR(tblMoeHistory[[#This Row],[State and Local Total Amount]]/tblMoeHistory[[#This Row],[Child Count]],0)</f>
        <v>17698.739374999997</v>
      </c>
      <c r="M1281">
        <v>450618.37</v>
      </c>
      <c r="N1281" t="s">
        <v>240</v>
      </c>
      <c r="O1281">
        <v>1013224.61</v>
      </c>
      <c r="P1281">
        <v>2549.3200000000002</v>
      </c>
      <c r="Q1281">
        <f>tblMoeHistory[[#This Row],[Amount of IDEA Part B, Section 611 award]]+tblMoeHistory[[#This Row],[Amount of IDEA Part B, Section 619 award]]</f>
        <v>1015773.9299999999</v>
      </c>
      <c r="T1281">
        <v>0</v>
      </c>
      <c r="U12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1" t="str">
        <f>IF(OR(IFERROR(SEARCH("Met",tblMoeHistory[[#This Row],[State and Local Per Capita Result]]),0)&gt;0,IFERROR(SEARCH("Met",tblMoeHistory[[#This Row],[State and Local Total Result]]),0)&gt;0),"Met","Not Met")</f>
        <v>Met</v>
      </c>
    </row>
    <row r="1282" spans="1:22" x14ac:dyDescent="0.35">
      <c r="A1282" t="s">
        <v>120</v>
      </c>
      <c r="B1282">
        <v>2101</v>
      </c>
      <c r="C1282" t="s">
        <v>18</v>
      </c>
      <c r="D1282">
        <v>642</v>
      </c>
      <c r="E1282">
        <v>4780529.6500000004</v>
      </c>
      <c r="F1282">
        <v>848328</v>
      </c>
      <c r="G1282">
        <f>tblMoeHistory[[#This Row],[LEA State and Local Amount]]+tblMoeHistory[[#This Row],[ESD State and Local Amount]]</f>
        <v>5628857.6500000004</v>
      </c>
      <c r="H1282">
        <v>0</v>
      </c>
      <c r="I1282" t="s">
        <v>241</v>
      </c>
      <c r="J1282" s="44">
        <f>IFERROR(tblMoeHistory[[#This Row],[LEA State and Local Amount]]/tblMoeHistory[[#This Row],[Child Count]],0)</f>
        <v>7446.307866043614</v>
      </c>
      <c r="K1282">
        <f>IFERROR(tblMoeHistory[[#This Row],[ESD State and Local Amount]]/tblMoeHistory[[#This Row],[Child Count]],0)</f>
        <v>1321.3831775700935</v>
      </c>
      <c r="L1282" s="1">
        <f>IFERROR(tblMoeHistory[[#This Row],[State and Local Total Amount]]/tblMoeHistory[[#This Row],[Child Count]],0)</f>
        <v>8767.6910436137077</v>
      </c>
      <c r="M1282">
        <v>0</v>
      </c>
      <c r="N1282" t="s">
        <v>241</v>
      </c>
      <c r="O1282">
        <v>753814.95</v>
      </c>
      <c r="P1282">
        <v>4602.1899999999996</v>
      </c>
      <c r="Q1282">
        <f>tblMoeHistory[[#This Row],[Amount of IDEA Part B, Section 611 award]]+tblMoeHistory[[#This Row],[Amount of IDEA Part B, Section 619 award]]</f>
        <v>758417.1399999999</v>
      </c>
      <c r="U12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2" t="str">
        <f>IF(OR(IFERROR(SEARCH("Met",tblMoeHistory[[#This Row],[State and Local Per Capita Result]]),0)&gt;0,IFERROR(SEARCH("Met",tblMoeHistory[[#This Row],[State and Local Total Result]]),0)&gt;0),"Met","Not Met")</f>
        <v>Met</v>
      </c>
    </row>
    <row r="1283" spans="1:22" x14ac:dyDescent="0.35">
      <c r="A1283" t="s">
        <v>121</v>
      </c>
      <c r="B1283">
        <v>2097</v>
      </c>
      <c r="C1283" t="s">
        <v>18</v>
      </c>
      <c r="D1283">
        <v>701</v>
      </c>
      <c r="E1283">
        <v>6715341.7400000002</v>
      </c>
      <c r="F1283">
        <v>563018</v>
      </c>
      <c r="G1283">
        <f>tblMoeHistory[[#This Row],[LEA State and Local Amount]]+tblMoeHistory[[#This Row],[ESD State and Local Amount]]</f>
        <v>7278359.7400000002</v>
      </c>
      <c r="H1283">
        <v>0</v>
      </c>
      <c r="I1283" t="s">
        <v>241</v>
      </c>
      <c r="J1283" s="44">
        <f>IFERROR(tblMoeHistory[[#This Row],[LEA State and Local Amount]]/tblMoeHistory[[#This Row],[Child Count]],0)</f>
        <v>9579.660114122682</v>
      </c>
      <c r="K1283">
        <f>IFERROR(tblMoeHistory[[#This Row],[ESD State and Local Amount]]/tblMoeHistory[[#This Row],[Child Count]],0)</f>
        <v>803.16405135520688</v>
      </c>
      <c r="L1283" s="1">
        <f>IFERROR(tblMoeHistory[[#This Row],[State and Local Total Amount]]/tblMoeHistory[[#This Row],[Child Count]],0)</f>
        <v>10382.824165477889</v>
      </c>
      <c r="M1283">
        <v>0</v>
      </c>
      <c r="N1283" t="s">
        <v>241</v>
      </c>
      <c r="O1283">
        <v>972916.86</v>
      </c>
      <c r="P1283">
        <v>12495.99</v>
      </c>
      <c r="Q1283">
        <f>tblMoeHistory[[#This Row],[Amount of IDEA Part B, Section 611 award]]+tblMoeHistory[[#This Row],[Amount of IDEA Part B, Section 619 award]]</f>
        <v>985412.85</v>
      </c>
      <c r="U12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3" t="str">
        <f>IF(OR(IFERROR(SEARCH("Met",tblMoeHistory[[#This Row],[State and Local Per Capita Result]]),0)&gt;0,IFERROR(SEARCH("Met",tblMoeHistory[[#This Row],[State and Local Total Result]]),0)&gt;0),"Met","Not Met")</f>
        <v>Met</v>
      </c>
    </row>
    <row r="1284" spans="1:22" x14ac:dyDescent="0.35">
      <c r="A1284" t="s">
        <v>122</v>
      </c>
      <c r="B1284">
        <v>2012</v>
      </c>
      <c r="C1284" t="s">
        <v>18</v>
      </c>
      <c r="D1284">
        <v>5</v>
      </c>
      <c r="E1284">
        <v>24702.69</v>
      </c>
      <c r="F1284">
        <v>73323.83</v>
      </c>
      <c r="G1284">
        <f>tblMoeHistory[[#This Row],[LEA State and Local Amount]]+tblMoeHistory[[#This Row],[ESD State and Local Amount]]</f>
        <v>98026.52</v>
      </c>
      <c r="H1284">
        <v>0</v>
      </c>
      <c r="I1284" t="s">
        <v>241</v>
      </c>
      <c r="J1284" s="44">
        <f>IFERROR(tblMoeHistory[[#This Row],[LEA State and Local Amount]]/tblMoeHistory[[#This Row],[Child Count]],0)</f>
        <v>4940.5379999999996</v>
      </c>
      <c r="K1284">
        <f>IFERROR(tblMoeHistory[[#This Row],[ESD State and Local Amount]]/tblMoeHistory[[#This Row],[Child Count]],0)</f>
        <v>14664.766</v>
      </c>
      <c r="L1284" s="1">
        <f>IFERROR(tblMoeHistory[[#This Row],[State and Local Total Amount]]/tblMoeHistory[[#This Row],[Child Count]],0)</f>
        <v>19605.304</v>
      </c>
      <c r="M1284">
        <v>101977.66</v>
      </c>
      <c r="N1284" t="s">
        <v>240</v>
      </c>
      <c r="O1284">
        <v>6101.63</v>
      </c>
      <c r="P1284">
        <v>0</v>
      </c>
      <c r="Q1284">
        <f>tblMoeHistory[[#This Row],[Amount of IDEA Part B, Section 611 award]]+tblMoeHistory[[#This Row],[Amount of IDEA Part B, Section 619 award]]</f>
        <v>6101.63</v>
      </c>
      <c r="T1284">
        <v>0</v>
      </c>
      <c r="U12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4" t="str">
        <f>IF(OR(IFERROR(SEARCH("Met",tblMoeHistory[[#This Row],[State and Local Per Capita Result]]),0)&gt;0,IFERROR(SEARCH("Met",tblMoeHistory[[#This Row],[State and Local Total Result]]),0)&gt;0),"Met","Not Met")</f>
        <v>Met</v>
      </c>
    </row>
    <row r="1285" spans="1:22" x14ac:dyDescent="0.35">
      <c r="A1285" t="s">
        <v>123</v>
      </c>
      <c r="B1285">
        <v>2092</v>
      </c>
      <c r="C1285" t="s">
        <v>18</v>
      </c>
      <c r="D1285">
        <v>53</v>
      </c>
      <c r="E1285">
        <v>405350.28</v>
      </c>
      <c r="F1285">
        <v>128669</v>
      </c>
      <c r="G1285">
        <f>tblMoeHistory[[#This Row],[LEA State and Local Amount]]+tblMoeHistory[[#This Row],[ESD State and Local Amount]]</f>
        <v>534019.28</v>
      </c>
      <c r="H1285">
        <v>0</v>
      </c>
      <c r="I1285" t="s">
        <v>242</v>
      </c>
      <c r="J1285" s="44">
        <f>IFERROR(tblMoeHistory[[#This Row],[LEA State and Local Amount]]/tblMoeHistory[[#This Row],[Child Count]],0)</f>
        <v>7648.1184905660384</v>
      </c>
      <c r="K1285">
        <f>IFERROR(tblMoeHistory[[#This Row],[ESD State and Local Amount]]/tblMoeHistory[[#This Row],[Child Count]],0)</f>
        <v>2427.7169811320755</v>
      </c>
      <c r="L1285" s="1">
        <f>IFERROR(tblMoeHistory[[#This Row],[State and Local Total Amount]]/tblMoeHistory[[#This Row],[Child Count]],0)</f>
        <v>10075.835471698114</v>
      </c>
      <c r="M1285">
        <v>52866.03</v>
      </c>
      <c r="N1285" t="s">
        <v>240</v>
      </c>
      <c r="O1285">
        <v>85278.58</v>
      </c>
      <c r="P1285">
        <v>485.19</v>
      </c>
      <c r="Q1285">
        <f>tblMoeHistory[[#This Row],[Amount of IDEA Part B, Section 611 award]]+tblMoeHistory[[#This Row],[Amount of IDEA Part B, Section 619 award]]</f>
        <v>85763.77</v>
      </c>
      <c r="S1285">
        <v>0</v>
      </c>
      <c r="T1285">
        <v>148.26</v>
      </c>
      <c r="U12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5" t="str">
        <f>IF(OR(IFERROR(SEARCH("Met",tblMoeHistory[[#This Row],[State and Local Per Capita Result]]),0)&gt;0,IFERROR(SEARCH("Met",tblMoeHistory[[#This Row],[State and Local Total Result]]),0)&gt;0),"Met","Not Met")</f>
        <v>Met</v>
      </c>
    </row>
    <row r="1286" spans="1:22" x14ac:dyDescent="0.35">
      <c r="A1286" t="s">
        <v>124</v>
      </c>
      <c r="B1286">
        <v>2112</v>
      </c>
      <c r="C1286" t="s">
        <v>18</v>
      </c>
      <c r="D1286">
        <v>0</v>
      </c>
      <c r="E1286">
        <v>0</v>
      </c>
      <c r="F1286">
        <v>2337.91</v>
      </c>
      <c r="G1286">
        <f>tblMoeHistory[[#This Row],[LEA State and Local Amount]]+tblMoeHistory[[#This Row],[ESD State and Local Amount]]</f>
        <v>2337.91</v>
      </c>
      <c r="H1286">
        <v>0</v>
      </c>
      <c r="I1286" t="s">
        <v>241</v>
      </c>
      <c r="J1286" s="44">
        <f>IFERROR(tblMoeHistory[[#This Row],[LEA State and Local Amount]]/tblMoeHistory[[#This Row],[Child Count]],0)</f>
        <v>0</v>
      </c>
      <c r="K1286">
        <f>IFERROR(tblMoeHistory[[#This Row],[ESD State and Local Amount]]/tblMoeHistory[[#This Row],[Child Count]],0)</f>
        <v>0</v>
      </c>
      <c r="L1286" s="1">
        <f>IFERROR(tblMoeHistory[[#This Row],[State and Local Total Amount]]/tblMoeHistory[[#This Row],[Child Count]],0)</f>
        <v>0</v>
      </c>
      <c r="M1286">
        <v>0</v>
      </c>
      <c r="N1286" t="s">
        <v>241</v>
      </c>
      <c r="O1286">
        <v>1177.6300000000001</v>
      </c>
      <c r="P1286">
        <v>0</v>
      </c>
      <c r="Q1286">
        <f>tblMoeHistory[[#This Row],[Amount of IDEA Part B, Section 611 award]]+tblMoeHistory[[#This Row],[Amount of IDEA Part B, Section 619 award]]</f>
        <v>1177.6300000000001</v>
      </c>
      <c r="U12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6" t="str">
        <f>IF(OR(IFERROR(SEARCH("Met",tblMoeHistory[[#This Row],[State and Local Per Capita Result]]),0)&gt;0,IFERROR(SEARCH("Met",tblMoeHistory[[#This Row],[State and Local Total Result]]),0)&gt;0),"Met","Not Met")</f>
        <v>Met</v>
      </c>
    </row>
    <row r="1287" spans="1:22" x14ac:dyDescent="0.35">
      <c r="A1287" t="s">
        <v>125</v>
      </c>
      <c r="B1287">
        <v>2085</v>
      </c>
      <c r="C1287" t="s">
        <v>18</v>
      </c>
      <c r="D1287">
        <v>23</v>
      </c>
      <c r="E1287">
        <v>340533.72</v>
      </c>
      <c r="F1287">
        <v>81265</v>
      </c>
      <c r="G1287">
        <f>tblMoeHistory[[#This Row],[LEA State and Local Amount]]+tblMoeHistory[[#This Row],[ESD State and Local Amount]]</f>
        <v>421798.72</v>
      </c>
      <c r="H1287">
        <v>0</v>
      </c>
      <c r="I1287" t="s">
        <v>241</v>
      </c>
      <c r="J1287" s="44">
        <f>IFERROR(tblMoeHistory[[#This Row],[LEA State and Local Amount]]/tblMoeHistory[[#This Row],[Child Count]],0)</f>
        <v>14805.813913043477</v>
      </c>
      <c r="K1287">
        <f>IFERROR(tblMoeHistory[[#This Row],[ESD State and Local Amount]]/tblMoeHistory[[#This Row],[Child Count]],0)</f>
        <v>3533.2608695652175</v>
      </c>
      <c r="L1287" s="1">
        <f>IFERROR(tblMoeHistory[[#This Row],[State and Local Total Amount]]/tblMoeHistory[[#This Row],[Child Count]],0)</f>
        <v>18339.074782608695</v>
      </c>
      <c r="M1287">
        <v>0</v>
      </c>
      <c r="N1287" t="s">
        <v>241</v>
      </c>
      <c r="O1287">
        <v>56370.87</v>
      </c>
      <c r="P1287">
        <v>0</v>
      </c>
      <c r="Q1287">
        <f>tblMoeHistory[[#This Row],[Amount of IDEA Part B, Section 611 award]]+tblMoeHistory[[#This Row],[Amount of IDEA Part B, Section 619 award]]</f>
        <v>56370.87</v>
      </c>
      <c r="U12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7" t="str">
        <f>IF(OR(IFERROR(SEARCH("Met",tblMoeHistory[[#This Row],[State and Local Per Capita Result]]),0)&gt;0,IFERROR(SEARCH("Met",tblMoeHistory[[#This Row],[State and Local Total Result]]),0)&gt;0),"Met","Not Met")</f>
        <v>Met</v>
      </c>
    </row>
    <row r="1288" spans="1:22" x14ac:dyDescent="0.35">
      <c r="A1288" t="s">
        <v>126</v>
      </c>
      <c r="B1288">
        <v>2094</v>
      </c>
      <c r="C1288" t="s">
        <v>18</v>
      </c>
      <c r="D1288">
        <v>41</v>
      </c>
      <c r="E1288">
        <v>227844.15</v>
      </c>
      <c r="F1288">
        <v>90283</v>
      </c>
      <c r="G1288">
        <f>tblMoeHistory[[#This Row],[LEA State and Local Amount]]+tblMoeHistory[[#This Row],[ESD State and Local Amount]]</f>
        <v>318127.15000000002</v>
      </c>
      <c r="H1288">
        <v>0</v>
      </c>
      <c r="I1288" t="s">
        <v>241</v>
      </c>
      <c r="J1288" s="44">
        <f>IFERROR(tblMoeHistory[[#This Row],[LEA State and Local Amount]]/tblMoeHistory[[#This Row],[Child Count]],0)</f>
        <v>5557.1743902439021</v>
      </c>
      <c r="K1288">
        <f>IFERROR(tblMoeHistory[[#This Row],[ESD State and Local Amount]]/tblMoeHistory[[#This Row],[Child Count]],0)</f>
        <v>2202.0243902439024</v>
      </c>
      <c r="L1288" s="1">
        <f>IFERROR(tblMoeHistory[[#This Row],[State and Local Total Amount]]/tblMoeHistory[[#This Row],[Child Count]],0)</f>
        <v>7759.1987804878054</v>
      </c>
      <c r="M1288">
        <v>99915.58</v>
      </c>
      <c r="N1288" t="s">
        <v>240</v>
      </c>
      <c r="O1288">
        <v>46693.599999999999</v>
      </c>
      <c r="P1288">
        <v>0</v>
      </c>
      <c r="Q1288">
        <f>tblMoeHistory[[#This Row],[Amount of IDEA Part B, Section 611 award]]+tblMoeHistory[[#This Row],[Amount of IDEA Part B, Section 619 award]]</f>
        <v>46693.599999999999</v>
      </c>
      <c r="T1288">
        <v>253.34</v>
      </c>
      <c r="U12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8" t="str">
        <f>IF(OR(IFERROR(SEARCH("Met",tblMoeHistory[[#This Row],[State and Local Per Capita Result]]),0)&gt;0,IFERROR(SEARCH("Met",tblMoeHistory[[#This Row],[State and Local Total Result]]),0)&gt;0),"Met","Not Met")</f>
        <v>Met</v>
      </c>
    </row>
    <row r="1289" spans="1:22" x14ac:dyDescent="0.35">
      <c r="A1289" t="s">
        <v>127</v>
      </c>
      <c r="B1289">
        <v>2090</v>
      </c>
      <c r="C1289" t="s">
        <v>18</v>
      </c>
      <c r="D1289">
        <v>31</v>
      </c>
      <c r="E1289">
        <v>366717.4</v>
      </c>
      <c r="F1289">
        <v>140498</v>
      </c>
      <c r="G1289">
        <f>tblMoeHistory[[#This Row],[LEA State and Local Amount]]+tblMoeHistory[[#This Row],[ESD State and Local Amount]]</f>
        <v>507215.4</v>
      </c>
      <c r="H1289">
        <v>0</v>
      </c>
      <c r="I1289" t="s">
        <v>241</v>
      </c>
      <c r="J1289" s="44">
        <f>IFERROR(tblMoeHistory[[#This Row],[LEA State and Local Amount]]/tblMoeHistory[[#This Row],[Child Count]],0)</f>
        <v>11829.593548387098</v>
      </c>
      <c r="K1289">
        <f>IFERROR(tblMoeHistory[[#This Row],[ESD State and Local Amount]]/tblMoeHistory[[#This Row],[Child Count]],0)</f>
        <v>4532.1935483870966</v>
      </c>
      <c r="L1289" s="1">
        <f>IFERROR(tblMoeHistory[[#This Row],[State and Local Total Amount]]/tblMoeHistory[[#This Row],[Child Count]],0)</f>
        <v>16361.787096774195</v>
      </c>
      <c r="M1289">
        <v>0</v>
      </c>
      <c r="N1289" t="s">
        <v>241</v>
      </c>
      <c r="O1289">
        <v>39003.79</v>
      </c>
      <c r="P1289">
        <v>194.08</v>
      </c>
      <c r="Q1289">
        <f>tblMoeHistory[[#This Row],[Amount of IDEA Part B, Section 611 award]]+tblMoeHistory[[#This Row],[Amount of IDEA Part B, Section 619 award]]</f>
        <v>39197.870000000003</v>
      </c>
      <c r="U12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9" t="str">
        <f>IF(OR(IFERROR(SEARCH("Met",tblMoeHistory[[#This Row],[State and Local Per Capita Result]]),0)&gt;0,IFERROR(SEARCH("Met",tblMoeHistory[[#This Row],[State and Local Total Result]]),0)&gt;0),"Met","Not Met")</f>
        <v>Met</v>
      </c>
    </row>
    <row r="1290" spans="1:22" x14ac:dyDescent="0.35">
      <c r="A1290" t="s">
        <v>128</v>
      </c>
      <c r="B1290">
        <v>2256</v>
      </c>
      <c r="C1290" t="s">
        <v>18</v>
      </c>
      <c r="D1290">
        <v>831</v>
      </c>
      <c r="E1290">
        <v>6697493.29</v>
      </c>
      <c r="F1290">
        <v>116459.55</v>
      </c>
      <c r="G1290">
        <f>tblMoeHistory[[#This Row],[LEA State and Local Amount]]+tblMoeHistory[[#This Row],[ESD State and Local Amount]]</f>
        <v>6813952.8399999999</v>
      </c>
      <c r="H1290">
        <v>0</v>
      </c>
      <c r="I1290" t="s">
        <v>241</v>
      </c>
      <c r="J1290" s="44">
        <f>IFERROR(tblMoeHistory[[#This Row],[LEA State and Local Amount]]/tblMoeHistory[[#This Row],[Child Count]],0)</f>
        <v>8059.5587123947053</v>
      </c>
      <c r="K1290">
        <f>IFERROR(tblMoeHistory[[#This Row],[ESD State and Local Amount]]/tblMoeHistory[[#This Row],[Child Count]],0)</f>
        <v>140.14386281588449</v>
      </c>
      <c r="L1290" s="1">
        <f>IFERROR(tblMoeHistory[[#This Row],[State and Local Total Amount]]/tblMoeHistory[[#This Row],[Child Count]],0)</f>
        <v>8199.7025752105892</v>
      </c>
      <c r="M1290">
        <v>96877.07</v>
      </c>
      <c r="N1290" t="s">
        <v>240</v>
      </c>
      <c r="O1290">
        <v>942989.08</v>
      </c>
      <c r="P1290">
        <v>5087.45</v>
      </c>
      <c r="Q1290">
        <f>tblMoeHistory[[#This Row],[Amount of IDEA Part B, Section 611 award]]+tblMoeHistory[[#This Row],[Amount of IDEA Part B, Section 619 award]]</f>
        <v>948076.52999999991</v>
      </c>
      <c r="T1290">
        <v>0</v>
      </c>
      <c r="U12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0" t="str">
        <f>IF(OR(IFERROR(SEARCH("Met",tblMoeHistory[[#This Row],[State and Local Per Capita Result]]),0)&gt;0,IFERROR(SEARCH("Met",tblMoeHistory[[#This Row],[State and Local Total Result]]),0)&gt;0),"Met","Not Met")</f>
        <v>Met</v>
      </c>
    </row>
    <row r="1291" spans="1:22" x14ac:dyDescent="0.35">
      <c r="A1291" t="s">
        <v>129</v>
      </c>
      <c r="B1291">
        <v>2048</v>
      </c>
      <c r="C1291" t="s">
        <v>18</v>
      </c>
      <c r="D1291">
        <v>1858</v>
      </c>
      <c r="E1291">
        <v>13732298.689999999</v>
      </c>
      <c r="F1291">
        <v>1390724.14</v>
      </c>
      <c r="G1291">
        <f>tblMoeHistory[[#This Row],[LEA State and Local Amount]]+tblMoeHistory[[#This Row],[ESD State and Local Amount]]</f>
        <v>15123022.83</v>
      </c>
      <c r="H1291">
        <v>0</v>
      </c>
      <c r="I1291" t="s">
        <v>241</v>
      </c>
      <c r="J1291" s="44">
        <f>IFERROR(tblMoeHistory[[#This Row],[LEA State and Local Amount]]/tblMoeHistory[[#This Row],[Child Count]],0)</f>
        <v>7390.9034930032294</v>
      </c>
      <c r="K1291">
        <f>IFERROR(tblMoeHistory[[#This Row],[ESD State and Local Amount]]/tblMoeHistory[[#This Row],[Child Count]],0)</f>
        <v>748.50599569429494</v>
      </c>
      <c r="L1291" s="1">
        <f>IFERROR(tblMoeHistory[[#This Row],[State and Local Total Amount]]/tblMoeHistory[[#This Row],[Child Count]],0)</f>
        <v>8139.4094886975245</v>
      </c>
      <c r="M1291">
        <v>912354.01</v>
      </c>
      <c r="N1291" t="s">
        <v>240</v>
      </c>
      <c r="O1291">
        <v>2202736.08</v>
      </c>
      <c r="P1291">
        <v>26941.55</v>
      </c>
      <c r="Q1291">
        <f>tblMoeHistory[[#This Row],[Amount of IDEA Part B, Section 611 award]]+tblMoeHistory[[#This Row],[Amount of IDEA Part B, Section 619 award]]</f>
        <v>2229677.63</v>
      </c>
      <c r="T1291">
        <v>0</v>
      </c>
      <c r="U12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1" t="str">
        <f>IF(OR(IFERROR(SEARCH("Met",tblMoeHistory[[#This Row],[State and Local Per Capita Result]]),0)&gt;0,IFERROR(SEARCH("Met",tblMoeHistory[[#This Row],[State and Local Total Result]]),0)&gt;0),"Met","Not Met")</f>
        <v>Met</v>
      </c>
    </row>
    <row r="1292" spans="1:22" x14ac:dyDescent="0.35">
      <c r="A1292" t="s">
        <v>130</v>
      </c>
      <c r="B1292">
        <v>2205</v>
      </c>
      <c r="C1292" t="s">
        <v>18</v>
      </c>
      <c r="D1292">
        <v>204</v>
      </c>
      <c r="E1292">
        <v>1498778.8</v>
      </c>
      <c r="F1292">
        <v>306800.09999999998</v>
      </c>
      <c r="G1292">
        <f>tblMoeHistory[[#This Row],[LEA State and Local Amount]]+tblMoeHistory[[#This Row],[ESD State and Local Amount]]</f>
        <v>1805578.9</v>
      </c>
      <c r="H1292">
        <v>0</v>
      </c>
      <c r="I1292" t="s">
        <v>241</v>
      </c>
      <c r="J1292" s="44">
        <f>IFERROR(tblMoeHistory[[#This Row],[LEA State and Local Amount]]/tblMoeHistory[[#This Row],[Child Count]],0)</f>
        <v>7346.9549019607848</v>
      </c>
      <c r="K1292">
        <f>IFERROR(tblMoeHistory[[#This Row],[ESD State and Local Amount]]/tblMoeHistory[[#This Row],[Child Count]],0)</f>
        <v>1503.9220588235294</v>
      </c>
      <c r="L1292" s="1">
        <f>IFERROR(tblMoeHistory[[#This Row],[State and Local Total Amount]]/tblMoeHistory[[#This Row],[Child Count]],0)</f>
        <v>8850.8769607843133</v>
      </c>
      <c r="M1292">
        <v>168372.11</v>
      </c>
      <c r="N1292" t="s">
        <v>240</v>
      </c>
      <c r="O1292">
        <v>284870.21000000002</v>
      </c>
      <c r="P1292">
        <v>2810.77</v>
      </c>
      <c r="Q1292">
        <f>tblMoeHistory[[#This Row],[Amount of IDEA Part B, Section 611 award]]+tblMoeHistory[[#This Row],[Amount of IDEA Part B, Section 619 award]]</f>
        <v>287680.98000000004</v>
      </c>
      <c r="T1292">
        <v>0</v>
      </c>
      <c r="U12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2" t="str">
        <f>IF(OR(IFERROR(SEARCH("Met",tblMoeHistory[[#This Row],[State and Local Per Capita Result]]),0)&gt;0,IFERROR(SEARCH("Met",tblMoeHistory[[#This Row],[State and Local Total Result]]),0)&gt;0),"Met","Not Met")</f>
        <v>Met</v>
      </c>
    </row>
    <row r="1293" spans="1:22" x14ac:dyDescent="0.35">
      <c r="A1293" t="s">
        <v>131</v>
      </c>
      <c r="B1293">
        <v>2249</v>
      </c>
      <c r="C1293" t="s">
        <v>18</v>
      </c>
      <c r="D1293">
        <v>54</v>
      </c>
      <c r="E1293">
        <v>11863.96</v>
      </c>
      <c r="F1293">
        <v>75908</v>
      </c>
      <c r="G1293">
        <f>tblMoeHistory[[#This Row],[LEA State and Local Amount]]+tblMoeHistory[[#This Row],[ESD State and Local Amount]]</f>
        <v>87771.959999999992</v>
      </c>
      <c r="H1293">
        <v>0</v>
      </c>
      <c r="I1293" t="s">
        <v>241</v>
      </c>
      <c r="J1293" s="44">
        <f>IFERROR(tblMoeHistory[[#This Row],[LEA State and Local Amount]]/tblMoeHistory[[#This Row],[Child Count]],0)</f>
        <v>219.70296296296294</v>
      </c>
      <c r="K1293">
        <f>IFERROR(tblMoeHistory[[#This Row],[ESD State and Local Amount]]/tblMoeHistory[[#This Row],[Child Count]],0)</f>
        <v>1405.7037037037037</v>
      </c>
      <c r="L1293" s="1">
        <f>IFERROR(tblMoeHistory[[#This Row],[State and Local Total Amount]]/tblMoeHistory[[#This Row],[Child Count]],0)</f>
        <v>1625.4066666666665</v>
      </c>
      <c r="M1293">
        <v>481763.61</v>
      </c>
      <c r="N1293" t="s">
        <v>240</v>
      </c>
      <c r="O1293">
        <v>40901.89</v>
      </c>
      <c r="P1293">
        <v>0</v>
      </c>
      <c r="Q1293">
        <f>tblMoeHistory[[#This Row],[Amount of IDEA Part B, Section 611 award]]+tblMoeHistory[[#This Row],[Amount of IDEA Part B, Section 619 award]]</f>
        <v>40901.89</v>
      </c>
      <c r="T1293">
        <v>575.1</v>
      </c>
      <c r="U12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3" t="str">
        <f>IF(OR(IFERROR(SEARCH("Met",tblMoeHistory[[#This Row],[State and Local Per Capita Result]]),0)&gt;0,IFERROR(SEARCH("Met",tblMoeHistory[[#This Row],[State and Local Total Result]]),0)&gt;0),"Met","Not Met")</f>
        <v>Met</v>
      </c>
    </row>
    <row r="1294" spans="1:22" x14ac:dyDescent="0.35">
      <c r="A1294" t="s">
        <v>132</v>
      </c>
      <c r="B1294">
        <v>1925</v>
      </c>
      <c r="C1294" t="s">
        <v>18</v>
      </c>
      <c r="D1294">
        <v>417</v>
      </c>
      <c r="E1294">
        <v>3747341.65</v>
      </c>
      <c r="F1294">
        <v>301609</v>
      </c>
      <c r="G1294">
        <f>tblMoeHistory[[#This Row],[LEA State and Local Amount]]+tblMoeHistory[[#This Row],[ESD State and Local Amount]]</f>
        <v>4048950.65</v>
      </c>
      <c r="H1294">
        <v>0</v>
      </c>
      <c r="I1294" t="s">
        <v>241</v>
      </c>
      <c r="J1294" s="44">
        <f>IFERROR(tblMoeHistory[[#This Row],[LEA State and Local Amount]]/tblMoeHistory[[#This Row],[Child Count]],0)</f>
        <v>8986.4308153477214</v>
      </c>
      <c r="K1294">
        <f>IFERROR(tblMoeHistory[[#This Row],[ESD State and Local Amount]]/tblMoeHistory[[#This Row],[Child Count]],0)</f>
        <v>723.28297362110311</v>
      </c>
      <c r="L1294" s="1">
        <f>IFERROR(tblMoeHistory[[#This Row],[State and Local Total Amount]]/tblMoeHistory[[#This Row],[Child Count]],0)</f>
        <v>9709.7137889688256</v>
      </c>
      <c r="M1294">
        <v>0</v>
      </c>
      <c r="N1294" t="s">
        <v>241</v>
      </c>
      <c r="O1294">
        <v>432434.38</v>
      </c>
      <c r="P1294">
        <v>1029.8</v>
      </c>
      <c r="Q1294">
        <f>tblMoeHistory[[#This Row],[Amount of IDEA Part B, Section 611 award]]+tblMoeHistory[[#This Row],[Amount of IDEA Part B, Section 619 award]]</f>
        <v>433464.18</v>
      </c>
      <c r="U12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4" t="str">
        <f>IF(OR(IFERROR(SEARCH("Met",tblMoeHistory[[#This Row],[State and Local Per Capita Result]]),0)&gt;0,IFERROR(SEARCH("Met",tblMoeHistory[[#This Row],[State and Local Total Result]]),0)&gt;0),"Met","Not Met")</f>
        <v>Met</v>
      </c>
    </row>
    <row r="1295" spans="1:22" x14ac:dyDescent="0.35">
      <c r="A1295" t="s">
        <v>133</v>
      </c>
      <c r="B1295">
        <v>1898</v>
      </c>
      <c r="C1295" t="s">
        <v>18</v>
      </c>
      <c r="D1295">
        <v>62</v>
      </c>
      <c r="E1295">
        <v>725582.13</v>
      </c>
      <c r="F1295">
        <v>57292</v>
      </c>
      <c r="G1295">
        <f>tblMoeHistory[[#This Row],[LEA State and Local Amount]]+tblMoeHistory[[#This Row],[ESD State and Local Amount]]</f>
        <v>782874.13</v>
      </c>
      <c r="H1295">
        <v>0</v>
      </c>
      <c r="I1295" t="s">
        <v>241</v>
      </c>
      <c r="J1295" s="44">
        <f>IFERROR(tblMoeHistory[[#This Row],[LEA State and Local Amount]]/tblMoeHistory[[#This Row],[Child Count]],0)</f>
        <v>11702.937580645161</v>
      </c>
      <c r="K1295">
        <f>IFERROR(tblMoeHistory[[#This Row],[ESD State and Local Amount]]/tblMoeHistory[[#This Row],[Child Count]],0)</f>
        <v>924.06451612903231</v>
      </c>
      <c r="L1295" s="1">
        <f>IFERROR(tblMoeHistory[[#This Row],[State and Local Total Amount]]/tblMoeHistory[[#This Row],[Child Count]],0)</f>
        <v>12627.002096774193</v>
      </c>
      <c r="M1295">
        <v>0</v>
      </c>
      <c r="N1295" t="s">
        <v>241</v>
      </c>
      <c r="O1295">
        <v>82373.87</v>
      </c>
      <c r="P1295">
        <v>970.38</v>
      </c>
      <c r="Q1295">
        <f>tblMoeHistory[[#This Row],[Amount of IDEA Part B, Section 611 award]]+tblMoeHistory[[#This Row],[Amount of IDEA Part B, Section 619 award]]</f>
        <v>83344.25</v>
      </c>
      <c r="U12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5" t="str">
        <f>IF(OR(IFERROR(SEARCH("Met",tblMoeHistory[[#This Row],[State and Local Per Capita Result]]),0)&gt;0,IFERROR(SEARCH("Met",tblMoeHistory[[#This Row],[State and Local Total Result]]),0)&gt;0),"Met","Not Met")</f>
        <v>Met</v>
      </c>
    </row>
    <row r="1296" spans="1:22" x14ac:dyDescent="0.35">
      <c r="A1296" t="s">
        <v>134</v>
      </c>
      <c r="B1296">
        <v>2010</v>
      </c>
      <c r="C1296" t="s">
        <v>18</v>
      </c>
      <c r="D1296">
        <v>9</v>
      </c>
      <c r="E1296">
        <v>0</v>
      </c>
      <c r="F1296">
        <v>111969.76</v>
      </c>
      <c r="G1296">
        <f>tblMoeHistory[[#This Row],[LEA State and Local Amount]]+tblMoeHistory[[#This Row],[ESD State and Local Amount]]</f>
        <v>111969.76</v>
      </c>
      <c r="H1296">
        <v>0</v>
      </c>
      <c r="I1296" t="s">
        <v>241</v>
      </c>
      <c r="J1296" s="44">
        <f>IFERROR(tblMoeHistory[[#This Row],[LEA State and Local Amount]]/tblMoeHistory[[#This Row],[Child Count]],0)</f>
        <v>0</v>
      </c>
      <c r="K1296">
        <f>IFERROR(tblMoeHistory[[#This Row],[ESD State and Local Amount]]/tblMoeHistory[[#This Row],[Child Count]],0)</f>
        <v>12441.084444444445</v>
      </c>
      <c r="L1296" s="1">
        <f>IFERROR(tblMoeHistory[[#This Row],[State and Local Total Amount]]/tblMoeHistory[[#This Row],[Child Count]],0)</f>
        <v>12441.084444444445</v>
      </c>
      <c r="M1296">
        <v>0</v>
      </c>
      <c r="N1296" t="s">
        <v>241</v>
      </c>
      <c r="O1296">
        <v>10869.39</v>
      </c>
      <c r="P1296">
        <v>0</v>
      </c>
      <c r="Q1296">
        <f>tblMoeHistory[[#This Row],[Amount of IDEA Part B, Section 611 award]]+tblMoeHistory[[#This Row],[Amount of IDEA Part B, Section 619 award]]</f>
        <v>10869.39</v>
      </c>
      <c r="U12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6" t="str">
        <f>IF(OR(IFERROR(SEARCH("Met",tblMoeHistory[[#This Row],[State and Local Per Capita Result]]),0)&gt;0,IFERROR(SEARCH("Met",tblMoeHistory[[#This Row],[State and Local Total Result]]),0)&gt;0),"Met","Not Met")</f>
        <v>Met</v>
      </c>
    </row>
    <row r="1297" spans="1:22" x14ac:dyDescent="0.35">
      <c r="A1297" t="s">
        <v>135</v>
      </c>
      <c r="B1297">
        <v>2147</v>
      </c>
      <c r="C1297" t="s">
        <v>18</v>
      </c>
      <c r="D1297">
        <v>291</v>
      </c>
      <c r="E1297">
        <v>1722106.39</v>
      </c>
      <c r="F1297">
        <v>435511.31</v>
      </c>
      <c r="G1297">
        <f>tblMoeHistory[[#This Row],[LEA State and Local Amount]]+tblMoeHistory[[#This Row],[ESD State and Local Amount]]</f>
        <v>2157617.6999999997</v>
      </c>
      <c r="H1297">
        <v>0</v>
      </c>
      <c r="I1297" t="s">
        <v>241</v>
      </c>
      <c r="J1297" s="44">
        <f>IFERROR(tblMoeHistory[[#This Row],[LEA State and Local Amount]]/tblMoeHistory[[#This Row],[Child Count]],0)</f>
        <v>5917.8913745704467</v>
      </c>
      <c r="K1297">
        <f>IFERROR(tblMoeHistory[[#This Row],[ESD State and Local Amount]]/tblMoeHistory[[#This Row],[Child Count]],0)</f>
        <v>1496.602439862543</v>
      </c>
      <c r="L1297" s="1">
        <f>IFERROR(tblMoeHistory[[#This Row],[State and Local Total Amount]]/tblMoeHistory[[#This Row],[Child Count]],0)</f>
        <v>7414.493814432989</v>
      </c>
      <c r="M1297">
        <v>78713.66</v>
      </c>
      <c r="N1297" t="s">
        <v>240</v>
      </c>
      <c r="O1297">
        <v>322590.65000000002</v>
      </c>
      <c r="P1297">
        <v>948.82</v>
      </c>
      <c r="Q1297">
        <f>tblMoeHistory[[#This Row],[Amount of IDEA Part B, Section 611 award]]+tblMoeHistory[[#This Row],[Amount of IDEA Part B, Section 619 award]]</f>
        <v>323539.47000000003</v>
      </c>
      <c r="T1297">
        <v>0</v>
      </c>
      <c r="U12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7" t="str">
        <f>IF(OR(IFERROR(SEARCH("Met",tblMoeHistory[[#This Row],[State and Local Per Capita Result]]),0)&gt;0,IFERROR(SEARCH("Met",tblMoeHistory[[#This Row],[State and Local Total Result]]),0)&gt;0),"Met","Not Met")</f>
        <v>Met</v>
      </c>
    </row>
    <row r="1298" spans="1:22" x14ac:dyDescent="0.35">
      <c r="A1298" t="s">
        <v>136</v>
      </c>
      <c r="B1298">
        <v>2145</v>
      </c>
      <c r="C1298" t="s">
        <v>18</v>
      </c>
      <c r="D1298">
        <v>80</v>
      </c>
      <c r="E1298">
        <v>386952.85</v>
      </c>
      <c r="F1298">
        <v>125296.01</v>
      </c>
      <c r="G1298">
        <f>tblMoeHistory[[#This Row],[LEA State and Local Amount]]+tblMoeHistory[[#This Row],[ESD State and Local Amount]]</f>
        <v>512248.86</v>
      </c>
      <c r="H1298">
        <v>0</v>
      </c>
      <c r="I1298" t="s">
        <v>241</v>
      </c>
      <c r="J1298" s="44">
        <f>IFERROR(tblMoeHistory[[#This Row],[LEA State and Local Amount]]/tblMoeHistory[[#This Row],[Child Count]],0)</f>
        <v>4836.9106249999995</v>
      </c>
      <c r="K1298">
        <f>IFERROR(tblMoeHistory[[#This Row],[ESD State and Local Amount]]/tblMoeHistory[[#This Row],[Child Count]],0)</f>
        <v>1566.2001249999998</v>
      </c>
      <c r="L1298" s="1">
        <f>IFERROR(tblMoeHistory[[#This Row],[State and Local Total Amount]]/tblMoeHistory[[#This Row],[Child Count]],0)</f>
        <v>6403.1107499999998</v>
      </c>
      <c r="M1298">
        <v>99383.92</v>
      </c>
      <c r="N1298" t="s">
        <v>240</v>
      </c>
      <c r="O1298">
        <v>110862</v>
      </c>
      <c r="P1298">
        <v>377.37</v>
      </c>
      <c r="Q1298">
        <f>tblMoeHistory[[#This Row],[Amount of IDEA Part B, Section 611 award]]+tblMoeHistory[[#This Row],[Amount of IDEA Part B, Section 619 award]]</f>
        <v>111239.37</v>
      </c>
      <c r="T1298">
        <v>0</v>
      </c>
      <c r="U12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8" t="str">
        <f>IF(OR(IFERROR(SEARCH("Met",tblMoeHistory[[#This Row],[State and Local Per Capita Result]]),0)&gt;0,IFERROR(SEARCH("Met",tblMoeHistory[[#This Row],[State and Local Total Result]]),0)&gt;0),"Met","Not Met")</f>
        <v>Met</v>
      </c>
    </row>
    <row r="1299" spans="1:22" x14ac:dyDescent="0.35">
      <c r="A1299" t="s">
        <v>137</v>
      </c>
      <c r="B1299">
        <v>1968</v>
      </c>
      <c r="C1299" t="s">
        <v>18</v>
      </c>
      <c r="D1299">
        <v>69</v>
      </c>
      <c r="E1299">
        <v>613174.03</v>
      </c>
      <c r="F1299">
        <v>181893.4</v>
      </c>
      <c r="G1299">
        <f>tblMoeHistory[[#This Row],[LEA State and Local Amount]]+tblMoeHistory[[#This Row],[ESD State and Local Amount]]</f>
        <v>795067.43</v>
      </c>
      <c r="H1299">
        <v>0</v>
      </c>
      <c r="I1299" t="s">
        <v>241</v>
      </c>
      <c r="J1299" s="44">
        <f>IFERROR(tblMoeHistory[[#This Row],[LEA State and Local Amount]]/tblMoeHistory[[#This Row],[Child Count]],0)</f>
        <v>8886.5801449275368</v>
      </c>
      <c r="K1299">
        <f>IFERROR(tblMoeHistory[[#This Row],[ESD State and Local Amount]]/tblMoeHistory[[#This Row],[Child Count]],0)</f>
        <v>2636.1362318840579</v>
      </c>
      <c r="L1299" s="1">
        <f>IFERROR(tblMoeHistory[[#This Row],[State and Local Total Amount]]/tblMoeHistory[[#This Row],[Child Count]],0)</f>
        <v>11522.716376811595</v>
      </c>
      <c r="M1299">
        <v>0</v>
      </c>
      <c r="N1299" t="s">
        <v>241</v>
      </c>
      <c r="O1299">
        <v>136946.37</v>
      </c>
      <c r="P1299">
        <v>1663.52</v>
      </c>
      <c r="Q1299">
        <f>tblMoeHistory[[#This Row],[Amount of IDEA Part B, Section 611 award]]+tblMoeHistory[[#This Row],[Amount of IDEA Part B, Section 619 award]]</f>
        <v>138609.88999999998</v>
      </c>
      <c r="U12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9" t="str">
        <f>IF(OR(IFERROR(SEARCH("Met",tblMoeHistory[[#This Row],[State and Local Per Capita Result]]),0)&gt;0,IFERROR(SEARCH("Met",tblMoeHistory[[#This Row],[State and Local Total Result]]),0)&gt;0),"Met","Not Met")</f>
        <v>Met</v>
      </c>
    </row>
    <row r="1300" spans="1:22" x14ac:dyDescent="0.35">
      <c r="A1300" t="s">
        <v>138</v>
      </c>
      <c r="B1300">
        <v>2198</v>
      </c>
      <c r="C1300" t="s">
        <v>18</v>
      </c>
      <c r="D1300">
        <v>106</v>
      </c>
      <c r="E1300">
        <v>1556336.87</v>
      </c>
      <c r="F1300">
        <v>220905</v>
      </c>
      <c r="G1300">
        <f>tblMoeHistory[[#This Row],[LEA State and Local Amount]]+tblMoeHistory[[#This Row],[ESD State and Local Amount]]</f>
        <v>1777241.87</v>
      </c>
      <c r="H1300">
        <v>0</v>
      </c>
      <c r="I1300" t="s">
        <v>241</v>
      </c>
      <c r="J1300" s="44">
        <f>IFERROR(tblMoeHistory[[#This Row],[LEA State and Local Amount]]/tblMoeHistory[[#This Row],[Child Count]],0)</f>
        <v>14682.423301886793</v>
      </c>
      <c r="K1300">
        <f>IFERROR(tblMoeHistory[[#This Row],[ESD State and Local Amount]]/tblMoeHistory[[#This Row],[Child Count]],0)</f>
        <v>2084.0094339622642</v>
      </c>
      <c r="L1300" s="1">
        <f>IFERROR(tblMoeHistory[[#This Row],[State and Local Total Amount]]/tblMoeHistory[[#This Row],[Child Count]],0)</f>
        <v>16766.432735849059</v>
      </c>
      <c r="M1300">
        <v>0</v>
      </c>
      <c r="N1300" t="s">
        <v>242</v>
      </c>
      <c r="O1300">
        <v>115964.92</v>
      </c>
      <c r="P1300">
        <v>895.74</v>
      </c>
      <c r="Q1300">
        <f>tblMoeHistory[[#This Row],[Amount of IDEA Part B, Section 611 award]]+tblMoeHistory[[#This Row],[Amount of IDEA Part B, Section 619 award]]</f>
        <v>116860.66</v>
      </c>
      <c r="T1300">
        <v>1191.21</v>
      </c>
      <c r="U13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0" t="str">
        <f>IF(OR(IFERROR(SEARCH("Met",tblMoeHistory[[#This Row],[State and Local Per Capita Result]]),0)&gt;0,IFERROR(SEARCH("Met",tblMoeHistory[[#This Row],[State and Local Total Result]]),0)&gt;0),"Met","Not Met")</f>
        <v>Met</v>
      </c>
    </row>
    <row r="1301" spans="1:22" x14ac:dyDescent="0.35">
      <c r="A1301" t="s">
        <v>139</v>
      </c>
      <c r="B1301">
        <v>2199</v>
      </c>
      <c r="C1301" t="s">
        <v>18</v>
      </c>
      <c r="D1301">
        <v>80</v>
      </c>
      <c r="E1301">
        <v>885034.35</v>
      </c>
      <c r="F1301">
        <v>131290</v>
      </c>
      <c r="G1301">
        <f>tblMoeHistory[[#This Row],[LEA State and Local Amount]]+tblMoeHistory[[#This Row],[ESD State and Local Amount]]</f>
        <v>1016324.35</v>
      </c>
      <c r="H1301">
        <v>0</v>
      </c>
      <c r="I1301" t="s">
        <v>241</v>
      </c>
      <c r="J1301" s="44">
        <f>IFERROR(tblMoeHistory[[#This Row],[LEA State and Local Amount]]/tblMoeHistory[[#This Row],[Child Count]],0)</f>
        <v>11062.929375</v>
      </c>
      <c r="K1301">
        <f>IFERROR(tblMoeHistory[[#This Row],[ESD State and Local Amount]]/tblMoeHistory[[#This Row],[Child Count]],0)</f>
        <v>1641.125</v>
      </c>
      <c r="L1301" s="1">
        <f>IFERROR(tblMoeHistory[[#This Row],[State and Local Total Amount]]/tblMoeHistory[[#This Row],[Child Count]],0)</f>
        <v>12704.054375</v>
      </c>
      <c r="M1301">
        <v>0</v>
      </c>
      <c r="N1301" t="s">
        <v>241</v>
      </c>
      <c r="O1301">
        <v>99197.41</v>
      </c>
      <c r="P1301">
        <v>1411.47</v>
      </c>
      <c r="Q1301">
        <f>tblMoeHistory[[#This Row],[Amount of IDEA Part B, Section 611 award]]+tblMoeHistory[[#This Row],[Amount of IDEA Part B, Section 619 award]]</f>
        <v>100608.88</v>
      </c>
      <c r="U13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1" t="str">
        <f>IF(OR(IFERROR(SEARCH("Met",tblMoeHistory[[#This Row],[State and Local Per Capita Result]]),0)&gt;0,IFERROR(SEARCH("Met",tblMoeHistory[[#This Row],[State and Local Total Result]]),0)&gt;0),"Met","Not Met")</f>
        <v>Met</v>
      </c>
    </row>
    <row r="1302" spans="1:22" x14ac:dyDescent="0.35">
      <c r="A1302" t="s">
        <v>140</v>
      </c>
      <c r="B1302">
        <v>2254</v>
      </c>
      <c r="C1302" t="s">
        <v>18</v>
      </c>
      <c r="D1302">
        <v>691</v>
      </c>
      <c r="E1302">
        <v>6289712.9299999997</v>
      </c>
      <c r="F1302">
        <v>90526.8</v>
      </c>
      <c r="G1302">
        <f>tblMoeHistory[[#This Row],[LEA State and Local Amount]]+tblMoeHistory[[#This Row],[ESD State and Local Amount]]</f>
        <v>6380239.7299999995</v>
      </c>
      <c r="H1302">
        <v>0</v>
      </c>
      <c r="I1302" t="s">
        <v>241</v>
      </c>
      <c r="J1302" s="44">
        <f>IFERROR(tblMoeHistory[[#This Row],[LEA State and Local Amount]]/tblMoeHistory[[#This Row],[Child Count]],0)</f>
        <v>9102.3341968162076</v>
      </c>
      <c r="K1302">
        <f>IFERROR(tblMoeHistory[[#This Row],[ESD State and Local Amount]]/tblMoeHistory[[#This Row],[Child Count]],0)</f>
        <v>131.00839363241678</v>
      </c>
      <c r="L1302" s="1">
        <f>IFERROR(tblMoeHistory[[#This Row],[State and Local Total Amount]]/tblMoeHistory[[#This Row],[Child Count]],0)</f>
        <v>9233.3425904486248</v>
      </c>
      <c r="M1302">
        <v>40696.230000000003</v>
      </c>
      <c r="N1302" t="s">
        <v>240</v>
      </c>
      <c r="O1302">
        <v>743404.25</v>
      </c>
      <c r="P1302">
        <v>5761.66</v>
      </c>
      <c r="Q1302">
        <f>tblMoeHistory[[#This Row],[Amount of IDEA Part B, Section 611 award]]+tblMoeHistory[[#This Row],[Amount of IDEA Part B, Section 619 award]]</f>
        <v>749165.91</v>
      </c>
      <c r="T1302">
        <v>0</v>
      </c>
      <c r="U13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2" t="str">
        <f>IF(OR(IFERROR(SEARCH("Met",tblMoeHistory[[#This Row],[State and Local Per Capita Result]]),0)&gt;0,IFERROR(SEARCH("Met",tblMoeHistory[[#This Row],[State and Local Total Result]]),0)&gt;0),"Met","Not Met")</f>
        <v>Met</v>
      </c>
    </row>
    <row r="1303" spans="1:22" x14ac:dyDescent="0.35">
      <c r="A1303" t="s">
        <v>141</v>
      </c>
      <c r="B1303">
        <v>1966</v>
      </c>
      <c r="C1303" t="s">
        <v>18</v>
      </c>
      <c r="D1303">
        <v>554</v>
      </c>
      <c r="E1303">
        <v>3794679.53</v>
      </c>
      <c r="F1303">
        <v>1097567.67</v>
      </c>
      <c r="G1303">
        <f>tblMoeHistory[[#This Row],[LEA State and Local Amount]]+tblMoeHistory[[#This Row],[ESD State and Local Amount]]</f>
        <v>4892247.1999999993</v>
      </c>
      <c r="H1303">
        <v>0</v>
      </c>
      <c r="I1303" t="s">
        <v>241</v>
      </c>
      <c r="J1303" s="44">
        <f>IFERROR(tblMoeHistory[[#This Row],[LEA State and Local Amount]]/tblMoeHistory[[#This Row],[Child Count]],0)</f>
        <v>6849.6020397111906</v>
      </c>
      <c r="K1303">
        <f>IFERROR(tblMoeHistory[[#This Row],[ESD State and Local Amount]]/tblMoeHistory[[#This Row],[Child Count]],0)</f>
        <v>1981.1690794223825</v>
      </c>
      <c r="L1303" s="1">
        <f>IFERROR(tblMoeHistory[[#This Row],[State and Local Total Amount]]/tblMoeHistory[[#This Row],[Child Count]],0)</f>
        <v>8830.7711191335729</v>
      </c>
      <c r="M1303">
        <v>764816.05</v>
      </c>
      <c r="N1303" t="s">
        <v>240</v>
      </c>
      <c r="O1303">
        <v>572311.6</v>
      </c>
      <c r="P1303">
        <v>4478.7</v>
      </c>
      <c r="Q1303">
        <f>tblMoeHistory[[#This Row],[Amount of IDEA Part B, Section 611 award]]+tblMoeHistory[[#This Row],[Amount of IDEA Part B, Section 619 award]]</f>
        <v>576790.29999999993</v>
      </c>
      <c r="T1303">
        <v>935.65</v>
      </c>
      <c r="U13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3" t="str">
        <f>IF(OR(IFERROR(SEARCH("Met",tblMoeHistory[[#This Row],[State and Local Per Capita Result]]),0)&gt;0,IFERROR(SEARCH("Met",tblMoeHistory[[#This Row],[State and Local Total Result]]),0)&gt;0),"Met","Not Met")</f>
        <v>Met</v>
      </c>
    </row>
    <row r="1304" spans="1:22" x14ac:dyDescent="0.35">
      <c r="A1304" t="s">
        <v>142</v>
      </c>
      <c r="B1304">
        <v>1924</v>
      </c>
      <c r="C1304" t="s">
        <v>18</v>
      </c>
      <c r="D1304">
        <v>2660</v>
      </c>
      <c r="E1304">
        <v>22371985.550000001</v>
      </c>
      <c r="F1304">
        <v>2311269</v>
      </c>
      <c r="G1304">
        <f>tblMoeHistory[[#This Row],[LEA State and Local Amount]]+tblMoeHistory[[#This Row],[ESD State and Local Amount]]</f>
        <v>24683254.550000001</v>
      </c>
      <c r="H1304">
        <v>0</v>
      </c>
      <c r="I1304" t="s">
        <v>241</v>
      </c>
      <c r="J1304" s="44">
        <f>IFERROR(tblMoeHistory[[#This Row],[LEA State and Local Amount]]/tblMoeHistory[[#This Row],[Child Count]],0)</f>
        <v>8410.5208834586465</v>
      </c>
      <c r="K1304">
        <f>IFERROR(tblMoeHistory[[#This Row],[ESD State and Local Amount]]/tblMoeHistory[[#This Row],[Child Count]],0)</f>
        <v>868.89812030075188</v>
      </c>
      <c r="L1304" s="1">
        <f>IFERROR(tblMoeHistory[[#This Row],[State and Local Total Amount]]/tblMoeHistory[[#This Row],[Child Count]],0)</f>
        <v>9279.419003759398</v>
      </c>
      <c r="M1304">
        <v>0</v>
      </c>
      <c r="N1304" t="s">
        <v>241</v>
      </c>
      <c r="O1304">
        <v>2544735.67</v>
      </c>
      <c r="P1304">
        <v>17302.5</v>
      </c>
      <c r="Q1304">
        <f>tblMoeHistory[[#This Row],[Amount of IDEA Part B, Section 611 award]]+tblMoeHistory[[#This Row],[Amount of IDEA Part B, Section 619 award]]</f>
        <v>2562038.17</v>
      </c>
      <c r="U13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4" t="str">
        <f>IF(OR(IFERROR(SEARCH("Met",tblMoeHistory[[#This Row],[State and Local Per Capita Result]]),0)&gt;0,IFERROR(SEARCH("Met",tblMoeHistory[[#This Row],[State and Local Total Result]]),0)&gt;0),"Met","Not Met")</f>
        <v>Met</v>
      </c>
    </row>
    <row r="1305" spans="1:22" x14ac:dyDescent="0.35">
      <c r="A1305" t="s">
        <v>143</v>
      </c>
      <c r="B1305">
        <v>1996</v>
      </c>
      <c r="C1305" t="s">
        <v>18</v>
      </c>
      <c r="D1305">
        <v>38</v>
      </c>
      <c r="E1305">
        <v>311311.21000000002</v>
      </c>
      <c r="F1305">
        <v>50232.38</v>
      </c>
      <c r="G1305">
        <f>tblMoeHistory[[#This Row],[LEA State and Local Amount]]+tblMoeHistory[[#This Row],[ESD State and Local Amount]]</f>
        <v>361543.59</v>
      </c>
      <c r="H1305">
        <v>0</v>
      </c>
      <c r="I1305" t="s">
        <v>241</v>
      </c>
      <c r="J1305" s="44">
        <f>IFERROR(tblMoeHistory[[#This Row],[LEA State and Local Amount]]/tblMoeHistory[[#This Row],[Child Count]],0)</f>
        <v>8192.4002631578951</v>
      </c>
      <c r="K1305">
        <f>IFERROR(tblMoeHistory[[#This Row],[ESD State and Local Amount]]/tblMoeHistory[[#This Row],[Child Count]],0)</f>
        <v>1321.9047368421052</v>
      </c>
      <c r="L1305" s="1">
        <f>IFERROR(tblMoeHistory[[#This Row],[State and Local Total Amount]]/tblMoeHistory[[#This Row],[Child Count]],0)</f>
        <v>9514.3050000000003</v>
      </c>
      <c r="M1305">
        <v>72726.899999999994</v>
      </c>
      <c r="N1305" t="s">
        <v>240</v>
      </c>
      <c r="O1305">
        <v>63178.67</v>
      </c>
      <c r="P1305">
        <v>970.38</v>
      </c>
      <c r="Q1305">
        <f>tblMoeHistory[[#This Row],[Amount of IDEA Part B, Section 611 award]]+tblMoeHistory[[#This Row],[Amount of IDEA Part B, Section 619 award]]</f>
        <v>64149.049999999996</v>
      </c>
      <c r="T1305">
        <v>0</v>
      </c>
      <c r="U13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5" t="str">
        <f>IF(OR(IFERROR(SEARCH("Met",tblMoeHistory[[#This Row],[State and Local Per Capita Result]]),0)&gt;0,IFERROR(SEARCH("Met",tblMoeHistory[[#This Row],[State and Local Total Result]]),0)&gt;0),"Met","Not Met")</f>
        <v>Met</v>
      </c>
    </row>
    <row r="1306" spans="1:22" x14ac:dyDescent="0.35">
      <c r="A1306" t="s">
        <v>144</v>
      </c>
      <c r="B1306">
        <v>2061</v>
      </c>
      <c r="C1306" t="s">
        <v>18</v>
      </c>
      <c r="D1306">
        <v>47</v>
      </c>
      <c r="E1306">
        <v>146666.25</v>
      </c>
      <c r="F1306">
        <v>111502.53</v>
      </c>
      <c r="G1306">
        <f>tblMoeHistory[[#This Row],[LEA State and Local Amount]]+tblMoeHistory[[#This Row],[ESD State and Local Amount]]</f>
        <v>258168.78</v>
      </c>
      <c r="H1306">
        <v>0</v>
      </c>
      <c r="I1306" t="s">
        <v>242</v>
      </c>
      <c r="J1306" s="44">
        <f>IFERROR(tblMoeHistory[[#This Row],[LEA State and Local Amount]]/tblMoeHistory[[#This Row],[Child Count]],0)</f>
        <v>3120.5585106382978</v>
      </c>
      <c r="K1306">
        <f>IFERROR(tblMoeHistory[[#This Row],[ESD State and Local Amount]]/tblMoeHistory[[#This Row],[Child Count]],0)</f>
        <v>2372.3942553191491</v>
      </c>
      <c r="L1306" s="1">
        <f>IFERROR(tblMoeHistory[[#This Row],[State and Local Total Amount]]/tblMoeHistory[[#This Row],[Child Count]],0)</f>
        <v>5492.9527659574469</v>
      </c>
      <c r="M1306">
        <v>9298.02</v>
      </c>
      <c r="N1306" t="s">
        <v>240</v>
      </c>
      <c r="O1306">
        <v>47670.84</v>
      </c>
      <c r="P1306">
        <v>1819.47</v>
      </c>
      <c r="Q1306">
        <f>tblMoeHistory[[#This Row],[Amount of IDEA Part B, Section 611 award]]+tblMoeHistory[[#This Row],[Amount of IDEA Part B, Section 619 award]]</f>
        <v>49490.31</v>
      </c>
      <c r="S1306">
        <v>38230.080000000002</v>
      </c>
      <c r="T1306">
        <v>955.75</v>
      </c>
      <c r="U13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6" t="str">
        <f>IF(OR(IFERROR(SEARCH("Met",tblMoeHistory[[#This Row],[State and Local Per Capita Result]]),0)&gt;0,IFERROR(SEARCH("Met",tblMoeHistory[[#This Row],[State and Local Total Result]]),0)&gt;0),"Met","Not Met")</f>
        <v>Met</v>
      </c>
    </row>
    <row r="1307" spans="1:22" x14ac:dyDescent="0.35">
      <c r="A1307" t="s">
        <v>145</v>
      </c>
      <c r="B1307">
        <v>2141</v>
      </c>
      <c r="C1307" t="s">
        <v>18</v>
      </c>
      <c r="D1307">
        <v>286</v>
      </c>
      <c r="E1307">
        <v>2373884.36</v>
      </c>
      <c r="F1307">
        <v>369079.74</v>
      </c>
      <c r="G1307">
        <f>tblMoeHistory[[#This Row],[LEA State and Local Amount]]+tblMoeHistory[[#This Row],[ESD State and Local Amount]]</f>
        <v>2742964.0999999996</v>
      </c>
      <c r="H1307">
        <v>0</v>
      </c>
      <c r="I1307" t="s">
        <v>241</v>
      </c>
      <c r="J1307" s="44">
        <f>IFERROR(tblMoeHistory[[#This Row],[LEA State and Local Amount]]/tblMoeHistory[[#This Row],[Child Count]],0)</f>
        <v>8300.2949650349638</v>
      </c>
      <c r="K1307">
        <f>IFERROR(tblMoeHistory[[#This Row],[ESD State and Local Amount]]/tblMoeHistory[[#This Row],[Child Count]],0)</f>
        <v>1290.4886013986013</v>
      </c>
      <c r="L1307" s="1">
        <f>IFERROR(tblMoeHistory[[#This Row],[State and Local Total Amount]]/tblMoeHistory[[#This Row],[Child Count]],0)</f>
        <v>9590.7835664335653</v>
      </c>
      <c r="M1307">
        <v>0</v>
      </c>
      <c r="N1307" t="s">
        <v>241</v>
      </c>
      <c r="O1307">
        <v>267406.78999999998</v>
      </c>
      <c r="P1307">
        <v>2218.02</v>
      </c>
      <c r="Q1307">
        <f>tblMoeHistory[[#This Row],[Amount of IDEA Part B, Section 611 award]]+tblMoeHistory[[#This Row],[Amount of IDEA Part B, Section 619 award]]</f>
        <v>269624.81</v>
      </c>
      <c r="U13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7" t="str">
        <f>IF(OR(IFERROR(SEARCH("Met",tblMoeHistory[[#This Row],[State and Local Per Capita Result]]),0)&gt;0,IFERROR(SEARCH("Met",tblMoeHistory[[#This Row],[State and Local Total Result]]),0)&gt;0),"Met","Not Met")</f>
        <v>Met</v>
      </c>
    </row>
    <row r="1308" spans="1:22" x14ac:dyDescent="0.35">
      <c r="A1308" t="s">
        <v>146</v>
      </c>
      <c r="B1308">
        <v>2214</v>
      </c>
      <c r="C1308" t="s">
        <v>18</v>
      </c>
      <c r="D1308">
        <v>33</v>
      </c>
      <c r="E1308">
        <v>158707.49</v>
      </c>
      <c r="F1308">
        <v>49405.13</v>
      </c>
      <c r="G1308">
        <f>tblMoeHistory[[#This Row],[LEA State and Local Amount]]+tblMoeHistory[[#This Row],[ESD State and Local Amount]]</f>
        <v>208112.62</v>
      </c>
      <c r="H1308">
        <v>0</v>
      </c>
      <c r="I1308" t="s">
        <v>242</v>
      </c>
      <c r="J1308" s="44">
        <f>IFERROR(tblMoeHistory[[#This Row],[LEA State and Local Amount]]/tblMoeHistory[[#This Row],[Child Count]],0)</f>
        <v>4809.3178787878787</v>
      </c>
      <c r="K1308">
        <f>IFERROR(tblMoeHistory[[#This Row],[ESD State and Local Amount]]/tblMoeHistory[[#This Row],[Child Count]],0)</f>
        <v>1497.1251515151514</v>
      </c>
      <c r="L1308" s="1">
        <f>IFERROR(tblMoeHistory[[#This Row],[State and Local Total Amount]]/tblMoeHistory[[#This Row],[Child Count]],0)</f>
        <v>6306.4430303030304</v>
      </c>
      <c r="M1308">
        <v>0</v>
      </c>
      <c r="N1308" t="s">
        <v>241</v>
      </c>
      <c r="O1308">
        <v>46228.46</v>
      </c>
      <c r="P1308">
        <v>485.19</v>
      </c>
      <c r="Q1308">
        <f>tblMoeHistory[[#This Row],[Amount of IDEA Part B, Section 611 award]]+tblMoeHistory[[#This Row],[Amount of IDEA Part B, Section 619 award]]</f>
        <v>46713.65</v>
      </c>
      <c r="S1308">
        <v>54065.64</v>
      </c>
      <c r="U13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8" t="str">
        <f>IF(OR(IFERROR(SEARCH("Met",tblMoeHistory[[#This Row],[State and Local Per Capita Result]]),0)&gt;0,IFERROR(SEARCH("Met",tblMoeHistory[[#This Row],[State and Local Total Result]]),0)&gt;0),"Met","Not Met")</f>
        <v>Met</v>
      </c>
    </row>
    <row r="1309" spans="1:22" x14ac:dyDescent="0.35">
      <c r="A1309" t="s">
        <v>147</v>
      </c>
      <c r="B1309">
        <v>2143</v>
      </c>
      <c r="C1309" t="s">
        <v>18</v>
      </c>
      <c r="D1309">
        <v>358</v>
      </c>
      <c r="E1309">
        <v>2733270.1</v>
      </c>
      <c r="F1309">
        <v>120057.96</v>
      </c>
      <c r="G1309">
        <f>tblMoeHistory[[#This Row],[LEA State and Local Amount]]+tblMoeHistory[[#This Row],[ESD State and Local Amount]]</f>
        <v>2853328.06</v>
      </c>
      <c r="H1309">
        <v>0</v>
      </c>
      <c r="I1309" t="s">
        <v>241</v>
      </c>
      <c r="J1309" s="44">
        <f>IFERROR(tblMoeHistory[[#This Row],[LEA State and Local Amount]]/tblMoeHistory[[#This Row],[Child Count]],0)</f>
        <v>7634.8326815642458</v>
      </c>
      <c r="K1309">
        <f>IFERROR(tblMoeHistory[[#This Row],[ESD State and Local Amount]]/tblMoeHistory[[#This Row],[Child Count]],0)</f>
        <v>335.35743016759778</v>
      </c>
      <c r="L1309" s="1">
        <f>IFERROR(tblMoeHistory[[#This Row],[State and Local Total Amount]]/tblMoeHistory[[#This Row],[Child Count]],0)</f>
        <v>7970.1901117318439</v>
      </c>
      <c r="M1309">
        <v>761743.19</v>
      </c>
      <c r="N1309" t="s">
        <v>240</v>
      </c>
      <c r="O1309">
        <v>429023.47</v>
      </c>
      <c r="P1309">
        <v>2258.65</v>
      </c>
      <c r="Q1309">
        <f>tblMoeHistory[[#This Row],[Amount of IDEA Part B, Section 611 award]]+tblMoeHistory[[#This Row],[Amount of IDEA Part B, Section 619 award]]</f>
        <v>431282.12</v>
      </c>
      <c r="T1309">
        <v>0</v>
      </c>
      <c r="U13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9" t="str">
        <f>IF(OR(IFERROR(SEARCH("Met",tblMoeHistory[[#This Row],[State and Local Per Capita Result]]),0)&gt;0,IFERROR(SEARCH("Met",tblMoeHistory[[#This Row],[State and Local Total Result]]),0)&gt;0),"Met","Not Met")</f>
        <v>Met</v>
      </c>
    </row>
    <row r="1310" spans="1:22" x14ac:dyDescent="0.35">
      <c r="A1310" t="s">
        <v>148</v>
      </c>
      <c r="B1310">
        <v>4131</v>
      </c>
      <c r="C1310" t="s">
        <v>18</v>
      </c>
      <c r="D1310">
        <v>474</v>
      </c>
      <c r="E1310">
        <v>4161081.45</v>
      </c>
      <c r="F1310">
        <v>0</v>
      </c>
      <c r="G1310">
        <f>tblMoeHistory[[#This Row],[LEA State and Local Amount]]+tblMoeHistory[[#This Row],[ESD State and Local Amount]]</f>
        <v>4161081.45</v>
      </c>
      <c r="H1310">
        <v>0</v>
      </c>
      <c r="I1310" t="s">
        <v>241</v>
      </c>
      <c r="J1310" s="44">
        <f>IFERROR(tblMoeHistory[[#This Row],[LEA State and Local Amount]]/tblMoeHistory[[#This Row],[Child Count]],0)</f>
        <v>8778.6528481012665</v>
      </c>
      <c r="K1310">
        <f>IFERROR(tblMoeHistory[[#This Row],[ESD State and Local Amount]]/tblMoeHistory[[#This Row],[Child Count]],0)</f>
        <v>0</v>
      </c>
      <c r="L1310" s="1">
        <f>IFERROR(tblMoeHistory[[#This Row],[State and Local Total Amount]]/tblMoeHistory[[#This Row],[Child Count]],0)</f>
        <v>8778.6528481012665</v>
      </c>
      <c r="M1310">
        <v>80572.56</v>
      </c>
      <c r="N1310" t="s">
        <v>240</v>
      </c>
      <c r="O1310">
        <v>529186.65</v>
      </c>
      <c r="P1310">
        <v>7967.37</v>
      </c>
      <c r="Q1310">
        <f>tblMoeHistory[[#This Row],[Amount of IDEA Part B, Section 611 award]]+tblMoeHistory[[#This Row],[Amount of IDEA Part B, Section 619 award]]</f>
        <v>537154.02</v>
      </c>
      <c r="T1310">
        <v>0</v>
      </c>
      <c r="U13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0" t="str">
        <f>IF(OR(IFERROR(SEARCH("Met",tblMoeHistory[[#This Row],[State and Local Per Capita Result]]),0)&gt;0,IFERROR(SEARCH("Met",tblMoeHistory[[#This Row],[State and Local Total Result]]),0)&gt;0),"Met","Not Met")</f>
        <v>Met</v>
      </c>
    </row>
    <row r="1311" spans="1:22" x14ac:dyDescent="0.35">
      <c r="A1311" t="s">
        <v>149</v>
      </c>
      <c r="B1311">
        <v>2110</v>
      </c>
      <c r="C1311" t="s">
        <v>18</v>
      </c>
      <c r="D1311">
        <v>173</v>
      </c>
      <c r="E1311">
        <v>803743.83</v>
      </c>
      <c r="F1311">
        <v>399735.66</v>
      </c>
      <c r="G1311">
        <f>tblMoeHistory[[#This Row],[LEA State and Local Amount]]+tblMoeHistory[[#This Row],[ESD State and Local Amount]]</f>
        <v>1203479.49</v>
      </c>
      <c r="H1311">
        <v>0</v>
      </c>
      <c r="I1311" t="s">
        <v>241</v>
      </c>
      <c r="J1311" s="44">
        <f>IFERROR(tblMoeHistory[[#This Row],[LEA State and Local Amount]]/tblMoeHistory[[#This Row],[Child Count]],0)</f>
        <v>4645.9180924855491</v>
      </c>
      <c r="K1311">
        <f>IFERROR(tblMoeHistory[[#This Row],[ESD State and Local Amount]]/tblMoeHistory[[#This Row],[Child Count]],0)</f>
        <v>2310.6107514450864</v>
      </c>
      <c r="L1311" s="1">
        <f>IFERROR(tblMoeHistory[[#This Row],[State and Local Total Amount]]/tblMoeHistory[[#This Row],[Child Count]],0)</f>
        <v>6956.528843930636</v>
      </c>
      <c r="M1311">
        <v>0</v>
      </c>
      <c r="N1311" t="s">
        <v>242</v>
      </c>
      <c r="O1311">
        <v>227233.87</v>
      </c>
      <c r="P1311">
        <v>1455.58</v>
      </c>
      <c r="Q1311">
        <f>tblMoeHistory[[#This Row],[Amount of IDEA Part B, Section 611 award]]+tblMoeHistory[[#This Row],[Amount of IDEA Part B, Section 619 award]]</f>
        <v>228689.44999999998</v>
      </c>
      <c r="T1311">
        <v>614.5</v>
      </c>
      <c r="U13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1" t="str">
        <f>IF(OR(IFERROR(SEARCH("Met",tblMoeHistory[[#This Row],[State and Local Per Capita Result]]),0)&gt;0,IFERROR(SEARCH("Met",tblMoeHistory[[#This Row],[State and Local Total Result]]),0)&gt;0),"Met","Not Met")</f>
        <v>Met</v>
      </c>
    </row>
    <row r="1312" spans="1:22" x14ac:dyDescent="0.35">
      <c r="A1312" t="s">
        <v>150</v>
      </c>
      <c r="B1312">
        <v>1990</v>
      </c>
      <c r="C1312" t="s">
        <v>18</v>
      </c>
      <c r="D1312">
        <v>64</v>
      </c>
      <c r="E1312">
        <v>403495.13</v>
      </c>
      <c r="F1312">
        <v>107915.99</v>
      </c>
      <c r="G1312">
        <f>tblMoeHistory[[#This Row],[LEA State and Local Amount]]+tblMoeHistory[[#This Row],[ESD State and Local Amount]]</f>
        <v>511411.12</v>
      </c>
      <c r="H1312">
        <v>0</v>
      </c>
      <c r="I1312" t="s">
        <v>241</v>
      </c>
      <c r="J1312" s="44">
        <f>IFERROR(tblMoeHistory[[#This Row],[LEA State and Local Amount]]/tblMoeHistory[[#This Row],[Child Count]],0)</f>
        <v>6304.6114062500001</v>
      </c>
      <c r="K1312">
        <f>IFERROR(tblMoeHistory[[#This Row],[ESD State and Local Amount]]/tblMoeHistory[[#This Row],[Child Count]],0)</f>
        <v>1686.1873437500001</v>
      </c>
      <c r="L1312" s="1">
        <f>IFERROR(tblMoeHistory[[#This Row],[State and Local Total Amount]]/tblMoeHistory[[#This Row],[Child Count]],0)</f>
        <v>7990.7987499999999</v>
      </c>
      <c r="M1312">
        <v>0</v>
      </c>
      <c r="N1312" t="s">
        <v>242</v>
      </c>
      <c r="O1312">
        <v>97394.02</v>
      </c>
      <c r="P1312">
        <v>2183.37</v>
      </c>
      <c r="Q1312">
        <f>tblMoeHistory[[#This Row],[Amount of IDEA Part B, Section 611 award]]+tblMoeHistory[[#This Row],[Amount of IDEA Part B, Section 619 award]]</f>
        <v>99577.39</v>
      </c>
      <c r="T1312">
        <v>1958.61</v>
      </c>
      <c r="U13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2" t="str">
        <f>IF(OR(IFERROR(SEARCH("Met",tblMoeHistory[[#This Row],[State and Local Per Capita Result]]),0)&gt;0,IFERROR(SEARCH("Met",tblMoeHistory[[#This Row],[State and Local Total Result]]),0)&gt;0),"Met","Not Met")</f>
        <v>Met</v>
      </c>
    </row>
    <row r="1313" spans="1:22" x14ac:dyDescent="0.35">
      <c r="A1313" t="s">
        <v>151</v>
      </c>
      <c r="B1313">
        <v>2093</v>
      </c>
      <c r="C1313" t="s">
        <v>18</v>
      </c>
      <c r="D1313">
        <v>96</v>
      </c>
      <c r="E1313">
        <v>400447.81</v>
      </c>
      <c r="F1313">
        <v>212147</v>
      </c>
      <c r="G1313">
        <f>tblMoeHistory[[#This Row],[LEA State and Local Amount]]+tblMoeHistory[[#This Row],[ESD State and Local Amount]]</f>
        <v>612594.81000000006</v>
      </c>
      <c r="H1313">
        <v>0</v>
      </c>
      <c r="I1313" t="s">
        <v>241</v>
      </c>
      <c r="J1313" s="44">
        <f>IFERROR(tblMoeHistory[[#This Row],[LEA State and Local Amount]]/tblMoeHistory[[#This Row],[Child Count]],0)</f>
        <v>4171.3313541666666</v>
      </c>
      <c r="K1313">
        <f>IFERROR(tblMoeHistory[[#This Row],[ESD State and Local Amount]]/tblMoeHistory[[#This Row],[Child Count]],0)</f>
        <v>2209.8645833333335</v>
      </c>
      <c r="L1313" s="1">
        <f>IFERROR(tblMoeHistory[[#This Row],[State and Local Total Amount]]/tblMoeHistory[[#This Row],[Child Count]],0)</f>
        <v>6381.1959375000006</v>
      </c>
      <c r="M1313">
        <v>49447.76</v>
      </c>
      <c r="N1313" t="s">
        <v>240</v>
      </c>
      <c r="O1313">
        <v>129430.23</v>
      </c>
      <c r="P1313">
        <v>2264.23</v>
      </c>
      <c r="Q1313">
        <f>tblMoeHistory[[#This Row],[Amount of IDEA Part B, Section 611 award]]+tblMoeHistory[[#This Row],[Amount of IDEA Part B, Section 619 award]]</f>
        <v>131694.46</v>
      </c>
      <c r="T1313">
        <v>862.58</v>
      </c>
      <c r="U13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3" t="str">
        <f>IF(OR(IFERROR(SEARCH("Met",tblMoeHistory[[#This Row],[State and Local Per Capita Result]]),0)&gt;0,IFERROR(SEARCH("Met",tblMoeHistory[[#This Row],[State and Local Total Result]]),0)&gt;0),"Met","Not Met")</f>
        <v>Met</v>
      </c>
    </row>
    <row r="1314" spans="1:22" x14ac:dyDescent="0.35">
      <c r="A1314" t="s">
        <v>152</v>
      </c>
      <c r="B1314">
        <v>2108</v>
      </c>
      <c r="C1314" t="s">
        <v>18</v>
      </c>
      <c r="D1314">
        <v>287</v>
      </c>
      <c r="E1314">
        <v>2605875.75</v>
      </c>
      <c r="F1314">
        <v>88500</v>
      </c>
      <c r="G1314">
        <f>tblMoeHistory[[#This Row],[LEA State and Local Amount]]+tblMoeHistory[[#This Row],[ESD State and Local Amount]]</f>
        <v>2694375.75</v>
      </c>
      <c r="H1314">
        <v>0</v>
      </c>
      <c r="I1314" t="s">
        <v>241</v>
      </c>
      <c r="J1314" s="44">
        <f>IFERROR(tblMoeHistory[[#This Row],[LEA State and Local Amount]]/tblMoeHistory[[#This Row],[Child Count]],0)</f>
        <v>9079.7064459930316</v>
      </c>
      <c r="K1314">
        <f>IFERROR(tblMoeHistory[[#This Row],[ESD State and Local Amount]]/tblMoeHistory[[#This Row],[Child Count]],0)</f>
        <v>308.36236933797909</v>
      </c>
      <c r="L1314" s="1">
        <f>IFERROR(tblMoeHistory[[#This Row],[State and Local Total Amount]]/tblMoeHistory[[#This Row],[Child Count]],0)</f>
        <v>9388.0688153310111</v>
      </c>
      <c r="M1314">
        <v>0</v>
      </c>
      <c r="N1314" t="s">
        <v>241</v>
      </c>
      <c r="O1314">
        <v>503329.41</v>
      </c>
      <c r="P1314">
        <v>5094.5200000000004</v>
      </c>
      <c r="Q1314">
        <f>tblMoeHistory[[#This Row],[Amount of IDEA Part B, Section 611 award]]+tblMoeHistory[[#This Row],[Amount of IDEA Part B, Section 619 award]]</f>
        <v>508423.93</v>
      </c>
      <c r="U13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4" t="str">
        <f>IF(OR(IFERROR(SEARCH("Met",tblMoeHistory[[#This Row],[State and Local Per Capita Result]]),0)&gt;0,IFERROR(SEARCH("Met",tblMoeHistory[[#This Row],[State and Local Total Result]]),0)&gt;0),"Met","Not Met")</f>
        <v>Met</v>
      </c>
    </row>
    <row r="1315" spans="1:22" x14ac:dyDescent="0.35">
      <c r="A1315" t="s">
        <v>153</v>
      </c>
      <c r="B1315">
        <v>1928</v>
      </c>
      <c r="C1315" t="s">
        <v>18</v>
      </c>
      <c r="D1315">
        <v>1293</v>
      </c>
      <c r="E1315">
        <v>14072336.220000001</v>
      </c>
      <c r="F1315">
        <v>1964921</v>
      </c>
      <c r="G1315">
        <f>tblMoeHistory[[#This Row],[LEA State and Local Amount]]+tblMoeHistory[[#This Row],[ESD State and Local Amount]]</f>
        <v>16037257.220000001</v>
      </c>
      <c r="H1315">
        <v>0</v>
      </c>
      <c r="I1315" t="s">
        <v>241</v>
      </c>
      <c r="J1315" s="44">
        <f>IFERROR(tblMoeHistory[[#This Row],[LEA State and Local Amount]]/tblMoeHistory[[#This Row],[Child Count]],0)</f>
        <v>10883.477354988399</v>
      </c>
      <c r="K1315">
        <f>IFERROR(tblMoeHistory[[#This Row],[ESD State and Local Amount]]/tblMoeHistory[[#This Row],[Child Count]],0)</f>
        <v>1519.6604795050271</v>
      </c>
      <c r="L1315" s="1">
        <f>IFERROR(tblMoeHistory[[#This Row],[State and Local Total Amount]]/tblMoeHistory[[#This Row],[Child Count]],0)</f>
        <v>12403.137834493427</v>
      </c>
      <c r="M1315">
        <v>0</v>
      </c>
      <c r="N1315" t="s">
        <v>241</v>
      </c>
      <c r="O1315">
        <v>1284835.1200000001</v>
      </c>
      <c r="P1315">
        <v>11797.84</v>
      </c>
      <c r="Q1315">
        <f>tblMoeHistory[[#This Row],[Amount of IDEA Part B, Section 611 award]]+tblMoeHistory[[#This Row],[Amount of IDEA Part B, Section 619 award]]</f>
        <v>1296632.9600000002</v>
      </c>
      <c r="U13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5" t="str">
        <f>IF(OR(IFERROR(SEARCH("Met",tblMoeHistory[[#This Row],[State and Local Per Capita Result]]),0)&gt;0,IFERROR(SEARCH("Met",tblMoeHistory[[#This Row],[State and Local Total Result]]),0)&gt;0),"Met","Not Met")</f>
        <v>Met</v>
      </c>
    </row>
    <row r="1316" spans="1:22" x14ac:dyDescent="0.35">
      <c r="A1316" t="s">
        <v>154</v>
      </c>
      <c r="B1316">
        <v>1926</v>
      </c>
      <c r="C1316" t="s">
        <v>18</v>
      </c>
      <c r="D1316">
        <v>539</v>
      </c>
      <c r="E1316">
        <v>5887593.8300000001</v>
      </c>
      <c r="F1316">
        <v>647546</v>
      </c>
      <c r="G1316">
        <f>tblMoeHistory[[#This Row],[LEA State and Local Amount]]+tblMoeHistory[[#This Row],[ESD State and Local Amount]]</f>
        <v>6535139.8300000001</v>
      </c>
      <c r="H1316">
        <v>0</v>
      </c>
      <c r="I1316" t="s">
        <v>241</v>
      </c>
      <c r="J1316" s="44">
        <f>IFERROR(tblMoeHistory[[#This Row],[LEA State and Local Amount]]/tblMoeHistory[[#This Row],[Child Count]],0)</f>
        <v>10923.179647495363</v>
      </c>
      <c r="K1316">
        <f>IFERROR(tblMoeHistory[[#This Row],[ESD State and Local Amount]]/tblMoeHistory[[#This Row],[Child Count]],0)</f>
        <v>1201.3840445269016</v>
      </c>
      <c r="L1316" s="1">
        <f>IFERROR(tblMoeHistory[[#This Row],[State and Local Total Amount]]/tblMoeHistory[[#This Row],[Child Count]],0)</f>
        <v>12124.563692022264</v>
      </c>
      <c r="M1316">
        <v>85892.27</v>
      </c>
      <c r="N1316" t="s">
        <v>240</v>
      </c>
      <c r="O1316">
        <v>634634.51</v>
      </c>
      <c r="P1316">
        <v>5267.8</v>
      </c>
      <c r="Q1316">
        <f>tblMoeHistory[[#This Row],[Amount of IDEA Part B, Section 611 award]]+tblMoeHistory[[#This Row],[Amount of IDEA Part B, Section 619 award]]</f>
        <v>639902.31000000006</v>
      </c>
      <c r="T1316">
        <v>0</v>
      </c>
      <c r="U13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6" t="str">
        <f>IF(OR(IFERROR(SEARCH("Met",tblMoeHistory[[#This Row],[State and Local Per Capita Result]]),0)&gt;0,IFERROR(SEARCH("Met",tblMoeHistory[[#This Row],[State and Local Total Result]]),0)&gt;0),"Met","Not Met")</f>
        <v>Met</v>
      </c>
    </row>
    <row r="1317" spans="1:22" x14ac:dyDescent="0.35">
      <c r="A1317" t="s">
        <v>155</v>
      </c>
      <c r="B1317">
        <v>2060</v>
      </c>
      <c r="C1317" t="s">
        <v>18</v>
      </c>
      <c r="D1317">
        <v>22</v>
      </c>
      <c r="E1317">
        <v>82170.19</v>
      </c>
      <c r="F1317">
        <v>88971.85</v>
      </c>
      <c r="G1317">
        <f>tblMoeHistory[[#This Row],[LEA State and Local Amount]]+tblMoeHistory[[#This Row],[ESD State and Local Amount]]</f>
        <v>171142.04</v>
      </c>
      <c r="H1317">
        <v>0</v>
      </c>
      <c r="I1317" t="s">
        <v>241</v>
      </c>
      <c r="J1317" s="44">
        <f>IFERROR(tblMoeHistory[[#This Row],[LEA State and Local Amount]]/tblMoeHistory[[#This Row],[Child Count]],0)</f>
        <v>3735.0086363636365</v>
      </c>
      <c r="K1317">
        <f>IFERROR(tblMoeHistory[[#This Row],[ESD State and Local Amount]]/tblMoeHistory[[#This Row],[Child Count]],0)</f>
        <v>4044.1750000000002</v>
      </c>
      <c r="L1317" s="1">
        <f>IFERROR(tblMoeHistory[[#This Row],[State and Local Total Amount]]/tblMoeHistory[[#This Row],[Child Count]],0)</f>
        <v>7779.1836363636367</v>
      </c>
      <c r="M1317">
        <v>0</v>
      </c>
      <c r="N1317" t="s">
        <v>241</v>
      </c>
      <c r="O1317">
        <v>26656.639999999999</v>
      </c>
      <c r="P1317">
        <v>242.6</v>
      </c>
      <c r="Q1317">
        <f>tblMoeHistory[[#This Row],[Amount of IDEA Part B, Section 611 award]]+tblMoeHistory[[#This Row],[Amount of IDEA Part B, Section 619 award]]</f>
        <v>26899.239999999998</v>
      </c>
      <c r="U13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7" t="str">
        <f>IF(OR(IFERROR(SEARCH("Met",tblMoeHistory[[#This Row],[State and Local Per Capita Result]]),0)&gt;0,IFERROR(SEARCH("Met",tblMoeHistory[[#This Row],[State and Local Total Result]]),0)&gt;0),"Met","Not Met")</f>
        <v>Met</v>
      </c>
    </row>
    <row r="1318" spans="1:22" x14ac:dyDescent="0.35">
      <c r="A1318" t="s">
        <v>156</v>
      </c>
      <c r="B1318">
        <v>2181</v>
      </c>
      <c r="C1318" t="s">
        <v>18</v>
      </c>
      <c r="D1318">
        <v>483</v>
      </c>
      <c r="E1318">
        <v>6726104.46</v>
      </c>
      <c r="F1318">
        <v>795748.47</v>
      </c>
      <c r="G1318">
        <f>tblMoeHistory[[#This Row],[LEA State and Local Amount]]+tblMoeHistory[[#This Row],[ESD State and Local Amount]]</f>
        <v>7521852.9299999997</v>
      </c>
      <c r="H1318">
        <v>0</v>
      </c>
      <c r="I1318" t="s">
        <v>241</v>
      </c>
      <c r="J1318" s="44">
        <f>IFERROR(tblMoeHistory[[#This Row],[LEA State and Local Amount]]/tblMoeHistory[[#This Row],[Child Count]],0)</f>
        <v>13925.682111801241</v>
      </c>
      <c r="K1318">
        <f>IFERROR(tblMoeHistory[[#This Row],[ESD State and Local Amount]]/tblMoeHistory[[#This Row],[Child Count]],0)</f>
        <v>1647.5123602484471</v>
      </c>
      <c r="L1318" s="1">
        <f>IFERROR(tblMoeHistory[[#This Row],[State and Local Total Amount]]/tblMoeHistory[[#This Row],[Child Count]],0)</f>
        <v>15573.194472049689</v>
      </c>
      <c r="M1318">
        <v>0</v>
      </c>
      <c r="N1318" t="s">
        <v>241</v>
      </c>
      <c r="O1318">
        <v>583629.18999999994</v>
      </c>
      <c r="P1318">
        <v>3041.5</v>
      </c>
      <c r="Q1318">
        <f>tblMoeHistory[[#This Row],[Amount of IDEA Part B, Section 611 award]]+tblMoeHistory[[#This Row],[Amount of IDEA Part B, Section 619 award]]</f>
        <v>586670.68999999994</v>
      </c>
      <c r="U13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8" t="str">
        <f>IF(OR(IFERROR(SEARCH("Met",tblMoeHistory[[#This Row],[State and Local Per Capita Result]]),0)&gt;0,IFERROR(SEARCH("Met",tblMoeHistory[[#This Row],[State and Local Total Result]]),0)&gt;0),"Met","Not Met")</f>
        <v>Met</v>
      </c>
    </row>
    <row r="1319" spans="1:22" x14ac:dyDescent="0.35">
      <c r="A1319" t="s">
        <v>157</v>
      </c>
      <c r="B1319">
        <v>2207</v>
      </c>
      <c r="C1319" t="s">
        <v>18</v>
      </c>
      <c r="D1319">
        <v>416</v>
      </c>
      <c r="E1319">
        <v>4400878.0599999996</v>
      </c>
      <c r="F1319">
        <v>639002.29</v>
      </c>
      <c r="G1319">
        <f>tblMoeHistory[[#This Row],[LEA State and Local Amount]]+tblMoeHistory[[#This Row],[ESD State and Local Amount]]</f>
        <v>5039880.3499999996</v>
      </c>
      <c r="H1319">
        <v>0</v>
      </c>
      <c r="I1319" t="s">
        <v>241</v>
      </c>
      <c r="J1319" s="44">
        <f>IFERROR(tblMoeHistory[[#This Row],[LEA State and Local Amount]]/tblMoeHistory[[#This Row],[Child Count]],0)</f>
        <v>10579.033798076922</v>
      </c>
      <c r="K1319">
        <f>IFERROR(tblMoeHistory[[#This Row],[ESD State and Local Amount]]/tblMoeHistory[[#This Row],[Child Count]],0)</f>
        <v>1536.0631971153848</v>
      </c>
      <c r="L1319" s="1">
        <f>IFERROR(tblMoeHistory[[#This Row],[State and Local Total Amount]]/tblMoeHistory[[#This Row],[Child Count]],0)</f>
        <v>12115.096995192307</v>
      </c>
      <c r="M1319">
        <v>0</v>
      </c>
      <c r="N1319" t="s">
        <v>241</v>
      </c>
      <c r="O1319">
        <v>516624.74</v>
      </c>
      <c r="P1319">
        <v>4366.7299999999996</v>
      </c>
      <c r="Q1319">
        <f>tblMoeHistory[[#This Row],[Amount of IDEA Part B, Section 611 award]]+tblMoeHistory[[#This Row],[Amount of IDEA Part B, Section 619 award]]</f>
        <v>520991.47</v>
      </c>
      <c r="U13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9" t="str">
        <f>IF(OR(IFERROR(SEARCH("Met",tblMoeHistory[[#This Row],[State and Local Per Capita Result]]),0)&gt;0,IFERROR(SEARCH("Met",tblMoeHistory[[#This Row],[State and Local Total Result]]),0)&gt;0),"Met","Not Met")</f>
        <v>Met</v>
      </c>
    </row>
    <row r="1320" spans="1:22" x14ac:dyDescent="0.35">
      <c r="A1320" t="s">
        <v>158</v>
      </c>
      <c r="B1320">
        <v>2192</v>
      </c>
      <c r="C1320" t="s">
        <v>18</v>
      </c>
      <c r="D1320">
        <v>40</v>
      </c>
      <c r="E1320">
        <v>286500.15999999997</v>
      </c>
      <c r="F1320">
        <v>30104.44</v>
      </c>
      <c r="G1320">
        <f>tblMoeHistory[[#This Row],[LEA State and Local Amount]]+tblMoeHistory[[#This Row],[ESD State and Local Amount]]</f>
        <v>316604.59999999998</v>
      </c>
      <c r="H1320">
        <v>0</v>
      </c>
      <c r="I1320" t="s">
        <v>241</v>
      </c>
      <c r="J1320" s="44">
        <f>IFERROR(tblMoeHistory[[#This Row],[LEA State and Local Amount]]/tblMoeHistory[[#This Row],[Child Count]],0)</f>
        <v>7162.503999999999</v>
      </c>
      <c r="K1320">
        <f>IFERROR(tblMoeHistory[[#This Row],[ESD State and Local Amount]]/tblMoeHistory[[#This Row],[Child Count]],0)</f>
        <v>752.61099999999999</v>
      </c>
      <c r="L1320" s="1">
        <f>IFERROR(tblMoeHistory[[#This Row],[State and Local Total Amount]]/tblMoeHistory[[#This Row],[Child Count]],0)</f>
        <v>7915.1149999999998</v>
      </c>
      <c r="M1320">
        <v>636987.53</v>
      </c>
      <c r="N1320" t="s">
        <v>240</v>
      </c>
      <c r="O1320">
        <v>32018.93</v>
      </c>
      <c r="P1320">
        <v>646.91999999999996</v>
      </c>
      <c r="Q1320">
        <f>tblMoeHistory[[#This Row],[Amount of IDEA Part B, Section 611 award]]+tblMoeHistory[[#This Row],[Amount of IDEA Part B, Section 619 award]]</f>
        <v>32665.85</v>
      </c>
      <c r="T1320">
        <v>1935.74</v>
      </c>
      <c r="U13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0" t="str">
        <f>IF(OR(IFERROR(SEARCH("Met",tblMoeHistory[[#This Row],[State and Local Per Capita Result]]),0)&gt;0,IFERROR(SEARCH("Met",tblMoeHistory[[#This Row],[State and Local Total Result]]),0)&gt;0),"Met","Not Met")</f>
        <v>Met</v>
      </c>
    </row>
    <row r="1321" spans="1:22" x14ac:dyDescent="0.35">
      <c r="A1321" t="s">
        <v>160</v>
      </c>
      <c r="B1321">
        <v>1900</v>
      </c>
      <c r="C1321" t="s">
        <v>18</v>
      </c>
      <c r="D1321">
        <v>198</v>
      </c>
      <c r="E1321">
        <v>1783016.65</v>
      </c>
      <c r="F1321">
        <v>139052</v>
      </c>
      <c r="G1321">
        <f>tblMoeHistory[[#This Row],[LEA State and Local Amount]]+tblMoeHistory[[#This Row],[ESD State and Local Amount]]</f>
        <v>1922068.65</v>
      </c>
      <c r="H1321">
        <v>0</v>
      </c>
      <c r="I1321" t="s">
        <v>241</v>
      </c>
      <c r="J1321" s="44">
        <f>IFERROR(tblMoeHistory[[#This Row],[LEA State and Local Amount]]/tblMoeHistory[[#This Row],[Child Count]],0)</f>
        <v>9005.1345959595947</v>
      </c>
      <c r="K1321">
        <f>IFERROR(tblMoeHistory[[#This Row],[ESD State and Local Amount]]/tblMoeHistory[[#This Row],[Child Count]],0)</f>
        <v>702.28282828282829</v>
      </c>
      <c r="L1321" s="1">
        <f>IFERROR(tblMoeHistory[[#This Row],[State and Local Total Amount]]/tblMoeHistory[[#This Row],[Child Count]],0)</f>
        <v>9707.4174242424233</v>
      </c>
      <c r="M1321">
        <v>0</v>
      </c>
      <c r="N1321" t="s">
        <v>241</v>
      </c>
      <c r="O1321">
        <v>237698.48</v>
      </c>
      <c r="P1321">
        <v>3153.75</v>
      </c>
      <c r="Q1321">
        <f>tblMoeHistory[[#This Row],[Amount of IDEA Part B, Section 611 award]]+tblMoeHistory[[#This Row],[Amount of IDEA Part B, Section 619 award]]</f>
        <v>240852.23</v>
      </c>
      <c r="U13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1" t="str">
        <f>IF(OR(IFERROR(SEARCH("Met",tblMoeHistory[[#This Row],[State and Local Per Capita Result]]),0)&gt;0,IFERROR(SEARCH("Met",tblMoeHistory[[#This Row],[State and Local Total Result]]),0)&gt;0),"Met","Not Met")</f>
        <v>Met</v>
      </c>
    </row>
    <row r="1322" spans="1:22" x14ac:dyDescent="0.35">
      <c r="A1322" t="s">
        <v>161</v>
      </c>
      <c r="B1322">
        <v>2039</v>
      </c>
      <c r="C1322" t="s">
        <v>18</v>
      </c>
      <c r="D1322">
        <v>381</v>
      </c>
      <c r="E1322">
        <v>2861111.74</v>
      </c>
      <c r="F1322">
        <v>740738.99</v>
      </c>
      <c r="G1322">
        <f>tblMoeHistory[[#This Row],[LEA State and Local Amount]]+tblMoeHistory[[#This Row],[ESD State and Local Amount]]</f>
        <v>3601850.7300000004</v>
      </c>
      <c r="H1322">
        <v>0</v>
      </c>
      <c r="I1322" t="s">
        <v>241</v>
      </c>
      <c r="J1322" s="44">
        <f>IFERROR(tblMoeHistory[[#This Row],[LEA State and Local Amount]]/tblMoeHistory[[#This Row],[Child Count]],0)</f>
        <v>7509.479632545932</v>
      </c>
      <c r="K1322">
        <f>IFERROR(tblMoeHistory[[#This Row],[ESD State and Local Amount]]/tblMoeHistory[[#This Row],[Child Count]],0)</f>
        <v>1944.1968241469815</v>
      </c>
      <c r="L1322" s="1">
        <f>IFERROR(tblMoeHistory[[#This Row],[State and Local Total Amount]]/tblMoeHistory[[#This Row],[Child Count]],0)</f>
        <v>9453.6764566929141</v>
      </c>
      <c r="M1322">
        <v>0</v>
      </c>
      <c r="N1322" t="s">
        <v>241</v>
      </c>
      <c r="O1322">
        <v>470156.67</v>
      </c>
      <c r="P1322">
        <v>7330.34</v>
      </c>
      <c r="Q1322">
        <f>tblMoeHistory[[#This Row],[Amount of IDEA Part B, Section 611 award]]+tblMoeHistory[[#This Row],[Amount of IDEA Part B, Section 619 award]]</f>
        <v>477487.01</v>
      </c>
      <c r="U13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2" t="str">
        <f>IF(OR(IFERROR(SEARCH("Met",tblMoeHistory[[#This Row],[State and Local Per Capita Result]]),0)&gt;0,IFERROR(SEARCH("Met",tblMoeHistory[[#This Row],[State and Local Total Result]]),0)&gt;0),"Met","Not Met")</f>
        <v>Met</v>
      </c>
    </row>
    <row r="1323" spans="1:22" x14ac:dyDescent="0.35">
      <c r="A1323" t="s">
        <v>162</v>
      </c>
      <c r="B1323">
        <v>2202</v>
      </c>
      <c r="C1323" t="s">
        <v>18</v>
      </c>
      <c r="D1323">
        <v>39</v>
      </c>
      <c r="E1323">
        <v>321696.01</v>
      </c>
      <c r="F1323">
        <v>58375.42</v>
      </c>
      <c r="G1323">
        <f>tblMoeHistory[[#This Row],[LEA State and Local Amount]]+tblMoeHistory[[#This Row],[ESD State and Local Amount]]</f>
        <v>380071.43</v>
      </c>
      <c r="H1323">
        <v>0</v>
      </c>
      <c r="I1323" t="s">
        <v>242</v>
      </c>
      <c r="J1323" s="44">
        <f>IFERROR(tblMoeHistory[[#This Row],[LEA State and Local Amount]]/tblMoeHistory[[#This Row],[Child Count]],0)</f>
        <v>8248.6156410256408</v>
      </c>
      <c r="K1323">
        <f>IFERROR(tblMoeHistory[[#This Row],[ESD State and Local Amount]]/tblMoeHistory[[#This Row],[Child Count]],0)</f>
        <v>1496.8056410256411</v>
      </c>
      <c r="L1323" s="1">
        <f>IFERROR(tblMoeHistory[[#This Row],[State and Local Total Amount]]/tblMoeHistory[[#This Row],[Child Count]],0)</f>
        <v>9745.4212820512821</v>
      </c>
      <c r="M1323">
        <v>0</v>
      </c>
      <c r="N1323" t="s">
        <v>241</v>
      </c>
      <c r="O1323">
        <v>79622.48</v>
      </c>
      <c r="P1323">
        <v>363.89</v>
      </c>
      <c r="Q1323">
        <f>tblMoeHistory[[#This Row],[Amount of IDEA Part B, Section 611 award]]+tblMoeHistory[[#This Row],[Amount of IDEA Part B, Section 619 award]]</f>
        <v>79986.37</v>
      </c>
      <c r="S1323">
        <v>35494.47</v>
      </c>
      <c r="U13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3" t="str">
        <f>IF(OR(IFERROR(SEARCH("Met",tblMoeHistory[[#This Row],[State and Local Per Capita Result]]),0)&gt;0,IFERROR(SEARCH("Met",tblMoeHistory[[#This Row],[State and Local Total Result]]),0)&gt;0),"Met","Not Met")</f>
        <v>Met</v>
      </c>
    </row>
    <row r="1324" spans="1:22" x14ac:dyDescent="0.35">
      <c r="A1324" t="s">
        <v>163</v>
      </c>
      <c r="B1324">
        <v>2016</v>
      </c>
      <c r="C1324" t="s">
        <v>18</v>
      </c>
      <c r="D1324">
        <v>0</v>
      </c>
      <c r="E1324">
        <v>2378.41</v>
      </c>
      <c r="F1324">
        <v>3045</v>
      </c>
      <c r="G1324">
        <f>tblMoeHistory[[#This Row],[LEA State and Local Amount]]+tblMoeHistory[[#This Row],[ESD State and Local Amount]]</f>
        <v>5423.41</v>
      </c>
      <c r="H1324">
        <v>0</v>
      </c>
      <c r="I1324" t="s">
        <v>242</v>
      </c>
      <c r="J1324" s="44">
        <f>IFERROR(tblMoeHistory[[#This Row],[LEA State and Local Amount]]/tblMoeHistory[[#This Row],[Child Count]],0)</f>
        <v>0</v>
      </c>
      <c r="K1324">
        <f>IFERROR(tblMoeHistory[[#This Row],[ESD State and Local Amount]]/tblMoeHistory[[#This Row],[Child Count]],0)</f>
        <v>0</v>
      </c>
      <c r="L1324" s="1">
        <f>IFERROR(tblMoeHistory[[#This Row],[State and Local Total Amount]]/tblMoeHistory[[#This Row],[Child Count]],0)</f>
        <v>0</v>
      </c>
      <c r="M1324">
        <v>0</v>
      </c>
      <c r="N1324" t="s">
        <v>242</v>
      </c>
      <c r="O1324">
        <v>0</v>
      </c>
      <c r="P1324">
        <v>0</v>
      </c>
      <c r="Q1324">
        <f>tblMoeHistory[[#This Row],[Amount of IDEA Part B, Section 611 award]]+tblMoeHistory[[#This Row],[Amount of IDEA Part B, Section 619 award]]</f>
        <v>0</v>
      </c>
      <c r="S1324">
        <v>37564.019999999997</v>
      </c>
      <c r="T1324">
        <v>37564.019999999997</v>
      </c>
      <c r="U13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4" t="str">
        <f>IF(OR(IFERROR(SEARCH("Met",tblMoeHistory[[#This Row],[State and Local Per Capita Result]]),0)&gt;0,IFERROR(SEARCH("Met",tblMoeHistory[[#This Row],[State and Local Total Result]]),0)&gt;0),"Met","Not Met")</f>
        <v>Met</v>
      </c>
    </row>
    <row r="1325" spans="1:22" x14ac:dyDescent="0.35">
      <c r="A1325" t="s">
        <v>164</v>
      </c>
      <c r="B1325">
        <v>1897</v>
      </c>
      <c r="C1325" t="s">
        <v>18</v>
      </c>
      <c r="D1325">
        <v>35</v>
      </c>
      <c r="E1325">
        <v>164941.5</v>
      </c>
      <c r="F1325">
        <v>0</v>
      </c>
      <c r="G1325">
        <f>tblMoeHistory[[#This Row],[LEA State and Local Amount]]+tblMoeHistory[[#This Row],[ESD State and Local Amount]]</f>
        <v>164941.5</v>
      </c>
      <c r="H1325">
        <v>0</v>
      </c>
      <c r="I1325" t="s">
        <v>241</v>
      </c>
      <c r="J1325" s="44">
        <f>IFERROR(tblMoeHistory[[#This Row],[LEA State and Local Amount]]/tblMoeHistory[[#This Row],[Child Count]],0)</f>
        <v>4712.6142857142859</v>
      </c>
      <c r="K1325">
        <f>IFERROR(tblMoeHistory[[#This Row],[ESD State and Local Amount]]/tblMoeHistory[[#This Row],[Child Count]],0)</f>
        <v>0</v>
      </c>
      <c r="L1325" s="1">
        <f>IFERROR(tblMoeHistory[[#This Row],[State and Local Total Amount]]/tblMoeHistory[[#This Row],[Child Count]],0)</f>
        <v>4712.6142857142859</v>
      </c>
      <c r="M1325">
        <v>41180.89</v>
      </c>
      <c r="N1325" t="s">
        <v>240</v>
      </c>
      <c r="O1325">
        <v>32773.18</v>
      </c>
      <c r="P1325">
        <v>0</v>
      </c>
      <c r="Q1325">
        <f>tblMoeHistory[[#This Row],[Amount of IDEA Part B, Section 611 award]]+tblMoeHistory[[#This Row],[Amount of IDEA Part B, Section 619 award]]</f>
        <v>32773.18</v>
      </c>
      <c r="T1325">
        <v>0</v>
      </c>
      <c r="U13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5" t="str">
        <f>IF(OR(IFERROR(SEARCH("Met",tblMoeHistory[[#This Row],[State and Local Per Capita Result]]),0)&gt;0,IFERROR(SEARCH("Met",tblMoeHistory[[#This Row],[State and Local Total Result]]),0)&gt;0),"Met","Not Met")</f>
        <v>Met</v>
      </c>
    </row>
    <row r="1326" spans="1:22" x14ac:dyDescent="0.35">
      <c r="A1326" t="s">
        <v>165</v>
      </c>
      <c r="B1326">
        <v>2047</v>
      </c>
      <c r="C1326" t="s">
        <v>18</v>
      </c>
      <c r="D1326">
        <v>3</v>
      </c>
      <c r="E1326">
        <v>8579</v>
      </c>
      <c r="F1326">
        <v>10272.969999999999</v>
      </c>
      <c r="G1326">
        <f>tblMoeHistory[[#This Row],[LEA State and Local Amount]]+tblMoeHistory[[#This Row],[ESD State and Local Amount]]</f>
        <v>18851.97</v>
      </c>
      <c r="H1326">
        <v>0</v>
      </c>
      <c r="I1326" t="s">
        <v>241</v>
      </c>
      <c r="J1326" s="44">
        <f>IFERROR(tblMoeHistory[[#This Row],[LEA State and Local Amount]]/tblMoeHistory[[#This Row],[Child Count]],0)</f>
        <v>2859.6666666666665</v>
      </c>
      <c r="K1326">
        <f>IFERROR(tblMoeHistory[[#This Row],[ESD State and Local Amount]]/tblMoeHistory[[#This Row],[Child Count]],0)</f>
        <v>3424.3233333333333</v>
      </c>
      <c r="L1326" s="1">
        <f>IFERROR(tblMoeHistory[[#This Row],[State and Local Total Amount]]/tblMoeHistory[[#This Row],[Child Count]],0)</f>
        <v>6283.9900000000007</v>
      </c>
      <c r="M1326">
        <v>4141.17</v>
      </c>
      <c r="N1326" t="s">
        <v>240</v>
      </c>
      <c r="O1326">
        <v>6992.96</v>
      </c>
      <c r="P1326">
        <v>970.38</v>
      </c>
      <c r="Q1326">
        <f>tblMoeHistory[[#This Row],[Amount of IDEA Part B, Section 611 award]]+tblMoeHistory[[#This Row],[Amount of IDEA Part B, Section 619 award]]</f>
        <v>7963.34</v>
      </c>
      <c r="T1326">
        <v>0</v>
      </c>
      <c r="U13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6" t="str">
        <f>IF(OR(IFERROR(SEARCH("Met",tblMoeHistory[[#This Row],[State and Local Per Capita Result]]),0)&gt;0,IFERROR(SEARCH("Met",tblMoeHistory[[#This Row],[State and Local Total Result]]),0)&gt;0),"Met","Not Met")</f>
        <v>Met</v>
      </c>
    </row>
    <row r="1327" spans="1:22" x14ac:dyDescent="0.35">
      <c r="A1327" t="s">
        <v>166</v>
      </c>
      <c r="B1327">
        <v>2081</v>
      </c>
      <c r="C1327" t="s">
        <v>18</v>
      </c>
      <c r="D1327">
        <v>140</v>
      </c>
      <c r="E1327">
        <v>1101476.76</v>
      </c>
      <c r="F1327">
        <v>238558</v>
      </c>
      <c r="G1327">
        <f>tblMoeHistory[[#This Row],[LEA State and Local Amount]]+tblMoeHistory[[#This Row],[ESD State and Local Amount]]</f>
        <v>1340034.76</v>
      </c>
      <c r="H1327">
        <v>0</v>
      </c>
      <c r="I1327" t="s">
        <v>241</v>
      </c>
      <c r="J1327" s="44">
        <f>IFERROR(tblMoeHistory[[#This Row],[LEA State and Local Amount]]/tblMoeHistory[[#This Row],[Child Count]],0)</f>
        <v>7867.6911428571429</v>
      </c>
      <c r="K1327">
        <f>IFERROR(tblMoeHistory[[#This Row],[ESD State and Local Amount]]/tblMoeHistory[[#This Row],[Child Count]],0)</f>
        <v>1703.9857142857143</v>
      </c>
      <c r="L1327" s="1">
        <f>IFERROR(tblMoeHistory[[#This Row],[State and Local Total Amount]]/tblMoeHistory[[#This Row],[Child Count]],0)</f>
        <v>9571.6768571428565</v>
      </c>
      <c r="M1327">
        <v>246276.59</v>
      </c>
      <c r="N1327" t="s">
        <v>240</v>
      </c>
      <c r="O1327">
        <v>182567.46</v>
      </c>
      <c r="P1327">
        <v>447.87</v>
      </c>
      <c r="Q1327">
        <f>tblMoeHistory[[#This Row],[Amount of IDEA Part B, Section 611 award]]+tblMoeHistory[[#This Row],[Amount of IDEA Part B, Section 619 award]]</f>
        <v>183015.33</v>
      </c>
      <c r="T1327">
        <v>515.01</v>
      </c>
      <c r="U13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7" t="str">
        <f>IF(OR(IFERROR(SEARCH("Met",tblMoeHistory[[#This Row],[State and Local Per Capita Result]]),0)&gt;0,IFERROR(SEARCH("Met",tblMoeHistory[[#This Row],[State and Local Total Result]]),0)&gt;0),"Met","Not Met")</f>
        <v>Met</v>
      </c>
    </row>
    <row r="1328" spans="1:22" x14ac:dyDescent="0.35">
      <c r="A1328" t="s">
        <v>167</v>
      </c>
      <c r="B1328">
        <v>2062</v>
      </c>
      <c r="C1328" t="s">
        <v>18</v>
      </c>
      <c r="D1328">
        <v>3</v>
      </c>
      <c r="E1328">
        <v>0</v>
      </c>
      <c r="F1328">
        <v>2130.91</v>
      </c>
      <c r="G1328">
        <f>tblMoeHistory[[#This Row],[LEA State and Local Amount]]+tblMoeHistory[[#This Row],[ESD State and Local Amount]]</f>
        <v>2130.91</v>
      </c>
      <c r="H1328">
        <v>0</v>
      </c>
      <c r="I1328" t="s">
        <v>242</v>
      </c>
      <c r="J1328" s="44">
        <f>IFERROR(tblMoeHistory[[#This Row],[LEA State and Local Amount]]/tblMoeHistory[[#This Row],[Child Count]],0)</f>
        <v>0</v>
      </c>
      <c r="K1328">
        <f>IFERROR(tblMoeHistory[[#This Row],[ESD State and Local Amount]]/tblMoeHistory[[#This Row],[Child Count]],0)</f>
        <v>710.30333333333328</v>
      </c>
      <c r="L1328" s="1">
        <f>IFERROR(tblMoeHistory[[#This Row],[State and Local Total Amount]]/tblMoeHistory[[#This Row],[Child Count]],0)</f>
        <v>710.30333333333328</v>
      </c>
      <c r="M1328">
        <v>0</v>
      </c>
      <c r="N1328" t="s">
        <v>242</v>
      </c>
      <c r="O1328">
        <v>3050.99</v>
      </c>
      <c r="P1328">
        <v>0</v>
      </c>
      <c r="Q1328">
        <f>tblMoeHistory[[#This Row],[Amount of IDEA Part B, Section 611 award]]+tblMoeHistory[[#This Row],[Amount of IDEA Part B, Section 619 award]]</f>
        <v>3050.99</v>
      </c>
      <c r="S1328">
        <v>10670</v>
      </c>
      <c r="T1328">
        <v>10670</v>
      </c>
      <c r="U13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8" t="str">
        <f>IF(OR(IFERROR(SEARCH("Met",tblMoeHistory[[#This Row],[State and Local Per Capita Result]]),0)&gt;0,IFERROR(SEARCH("Met",tblMoeHistory[[#This Row],[State and Local Total Result]]),0)&gt;0),"Met","Not Met")</f>
        <v>Met</v>
      </c>
    </row>
    <row r="1329" spans="1:22" x14ac:dyDescent="0.35">
      <c r="A1329" t="s">
        <v>168</v>
      </c>
      <c r="B1329">
        <v>1973</v>
      </c>
      <c r="C1329" t="s">
        <v>18</v>
      </c>
      <c r="D1329">
        <v>26</v>
      </c>
      <c r="E1329">
        <v>170934.07</v>
      </c>
      <c r="F1329">
        <v>86169.99</v>
      </c>
      <c r="G1329">
        <f>tblMoeHistory[[#This Row],[LEA State and Local Amount]]+tblMoeHistory[[#This Row],[ESD State and Local Amount]]</f>
        <v>257104.06</v>
      </c>
      <c r="H1329">
        <v>0</v>
      </c>
      <c r="I1329" t="s">
        <v>241</v>
      </c>
      <c r="J1329" s="44">
        <f>IFERROR(tblMoeHistory[[#This Row],[LEA State and Local Amount]]/tblMoeHistory[[#This Row],[Child Count]],0)</f>
        <v>6574.3873076923082</v>
      </c>
      <c r="K1329">
        <f>IFERROR(tblMoeHistory[[#This Row],[ESD State and Local Amount]]/tblMoeHistory[[#This Row],[Child Count]],0)</f>
        <v>3314.230384615385</v>
      </c>
      <c r="L1329" s="1">
        <f>IFERROR(tblMoeHistory[[#This Row],[State and Local Total Amount]]/tblMoeHistory[[#This Row],[Child Count]],0)</f>
        <v>9888.6176923076928</v>
      </c>
      <c r="M1329">
        <v>72850.84</v>
      </c>
      <c r="N1329" t="s">
        <v>240</v>
      </c>
      <c r="O1329">
        <v>56390.73</v>
      </c>
      <c r="P1329">
        <v>0</v>
      </c>
      <c r="Q1329">
        <f>tblMoeHistory[[#This Row],[Amount of IDEA Part B, Section 611 award]]+tblMoeHistory[[#This Row],[Amount of IDEA Part B, Section 619 award]]</f>
        <v>56390.73</v>
      </c>
      <c r="T1329">
        <v>0</v>
      </c>
      <c r="U13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9" t="str">
        <f>IF(OR(IFERROR(SEARCH("Met",tblMoeHistory[[#This Row],[State and Local Per Capita Result]]),0)&gt;0,IFERROR(SEARCH("Met",tblMoeHistory[[#This Row],[State and Local Total Result]]),0)&gt;0),"Met","Not Met")</f>
        <v>Met</v>
      </c>
    </row>
    <row r="1330" spans="1:22" x14ac:dyDescent="0.35">
      <c r="A1330" t="s">
        <v>169</v>
      </c>
      <c r="B1330">
        <v>2180</v>
      </c>
      <c r="C1330" t="s">
        <v>18</v>
      </c>
      <c r="D1330">
        <v>6900</v>
      </c>
      <c r="E1330">
        <v>79355469.75</v>
      </c>
      <c r="F1330">
        <v>1017636.82</v>
      </c>
      <c r="G1330">
        <f>tblMoeHistory[[#This Row],[LEA State and Local Amount]]+tblMoeHistory[[#This Row],[ESD State and Local Amount]]</f>
        <v>80373106.569999993</v>
      </c>
      <c r="H1330">
        <v>0</v>
      </c>
      <c r="I1330" t="s">
        <v>241</v>
      </c>
      <c r="J1330" s="44">
        <f>IFERROR(tblMoeHistory[[#This Row],[LEA State and Local Amount]]/tblMoeHistory[[#This Row],[Child Count]],0)</f>
        <v>11500.792717391305</v>
      </c>
      <c r="K1330">
        <f>IFERROR(tblMoeHistory[[#This Row],[ESD State and Local Amount]]/tblMoeHistory[[#This Row],[Child Count]],0)</f>
        <v>147.48359710144928</v>
      </c>
      <c r="L1330" s="1">
        <f>IFERROR(tblMoeHistory[[#This Row],[State and Local Total Amount]]/tblMoeHistory[[#This Row],[Child Count]],0)</f>
        <v>11648.276314492752</v>
      </c>
      <c r="M1330">
        <v>0</v>
      </c>
      <c r="N1330" t="s">
        <v>241</v>
      </c>
      <c r="O1330">
        <v>7881813.8499999996</v>
      </c>
      <c r="P1330">
        <v>83736.34</v>
      </c>
      <c r="Q1330">
        <f>tblMoeHistory[[#This Row],[Amount of IDEA Part B, Section 611 award]]+tblMoeHistory[[#This Row],[Amount of IDEA Part B, Section 619 award]]</f>
        <v>7965550.1899999995</v>
      </c>
      <c r="U13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0" t="str">
        <f>IF(OR(IFERROR(SEARCH("Met",tblMoeHistory[[#This Row],[State and Local Per Capita Result]]),0)&gt;0,IFERROR(SEARCH("Met",tblMoeHistory[[#This Row],[State and Local Total Result]]),0)&gt;0),"Met","Not Met")</f>
        <v>Met</v>
      </c>
    </row>
    <row r="1331" spans="1:22" x14ac:dyDescent="0.35">
      <c r="A1331" t="s">
        <v>170</v>
      </c>
      <c r="B1331">
        <v>1967</v>
      </c>
      <c r="C1331" t="s">
        <v>18</v>
      </c>
      <c r="D1331">
        <v>13</v>
      </c>
      <c r="E1331">
        <v>78242.320000000007</v>
      </c>
      <c r="F1331">
        <v>36420.769999999997</v>
      </c>
      <c r="G1331">
        <f>tblMoeHistory[[#This Row],[LEA State and Local Amount]]+tblMoeHistory[[#This Row],[ESD State and Local Amount]]</f>
        <v>114663.09</v>
      </c>
      <c r="H1331">
        <v>0</v>
      </c>
      <c r="I1331" t="s">
        <v>242</v>
      </c>
      <c r="J1331" s="44">
        <f>IFERROR(tblMoeHistory[[#This Row],[LEA State and Local Amount]]/tblMoeHistory[[#This Row],[Child Count]],0)</f>
        <v>6018.64</v>
      </c>
      <c r="K1331">
        <f>IFERROR(tblMoeHistory[[#This Row],[ESD State and Local Amount]]/tblMoeHistory[[#This Row],[Child Count]],0)</f>
        <v>2801.5976923076919</v>
      </c>
      <c r="L1331" s="1">
        <f>IFERROR(tblMoeHistory[[#This Row],[State and Local Total Amount]]/tblMoeHistory[[#This Row],[Child Count]],0)</f>
        <v>8820.2376923076918</v>
      </c>
      <c r="M1331">
        <v>0</v>
      </c>
      <c r="N1331" t="s">
        <v>241</v>
      </c>
      <c r="O1331">
        <v>27485.08</v>
      </c>
      <c r="P1331">
        <v>0</v>
      </c>
      <c r="Q1331">
        <f>tblMoeHistory[[#This Row],[Amount of IDEA Part B, Section 611 award]]+tblMoeHistory[[#This Row],[Amount of IDEA Part B, Section 619 award]]</f>
        <v>27485.08</v>
      </c>
      <c r="S1331">
        <v>41348.21</v>
      </c>
      <c r="U13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1" t="str">
        <f>IF(OR(IFERROR(SEARCH("Met",tblMoeHistory[[#This Row],[State and Local Per Capita Result]]),0)&gt;0,IFERROR(SEARCH("Met",tblMoeHistory[[#This Row],[State and Local Total Result]]),0)&gt;0),"Met","Not Met")</f>
        <v>Met</v>
      </c>
    </row>
    <row r="1332" spans="1:22" x14ac:dyDescent="0.35">
      <c r="A1332" t="s">
        <v>171</v>
      </c>
      <c r="B1332">
        <v>2009</v>
      </c>
      <c r="C1332" t="s">
        <v>18</v>
      </c>
      <c r="D1332">
        <v>21</v>
      </c>
      <c r="E1332">
        <v>134144.73000000001</v>
      </c>
      <c r="F1332">
        <v>79350.539999999994</v>
      </c>
      <c r="G1332">
        <f>tblMoeHistory[[#This Row],[LEA State and Local Amount]]+tblMoeHistory[[#This Row],[ESD State and Local Amount]]</f>
        <v>213495.27000000002</v>
      </c>
      <c r="H1332">
        <v>0</v>
      </c>
      <c r="I1332" t="s">
        <v>242</v>
      </c>
      <c r="J1332" s="44">
        <f>IFERROR(tblMoeHistory[[#This Row],[LEA State and Local Amount]]/tblMoeHistory[[#This Row],[Child Count]],0)</f>
        <v>6387.8442857142863</v>
      </c>
      <c r="K1332">
        <f>IFERROR(tblMoeHistory[[#This Row],[ESD State and Local Amount]]/tblMoeHistory[[#This Row],[Child Count]],0)</f>
        <v>3778.5971428571424</v>
      </c>
      <c r="L1332" s="1">
        <f>IFERROR(tblMoeHistory[[#This Row],[State and Local Total Amount]]/tblMoeHistory[[#This Row],[Child Count]],0)</f>
        <v>10166.44142857143</v>
      </c>
      <c r="M1332">
        <v>0</v>
      </c>
      <c r="N1332" t="s">
        <v>241</v>
      </c>
      <c r="O1332">
        <v>31354.9</v>
      </c>
      <c r="P1332">
        <v>970.38</v>
      </c>
      <c r="Q1332">
        <f>tblMoeHistory[[#This Row],[Amount of IDEA Part B, Section 611 award]]+tblMoeHistory[[#This Row],[Amount of IDEA Part B, Section 619 award]]</f>
        <v>32325.280000000002</v>
      </c>
      <c r="S1332">
        <v>45300.37</v>
      </c>
      <c r="U13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2" t="str">
        <f>IF(OR(IFERROR(SEARCH("Met",tblMoeHistory[[#This Row],[State and Local Per Capita Result]]),0)&gt;0,IFERROR(SEARCH("Met",tblMoeHistory[[#This Row],[State and Local Total Result]]),0)&gt;0),"Met","Not Met")</f>
        <v>Met</v>
      </c>
    </row>
    <row r="1333" spans="1:22" x14ac:dyDescent="0.35">
      <c r="A1333" t="s">
        <v>172</v>
      </c>
      <c r="B1333">
        <v>2045</v>
      </c>
      <c r="C1333" t="s">
        <v>18</v>
      </c>
      <c r="D1333">
        <v>23</v>
      </c>
      <c r="E1333">
        <v>160970.04</v>
      </c>
      <c r="F1333">
        <v>94486.81</v>
      </c>
      <c r="G1333">
        <f>tblMoeHistory[[#This Row],[LEA State and Local Amount]]+tblMoeHistory[[#This Row],[ESD State and Local Amount]]</f>
        <v>255456.85</v>
      </c>
      <c r="H1333">
        <v>0</v>
      </c>
      <c r="I1333" t="s">
        <v>241</v>
      </c>
      <c r="J1333" s="44">
        <f>IFERROR(tblMoeHistory[[#This Row],[LEA State and Local Amount]]/tblMoeHistory[[#This Row],[Child Count]],0)</f>
        <v>6998.6973913043485</v>
      </c>
      <c r="K1333">
        <f>IFERROR(tblMoeHistory[[#This Row],[ESD State and Local Amount]]/tblMoeHistory[[#This Row],[Child Count]],0)</f>
        <v>4108.1221739130433</v>
      </c>
      <c r="L1333" s="1">
        <f>IFERROR(tblMoeHistory[[#This Row],[State and Local Total Amount]]/tblMoeHistory[[#This Row],[Child Count]],0)</f>
        <v>11106.819565217391</v>
      </c>
      <c r="M1333">
        <v>76441.17</v>
      </c>
      <c r="N1333" t="s">
        <v>240</v>
      </c>
      <c r="O1333">
        <v>37947.279999999999</v>
      </c>
      <c r="P1333">
        <v>970.38</v>
      </c>
      <c r="Q1333">
        <f>tblMoeHistory[[#This Row],[Amount of IDEA Part B, Section 611 award]]+tblMoeHistory[[#This Row],[Amount of IDEA Part B, Section 619 award]]</f>
        <v>38917.659999999996</v>
      </c>
      <c r="T1333">
        <v>0</v>
      </c>
      <c r="U13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3" t="str">
        <f>IF(OR(IFERROR(SEARCH("Met",tblMoeHistory[[#This Row],[State and Local Per Capita Result]]),0)&gt;0,IFERROR(SEARCH("Met",tblMoeHistory[[#This Row],[State and Local Total Result]]),0)&gt;0),"Met","Not Met")</f>
        <v>Met</v>
      </c>
    </row>
    <row r="1334" spans="1:22" x14ac:dyDescent="0.35">
      <c r="A1334" t="s">
        <v>173</v>
      </c>
      <c r="B1334">
        <v>1946</v>
      </c>
      <c r="C1334" t="s">
        <v>18</v>
      </c>
      <c r="D1334">
        <v>125</v>
      </c>
      <c r="E1334">
        <v>1432131.07</v>
      </c>
      <c r="F1334">
        <v>143434</v>
      </c>
      <c r="G1334">
        <f>tblMoeHistory[[#This Row],[LEA State and Local Amount]]+tblMoeHistory[[#This Row],[ESD State and Local Amount]]</f>
        <v>1575565.07</v>
      </c>
      <c r="H1334">
        <v>0</v>
      </c>
      <c r="I1334" t="s">
        <v>241</v>
      </c>
      <c r="J1334" s="44">
        <f>IFERROR(tblMoeHistory[[#This Row],[LEA State and Local Amount]]/tblMoeHistory[[#This Row],[Child Count]],0)</f>
        <v>11457.048560000001</v>
      </c>
      <c r="K1334">
        <f>IFERROR(tblMoeHistory[[#This Row],[ESD State and Local Amount]]/tblMoeHistory[[#This Row],[Child Count]],0)</f>
        <v>1147.472</v>
      </c>
      <c r="L1334" s="1">
        <f>IFERROR(tblMoeHistory[[#This Row],[State and Local Total Amount]]/tblMoeHistory[[#This Row],[Child Count]],0)</f>
        <v>12604.520560000001</v>
      </c>
      <c r="M1334">
        <v>220678.06</v>
      </c>
      <c r="N1334" t="s">
        <v>240</v>
      </c>
      <c r="O1334">
        <v>183341.25</v>
      </c>
      <c r="P1334">
        <v>1293.8499999999999</v>
      </c>
      <c r="Q1334">
        <f>tblMoeHistory[[#This Row],[Amount of IDEA Part B, Section 611 award]]+tblMoeHistory[[#This Row],[Amount of IDEA Part B, Section 619 award]]</f>
        <v>184635.1</v>
      </c>
      <c r="T1334">
        <v>0</v>
      </c>
      <c r="U13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4" t="str">
        <f>IF(OR(IFERROR(SEARCH("Met",tblMoeHistory[[#This Row],[State and Local Per Capita Result]]),0)&gt;0,IFERROR(SEARCH("Met",tblMoeHistory[[#This Row],[State and Local Total Result]]),0)&gt;0),"Met","Not Met")</f>
        <v>Met</v>
      </c>
    </row>
    <row r="1335" spans="1:22" x14ac:dyDescent="0.35">
      <c r="A1335" t="s">
        <v>174</v>
      </c>
      <c r="B1335">
        <v>1977</v>
      </c>
      <c r="C1335" t="s">
        <v>18</v>
      </c>
      <c r="D1335">
        <v>995</v>
      </c>
      <c r="E1335">
        <v>8462953</v>
      </c>
      <c r="F1335">
        <v>1423539.36</v>
      </c>
      <c r="G1335">
        <f>tblMoeHistory[[#This Row],[LEA State and Local Amount]]+tblMoeHistory[[#This Row],[ESD State and Local Amount]]</f>
        <v>9886492.3599999994</v>
      </c>
      <c r="H1335">
        <v>0</v>
      </c>
      <c r="I1335" t="s">
        <v>241</v>
      </c>
      <c r="J1335" s="44">
        <f>IFERROR(tblMoeHistory[[#This Row],[LEA State and Local Amount]]/tblMoeHistory[[#This Row],[Child Count]],0)</f>
        <v>8505.480402010051</v>
      </c>
      <c r="K1335">
        <f>IFERROR(tblMoeHistory[[#This Row],[ESD State and Local Amount]]/tblMoeHistory[[#This Row],[Child Count]],0)</f>
        <v>1430.6928241206031</v>
      </c>
      <c r="L1335" s="1">
        <f>IFERROR(tblMoeHistory[[#This Row],[State and Local Total Amount]]/tblMoeHistory[[#This Row],[Child Count]],0)</f>
        <v>9936.1732261306533</v>
      </c>
      <c r="M1335">
        <v>0</v>
      </c>
      <c r="N1335" t="s">
        <v>241</v>
      </c>
      <c r="O1335">
        <v>1074450.4099999999</v>
      </c>
      <c r="P1335">
        <v>4577.12</v>
      </c>
      <c r="Q1335">
        <f>tblMoeHistory[[#This Row],[Amount of IDEA Part B, Section 611 award]]+tblMoeHistory[[#This Row],[Amount of IDEA Part B, Section 619 award]]</f>
        <v>1079027.53</v>
      </c>
      <c r="U13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5" t="str">
        <f>IF(OR(IFERROR(SEARCH("Met",tblMoeHistory[[#This Row],[State and Local Per Capita Result]]),0)&gt;0,IFERROR(SEARCH("Met",tblMoeHistory[[#This Row],[State and Local Total Result]]),0)&gt;0),"Met","Not Met")</f>
        <v>Met</v>
      </c>
    </row>
    <row r="1336" spans="1:22" x14ac:dyDescent="0.35">
      <c r="A1336" t="s">
        <v>175</v>
      </c>
      <c r="B1336">
        <v>2001</v>
      </c>
      <c r="C1336" t="s">
        <v>18</v>
      </c>
      <c r="D1336">
        <v>112</v>
      </c>
      <c r="E1336">
        <v>1123453.51</v>
      </c>
      <c r="F1336">
        <v>192442.49</v>
      </c>
      <c r="G1336">
        <f>tblMoeHistory[[#This Row],[LEA State and Local Amount]]+tblMoeHistory[[#This Row],[ESD State and Local Amount]]</f>
        <v>1315896</v>
      </c>
      <c r="H1336">
        <v>0</v>
      </c>
      <c r="I1336" t="s">
        <v>241</v>
      </c>
      <c r="J1336" s="44">
        <f>IFERROR(tblMoeHistory[[#This Row],[LEA State and Local Amount]]/tblMoeHistory[[#This Row],[Child Count]],0)</f>
        <v>10030.834910714286</v>
      </c>
      <c r="K1336">
        <f>IFERROR(tblMoeHistory[[#This Row],[ESD State and Local Amount]]/tblMoeHistory[[#This Row],[Child Count]],0)</f>
        <v>1718.2365178571429</v>
      </c>
      <c r="L1336" s="1">
        <f>IFERROR(tblMoeHistory[[#This Row],[State and Local Total Amount]]/tblMoeHistory[[#This Row],[Child Count]],0)</f>
        <v>11749.071428571429</v>
      </c>
      <c r="M1336">
        <v>0</v>
      </c>
      <c r="N1336" t="s">
        <v>241</v>
      </c>
      <c r="O1336">
        <v>138743.06</v>
      </c>
      <c r="P1336">
        <v>1843.73</v>
      </c>
      <c r="Q1336">
        <f>tblMoeHistory[[#This Row],[Amount of IDEA Part B, Section 611 award]]+tblMoeHistory[[#This Row],[Amount of IDEA Part B, Section 619 award]]</f>
        <v>140586.79</v>
      </c>
      <c r="U13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6" t="str">
        <f>IF(OR(IFERROR(SEARCH("Met",tblMoeHistory[[#This Row],[State and Local Per Capita Result]]),0)&gt;0,IFERROR(SEARCH("Met",tblMoeHistory[[#This Row],[State and Local Total Result]]),0)&gt;0),"Met","Not Met")</f>
        <v>Met</v>
      </c>
    </row>
    <row r="1337" spans="1:22" x14ac:dyDescent="0.35">
      <c r="A1337" t="s">
        <v>176</v>
      </c>
      <c r="B1337">
        <v>2182</v>
      </c>
      <c r="C1337" t="s">
        <v>18</v>
      </c>
      <c r="D1337">
        <v>1799</v>
      </c>
      <c r="E1337">
        <v>18408368.5</v>
      </c>
      <c r="F1337">
        <v>1432596.77</v>
      </c>
      <c r="G1337">
        <f>tblMoeHistory[[#This Row],[LEA State and Local Amount]]+tblMoeHistory[[#This Row],[ESD State and Local Amount]]</f>
        <v>19840965.27</v>
      </c>
      <c r="H1337">
        <v>0</v>
      </c>
      <c r="I1337" t="s">
        <v>241</v>
      </c>
      <c r="J1337" s="44">
        <f>IFERROR(tblMoeHistory[[#This Row],[LEA State and Local Amount]]/tblMoeHistory[[#This Row],[Child Count]],0)</f>
        <v>10232.556142301279</v>
      </c>
      <c r="K1337">
        <f>IFERROR(tblMoeHistory[[#This Row],[ESD State and Local Amount]]/tblMoeHistory[[#This Row],[Child Count]],0)</f>
        <v>796.32949972206779</v>
      </c>
      <c r="L1337" s="1">
        <f>IFERROR(tblMoeHistory[[#This Row],[State and Local Total Amount]]/tblMoeHistory[[#This Row],[Child Count]],0)</f>
        <v>11028.885642023346</v>
      </c>
      <c r="M1337">
        <v>0</v>
      </c>
      <c r="N1337" t="s">
        <v>241</v>
      </c>
      <c r="O1337">
        <v>1757555.08</v>
      </c>
      <c r="P1337">
        <v>12780.68</v>
      </c>
      <c r="Q1337">
        <f>tblMoeHistory[[#This Row],[Amount of IDEA Part B, Section 611 award]]+tblMoeHistory[[#This Row],[Amount of IDEA Part B, Section 619 award]]</f>
        <v>1770335.76</v>
      </c>
      <c r="U13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7" t="str">
        <f>IF(OR(IFERROR(SEARCH("Met",tblMoeHistory[[#This Row],[State and Local Per Capita Result]]),0)&gt;0,IFERROR(SEARCH("Met",tblMoeHistory[[#This Row],[State and Local Total Result]]),0)&gt;0),"Met","Not Met")</f>
        <v>Met</v>
      </c>
    </row>
    <row r="1338" spans="1:22" x14ac:dyDescent="0.35">
      <c r="A1338" t="s">
        <v>177</v>
      </c>
      <c r="B1338">
        <v>1999</v>
      </c>
      <c r="C1338" t="s">
        <v>18</v>
      </c>
      <c r="D1338">
        <v>62</v>
      </c>
      <c r="E1338">
        <v>481788.87</v>
      </c>
      <c r="F1338">
        <v>107076.99</v>
      </c>
      <c r="G1338">
        <f>tblMoeHistory[[#This Row],[LEA State and Local Amount]]+tblMoeHistory[[#This Row],[ESD State and Local Amount]]</f>
        <v>588865.86</v>
      </c>
      <c r="H1338">
        <v>0</v>
      </c>
      <c r="I1338" t="s">
        <v>242</v>
      </c>
      <c r="J1338" s="44">
        <f>IFERROR(tblMoeHistory[[#This Row],[LEA State and Local Amount]]/tblMoeHistory[[#This Row],[Child Count]],0)</f>
        <v>7770.7882258064519</v>
      </c>
      <c r="K1338">
        <f>IFERROR(tblMoeHistory[[#This Row],[ESD State and Local Amount]]/tblMoeHistory[[#This Row],[Child Count]],0)</f>
        <v>1727.0482258064517</v>
      </c>
      <c r="L1338" s="1">
        <f>IFERROR(tblMoeHistory[[#This Row],[State and Local Total Amount]]/tblMoeHistory[[#This Row],[Child Count]],0)</f>
        <v>9497.8364516129022</v>
      </c>
      <c r="M1338">
        <v>0</v>
      </c>
      <c r="N1338" t="s">
        <v>242</v>
      </c>
      <c r="O1338">
        <v>66343.12</v>
      </c>
      <c r="P1338">
        <v>161.72999999999999</v>
      </c>
      <c r="Q1338">
        <f>tblMoeHistory[[#This Row],[Amount of IDEA Part B, Section 611 award]]+tblMoeHistory[[#This Row],[Amount of IDEA Part B, Section 619 award]]</f>
        <v>66504.849999999991</v>
      </c>
      <c r="S1338">
        <v>81862.960000000006</v>
      </c>
      <c r="T1338">
        <v>1342.02</v>
      </c>
      <c r="U13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8" t="str">
        <f>IF(OR(IFERROR(SEARCH("Met",tblMoeHistory[[#This Row],[State and Local Per Capita Result]]),0)&gt;0,IFERROR(SEARCH("Met",tblMoeHistory[[#This Row],[State and Local Total Result]]),0)&gt;0),"Met","Not Met")</f>
        <v>Met</v>
      </c>
    </row>
    <row r="1339" spans="1:22" x14ac:dyDescent="0.35">
      <c r="A1339" t="s">
        <v>178</v>
      </c>
      <c r="B1339">
        <v>2188</v>
      </c>
      <c r="C1339" t="s">
        <v>18</v>
      </c>
      <c r="D1339">
        <v>49</v>
      </c>
      <c r="E1339">
        <v>403180.43</v>
      </c>
      <c r="F1339">
        <v>218240.84</v>
      </c>
      <c r="G1339">
        <f>tblMoeHistory[[#This Row],[LEA State and Local Amount]]+tblMoeHistory[[#This Row],[ESD State and Local Amount]]</f>
        <v>621421.27</v>
      </c>
      <c r="H1339">
        <v>0</v>
      </c>
      <c r="I1339" t="s">
        <v>241</v>
      </c>
      <c r="J1339" s="44">
        <f>IFERROR(tblMoeHistory[[#This Row],[LEA State and Local Amount]]/tblMoeHistory[[#This Row],[Child Count]],0)</f>
        <v>8228.1720408163255</v>
      </c>
      <c r="K1339">
        <f>IFERROR(tblMoeHistory[[#This Row],[ESD State and Local Amount]]/tblMoeHistory[[#This Row],[Child Count]],0)</f>
        <v>4453.8946938775507</v>
      </c>
      <c r="L1339" s="1">
        <f>IFERROR(tblMoeHistory[[#This Row],[State and Local Total Amount]]/tblMoeHistory[[#This Row],[Child Count]],0)</f>
        <v>12682.066734693877</v>
      </c>
      <c r="M1339">
        <v>0</v>
      </c>
      <c r="N1339" t="s">
        <v>241</v>
      </c>
      <c r="O1339">
        <v>70385.55</v>
      </c>
      <c r="P1339">
        <v>485.19</v>
      </c>
      <c r="Q1339">
        <f>tblMoeHistory[[#This Row],[Amount of IDEA Part B, Section 611 award]]+tblMoeHistory[[#This Row],[Amount of IDEA Part B, Section 619 award]]</f>
        <v>70870.740000000005</v>
      </c>
      <c r="U13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9" t="str">
        <f>IF(OR(IFERROR(SEARCH("Met",tblMoeHistory[[#This Row],[State and Local Per Capita Result]]),0)&gt;0,IFERROR(SEARCH("Met",tblMoeHistory[[#This Row],[State and Local Total Result]]),0)&gt;0),"Met","Not Met")</f>
        <v>Met</v>
      </c>
    </row>
    <row r="1340" spans="1:22" x14ac:dyDescent="0.35">
      <c r="A1340" t="s">
        <v>179</v>
      </c>
      <c r="B1340">
        <v>2044</v>
      </c>
      <c r="C1340" t="s">
        <v>18</v>
      </c>
      <c r="D1340">
        <v>154</v>
      </c>
      <c r="E1340">
        <v>1043915.87</v>
      </c>
      <c r="F1340">
        <v>387147.47</v>
      </c>
      <c r="G1340">
        <f>tblMoeHistory[[#This Row],[LEA State and Local Amount]]+tblMoeHistory[[#This Row],[ESD State and Local Amount]]</f>
        <v>1431063.3399999999</v>
      </c>
      <c r="H1340">
        <v>0</v>
      </c>
      <c r="I1340" t="s">
        <v>241</v>
      </c>
      <c r="J1340" s="44">
        <f>IFERROR(tblMoeHistory[[#This Row],[LEA State and Local Amount]]/tblMoeHistory[[#This Row],[Child Count]],0)</f>
        <v>6778.6744805194803</v>
      </c>
      <c r="K1340">
        <f>IFERROR(tblMoeHistory[[#This Row],[ESD State and Local Amount]]/tblMoeHistory[[#This Row],[Child Count]],0)</f>
        <v>2513.9446103896103</v>
      </c>
      <c r="L1340" s="1">
        <f>IFERROR(tblMoeHistory[[#This Row],[State and Local Total Amount]]/tblMoeHistory[[#This Row],[Child Count]],0)</f>
        <v>9292.6190909090892</v>
      </c>
      <c r="M1340">
        <v>0</v>
      </c>
      <c r="N1340" t="s">
        <v>241</v>
      </c>
      <c r="O1340">
        <v>163808.82</v>
      </c>
      <c r="P1340">
        <v>2218.02</v>
      </c>
      <c r="Q1340">
        <f>tblMoeHistory[[#This Row],[Amount of IDEA Part B, Section 611 award]]+tblMoeHistory[[#This Row],[Amount of IDEA Part B, Section 619 award]]</f>
        <v>166026.84</v>
      </c>
      <c r="U13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0" t="str">
        <f>IF(OR(IFERROR(SEARCH("Met",tblMoeHistory[[#This Row],[State and Local Per Capita Result]]),0)&gt;0,IFERROR(SEARCH("Met",tblMoeHistory[[#This Row],[State and Local Total Result]]),0)&gt;0),"Met","Not Met")</f>
        <v>Met</v>
      </c>
    </row>
    <row r="1341" spans="1:22" x14ac:dyDescent="0.35">
      <c r="A1341" t="s">
        <v>180</v>
      </c>
      <c r="B1341">
        <v>2142</v>
      </c>
      <c r="C1341" t="s">
        <v>18</v>
      </c>
      <c r="D1341">
        <v>6750</v>
      </c>
      <c r="E1341">
        <v>78017371.650000006</v>
      </c>
      <c r="F1341">
        <v>0</v>
      </c>
      <c r="G1341">
        <f>tblMoeHistory[[#This Row],[LEA State and Local Amount]]+tblMoeHistory[[#This Row],[ESD State and Local Amount]]</f>
        <v>78017371.650000006</v>
      </c>
      <c r="H1341">
        <v>0</v>
      </c>
      <c r="I1341" t="s">
        <v>241</v>
      </c>
      <c r="J1341" s="44">
        <f>IFERROR(tblMoeHistory[[#This Row],[LEA State and Local Amount]]/tblMoeHistory[[#This Row],[Child Count]],0)</f>
        <v>11558.129133333334</v>
      </c>
      <c r="K1341">
        <f>IFERROR(tblMoeHistory[[#This Row],[ESD State and Local Amount]]/tblMoeHistory[[#This Row],[Child Count]],0)</f>
        <v>0</v>
      </c>
      <c r="L1341" s="1">
        <f>IFERROR(tblMoeHistory[[#This Row],[State and Local Total Amount]]/tblMoeHistory[[#This Row],[Child Count]],0)</f>
        <v>11558.129133333334</v>
      </c>
      <c r="M1341">
        <v>0</v>
      </c>
      <c r="N1341" t="s">
        <v>241</v>
      </c>
      <c r="O1341">
        <v>7028592</v>
      </c>
      <c r="P1341">
        <v>36615.85</v>
      </c>
      <c r="Q1341">
        <f>tblMoeHistory[[#This Row],[Amount of IDEA Part B, Section 611 award]]+tblMoeHistory[[#This Row],[Amount of IDEA Part B, Section 619 award]]</f>
        <v>7065207.8499999996</v>
      </c>
      <c r="U13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1" t="str">
        <f>IF(OR(IFERROR(SEARCH("Met",tblMoeHistory[[#This Row],[State and Local Per Capita Result]]),0)&gt;0,IFERROR(SEARCH("Met",tblMoeHistory[[#This Row],[State and Local Total Result]]),0)&gt;0),"Met","Not Met")</f>
        <v>Met</v>
      </c>
    </row>
    <row r="1342" spans="1:22" x14ac:dyDescent="0.35">
      <c r="A1342" t="s">
        <v>181</v>
      </c>
      <c r="B1342">
        <v>2104</v>
      </c>
      <c r="C1342" t="s">
        <v>18</v>
      </c>
      <c r="D1342">
        <v>567</v>
      </c>
      <c r="E1342">
        <v>3525367.3</v>
      </c>
      <c r="F1342">
        <v>362243</v>
      </c>
      <c r="G1342">
        <f>tblMoeHistory[[#This Row],[LEA State and Local Amount]]+tblMoeHistory[[#This Row],[ESD State and Local Amount]]</f>
        <v>3887610.3</v>
      </c>
      <c r="H1342">
        <v>0</v>
      </c>
      <c r="I1342" t="s">
        <v>241</v>
      </c>
      <c r="J1342" s="44">
        <f>IFERROR(tblMoeHistory[[#This Row],[LEA State and Local Amount]]/tblMoeHistory[[#This Row],[Child Count]],0)</f>
        <v>6217.5790123456791</v>
      </c>
      <c r="K1342">
        <f>IFERROR(tblMoeHistory[[#This Row],[ESD State and Local Amount]]/tblMoeHistory[[#This Row],[Child Count]],0)</f>
        <v>638.87654320987656</v>
      </c>
      <c r="L1342" s="1">
        <f>IFERROR(tblMoeHistory[[#This Row],[State and Local Total Amount]]/tblMoeHistory[[#This Row],[Child Count]],0)</f>
        <v>6856.4555555555553</v>
      </c>
      <c r="M1342">
        <v>1440951.48</v>
      </c>
      <c r="N1342" t="s">
        <v>240</v>
      </c>
      <c r="O1342">
        <v>482195.33</v>
      </c>
      <c r="P1342">
        <v>1039.7</v>
      </c>
      <c r="Q1342">
        <f>tblMoeHistory[[#This Row],[Amount of IDEA Part B, Section 611 award]]+tblMoeHistory[[#This Row],[Amount of IDEA Part B, Section 619 award]]</f>
        <v>483235.03</v>
      </c>
      <c r="T1342">
        <v>0</v>
      </c>
      <c r="U13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2" t="str">
        <f>IF(OR(IFERROR(SEARCH("Met",tblMoeHistory[[#This Row],[State and Local Per Capita Result]]),0)&gt;0,IFERROR(SEARCH("Met",tblMoeHistory[[#This Row],[State and Local Total Result]]),0)&gt;0),"Met","Not Met")</f>
        <v>Met</v>
      </c>
    </row>
    <row r="1343" spans="1:22" x14ac:dyDescent="0.35">
      <c r="A1343" t="s">
        <v>182</v>
      </c>
      <c r="B1343">
        <v>1944</v>
      </c>
      <c r="C1343" t="s">
        <v>18</v>
      </c>
      <c r="D1343">
        <v>274</v>
      </c>
      <c r="E1343">
        <v>2572643.9500000002</v>
      </c>
      <c r="F1343">
        <v>583314</v>
      </c>
      <c r="G1343">
        <f>tblMoeHistory[[#This Row],[LEA State and Local Amount]]+tblMoeHistory[[#This Row],[ESD State and Local Amount]]</f>
        <v>3155957.95</v>
      </c>
      <c r="H1343">
        <v>0</v>
      </c>
      <c r="I1343" t="s">
        <v>241</v>
      </c>
      <c r="J1343" s="44">
        <f>IFERROR(tblMoeHistory[[#This Row],[LEA State and Local Amount]]/tblMoeHistory[[#This Row],[Child Count]],0)</f>
        <v>9389.2114963503664</v>
      </c>
      <c r="K1343">
        <f>IFERROR(tblMoeHistory[[#This Row],[ESD State and Local Amount]]/tblMoeHistory[[#This Row],[Child Count]],0)</f>
        <v>2128.8832116788321</v>
      </c>
      <c r="L1343" s="1">
        <f>IFERROR(tblMoeHistory[[#This Row],[State and Local Total Amount]]/tblMoeHistory[[#This Row],[Child Count]],0)</f>
        <v>11518.094708029197</v>
      </c>
      <c r="M1343">
        <v>0</v>
      </c>
      <c r="N1343" t="s">
        <v>241</v>
      </c>
      <c r="O1343">
        <v>390382.92</v>
      </c>
      <c r="P1343">
        <v>1831.21</v>
      </c>
      <c r="Q1343">
        <f>tblMoeHistory[[#This Row],[Amount of IDEA Part B, Section 611 award]]+tblMoeHistory[[#This Row],[Amount of IDEA Part B, Section 619 award]]</f>
        <v>392214.13</v>
      </c>
      <c r="U13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3" t="str">
        <f>IF(OR(IFERROR(SEARCH("Met",tblMoeHistory[[#This Row],[State and Local Per Capita Result]]),0)&gt;0,IFERROR(SEARCH("Met",tblMoeHistory[[#This Row],[State and Local Total Result]]),0)&gt;0),"Met","Not Met")</f>
        <v>Met</v>
      </c>
    </row>
    <row r="1344" spans="1:22" x14ac:dyDescent="0.35">
      <c r="A1344" t="s">
        <v>183</v>
      </c>
      <c r="B1344">
        <v>2103</v>
      </c>
      <c r="C1344" t="s">
        <v>18</v>
      </c>
      <c r="D1344">
        <v>93</v>
      </c>
      <c r="E1344">
        <v>405174.72</v>
      </c>
      <c r="F1344">
        <v>167490</v>
      </c>
      <c r="G1344">
        <f>tblMoeHistory[[#This Row],[LEA State and Local Amount]]+tblMoeHistory[[#This Row],[ESD State and Local Amount]]</f>
        <v>572664.72</v>
      </c>
      <c r="H1344">
        <v>0</v>
      </c>
      <c r="I1344" t="s">
        <v>242</v>
      </c>
      <c r="J1344" s="44">
        <f>IFERROR(tblMoeHistory[[#This Row],[LEA State and Local Amount]]/tblMoeHistory[[#This Row],[Child Count]],0)</f>
        <v>4356.7174193548381</v>
      </c>
      <c r="K1344">
        <f>IFERROR(tblMoeHistory[[#This Row],[ESD State and Local Amount]]/tblMoeHistory[[#This Row],[Child Count]],0)</f>
        <v>1800.9677419354839</v>
      </c>
      <c r="L1344" s="1">
        <f>IFERROR(tblMoeHistory[[#This Row],[State and Local Total Amount]]/tblMoeHistory[[#This Row],[Child Count]],0)</f>
        <v>6157.685161290322</v>
      </c>
      <c r="M1344">
        <v>7824.25</v>
      </c>
      <c r="N1344" t="s">
        <v>240</v>
      </c>
      <c r="O1344">
        <v>112407.99</v>
      </c>
      <c r="P1344">
        <v>323.45999999999998</v>
      </c>
      <c r="Q1344">
        <f>tblMoeHistory[[#This Row],[Amount of IDEA Part B, Section 611 award]]+tblMoeHistory[[#This Row],[Amount of IDEA Part B, Section 619 award]]</f>
        <v>112731.45000000001</v>
      </c>
      <c r="S1344">
        <v>65631.320000000007</v>
      </c>
      <c r="T1344">
        <v>721.22</v>
      </c>
      <c r="U13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4" t="str">
        <f>IF(OR(IFERROR(SEARCH("Met",tblMoeHistory[[#This Row],[State and Local Per Capita Result]]),0)&gt;0,IFERROR(SEARCH("Met",tblMoeHistory[[#This Row],[State and Local Total Result]]),0)&gt;0),"Met","Not Met")</f>
        <v>Met</v>
      </c>
    </row>
    <row r="1345" spans="1:22" x14ac:dyDescent="0.35">
      <c r="A1345" t="s">
        <v>184</v>
      </c>
      <c r="B1345">
        <v>1935</v>
      </c>
      <c r="C1345" t="s">
        <v>18</v>
      </c>
      <c r="D1345">
        <v>256</v>
      </c>
      <c r="E1345">
        <v>2305205.69</v>
      </c>
      <c r="F1345">
        <v>414490</v>
      </c>
      <c r="G1345">
        <f>tblMoeHistory[[#This Row],[LEA State and Local Amount]]+tblMoeHistory[[#This Row],[ESD State and Local Amount]]</f>
        <v>2719695.69</v>
      </c>
      <c r="H1345">
        <v>0</v>
      </c>
      <c r="I1345" t="s">
        <v>241</v>
      </c>
      <c r="J1345" s="44">
        <f>IFERROR(tblMoeHistory[[#This Row],[LEA State and Local Amount]]/tblMoeHistory[[#This Row],[Child Count]],0)</f>
        <v>9004.7097265624998</v>
      </c>
      <c r="K1345">
        <f>IFERROR(tblMoeHistory[[#This Row],[ESD State and Local Amount]]/tblMoeHistory[[#This Row],[Child Count]],0)</f>
        <v>1619.1015625</v>
      </c>
      <c r="L1345" s="1">
        <f>IFERROR(tblMoeHistory[[#This Row],[State and Local Total Amount]]/tblMoeHistory[[#This Row],[Child Count]],0)</f>
        <v>10623.8112890625</v>
      </c>
      <c r="M1345">
        <v>0</v>
      </c>
      <c r="N1345" t="s">
        <v>241</v>
      </c>
      <c r="O1345">
        <v>251022.99</v>
      </c>
      <c r="P1345">
        <v>3234.62</v>
      </c>
      <c r="Q1345">
        <f>tblMoeHistory[[#This Row],[Amount of IDEA Part B, Section 611 award]]+tblMoeHistory[[#This Row],[Amount of IDEA Part B, Section 619 award]]</f>
        <v>254257.61</v>
      </c>
      <c r="U13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5" t="str">
        <f>IF(OR(IFERROR(SEARCH("Met",tblMoeHistory[[#This Row],[State and Local Per Capita Result]]),0)&gt;0,IFERROR(SEARCH("Met",tblMoeHistory[[#This Row],[State and Local Total Result]]),0)&gt;0),"Met","Not Met")</f>
        <v>Met</v>
      </c>
    </row>
    <row r="1346" spans="1:22" x14ac:dyDescent="0.35">
      <c r="A1346" t="s">
        <v>185</v>
      </c>
      <c r="B1346">
        <v>2257</v>
      </c>
      <c r="C1346" t="s">
        <v>18</v>
      </c>
      <c r="D1346">
        <v>101</v>
      </c>
      <c r="E1346">
        <v>887003.1</v>
      </c>
      <c r="F1346">
        <v>116612.02</v>
      </c>
      <c r="G1346">
        <f>tblMoeHistory[[#This Row],[LEA State and Local Amount]]+tblMoeHistory[[#This Row],[ESD State and Local Amount]]</f>
        <v>1003615.12</v>
      </c>
      <c r="H1346">
        <v>0</v>
      </c>
      <c r="I1346" t="s">
        <v>241</v>
      </c>
      <c r="J1346" s="44">
        <f>IFERROR(tblMoeHistory[[#This Row],[LEA State and Local Amount]]/tblMoeHistory[[#This Row],[Child Count]],0)</f>
        <v>8782.2089108910895</v>
      </c>
      <c r="K1346">
        <f>IFERROR(tblMoeHistory[[#This Row],[ESD State and Local Amount]]/tblMoeHistory[[#This Row],[Child Count]],0)</f>
        <v>1154.5744554455446</v>
      </c>
      <c r="L1346" s="1">
        <f>IFERROR(tblMoeHistory[[#This Row],[State and Local Total Amount]]/tblMoeHistory[[#This Row],[Child Count]],0)</f>
        <v>9936.7833663366328</v>
      </c>
      <c r="M1346">
        <v>0</v>
      </c>
      <c r="N1346" t="s">
        <v>241</v>
      </c>
      <c r="O1346">
        <v>153364.88</v>
      </c>
      <c r="P1346">
        <v>342.49</v>
      </c>
      <c r="Q1346">
        <f>tblMoeHistory[[#This Row],[Amount of IDEA Part B, Section 611 award]]+tblMoeHistory[[#This Row],[Amount of IDEA Part B, Section 619 award]]</f>
        <v>153707.37</v>
      </c>
      <c r="U13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6" t="str">
        <f>IF(OR(IFERROR(SEARCH("Met",tblMoeHistory[[#This Row],[State and Local Per Capita Result]]),0)&gt;0,IFERROR(SEARCH("Met",tblMoeHistory[[#This Row],[State and Local Total Result]]),0)&gt;0),"Met","Not Met")</f>
        <v>Met</v>
      </c>
    </row>
    <row r="1347" spans="1:22" x14ac:dyDescent="0.35">
      <c r="A1347" t="s">
        <v>186</v>
      </c>
      <c r="B1347">
        <v>2195</v>
      </c>
      <c r="C1347" t="s">
        <v>18</v>
      </c>
      <c r="D1347">
        <v>38</v>
      </c>
      <c r="E1347">
        <v>145774.10999999999</v>
      </c>
      <c r="F1347">
        <v>158345</v>
      </c>
      <c r="G1347">
        <f>tblMoeHistory[[#This Row],[LEA State and Local Amount]]+tblMoeHistory[[#This Row],[ESD State and Local Amount]]</f>
        <v>304119.11</v>
      </c>
      <c r="H1347">
        <v>0</v>
      </c>
      <c r="I1347" t="s">
        <v>242</v>
      </c>
      <c r="J1347" s="44">
        <f>IFERROR(tblMoeHistory[[#This Row],[LEA State and Local Amount]]/tblMoeHistory[[#This Row],[Child Count]],0)</f>
        <v>3836.160789473684</v>
      </c>
      <c r="K1347">
        <f>IFERROR(tblMoeHistory[[#This Row],[ESD State and Local Amount]]/tblMoeHistory[[#This Row],[Child Count]],0)</f>
        <v>4166.9736842105267</v>
      </c>
      <c r="L1347" s="1">
        <f>IFERROR(tblMoeHistory[[#This Row],[State and Local Total Amount]]/tblMoeHistory[[#This Row],[Child Count]],0)</f>
        <v>8003.1344736842102</v>
      </c>
      <c r="M1347">
        <v>0</v>
      </c>
      <c r="N1347" t="s">
        <v>242</v>
      </c>
      <c r="O1347">
        <v>51667.73</v>
      </c>
      <c r="P1347">
        <v>215.64</v>
      </c>
      <c r="Q1347">
        <f>tblMoeHistory[[#This Row],[Amount of IDEA Part B, Section 611 award]]+tblMoeHistory[[#This Row],[Amount of IDEA Part B, Section 619 award]]</f>
        <v>51883.37</v>
      </c>
      <c r="S1347">
        <v>56788.55</v>
      </c>
      <c r="T1347">
        <v>1494.44</v>
      </c>
      <c r="U13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7" t="str">
        <f>IF(OR(IFERROR(SEARCH("Met",tblMoeHistory[[#This Row],[State and Local Per Capita Result]]),0)&gt;0,IFERROR(SEARCH("Met",tblMoeHistory[[#This Row],[State and Local Total Result]]),0)&gt;0),"Met","Not Met")</f>
        <v>Met</v>
      </c>
    </row>
    <row r="1348" spans="1:22" x14ac:dyDescent="0.35">
      <c r="A1348" t="s">
        <v>187</v>
      </c>
      <c r="B1348">
        <v>2244</v>
      </c>
      <c r="C1348" t="s">
        <v>18</v>
      </c>
      <c r="D1348">
        <v>556</v>
      </c>
      <c r="E1348">
        <v>4757827.2</v>
      </c>
      <c r="F1348">
        <v>767172</v>
      </c>
      <c r="G1348">
        <f>tblMoeHistory[[#This Row],[LEA State and Local Amount]]+tblMoeHistory[[#This Row],[ESD State and Local Amount]]</f>
        <v>5524999.2000000002</v>
      </c>
      <c r="H1348">
        <v>0</v>
      </c>
      <c r="I1348" t="s">
        <v>241</v>
      </c>
      <c r="J1348" s="44">
        <f>IFERROR(tblMoeHistory[[#This Row],[LEA State and Local Amount]]/tblMoeHistory[[#This Row],[Child Count]],0)</f>
        <v>8557.2431654676257</v>
      </c>
      <c r="K1348">
        <f>IFERROR(tblMoeHistory[[#This Row],[ESD State and Local Amount]]/tblMoeHistory[[#This Row],[Child Count]],0)</f>
        <v>1379.8057553956835</v>
      </c>
      <c r="L1348" s="1">
        <f>IFERROR(tblMoeHistory[[#This Row],[State and Local Total Amount]]/tblMoeHistory[[#This Row],[Child Count]],0)</f>
        <v>9937.0489208633098</v>
      </c>
      <c r="M1348">
        <v>0</v>
      </c>
      <c r="N1348" t="s">
        <v>241</v>
      </c>
      <c r="O1348">
        <v>683679.28</v>
      </c>
      <c r="P1348">
        <v>1842.09</v>
      </c>
      <c r="Q1348">
        <f>tblMoeHistory[[#This Row],[Amount of IDEA Part B, Section 611 award]]+tblMoeHistory[[#This Row],[Amount of IDEA Part B, Section 619 award]]</f>
        <v>685521.37</v>
      </c>
      <c r="U13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8" t="str">
        <f>IF(OR(IFERROR(SEARCH("Met",tblMoeHistory[[#This Row],[State and Local Per Capita Result]]),0)&gt;0,IFERROR(SEARCH("Met",tblMoeHistory[[#This Row],[State and Local Total Result]]),0)&gt;0),"Met","Not Met")</f>
        <v>Met</v>
      </c>
    </row>
    <row r="1349" spans="1:22" x14ac:dyDescent="0.35">
      <c r="A1349" t="s">
        <v>188</v>
      </c>
      <c r="B1349">
        <v>2138</v>
      </c>
      <c r="C1349" t="s">
        <v>18</v>
      </c>
      <c r="D1349">
        <v>470</v>
      </c>
      <c r="E1349">
        <v>4346988.82</v>
      </c>
      <c r="F1349">
        <v>355620.05</v>
      </c>
      <c r="G1349">
        <f>tblMoeHistory[[#This Row],[LEA State and Local Amount]]+tblMoeHistory[[#This Row],[ESD State and Local Amount]]</f>
        <v>4702608.87</v>
      </c>
      <c r="H1349">
        <v>0</v>
      </c>
      <c r="I1349" t="s">
        <v>241</v>
      </c>
      <c r="J1349" s="44">
        <f>IFERROR(tblMoeHistory[[#This Row],[LEA State and Local Amount]]/tblMoeHistory[[#This Row],[Child Count]],0)</f>
        <v>9248.9123829787241</v>
      </c>
      <c r="K1349">
        <f>IFERROR(tblMoeHistory[[#This Row],[ESD State and Local Amount]]/tblMoeHistory[[#This Row],[Child Count]],0)</f>
        <v>756.63840425531907</v>
      </c>
      <c r="L1349" s="1">
        <f>IFERROR(tblMoeHistory[[#This Row],[State and Local Total Amount]]/tblMoeHistory[[#This Row],[Child Count]],0)</f>
        <v>10005.550787234042</v>
      </c>
      <c r="M1349">
        <v>0</v>
      </c>
      <c r="N1349" t="s">
        <v>241</v>
      </c>
      <c r="O1349">
        <v>525224.93000000005</v>
      </c>
      <c r="P1349">
        <v>3396.35</v>
      </c>
      <c r="Q1349">
        <f>tblMoeHistory[[#This Row],[Amount of IDEA Part B, Section 611 award]]+tblMoeHistory[[#This Row],[Amount of IDEA Part B, Section 619 award]]</f>
        <v>528621.28</v>
      </c>
      <c r="U13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9" t="str">
        <f>IF(OR(IFERROR(SEARCH("Met",tblMoeHistory[[#This Row],[State and Local Per Capita Result]]),0)&gt;0,IFERROR(SEARCH("Met",tblMoeHistory[[#This Row],[State and Local Total Result]]),0)&gt;0),"Met","Not Met")</f>
        <v>Met</v>
      </c>
    </row>
    <row r="1350" spans="1:22" x14ac:dyDescent="0.35">
      <c r="A1350" t="s">
        <v>189</v>
      </c>
      <c r="B1350">
        <v>1978</v>
      </c>
      <c r="C1350" t="s">
        <v>18</v>
      </c>
      <c r="D1350">
        <v>111</v>
      </c>
      <c r="E1350">
        <v>851668.73</v>
      </c>
      <c r="F1350">
        <v>126166</v>
      </c>
      <c r="G1350">
        <f>tblMoeHistory[[#This Row],[LEA State and Local Amount]]+tblMoeHistory[[#This Row],[ESD State and Local Amount]]</f>
        <v>977834.73</v>
      </c>
      <c r="H1350">
        <v>0</v>
      </c>
      <c r="I1350" t="s">
        <v>241</v>
      </c>
      <c r="J1350" s="44">
        <f>IFERROR(tblMoeHistory[[#This Row],[LEA State and Local Amount]]/tblMoeHistory[[#This Row],[Child Count]],0)</f>
        <v>7672.6912612612614</v>
      </c>
      <c r="K1350">
        <f>IFERROR(tblMoeHistory[[#This Row],[ESD State and Local Amount]]/tblMoeHistory[[#This Row],[Child Count]],0)</f>
        <v>1136.6306306306305</v>
      </c>
      <c r="L1350" s="1">
        <f>IFERROR(tblMoeHistory[[#This Row],[State and Local Total Amount]]/tblMoeHistory[[#This Row],[Child Count]],0)</f>
        <v>8809.3218918918919</v>
      </c>
      <c r="M1350">
        <v>0</v>
      </c>
      <c r="N1350" t="s">
        <v>241</v>
      </c>
      <c r="O1350">
        <v>172063.88</v>
      </c>
      <c r="P1350">
        <v>1212.98</v>
      </c>
      <c r="Q1350">
        <f>tblMoeHistory[[#This Row],[Amount of IDEA Part B, Section 611 award]]+tblMoeHistory[[#This Row],[Amount of IDEA Part B, Section 619 award]]</f>
        <v>173276.86000000002</v>
      </c>
      <c r="U13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0" t="str">
        <f>IF(OR(IFERROR(SEARCH("Met",tblMoeHistory[[#This Row],[State and Local Per Capita Result]]),0)&gt;0,IFERROR(SEARCH("Met",tblMoeHistory[[#This Row],[State and Local Total Result]]),0)&gt;0),"Met","Not Met")</f>
        <v>Met</v>
      </c>
    </row>
    <row r="1351" spans="1:22" x14ac:dyDescent="0.35">
      <c r="A1351" t="s">
        <v>190</v>
      </c>
      <c r="B1351">
        <v>2096</v>
      </c>
      <c r="C1351" t="s">
        <v>18</v>
      </c>
      <c r="D1351">
        <v>181</v>
      </c>
      <c r="E1351">
        <v>1335547.7</v>
      </c>
      <c r="F1351">
        <v>448913</v>
      </c>
      <c r="G1351">
        <f>tblMoeHistory[[#This Row],[LEA State and Local Amount]]+tblMoeHistory[[#This Row],[ESD State and Local Amount]]</f>
        <v>1784460.7</v>
      </c>
      <c r="H1351">
        <v>0</v>
      </c>
      <c r="I1351" t="s">
        <v>242</v>
      </c>
      <c r="J1351" s="44">
        <f>IFERROR(tblMoeHistory[[#This Row],[LEA State and Local Amount]]/tblMoeHistory[[#This Row],[Child Count]],0)</f>
        <v>7378.7165745856355</v>
      </c>
      <c r="K1351">
        <f>IFERROR(tblMoeHistory[[#This Row],[ESD State and Local Amount]]/tblMoeHistory[[#This Row],[Child Count]],0)</f>
        <v>2480.1823204419888</v>
      </c>
      <c r="L1351" s="1">
        <f>IFERROR(tblMoeHistory[[#This Row],[State and Local Total Amount]]/tblMoeHistory[[#This Row],[Child Count]],0)</f>
        <v>9858.8988950276234</v>
      </c>
      <c r="M1351">
        <v>81130.7</v>
      </c>
      <c r="N1351" t="s">
        <v>240</v>
      </c>
      <c r="O1351">
        <v>233559.77</v>
      </c>
      <c r="P1351">
        <v>1351.61</v>
      </c>
      <c r="Q1351">
        <f>tblMoeHistory[[#This Row],[Amount of IDEA Part B, Section 611 award]]+tblMoeHistory[[#This Row],[Amount of IDEA Part B, Section 619 award]]</f>
        <v>234911.37999999998</v>
      </c>
      <c r="S1351">
        <v>91991.69</v>
      </c>
      <c r="T1351">
        <v>544.33000000000004</v>
      </c>
      <c r="U13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1" t="str">
        <f>IF(OR(IFERROR(SEARCH("Met",tblMoeHistory[[#This Row],[State and Local Per Capita Result]]),0)&gt;0,IFERROR(SEARCH("Met",tblMoeHistory[[#This Row],[State and Local Total Result]]),0)&gt;0),"Met","Not Met")</f>
        <v>Met</v>
      </c>
    </row>
    <row r="1352" spans="1:22" x14ac:dyDescent="0.35">
      <c r="A1352" t="s">
        <v>191</v>
      </c>
      <c r="B1352">
        <v>2022</v>
      </c>
      <c r="C1352" t="s">
        <v>18</v>
      </c>
      <c r="D1352">
        <v>1</v>
      </c>
      <c r="E1352">
        <v>4044</v>
      </c>
      <c r="F1352">
        <v>3045</v>
      </c>
      <c r="G1352">
        <f>tblMoeHistory[[#This Row],[LEA State and Local Amount]]+tblMoeHistory[[#This Row],[ESD State and Local Amount]]</f>
        <v>7089</v>
      </c>
      <c r="H1352">
        <v>0</v>
      </c>
      <c r="I1352" t="s">
        <v>241</v>
      </c>
      <c r="J1352" s="44">
        <f>IFERROR(tblMoeHistory[[#This Row],[LEA State and Local Amount]]/tblMoeHistory[[#This Row],[Child Count]],0)</f>
        <v>4044</v>
      </c>
      <c r="K1352">
        <f>IFERROR(tblMoeHistory[[#This Row],[ESD State and Local Amount]]/tblMoeHistory[[#This Row],[Child Count]],0)</f>
        <v>3045</v>
      </c>
      <c r="L1352" s="1">
        <f>IFERROR(tblMoeHistory[[#This Row],[State and Local Total Amount]]/tblMoeHistory[[#This Row],[Child Count]],0)</f>
        <v>7089</v>
      </c>
      <c r="M1352">
        <v>0</v>
      </c>
      <c r="N1352" t="s">
        <v>241</v>
      </c>
      <c r="O1352">
        <v>3057.38</v>
      </c>
      <c r="P1352">
        <v>0</v>
      </c>
      <c r="Q1352">
        <f>tblMoeHistory[[#This Row],[Amount of IDEA Part B, Section 611 award]]+tblMoeHistory[[#This Row],[Amount of IDEA Part B, Section 619 award]]</f>
        <v>3057.38</v>
      </c>
      <c r="U13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2" t="str">
        <f>IF(OR(IFERROR(SEARCH("Met",tblMoeHistory[[#This Row],[State and Local Per Capita Result]]),0)&gt;0,IFERROR(SEARCH("Met",tblMoeHistory[[#This Row],[State and Local Total Result]]),0)&gt;0),"Met","Not Met")</f>
        <v>Met</v>
      </c>
    </row>
    <row r="1353" spans="1:22" x14ac:dyDescent="0.35">
      <c r="A1353" t="s">
        <v>192</v>
      </c>
      <c r="B1353">
        <v>2087</v>
      </c>
      <c r="C1353" t="s">
        <v>18</v>
      </c>
      <c r="D1353">
        <v>449</v>
      </c>
      <c r="E1353">
        <v>3636985.41</v>
      </c>
      <c r="F1353">
        <v>497095</v>
      </c>
      <c r="G1353">
        <f>tblMoeHistory[[#This Row],[LEA State and Local Amount]]+tblMoeHistory[[#This Row],[ESD State and Local Amount]]</f>
        <v>4134080.41</v>
      </c>
      <c r="H1353">
        <v>0</v>
      </c>
      <c r="I1353" t="s">
        <v>241</v>
      </c>
      <c r="J1353" s="44">
        <f>IFERROR(tblMoeHistory[[#This Row],[LEA State and Local Amount]]/tblMoeHistory[[#This Row],[Child Count]],0)</f>
        <v>8100.1902227171495</v>
      </c>
      <c r="K1353">
        <f>IFERROR(tblMoeHistory[[#This Row],[ESD State and Local Amount]]/tblMoeHistory[[#This Row],[Child Count]],0)</f>
        <v>1107.1158129175947</v>
      </c>
      <c r="L1353" s="1">
        <f>IFERROR(tblMoeHistory[[#This Row],[State and Local Total Amount]]/tblMoeHistory[[#This Row],[Child Count]],0)</f>
        <v>9207.3060356347451</v>
      </c>
      <c r="M1353">
        <v>0</v>
      </c>
      <c r="N1353" t="s">
        <v>241</v>
      </c>
      <c r="O1353">
        <v>521527.51</v>
      </c>
      <c r="P1353">
        <v>2484.19</v>
      </c>
      <c r="Q1353">
        <f>tblMoeHistory[[#This Row],[Amount of IDEA Part B, Section 611 award]]+tblMoeHistory[[#This Row],[Amount of IDEA Part B, Section 619 award]]</f>
        <v>524011.7</v>
      </c>
      <c r="U13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3" t="str">
        <f>IF(OR(IFERROR(SEARCH("Met",tblMoeHistory[[#This Row],[State and Local Per Capita Result]]),0)&gt;0,IFERROR(SEARCH("Met",tblMoeHistory[[#This Row],[State and Local Total Result]]),0)&gt;0),"Met","Not Met")</f>
        <v>Met</v>
      </c>
    </row>
    <row r="1354" spans="1:22" x14ac:dyDescent="0.35">
      <c r="A1354" t="s">
        <v>193</v>
      </c>
      <c r="B1354">
        <v>1994</v>
      </c>
      <c r="C1354" t="s">
        <v>18</v>
      </c>
      <c r="D1354">
        <v>255</v>
      </c>
      <c r="E1354">
        <v>1896710.42</v>
      </c>
      <c r="F1354">
        <v>360053.69</v>
      </c>
      <c r="G1354">
        <f>tblMoeHistory[[#This Row],[LEA State and Local Amount]]+tblMoeHistory[[#This Row],[ESD State and Local Amount]]</f>
        <v>2256764.11</v>
      </c>
      <c r="H1354">
        <v>0</v>
      </c>
      <c r="I1354" t="s">
        <v>242</v>
      </c>
      <c r="J1354" s="44">
        <f>IFERROR(tblMoeHistory[[#This Row],[LEA State and Local Amount]]/tblMoeHistory[[#This Row],[Child Count]],0)</f>
        <v>7438.0800784313724</v>
      </c>
      <c r="K1354">
        <f>IFERROR(tblMoeHistory[[#This Row],[ESD State and Local Amount]]/tblMoeHistory[[#This Row],[Child Count]],0)</f>
        <v>1411.9752549019609</v>
      </c>
      <c r="L1354" s="1">
        <f>IFERROR(tblMoeHistory[[#This Row],[State and Local Total Amount]]/tblMoeHistory[[#This Row],[Child Count]],0)</f>
        <v>8850.0553333333337</v>
      </c>
      <c r="M1354">
        <v>346889.44</v>
      </c>
      <c r="N1354" t="s">
        <v>240</v>
      </c>
      <c r="O1354">
        <v>323348.73</v>
      </c>
      <c r="P1354">
        <v>2328.92</v>
      </c>
      <c r="Q1354">
        <f>tblMoeHistory[[#This Row],[Amount of IDEA Part B, Section 611 award]]+tblMoeHistory[[#This Row],[Amount of IDEA Part B, Section 619 award]]</f>
        <v>325677.64999999997</v>
      </c>
      <c r="S1354">
        <v>0</v>
      </c>
      <c r="T1354">
        <v>0</v>
      </c>
      <c r="U13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4" t="str">
        <f>IF(OR(IFERROR(SEARCH("Met",tblMoeHistory[[#This Row],[State and Local Per Capita Result]]),0)&gt;0,IFERROR(SEARCH("Met",tblMoeHistory[[#This Row],[State and Local Total Result]]),0)&gt;0),"Met","Not Met")</f>
        <v>Met</v>
      </c>
    </row>
    <row r="1355" spans="1:22" x14ac:dyDescent="0.35">
      <c r="A1355" t="s">
        <v>194</v>
      </c>
      <c r="B1355">
        <v>2225</v>
      </c>
      <c r="C1355" t="s">
        <v>18</v>
      </c>
      <c r="D1355">
        <v>35</v>
      </c>
      <c r="E1355">
        <v>209029.62</v>
      </c>
      <c r="F1355">
        <v>44401</v>
      </c>
      <c r="G1355">
        <f>tblMoeHistory[[#This Row],[LEA State and Local Amount]]+tblMoeHistory[[#This Row],[ESD State and Local Amount]]</f>
        <v>253430.62</v>
      </c>
      <c r="H1355">
        <v>0</v>
      </c>
      <c r="I1355" t="s">
        <v>241</v>
      </c>
      <c r="J1355" s="44">
        <f>IFERROR(tblMoeHistory[[#This Row],[LEA State and Local Amount]]/tblMoeHistory[[#This Row],[Child Count]],0)</f>
        <v>5972.2748571428574</v>
      </c>
      <c r="K1355">
        <f>IFERROR(tblMoeHistory[[#This Row],[ESD State and Local Amount]]/tblMoeHistory[[#This Row],[Child Count]],0)</f>
        <v>1268.5999999999999</v>
      </c>
      <c r="L1355" s="1">
        <f>IFERROR(tblMoeHistory[[#This Row],[State and Local Total Amount]]/tblMoeHistory[[#This Row],[Child Count]],0)</f>
        <v>7240.8748571428569</v>
      </c>
      <c r="M1355">
        <v>30245.45</v>
      </c>
      <c r="N1355" t="s">
        <v>240</v>
      </c>
      <c r="O1355">
        <v>51863.519999999997</v>
      </c>
      <c r="P1355">
        <v>873.35</v>
      </c>
      <c r="Q1355">
        <f>tblMoeHistory[[#This Row],[Amount of IDEA Part B, Section 611 award]]+tblMoeHistory[[#This Row],[Amount of IDEA Part B, Section 619 award]]</f>
        <v>52736.869999999995</v>
      </c>
      <c r="T1355">
        <v>0</v>
      </c>
      <c r="U13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5" t="str">
        <f>IF(OR(IFERROR(SEARCH("Met",tblMoeHistory[[#This Row],[State and Local Per Capita Result]]),0)&gt;0,IFERROR(SEARCH("Met",tblMoeHistory[[#This Row],[State and Local Total Result]]),0)&gt;0),"Met","Not Met")</f>
        <v>Met</v>
      </c>
    </row>
    <row r="1356" spans="1:22" x14ac:dyDescent="0.35">
      <c r="A1356" t="s">
        <v>195</v>
      </c>
      <c r="B1356">
        <v>2247</v>
      </c>
      <c r="C1356" t="s">
        <v>18</v>
      </c>
      <c r="D1356">
        <v>6</v>
      </c>
      <c r="E1356">
        <v>16931.84</v>
      </c>
      <c r="F1356">
        <v>18116</v>
      </c>
      <c r="G1356">
        <f>tblMoeHistory[[#This Row],[LEA State and Local Amount]]+tblMoeHistory[[#This Row],[ESD State and Local Amount]]</f>
        <v>35047.839999999997</v>
      </c>
      <c r="H1356">
        <v>0</v>
      </c>
      <c r="I1356" t="s">
        <v>241</v>
      </c>
      <c r="J1356" s="44">
        <f>IFERROR(tblMoeHistory[[#This Row],[LEA State and Local Amount]]/tblMoeHistory[[#This Row],[Child Count]],0)</f>
        <v>2821.9733333333334</v>
      </c>
      <c r="K1356">
        <f>IFERROR(tblMoeHistory[[#This Row],[ESD State and Local Amount]]/tblMoeHistory[[#This Row],[Child Count]],0)</f>
        <v>3019.3333333333335</v>
      </c>
      <c r="L1356" s="1">
        <f>IFERROR(tblMoeHistory[[#This Row],[State and Local Total Amount]]/tblMoeHistory[[#This Row],[Child Count]],0)</f>
        <v>5841.3066666666664</v>
      </c>
      <c r="M1356">
        <v>27949.26</v>
      </c>
      <c r="N1356" t="s">
        <v>240</v>
      </c>
      <c r="O1356">
        <v>6704.01</v>
      </c>
      <c r="P1356">
        <v>0</v>
      </c>
      <c r="Q1356">
        <f>tblMoeHistory[[#This Row],[Amount of IDEA Part B, Section 611 award]]+tblMoeHistory[[#This Row],[Amount of IDEA Part B, Section 619 award]]</f>
        <v>6704.01</v>
      </c>
      <c r="T1356">
        <v>0</v>
      </c>
      <c r="U13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6" t="str">
        <f>IF(OR(IFERROR(SEARCH("Met",tblMoeHistory[[#This Row],[State and Local Per Capita Result]]),0)&gt;0,IFERROR(SEARCH("Met",tblMoeHistory[[#This Row],[State and Local Total Result]]),0)&gt;0),"Met","Not Met")</f>
        <v>Met</v>
      </c>
    </row>
    <row r="1357" spans="1:22" x14ac:dyDescent="0.35">
      <c r="A1357" t="s">
        <v>196</v>
      </c>
      <c r="B1357">
        <v>2083</v>
      </c>
      <c r="C1357" t="s">
        <v>18</v>
      </c>
      <c r="D1357">
        <v>1639</v>
      </c>
      <c r="E1357">
        <v>17161587.449999999</v>
      </c>
      <c r="F1357">
        <v>1978461</v>
      </c>
      <c r="G1357">
        <f>tblMoeHistory[[#This Row],[LEA State and Local Amount]]+tblMoeHistory[[#This Row],[ESD State and Local Amount]]</f>
        <v>19140048.449999999</v>
      </c>
      <c r="H1357">
        <v>0</v>
      </c>
      <c r="I1357" t="s">
        <v>241</v>
      </c>
      <c r="J1357" s="44">
        <f>IFERROR(tblMoeHistory[[#This Row],[LEA State and Local Amount]]/tblMoeHistory[[#This Row],[Child Count]],0)</f>
        <v>10470.767205613178</v>
      </c>
      <c r="K1357">
        <f>IFERROR(tblMoeHistory[[#This Row],[ESD State and Local Amount]]/tblMoeHistory[[#This Row],[Child Count]],0)</f>
        <v>1207.1147040878584</v>
      </c>
      <c r="L1357" s="1">
        <f>IFERROR(tblMoeHistory[[#This Row],[State and Local Total Amount]]/tblMoeHistory[[#This Row],[Child Count]],0)</f>
        <v>11677.881909701036</v>
      </c>
      <c r="M1357">
        <v>0</v>
      </c>
      <c r="N1357" t="s">
        <v>241</v>
      </c>
      <c r="O1357">
        <v>1922773.68</v>
      </c>
      <c r="P1357">
        <v>14745.51</v>
      </c>
      <c r="Q1357">
        <f>tblMoeHistory[[#This Row],[Amount of IDEA Part B, Section 611 award]]+tblMoeHistory[[#This Row],[Amount of IDEA Part B, Section 619 award]]</f>
        <v>1937519.19</v>
      </c>
      <c r="U13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7" t="str">
        <f>IF(OR(IFERROR(SEARCH("Met",tblMoeHistory[[#This Row],[State and Local Per Capita Result]]),0)&gt;0,IFERROR(SEARCH("Met",tblMoeHistory[[#This Row],[State and Local Total Result]]),0)&gt;0),"Met","Not Met")</f>
        <v>Met</v>
      </c>
    </row>
    <row r="1358" spans="1:22" x14ac:dyDescent="0.35">
      <c r="A1358" t="s">
        <v>197</v>
      </c>
      <c r="B1358">
        <v>1948</v>
      </c>
      <c r="C1358" t="s">
        <v>18</v>
      </c>
      <c r="D1358">
        <v>478</v>
      </c>
      <c r="E1358">
        <v>3702025.33</v>
      </c>
      <c r="F1358">
        <v>762706</v>
      </c>
      <c r="G1358">
        <f>tblMoeHistory[[#This Row],[LEA State and Local Amount]]+tblMoeHistory[[#This Row],[ESD State and Local Amount]]</f>
        <v>4464731.33</v>
      </c>
      <c r="H1358">
        <v>0</v>
      </c>
      <c r="I1358" t="s">
        <v>241</v>
      </c>
      <c r="J1358" s="44">
        <f>IFERROR(tblMoeHistory[[#This Row],[LEA State and Local Amount]]/tblMoeHistory[[#This Row],[Child Count]],0)</f>
        <v>7744.8228661087869</v>
      </c>
      <c r="K1358">
        <f>IFERROR(tblMoeHistory[[#This Row],[ESD State and Local Amount]]/tblMoeHistory[[#This Row],[Child Count]],0)</f>
        <v>1595.6192468619247</v>
      </c>
      <c r="L1358" s="1">
        <f>IFERROR(tblMoeHistory[[#This Row],[State and Local Total Amount]]/tblMoeHistory[[#This Row],[Child Count]],0)</f>
        <v>9340.4421129707116</v>
      </c>
      <c r="M1358">
        <v>0</v>
      </c>
      <c r="N1358" t="s">
        <v>241</v>
      </c>
      <c r="O1358">
        <v>522781.2</v>
      </c>
      <c r="P1358">
        <v>4425.54</v>
      </c>
      <c r="Q1358">
        <f>tblMoeHistory[[#This Row],[Amount of IDEA Part B, Section 611 award]]+tblMoeHistory[[#This Row],[Amount of IDEA Part B, Section 619 award]]</f>
        <v>527206.74</v>
      </c>
      <c r="U13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8" t="str">
        <f>IF(OR(IFERROR(SEARCH("Met",tblMoeHistory[[#This Row],[State and Local Per Capita Result]]),0)&gt;0,IFERROR(SEARCH("Met",tblMoeHistory[[#This Row],[State and Local Total Result]]),0)&gt;0),"Met","Not Met")</f>
        <v>Met</v>
      </c>
    </row>
    <row r="1359" spans="1:22" x14ac:dyDescent="0.35">
      <c r="A1359" t="s">
        <v>198</v>
      </c>
      <c r="B1359">
        <v>2144</v>
      </c>
      <c r="C1359" t="s">
        <v>18</v>
      </c>
      <c r="D1359">
        <v>38</v>
      </c>
      <c r="E1359">
        <v>234974.2</v>
      </c>
      <c r="F1359">
        <v>72117.929999999993</v>
      </c>
      <c r="G1359">
        <f>tblMoeHistory[[#This Row],[LEA State and Local Amount]]+tblMoeHistory[[#This Row],[ESD State and Local Amount]]</f>
        <v>307092.13</v>
      </c>
      <c r="H1359">
        <v>5421.51</v>
      </c>
      <c r="I1359" t="s">
        <v>240</v>
      </c>
      <c r="J1359" s="44">
        <f>IFERROR(tblMoeHistory[[#This Row],[LEA State and Local Amount]]/tblMoeHistory[[#This Row],[Child Count]],0)</f>
        <v>6183.5315789473689</v>
      </c>
      <c r="K1359">
        <f>IFERROR(tblMoeHistory[[#This Row],[ESD State and Local Amount]]/tblMoeHistory[[#This Row],[Child Count]],0)</f>
        <v>1897.8402631578945</v>
      </c>
      <c r="L1359" s="1">
        <f>IFERROR(tblMoeHistory[[#This Row],[State and Local Total Amount]]/tblMoeHistory[[#This Row],[Child Count]],0)</f>
        <v>8081.3718421052636</v>
      </c>
      <c r="M1359">
        <v>0</v>
      </c>
      <c r="N1359" t="s">
        <v>242</v>
      </c>
      <c r="O1359">
        <v>37535.800000000003</v>
      </c>
      <c r="P1359">
        <v>582.23</v>
      </c>
      <c r="Q1359">
        <f>tblMoeHistory[[#This Row],[Amount of IDEA Part B, Section 611 award]]+tblMoeHistory[[#This Row],[Amount of IDEA Part B, Section 619 award]]</f>
        <v>38118.030000000006</v>
      </c>
      <c r="S1359">
        <v>16448.09</v>
      </c>
      <c r="T1359">
        <v>1674.4</v>
      </c>
      <c r="U13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9" t="str">
        <f>IF(OR(IFERROR(SEARCH("Met",tblMoeHistory[[#This Row],[State and Local Per Capita Result]]),0)&gt;0,IFERROR(SEARCH("Met",tblMoeHistory[[#This Row],[State and Local Total Result]]),0)&gt;0),"Met","Not Met")</f>
        <v>Met</v>
      </c>
    </row>
    <row r="1360" spans="1:22" x14ac:dyDescent="0.35">
      <c r="A1360" t="s">
        <v>199</v>
      </c>
      <c r="B1360">
        <v>2209</v>
      </c>
      <c r="C1360" t="s">
        <v>18</v>
      </c>
      <c r="D1360">
        <v>56</v>
      </c>
      <c r="E1360">
        <v>375972.66</v>
      </c>
      <c r="F1360">
        <v>83804.929999999993</v>
      </c>
      <c r="G1360">
        <f>tblMoeHistory[[#This Row],[LEA State and Local Amount]]+tblMoeHistory[[#This Row],[ESD State and Local Amount]]</f>
        <v>459777.58999999997</v>
      </c>
      <c r="H1360">
        <v>40440.699999999997</v>
      </c>
      <c r="I1360" t="s">
        <v>240</v>
      </c>
      <c r="J1360" s="44">
        <f>IFERROR(tblMoeHistory[[#This Row],[LEA State and Local Amount]]/tblMoeHistory[[#This Row],[Child Count]],0)</f>
        <v>6713.7974999999997</v>
      </c>
      <c r="K1360">
        <f>IFERROR(tblMoeHistory[[#This Row],[ESD State and Local Amount]]/tblMoeHistory[[#This Row],[Child Count]],0)</f>
        <v>1496.5166071428571</v>
      </c>
      <c r="L1360" s="1">
        <f>IFERROR(tblMoeHistory[[#This Row],[State and Local Total Amount]]/tblMoeHistory[[#This Row],[Child Count]],0)</f>
        <v>8210.3141071428563</v>
      </c>
      <c r="M1360">
        <v>0</v>
      </c>
      <c r="N1360" t="s">
        <v>242</v>
      </c>
      <c r="O1360">
        <v>83902.6</v>
      </c>
      <c r="P1360">
        <v>1455.58</v>
      </c>
      <c r="Q1360">
        <f>tblMoeHistory[[#This Row],[Amount of IDEA Part B, Section 611 award]]+tblMoeHistory[[#This Row],[Amount of IDEA Part B, Section 619 award]]</f>
        <v>85358.180000000008</v>
      </c>
      <c r="S1360">
        <v>44758.46</v>
      </c>
      <c r="T1360">
        <v>733.75</v>
      </c>
      <c r="U13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0" t="str">
        <f>IF(OR(IFERROR(SEARCH("Met",tblMoeHistory[[#This Row],[State and Local Per Capita Result]]),0)&gt;0,IFERROR(SEARCH("Met",tblMoeHistory[[#This Row],[State and Local Total Result]]),0)&gt;0),"Met","Not Met")</f>
        <v>Met</v>
      </c>
    </row>
    <row r="1361" spans="1:22" x14ac:dyDescent="0.35">
      <c r="A1361" t="s">
        <v>200</v>
      </c>
      <c r="B1361">
        <v>2018</v>
      </c>
      <c r="C1361" t="s">
        <v>18</v>
      </c>
      <c r="D1361">
        <v>2</v>
      </c>
      <c r="E1361">
        <v>4724.8999999999996</v>
      </c>
      <c r="F1361">
        <v>3045</v>
      </c>
      <c r="G1361">
        <f>tblMoeHistory[[#This Row],[LEA State and Local Amount]]+tblMoeHistory[[#This Row],[ESD State and Local Amount]]</f>
        <v>7769.9</v>
      </c>
      <c r="H1361">
        <v>5818.12</v>
      </c>
      <c r="I1361" t="s">
        <v>240</v>
      </c>
      <c r="J1361" s="44">
        <f>IFERROR(tblMoeHistory[[#This Row],[LEA State and Local Amount]]/tblMoeHistory[[#This Row],[Child Count]],0)</f>
        <v>2362.4499999999998</v>
      </c>
      <c r="K1361">
        <f>IFERROR(tblMoeHistory[[#This Row],[ESD State and Local Amount]]/tblMoeHistory[[#This Row],[Child Count]],0)</f>
        <v>1522.5</v>
      </c>
      <c r="L1361" s="1">
        <f>IFERROR(tblMoeHistory[[#This Row],[State and Local Total Amount]]/tblMoeHistory[[#This Row],[Child Count]],0)</f>
        <v>3884.95</v>
      </c>
      <c r="M1361">
        <v>16241.14</v>
      </c>
      <c r="N1361" t="s">
        <v>240</v>
      </c>
      <c r="O1361">
        <v>0</v>
      </c>
      <c r="P1361">
        <v>0</v>
      </c>
      <c r="Q1361">
        <f>tblMoeHistory[[#This Row],[Amount of IDEA Part B, Section 611 award]]+tblMoeHistory[[#This Row],[Amount of IDEA Part B, Section 619 award]]</f>
        <v>0</v>
      </c>
      <c r="S1361">
        <v>0</v>
      </c>
      <c r="T1361">
        <v>0</v>
      </c>
      <c r="U13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1" t="str">
        <f>IF(OR(IFERROR(SEARCH("Met",tblMoeHistory[[#This Row],[State and Local Per Capita Result]]),0)&gt;0,IFERROR(SEARCH("Met",tblMoeHistory[[#This Row],[State and Local Total Result]]),0)&gt;0),"Met","Not Met")</f>
        <v>Not Met</v>
      </c>
    </row>
    <row r="1362" spans="1:22" x14ac:dyDescent="0.35">
      <c r="A1362" t="s">
        <v>201</v>
      </c>
      <c r="B1362">
        <v>2003</v>
      </c>
      <c r="C1362" t="s">
        <v>18</v>
      </c>
      <c r="D1362">
        <v>165</v>
      </c>
      <c r="E1362">
        <v>1082927</v>
      </c>
      <c r="F1362">
        <v>291716.68</v>
      </c>
      <c r="G1362">
        <f>tblMoeHistory[[#This Row],[LEA State and Local Amount]]+tblMoeHistory[[#This Row],[ESD State and Local Amount]]</f>
        <v>1374643.68</v>
      </c>
      <c r="H1362">
        <v>0</v>
      </c>
      <c r="I1362" t="s">
        <v>241</v>
      </c>
      <c r="J1362" s="44">
        <f>IFERROR(tblMoeHistory[[#This Row],[LEA State and Local Amount]]/tblMoeHistory[[#This Row],[Child Count]],0)</f>
        <v>6563.1939393939392</v>
      </c>
      <c r="K1362">
        <f>IFERROR(tblMoeHistory[[#This Row],[ESD State and Local Amount]]/tblMoeHistory[[#This Row],[Child Count]],0)</f>
        <v>1767.9798787878788</v>
      </c>
      <c r="L1362" s="1">
        <f>IFERROR(tblMoeHistory[[#This Row],[State and Local Total Amount]]/tblMoeHistory[[#This Row],[Child Count]],0)</f>
        <v>8331.1738181818182</v>
      </c>
      <c r="M1362">
        <v>0</v>
      </c>
      <c r="N1362" t="s">
        <v>241</v>
      </c>
      <c r="O1362">
        <v>220289.74</v>
      </c>
      <c r="P1362">
        <v>2218.02</v>
      </c>
      <c r="Q1362">
        <f>tblMoeHistory[[#This Row],[Amount of IDEA Part B, Section 611 award]]+tblMoeHistory[[#This Row],[Amount of IDEA Part B, Section 619 award]]</f>
        <v>222507.75999999998</v>
      </c>
      <c r="U13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2" t="str">
        <f>IF(OR(IFERROR(SEARCH("Met",tblMoeHistory[[#This Row],[State and Local Per Capita Result]]),0)&gt;0,IFERROR(SEARCH("Met",tblMoeHistory[[#This Row],[State and Local Total Result]]),0)&gt;0),"Met","Not Met")</f>
        <v>Met</v>
      </c>
    </row>
    <row r="1363" spans="1:22" x14ac:dyDescent="0.35">
      <c r="A1363" t="s">
        <v>202</v>
      </c>
      <c r="B1363">
        <v>2102</v>
      </c>
      <c r="C1363" t="s">
        <v>18</v>
      </c>
      <c r="D1363">
        <v>422</v>
      </c>
      <c r="E1363">
        <v>2588119.96</v>
      </c>
      <c r="F1363">
        <v>380642</v>
      </c>
      <c r="G1363">
        <f>tblMoeHistory[[#This Row],[LEA State and Local Amount]]+tblMoeHistory[[#This Row],[ESD State and Local Amount]]</f>
        <v>2968761.96</v>
      </c>
      <c r="H1363">
        <v>0</v>
      </c>
      <c r="I1363" t="s">
        <v>241</v>
      </c>
      <c r="J1363" s="44">
        <f>IFERROR(tblMoeHistory[[#This Row],[LEA State and Local Amount]]/tblMoeHistory[[#This Row],[Child Count]],0)</f>
        <v>6132.9856872037917</v>
      </c>
      <c r="K1363">
        <f>IFERROR(tblMoeHistory[[#This Row],[ESD State and Local Amount]]/tblMoeHistory[[#This Row],[Child Count]],0)</f>
        <v>901.99526066350711</v>
      </c>
      <c r="L1363" s="1">
        <f>IFERROR(tblMoeHistory[[#This Row],[State and Local Total Amount]]/tblMoeHistory[[#This Row],[Child Count]],0)</f>
        <v>7034.9809478672987</v>
      </c>
      <c r="M1363">
        <v>0</v>
      </c>
      <c r="N1363" t="s">
        <v>241</v>
      </c>
      <c r="O1363">
        <v>431382.87</v>
      </c>
      <c r="P1363">
        <v>4835.75</v>
      </c>
      <c r="Q1363">
        <f>tblMoeHistory[[#This Row],[Amount of IDEA Part B, Section 611 award]]+tblMoeHistory[[#This Row],[Amount of IDEA Part B, Section 619 award]]</f>
        <v>436218.62</v>
      </c>
      <c r="U13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3" t="str">
        <f>IF(OR(IFERROR(SEARCH("Met",tblMoeHistory[[#This Row],[State and Local Per Capita Result]]),0)&gt;0,IFERROR(SEARCH("Met",tblMoeHistory[[#This Row],[State and Local Total Result]]),0)&gt;0),"Met","Not Met")</f>
        <v>Met</v>
      </c>
    </row>
    <row r="1364" spans="1:22" x14ac:dyDescent="0.35">
      <c r="A1364" t="s">
        <v>203</v>
      </c>
      <c r="B1364">
        <v>2055</v>
      </c>
      <c r="C1364" t="s">
        <v>18</v>
      </c>
      <c r="D1364">
        <v>513</v>
      </c>
      <c r="E1364">
        <v>6130916.9900000002</v>
      </c>
      <c r="F1364">
        <v>388382.69</v>
      </c>
      <c r="G1364">
        <f>tblMoeHistory[[#This Row],[LEA State and Local Amount]]+tblMoeHistory[[#This Row],[ESD State and Local Amount]]</f>
        <v>6519299.6800000006</v>
      </c>
      <c r="H1364">
        <v>0</v>
      </c>
      <c r="I1364" t="s">
        <v>241</v>
      </c>
      <c r="J1364" s="44">
        <f>IFERROR(tblMoeHistory[[#This Row],[LEA State and Local Amount]]/tblMoeHistory[[#This Row],[Child Count]],0)</f>
        <v>11951.105243664717</v>
      </c>
      <c r="K1364">
        <f>IFERROR(tblMoeHistory[[#This Row],[ESD State and Local Amount]]/tblMoeHistory[[#This Row],[Child Count]],0)</f>
        <v>757.08126705653024</v>
      </c>
      <c r="L1364" s="1">
        <f>IFERROR(tblMoeHistory[[#This Row],[State and Local Total Amount]]/tblMoeHistory[[#This Row],[Child Count]],0)</f>
        <v>12708.186510721249</v>
      </c>
      <c r="M1364">
        <v>136593.32999999999</v>
      </c>
      <c r="N1364" t="s">
        <v>240</v>
      </c>
      <c r="O1364">
        <v>871130.85</v>
      </c>
      <c r="P1364">
        <v>9764.5</v>
      </c>
      <c r="Q1364">
        <f>tblMoeHistory[[#This Row],[Amount of IDEA Part B, Section 611 award]]+tblMoeHistory[[#This Row],[Amount of IDEA Part B, Section 619 award]]</f>
        <v>880895.35</v>
      </c>
      <c r="T1364">
        <v>0</v>
      </c>
      <c r="U13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4" t="str">
        <f>IF(OR(IFERROR(SEARCH("Met",tblMoeHistory[[#This Row],[State and Local Per Capita Result]]),0)&gt;0,IFERROR(SEARCH("Met",tblMoeHistory[[#This Row],[State and Local Total Result]]),0)&gt;0),"Met","Not Met")</f>
        <v>Met</v>
      </c>
    </row>
    <row r="1365" spans="1:22" x14ac:dyDescent="0.35">
      <c r="A1365" t="s">
        <v>204</v>
      </c>
      <c r="B1365">
        <v>2242</v>
      </c>
      <c r="C1365" t="s">
        <v>18</v>
      </c>
      <c r="D1365">
        <v>1288</v>
      </c>
      <c r="E1365">
        <v>11339007.92</v>
      </c>
      <c r="F1365">
        <v>1710556</v>
      </c>
      <c r="G1365">
        <f>tblMoeHistory[[#This Row],[LEA State and Local Amount]]+tblMoeHistory[[#This Row],[ESD State and Local Amount]]</f>
        <v>13049563.92</v>
      </c>
      <c r="H1365">
        <v>0</v>
      </c>
      <c r="I1365" t="s">
        <v>241</v>
      </c>
      <c r="J1365" s="44">
        <f>IFERROR(tblMoeHistory[[#This Row],[LEA State and Local Amount]]/tblMoeHistory[[#This Row],[Child Count]],0)</f>
        <v>8803.5775776397513</v>
      </c>
      <c r="K1365">
        <f>IFERROR(tblMoeHistory[[#This Row],[ESD State and Local Amount]]/tblMoeHistory[[#This Row],[Child Count]],0)</f>
        <v>1328.0714285714287</v>
      </c>
      <c r="L1365" s="1">
        <f>IFERROR(tblMoeHistory[[#This Row],[State and Local Total Amount]]/tblMoeHistory[[#This Row],[Child Count]],0)</f>
        <v>10131.649006211181</v>
      </c>
      <c r="M1365">
        <v>0</v>
      </c>
      <c r="N1365" t="s">
        <v>241</v>
      </c>
      <c r="O1365">
        <v>1921253.94</v>
      </c>
      <c r="P1365">
        <v>9727.8700000000008</v>
      </c>
      <c r="Q1365">
        <f>tblMoeHistory[[#This Row],[Amount of IDEA Part B, Section 611 award]]+tblMoeHistory[[#This Row],[Amount of IDEA Part B, Section 619 award]]</f>
        <v>1930981.81</v>
      </c>
      <c r="U13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5" t="str">
        <f>IF(OR(IFERROR(SEARCH("Met",tblMoeHistory[[#This Row],[State and Local Per Capita Result]]),0)&gt;0,IFERROR(SEARCH("Met",tblMoeHistory[[#This Row],[State and Local Total Result]]),0)&gt;0),"Met","Not Met")</f>
        <v>Met</v>
      </c>
    </row>
    <row r="1366" spans="1:22" x14ac:dyDescent="0.35">
      <c r="A1366" t="s">
        <v>205</v>
      </c>
      <c r="B1366">
        <v>2197</v>
      </c>
      <c r="C1366" t="s">
        <v>18</v>
      </c>
      <c r="D1366">
        <v>272</v>
      </c>
      <c r="E1366">
        <v>3014755.11</v>
      </c>
      <c r="F1366">
        <v>161477</v>
      </c>
      <c r="G1366">
        <f>tblMoeHistory[[#This Row],[LEA State and Local Amount]]+tblMoeHistory[[#This Row],[ESD State and Local Amount]]</f>
        <v>3176232.11</v>
      </c>
      <c r="H1366">
        <v>0</v>
      </c>
      <c r="I1366" t="s">
        <v>241</v>
      </c>
      <c r="J1366" s="44">
        <f>IFERROR(tblMoeHistory[[#This Row],[LEA State and Local Amount]]/tblMoeHistory[[#This Row],[Child Count]],0)</f>
        <v>11083.658492647059</v>
      </c>
      <c r="K1366">
        <f>IFERROR(tblMoeHistory[[#This Row],[ESD State and Local Amount]]/tblMoeHistory[[#This Row],[Child Count]],0)</f>
        <v>593.66544117647061</v>
      </c>
      <c r="L1366" s="1">
        <f>IFERROR(tblMoeHistory[[#This Row],[State and Local Total Amount]]/tblMoeHistory[[#This Row],[Child Count]],0)</f>
        <v>11677.323933823529</v>
      </c>
      <c r="M1366">
        <v>98756.96</v>
      </c>
      <c r="N1366" t="s">
        <v>240</v>
      </c>
      <c r="O1366">
        <v>354741.19</v>
      </c>
      <c r="P1366">
        <v>3767.38</v>
      </c>
      <c r="Q1366">
        <f>tblMoeHistory[[#This Row],[Amount of IDEA Part B, Section 611 award]]+tblMoeHistory[[#This Row],[Amount of IDEA Part B, Section 619 award]]</f>
        <v>358508.57</v>
      </c>
      <c r="T1366">
        <v>0</v>
      </c>
      <c r="U13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6" t="str">
        <f>IF(OR(IFERROR(SEARCH("Met",tblMoeHistory[[#This Row],[State and Local Per Capita Result]]),0)&gt;0,IFERROR(SEARCH("Met",tblMoeHistory[[#This Row],[State and Local Total Result]]),0)&gt;0),"Met","Not Met")</f>
        <v>Met</v>
      </c>
    </row>
    <row r="1367" spans="1:22" x14ac:dyDescent="0.35">
      <c r="A1367" t="s">
        <v>206</v>
      </c>
      <c r="B1367">
        <v>2222</v>
      </c>
      <c r="C1367" t="s">
        <v>18</v>
      </c>
      <c r="D1367">
        <v>0</v>
      </c>
      <c r="E1367">
        <v>0</v>
      </c>
      <c r="F1367">
        <v>3700</v>
      </c>
      <c r="G1367">
        <f>tblMoeHistory[[#This Row],[LEA State and Local Amount]]+tblMoeHistory[[#This Row],[ESD State and Local Amount]]</f>
        <v>3700</v>
      </c>
      <c r="H1367">
        <v>0</v>
      </c>
      <c r="I1367" t="s">
        <v>241</v>
      </c>
      <c r="J1367" s="44">
        <f>IFERROR(tblMoeHistory[[#This Row],[LEA State and Local Amount]]/tblMoeHistory[[#This Row],[Child Count]],0)</f>
        <v>0</v>
      </c>
      <c r="K1367">
        <f>IFERROR(tblMoeHistory[[#This Row],[ESD State and Local Amount]]/tblMoeHistory[[#This Row],[Child Count]],0)</f>
        <v>0</v>
      </c>
      <c r="L1367" s="1">
        <f>IFERROR(tblMoeHistory[[#This Row],[State and Local Total Amount]]/tblMoeHistory[[#This Row],[Child Count]],0)</f>
        <v>0</v>
      </c>
      <c r="M1367">
        <v>0</v>
      </c>
      <c r="N1367" t="s">
        <v>241</v>
      </c>
      <c r="O1367">
        <v>2290.9299999999998</v>
      </c>
      <c r="P1367">
        <v>0</v>
      </c>
      <c r="Q1367">
        <f>tblMoeHistory[[#This Row],[Amount of IDEA Part B, Section 611 award]]+tblMoeHistory[[#This Row],[Amount of IDEA Part B, Section 619 award]]</f>
        <v>2290.9299999999998</v>
      </c>
      <c r="U13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7" t="str">
        <f>IF(OR(IFERROR(SEARCH("Met",tblMoeHistory[[#This Row],[State and Local Per Capita Result]]),0)&gt;0,IFERROR(SEARCH("Met",tblMoeHistory[[#This Row],[State and Local Total Result]]),0)&gt;0),"Met","Not Met")</f>
        <v>Met</v>
      </c>
    </row>
    <row r="1368" spans="1:22" x14ac:dyDescent="0.35">
      <c r="A1368" t="s">
        <v>207</v>
      </c>
      <c r="B1368">
        <v>2210</v>
      </c>
      <c r="C1368" t="s">
        <v>18</v>
      </c>
      <c r="D1368">
        <v>3</v>
      </c>
      <c r="E1368">
        <v>4598.21</v>
      </c>
      <c r="F1368">
        <v>4498.8599999999997</v>
      </c>
      <c r="G1368">
        <f>tblMoeHistory[[#This Row],[LEA State and Local Amount]]+tblMoeHistory[[#This Row],[ESD State and Local Amount]]</f>
        <v>9097.07</v>
      </c>
      <c r="H1368">
        <v>0</v>
      </c>
      <c r="I1368" t="s">
        <v>241</v>
      </c>
      <c r="J1368" s="44">
        <f>IFERROR(tblMoeHistory[[#This Row],[LEA State and Local Amount]]/tblMoeHistory[[#This Row],[Child Count]],0)</f>
        <v>1532.7366666666667</v>
      </c>
      <c r="K1368">
        <f>IFERROR(tblMoeHistory[[#This Row],[ESD State and Local Amount]]/tblMoeHistory[[#This Row],[Child Count]],0)</f>
        <v>1499.62</v>
      </c>
      <c r="L1368" s="1">
        <f>IFERROR(tblMoeHistory[[#This Row],[State and Local Total Amount]]/tblMoeHistory[[#This Row],[Child Count]],0)</f>
        <v>3032.3566666666666</v>
      </c>
      <c r="M1368">
        <v>2917.44</v>
      </c>
      <c r="N1368" t="s">
        <v>240</v>
      </c>
      <c r="O1368">
        <v>7105.49</v>
      </c>
      <c r="P1368">
        <v>0</v>
      </c>
      <c r="Q1368">
        <f>tblMoeHistory[[#This Row],[Amount of IDEA Part B, Section 611 award]]+tblMoeHistory[[#This Row],[Amount of IDEA Part B, Section 619 award]]</f>
        <v>7105.49</v>
      </c>
      <c r="T1368">
        <v>0</v>
      </c>
      <c r="U13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8" t="str">
        <f>IF(OR(IFERROR(SEARCH("Met",tblMoeHistory[[#This Row],[State and Local Per Capita Result]]),0)&gt;0,IFERROR(SEARCH("Met",tblMoeHistory[[#This Row],[State and Local Total Result]]),0)&gt;0),"Met","Not Met")</f>
        <v>Met</v>
      </c>
    </row>
    <row r="1369" spans="1:22" x14ac:dyDescent="0.35">
      <c r="A1369" t="s">
        <v>208</v>
      </c>
      <c r="B1369">
        <v>2204</v>
      </c>
      <c r="C1369" t="s">
        <v>18</v>
      </c>
      <c r="D1369">
        <v>135</v>
      </c>
      <c r="E1369">
        <v>1102230.21</v>
      </c>
      <c r="F1369">
        <v>202037.08</v>
      </c>
      <c r="G1369">
        <f>tblMoeHistory[[#This Row],[LEA State and Local Amount]]+tblMoeHistory[[#This Row],[ESD State and Local Amount]]</f>
        <v>1304267.29</v>
      </c>
      <c r="H1369">
        <v>0</v>
      </c>
      <c r="I1369" t="s">
        <v>241</v>
      </c>
      <c r="J1369" s="44">
        <f>IFERROR(tblMoeHistory[[#This Row],[LEA State and Local Amount]]/tblMoeHistory[[#This Row],[Child Count]],0)</f>
        <v>8164.6682222222216</v>
      </c>
      <c r="K1369">
        <f>IFERROR(tblMoeHistory[[#This Row],[ESD State and Local Amount]]/tblMoeHistory[[#This Row],[Child Count]],0)</f>
        <v>1496.5709629629628</v>
      </c>
      <c r="L1369" s="1">
        <f>IFERROR(tblMoeHistory[[#This Row],[State and Local Total Amount]]/tblMoeHistory[[#This Row],[Child Count]],0)</f>
        <v>9661.2391851851862</v>
      </c>
      <c r="M1369">
        <v>41086.300000000003</v>
      </c>
      <c r="N1369" t="s">
        <v>240</v>
      </c>
      <c r="O1369">
        <v>187082.08</v>
      </c>
      <c r="P1369">
        <v>1204.6199999999999</v>
      </c>
      <c r="Q1369">
        <f>tblMoeHistory[[#This Row],[Amount of IDEA Part B, Section 611 award]]+tblMoeHistory[[#This Row],[Amount of IDEA Part B, Section 619 award]]</f>
        <v>188286.69999999998</v>
      </c>
      <c r="T1369">
        <v>0</v>
      </c>
      <c r="U13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9" t="str">
        <f>IF(OR(IFERROR(SEARCH("Met",tblMoeHistory[[#This Row],[State and Local Per Capita Result]]),0)&gt;0,IFERROR(SEARCH("Met",tblMoeHistory[[#This Row],[State and Local Total Result]]),0)&gt;0),"Met","Not Met")</f>
        <v>Met</v>
      </c>
    </row>
    <row r="1370" spans="1:22" x14ac:dyDescent="0.35">
      <c r="A1370" t="s">
        <v>209</v>
      </c>
      <c r="B1370">
        <v>2213</v>
      </c>
      <c r="C1370" t="s">
        <v>18</v>
      </c>
      <c r="D1370">
        <v>38</v>
      </c>
      <c r="E1370">
        <v>331538.77</v>
      </c>
      <c r="F1370">
        <v>128574.05</v>
      </c>
      <c r="G1370">
        <f>tblMoeHistory[[#This Row],[LEA State and Local Amount]]+tblMoeHistory[[#This Row],[ESD State and Local Amount]]</f>
        <v>460112.82</v>
      </c>
      <c r="H1370">
        <v>0</v>
      </c>
      <c r="I1370" t="s">
        <v>241</v>
      </c>
      <c r="J1370" s="44">
        <f>IFERROR(tblMoeHistory[[#This Row],[LEA State and Local Amount]]/tblMoeHistory[[#This Row],[Child Count]],0)</f>
        <v>8724.7044736842108</v>
      </c>
      <c r="K1370">
        <f>IFERROR(tblMoeHistory[[#This Row],[ESD State and Local Amount]]/tblMoeHistory[[#This Row],[Child Count]],0)</f>
        <v>3383.5276315789474</v>
      </c>
      <c r="L1370" s="1">
        <f>IFERROR(tblMoeHistory[[#This Row],[State and Local Total Amount]]/tblMoeHistory[[#This Row],[Child Count]],0)</f>
        <v>12108.232105263158</v>
      </c>
      <c r="M1370">
        <v>0</v>
      </c>
      <c r="N1370" t="s">
        <v>241</v>
      </c>
      <c r="O1370">
        <v>55888.84</v>
      </c>
      <c r="P1370">
        <v>0</v>
      </c>
      <c r="Q1370">
        <f>tblMoeHistory[[#This Row],[Amount of IDEA Part B, Section 611 award]]+tblMoeHistory[[#This Row],[Amount of IDEA Part B, Section 619 award]]</f>
        <v>55888.84</v>
      </c>
      <c r="U13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0" t="str">
        <f>IF(OR(IFERROR(SEARCH("Met",tblMoeHistory[[#This Row],[State and Local Per Capita Result]]),0)&gt;0,IFERROR(SEARCH("Met",tblMoeHistory[[#This Row],[State and Local Total Result]]),0)&gt;0),"Met","Not Met")</f>
        <v>Met</v>
      </c>
    </row>
    <row r="1371" spans="1:22" x14ac:dyDescent="0.35">
      <c r="A1371" t="s">
        <v>210</v>
      </c>
      <c r="B1371">
        <v>2116</v>
      </c>
      <c r="C1371" t="s">
        <v>18</v>
      </c>
      <c r="D1371">
        <v>118</v>
      </c>
      <c r="E1371">
        <v>807152.55</v>
      </c>
      <c r="F1371">
        <v>330541.88</v>
      </c>
      <c r="G1371">
        <f>tblMoeHistory[[#This Row],[LEA State and Local Amount]]+tblMoeHistory[[#This Row],[ESD State and Local Amount]]</f>
        <v>1137694.4300000002</v>
      </c>
      <c r="H1371">
        <v>0</v>
      </c>
      <c r="I1371" t="s">
        <v>241</v>
      </c>
      <c r="J1371" s="44">
        <f>IFERROR(tblMoeHistory[[#This Row],[LEA State and Local Amount]]/tblMoeHistory[[#This Row],[Child Count]],0)</f>
        <v>6840.2758474576276</v>
      </c>
      <c r="K1371">
        <f>IFERROR(tblMoeHistory[[#This Row],[ESD State and Local Amount]]/tblMoeHistory[[#This Row],[Child Count]],0)</f>
        <v>2801.202372881356</v>
      </c>
      <c r="L1371" s="1">
        <f>IFERROR(tblMoeHistory[[#This Row],[State and Local Total Amount]]/tblMoeHistory[[#This Row],[Child Count]],0)</f>
        <v>9641.4782203389841</v>
      </c>
      <c r="M1371">
        <v>0</v>
      </c>
      <c r="N1371" t="s">
        <v>241</v>
      </c>
      <c r="O1371">
        <v>176096.75</v>
      </c>
      <c r="P1371">
        <v>388.15</v>
      </c>
      <c r="Q1371">
        <f>tblMoeHistory[[#This Row],[Amount of IDEA Part B, Section 611 award]]+tblMoeHistory[[#This Row],[Amount of IDEA Part B, Section 619 award]]</f>
        <v>176484.9</v>
      </c>
      <c r="U13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1" t="str">
        <f>IF(OR(IFERROR(SEARCH("Met",tblMoeHistory[[#This Row],[State and Local Per Capita Result]]),0)&gt;0,IFERROR(SEARCH("Met",tblMoeHistory[[#This Row],[State and Local Total Result]]),0)&gt;0),"Met","Not Met")</f>
        <v>Met</v>
      </c>
    </row>
    <row r="1372" spans="1:22" x14ac:dyDescent="0.35">
      <c r="A1372" t="s">
        <v>211</v>
      </c>
      <c r="B1372">
        <v>1947</v>
      </c>
      <c r="C1372" t="s">
        <v>18</v>
      </c>
      <c r="D1372">
        <v>86</v>
      </c>
      <c r="E1372">
        <v>1206414.74</v>
      </c>
      <c r="F1372">
        <v>101754</v>
      </c>
      <c r="G1372">
        <f>tblMoeHistory[[#This Row],[LEA State and Local Amount]]+tblMoeHistory[[#This Row],[ESD State and Local Amount]]</f>
        <v>1308168.74</v>
      </c>
      <c r="H1372">
        <v>0</v>
      </c>
      <c r="I1372" t="s">
        <v>241</v>
      </c>
      <c r="J1372" s="44">
        <f>IFERROR(tblMoeHistory[[#This Row],[LEA State and Local Amount]]/tblMoeHistory[[#This Row],[Child Count]],0)</f>
        <v>14028.078372093023</v>
      </c>
      <c r="K1372">
        <f>IFERROR(tblMoeHistory[[#This Row],[ESD State and Local Amount]]/tblMoeHistory[[#This Row],[Child Count]],0)</f>
        <v>1183.1860465116279</v>
      </c>
      <c r="L1372" s="1">
        <f>IFERROR(tblMoeHistory[[#This Row],[State and Local Total Amount]]/tblMoeHistory[[#This Row],[Child Count]],0)</f>
        <v>15211.264418604651</v>
      </c>
      <c r="M1372">
        <v>0</v>
      </c>
      <c r="N1372" t="s">
        <v>241</v>
      </c>
      <c r="O1372">
        <v>110554.87</v>
      </c>
      <c r="P1372">
        <v>1186.03</v>
      </c>
      <c r="Q1372">
        <f>tblMoeHistory[[#This Row],[Amount of IDEA Part B, Section 611 award]]+tblMoeHistory[[#This Row],[Amount of IDEA Part B, Section 619 award]]</f>
        <v>111740.9</v>
      </c>
      <c r="U13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2" t="str">
        <f>IF(OR(IFERROR(SEARCH("Met",tblMoeHistory[[#This Row],[State and Local Per Capita Result]]),0)&gt;0,IFERROR(SEARCH("Met",tblMoeHistory[[#This Row],[State and Local Total Result]]),0)&gt;0),"Met","Not Met")</f>
        <v>Met</v>
      </c>
    </row>
    <row r="1373" spans="1:22" x14ac:dyDescent="0.35">
      <c r="A1373" t="s">
        <v>212</v>
      </c>
      <c r="B1373">
        <v>2220</v>
      </c>
      <c r="C1373" t="s">
        <v>18</v>
      </c>
      <c r="D1373">
        <v>27</v>
      </c>
      <c r="E1373">
        <v>51579.79</v>
      </c>
      <c r="F1373">
        <v>146647.72</v>
      </c>
      <c r="G1373">
        <f>tblMoeHistory[[#This Row],[LEA State and Local Amount]]+tblMoeHistory[[#This Row],[ESD State and Local Amount]]</f>
        <v>198227.51</v>
      </c>
      <c r="H1373">
        <v>14689.46</v>
      </c>
      <c r="I1373" t="s">
        <v>240</v>
      </c>
      <c r="J1373" s="44">
        <f>IFERROR(tblMoeHistory[[#This Row],[LEA State and Local Amount]]/tblMoeHistory[[#This Row],[Child Count]],0)</f>
        <v>1910.3625925925926</v>
      </c>
      <c r="K1373">
        <f>IFERROR(tblMoeHistory[[#This Row],[ESD State and Local Amount]]/tblMoeHistory[[#This Row],[Child Count]],0)</f>
        <v>5431.3970370370371</v>
      </c>
      <c r="L1373" s="1">
        <f>IFERROR(tblMoeHistory[[#This Row],[State and Local Total Amount]]/tblMoeHistory[[#This Row],[Child Count]],0)</f>
        <v>7341.7596296296297</v>
      </c>
      <c r="M1373">
        <v>0</v>
      </c>
      <c r="N1373" t="s">
        <v>242</v>
      </c>
      <c r="O1373">
        <v>60513.36</v>
      </c>
      <c r="P1373">
        <v>970.38</v>
      </c>
      <c r="Q1373">
        <f>tblMoeHistory[[#This Row],[Amount of IDEA Part B, Section 611 award]]+tblMoeHistory[[#This Row],[Amount of IDEA Part B, Section 619 award]]</f>
        <v>61483.74</v>
      </c>
      <c r="S1373">
        <v>55200.7</v>
      </c>
      <c r="T1373">
        <v>1623.55</v>
      </c>
      <c r="U13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3" t="str">
        <f>IF(OR(IFERROR(SEARCH("Met",tblMoeHistory[[#This Row],[State and Local Per Capita Result]]),0)&gt;0,IFERROR(SEARCH("Met",tblMoeHistory[[#This Row],[State and Local Total Result]]),0)&gt;0),"Met","Not Met")</f>
        <v>Met</v>
      </c>
    </row>
    <row r="1374" spans="1:22" x14ac:dyDescent="0.35">
      <c r="A1374" t="s">
        <v>213</v>
      </c>
      <c r="B1374">
        <v>1936</v>
      </c>
      <c r="C1374" t="s">
        <v>18</v>
      </c>
      <c r="D1374">
        <v>164</v>
      </c>
      <c r="E1374">
        <v>1172917.78</v>
      </c>
      <c r="F1374">
        <v>232082</v>
      </c>
      <c r="G1374">
        <f>tblMoeHistory[[#This Row],[LEA State and Local Amount]]+tblMoeHistory[[#This Row],[ESD State and Local Amount]]</f>
        <v>1404999.78</v>
      </c>
      <c r="H1374">
        <v>58943.92</v>
      </c>
      <c r="I1374" t="s">
        <v>240</v>
      </c>
      <c r="J1374" s="44">
        <f>IFERROR(tblMoeHistory[[#This Row],[LEA State and Local Amount]]/tblMoeHistory[[#This Row],[Child Count]],0)</f>
        <v>7151.9376829268294</v>
      </c>
      <c r="K1374">
        <f>IFERROR(tblMoeHistory[[#This Row],[ESD State and Local Amount]]/tblMoeHistory[[#This Row],[Child Count]],0)</f>
        <v>1415.1341463414635</v>
      </c>
      <c r="L1374" s="1">
        <f>IFERROR(tblMoeHistory[[#This Row],[State and Local Total Amount]]/tblMoeHistory[[#This Row],[Child Count]],0)</f>
        <v>8567.0718292682923</v>
      </c>
      <c r="M1374">
        <v>0</v>
      </c>
      <c r="N1374" t="s">
        <v>242</v>
      </c>
      <c r="O1374">
        <v>162389.29</v>
      </c>
      <c r="P1374">
        <v>1155.22</v>
      </c>
      <c r="Q1374">
        <f>tblMoeHistory[[#This Row],[Amount of IDEA Part B, Section 611 award]]+tblMoeHistory[[#This Row],[Amount of IDEA Part B, Section 619 award]]</f>
        <v>163544.51</v>
      </c>
      <c r="S1374">
        <v>286206.09000000003</v>
      </c>
      <c r="T1374">
        <v>1607.9</v>
      </c>
      <c r="U13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4" t="str">
        <f>IF(OR(IFERROR(SEARCH("Met",tblMoeHistory[[#This Row],[State and Local Per Capita Result]]),0)&gt;0,IFERROR(SEARCH("Met",tblMoeHistory[[#This Row],[State and Local Total Result]]),0)&gt;0),"Met","Not Met")</f>
        <v>Met</v>
      </c>
    </row>
    <row r="1375" spans="1:22" x14ac:dyDescent="0.35">
      <c r="A1375" t="s">
        <v>214</v>
      </c>
      <c r="B1375">
        <v>1922</v>
      </c>
      <c r="C1375" t="s">
        <v>18</v>
      </c>
      <c r="D1375">
        <v>1031</v>
      </c>
      <c r="E1375">
        <v>9786760.8499999996</v>
      </c>
      <c r="F1375">
        <v>41568</v>
      </c>
      <c r="G1375">
        <f>tblMoeHistory[[#This Row],[LEA State and Local Amount]]+tblMoeHistory[[#This Row],[ESD State and Local Amount]]</f>
        <v>9828328.8499999996</v>
      </c>
      <c r="H1375">
        <v>0</v>
      </c>
      <c r="I1375" t="s">
        <v>241</v>
      </c>
      <c r="J1375" s="44">
        <f>IFERROR(tblMoeHistory[[#This Row],[LEA State and Local Amount]]/tblMoeHistory[[#This Row],[Child Count]],0)</f>
        <v>9492.4935499515032</v>
      </c>
      <c r="K1375">
        <f>IFERROR(tblMoeHistory[[#This Row],[ESD State and Local Amount]]/tblMoeHistory[[#This Row],[Child Count]],0)</f>
        <v>40.318137730358877</v>
      </c>
      <c r="L1375" s="1">
        <f>IFERROR(tblMoeHistory[[#This Row],[State and Local Total Amount]]/tblMoeHistory[[#This Row],[Child Count]],0)</f>
        <v>9532.8116876818622</v>
      </c>
      <c r="M1375">
        <v>0</v>
      </c>
      <c r="N1375" t="s">
        <v>241</v>
      </c>
      <c r="O1375">
        <v>1278457.17</v>
      </c>
      <c r="P1375">
        <v>8475.2900000000009</v>
      </c>
      <c r="Q1375">
        <f>tblMoeHistory[[#This Row],[Amount of IDEA Part B, Section 611 award]]+tblMoeHistory[[#This Row],[Amount of IDEA Part B, Section 619 award]]</f>
        <v>1286932.46</v>
      </c>
      <c r="U13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5" t="str">
        <f>IF(OR(IFERROR(SEARCH("Met",tblMoeHistory[[#This Row],[State and Local Per Capita Result]]),0)&gt;0,IFERROR(SEARCH("Met",tblMoeHistory[[#This Row],[State and Local Total Result]]),0)&gt;0),"Met","Not Met")</f>
        <v>Met</v>
      </c>
    </row>
    <row r="1376" spans="1:22" x14ac:dyDescent="0.35">
      <c r="A1376" t="s">
        <v>215</v>
      </c>
      <c r="B1376">
        <v>2255</v>
      </c>
      <c r="C1376" t="s">
        <v>18</v>
      </c>
      <c r="D1376">
        <v>157</v>
      </c>
      <c r="E1376">
        <v>988742.04</v>
      </c>
      <c r="F1376">
        <v>39548.660000000003</v>
      </c>
      <c r="G1376">
        <f>tblMoeHistory[[#This Row],[LEA State and Local Amount]]+tblMoeHistory[[#This Row],[ESD State and Local Amount]]</f>
        <v>1028290.7000000001</v>
      </c>
      <c r="H1376">
        <v>0</v>
      </c>
      <c r="I1376" t="s">
        <v>241</v>
      </c>
      <c r="J1376" s="44">
        <f>IFERROR(tblMoeHistory[[#This Row],[LEA State and Local Amount]]/tblMoeHistory[[#This Row],[Child Count]],0)</f>
        <v>6297.72</v>
      </c>
      <c r="K1376">
        <f>IFERROR(tblMoeHistory[[#This Row],[ESD State and Local Amount]]/tblMoeHistory[[#This Row],[Child Count]],0)</f>
        <v>251.9022929936306</v>
      </c>
      <c r="L1376" s="1">
        <f>IFERROR(tblMoeHistory[[#This Row],[State and Local Total Amount]]/tblMoeHistory[[#This Row],[Child Count]],0)</f>
        <v>6549.6222929936312</v>
      </c>
      <c r="M1376">
        <v>401604.15</v>
      </c>
      <c r="N1376" t="s">
        <v>240</v>
      </c>
      <c r="O1376">
        <v>197368.22</v>
      </c>
      <c r="P1376">
        <v>0</v>
      </c>
      <c r="Q1376">
        <f>tblMoeHistory[[#This Row],[Amount of IDEA Part B, Section 611 award]]+tblMoeHistory[[#This Row],[Amount of IDEA Part B, Section 619 award]]</f>
        <v>197368.22</v>
      </c>
      <c r="T1376">
        <v>0</v>
      </c>
      <c r="U13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6" t="str">
        <f>IF(OR(IFERROR(SEARCH("Met",tblMoeHistory[[#This Row],[State and Local Per Capita Result]]),0)&gt;0,IFERROR(SEARCH("Met",tblMoeHistory[[#This Row],[State and Local Total Result]]),0)&gt;0),"Met","Not Met")</f>
        <v>Met</v>
      </c>
    </row>
    <row r="1377" spans="1:22" x14ac:dyDescent="0.35">
      <c r="A1377" t="s">
        <v>216</v>
      </c>
      <c r="B1377">
        <v>2002</v>
      </c>
      <c r="C1377" t="s">
        <v>18</v>
      </c>
      <c r="D1377">
        <v>192</v>
      </c>
      <c r="E1377">
        <v>1344930.88</v>
      </c>
      <c r="F1377">
        <v>297214.37</v>
      </c>
      <c r="G1377">
        <f>tblMoeHistory[[#This Row],[LEA State and Local Amount]]+tblMoeHistory[[#This Row],[ESD State and Local Amount]]</f>
        <v>1642145.25</v>
      </c>
      <c r="H1377">
        <v>0</v>
      </c>
      <c r="I1377" t="s">
        <v>242</v>
      </c>
      <c r="J1377" s="44">
        <f>IFERROR(tblMoeHistory[[#This Row],[LEA State and Local Amount]]/tblMoeHistory[[#This Row],[Child Count]],0)</f>
        <v>7004.8483333333324</v>
      </c>
      <c r="K1377">
        <f>IFERROR(tblMoeHistory[[#This Row],[ESD State and Local Amount]]/tblMoeHistory[[#This Row],[Child Count]],0)</f>
        <v>1547.9915104166666</v>
      </c>
      <c r="L1377" s="1">
        <f>IFERROR(tblMoeHistory[[#This Row],[State and Local Total Amount]]/tblMoeHistory[[#This Row],[Child Count]],0)</f>
        <v>8552.83984375</v>
      </c>
      <c r="M1377">
        <v>133698.34</v>
      </c>
      <c r="N1377" t="s">
        <v>240</v>
      </c>
      <c r="O1377">
        <v>268494.33</v>
      </c>
      <c r="P1377">
        <v>4382.38</v>
      </c>
      <c r="Q1377">
        <f>tblMoeHistory[[#This Row],[Amount of IDEA Part B, Section 611 award]]+tblMoeHistory[[#This Row],[Amount of IDEA Part B, Section 619 award]]</f>
        <v>272876.71000000002</v>
      </c>
      <c r="S1377">
        <v>29612.84</v>
      </c>
      <c r="T1377">
        <v>167.3</v>
      </c>
      <c r="U13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7" t="str">
        <f>IF(OR(IFERROR(SEARCH("Met",tblMoeHistory[[#This Row],[State and Local Per Capita Result]]),0)&gt;0,IFERROR(SEARCH("Met",tblMoeHistory[[#This Row],[State and Local Total Result]]),0)&gt;0),"Met","Not Met")</f>
        <v>Met</v>
      </c>
    </row>
    <row r="1378" spans="1:22" x14ac:dyDescent="0.35">
      <c r="A1378" t="s">
        <v>217</v>
      </c>
      <c r="B1378">
        <v>2146</v>
      </c>
      <c r="C1378" t="s">
        <v>18</v>
      </c>
      <c r="D1378">
        <v>820</v>
      </c>
      <c r="E1378">
        <v>7040697.8799999999</v>
      </c>
      <c r="F1378">
        <v>363213.93</v>
      </c>
      <c r="G1378">
        <f>tblMoeHistory[[#This Row],[LEA State and Local Amount]]+tblMoeHistory[[#This Row],[ESD State and Local Amount]]</f>
        <v>7403911.8099999996</v>
      </c>
      <c r="H1378">
        <v>0</v>
      </c>
      <c r="I1378" t="s">
        <v>241</v>
      </c>
      <c r="J1378" s="44">
        <f>IFERROR(tblMoeHistory[[#This Row],[LEA State and Local Amount]]/tblMoeHistory[[#This Row],[Child Count]],0)</f>
        <v>8586.2169268292673</v>
      </c>
      <c r="K1378">
        <f>IFERROR(tblMoeHistory[[#This Row],[ESD State and Local Amount]]/tblMoeHistory[[#This Row],[Child Count]],0)</f>
        <v>442.94381707317075</v>
      </c>
      <c r="L1378" s="1">
        <f>IFERROR(tblMoeHistory[[#This Row],[State and Local Total Amount]]/tblMoeHistory[[#This Row],[Child Count]],0)</f>
        <v>9029.1607439024392</v>
      </c>
      <c r="M1378">
        <v>59172.85</v>
      </c>
      <c r="N1378" t="s">
        <v>240</v>
      </c>
      <c r="O1378">
        <v>840685.4</v>
      </c>
      <c r="P1378">
        <v>3046.56</v>
      </c>
      <c r="Q1378">
        <f>tblMoeHistory[[#This Row],[Amount of IDEA Part B, Section 611 award]]+tblMoeHistory[[#This Row],[Amount of IDEA Part B, Section 619 award]]</f>
        <v>843731.96000000008</v>
      </c>
      <c r="T1378">
        <v>0</v>
      </c>
      <c r="U13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8" t="str">
        <f>IF(OR(IFERROR(SEARCH("Met",tblMoeHistory[[#This Row],[State and Local Per Capita Result]]),0)&gt;0,IFERROR(SEARCH("Met",tblMoeHistory[[#This Row],[State and Local Total Result]]),0)&gt;0),"Met","Not Met")</f>
        <v>Met</v>
      </c>
    </row>
    <row r="1379" spans="1:22" x14ac:dyDescent="0.35">
      <c r="A1379" t="s">
        <v>218</v>
      </c>
      <c r="B1379">
        <v>2251</v>
      </c>
      <c r="C1379" t="s">
        <v>18</v>
      </c>
      <c r="D1379">
        <v>140</v>
      </c>
      <c r="E1379">
        <v>1419424.4</v>
      </c>
      <c r="F1379">
        <v>139430.57999999999</v>
      </c>
      <c r="G1379">
        <f>tblMoeHistory[[#This Row],[LEA State and Local Amount]]+tblMoeHistory[[#This Row],[ESD State and Local Amount]]</f>
        <v>1558854.98</v>
      </c>
      <c r="H1379">
        <v>0</v>
      </c>
      <c r="I1379" t="s">
        <v>241</v>
      </c>
      <c r="J1379" s="44">
        <f>IFERROR(tblMoeHistory[[#This Row],[LEA State and Local Amount]]/tblMoeHistory[[#This Row],[Child Count]],0)</f>
        <v>10138.745714285713</v>
      </c>
      <c r="K1379">
        <f>IFERROR(tblMoeHistory[[#This Row],[ESD State and Local Amount]]/tblMoeHistory[[#This Row],[Child Count]],0)</f>
        <v>995.93271428571416</v>
      </c>
      <c r="L1379" s="1">
        <f>IFERROR(tblMoeHistory[[#This Row],[State and Local Total Amount]]/tblMoeHistory[[#This Row],[Child Count]],0)</f>
        <v>11134.678428571429</v>
      </c>
      <c r="M1379">
        <v>0</v>
      </c>
      <c r="N1379" t="s">
        <v>241</v>
      </c>
      <c r="O1379">
        <v>188814.58</v>
      </c>
      <c r="P1379">
        <v>1791.48</v>
      </c>
      <c r="Q1379">
        <f>tblMoeHistory[[#This Row],[Amount of IDEA Part B, Section 611 award]]+tblMoeHistory[[#This Row],[Amount of IDEA Part B, Section 619 award]]</f>
        <v>190606.06</v>
      </c>
      <c r="U13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9" t="str">
        <f>IF(OR(IFERROR(SEARCH("Met",tblMoeHistory[[#This Row],[State and Local Per Capita Result]]),0)&gt;0,IFERROR(SEARCH("Met",tblMoeHistory[[#This Row],[State and Local Total Result]]),0)&gt;0),"Met","Not Met")</f>
        <v>Met</v>
      </c>
    </row>
    <row r="1380" spans="1:22" x14ac:dyDescent="0.35">
      <c r="A1380" t="s">
        <v>219</v>
      </c>
      <c r="B1380">
        <v>1997</v>
      </c>
      <c r="C1380" t="s">
        <v>18</v>
      </c>
      <c r="D1380">
        <v>39</v>
      </c>
      <c r="E1380">
        <v>253554.79</v>
      </c>
      <c r="F1380">
        <v>59359.3</v>
      </c>
      <c r="G1380">
        <f>tblMoeHistory[[#This Row],[LEA State and Local Amount]]+tblMoeHistory[[#This Row],[ESD State and Local Amount]]</f>
        <v>312914.09000000003</v>
      </c>
      <c r="H1380">
        <v>0</v>
      </c>
      <c r="I1380" t="s">
        <v>241</v>
      </c>
      <c r="J1380" s="44">
        <f>IFERROR(tblMoeHistory[[#This Row],[LEA State and Local Amount]]/tblMoeHistory[[#This Row],[Child Count]],0)</f>
        <v>6501.4048717948717</v>
      </c>
      <c r="K1380">
        <f>IFERROR(tblMoeHistory[[#This Row],[ESD State and Local Amount]]/tblMoeHistory[[#This Row],[Child Count]],0)</f>
        <v>1522.0333333333333</v>
      </c>
      <c r="L1380" s="1">
        <f>IFERROR(tblMoeHistory[[#This Row],[State and Local Total Amount]]/tblMoeHistory[[#This Row],[Child Count]],0)</f>
        <v>8023.4382051282055</v>
      </c>
      <c r="M1380">
        <v>21510.29</v>
      </c>
      <c r="N1380" t="s">
        <v>240</v>
      </c>
      <c r="O1380">
        <v>61548.92</v>
      </c>
      <c r="P1380">
        <v>0</v>
      </c>
      <c r="Q1380">
        <f>tblMoeHistory[[#This Row],[Amount of IDEA Part B, Section 611 award]]+tblMoeHistory[[#This Row],[Amount of IDEA Part B, Section 619 award]]</f>
        <v>61548.92</v>
      </c>
      <c r="T1380">
        <v>0</v>
      </c>
      <c r="U13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0" t="str">
        <f>IF(OR(IFERROR(SEARCH("Met",tblMoeHistory[[#This Row],[State and Local Per Capita Result]]),0)&gt;0,IFERROR(SEARCH("Met",tblMoeHistory[[#This Row],[State and Local Total Result]]),0)&gt;0),"Met","Not Met")</f>
        <v>Met</v>
      </c>
    </row>
    <row r="1381" spans="1:22" x14ac:dyDescent="0.35">
      <c r="A1381" t="s">
        <v>14</v>
      </c>
      <c r="B1381">
        <v>2063</v>
      </c>
      <c r="C1381" t="s">
        <v>16</v>
      </c>
      <c r="D1381">
        <v>1</v>
      </c>
      <c r="E1381">
        <v>4498.1400000000003</v>
      </c>
      <c r="F1381">
        <v>27912.94</v>
      </c>
      <c r="G1381">
        <f>tblMoeHistory[[#This Row],[LEA State and Local Amount]]+tblMoeHistory[[#This Row],[ESD State and Local Amount]]</f>
        <v>32411.079999999998</v>
      </c>
      <c r="H1381">
        <v>0</v>
      </c>
      <c r="I1381" t="s">
        <v>241</v>
      </c>
      <c r="J1381" s="44">
        <f>IFERROR(tblMoeHistory[[#This Row],[LEA State and Local Amount]]/tblMoeHistory[[#This Row],[Child Count]],0)</f>
        <v>4498.1400000000003</v>
      </c>
      <c r="K1381">
        <f>IFERROR(tblMoeHistory[[#This Row],[ESD State and Local Amount]]/tblMoeHistory[[#This Row],[Child Count]],0)</f>
        <v>27912.94</v>
      </c>
      <c r="L1381" s="1">
        <f>IFERROR(tblMoeHistory[[#This Row],[State and Local Total Amount]]/tblMoeHistory[[#This Row],[Child Count]],0)</f>
        <v>32411.079999999998</v>
      </c>
      <c r="M1381">
        <v>0</v>
      </c>
      <c r="N1381" t="s">
        <v>241</v>
      </c>
      <c r="O1381">
        <v>2679.54</v>
      </c>
      <c r="P1381">
        <v>485.19</v>
      </c>
      <c r="Q1381">
        <f>tblMoeHistory[[#This Row],[Amount of IDEA Part B, Section 611 award]]+tblMoeHistory[[#This Row],[Amount of IDEA Part B, Section 619 award]]</f>
        <v>3164.73</v>
      </c>
      <c r="U13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1" t="str">
        <f>IF(OR(IFERROR(SEARCH("Met",tblMoeHistory[[#This Row],[State and Local Per Capita Result]]),0)&gt;0,IFERROR(SEARCH("Met",tblMoeHistory[[#This Row],[State and Local Total Result]]),0)&gt;0),"Met","Not Met")</f>
        <v>Met</v>
      </c>
    </row>
    <row r="1382" spans="1:22" x14ac:dyDescent="0.35">
      <c r="A1382" t="s">
        <v>17</v>
      </c>
      <c r="B1382">
        <v>2113</v>
      </c>
      <c r="C1382" t="s">
        <v>16</v>
      </c>
      <c r="D1382">
        <v>53</v>
      </c>
      <c r="E1382">
        <v>230902.32</v>
      </c>
      <c r="F1382">
        <v>103524.48</v>
      </c>
      <c r="G1382">
        <f>tblMoeHistory[[#This Row],[LEA State and Local Amount]]+tblMoeHistory[[#This Row],[ESD State and Local Amount]]</f>
        <v>334426.8</v>
      </c>
      <c r="H1382">
        <v>5889.87</v>
      </c>
      <c r="I1382" t="s">
        <v>242</v>
      </c>
      <c r="J1382" s="44">
        <f>IFERROR(tblMoeHistory[[#This Row],[LEA State and Local Amount]]/tblMoeHistory[[#This Row],[Child Count]],0)</f>
        <v>4356.6475471698113</v>
      </c>
      <c r="K1382">
        <f>IFERROR(tblMoeHistory[[#This Row],[ESD State and Local Amount]]/tblMoeHistory[[#This Row],[Child Count]],0)</f>
        <v>1953.2920754716981</v>
      </c>
      <c r="L1382" s="1">
        <f>IFERROR(tblMoeHistory[[#This Row],[State and Local Total Amount]]/tblMoeHistory[[#This Row],[Child Count]],0)</f>
        <v>6309.9396226415092</v>
      </c>
      <c r="M1382">
        <v>210605.21</v>
      </c>
      <c r="N1382" t="s">
        <v>240</v>
      </c>
      <c r="O1382">
        <v>57933.43</v>
      </c>
      <c r="P1382">
        <v>0</v>
      </c>
      <c r="Q1382">
        <f>tblMoeHistory[[#This Row],[Amount of IDEA Part B, Section 611 award]]+tblMoeHistory[[#This Row],[Amount of IDEA Part B, Section 619 award]]</f>
        <v>57933.43</v>
      </c>
      <c r="S1382">
        <v>6917</v>
      </c>
      <c r="T1382">
        <v>238.52</v>
      </c>
      <c r="U13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2" t="str">
        <f>IF(OR(IFERROR(SEARCH("Met",tblMoeHistory[[#This Row],[State and Local Per Capita Result]]),0)&gt;0,IFERROR(SEARCH("Met",tblMoeHistory[[#This Row],[State and Local Total Result]]),0)&gt;0),"Met","Not Met")</f>
        <v>Met</v>
      </c>
    </row>
    <row r="1383" spans="1:22" x14ac:dyDescent="0.35">
      <c r="A1383" t="s">
        <v>20</v>
      </c>
      <c r="B1383">
        <v>1899</v>
      </c>
      <c r="C1383" t="s">
        <v>16</v>
      </c>
      <c r="D1383">
        <v>29</v>
      </c>
      <c r="E1383">
        <v>236842.66</v>
      </c>
      <c r="F1383">
        <v>48708</v>
      </c>
      <c r="G1383">
        <f>tblMoeHistory[[#This Row],[LEA State and Local Amount]]+tblMoeHistory[[#This Row],[ESD State and Local Amount]]</f>
        <v>285550.66000000003</v>
      </c>
      <c r="H1383">
        <v>0</v>
      </c>
      <c r="I1383" t="s">
        <v>241</v>
      </c>
      <c r="J1383" s="44">
        <f>IFERROR(tblMoeHistory[[#This Row],[LEA State and Local Amount]]/tblMoeHistory[[#This Row],[Child Count]],0)</f>
        <v>8166.9882758620688</v>
      </c>
      <c r="K1383">
        <f>IFERROR(tblMoeHistory[[#This Row],[ESD State and Local Amount]]/tblMoeHistory[[#This Row],[Child Count]],0)</f>
        <v>1679.5862068965516</v>
      </c>
      <c r="L1383" s="1">
        <f>IFERROR(tblMoeHistory[[#This Row],[State and Local Total Amount]]/tblMoeHistory[[#This Row],[Child Count]],0)</f>
        <v>9846.5744827586223</v>
      </c>
      <c r="M1383">
        <v>65727.16</v>
      </c>
      <c r="N1383" t="s">
        <v>240</v>
      </c>
      <c r="O1383">
        <v>29755.18</v>
      </c>
      <c r="P1383">
        <v>0</v>
      </c>
      <c r="Q1383">
        <f>tblMoeHistory[[#This Row],[Amount of IDEA Part B, Section 611 award]]+tblMoeHistory[[#This Row],[Amount of IDEA Part B, Section 619 award]]</f>
        <v>29755.18</v>
      </c>
      <c r="T1383">
        <v>0</v>
      </c>
      <c r="U13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3" t="str">
        <f>IF(OR(IFERROR(SEARCH("Met",tblMoeHistory[[#This Row],[State and Local Per Capita Result]]),0)&gt;0,IFERROR(SEARCH("Met",tblMoeHistory[[#This Row],[State and Local Total Result]]),0)&gt;0),"Met","Not Met")</f>
        <v>Met</v>
      </c>
    </row>
    <row r="1384" spans="1:22" x14ac:dyDescent="0.35">
      <c r="A1384" t="s">
        <v>21</v>
      </c>
      <c r="B1384">
        <v>2252</v>
      </c>
      <c r="C1384" t="s">
        <v>16</v>
      </c>
      <c r="D1384">
        <v>129</v>
      </c>
      <c r="E1384">
        <v>685435.59</v>
      </c>
      <c r="F1384">
        <v>170528.45</v>
      </c>
      <c r="G1384">
        <f>tblMoeHistory[[#This Row],[LEA State and Local Amount]]+tblMoeHistory[[#This Row],[ESD State and Local Amount]]</f>
        <v>855964.04</v>
      </c>
      <c r="H1384">
        <v>0</v>
      </c>
      <c r="I1384" t="s">
        <v>241</v>
      </c>
      <c r="J1384" s="44">
        <f>IFERROR(tblMoeHistory[[#This Row],[LEA State and Local Amount]]/tblMoeHistory[[#This Row],[Child Count]],0)</f>
        <v>5313.4541860465115</v>
      </c>
      <c r="K1384">
        <f>IFERROR(tblMoeHistory[[#This Row],[ESD State and Local Amount]]/tblMoeHistory[[#This Row],[Child Count]],0)</f>
        <v>1321.925968992248</v>
      </c>
      <c r="L1384" s="1">
        <f>IFERROR(tblMoeHistory[[#This Row],[State and Local Total Amount]]/tblMoeHistory[[#This Row],[Child Count]],0)</f>
        <v>6635.3801550387598</v>
      </c>
      <c r="M1384">
        <v>55647.43</v>
      </c>
      <c r="N1384" t="s">
        <v>240</v>
      </c>
      <c r="O1384">
        <v>147085.35</v>
      </c>
      <c r="P1384">
        <v>3327.03</v>
      </c>
      <c r="Q1384">
        <f>tblMoeHistory[[#This Row],[Amount of IDEA Part B, Section 611 award]]+tblMoeHistory[[#This Row],[Amount of IDEA Part B, Section 619 award]]</f>
        <v>150412.38</v>
      </c>
      <c r="T1384">
        <v>446</v>
      </c>
      <c r="U13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4" t="str">
        <f>IF(OR(IFERROR(SEARCH("Met",tblMoeHistory[[#This Row],[State and Local Per Capita Result]]),0)&gt;0,IFERROR(SEARCH("Met",tblMoeHistory[[#This Row],[State and Local Total Result]]),0)&gt;0),"Met","Not Met")</f>
        <v>Met</v>
      </c>
    </row>
    <row r="1385" spans="1:22" x14ac:dyDescent="0.35">
      <c r="A1385" t="s">
        <v>23</v>
      </c>
      <c r="B1385">
        <v>2111</v>
      </c>
      <c r="C1385" t="s">
        <v>16</v>
      </c>
      <c r="D1385">
        <v>12</v>
      </c>
      <c r="E1385">
        <v>44528.59</v>
      </c>
      <c r="F1385">
        <v>39411.480000000003</v>
      </c>
      <c r="G1385">
        <f>tblMoeHistory[[#This Row],[LEA State and Local Amount]]+tblMoeHistory[[#This Row],[ESD State and Local Amount]]</f>
        <v>83940.07</v>
      </c>
      <c r="H1385">
        <v>28831.919999999998</v>
      </c>
      <c r="I1385" t="s">
        <v>241</v>
      </c>
      <c r="J1385" s="44">
        <f>IFERROR(tblMoeHistory[[#This Row],[LEA State and Local Amount]]/tblMoeHistory[[#This Row],[Child Count]],0)</f>
        <v>3710.7158333333332</v>
      </c>
      <c r="K1385">
        <f>IFERROR(tblMoeHistory[[#This Row],[ESD State and Local Amount]]/tblMoeHistory[[#This Row],[Child Count]],0)</f>
        <v>3284.2900000000004</v>
      </c>
      <c r="L1385" s="1">
        <f>IFERROR(tblMoeHistory[[#This Row],[State and Local Total Amount]]/tblMoeHistory[[#This Row],[Child Count]],0)</f>
        <v>6995.0058333333336</v>
      </c>
      <c r="M1385">
        <v>35035.870000000003</v>
      </c>
      <c r="N1385" t="s">
        <v>241</v>
      </c>
      <c r="O1385">
        <v>20387.89</v>
      </c>
      <c r="P1385">
        <v>0</v>
      </c>
      <c r="Q1385">
        <f>tblMoeHistory[[#This Row],[Amount of IDEA Part B, Section 611 award]]+tblMoeHistory[[#This Row],[Amount of IDEA Part B, Section 619 award]]</f>
        <v>20387.89</v>
      </c>
      <c r="U13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5" t="str">
        <f>IF(OR(IFERROR(SEARCH("Met",tblMoeHistory[[#This Row],[State and Local Per Capita Result]]),0)&gt;0,IFERROR(SEARCH("Met",tblMoeHistory[[#This Row],[State and Local Total Result]]),0)&gt;0),"Met","Not Met")</f>
        <v>Met</v>
      </c>
    </row>
    <row r="1386" spans="1:22" x14ac:dyDescent="0.35">
      <c r="A1386" t="s">
        <v>24</v>
      </c>
      <c r="B1386">
        <v>2005</v>
      </c>
      <c r="C1386" t="s">
        <v>16</v>
      </c>
      <c r="D1386">
        <v>23</v>
      </c>
      <c r="E1386">
        <v>50369</v>
      </c>
      <c r="F1386">
        <v>165091</v>
      </c>
      <c r="G1386">
        <f>tblMoeHistory[[#This Row],[LEA State and Local Amount]]+tblMoeHistory[[#This Row],[ESD State and Local Amount]]</f>
        <v>215460</v>
      </c>
      <c r="H1386">
        <v>0</v>
      </c>
      <c r="I1386" t="s">
        <v>241</v>
      </c>
      <c r="J1386" s="44">
        <f>IFERROR(tblMoeHistory[[#This Row],[LEA State and Local Amount]]/tblMoeHistory[[#This Row],[Child Count]],0)</f>
        <v>2189.9565217391305</v>
      </c>
      <c r="K1386">
        <f>IFERROR(tblMoeHistory[[#This Row],[ESD State and Local Amount]]/tblMoeHistory[[#This Row],[Child Count]],0)</f>
        <v>7177.869565217391</v>
      </c>
      <c r="L1386" s="1">
        <f>IFERROR(tblMoeHistory[[#This Row],[State and Local Total Amount]]/tblMoeHistory[[#This Row],[Child Count]],0)</f>
        <v>9367.826086956522</v>
      </c>
      <c r="M1386">
        <v>0</v>
      </c>
      <c r="N1386" t="s">
        <v>241</v>
      </c>
      <c r="O1386">
        <v>25700.77</v>
      </c>
      <c r="P1386">
        <v>0</v>
      </c>
      <c r="Q1386">
        <f>tblMoeHistory[[#This Row],[Amount of IDEA Part B, Section 611 award]]+tblMoeHistory[[#This Row],[Amount of IDEA Part B, Section 619 award]]</f>
        <v>25700.77</v>
      </c>
      <c r="U13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6" t="str">
        <f>IF(OR(IFERROR(SEARCH("Met",tblMoeHistory[[#This Row],[State and Local Per Capita Result]]),0)&gt;0,IFERROR(SEARCH("Met",tblMoeHistory[[#This Row],[State and Local Total Result]]),0)&gt;0),"Met","Not Met")</f>
        <v>Met</v>
      </c>
    </row>
    <row r="1387" spans="1:22" x14ac:dyDescent="0.35">
      <c r="A1387" t="s">
        <v>25</v>
      </c>
      <c r="B1387">
        <v>2115</v>
      </c>
      <c r="C1387" t="s">
        <v>16</v>
      </c>
      <c r="D1387">
        <v>0</v>
      </c>
      <c r="E1387">
        <v>0</v>
      </c>
      <c r="F1387">
        <v>8960.31</v>
      </c>
      <c r="G1387">
        <f>tblMoeHistory[[#This Row],[LEA State and Local Amount]]+tblMoeHistory[[#This Row],[ESD State and Local Amount]]</f>
        <v>8960.31</v>
      </c>
      <c r="H1387">
        <v>1996.52</v>
      </c>
      <c r="I1387" t="s">
        <v>240</v>
      </c>
      <c r="J1387" s="44">
        <f>IFERROR(tblMoeHistory[[#This Row],[LEA State and Local Amount]]/tblMoeHistory[[#This Row],[Child Count]],0)</f>
        <v>0</v>
      </c>
      <c r="K1387">
        <f>IFERROR(tblMoeHistory[[#This Row],[ESD State and Local Amount]]/tblMoeHistory[[#This Row],[Child Count]],0)</f>
        <v>0</v>
      </c>
      <c r="L1387" s="1">
        <f>IFERROR(tblMoeHistory[[#This Row],[State and Local Total Amount]]/tblMoeHistory[[#This Row],[Child Count]],0)</f>
        <v>0</v>
      </c>
      <c r="M1387">
        <v>0</v>
      </c>
      <c r="N1387" t="s">
        <v>240</v>
      </c>
      <c r="O1387">
        <v>3665.97</v>
      </c>
      <c r="P1387">
        <v>0</v>
      </c>
      <c r="Q1387">
        <f>tblMoeHistory[[#This Row],[Amount of IDEA Part B, Section 611 award]]+tblMoeHistory[[#This Row],[Amount of IDEA Part B, Section 619 award]]</f>
        <v>3665.97</v>
      </c>
      <c r="S1387">
        <v>0</v>
      </c>
      <c r="T1387">
        <v>1250.3499999999999</v>
      </c>
      <c r="U13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7" t="str">
        <f>IF(OR(IFERROR(SEARCH("Met",tblMoeHistory[[#This Row],[State and Local Per Capita Result]]),0)&gt;0,IFERROR(SEARCH("Met",tblMoeHistory[[#This Row],[State and Local Total Result]]),0)&gt;0),"Met","Not Met")</f>
        <v>Not Met</v>
      </c>
    </row>
    <row r="1388" spans="1:22" x14ac:dyDescent="0.35">
      <c r="A1388" t="s">
        <v>26</v>
      </c>
      <c r="B1388">
        <v>2041</v>
      </c>
      <c r="C1388" t="s">
        <v>16</v>
      </c>
      <c r="D1388">
        <v>343</v>
      </c>
      <c r="E1388">
        <v>2735371.51</v>
      </c>
      <c r="F1388">
        <v>465954.57</v>
      </c>
      <c r="G1388">
        <f>tblMoeHistory[[#This Row],[LEA State and Local Amount]]+tblMoeHistory[[#This Row],[ESD State and Local Amount]]</f>
        <v>3201326.0799999996</v>
      </c>
      <c r="H1388">
        <v>0</v>
      </c>
      <c r="I1388" t="s">
        <v>241</v>
      </c>
      <c r="J1388" s="44">
        <f>IFERROR(tblMoeHistory[[#This Row],[LEA State and Local Amount]]/tblMoeHistory[[#This Row],[Child Count]],0)</f>
        <v>7974.8440524781336</v>
      </c>
      <c r="K1388">
        <f>IFERROR(tblMoeHistory[[#This Row],[ESD State and Local Amount]]/tblMoeHistory[[#This Row],[Child Count]],0)</f>
        <v>1358.4681341107871</v>
      </c>
      <c r="L1388" s="1">
        <f>IFERROR(tblMoeHistory[[#This Row],[State and Local Total Amount]]/tblMoeHistory[[#This Row],[Child Count]],0)</f>
        <v>9333.3121865889207</v>
      </c>
      <c r="M1388">
        <v>0</v>
      </c>
      <c r="N1388" t="s">
        <v>241</v>
      </c>
      <c r="O1388">
        <v>494366.77</v>
      </c>
      <c r="P1388">
        <v>6128.75</v>
      </c>
      <c r="Q1388">
        <f>tblMoeHistory[[#This Row],[Amount of IDEA Part B, Section 611 award]]+tblMoeHistory[[#This Row],[Amount of IDEA Part B, Section 619 award]]</f>
        <v>500495.52</v>
      </c>
      <c r="U13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8" t="str">
        <f>IF(OR(IFERROR(SEARCH("Met",tblMoeHistory[[#This Row],[State and Local Per Capita Result]]),0)&gt;0,IFERROR(SEARCH("Met",tblMoeHistory[[#This Row],[State and Local Total Result]]),0)&gt;0),"Met","Not Met")</f>
        <v>Met</v>
      </c>
    </row>
    <row r="1389" spans="1:22" x14ac:dyDescent="0.35">
      <c r="A1389" t="s">
        <v>27</v>
      </c>
      <c r="B1389">
        <v>2051</v>
      </c>
      <c r="C1389" t="s">
        <v>16</v>
      </c>
      <c r="D1389">
        <v>0</v>
      </c>
      <c r="E1389">
        <v>0</v>
      </c>
      <c r="F1389">
        <v>8924.43</v>
      </c>
      <c r="G1389">
        <f>tblMoeHistory[[#This Row],[LEA State and Local Amount]]+tblMoeHistory[[#This Row],[ESD State and Local Amount]]</f>
        <v>8924.43</v>
      </c>
      <c r="H1389">
        <v>0</v>
      </c>
      <c r="I1389" t="s">
        <v>241</v>
      </c>
      <c r="J1389" s="44">
        <f>IFERROR(tblMoeHistory[[#This Row],[LEA State and Local Amount]]/tblMoeHistory[[#This Row],[Child Count]],0)</f>
        <v>0</v>
      </c>
      <c r="K1389">
        <f>IFERROR(tblMoeHistory[[#This Row],[ESD State and Local Amount]]/tblMoeHistory[[#This Row],[Child Count]],0)</f>
        <v>0</v>
      </c>
      <c r="L1389" s="1">
        <f>IFERROR(tblMoeHistory[[#This Row],[State and Local Total Amount]]/tblMoeHistory[[#This Row],[Child Count]],0)</f>
        <v>0</v>
      </c>
      <c r="M1389">
        <v>0</v>
      </c>
      <c r="N1389" t="s">
        <v>241</v>
      </c>
      <c r="O1389">
        <v>557.01</v>
      </c>
      <c r="P1389">
        <v>0</v>
      </c>
      <c r="Q1389">
        <f>tblMoeHistory[[#This Row],[Amount of IDEA Part B, Section 611 award]]+tblMoeHistory[[#This Row],[Amount of IDEA Part B, Section 619 award]]</f>
        <v>557.01</v>
      </c>
      <c r="U13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9" t="str">
        <f>IF(OR(IFERROR(SEARCH("Met",tblMoeHistory[[#This Row],[State and Local Per Capita Result]]),0)&gt;0,IFERROR(SEARCH("Met",tblMoeHistory[[#This Row],[State and Local Total Result]]),0)&gt;0),"Met","Not Met")</f>
        <v>Met</v>
      </c>
    </row>
    <row r="1390" spans="1:22" x14ac:dyDescent="0.35">
      <c r="A1390" t="s">
        <v>28</v>
      </c>
      <c r="B1390">
        <v>1933</v>
      </c>
      <c r="C1390" t="s">
        <v>16</v>
      </c>
      <c r="D1390">
        <v>247</v>
      </c>
      <c r="E1390">
        <v>2651981.15</v>
      </c>
      <c r="F1390">
        <v>477160</v>
      </c>
      <c r="G1390">
        <f>tblMoeHistory[[#This Row],[LEA State and Local Amount]]+tblMoeHistory[[#This Row],[ESD State and Local Amount]]</f>
        <v>3129141.15</v>
      </c>
      <c r="H1390">
        <v>0</v>
      </c>
      <c r="I1390" t="s">
        <v>241</v>
      </c>
      <c r="J1390" s="44">
        <f>IFERROR(tblMoeHistory[[#This Row],[LEA State and Local Amount]]/tblMoeHistory[[#This Row],[Child Count]],0)</f>
        <v>10736.765789473684</v>
      </c>
      <c r="K1390">
        <f>IFERROR(tblMoeHistory[[#This Row],[ESD State and Local Amount]]/tblMoeHistory[[#This Row],[Child Count]],0)</f>
        <v>1931.8218623481782</v>
      </c>
      <c r="L1390" s="1">
        <f>IFERROR(tblMoeHistory[[#This Row],[State and Local Total Amount]]/tblMoeHistory[[#This Row],[Child Count]],0)</f>
        <v>12668.587651821861</v>
      </c>
      <c r="M1390">
        <v>0</v>
      </c>
      <c r="N1390" t="s">
        <v>241</v>
      </c>
      <c r="O1390">
        <v>268005.67</v>
      </c>
      <c r="P1390">
        <v>1634.33</v>
      </c>
      <c r="Q1390">
        <f>tblMoeHistory[[#This Row],[Amount of IDEA Part B, Section 611 award]]+tblMoeHistory[[#This Row],[Amount of IDEA Part B, Section 619 award]]</f>
        <v>269640</v>
      </c>
      <c r="U13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0" t="str">
        <f>IF(OR(IFERROR(SEARCH("Met",tblMoeHistory[[#This Row],[State and Local Per Capita Result]]),0)&gt;0,IFERROR(SEARCH("Met",tblMoeHistory[[#This Row],[State and Local Total Result]]),0)&gt;0),"Met","Not Met")</f>
        <v>Met</v>
      </c>
    </row>
    <row r="1391" spans="1:22" x14ac:dyDescent="0.35">
      <c r="A1391" t="s">
        <v>29</v>
      </c>
      <c r="B1391">
        <v>2208</v>
      </c>
      <c r="C1391" t="s">
        <v>16</v>
      </c>
      <c r="D1391">
        <v>78</v>
      </c>
      <c r="E1391">
        <v>320195.18</v>
      </c>
      <c r="F1391">
        <v>129326.66</v>
      </c>
      <c r="G1391">
        <f>tblMoeHistory[[#This Row],[LEA State and Local Amount]]+tblMoeHistory[[#This Row],[ESD State and Local Amount]]</f>
        <v>449521.83999999997</v>
      </c>
      <c r="H1391">
        <v>0</v>
      </c>
      <c r="I1391" t="s">
        <v>242</v>
      </c>
      <c r="J1391" s="44">
        <f>IFERROR(tblMoeHistory[[#This Row],[LEA State and Local Amount]]/tblMoeHistory[[#This Row],[Child Count]],0)</f>
        <v>4105.0664102564106</v>
      </c>
      <c r="K1391">
        <f>IFERROR(tblMoeHistory[[#This Row],[ESD State and Local Amount]]/tblMoeHistory[[#This Row],[Child Count]],0)</f>
        <v>1658.0341025641026</v>
      </c>
      <c r="L1391" s="1">
        <f>IFERROR(tblMoeHistory[[#This Row],[State and Local Total Amount]]/tblMoeHistory[[#This Row],[Child Count]],0)</f>
        <v>5763.1005128205124</v>
      </c>
      <c r="M1391">
        <v>0</v>
      </c>
      <c r="N1391" t="s">
        <v>242</v>
      </c>
      <c r="O1391">
        <v>97583.07</v>
      </c>
      <c r="P1391">
        <v>1617.31</v>
      </c>
      <c r="Q1391">
        <f>tblMoeHistory[[#This Row],[Amount of IDEA Part B, Section 611 award]]+tblMoeHistory[[#This Row],[Amount of IDEA Part B, Section 619 award]]</f>
        <v>99200.38</v>
      </c>
      <c r="S1391">
        <v>45237.5</v>
      </c>
      <c r="T1391">
        <v>1749.28</v>
      </c>
      <c r="U13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1" t="str">
        <f>IF(OR(IFERROR(SEARCH("Met",tblMoeHistory[[#This Row],[State and Local Per Capita Result]]),0)&gt;0,IFERROR(SEARCH("Met",tblMoeHistory[[#This Row],[State and Local Total Result]]),0)&gt;0),"Met","Not Met")</f>
        <v>Met</v>
      </c>
    </row>
    <row r="1392" spans="1:22" x14ac:dyDescent="0.35">
      <c r="A1392" t="s">
        <v>30</v>
      </c>
      <c r="B1392">
        <v>1894</v>
      </c>
      <c r="C1392" t="s">
        <v>16</v>
      </c>
      <c r="D1392">
        <v>383</v>
      </c>
      <c r="E1392">
        <v>2410858.56</v>
      </c>
      <c r="F1392">
        <v>0</v>
      </c>
      <c r="G1392">
        <f>tblMoeHistory[[#This Row],[LEA State and Local Amount]]+tblMoeHistory[[#This Row],[ESD State and Local Amount]]</f>
        <v>2410858.56</v>
      </c>
      <c r="H1392">
        <v>0</v>
      </c>
      <c r="I1392" t="s">
        <v>241</v>
      </c>
      <c r="J1392" s="44">
        <f>IFERROR(tblMoeHistory[[#This Row],[LEA State and Local Amount]]/tblMoeHistory[[#This Row],[Child Count]],0)</f>
        <v>6294.6698694516972</v>
      </c>
      <c r="K1392">
        <f>IFERROR(tblMoeHistory[[#This Row],[ESD State and Local Amount]]/tblMoeHistory[[#This Row],[Child Count]],0)</f>
        <v>0</v>
      </c>
      <c r="L1392" s="1">
        <f>IFERROR(tblMoeHistory[[#This Row],[State and Local Total Amount]]/tblMoeHistory[[#This Row],[Child Count]],0)</f>
        <v>6294.6698694516972</v>
      </c>
      <c r="M1392">
        <v>528326.85</v>
      </c>
      <c r="N1392" t="s">
        <v>240</v>
      </c>
      <c r="O1392">
        <v>500242.62</v>
      </c>
      <c r="P1392">
        <v>5562.79</v>
      </c>
      <c r="Q1392">
        <f>tblMoeHistory[[#This Row],[Amount of IDEA Part B, Section 611 award]]+tblMoeHistory[[#This Row],[Amount of IDEA Part B, Section 619 award]]</f>
        <v>505805.41</v>
      </c>
      <c r="T1392">
        <v>0</v>
      </c>
      <c r="U13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2" t="str">
        <f>IF(OR(IFERROR(SEARCH("Met",tblMoeHistory[[#This Row],[State and Local Per Capita Result]]),0)&gt;0,IFERROR(SEARCH("Met",tblMoeHistory[[#This Row],[State and Local Total Result]]),0)&gt;0),"Met","Not Met")</f>
        <v>Met</v>
      </c>
    </row>
    <row r="1393" spans="1:22" x14ac:dyDescent="0.35">
      <c r="A1393" t="s">
        <v>32</v>
      </c>
      <c r="B1393">
        <v>1969</v>
      </c>
      <c r="C1393" t="s">
        <v>16</v>
      </c>
      <c r="D1393">
        <v>102</v>
      </c>
      <c r="E1393">
        <v>1094357.51</v>
      </c>
      <c r="F1393">
        <v>311058.48</v>
      </c>
      <c r="G1393">
        <f>tblMoeHistory[[#This Row],[LEA State and Local Amount]]+tblMoeHistory[[#This Row],[ESD State and Local Amount]]</f>
        <v>1405415.99</v>
      </c>
      <c r="H1393">
        <v>0</v>
      </c>
      <c r="I1393" t="s">
        <v>241</v>
      </c>
      <c r="J1393" s="44">
        <f>IFERROR(tblMoeHistory[[#This Row],[LEA State and Local Amount]]/tblMoeHistory[[#This Row],[Child Count]],0)</f>
        <v>10728.995196078431</v>
      </c>
      <c r="K1393">
        <f>IFERROR(tblMoeHistory[[#This Row],[ESD State and Local Amount]]/tblMoeHistory[[#This Row],[Child Count]],0)</f>
        <v>3049.5929411764705</v>
      </c>
      <c r="L1393" s="1">
        <f>IFERROR(tblMoeHistory[[#This Row],[State and Local Total Amount]]/tblMoeHistory[[#This Row],[Child Count]],0)</f>
        <v>13778.588137254901</v>
      </c>
      <c r="M1393">
        <v>0</v>
      </c>
      <c r="N1393" t="s">
        <v>241</v>
      </c>
      <c r="O1393">
        <v>146508.6</v>
      </c>
      <c r="P1393">
        <v>1067.42</v>
      </c>
      <c r="Q1393">
        <f>tblMoeHistory[[#This Row],[Amount of IDEA Part B, Section 611 award]]+tblMoeHistory[[#This Row],[Amount of IDEA Part B, Section 619 award]]</f>
        <v>147576.02000000002</v>
      </c>
      <c r="U13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3" t="str">
        <f>IF(OR(IFERROR(SEARCH("Met",tblMoeHistory[[#This Row],[State and Local Per Capita Result]]),0)&gt;0,IFERROR(SEARCH("Met",tblMoeHistory[[#This Row],[State and Local Total Result]]),0)&gt;0),"Met","Not Met")</f>
        <v>Met</v>
      </c>
    </row>
    <row r="1394" spans="1:22" x14ac:dyDescent="0.35">
      <c r="A1394" t="s">
        <v>33</v>
      </c>
      <c r="B1394">
        <v>2240</v>
      </c>
      <c r="C1394" t="s">
        <v>16</v>
      </c>
      <c r="D1394">
        <v>165</v>
      </c>
      <c r="E1394">
        <v>1705276.95</v>
      </c>
      <c r="F1394">
        <v>348673</v>
      </c>
      <c r="G1394">
        <f>tblMoeHistory[[#This Row],[LEA State and Local Amount]]+tblMoeHistory[[#This Row],[ESD State and Local Amount]]</f>
        <v>2053949.95</v>
      </c>
      <c r="H1394">
        <v>0</v>
      </c>
      <c r="I1394" t="s">
        <v>241</v>
      </c>
      <c r="J1394" s="44">
        <f>IFERROR(tblMoeHistory[[#This Row],[LEA State and Local Amount]]/tblMoeHistory[[#This Row],[Child Count]],0)</f>
        <v>10335.011818181818</v>
      </c>
      <c r="K1394">
        <f>IFERROR(tblMoeHistory[[#This Row],[ESD State and Local Amount]]/tblMoeHistory[[#This Row],[Child Count]],0)</f>
        <v>2113.1696969696968</v>
      </c>
      <c r="L1394" s="1">
        <f>IFERROR(tblMoeHistory[[#This Row],[State and Local Total Amount]]/tblMoeHistory[[#This Row],[Child Count]],0)</f>
        <v>12448.181515151515</v>
      </c>
      <c r="M1394">
        <v>0</v>
      </c>
      <c r="N1394" t="s">
        <v>241</v>
      </c>
      <c r="O1394">
        <v>171258.09</v>
      </c>
      <c r="P1394">
        <v>391.89</v>
      </c>
      <c r="Q1394">
        <f>tblMoeHistory[[#This Row],[Amount of IDEA Part B, Section 611 award]]+tblMoeHistory[[#This Row],[Amount of IDEA Part B, Section 619 award]]</f>
        <v>171649.98</v>
      </c>
      <c r="U13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4" t="str">
        <f>IF(OR(IFERROR(SEARCH("Met",tblMoeHistory[[#This Row],[State and Local Per Capita Result]]),0)&gt;0,IFERROR(SEARCH("Met",tblMoeHistory[[#This Row],[State and Local Total Result]]),0)&gt;0),"Met","Not Met")</f>
        <v>Met</v>
      </c>
    </row>
    <row r="1395" spans="1:22" x14ac:dyDescent="0.35">
      <c r="A1395" t="s">
        <v>34</v>
      </c>
      <c r="B1395">
        <v>2243</v>
      </c>
      <c r="C1395" t="s">
        <v>16</v>
      </c>
      <c r="D1395">
        <v>4893</v>
      </c>
      <c r="E1395">
        <v>55719745.780000001</v>
      </c>
      <c r="F1395">
        <v>4294463</v>
      </c>
      <c r="G1395">
        <f>tblMoeHistory[[#This Row],[LEA State and Local Amount]]+tblMoeHistory[[#This Row],[ESD State and Local Amount]]</f>
        <v>60014208.780000001</v>
      </c>
      <c r="H1395">
        <v>0</v>
      </c>
      <c r="I1395" t="s">
        <v>241</v>
      </c>
      <c r="J1395" s="44">
        <f>IFERROR(tblMoeHistory[[#This Row],[LEA State and Local Amount]]/tblMoeHistory[[#This Row],[Child Count]],0)</f>
        <v>11387.644753729819</v>
      </c>
      <c r="K1395">
        <f>IFERROR(tblMoeHistory[[#This Row],[ESD State and Local Amount]]/tblMoeHistory[[#This Row],[Child Count]],0)</f>
        <v>877.67484161046389</v>
      </c>
      <c r="L1395" s="1">
        <f>IFERROR(tblMoeHistory[[#This Row],[State and Local Total Amount]]/tblMoeHistory[[#This Row],[Child Count]],0)</f>
        <v>12265.319595340283</v>
      </c>
      <c r="M1395">
        <v>0</v>
      </c>
      <c r="N1395" t="s">
        <v>241</v>
      </c>
      <c r="O1395">
        <v>6793363.7599999998</v>
      </c>
      <c r="P1395">
        <v>25712.01</v>
      </c>
      <c r="Q1395">
        <f>tblMoeHistory[[#This Row],[Amount of IDEA Part B, Section 611 award]]+tblMoeHistory[[#This Row],[Amount of IDEA Part B, Section 619 award]]</f>
        <v>6819075.7699999996</v>
      </c>
      <c r="U13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5" t="str">
        <f>IF(OR(IFERROR(SEARCH("Met",tblMoeHistory[[#This Row],[State and Local Per Capita Result]]),0)&gt;0,IFERROR(SEARCH("Met",tblMoeHistory[[#This Row],[State and Local Total Result]]),0)&gt;0),"Met","Not Met")</f>
        <v>Met</v>
      </c>
    </row>
    <row r="1396" spans="1:22" x14ac:dyDescent="0.35">
      <c r="A1396" t="s">
        <v>35</v>
      </c>
      <c r="B1396">
        <v>1976</v>
      </c>
      <c r="C1396" t="s">
        <v>16</v>
      </c>
      <c r="D1396">
        <v>1852</v>
      </c>
      <c r="E1396">
        <v>20599131</v>
      </c>
      <c r="F1396">
        <v>2416847.6</v>
      </c>
      <c r="G1396">
        <f>tblMoeHistory[[#This Row],[LEA State and Local Amount]]+tblMoeHistory[[#This Row],[ESD State and Local Amount]]</f>
        <v>23015978.600000001</v>
      </c>
      <c r="H1396">
        <v>0</v>
      </c>
      <c r="I1396" t="s">
        <v>241</v>
      </c>
      <c r="J1396" s="44">
        <f>IFERROR(tblMoeHistory[[#This Row],[LEA State and Local Amount]]/tblMoeHistory[[#This Row],[Child Count]],0)</f>
        <v>11122.640928725701</v>
      </c>
      <c r="K1396">
        <f>IFERROR(tblMoeHistory[[#This Row],[ESD State and Local Amount]]/tblMoeHistory[[#This Row],[Child Count]],0)</f>
        <v>1304.9933045356372</v>
      </c>
      <c r="L1396" s="1">
        <f>IFERROR(tblMoeHistory[[#This Row],[State and Local Total Amount]]/tblMoeHistory[[#This Row],[Child Count]],0)</f>
        <v>12427.63423326134</v>
      </c>
      <c r="M1396">
        <v>0</v>
      </c>
      <c r="N1396" t="s">
        <v>241</v>
      </c>
      <c r="O1396">
        <v>2715113.56</v>
      </c>
      <c r="P1396">
        <v>15202.7</v>
      </c>
      <c r="Q1396">
        <f>tblMoeHistory[[#This Row],[Amount of IDEA Part B, Section 611 award]]+tblMoeHistory[[#This Row],[Amount of IDEA Part B, Section 619 award]]</f>
        <v>2730316.2600000002</v>
      </c>
      <c r="U13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6" t="str">
        <f>IF(OR(IFERROR(SEARCH("Met",tblMoeHistory[[#This Row],[State and Local Per Capita Result]]),0)&gt;0,IFERROR(SEARCH("Met",tblMoeHistory[[#This Row],[State and Local Total Result]]),0)&gt;0),"Met","Not Met")</f>
        <v>Met</v>
      </c>
    </row>
    <row r="1397" spans="1:22" x14ac:dyDescent="0.35">
      <c r="A1397" t="s">
        <v>36</v>
      </c>
      <c r="B1397">
        <v>2088</v>
      </c>
      <c r="C1397" t="s">
        <v>16</v>
      </c>
      <c r="D1397">
        <v>1005</v>
      </c>
      <c r="E1397">
        <v>9558077.9700000007</v>
      </c>
      <c r="F1397">
        <v>1124586</v>
      </c>
      <c r="G1397">
        <f>tblMoeHistory[[#This Row],[LEA State and Local Amount]]+tblMoeHistory[[#This Row],[ESD State and Local Amount]]</f>
        <v>10682663.970000001</v>
      </c>
      <c r="H1397">
        <v>0</v>
      </c>
      <c r="I1397" t="s">
        <v>241</v>
      </c>
      <c r="J1397" s="44">
        <f>IFERROR(tblMoeHistory[[#This Row],[LEA State and Local Amount]]/tblMoeHistory[[#This Row],[Child Count]],0)</f>
        <v>9510.5253432835834</v>
      </c>
      <c r="K1397">
        <f>IFERROR(tblMoeHistory[[#This Row],[ESD State and Local Amount]]/tblMoeHistory[[#This Row],[Child Count]],0)</f>
        <v>1118.9910447761195</v>
      </c>
      <c r="L1397" s="1">
        <f>IFERROR(tblMoeHistory[[#This Row],[State and Local Total Amount]]/tblMoeHistory[[#This Row],[Child Count]],0)</f>
        <v>10629.516388059703</v>
      </c>
      <c r="M1397">
        <v>117693.96</v>
      </c>
      <c r="N1397" t="s">
        <v>240</v>
      </c>
      <c r="O1397">
        <v>979378.24</v>
      </c>
      <c r="P1397">
        <v>6052.4</v>
      </c>
      <c r="Q1397">
        <f>tblMoeHistory[[#This Row],[Amount of IDEA Part B, Section 611 award]]+tblMoeHistory[[#This Row],[Amount of IDEA Part B, Section 619 award]]</f>
        <v>985430.64</v>
      </c>
      <c r="T1397">
        <v>0</v>
      </c>
      <c r="U13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7" t="str">
        <f>IF(OR(IFERROR(SEARCH("Met",tblMoeHistory[[#This Row],[State and Local Per Capita Result]]),0)&gt;0,IFERROR(SEARCH("Met",tblMoeHistory[[#This Row],[State and Local Total Result]]),0)&gt;0),"Met","Not Met")</f>
        <v>Met</v>
      </c>
    </row>
    <row r="1398" spans="1:22" x14ac:dyDescent="0.35">
      <c r="A1398" t="s">
        <v>37</v>
      </c>
      <c r="B1398">
        <v>2095</v>
      </c>
      <c r="C1398" t="s">
        <v>16</v>
      </c>
      <c r="D1398">
        <v>43</v>
      </c>
      <c r="E1398">
        <v>364316.29</v>
      </c>
      <c r="F1398">
        <v>51902</v>
      </c>
      <c r="G1398">
        <f>tblMoeHistory[[#This Row],[LEA State and Local Amount]]+tblMoeHistory[[#This Row],[ESD State and Local Amount]]</f>
        <v>416218.29</v>
      </c>
      <c r="H1398">
        <v>0</v>
      </c>
      <c r="I1398" t="s">
        <v>241</v>
      </c>
      <c r="J1398" s="44">
        <f>IFERROR(tblMoeHistory[[#This Row],[LEA State and Local Amount]]/tblMoeHistory[[#This Row],[Child Count]],0)</f>
        <v>8472.4718604651152</v>
      </c>
      <c r="K1398">
        <f>IFERROR(tblMoeHistory[[#This Row],[ESD State and Local Amount]]/tblMoeHistory[[#This Row],[Child Count]],0)</f>
        <v>1207.0232558139535</v>
      </c>
      <c r="L1398" s="1">
        <f>IFERROR(tblMoeHistory[[#This Row],[State and Local Total Amount]]/tblMoeHistory[[#This Row],[Child Count]],0)</f>
        <v>9679.4951162790694</v>
      </c>
      <c r="M1398">
        <v>0</v>
      </c>
      <c r="N1398" t="s">
        <v>241</v>
      </c>
      <c r="O1398">
        <v>47747.77</v>
      </c>
      <c r="P1398">
        <v>242.6</v>
      </c>
      <c r="Q1398">
        <f>tblMoeHistory[[#This Row],[Amount of IDEA Part B, Section 611 award]]+tblMoeHistory[[#This Row],[Amount of IDEA Part B, Section 619 award]]</f>
        <v>47990.369999999995</v>
      </c>
      <c r="U13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8" t="str">
        <f>IF(OR(IFERROR(SEARCH("Met",tblMoeHistory[[#This Row],[State and Local Per Capita Result]]),0)&gt;0,IFERROR(SEARCH("Met",tblMoeHistory[[#This Row],[State and Local Total Result]]),0)&gt;0),"Met","Not Met")</f>
        <v>Met</v>
      </c>
    </row>
    <row r="1399" spans="1:22" x14ac:dyDescent="0.35">
      <c r="A1399" t="s">
        <v>38</v>
      </c>
      <c r="B1399">
        <v>2052</v>
      </c>
      <c r="C1399" t="s">
        <v>16</v>
      </c>
      <c r="D1399">
        <v>2</v>
      </c>
      <c r="E1399">
        <v>0</v>
      </c>
      <c r="F1399">
        <v>17778.39</v>
      </c>
      <c r="G1399">
        <f>tblMoeHistory[[#This Row],[LEA State and Local Amount]]+tblMoeHistory[[#This Row],[ESD State and Local Amount]]</f>
        <v>17778.39</v>
      </c>
      <c r="H1399">
        <v>0</v>
      </c>
      <c r="I1399" t="s">
        <v>241</v>
      </c>
      <c r="J1399" s="44">
        <f>IFERROR(tblMoeHistory[[#This Row],[LEA State and Local Amount]]/tblMoeHistory[[#This Row],[Child Count]],0)</f>
        <v>0</v>
      </c>
      <c r="K1399">
        <f>IFERROR(tblMoeHistory[[#This Row],[ESD State and Local Amount]]/tblMoeHistory[[#This Row],[Child Count]],0)</f>
        <v>8889.1949999999997</v>
      </c>
      <c r="L1399" s="1">
        <f>IFERROR(tblMoeHistory[[#This Row],[State and Local Total Amount]]/tblMoeHistory[[#This Row],[Child Count]],0)</f>
        <v>8889.1949999999997</v>
      </c>
      <c r="M1399">
        <v>0</v>
      </c>
      <c r="N1399" t="s">
        <v>241</v>
      </c>
      <c r="O1399">
        <v>4140.0200000000004</v>
      </c>
      <c r="P1399">
        <v>0</v>
      </c>
      <c r="Q1399">
        <f>tblMoeHistory[[#This Row],[Amount of IDEA Part B, Section 611 award]]+tblMoeHistory[[#This Row],[Amount of IDEA Part B, Section 619 award]]</f>
        <v>4140.0200000000004</v>
      </c>
      <c r="U13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9" t="str">
        <f>IF(OR(IFERROR(SEARCH("Met",tblMoeHistory[[#This Row],[State and Local Per Capita Result]]),0)&gt;0,IFERROR(SEARCH("Met",tblMoeHistory[[#This Row],[State and Local Total Result]]),0)&gt;0),"Met","Not Met")</f>
        <v>Met</v>
      </c>
    </row>
    <row r="1400" spans="1:22" x14ac:dyDescent="0.35">
      <c r="A1400" t="s">
        <v>39</v>
      </c>
      <c r="B1400">
        <v>1974</v>
      </c>
      <c r="C1400" t="s">
        <v>16</v>
      </c>
      <c r="D1400">
        <v>219</v>
      </c>
      <c r="E1400">
        <v>2059888.28</v>
      </c>
      <c r="F1400">
        <v>39209</v>
      </c>
      <c r="G1400">
        <f>tblMoeHistory[[#This Row],[LEA State and Local Amount]]+tblMoeHistory[[#This Row],[ESD State and Local Amount]]</f>
        <v>2099097.2800000003</v>
      </c>
      <c r="H1400">
        <v>0</v>
      </c>
      <c r="I1400" t="s">
        <v>241</v>
      </c>
      <c r="J1400" s="44">
        <f>IFERROR(tblMoeHistory[[#This Row],[LEA State and Local Amount]]/tblMoeHistory[[#This Row],[Child Count]],0)</f>
        <v>9405.8825570776262</v>
      </c>
      <c r="K1400">
        <f>IFERROR(tblMoeHistory[[#This Row],[ESD State and Local Amount]]/tblMoeHistory[[#This Row],[Child Count]],0)</f>
        <v>179.03652968036531</v>
      </c>
      <c r="L1400" s="1">
        <f>IFERROR(tblMoeHistory[[#This Row],[State and Local Total Amount]]/tblMoeHistory[[#This Row],[Child Count]],0)</f>
        <v>9584.9190867579928</v>
      </c>
      <c r="M1400">
        <v>0</v>
      </c>
      <c r="N1400" t="s">
        <v>241</v>
      </c>
      <c r="O1400">
        <v>282221.18</v>
      </c>
      <c r="P1400">
        <v>3939.76</v>
      </c>
      <c r="Q1400">
        <f>tblMoeHistory[[#This Row],[Amount of IDEA Part B, Section 611 award]]+tblMoeHistory[[#This Row],[Amount of IDEA Part B, Section 619 award]]</f>
        <v>286160.94</v>
      </c>
      <c r="U14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0" t="str">
        <f>IF(OR(IFERROR(SEARCH("Met",tblMoeHistory[[#This Row],[State and Local Per Capita Result]]),0)&gt;0,IFERROR(SEARCH("Met",tblMoeHistory[[#This Row],[State and Local Total Result]]),0)&gt;0),"Met","Not Met")</f>
        <v>Met</v>
      </c>
    </row>
    <row r="1401" spans="1:22" x14ac:dyDescent="0.35">
      <c r="A1401" t="s">
        <v>40</v>
      </c>
      <c r="B1401">
        <v>1896</v>
      </c>
      <c r="C1401" t="s">
        <v>16</v>
      </c>
      <c r="D1401">
        <v>7</v>
      </c>
      <c r="E1401">
        <v>47368</v>
      </c>
      <c r="F1401">
        <v>11319.96</v>
      </c>
      <c r="G1401">
        <f>tblMoeHistory[[#This Row],[LEA State and Local Amount]]+tblMoeHistory[[#This Row],[ESD State and Local Amount]]</f>
        <v>58687.96</v>
      </c>
      <c r="H1401">
        <v>2725.71</v>
      </c>
      <c r="I1401" t="s">
        <v>240</v>
      </c>
      <c r="J1401" s="44">
        <f>IFERROR(tblMoeHistory[[#This Row],[LEA State and Local Amount]]/tblMoeHistory[[#This Row],[Child Count]],0)</f>
        <v>6766.8571428571431</v>
      </c>
      <c r="K1401">
        <f>IFERROR(tblMoeHistory[[#This Row],[ESD State and Local Amount]]/tblMoeHistory[[#This Row],[Child Count]],0)</f>
        <v>1617.1371428571426</v>
      </c>
      <c r="L1401" s="1">
        <f>IFERROR(tblMoeHistory[[#This Row],[State and Local Total Amount]]/tblMoeHistory[[#This Row],[Child Count]],0)</f>
        <v>8383.9942857142851</v>
      </c>
      <c r="M1401">
        <v>369353.15</v>
      </c>
      <c r="N1401" t="s">
        <v>240</v>
      </c>
      <c r="O1401">
        <v>11349.66</v>
      </c>
      <c r="P1401">
        <v>0</v>
      </c>
      <c r="Q1401">
        <f>tblMoeHistory[[#This Row],[Amount of IDEA Part B, Section 611 award]]+tblMoeHistory[[#This Row],[Amount of IDEA Part B, Section 619 award]]</f>
        <v>11349.66</v>
      </c>
      <c r="S1401">
        <v>0</v>
      </c>
      <c r="T1401">
        <v>0</v>
      </c>
      <c r="U14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2725.71</v>
      </c>
      <c r="V1401" t="str">
        <f>IF(OR(IFERROR(SEARCH("Met",tblMoeHistory[[#This Row],[State and Local Per Capita Result]]),0)&gt;0,IFERROR(SEARCH("Met",tblMoeHistory[[#This Row],[State and Local Total Result]]),0)&gt;0),"Met","Not Met")</f>
        <v>Not Met</v>
      </c>
    </row>
    <row r="1402" spans="1:22" x14ac:dyDescent="0.35">
      <c r="A1402" t="s">
        <v>42</v>
      </c>
      <c r="B1402">
        <v>2046</v>
      </c>
      <c r="C1402" t="s">
        <v>16</v>
      </c>
      <c r="D1402">
        <v>52</v>
      </c>
      <c r="E1402">
        <v>274752.18</v>
      </c>
      <c r="F1402">
        <v>99666.57</v>
      </c>
      <c r="G1402">
        <f>tblMoeHistory[[#This Row],[LEA State and Local Amount]]+tblMoeHistory[[#This Row],[ESD State and Local Amount]]</f>
        <v>374418.75</v>
      </c>
      <c r="H1402">
        <v>0</v>
      </c>
      <c r="I1402" t="s">
        <v>241</v>
      </c>
      <c r="J1402" s="44">
        <f>IFERROR(tblMoeHistory[[#This Row],[LEA State and Local Amount]]/tblMoeHistory[[#This Row],[Child Count]],0)</f>
        <v>5283.6957692307687</v>
      </c>
      <c r="K1402">
        <f>IFERROR(tblMoeHistory[[#This Row],[ESD State and Local Amount]]/tblMoeHistory[[#This Row],[Child Count]],0)</f>
        <v>1916.6648076923079</v>
      </c>
      <c r="L1402" s="1">
        <f>IFERROR(tblMoeHistory[[#This Row],[State and Local Total Amount]]/tblMoeHistory[[#This Row],[Child Count]],0)</f>
        <v>7200.3605769230771</v>
      </c>
      <c r="M1402">
        <v>133574.32</v>
      </c>
      <c r="N1402" t="s">
        <v>240</v>
      </c>
      <c r="O1402">
        <v>27420.560000000001</v>
      </c>
      <c r="P1402">
        <v>121.3</v>
      </c>
      <c r="Q1402">
        <f>tblMoeHistory[[#This Row],[Amount of IDEA Part B, Section 611 award]]+tblMoeHistory[[#This Row],[Amount of IDEA Part B, Section 619 award]]</f>
        <v>27541.86</v>
      </c>
      <c r="T1402">
        <v>0</v>
      </c>
      <c r="U14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2" t="str">
        <f>IF(OR(IFERROR(SEARCH("Met",tblMoeHistory[[#This Row],[State and Local Per Capita Result]]),0)&gt;0,IFERROR(SEARCH("Met",tblMoeHistory[[#This Row],[State and Local Total Result]]),0)&gt;0),"Met","Not Met")</f>
        <v>Met</v>
      </c>
    </row>
    <row r="1403" spans="1:22" x14ac:dyDescent="0.35">
      <c r="A1403" t="s">
        <v>43</v>
      </c>
      <c r="B1403">
        <v>1995</v>
      </c>
      <c r="C1403" t="s">
        <v>16</v>
      </c>
      <c r="D1403">
        <v>34</v>
      </c>
      <c r="E1403">
        <v>186659.53</v>
      </c>
      <c r="F1403">
        <v>43087.05</v>
      </c>
      <c r="G1403">
        <f>tblMoeHistory[[#This Row],[LEA State and Local Amount]]+tblMoeHistory[[#This Row],[ESD State and Local Amount]]</f>
        <v>229746.58000000002</v>
      </c>
      <c r="H1403">
        <v>14963.41</v>
      </c>
      <c r="I1403" t="s">
        <v>240</v>
      </c>
      <c r="J1403" s="44">
        <f>IFERROR(tblMoeHistory[[#This Row],[LEA State and Local Amount]]/tblMoeHistory[[#This Row],[Child Count]],0)</f>
        <v>5489.9861764705884</v>
      </c>
      <c r="K1403">
        <f>IFERROR(tblMoeHistory[[#This Row],[ESD State and Local Amount]]/tblMoeHistory[[#This Row],[Child Count]],0)</f>
        <v>1267.2661764705883</v>
      </c>
      <c r="L1403" s="1">
        <f>IFERROR(tblMoeHistory[[#This Row],[State and Local Total Amount]]/tblMoeHistory[[#This Row],[Child Count]],0)</f>
        <v>6757.2523529411774</v>
      </c>
      <c r="M1403">
        <v>38645.019999999997</v>
      </c>
      <c r="N1403" t="s">
        <v>240</v>
      </c>
      <c r="O1403">
        <v>41931.49</v>
      </c>
      <c r="P1403">
        <v>0</v>
      </c>
      <c r="Q1403">
        <f>tblMoeHistory[[#This Row],[Amount of IDEA Part B, Section 611 award]]+tblMoeHistory[[#This Row],[Amount of IDEA Part B, Section 619 award]]</f>
        <v>41931.49</v>
      </c>
      <c r="S1403">
        <v>0</v>
      </c>
      <c r="T1403">
        <v>0</v>
      </c>
      <c r="U14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14963.41</v>
      </c>
      <c r="V1403" t="str">
        <f>IF(OR(IFERROR(SEARCH("Met",tblMoeHistory[[#This Row],[State and Local Per Capita Result]]),0)&gt;0,IFERROR(SEARCH("Met",tblMoeHistory[[#This Row],[State and Local Total Result]]),0)&gt;0),"Met","Not Met")</f>
        <v>Not Met</v>
      </c>
    </row>
    <row r="1404" spans="1:22" x14ac:dyDescent="0.35">
      <c r="A1404" t="s">
        <v>44</v>
      </c>
      <c r="B1404">
        <v>1929</v>
      </c>
      <c r="C1404" t="s">
        <v>16</v>
      </c>
      <c r="D1404">
        <v>560</v>
      </c>
      <c r="E1404">
        <v>6290761.3099999996</v>
      </c>
      <c r="F1404">
        <v>603900</v>
      </c>
      <c r="G1404">
        <f>tblMoeHistory[[#This Row],[LEA State and Local Amount]]+tblMoeHistory[[#This Row],[ESD State and Local Amount]]</f>
        <v>6894661.3099999996</v>
      </c>
      <c r="H1404">
        <v>0</v>
      </c>
      <c r="I1404" t="s">
        <v>241</v>
      </c>
      <c r="J1404" s="44">
        <f>IFERROR(tblMoeHistory[[#This Row],[LEA State and Local Amount]]/tblMoeHistory[[#This Row],[Child Count]],0)</f>
        <v>11233.502339285713</v>
      </c>
      <c r="K1404">
        <f>IFERROR(tblMoeHistory[[#This Row],[ESD State and Local Amount]]/tblMoeHistory[[#This Row],[Child Count]],0)</f>
        <v>1078.3928571428571</v>
      </c>
      <c r="L1404" s="1">
        <f>IFERROR(tblMoeHistory[[#This Row],[State and Local Total Amount]]/tblMoeHistory[[#This Row],[Child Count]],0)</f>
        <v>12311.895196428572</v>
      </c>
      <c r="M1404">
        <v>0</v>
      </c>
      <c r="N1404" t="s">
        <v>241</v>
      </c>
      <c r="O1404">
        <v>759047.86</v>
      </c>
      <c r="P1404">
        <v>3217.59</v>
      </c>
      <c r="Q1404">
        <f>tblMoeHistory[[#This Row],[Amount of IDEA Part B, Section 611 award]]+tblMoeHistory[[#This Row],[Amount of IDEA Part B, Section 619 award]]</f>
        <v>762265.45</v>
      </c>
      <c r="U14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4" t="str">
        <f>IF(OR(IFERROR(SEARCH("Met",tblMoeHistory[[#This Row],[State and Local Per Capita Result]]),0)&gt;0,IFERROR(SEARCH("Met",tblMoeHistory[[#This Row],[State and Local Total Result]]),0)&gt;0),"Met","Not Met")</f>
        <v>Met</v>
      </c>
    </row>
    <row r="1405" spans="1:22" x14ac:dyDescent="0.35">
      <c r="A1405" t="s">
        <v>45</v>
      </c>
      <c r="B1405">
        <v>2139</v>
      </c>
      <c r="C1405" t="s">
        <v>16</v>
      </c>
      <c r="D1405">
        <v>311</v>
      </c>
      <c r="E1405">
        <v>3641456.67</v>
      </c>
      <c r="F1405">
        <v>237734.09</v>
      </c>
      <c r="G1405">
        <f>tblMoeHistory[[#This Row],[LEA State and Local Amount]]+tblMoeHistory[[#This Row],[ESD State and Local Amount]]</f>
        <v>3879190.76</v>
      </c>
      <c r="H1405">
        <v>0</v>
      </c>
      <c r="I1405" t="s">
        <v>241</v>
      </c>
      <c r="J1405" s="44">
        <f>IFERROR(tblMoeHistory[[#This Row],[LEA State and Local Amount]]/tblMoeHistory[[#This Row],[Child Count]],0)</f>
        <v>11708.86389067524</v>
      </c>
      <c r="K1405">
        <f>IFERROR(tblMoeHistory[[#This Row],[ESD State and Local Amount]]/tblMoeHistory[[#This Row],[Child Count]],0)</f>
        <v>764.41829581993568</v>
      </c>
      <c r="L1405" s="1">
        <f>IFERROR(tblMoeHistory[[#This Row],[State and Local Total Amount]]/tblMoeHistory[[#This Row],[Child Count]],0)</f>
        <v>12473.282186495177</v>
      </c>
      <c r="M1405">
        <v>0</v>
      </c>
      <c r="N1405" t="s">
        <v>241</v>
      </c>
      <c r="O1405">
        <v>402208.15</v>
      </c>
      <c r="P1405">
        <v>4657.8500000000004</v>
      </c>
      <c r="Q1405">
        <f>tblMoeHistory[[#This Row],[Amount of IDEA Part B, Section 611 award]]+tblMoeHistory[[#This Row],[Amount of IDEA Part B, Section 619 award]]</f>
        <v>406866</v>
      </c>
      <c r="U14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5" t="str">
        <f>IF(OR(IFERROR(SEARCH("Met",tblMoeHistory[[#This Row],[State and Local Per Capita Result]]),0)&gt;0,IFERROR(SEARCH("Met",tblMoeHistory[[#This Row],[State and Local Total Result]]),0)&gt;0),"Met","Not Met")</f>
        <v>Met</v>
      </c>
    </row>
    <row r="1406" spans="1:22" x14ac:dyDescent="0.35">
      <c r="A1406" t="s">
        <v>46</v>
      </c>
      <c r="B1406">
        <v>2185</v>
      </c>
      <c r="C1406" t="s">
        <v>16</v>
      </c>
      <c r="D1406">
        <v>917</v>
      </c>
      <c r="E1406">
        <v>10942351.560000001</v>
      </c>
      <c r="F1406">
        <v>1631212.46</v>
      </c>
      <c r="G1406">
        <f>tblMoeHistory[[#This Row],[LEA State and Local Amount]]+tblMoeHistory[[#This Row],[ESD State and Local Amount]]</f>
        <v>12573564.02</v>
      </c>
      <c r="H1406">
        <v>0</v>
      </c>
      <c r="I1406" t="s">
        <v>241</v>
      </c>
      <c r="J1406" s="44">
        <f>IFERROR(tblMoeHistory[[#This Row],[LEA State and Local Amount]]/tblMoeHistory[[#This Row],[Child Count]],0)</f>
        <v>11932.771603053436</v>
      </c>
      <c r="K1406">
        <f>IFERROR(tblMoeHistory[[#This Row],[ESD State and Local Amount]]/tblMoeHistory[[#This Row],[Child Count]],0)</f>
        <v>1778.8576444929117</v>
      </c>
      <c r="L1406" s="1">
        <f>IFERROR(tblMoeHistory[[#This Row],[State and Local Total Amount]]/tblMoeHistory[[#This Row],[Child Count]],0)</f>
        <v>13711.629247546347</v>
      </c>
      <c r="M1406">
        <v>0</v>
      </c>
      <c r="N1406" t="s">
        <v>241</v>
      </c>
      <c r="O1406">
        <v>1031358.36</v>
      </c>
      <c r="P1406">
        <v>7340.63</v>
      </c>
      <c r="Q1406">
        <f>tblMoeHistory[[#This Row],[Amount of IDEA Part B, Section 611 award]]+tblMoeHistory[[#This Row],[Amount of IDEA Part B, Section 619 award]]</f>
        <v>1038698.99</v>
      </c>
      <c r="U14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6" t="str">
        <f>IF(OR(IFERROR(SEARCH("Met",tblMoeHistory[[#This Row],[State and Local Per Capita Result]]),0)&gt;0,IFERROR(SEARCH("Met",tblMoeHistory[[#This Row],[State and Local Total Result]]),0)&gt;0),"Met","Not Met")</f>
        <v>Met</v>
      </c>
    </row>
    <row r="1407" spans="1:22" x14ac:dyDescent="0.35">
      <c r="A1407" t="s">
        <v>47</v>
      </c>
      <c r="B1407">
        <v>1972</v>
      </c>
      <c r="C1407" t="s">
        <v>16</v>
      </c>
      <c r="D1407">
        <v>57</v>
      </c>
      <c r="E1407">
        <v>399955.46</v>
      </c>
      <c r="F1407">
        <v>199887</v>
      </c>
      <c r="G1407">
        <f>tblMoeHistory[[#This Row],[LEA State and Local Amount]]+tblMoeHistory[[#This Row],[ESD State and Local Amount]]</f>
        <v>599842.46</v>
      </c>
      <c r="H1407">
        <v>0</v>
      </c>
      <c r="I1407" t="s">
        <v>242</v>
      </c>
      <c r="J1407" s="44">
        <f>IFERROR(tblMoeHistory[[#This Row],[LEA State and Local Amount]]/tblMoeHistory[[#This Row],[Child Count]],0)</f>
        <v>7016.7624561403509</v>
      </c>
      <c r="K1407">
        <f>IFERROR(tblMoeHistory[[#This Row],[ESD State and Local Amount]]/tblMoeHistory[[#This Row],[Child Count]],0)</f>
        <v>3506.7894736842104</v>
      </c>
      <c r="L1407" s="1">
        <f>IFERROR(tblMoeHistory[[#This Row],[State and Local Total Amount]]/tblMoeHistory[[#This Row],[Child Count]],0)</f>
        <v>10523.55192982456</v>
      </c>
      <c r="M1407">
        <v>61887.05</v>
      </c>
      <c r="N1407" t="s">
        <v>240</v>
      </c>
      <c r="O1407">
        <v>100364.8</v>
      </c>
      <c r="P1407">
        <v>0</v>
      </c>
      <c r="Q1407">
        <f>tblMoeHistory[[#This Row],[Amount of IDEA Part B, Section 611 award]]+tblMoeHistory[[#This Row],[Amount of IDEA Part B, Section 619 award]]</f>
        <v>100364.8</v>
      </c>
      <c r="S1407">
        <v>30484</v>
      </c>
      <c r="T1407">
        <v>597.73</v>
      </c>
      <c r="U14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7" t="str">
        <f>IF(OR(IFERROR(SEARCH("Met",tblMoeHistory[[#This Row],[State and Local Per Capita Result]]),0)&gt;0,IFERROR(SEARCH("Met",tblMoeHistory[[#This Row],[State and Local Total Result]]),0)&gt;0),"Met","Not Met")</f>
        <v>Met</v>
      </c>
    </row>
    <row r="1408" spans="1:22" x14ac:dyDescent="0.35">
      <c r="A1408" t="s">
        <v>48</v>
      </c>
      <c r="B1408">
        <v>2105</v>
      </c>
      <c r="C1408" t="s">
        <v>16</v>
      </c>
      <c r="D1408">
        <v>94</v>
      </c>
      <c r="E1408">
        <v>698581.39</v>
      </c>
      <c r="F1408">
        <v>81728</v>
      </c>
      <c r="G1408">
        <f>tblMoeHistory[[#This Row],[LEA State and Local Amount]]+tblMoeHistory[[#This Row],[ESD State and Local Amount]]</f>
        <v>780309.39</v>
      </c>
      <c r="H1408">
        <v>0</v>
      </c>
      <c r="I1408" t="s">
        <v>242</v>
      </c>
      <c r="J1408" s="44">
        <f>IFERROR(tblMoeHistory[[#This Row],[LEA State and Local Amount]]/tblMoeHistory[[#This Row],[Child Count]],0)</f>
        <v>7431.7169148936173</v>
      </c>
      <c r="K1408">
        <f>IFERROR(tblMoeHistory[[#This Row],[ESD State and Local Amount]]/tblMoeHistory[[#This Row],[Child Count]],0)</f>
        <v>869.44680851063833</v>
      </c>
      <c r="L1408" s="1">
        <f>IFERROR(tblMoeHistory[[#This Row],[State and Local Total Amount]]/tblMoeHistory[[#This Row],[Child Count]],0)</f>
        <v>8301.1637234042555</v>
      </c>
      <c r="M1408">
        <v>0</v>
      </c>
      <c r="N1408" t="s">
        <v>242</v>
      </c>
      <c r="O1408">
        <v>107672.86</v>
      </c>
      <c r="P1408">
        <v>2772.53</v>
      </c>
      <c r="Q1408">
        <f>tblMoeHistory[[#This Row],[Amount of IDEA Part B, Section 611 award]]+tblMoeHistory[[#This Row],[Amount of IDEA Part B, Section 619 award]]</f>
        <v>110445.39</v>
      </c>
      <c r="S1408">
        <v>119907.92</v>
      </c>
      <c r="T1408">
        <v>1332.31</v>
      </c>
      <c r="U14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8" t="str">
        <f>IF(OR(IFERROR(SEARCH("Met",tblMoeHistory[[#This Row],[State and Local Per Capita Result]]),0)&gt;0,IFERROR(SEARCH("Met",tblMoeHistory[[#This Row],[State and Local Total Result]]),0)&gt;0),"Met","Not Met")</f>
        <v>Met</v>
      </c>
    </row>
    <row r="1409" spans="1:22" x14ac:dyDescent="0.35">
      <c r="A1409" t="s">
        <v>49</v>
      </c>
      <c r="B1409">
        <v>2042</v>
      </c>
      <c r="C1409" t="s">
        <v>16</v>
      </c>
      <c r="D1409">
        <v>668</v>
      </c>
      <c r="E1409">
        <v>3730552.28</v>
      </c>
      <c r="F1409">
        <v>754257.56</v>
      </c>
      <c r="G1409">
        <f>tblMoeHistory[[#This Row],[LEA State and Local Amount]]+tblMoeHistory[[#This Row],[ESD State and Local Amount]]</f>
        <v>4484809.84</v>
      </c>
      <c r="H1409">
        <v>0</v>
      </c>
      <c r="I1409" t="s">
        <v>242</v>
      </c>
      <c r="J1409" s="44">
        <f>IFERROR(tblMoeHistory[[#This Row],[LEA State and Local Amount]]/tblMoeHistory[[#This Row],[Child Count]],0)</f>
        <v>5584.6591017964065</v>
      </c>
      <c r="K1409">
        <f>IFERROR(tblMoeHistory[[#This Row],[ESD State and Local Amount]]/tblMoeHistory[[#This Row],[Child Count]],0)</f>
        <v>1129.1280838323355</v>
      </c>
      <c r="L1409" s="1">
        <f>IFERROR(tblMoeHistory[[#This Row],[State and Local Total Amount]]/tblMoeHistory[[#This Row],[Child Count]],0)</f>
        <v>6713.787185628742</v>
      </c>
      <c r="M1409">
        <v>300289.71999999997</v>
      </c>
      <c r="N1409" t="s">
        <v>240</v>
      </c>
      <c r="O1409">
        <v>660596.47999999998</v>
      </c>
      <c r="P1409">
        <v>10148.120000000001</v>
      </c>
      <c r="Q1409">
        <f>tblMoeHistory[[#This Row],[Amount of IDEA Part B, Section 611 award]]+tblMoeHistory[[#This Row],[Amount of IDEA Part B, Section 619 award]]</f>
        <v>670744.6</v>
      </c>
      <c r="S1409">
        <v>79249.570000000007</v>
      </c>
      <c r="T1409">
        <v>129.28</v>
      </c>
      <c r="U14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9" t="str">
        <f>IF(OR(IFERROR(SEARCH("Met",tblMoeHistory[[#This Row],[State and Local Per Capita Result]]),0)&gt;0,IFERROR(SEARCH("Met",tblMoeHistory[[#This Row],[State and Local Total Result]]),0)&gt;0),"Met","Not Met")</f>
        <v>Met</v>
      </c>
    </row>
    <row r="1410" spans="1:22" x14ac:dyDescent="0.35">
      <c r="A1410" t="s">
        <v>50</v>
      </c>
      <c r="B1410">
        <v>2191</v>
      </c>
      <c r="C1410" t="s">
        <v>16</v>
      </c>
      <c r="D1410">
        <v>352</v>
      </c>
      <c r="E1410">
        <v>5725254.3300000001</v>
      </c>
      <c r="F1410">
        <v>743742.56</v>
      </c>
      <c r="G1410">
        <f>tblMoeHistory[[#This Row],[LEA State and Local Amount]]+tblMoeHistory[[#This Row],[ESD State and Local Amount]]</f>
        <v>6468996.8900000006</v>
      </c>
      <c r="H1410">
        <v>0</v>
      </c>
      <c r="I1410" t="s">
        <v>241</v>
      </c>
      <c r="J1410" s="44">
        <f>IFERROR(tblMoeHistory[[#This Row],[LEA State and Local Amount]]/tblMoeHistory[[#This Row],[Child Count]],0)</f>
        <v>16264.927073863637</v>
      </c>
      <c r="K1410">
        <f>IFERROR(tblMoeHistory[[#This Row],[ESD State and Local Amount]]/tblMoeHistory[[#This Row],[Child Count]],0)</f>
        <v>2112.9050000000002</v>
      </c>
      <c r="L1410" s="1">
        <f>IFERROR(tblMoeHistory[[#This Row],[State and Local Total Amount]]/tblMoeHistory[[#This Row],[Child Count]],0)</f>
        <v>18377.832073863639</v>
      </c>
      <c r="M1410">
        <v>0</v>
      </c>
      <c r="N1410" t="s">
        <v>241</v>
      </c>
      <c r="O1410">
        <v>452784.28</v>
      </c>
      <c r="P1410">
        <v>5019.2299999999996</v>
      </c>
      <c r="Q1410">
        <f>tblMoeHistory[[#This Row],[Amount of IDEA Part B, Section 611 award]]+tblMoeHistory[[#This Row],[Amount of IDEA Part B, Section 619 award]]</f>
        <v>457803.51</v>
      </c>
      <c r="U14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0" t="str">
        <f>IF(OR(IFERROR(SEARCH("Met",tblMoeHistory[[#This Row],[State and Local Per Capita Result]]),0)&gt;0,IFERROR(SEARCH("Met",tblMoeHistory[[#This Row],[State and Local Total Result]]),0)&gt;0),"Met","Not Met")</f>
        <v>Met</v>
      </c>
    </row>
    <row r="1411" spans="1:22" x14ac:dyDescent="0.35">
      <c r="A1411" t="s">
        <v>51</v>
      </c>
      <c r="B1411">
        <v>1945</v>
      </c>
      <c r="C1411" t="s">
        <v>16</v>
      </c>
      <c r="D1411">
        <v>121</v>
      </c>
      <c r="E1411">
        <v>1527272.55</v>
      </c>
      <c r="F1411">
        <v>220350</v>
      </c>
      <c r="G1411">
        <f>tblMoeHistory[[#This Row],[LEA State and Local Amount]]+tblMoeHistory[[#This Row],[ESD State and Local Amount]]</f>
        <v>1747622.55</v>
      </c>
      <c r="H1411">
        <v>0</v>
      </c>
      <c r="I1411" t="s">
        <v>241</v>
      </c>
      <c r="J1411" s="44">
        <f>IFERROR(tblMoeHistory[[#This Row],[LEA State and Local Amount]]/tblMoeHistory[[#This Row],[Child Count]],0)</f>
        <v>12622.087190082644</v>
      </c>
      <c r="K1411">
        <f>IFERROR(tblMoeHistory[[#This Row],[ESD State and Local Amount]]/tblMoeHistory[[#This Row],[Child Count]],0)</f>
        <v>1821.0743801652893</v>
      </c>
      <c r="L1411" s="1">
        <f>IFERROR(tblMoeHistory[[#This Row],[State and Local Total Amount]]/tblMoeHistory[[#This Row],[Child Count]],0)</f>
        <v>14443.161570247934</v>
      </c>
      <c r="M1411">
        <v>0</v>
      </c>
      <c r="N1411" t="s">
        <v>241</v>
      </c>
      <c r="O1411">
        <v>129884.55</v>
      </c>
      <c r="P1411">
        <v>1826.61</v>
      </c>
      <c r="Q1411">
        <f>tblMoeHistory[[#This Row],[Amount of IDEA Part B, Section 611 award]]+tblMoeHistory[[#This Row],[Amount of IDEA Part B, Section 619 award]]</f>
        <v>131711.16</v>
      </c>
      <c r="U14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1" t="str">
        <f>IF(OR(IFERROR(SEARCH("Met",tblMoeHistory[[#This Row],[State and Local Per Capita Result]]),0)&gt;0,IFERROR(SEARCH("Met",tblMoeHistory[[#This Row],[State and Local Total Result]]),0)&gt;0),"Met","Not Met")</f>
        <v>Met</v>
      </c>
    </row>
    <row r="1412" spans="1:22" x14ac:dyDescent="0.35">
      <c r="A1412" t="s">
        <v>52</v>
      </c>
      <c r="B1412">
        <v>1927</v>
      </c>
      <c r="C1412" t="s">
        <v>16</v>
      </c>
      <c r="D1412">
        <v>95</v>
      </c>
      <c r="E1412">
        <v>814122.84</v>
      </c>
      <c r="F1412">
        <v>53083</v>
      </c>
      <c r="G1412">
        <f>tblMoeHistory[[#This Row],[LEA State and Local Amount]]+tblMoeHistory[[#This Row],[ESD State and Local Amount]]</f>
        <v>867205.84</v>
      </c>
      <c r="H1412">
        <v>0</v>
      </c>
      <c r="I1412" t="s">
        <v>242</v>
      </c>
      <c r="J1412" s="44">
        <f>IFERROR(tblMoeHistory[[#This Row],[LEA State and Local Amount]]/tblMoeHistory[[#This Row],[Child Count]],0)</f>
        <v>8569.7141052631578</v>
      </c>
      <c r="K1412">
        <f>IFERROR(tblMoeHistory[[#This Row],[ESD State and Local Amount]]/tblMoeHistory[[#This Row],[Child Count]],0)</f>
        <v>558.76842105263154</v>
      </c>
      <c r="L1412" s="1">
        <f>IFERROR(tblMoeHistory[[#This Row],[State and Local Total Amount]]/tblMoeHistory[[#This Row],[Child Count]],0)</f>
        <v>9128.4825263157891</v>
      </c>
      <c r="M1412">
        <v>24678.2</v>
      </c>
      <c r="N1412" t="s">
        <v>240</v>
      </c>
      <c r="O1412">
        <v>118237.14</v>
      </c>
      <c r="P1412">
        <v>1067.42</v>
      </c>
      <c r="Q1412">
        <f>tblMoeHistory[[#This Row],[Amount of IDEA Part B, Section 611 award]]+tblMoeHistory[[#This Row],[Amount of IDEA Part B, Section 619 award]]</f>
        <v>119304.56</v>
      </c>
      <c r="S1412">
        <v>132239.79999999999</v>
      </c>
      <c r="T1412">
        <v>4620.05</v>
      </c>
      <c r="U14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2" t="str">
        <f>IF(OR(IFERROR(SEARCH("Met",tblMoeHistory[[#This Row],[State and Local Per Capita Result]]),0)&gt;0,IFERROR(SEARCH("Met",tblMoeHistory[[#This Row],[State and Local Total Result]]),0)&gt;0),"Met","Not Met")</f>
        <v>Met</v>
      </c>
    </row>
    <row r="1413" spans="1:22" x14ac:dyDescent="0.35">
      <c r="A1413" t="s">
        <v>53</v>
      </c>
      <c r="B1413">
        <v>2006</v>
      </c>
      <c r="C1413" t="s">
        <v>16</v>
      </c>
      <c r="D1413">
        <v>22</v>
      </c>
      <c r="E1413">
        <v>15279.12</v>
      </c>
      <c r="F1413">
        <v>138398</v>
      </c>
      <c r="G1413">
        <f>tblMoeHistory[[#This Row],[LEA State and Local Amount]]+tblMoeHistory[[#This Row],[ESD State and Local Amount]]</f>
        <v>153677.12</v>
      </c>
      <c r="H1413">
        <v>0</v>
      </c>
      <c r="I1413" t="s">
        <v>241</v>
      </c>
      <c r="J1413" s="44">
        <f>IFERROR(tblMoeHistory[[#This Row],[LEA State and Local Amount]]/tblMoeHistory[[#This Row],[Child Count]],0)</f>
        <v>694.50545454545454</v>
      </c>
      <c r="K1413">
        <f>IFERROR(tblMoeHistory[[#This Row],[ESD State and Local Amount]]/tblMoeHistory[[#This Row],[Child Count]],0)</f>
        <v>6290.818181818182</v>
      </c>
      <c r="L1413" s="1">
        <f>IFERROR(tblMoeHistory[[#This Row],[State and Local Total Amount]]/tblMoeHistory[[#This Row],[Child Count]],0)</f>
        <v>6985.3236363636361</v>
      </c>
      <c r="M1413">
        <v>1754.6</v>
      </c>
      <c r="N1413" t="s">
        <v>240</v>
      </c>
      <c r="O1413">
        <v>23938.85</v>
      </c>
      <c r="P1413">
        <v>0</v>
      </c>
      <c r="Q1413">
        <f>tblMoeHistory[[#This Row],[Amount of IDEA Part B, Section 611 award]]+tblMoeHistory[[#This Row],[Amount of IDEA Part B, Section 619 award]]</f>
        <v>23938.85</v>
      </c>
      <c r="T1413">
        <v>0</v>
      </c>
      <c r="U14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3" t="str">
        <f>IF(OR(IFERROR(SEARCH("Met",tblMoeHistory[[#This Row],[State and Local Per Capita Result]]),0)&gt;0,IFERROR(SEARCH("Met",tblMoeHistory[[#This Row],[State and Local Total Result]]),0)&gt;0),"Met","Not Met")</f>
        <v>Met</v>
      </c>
    </row>
    <row r="1414" spans="1:22" x14ac:dyDescent="0.35">
      <c r="A1414" t="s">
        <v>54</v>
      </c>
      <c r="B1414">
        <v>1965</v>
      </c>
      <c r="C1414" t="s">
        <v>16</v>
      </c>
      <c r="D1414">
        <v>499</v>
      </c>
      <c r="E1414">
        <v>4438175.6500000004</v>
      </c>
      <c r="F1414">
        <v>1303666</v>
      </c>
      <c r="G1414">
        <f>tblMoeHistory[[#This Row],[LEA State and Local Amount]]+tblMoeHistory[[#This Row],[ESD State and Local Amount]]</f>
        <v>5741841.6500000004</v>
      </c>
      <c r="H1414">
        <v>0</v>
      </c>
      <c r="I1414" t="s">
        <v>241</v>
      </c>
      <c r="J1414" s="44">
        <f>IFERROR(tblMoeHistory[[#This Row],[LEA State and Local Amount]]/tblMoeHistory[[#This Row],[Child Count]],0)</f>
        <v>8894.1395791583182</v>
      </c>
      <c r="K1414">
        <f>IFERROR(tblMoeHistory[[#This Row],[ESD State and Local Amount]]/tblMoeHistory[[#This Row],[Child Count]],0)</f>
        <v>2612.5571142284571</v>
      </c>
      <c r="L1414" s="1">
        <f>IFERROR(tblMoeHistory[[#This Row],[State and Local Total Amount]]/tblMoeHistory[[#This Row],[Child Count]],0)</f>
        <v>11506.696693386773</v>
      </c>
      <c r="M1414">
        <v>22016.23</v>
      </c>
      <c r="N1414" t="s">
        <v>240</v>
      </c>
      <c r="O1414">
        <v>719903.14</v>
      </c>
      <c r="P1414">
        <v>5763.5</v>
      </c>
      <c r="Q1414">
        <f>tblMoeHistory[[#This Row],[Amount of IDEA Part B, Section 611 award]]+tblMoeHistory[[#This Row],[Amount of IDEA Part B, Section 619 award]]</f>
        <v>725666.64</v>
      </c>
      <c r="T1414">
        <v>286.72000000000003</v>
      </c>
      <c r="U14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4" t="str">
        <f>IF(OR(IFERROR(SEARCH("Met",tblMoeHistory[[#This Row],[State and Local Per Capita Result]]),0)&gt;0,IFERROR(SEARCH("Met",tblMoeHistory[[#This Row],[State and Local Total Result]]),0)&gt;0),"Met","Not Met")</f>
        <v>Met</v>
      </c>
    </row>
    <row r="1415" spans="1:22" x14ac:dyDescent="0.35">
      <c r="A1415" t="s">
        <v>55</v>
      </c>
      <c r="B1415">
        <v>1964</v>
      </c>
      <c r="C1415" t="s">
        <v>16</v>
      </c>
      <c r="D1415">
        <v>135</v>
      </c>
      <c r="E1415">
        <v>927362.67</v>
      </c>
      <c r="F1415">
        <v>224688</v>
      </c>
      <c r="G1415">
        <f>tblMoeHistory[[#This Row],[LEA State and Local Amount]]+tblMoeHistory[[#This Row],[ESD State and Local Amount]]</f>
        <v>1152050.67</v>
      </c>
      <c r="H1415">
        <v>0</v>
      </c>
      <c r="I1415" t="s">
        <v>241</v>
      </c>
      <c r="J1415" s="44">
        <f>IFERROR(tblMoeHistory[[#This Row],[LEA State and Local Amount]]/tblMoeHistory[[#This Row],[Child Count]],0)</f>
        <v>6869.3531111111115</v>
      </c>
      <c r="K1415">
        <f>IFERROR(tblMoeHistory[[#This Row],[ESD State and Local Amount]]/tblMoeHistory[[#This Row],[Child Count]],0)</f>
        <v>1664.3555555555556</v>
      </c>
      <c r="L1415" s="1">
        <f>IFERROR(tblMoeHistory[[#This Row],[State and Local Total Amount]]/tblMoeHistory[[#This Row],[Child Count]],0)</f>
        <v>8533.7086666666655</v>
      </c>
      <c r="M1415">
        <v>444348.2</v>
      </c>
      <c r="N1415" t="s">
        <v>240</v>
      </c>
      <c r="O1415">
        <v>184541.67</v>
      </c>
      <c r="P1415">
        <v>2495.2800000000002</v>
      </c>
      <c r="Q1415">
        <f>tblMoeHistory[[#This Row],[Amount of IDEA Part B, Section 611 award]]+tblMoeHistory[[#This Row],[Amount of IDEA Part B, Section 619 award]]</f>
        <v>187036.95</v>
      </c>
      <c r="T1415">
        <v>0</v>
      </c>
      <c r="U14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5" t="str">
        <f>IF(OR(IFERROR(SEARCH("Met",tblMoeHistory[[#This Row],[State and Local Per Capita Result]]),0)&gt;0,IFERROR(SEARCH("Met",tblMoeHistory[[#This Row],[State and Local Total Result]]),0)&gt;0),"Met","Not Met")</f>
        <v>Met</v>
      </c>
    </row>
    <row r="1416" spans="1:22" x14ac:dyDescent="0.35">
      <c r="A1416" t="s">
        <v>56</v>
      </c>
      <c r="B1416">
        <v>2186</v>
      </c>
      <c r="C1416" t="s">
        <v>16</v>
      </c>
      <c r="D1416">
        <v>140</v>
      </c>
      <c r="E1416">
        <v>685420.5</v>
      </c>
      <c r="F1416">
        <v>321680.78000000003</v>
      </c>
      <c r="G1416">
        <f>tblMoeHistory[[#This Row],[LEA State and Local Amount]]+tblMoeHistory[[#This Row],[ESD State and Local Amount]]</f>
        <v>1007101.28</v>
      </c>
      <c r="H1416">
        <v>0</v>
      </c>
      <c r="I1416" t="s">
        <v>241</v>
      </c>
      <c r="J1416" s="44">
        <f>IFERROR(tblMoeHistory[[#This Row],[LEA State and Local Amount]]/tblMoeHistory[[#This Row],[Child Count]],0)</f>
        <v>4895.8607142857145</v>
      </c>
      <c r="K1416">
        <f>IFERROR(tblMoeHistory[[#This Row],[ESD State and Local Amount]]/tblMoeHistory[[#This Row],[Child Count]],0)</f>
        <v>2297.7198571428576</v>
      </c>
      <c r="L1416" s="1">
        <f>IFERROR(tblMoeHistory[[#This Row],[State and Local Total Amount]]/tblMoeHistory[[#This Row],[Child Count]],0)</f>
        <v>7193.5805714285716</v>
      </c>
      <c r="M1416">
        <v>1045157.89</v>
      </c>
      <c r="N1416" t="s">
        <v>240</v>
      </c>
      <c r="O1416">
        <v>154396.24</v>
      </c>
      <c r="P1416">
        <v>1358.54</v>
      </c>
      <c r="Q1416">
        <f>tblMoeHistory[[#This Row],[Amount of IDEA Part B, Section 611 award]]+tblMoeHistory[[#This Row],[Amount of IDEA Part B, Section 619 award]]</f>
        <v>155754.78</v>
      </c>
      <c r="T1416">
        <v>158.46</v>
      </c>
      <c r="U14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6" t="str">
        <f>IF(OR(IFERROR(SEARCH("Met",tblMoeHistory[[#This Row],[State and Local Per Capita Result]]),0)&gt;0,IFERROR(SEARCH("Met",tblMoeHistory[[#This Row],[State and Local Total Result]]),0)&gt;0),"Met","Not Met")</f>
        <v>Met</v>
      </c>
    </row>
    <row r="1417" spans="1:22" x14ac:dyDescent="0.35">
      <c r="A1417" t="s">
        <v>58</v>
      </c>
      <c r="B1417">
        <v>1901</v>
      </c>
      <c r="C1417" t="s">
        <v>16</v>
      </c>
      <c r="D1417">
        <v>693</v>
      </c>
      <c r="E1417">
        <v>8102426.1299999999</v>
      </c>
      <c r="F1417">
        <v>820177</v>
      </c>
      <c r="G1417">
        <f>tblMoeHistory[[#This Row],[LEA State and Local Amount]]+tblMoeHistory[[#This Row],[ESD State and Local Amount]]</f>
        <v>8922603.129999999</v>
      </c>
      <c r="H1417">
        <v>0</v>
      </c>
      <c r="I1417" t="s">
        <v>241</v>
      </c>
      <c r="J1417" s="44">
        <f>IFERROR(tblMoeHistory[[#This Row],[LEA State and Local Amount]]/tblMoeHistory[[#This Row],[Child Count]],0)</f>
        <v>11691.812597402597</v>
      </c>
      <c r="K1417">
        <f>IFERROR(tblMoeHistory[[#This Row],[ESD State and Local Amount]]/tblMoeHistory[[#This Row],[Child Count]],0)</f>
        <v>1183.5165945165945</v>
      </c>
      <c r="L1417" s="1">
        <f>IFERROR(tblMoeHistory[[#This Row],[State and Local Total Amount]]/tblMoeHistory[[#This Row],[Child Count]],0)</f>
        <v>12875.329191919191</v>
      </c>
      <c r="M1417">
        <v>0</v>
      </c>
      <c r="N1417" t="s">
        <v>241</v>
      </c>
      <c r="O1417">
        <v>998708.89</v>
      </c>
      <c r="P1417">
        <v>10587.15</v>
      </c>
      <c r="Q1417">
        <f>tblMoeHistory[[#This Row],[Amount of IDEA Part B, Section 611 award]]+tblMoeHistory[[#This Row],[Amount of IDEA Part B, Section 619 award]]</f>
        <v>1009296.04</v>
      </c>
      <c r="U14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7" t="str">
        <f>IF(OR(IFERROR(SEARCH("Met",tblMoeHistory[[#This Row],[State and Local Per Capita Result]]),0)&gt;0,IFERROR(SEARCH("Met",tblMoeHistory[[#This Row],[State and Local Total Result]]),0)&gt;0),"Met","Not Met")</f>
        <v>Met</v>
      </c>
    </row>
    <row r="1418" spans="1:22" x14ac:dyDescent="0.35">
      <c r="A1418" t="s">
        <v>59</v>
      </c>
      <c r="B1418">
        <v>2216</v>
      </c>
      <c r="C1418" t="s">
        <v>16</v>
      </c>
      <c r="D1418">
        <v>36</v>
      </c>
      <c r="E1418">
        <v>127784.25</v>
      </c>
      <c r="F1418">
        <v>58305.55</v>
      </c>
      <c r="G1418">
        <f>tblMoeHistory[[#This Row],[LEA State and Local Amount]]+tblMoeHistory[[#This Row],[ESD State and Local Amount]]</f>
        <v>186089.8</v>
      </c>
      <c r="H1418">
        <v>0</v>
      </c>
      <c r="I1418" t="s">
        <v>242</v>
      </c>
      <c r="J1418" s="44">
        <f>IFERROR(tblMoeHistory[[#This Row],[LEA State and Local Amount]]/tblMoeHistory[[#This Row],[Child Count]],0)</f>
        <v>3549.5625</v>
      </c>
      <c r="K1418">
        <f>IFERROR(tblMoeHistory[[#This Row],[ESD State and Local Amount]]/tblMoeHistory[[#This Row],[Child Count]],0)</f>
        <v>1619.5986111111113</v>
      </c>
      <c r="L1418" s="1">
        <f>IFERROR(tblMoeHistory[[#This Row],[State and Local Total Amount]]/tblMoeHistory[[#This Row],[Child Count]],0)</f>
        <v>5169.1611111111106</v>
      </c>
      <c r="M1418">
        <v>73004.81</v>
      </c>
      <c r="N1418" t="s">
        <v>240</v>
      </c>
      <c r="O1418">
        <v>46903.48</v>
      </c>
      <c r="P1418">
        <v>1455.58</v>
      </c>
      <c r="Q1418">
        <f>tblMoeHistory[[#This Row],[Amount of IDEA Part B, Section 611 award]]+tblMoeHistory[[#This Row],[Amount of IDEA Part B, Section 619 award]]</f>
        <v>48359.060000000005</v>
      </c>
      <c r="S1418">
        <v>21631.62</v>
      </c>
      <c r="T1418">
        <v>0</v>
      </c>
      <c r="U14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8" t="str">
        <f>IF(OR(IFERROR(SEARCH("Met",tblMoeHistory[[#This Row],[State and Local Per Capita Result]]),0)&gt;0,IFERROR(SEARCH("Met",tblMoeHistory[[#This Row],[State and Local Total Result]]),0)&gt;0),"Met","Not Met")</f>
        <v>Met</v>
      </c>
    </row>
    <row r="1419" spans="1:22" x14ac:dyDescent="0.35">
      <c r="A1419" t="s">
        <v>60</v>
      </c>
      <c r="B1419">
        <v>2086</v>
      </c>
      <c r="C1419" t="s">
        <v>16</v>
      </c>
      <c r="D1419">
        <v>221</v>
      </c>
      <c r="E1419">
        <v>2678619.4700000002</v>
      </c>
      <c r="F1419">
        <v>517460</v>
      </c>
      <c r="G1419">
        <f>tblMoeHistory[[#This Row],[LEA State and Local Amount]]+tblMoeHistory[[#This Row],[ESD State and Local Amount]]</f>
        <v>3196079.47</v>
      </c>
      <c r="H1419">
        <v>0</v>
      </c>
      <c r="I1419" t="s">
        <v>241</v>
      </c>
      <c r="J1419" s="44">
        <f>IFERROR(tblMoeHistory[[#This Row],[LEA State and Local Amount]]/tblMoeHistory[[#This Row],[Child Count]],0)</f>
        <v>12120.450090497738</v>
      </c>
      <c r="K1419">
        <f>IFERROR(tblMoeHistory[[#This Row],[ESD State and Local Amount]]/tblMoeHistory[[#This Row],[Child Count]],0)</f>
        <v>2341.4479638009052</v>
      </c>
      <c r="L1419" s="1">
        <f>IFERROR(tblMoeHistory[[#This Row],[State and Local Total Amount]]/tblMoeHistory[[#This Row],[Child Count]],0)</f>
        <v>14461.898054298643</v>
      </c>
      <c r="M1419">
        <v>0</v>
      </c>
      <c r="N1419" t="s">
        <v>241</v>
      </c>
      <c r="O1419">
        <v>247959.62</v>
      </c>
      <c r="P1419">
        <v>1767.49</v>
      </c>
      <c r="Q1419">
        <f>tblMoeHistory[[#This Row],[Amount of IDEA Part B, Section 611 award]]+tblMoeHistory[[#This Row],[Amount of IDEA Part B, Section 619 award]]</f>
        <v>249727.11</v>
      </c>
      <c r="U14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9" t="str">
        <f>IF(OR(IFERROR(SEARCH("Met",tblMoeHistory[[#This Row],[State and Local Per Capita Result]]),0)&gt;0,IFERROR(SEARCH("Met",tblMoeHistory[[#This Row],[State and Local Total Result]]),0)&gt;0),"Met","Not Met")</f>
        <v>Met</v>
      </c>
    </row>
    <row r="1420" spans="1:22" x14ac:dyDescent="0.35">
      <c r="A1420" t="s">
        <v>61</v>
      </c>
      <c r="B1420">
        <v>1970</v>
      </c>
      <c r="C1420" t="s">
        <v>16</v>
      </c>
      <c r="D1420">
        <v>385</v>
      </c>
      <c r="E1420">
        <v>3957470.8</v>
      </c>
      <c r="F1420">
        <v>237048.88</v>
      </c>
      <c r="G1420">
        <f>tblMoeHistory[[#This Row],[LEA State and Local Amount]]+tblMoeHistory[[#This Row],[ESD State and Local Amount]]</f>
        <v>4194519.68</v>
      </c>
      <c r="H1420">
        <v>0</v>
      </c>
      <c r="I1420" t="s">
        <v>242</v>
      </c>
      <c r="J1420" s="44">
        <f>IFERROR(tblMoeHistory[[#This Row],[LEA State and Local Amount]]/tblMoeHistory[[#This Row],[Child Count]],0)</f>
        <v>10279.144935064935</v>
      </c>
      <c r="K1420">
        <f>IFERROR(tblMoeHistory[[#This Row],[ESD State and Local Amount]]/tblMoeHistory[[#This Row],[Child Count]],0)</f>
        <v>615.71137662337662</v>
      </c>
      <c r="L1420" s="1">
        <f>IFERROR(tblMoeHistory[[#This Row],[State and Local Total Amount]]/tblMoeHistory[[#This Row],[Child Count]],0)</f>
        <v>10894.856311688311</v>
      </c>
      <c r="M1420">
        <v>0</v>
      </c>
      <c r="N1420" t="s">
        <v>241</v>
      </c>
      <c r="O1420">
        <v>547018.88</v>
      </c>
      <c r="P1420">
        <v>9952.09</v>
      </c>
      <c r="Q1420">
        <f>tblMoeHistory[[#This Row],[Amount of IDEA Part B, Section 611 award]]+tblMoeHistory[[#This Row],[Amount of IDEA Part B, Section 619 award]]</f>
        <v>556970.97</v>
      </c>
      <c r="S1420">
        <v>243802.87</v>
      </c>
      <c r="U14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0" t="str">
        <f>IF(OR(IFERROR(SEARCH("Met",tblMoeHistory[[#This Row],[State and Local Per Capita Result]]),0)&gt;0,IFERROR(SEARCH("Met",tblMoeHistory[[#This Row],[State and Local Total Result]]),0)&gt;0),"Met","Not Met")</f>
        <v>Met</v>
      </c>
    </row>
    <row r="1421" spans="1:22" x14ac:dyDescent="0.35">
      <c r="A1421" t="s">
        <v>62</v>
      </c>
      <c r="B1421">
        <v>2089</v>
      </c>
      <c r="C1421" t="s">
        <v>16</v>
      </c>
      <c r="D1421">
        <v>42</v>
      </c>
      <c r="E1421">
        <v>460141.31</v>
      </c>
      <c r="F1421">
        <v>135797</v>
      </c>
      <c r="G1421">
        <f>tblMoeHistory[[#This Row],[LEA State and Local Amount]]+tblMoeHistory[[#This Row],[ESD State and Local Amount]]</f>
        <v>595938.31000000006</v>
      </c>
      <c r="H1421">
        <v>0</v>
      </c>
      <c r="I1421" t="s">
        <v>242</v>
      </c>
      <c r="J1421" s="44">
        <f>IFERROR(tblMoeHistory[[#This Row],[LEA State and Local Amount]]/tblMoeHistory[[#This Row],[Child Count]],0)</f>
        <v>10955.745476190476</v>
      </c>
      <c r="K1421">
        <f>IFERROR(tblMoeHistory[[#This Row],[ESD State and Local Amount]]/tblMoeHistory[[#This Row],[Child Count]],0)</f>
        <v>3233.2619047619046</v>
      </c>
      <c r="L1421" s="1">
        <f>IFERROR(tblMoeHistory[[#This Row],[State and Local Total Amount]]/tblMoeHistory[[#This Row],[Child Count]],0)</f>
        <v>14189.007380952382</v>
      </c>
      <c r="M1421">
        <v>0</v>
      </c>
      <c r="N1421" t="s">
        <v>241</v>
      </c>
      <c r="O1421">
        <v>68201.320000000007</v>
      </c>
      <c r="P1421">
        <v>363.89</v>
      </c>
      <c r="Q1421">
        <f>tblMoeHistory[[#This Row],[Amount of IDEA Part B, Section 611 award]]+tblMoeHistory[[#This Row],[Amount of IDEA Part B, Section 619 award]]</f>
        <v>68565.210000000006</v>
      </c>
      <c r="S1421">
        <v>161165.92000000001</v>
      </c>
      <c r="U14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1" t="str">
        <f>IF(OR(IFERROR(SEARCH("Met",tblMoeHistory[[#This Row],[State and Local Per Capita Result]]),0)&gt;0,IFERROR(SEARCH("Met",tblMoeHistory[[#This Row],[State and Local Total Result]]),0)&gt;0),"Met","Not Met")</f>
        <v>Met</v>
      </c>
    </row>
    <row r="1422" spans="1:22" x14ac:dyDescent="0.35">
      <c r="A1422" t="s">
        <v>63</v>
      </c>
      <c r="B1422">
        <v>2050</v>
      </c>
      <c r="C1422" t="s">
        <v>16</v>
      </c>
      <c r="D1422">
        <v>92</v>
      </c>
      <c r="E1422">
        <v>752023.14</v>
      </c>
      <c r="F1422">
        <v>247783.55</v>
      </c>
      <c r="G1422">
        <f>tblMoeHistory[[#This Row],[LEA State and Local Amount]]+tblMoeHistory[[#This Row],[ESD State and Local Amount]]</f>
        <v>999806.69</v>
      </c>
      <c r="H1422">
        <v>0</v>
      </c>
      <c r="I1422" t="s">
        <v>241</v>
      </c>
      <c r="J1422" s="44">
        <f>IFERROR(tblMoeHistory[[#This Row],[LEA State and Local Amount]]/tblMoeHistory[[#This Row],[Child Count]],0)</f>
        <v>8174.1645652173911</v>
      </c>
      <c r="K1422">
        <f>IFERROR(tblMoeHistory[[#This Row],[ESD State and Local Amount]]/tblMoeHistory[[#This Row],[Child Count]],0)</f>
        <v>2693.2994565217391</v>
      </c>
      <c r="L1422" s="1">
        <f>IFERROR(tblMoeHistory[[#This Row],[State and Local Total Amount]]/tblMoeHistory[[#This Row],[Child Count]],0)</f>
        <v>10867.46402173913</v>
      </c>
      <c r="M1422">
        <v>0</v>
      </c>
      <c r="N1422" t="s">
        <v>241</v>
      </c>
      <c r="O1422">
        <v>108978.55</v>
      </c>
      <c r="P1422">
        <v>1411.47</v>
      </c>
      <c r="Q1422">
        <f>tblMoeHistory[[#This Row],[Amount of IDEA Part B, Section 611 award]]+tblMoeHistory[[#This Row],[Amount of IDEA Part B, Section 619 award]]</f>
        <v>110390.02</v>
      </c>
      <c r="U14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2" t="str">
        <f>IF(OR(IFERROR(SEARCH("Met",tblMoeHistory[[#This Row],[State and Local Per Capita Result]]),0)&gt;0,IFERROR(SEARCH("Met",tblMoeHistory[[#This Row],[State and Local Total Result]]),0)&gt;0),"Met","Not Met")</f>
        <v>Met</v>
      </c>
    </row>
    <row r="1423" spans="1:22" x14ac:dyDescent="0.35">
      <c r="A1423" t="s">
        <v>64</v>
      </c>
      <c r="B1423">
        <v>2190</v>
      </c>
      <c r="C1423" t="s">
        <v>16</v>
      </c>
      <c r="D1423">
        <v>479</v>
      </c>
      <c r="E1423">
        <v>4858618.3</v>
      </c>
      <c r="F1423">
        <v>337066.06</v>
      </c>
      <c r="G1423">
        <f>tblMoeHistory[[#This Row],[LEA State and Local Amount]]+tblMoeHistory[[#This Row],[ESD State and Local Amount]]</f>
        <v>5195684.3599999994</v>
      </c>
      <c r="H1423">
        <v>0</v>
      </c>
      <c r="I1423" t="s">
        <v>241</v>
      </c>
      <c r="J1423" s="44">
        <f>IFERROR(tblMoeHistory[[#This Row],[LEA State and Local Amount]]/tblMoeHistory[[#This Row],[Child Count]],0)</f>
        <v>10143.253235908142</v>
      </c>
      <c r="K1423">
        <f>IFERROR(tblMoeHistory[[#This Row],[ESD State and Local Amount]]/tblMoeHistory[[#This Row],[Child Count]],0)</f>
        <v>703.68697286012525</v>
      </c>
      <c r="L1423" s="1">
        <f>IFERROR(tblMoeHistory[[#This Row],[State and Local Total Amount]]/tblMoeHistory[[#This Row],[Child Count]],0)</f>
        <v>10846.940208768267</v>
      </c>
      <c r="M1423">
        <v>0</v>
      </c>
      <c r="N1423" t="s">
        <v>241</v>
      </c>
      <c r="O1423">
        <v>505832.37</v>
      </c>
      <c r="P1423">
        <v>5822.31</v>
      </c>
      <c r="Q1423">
        <f>tblMoeHistory[[#This Row],[Amount of IDEA Part B, Section 611 award]]+tblMoeHistory[[#This Row],[Amount of IDEA Part B, Section 619 award]]</f>
        <v>511654.68</v>
      </c>
      <c r="U14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3" t="str">
        <f>IF(OR(IFERROR(SEARCH("Met",tblMoeHistory[[#This Row],[State and Local Per Capita Result]]),0)&gt;0,IFERROR(SEARCH("Met",tblMoeHistory[[#This Row],[State and Local Total Result]]),0)&gt;0),"Met","Not Met")</f>
        <v>Met</v>
      </c>
    </row>
    <row r="1424" spans="1:22" x14ac:dyDescent="0.35">
      <c r="A1424" t="s">
        <v>65</v>
      </c>
      <c r="B1424">
        <v>2187</v>
      </c>
      <c r="C1424" t="s">
        <v>16</v>
      </c>
      <c r="D1424">
        <v>1185</v>
      </c>
      <c r="E1424">
        <v>14100567.85</v>
      </c>
      <c r="F1424">
        <v>1522876.79</v>
      </c>
      <c r="G1424">
        <f>tblMoeHistory[[#This Row],[LEA State and Local Amount]]+tblMoeHistory[[#This Row],[ESD State and Local Amount]]</f>
        <v>15623444.640000001</v>
      </c>
      <c r="H1424">
        <v>0</v>
      </c>
      <c r="I1424" t="s">
        <v>241</v>
      </c>
      <c r="J1424" s="44">
        <f>IFERROR(tblMoeHistory[[#This Row],[LEA State and Local Amount]]/tblMoeHistory[[#This Row],[Child Count]],0)</f>
        <v>11899.213375527426</v>
      </c>
      <c r="K1424">
        <f>IFERROR(tblMoeHistory[[#This Row],[ESD State and Local Amount]]/tblMoeHistory[[#This Row],[Child Count]],0)</f>
        <v>1285.1280928270041</v>
      </c>
      <c r="L1424" s="1">
        <f>IFERROR(tblMoeHistory[[#This Row],[State and Local Total Amount]]/tblMoeHistory[[#This Row],[Child Count]],0)</f>
        <v>13184.341468354431</v>
      </c>
      <c r="M1424">
        <v>0</v>
      </c>
      <c r="N1424" t="s">
        <v>241</v>
      </c>
      <c r="O1424">
        <v>1546237.53</v>
      </c>
      <c r="P1424">
        <v>11715.84</v>
      </c>
      <c r="Q1424">
        <f>tblMoeHistory[[#This Row],[Amount of IDEA Part B, Section 611 award]]+tblMoeHistory[[#This Row],[Amount of IDEA Part B, Section 619 award]]</f>
        <v>1557953.37</v>
      </c>
      <c r="U14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4" t="str">
        <f>IF(OR(IFERROR(SEARCH("Met",tblMoeHistory[[#This Row],[State and Local Per Capita Result]]),0)&gt;0,IFERROR(SEARCH("Met",tblMoeHistory[[#This Row],[State and Local Total Result]]),0)&gt;0),"Met","Not Met")</f>
        <v>Met</v>
      </c>
    </row>
    <row r="1425" spans="1:22" x14ac:dyDescent="0.35">
      <c r="A1425" t="s">
        <v>66</v>
      </c>
      <c r="B1425">
        <v>2253</v>
      </c>
      <c r="C1425" t="s">
        <v>16</v>
      </c>
      <c r="D1425">
        <v>128</v>
      </c>
      <c r="E1425">
        <v>1096091.24</v>
      </c>
      <c r="F1425">
        <v>72244.210000000006</v>
      </c>
      <c r="G1425">
        <f>tblMoeHistory[[#This Row],[LEA State and Local Amount]]+tblMoeHistory[[#This Row],[ESD State and Local Amount]]</f>
        <v>1168335.45</v>
      </c>
      <c r="H1425">
        <v>0</v>
      </c>
      <c r="I1425" t="s">
        <v>241</v>
      </c>
      <c r="J1425" s="44">
        <f>IFERROR(tblMoeHistory[[#This Row],[LEA State and Local Amount]]/tblMoeHistory[[#This Row],[Child Count]],0)</f>
        <v>8563.2128124999999</v>
      </c>
      <c r="K1425">
        <f>IFERROR(tblMoeHistory[[#This Row],[ESD State and Local Amount]]/tblMoeHistory[[#This Row],[Child Count]],0)</f>
        <v>564.40789062500005</v>
      </c>
      <c r="L1425" s="1">
        <f>IFERROR(tblMoeHistory[[#This Row],[State and Local Total Amount]]/tblMoeHistory[[#This Row],[Child Count]],0)</f>
        <v>9127.6207031249996</v>
      </c>
      <c r="M1425">
        <v>0</v>
      </c>
      <c r="N1425" t="s">
        <v>241</v>
      </c>
      <c r="O1425">
        <v>144117.43</v>
      </c>
      <c r="P1425">
        <v>919.31</v>
      </c>
      <c r="Q1425">
        <f>tblMoeHistory[[#This Row],[Amount of IDEA Part B, Section 611 award]]+tblMoeHistory[[#This Row],[Amount of IDEA Part B, Section 619 award]]</f>
        <v>145036.74</v>
      </c>
      <c r="U14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5" t="str">
        <f>IF(OR(IFERROR(SEARCH("Met",tblMoeHistory[[#This Row],[State and Local Per Capita Result]]),0)&gt;0,IFERROR(SEARCH("Met",tblMoeHistory[[#This Row],[State and Local Total Result]]),0)&gt;0),"Met","Not Met")</f>
        <v>Met</v>
      </c>
    </row>
    <row r="1426" spans="1:22" x14ac:dyDescent="0.35">
      <c r="A1426" t="s">
        <v>67</v>
      </c>
      <c r="B1426">
        <v>2011</v>
      </c>
      <c r="C1426" t="s">
        <v>16</v>
      </c>
      <c r="D1426">
        <v>2</v>
      </c>
      <c r="E1426">
        <v>3363.98</v>
      </c>
      <c r="F1426">
        <v>71013.539999999994</v>
      </c>
      <c r="G1426">
        <f>tblMoeHistory[[#This Row],[LEA State and Local Amount]]+tblMoeHistory[[#This Row],[ESD State and Local Amount]]</f>
        <v>74377.51999999999</v>
      </c>
      <c r="H1426">
        <v>0</v>
      </c>
      <c r="I1426" t="s">
        <v>242</v>
      </c>
      <c r="J1426" s="44">
        <f>IFERROR(tblMoeHistory[[#This Row],[LEA State and Local Amount]]/tblMoeHistory[[#This Row],[Child Count]],0)</f>
        <v>1681.99</v>
      </c>
      <c r="K1426">
        <f>IFERROR(tblMoeHistory[[#This Row],[ESD State and Local Amount]]/tblMoeHistory[[#This Row],[Child Count]],0)</f>
        <v>35506.769999999997</v>
      </c>
      <c r="L1426" s="1">
        <f>IFERROR(tblMoeHistory[[#This Row],[State and Local Total Amount]]/tblMoeHistory[[#This Row],[Child Count]],0)</f>
        <v>37188.759999999995</v>
      </c>
      <c r="M1426">
        <v>0</v>
      </c>
      <c r="N1426" t="s">
        <v>241</v>
      </c>
      <c r="O1426">
        <v>10035.299999999999</v>
      </c>
      <c r="P1426">
        <v>1940.77</v>
      </c>
      <c r="Q1426">
        <f>tblMoeHistory[[#This Row],[Amount of IDEA Part B, Section 611 award]]+tblMoeHistory[[#This Row],[Amount of IDEA Part B, Section 619 award]]</f>
        <v>11976.07</v>
      </c>
      <c r="S1426">
        <v>28024.36</v>
      </c>
      <c r="U14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6" t="str">
        <f>IF(OR(IFERROR(SEARCH("Met",tblMoeHistory[[#This Row],[State and Local Per Capita Result]]),0)&gt;0,IFERROR(SEARCH("Met",tblMoeHistory[[#This Row],[State and Local Total Result]]),0)&gt;0),"Met","Not Met")</f>
        <v>Met</v>
      </c>
    </row>
    <row r="1427" spans="1:22" x14ac:dyDescent="0.35">
      <c r="A1427" t="s">
        <v>68</v>
      </c>
      <c r="B1427">
        <v>2017</v>
      </c>
      <c r="C1427" t="s">
        <v>16</v>
      </c>
      <c r="D1427">
        <v>0</v>
      </c>
      <c r="E1427">
        <v>0</v>
      </c>
      <c r="F1427">
        <v>3267.61</v>
      </c>
      <c r="G1427">
        <f>tblMoeHistory[[#This Row],[LEA State and Local Amount]]+tblMoeHistory[[#This Row],[ESD State and Local Amount]]</f>
        <v>3267.61</v>
      </c>
      <c r="H1427">
        <v>2923.39</v>
      </c>
      <c r="I1427" t="s">
        <v>240</v>
      </c>
      <c r="J1427" s="44">
        <f>IFERROR(tblMoeHistory[[#This Row],[LEA State and Local Amount]]/tblMoeHistory[[#This Row],[Child Count]],0)</f>
        <v>0</v>
      </c>
      <c r="K1427">
        <f>IFERROR(tblMoeHistory[[#This Row],[ESD State and Local Amount]]/tblMoeHistory[[#This Row],[Child Count]],0)</f>
        <v>0</v>
      </c>
      <c r="L1427" s="1">
        <f>IFERROR(tblMoeHistory[[#This Row],[State and Local Total Amount]]/tblMoeHistory[[#This Row],[Child Count]],0)</f>
        <v>0</v>
      </c>
      <c r="M1427">
        <v>0</v>
      </c>
      <c r="N1427" t="s">
        <v>241</v>
      </c>
      <c r="O1427">
        <v>0</v>
      </c>
      <c r="P1427">
        <v>0</v>
      </c>
      <c r="Q1427">
        <f>tblMoeHistory[[#This Row],[Amount of IDEA Part B, Section 611 award]]+tblMoeHistory[[#This Row],[Amount of IDEA Part B, Section 619 award]]</f>
        <v>0</v>
      </c>
      <c r="S1427">
        <v>0</v>
      </c>
      <c r="U14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7" t="str">
        <f>IF(OR(IFERROR(SEARCH("Met",tblMoeHistory[[#This Row],[State and Local Per Capita Result]]),0)&gt;0,IFERROR(SEARCH("Met",tblMoeHistory[[#This Row],[State and Local Total Result]]),0)&gt;0),"Met","Not Met")</f>
        <v>Met</v>
      </c>
    </row>
    <row r="1428" spans="1:22" x14ac:dyDescent="0.35">
      <c r="A1428" t="s">
        <v>69</v>
      </c>
      <c r="B1428">
        <v>2021</v>
      </c>
      <c r="C1428" t="s">
        <v>16</v>
      </c>
      <c r="D1428">
        <v>0</v>
      </c>
      <c r="E1428">
        <v>5598.32</v>
      </c>
      <c r="F1428">
        <v>3267.61</v>
      </c>
      <c r="G1428">
        <f>tblMoeHistory[[#This Row],[LEA State and Local Amount]]+tblMoeHistory[[#This Row],[ESD State and Local Amount]]</f>
        <v>8865.93</v>
      </c>
      <c r="H1428">
        <v>0</v>
      </c>
      <c r="I1428" t="s">
        <v>241</v>
      </c>
      <c r="J1428" s="44">
        <f>IFERROR(tblMoeHistory[[#This Row],[LEA State and Local Amount]]/tblMoeHistory[[#This Row],[Child Count]],0)</f>
        <v>0</v>
      </c>
      <c r="K1428">
        <f>IFERROR(tblMoeHistory[[#This Row],[ESD State and Local Amount]]/tblMoeHistory[[#This Row],[Child Count]],0)</f>
        <v>0</v>
      </c>
      <c r="L1428" s="1">
        <f>IFERROR(tblMoeHistory[[#This Row],[State and Local Total Amount]]/tblMoeHistory[[#This Row],[Child Count]],0)</f>
        <v>0</v>
      </c>
      <c r="M1428">
        <v>0</v>
      </c>
      <c r="N1428" t="s">
        <v>241</v>
      </c>
      <c r="O1428">
        <v>0</v>
      </c>
      <c r="P1428">
        <v>0</v>
      </c>
      <c r="Q1428">
        <f>tblMoeHistory[[#This Row],[Amount of IDEA Part B, Section 611 award]]+tblMoeHistory[[#This Row],[Amount of IDEA Part B, Section 619 award]]</f>
        <v>0</v>
      </c>
      <c r="U14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8" t="str">
        <f>IF(OR(IFERROR(SEARCH("Met",tblMoeHistory[[#This Row],[State and Local Per Capita Result]]),0)&gt;0,IFERROR(SEARCH("Met",tblMoeHistory[[#This Row],[State and Local Total Result]]),0)&gt;0),"Met","Not Met")</f>
        <v>Met</v>
      </c>
    </row>
    <row r="1429" spans="1:22" x14ac:dyDescent="0.35">
      <c r="A1429" t="s">
        <v>70</v>
      </c>
      <c r="B1429">
        <v>1993</v>
      </c>
      <c r="C1429" t="s">
        <v>16</v>
      </c>
      <c r="D1429">
        <v>22</v>
      </c>
      <c r="E1429">
        <v>193995.22</v>
      </c>
      <c r="F1429">
        <v>42112.66</v>
      </c>
      <c r="G1429">
        <f>tblMoeHistory[[#This Row],[LEA State and Local Amount]]+tblMoeHistory[[#This Row],[ESD State and Local Amount]]</f>
        <v>236107.88</v>
      </c>
      <c r="H1429">
        <v>0</v>
      </c>
      <c r="I1429" t="s">
        <v>241</v>
      </c>
      <c r="J1429" s="44">
        <f>IFERROR(tblMoeHistory[[#This Row],[LEA State and Local Amount]]/tblMoeHistory[[#This Row],[Child Count]],0)</f>
        <v>8817.9645454545462</v>
      </c>
      <c r="K1429">
        <f>IFERROR(tblMoeHistory[[#This Row],[ESD State and Local Amount]]/tblMoeHistory[[#This Row],[Child Count]],0)</f>
        <v>1914.2118181818184</v>
      </c>
      <c r="L1429" s="1">
        <f>IFERROR(tblMoeHistory[[#This Row],[State and Local Total Amount]]/tblMoeHistory[[#This Row],[Child Count]],0)</f>
        <v>10732.176363636363</v>
      </c>
      <c r="M1429">
        <v>0</v>
      </c>
      <c r="N1429" t="s">
        <v>241</v>
      </c>
      <c r="O1429">
        <v>33963.21</v>
      </c>
      <c r="P1429">
        <v>727.79</v>
      </c>
      <c r="Q1429">
        <f>tblMoeHistory[[#This Row],[Amount of IDEA Part B, Section 611 award]]+tblMoeHistory[[#This Row],[Amount of IDEA Part B, Section 619 award]]</f>
        <v>34691</v>
      </c>
      <c r="U14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9" t="str">
        <f>IF(OR(IFERROR(SEARCH("Met",tblMoeHistory[[#This Row],[State and Local Per Capita Result]]),0)&gt;0,IFERROR(SEARCH("Met",tblMoeHistory[[#This Row],[State and Local Total Result]]),0)&gt;0),"Met","Not Met")</f>
        <v>Met</v>
      </c>
    </row>
    <row r="1430" spans="1:22" x14ac:dyDescent="0.35">
      <c r="A1430" t="s">
        <v>71</v>
      </c>
      <c r="B1430">
        <v>1991</v>
      </c>
      <c r="C1430" t="s">
        <v>16</v>
      </c>
      <c r="D1430">
        <v>672</v>
      </c>
      <c r="E1430">
        <v>6209600.4800000004</v>
      </c>
      <c r="F1430">
        <v>1556369.8</v>
      </c>
      <c r="G1430">
        <f>tblMoeHistory[[#This Row],[LEA State and Local Amount]]+tblMoeHistory[[#This Row],[ESD State and Local Amount]]</f>
        <v>7765970.2800000003</v>
      </c>
      <c r="H1430">
        <v>0</v>
      </c>
      <c r="I1430" t="s">
        <v>241</v>
      </c>
      <c r="J1430" s="44">
        <f>IFERROR(tblMoeHistory[[#This Row],[LEA State and Local Amount]]/tblMoeHistory[[#This Row],[Child Count]],0)</f>
        <v>9240.4769047619047</v>
      </c>
      <c r="K1430">
        <f>IFERROR(tblMoeHistory[[#This Row],[ESD State and Local Amount]]/tblMoeHistory[[#This Row],[Child Count]],0)</f>
        <v>2316.0264880952382</v>
      </c>
      <c r="L1430" s="1">
        <f>IFERROR(tblMoeHistory[[#This Row],[State and Local Total Amount]]/tblMoeHistory[[#This Row],[Child Count]],0)</f>
        <v>11556.503392857143</v>
      </c>
      <c r="M1430">
        <v>0</v>
      </c>
      <c r="N1430" t="s">
        <v>241</v>
      </c>
      <c r="O1430">
        <v>944823.78</v>
      </c>
      <c r="P1430">
        <v>9262.76</v>
      </c>
      <c r="Q1430">
        <f>tblMoeHistory[[#This Row],[Amount of IDEA Part B, Section 611 award]]+tblMoeHistory[[#This Row],[Amount of IDEA Part B, Section 619 award]]</f>
        <v>954086.54</v>
      </c>
      <c r="U14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0" t="str">
        <f>IF(OR(IFERROR(SEARCH("Met",tblMoeHistory[[#This Row],[State and Local Per Capita Result]]),0)&gt;0,IFERROR(SEARCH("Met",tblMoeHistory[[#This Row],[State and Local Total Result]]),0)&gt;0),"Met","Not Met")</f>
        <v>Met</v>
      </c>
    </row>
    <row r="1431" spans="1:22" x14ac:dyDescent="0.35">
      <c r="A1431" t="s">
        <v>72</v>
      </c>
      <c r="B1431">
        <v>2019</v>
      </c>
      <c r="C1431" t="s">
        <v>16</v>
      </c>
      <c r="D1431">
        <v>0</v>
      </c>
      <c r="E1431">
        <v>8221.6299999999992</v>
      </c>
      <c r="F1431">
        <v>3267.61</v>
      </c>
      <c r="G1431">
        <f>tblMoeHistory[[#This Row],[LEA State and Local Amount]]+tblMoeHistory[[#This Row],[ESD State and Local Amount]]</f>
        <v>11489.24</v>
      </c>
      <c r="H1431">
        <v>0</v>
      </c>
      <c r="I1431" t="s">
        <v>241</v>
      </c>
      <c r="J1431" s="44">
        <f>IFERROR(tblMoeHistory[[#This Row],[LEA State and Local Amount]]/tblMoeHistory[[#This Row],[Child Count]],0)</f>
        <v>0</v>
      </c>
      <c r="K1431">
        <f>IFERROR(tblMoeHistory[[#This Row],[ESD State and Local Amount]]/tblMoeHistory[[#This Row],[Child Count]],0)</f>
        <v>0</v>
      </c>
      <c r="L1431" s="1">
        <f>IFERROR(tblMoeHistory[[#This Row],[State and Local Total Amount]]/tblMoeHistory[[#This Row],[Child Count]],0)</f>
        <v>0</v>
      </c>
      <c r="M1431">
        <v>0</v>
      </c>
      <c r="N1431" t="s">
        <v>240</v>
      </c>
      <c r="O1431">
        <v>0</v>
      </c>
      <c r="P1431">
        <v>0</v>
      </c>
      <c r="Q1431">
        <f>tblMoeHistory[[#This Row],[Amount of IDEA Part B, Section 611 award]]+tblMoeHistory[[#This Row],[Amount of IDEA Part B, Section 619 award]]</f>
        <v>0</v>
      </c>
      <c r="T1431">
        <v>8997.18</v>
      </c>
      <c r="U14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1" t="str">
        <f>IF(OR(IFERROR(SEARCH("Met",tblMoeHistory[[#This Row],[State and Local Per Capita Result]]),0)&gt;0,IFERROR(SEARCH("Met",tblMoeHistory[[#This Row],[State and Local Total Result]]),0)&gt;0),"Met","Not Met")</f>
        <v>Met</v>
      </c>
    </row>
    <row r="1432" spans="1:22" x14ac:dyDescent="0.35">
      <c r="A1432" t="s">
        <v>73</v>
      </c>
      <c r="B1432">
        <v>2229</v>
      </c>
      <c r="C1432" t="s">
        <v>16</v>
      </c>
      <c r="D1432">
        <v>34</v>
      </c>
      <c r="E1432">
        <v>234011.61</v>
      </c>
      <c r="F1432">
        <v>0</v>
      </c>
      <c r="G1432">
        <f>tblMoeHistory[[#This Row],[LEA State and Local Amount]]+tblMoeHistory[[#This Row],[ESD State and Local Amount]]</f>
        <v>234011.61</v>
      </c>
      <c r="H1432">
        <v>0</v>
      </c>
      <c r="I1432" t="s">
        <v>241</v>
      </c>
      <c r="J1432" s="44">
        <f>IFERROR(tblMoeHistory[[#This Row],[LEA State and Local Amount]]/tblMoeHistory[[#This Row],[Child Count]],0)</f>
        <v>6882.6944117647054</v>
      </c>
      <c r="K1432">
        <f>IFERROR(tblMoeHistory[[#This Row],[ESD State and Local Amount]]/tblMoeHistory[[#This Row],[Child Count]],0)</f>
        <v>0</v>
      </c>
      <c r="L1432" s="1">
        <f>IFERROR(tblMoeHistory[[#This Row],[State and Local Total Amount]]/tblMoeHistory[[#This Row],[Child Count]],0)</f>
        <v>6882.6944117647054</v>
      </c>
      <c r="M1432">
        <v>0</v>
      </c>
      <c r="N1432" t="s">
        <v>241</v>
      </c>
      <c r="O1432">
        <v>48406.85</v>
      </c>
      <c r="P1432">
        <v>485.19</v>
      </c>
      <c r="Q1432">
        <f>tblMoeHistory[[#This Row],[Amount of IDEA Part B, Section 611 award]]+tblMoeHistory[[#This Row],[Amount of IDEA Part B, Section 619 award]]</f>
        <v>48892.04</v>
      </c>
      <c r="U14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2" t="str">
        <f>IF(OR(IFERROR(SEARCH("Met",tblMoeHistory[[#This Row],[State and Local Per Capita Result]]),0)&gt;0,IFERROR(SEARCH("Met",tblMoeHistory[[#This Row],[State and Local Total Result]]),0)&gt;0),"Met","Not Met")</f>
        <v>Met</v>
      </c>
    </row>
    <row r="1433" spans="1:22" x14ac:dyDescent="0.35">
      <c r="A1433" t="s">
        <v>74</v>
      </c>
      <c r="B1433">
        <v>2043</v>
      </c>
      <c r="C1433" t="s">
        <v>16</v>
      </c>
      <c r="D1433">
        <v>508</v>
      </c>
      <c r="E1433">
        <v>3612242.74</v>
      </c>
      <c r="F1433">
        <v>195252.51</v>
      </c>
      <c r="G1433">
        <f>tblMoeHistory[[#This Row],[LEA State and Local Amount]]+tblMoeHistory[[#This Row],[ESD State and Local Amount]]</f>
        <v>3807495.25</v>
      </c>
      <c r="H1433">
        <v>0</v>
      </c>
      <c r="I1433" t="s">
        <v>241</v>
      </c>
      <c r="J1433" s="44">
        <f>IFERROR(tblMoeHistory[[#This Row],[LEA State and Local Amount]]/tblMoeHistory[[#This Row],[Child Count]],0)</f>
        <v>7110.714055118111</v>
      </c>
      <c r="K1433">
        <f>IFERROR(tblMoeHistory[[#This Row],[ESD State and Local Amount]]/tblMoeHistory[[#This Row],[Child Count]],0)</f>
        <v>384.3553346456693</v>
      </c>
      <c r="L1433" s="1">
        <f>IFERROR(tblMoeHistory[[#This Row],[State and Local Total Amount]]/tblMoeHistory[[#This Row],[Child Count]],0)</f>
        <v>7495.0693897637793</v>
      </c>
      <c r="M1433">
        <v>32828.019999999997</v>
      </c>
      <c r="N1433" t="s">
        <v>240</v>
      </c>
      <c r="O1433">
        <v>642266.79</v>
      </c>
      <c r="P1433">
        <v>5669.66</v>
      </c>
      <c r="Q1433">
        <f>tblMoeHistory[[#This Row],[Amount of IDEA Part B, Section 611 award]]+tblMoeHistory[[#This Row],[Amount of IDEA Part B, Section 619 award]]</f>
        <v>647936.45000000007</v>
      </c>
      <c r="T1433">
        <v>305.02</v>
      </c>
      <c r="U14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3" t="str">
        <f>IF(OR(IFERROR(SEARCH("Met",tblMoeHistory[[#This Row],[State and Local Per Capita Result]]),0)&gt;0,IFERROR(SEARCH("Met",tblMoeHistory[[#This Row],[State and Local Total Result]]),0)&gt;0),"Met","Not Met")</f>
        <v>Met</v>
      </c>
    </row>
    <row r="1434" spans="1:22" x14ac:dyDescent="0.35">
      <c r="A1434" t="s">
        <v>75</v>
      </c>
      <c r="B1434">
        <v>2203</v>
      </c>
      <c r="C1434" t="s">
        <v>16</v>
      </c>
      <c r="D1434">
        <v>48</v>
      </c>
      <c r="E1434">
        <v>142946.60999999999</v>
      </c>
      <c r="F1434">
        <v>77533.98</v>
      </c>
      <c r="G1434">
        <f>tblMoeHistory[[#This Row],[LEA State and Local Amount]]+tblMoeHistory[[#This Row],[ESD State and Local Amount]]</f>
        <v>220480.58999999997</v>
      </c>
      <c r="H1434">
        <v>0</v>
      </c>
      <c r="I1434" t="s">
        <v>241</v>
      </c>
      <c r="J1434" s="44">
        <f>IFERROR(tblMoeHistory[[#This Row],[LEA State and Local Amount]]/tblMoeHistory[[#This Row],[Child Count]],0)</f>
        <v>2978.0543749999997</v>
      </c>
      <c r="K1434">
        <f>IFERROR(tblMoeHistory[[#This Row],[ESD State and Local Amount]]/tblMoeHistory[[#This Row],[Child Count]],0)</f>
        <v>1615.29125</v>
      </c>
      <c r="L1434" s="1">
        <f>IFERROR(tblMoeHistory[[#This Row],[State and Local Total Amount]]/tblMoeHistory[[#This Row],[Child Count]],0)</f>
        <v>4593.345624999999</v>
      </c>
      <c r="M1434">
        <v>20854.97</v>
      </c>
      <c r="N1434" t="s">
        <v>240</v>
      </c>
      <c r="O1434">
        <v>43279.29</v>
      </c>
      <c r="P1434">
        <v>0</v>
      </c>
      <c r="Q1434">
        <f>tblMoeHistory[[#This Row],[Amount of IDEA Part B, Section 611 award]]+tblMoeHistory[[#This Row],[Amount of IDEA Part B, Section 619 award]]</f>
        <v>43279.29</v>
      </c>
      <c r="T1434">
        <v>501.14</v>
      </c>
      <c r="U14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4" t="str">
        <f>IF(OR(IFERROR(SEARCH("Met",tblMoeHistory[[#This Row],[State and Local Per Capita Result]]),0)&gt;0,IFERROR(SEARCH("Met",tblMoeHistory[[#This Row],[State and Local Total Result]]),0)&gt;0),"Met","Not Met")</f>
        <v>Met</v>
      </c>
    </row>
    <row r="1435" spans="1:22" x14ac:dyDescent="0.35">
      <c r="A1435" t="s">
        <v>76</v>
      </c>
      <c r="B1435">
        <v>2217</v>
      </c>
      <c r="C1435" t="s">
        <v>16</v>
      </c>
      <c r="D1435">
        <v>47</v>
      </c>
      <c r="E1435">
        <v>338511.41</v>
      </c>
      <c r="F1435">
        <v>85907.64</v>
      </c>
      <c r="G1435">
        <f>tblMoeHistory[[#This Row],[LEA State and Local Amount]]+tblMoeHistory[[#This Row],[ESD State and Local Amount]]</f>
        <v>424419.05</v>
      </c>
      <c r="H1435">
        <v>0</v>
      </c>
      <c r="I1435" t="s">
        <v>242</v>
      </c>
      <c r="J1435" s="44">
        <f>IFERROR(tblMoeHistory[[#This Row],[LEA State and Local Amount]]/tblMoeHistory[[#This Row],[Child Count]],0)</f>
        <v>7202.3704255319144</v>
      </c>
      <c r="K1435">
        <f>IFERROR(tblMoeHistory[[#This Row],[ESD State and Local Amount]]/tblMoeHistory[[#This Row],[Child Count]],0)</f>
        <v>1827.8221276595746</v>
      </c>
      <c r="L1435" s="1">
        <f>IFERROR(tblMoeHistory[[#This Row],[State and Local Total Amount]]/tblMoeHistory[[#This Row],[Child Count]],0)</f>
        <v>9030.1925531914894</v>
      </c>
      <c r="M1435">
        <v>0</v>
      </c>
      <c r="N1435" t="s">
        <v>242</v>
      </c>
      <c r="O1435">
        <v>68718.66</v>
      </c>
      <c r="P1435">
        <v>80.87</v>
      </c>
      <c r="Q1435">
        <f>tblMoeHistory[[#This Row],[Amount of IDEA Part B, Section 611 award]]+tblMoeHistory[[#This Row],[Amount of IDEA Part B, Section 619 award]]</f>
        <v>68799.53</v>
      </c>
      <c r="S1435">
        <v>46491.82</v>
      </c>
      <c r="T1435">
        <v>948.81</v>
      </c>
      <c r="U14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5" t="str">
        <f>IF(OR(IFERROR(SEARCH("Met",tblMoeHistory[[#This Row],[State and Local Per Capita Result]]),0)&gt;0,IFERROR(SEARCH("Met",tblMoeHistory[[#This Row],[State and Local Total Result]]),0)&gt;0),"Met","Not Met")</f>
        <v>Met</v>
      </c>
    </row>
    <row r="1436" spans="1:22" x14ac:dyDescent="0.35">
      <c r="A1436" t="s">
        <v>77</v>
      </c>
      <c r="B1436">
        <v>1998</v>
      </c>
      <c r="C1436" t="s">
        <v>16</v>
      </c>
      <c r="D1436">
        <v>26</v>
      </c>
      <c r="E1436">
        <v>181718.86</v>
      </c>
      <c r="F1436">
        <v>39813.519999999997</v>
      </c>
      <c r="G1436">
        <f>tblMoeHistory[[#This Row],[LEA State and Local Amount]]+tblMoeHistory[[#This Row],[ESD State and Local Amount]]</f>
        <v>221532.37999999998</v>
      </c>
      <c r="H1436">
        <v>0</v>
      </c>
      <c r="I1436" t="s">
        <v>241</v>
      </c>
      <c r="J1436" s="44">
        <f>IFERROR(tblMoeHistory[[#This Row],[LEA State and Local Amount]]/tblMoeHistory[[#This Row],[Child Count]],0)</f>
        <v>6989.1869230769225</v>
      </c>
      <c r="K1436">
        <f>IFERROR(tblMoeHistory[[#This Row],[ESD State and Local Amount]]/tblMoeHistory[[#This Row],[Child Count]],0)</f>
        <v>1531.2892307692307</v>
      </c>
      <c r="L1436" s="1">
        <f>IFERROR(tblMoeHistory[[#This Row],[State and Local Total Amount]]/tblMoeHistory[[#This Row],[Child Count]],0)</f>
        <v>8520.4761538461535</v>
      </c>
      <c r="M1436">
        <v>0</v>
      </c>
      <c r="N1436" t="s">
        <v>241</v>
      </c>
      <c r="O1436">
        <v>41687.31</v>
      </c>
      <c r="P1436">
        <v>485.19</v>
      </c>
      <c r="Q1436">
        <f>tblMoeHistory[[#This Row],[Amount of IDEA Part B, Section 611 award]]+tblMoeHistory[[#This Row],[Amount of IDEA Part B, Section 619 award]]</f>
        <v>42172.5</v>
      </c>
      <c r="U14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6" t="str">
        <f>IF(OR(IFERROR(SEARCH("Met",tblMoeHistory[[#This Row],[State and Local Per Capita Result]]),0)&gt;0,IFERROR(SEARCH("Met",tblMoeHistory[[#This Row],[State and Local Total Result]]),0)&gt;0),"Met","Not Met")</f>
        <v>Met</v>
      </c>
    </row>
    <row r="1437" spans="1:22" x14ac:dyDescent="0.35">
      <c r="A1437" t="s">
        <v>78</v>
      </c>
      <c r="B1437">
        <v>2221</v>
      </c>
      <c r="C1437" t="s">
        <v>16</v>
      </c>
      <c r="D1437">
        <v>63</v>
      </c>
      <c r="E1437">
        <v>66076.320000000007</v>
      </c>
      <c r="F1437">
        <v>338607.85</v>
      </c>
      <c r="G1437">
        <f>tblMoeHistory[[#This Row],[LEA State and Local Amount]]+tblMoeHistory[[#This Row],[ESD State and Local Amount]]</f>
        <v>404684.17</v>
      </c>
      <c r="H1437">
        <v>0</v>
      </c>
      <c r="I1437" t="s">
        <v>241</v>
      </c>
      <c r="J1437" s="44">
        <f>IFERROR(tblMoeHistory[[#This Row],[LEA State and Local Amount]]/tblMoeHistory[[#This Row],[Child Count]],0)</f>
        <v>1048.8304761904762</v>
      </c>
      <c r="K1437">
        <f>IFERROR(tblMoeHistory[[#This Row],[ESD State and Local Amount]]/tblMoeHistory[[#This Row],[Child Count]],0)</f>
        <v>5374.7277777777772</v>
      </c>
      <c r="L1437" s="1">
        <f>IFERROR(tblMoeHistory[[#This Row],[State and Local Total Amount]]/tblMoeHistory[[#This Row],[Child Count]],0)</f>
        <v>6423.5582539682537</v>
      </c>
      <c r="M1437">
        <v>0</v>
      </c>
      <c r="N1437" t="s">
        <v>241</v>
      </c>
      <c r="O1437">
        <v>99820.08</v>
      </c>
      <c r="P1437">
        <v>808.65</v>
      </c>
      <c r="Q1437">
        <f>tblMoeHistory[[#This Row],[Amount of IDEA Part B, Section 611 award]]+tblMoeHistory[[#This Row],[Amount of IDEA Part B, Section 619 award]]</f>
        <v>100628.73</v>
      </c>
      <c r="U14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7" t="str">
        <f>IF(OR(IFERROR(SEARCH("Met",tblMoeHistory[[#This Row],[State and Local Per Capita Result]]),0)&gt;0,IFERROR(SEARCH("Met",tblMoeHistory[[#This Row],[State and Local Total Result]]),0)&gt;0),"Met","Not Met")</f>
        <v>Met</v>
      </c>
    </row>
    <row r="1438" spans="1:22" x14ac:dyDescent="0.35">
      <c r="A1438" t="s">
        <v>79</v>
      </c>
      <c r="B1438">
        <v>1930</v>
      </c>
      <c r="C1438" t="s">
        <v>16</v>
      </c>
      <c r="D1438">
        <v>302</v>
      </c>
      <c r="E1438">
        <v>2556157.4900000002</v>
      </c>
      <c r="F1438">
        <v>415153</v>
      </c>
      <c r="G1438">
        <f>tblMoeHistory[[#This Row],[LEA State and Local Amount]]+tblMoeHistory[[#This Row],[ESD State and Local Amount]]</f>
        <v>2971310.49</v>
      </c>
      <c r="H1438">
        <v>108034.63</v>
      </c>
      <c r="I1438" t="s">
        <v>242</v>
      </c>
      <c r="J1438" s="44">
        <f>IFERROR(tblMoeHistory[[#This Row],[LEA State and Local Amount]]/tblMoeHistory[[#This Row],[Child Count]],0)</f>
        <v>8464.0976490066241</v>
      </c>
      <c r="K1438">
        <f>IFERROR(tblMoeHistory[[#This Row],[ESD State and Local Amount]]/tblMoeHistory[[#This Row],[Child Count]],0)</f>
        <v>1374.6788079470198</v>
      </c>
      <c r="L1438" s="1">
        <f>IFERROR(tblMoeHistory[[#This Row],[State and Local Total Amount]]/tblMoeHistory[[#This Row],[Child Count]],0)</f>
        <v>9838.776456953643</v>
      </c>
      <c r="M1438">
        <v>373877.37</v>
      </c>
      <c r="N1438" t="s">
        <v>240</v>
      </c>
      <c r="O1438">
        <v>412425.18</v>
      </c>
      <c r="P1438">
        <v>3089.91</v>
      </c>
      <c r="Q1438">
        <f>tblMoeHistory[[#This Row],[Amount of IDEA Part B, Section 611 award]]+tblMoeHistory[[#This Row],[Amount of IDEA Part B, Section 619 award]]</f>
        <v>415515.08999999997</v>
      </c>
      <c r="S1438">
        <v>307981.3</v>
      </c>
      <c r="T1438">
        <v>1107.8499999999999</v>
      </c>
      <c r="U14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8" t="str">
        <f>IF(OR(IFERROR(SEARCH("Met",tblMoeHistory[[#This Row],[State and Local Per Capita Result]]),0)&gt;0,IFERROR(SEARCH("Met",tblMoeHistory[[#This Row],[State and Local Total Result]]),0)&gt;0),"Met","Not Met")</f>
        <v>Met</v>
      </c>
    </row>
    <row r="1439" spans="1:22" x14ac:dyDescent="0.35">
      <c r="A1439" t="s">
        <v>80</v>
      </c>
      <c r="B1439">
        <v>2082</v>
      </c>
      <c r="C1439" t="s">
        <v>16</v>
      </c>
      <c r="D1439">
        <v>2301</v>
      </c>
      <c r="E1439">
        <v>23199107.48</v>
      </c>
      <c r="F1439">
        <v>3525070</v>
      </c>
      <c r="G1439">
        <f>tblMoeHistory[[#This Row],[LEA State and Local Amount]]+tblMoeHistory[[#This Row],[ESD State and Local Amount]]</f>
        <v>26724177.48</v>
      </c>
      <c r="H1439">
        <v>0</v>
      </c>
      <c r="I1439" t="s">
        <v>241</v>
      </c>
      <c r="J1439" s="44">
        <f>IFERROR(tblMoeHistory[[#This Row],[LEA State and Local Amount]]/tblMoeHistory[[#This Row],[Child Count]],0)</f>
        <v>10082.184910908301</v>
      </c>
      <c r="K1439">
        <f>IFERROR(tblMoeHistory[[#This Row],[ESD State and Local Amount]]/tblMoeHistory[[#This Row],[Child Count]],0)</f>
        <v>1531.9730551933942</v>
      </c>
      <c r="L1439" s="1">
        <f>IFERROR(tblMoeHistory[[#This Row],[State and Local Total Amount]]/tblMoeHistory[[#This Row],[Child Count]],0)</f>
        <v>11614.157966101695</v>
      </c>
      <c r="M1439">
        <v>0</v>
      </c>
      <c r="N1439" t="s">
        <v>241</v>
      </c>
      <c r="O1439">
        <v>3165267.24</v>
      </c>
      <c r="P1439">
        <v>28486.51</v>
      </c>
      <c r="Q1439">
        <f>tblMoeHistory[[#This Row],[Amount of IDEA Part B, Section 611 award]]+tblMoeHistory[[#This Row],[Amount of IDEA Part B, Section 619 award]]</f>
        <v>3193753.75</v>
      </c>
      <c r="U14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9" t="str">
        <f>IF(OR(IFERROR(SEARCH("Met",tblMoeHistory[[#This Row],[State and Local Per Capita Result]]),0)&gt;0,IFERROR(SEARCH("Met",tblMoeHistory[[#This Row],[State and Local Total Result]]),0)&gt;0),"Met","Not Met")</f>
        <v>Met</v>
      </c>
    </row>
    <row r="1440" spans="1:22" x14ac:dyDescent="0.35">
      <c r="A1440" t="s">
        <v>81</v>
      </c>
      <c r="B1440">
        <v>2193</v>
      </c>
      <c r="C1440" t="s">
        <v>16</v>
      </c>
      <c r="D1440">
        <v>40</v>
      </c>
      <c r="E1440">
        <v>322936.46999999997</v>
      </c>
      <c r="F1440">
        <v>42743.81</v>
      </c>
      <c r="G1440">
        <f>tblMoeHistory[[#This Row],[LEA State and Local Amount]]+tblMoeHistory[[#This Row],[ESD State and Local Amount]]</f>
        <v>365680.27999999997</v>
      </c>
      <c r="H1440">
        <v>0</v>
      </c>
      <c r="I1440" t="s">
        <v>241</v>
      </c>
      <c r="J1440" s="44">
        <f>IFERROR(tblMoeHistory[[#This Row],[LEA State and Local Amount]]/tblMoeHistory[[#This Row],[Child Count]],0)</f>
        <v>8073.4117499999993</v>
      </c>
      <c r="K1440">
        <f>IFERROR(tblMoeHistory[[#This Row],[ESD State and Local Amount]]/tblMoeHistory[[#This Row],[Child Count]],0)</f>
        <v>1068.5952499999999</v>
      </c>
      <c r="L1440" s="1">
        <f>IFERROR(tblMoeHistory[[#This Row],[State and Local Total Amount]]/tblMoeHistory[[#This Row],[Child Count]],0)</f>
        <v>9142.0069999999996</v>
      </c>
      <c r="M1440">
        <v>44335.77</v>
      </c>
      <c r="N1440" t="s">
        <v>240</v>
      </c>
      <c r="O1440">
        <v>41152.47</v>
      </c>
      <c r="P1440">
        <v>0</v>
      </c>
      <c r="Q1440">
        <f>tblMoeHistory[[#This Row],[Amount of IDEA Part B, Section 611 award]]+tblMoeHistory[[#This Row],[Amount of IDEA Part B, Section 619 award]]</f>
        <v>41152.47</v>
      </c>
      <c r="T1440">
        <v>0</v>
      </c>
      <c r="U14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0" t="str">
        <f>IF(OR(IFERROR(SEARCH("Met",tblMoeHistory[[#This Row],[State and Local Per Capita Result]]),0)&gt;0,IFERROR(SEARCH("Met",tblMoeHistory[[#This Row],[State and Local Total Result]]),0)&gt;0),"Met","Not Met")</f>
        <v>Met</v>
      </c>
    </row>
    <row r="1441" spans="1:22" x14ac:dyDescent="0.35">
      <c r="A1441" t="s">
        <v>82</v>
      </c>
      <c r="B1441">
        <v>2084</v>
      </c>
      <c r="C1441" t="s">
        <v>16</v>
      </c>
      <c r="D1441">
        <v>239</v>
      </c>
      <c r="E1441">
        <v>2927536.08</v>
      </c>
      <c r="F1441">
        <v>256341</v>
      </c>
      <c r="G1441">
        <f>tblMoeHistory[[#This Row],[LEA State and Local Amount]]+tblMoeHistory[[#This Row],[ESD State and Local Amount]]</f>
        <v>3183877.08</v>
      </c>
      <c r="H1441">
        <v>0</v>
      </c>
      <c r="I1441" t="s">
        <v>241</v>
      </c>
      <c r="J1441" s="44">
        <f>IFERROR(tblMoeHistory[[#This Row],[LEA State and Local Amount]]/tblMoeHistory[[#This Row],[Child Count]],0)</f>
        <v>12249.104937238493</v>
      </c>
      <c r="K1441">
        <f>IFERROR(tblMoeHistory[[#This Row],[ESD State and Local Amount]]/tblMoeHistory[[#This Row],[Child Count]],0)</f>
        <v>1072.5564853556486</v>
      </c>
      <c r="L1441" s="1">
        <f>IFERROR(tblMoeHistory[[#This Row],[State and Local Total Amount]]/tblMoeHistory[[#This Row],[Child Count]],0)</f>
        <v>13321.661422594143</v>
      </c>
      <c r="M1441">
        <v>0</v>
      </c>
      <c r="N1441" t="s">
        <v>241</v>
      </c>
      <c r="O1441">
        <v>330127.68</v>
      </c>
      <c r="P1441">
        <v>1299.6199999999999</v>
      </c>
      <c r="Q1441">
        <f>tblMoeHistory[[#This Row],[Amount of IDEA Part B, Section 611 award]]+tblMoeHistory[[#This Row],[Amount of IDEA Part B, Section 619 award]]</f>
        <v>331427.3</v>
      </c>
      <c r="U14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1" t="str">
        <f>IF(OR(IFERROR(SEARCH("Met",tblMoeHistory[[#This Row],[State and Local Per Capita Result]]),0)&gt;0,IFERROR(SEARCH("Met",tblMoeHistory[[#This Row],[State and Local Total Result]]),0)&gt;0),"Met","Not Met")</f>
        <v>Met</v>
      </c>
    </row>
    <row r="1442" spans="1:22" x14ac:dyDescent="0.35">
      <c r="A1442" t="s">
        <v>83</v>
      </c>
      <c r="B1442">
        <v>2241</v>
      </c>
      <c r="C1442" t="s">
        <v>16</v>
      </c>
      <c r="D1442">
        <v>897</v>
      </c>
      <c r="E1442">
        <v>11937794</v>
      </c>
      <c r="F1442">
        <v>415245</v>
      </c>
      <c r="G1442">
        <f>tblMoeHistory[[#This Row],[LEA State and Local Amount]]+tblMoeHistory[[#This Row],[ESD State and Local Amount]]</f>
        <v>12353039</v>
      </c>
      <c r="H1442">
        <v>0</v>
      </c>
      <c r="I1442" t="s">
        <v>241</v>
      </c>
      <c r="J1442" s="44">
        <f>IFERROR(tblMoeHistory[[#This Row],[LEA State and Local Amount]]/tblMoeHistory[[#This Row],[Child Count]],0)</f>
        <v>13308.577480490523</v>
      </c>
      <c r="K1442">
        <f>IFERROR(tblMoeHistory[[#This Row],[ESD State and Local Amount]]/tblMoeHistory[[#This Row],[Child Count]],0)</f>
        <v>462.92642140468229</v>
      </c>
      <c r="L1442" s="1">
        <f>IFERROR(tblMoeHistory[[#This Row],[State and Local Total Amount]]/tblMoeHistory[[#This Row],[Child Count]],0)</f>
        <v>13771.503901895207</v>
      </c>
      <c r="M1442">
        <v>0</v>
      </c>
      <c r="N1442" t="s">
        <v>241</v>
      </c>
      <c r="O1442">
        <v>875711.49</v>
      </c>
      <c r="P1442">
        <v>4753.66</v>
      </c>
      <c r="Q1442">
        <f>tblMoeHistory[[#This Row],[Amount of IDEA Part B, Section 611 award]]+tblMoeHistory[[#This Row],[Amount of IDEA Part B, Section 619 award]]</f>
        <v>880465.15</v>
      </c>
      <c r="U14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2" t="str">
        <f>IF(OR(IFERROR(SEARCH("Met",tblMoeHistory[[#This Row],[State and Local Per Capita Result]]),0)&gt;0,IFERROR(SEARCH("Met",tblMoeHistory[[#This Row],[State and Local Total Result]]),0)&gt;0),"Met","Not Met")</f>
        <v>Met</v>
      </c>
    </row>
    <row r="1443" spans="1:22" x14ac:dyDescent="0.35">
      <c r="A1443" t="s">
        <v>84</v>
      </c>
      <c r="B1443">
        <v>2248</v>
      </c>
      <c r="C1443" t="s">
        <v>16</v>
      </c>
      <c r="D1443">
        <v>32</v>
      </c>
      <c r="E1443">
        <v>112091.84</v>
      </c>
      <c r="F1443">
        <v>71498</v>
      </c>
      <c r="G1443">
        <f>tblMoeHistory[[#This Row],[LEA State and Local Amount]]+tblMoeHistory[[#This Row],[ESD State and Local Amount]]</f>
        <v>183589.84</v>
      </c>
      <c r="H1443">
        <v>63044.81</v>
      </c>
      <c r="I1443" t="s">
        <v>240</v>
      </c>
      <c r="J1443" s="44">
        <f>IFERROR(tblMoeHistory[[#This Row],[LEA State and Local Amount]]/tblMoeHistory[[#This Row],[Child Count]],0)</f>
        <v>3502.87</v>
      </c>
      <c r="K1443">
        <f>IFERROR(tblMoeHistory[[#This Row],[ESD State and Local Amount]]/tblMoeHistory[[#This Row],[Child Count]],0)</f>
        <v>2234.3125</v>
      </c>
      <c r="L1443" s="1">
        <f>IFERROR(tblMoeHistory[[#This Row],[State and Local Total Amount]]/tblMoeHistory[[#This Row],[Child Count]],0)</f>
        <v>5737.1824999999999</v>
      </c>
      <c r="M1443">
        <v>63044.81</v>
      </c>
      <c r="N1443" t="s">
        <v>240</v>
      </c>
      <c r="O1443">
        <v>55554.1</v>
      </c>
      <c r="P1443">
        <v>0</v>
      </c>
      <c r="Q1443">
        <f>tblMoeHistory[[#This Row],[Amount of IDEA Part B, Section 611 award]]+tblMoeHistory[[#This Row],[Amount of IDEA Part B, Section 619 award]]</f>
        <v>55554.1</v>
      </c>
      <c r="S1443">
        <v>0</v>
      </c>
      <c r="T1443">
        <v>0</v>
      </c>
      <c r="U14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55554.1</v>
      </c>
      <c r="V1443" t="str">
        <f>IF(OR(IFERROR(SEARCH("Met",tblMoeHistory[[#This Row],[State and Local Per Capita Result]]),0)&gt;0,IFERROR(SEARCH("Met",tblMoeHistory[[#This Row],[State and Local Total Result]]),0)&gt;0),"Met","Not Met")</f>
        <v>Not Met</v>
      </c>
    </row>
    <row r="1444" spans="1:22" x14ac:dyDescent="0.35">
      <c r="A1444" t="s">
        <v>85</v>
      </c>
      <c r="B1444">
        <v>2020</v>
      </c>
      <c r="C1444" t="s">
        <v>16</v>
      </c>
      <c r="D1444">
        <v>15</v>
      </c>
      <c r="E1444">
        <v>7383.74</v>
      </c>
      <c r="F1444">
        <v>4240.82</v>
      </c>
      <c r="G1444">
        <f>tblMoeHistory[[#This Row],[LEA State and Local Amount]]+tblMoeHistory[[#This Row],[ESD State and Local Amount]]</f>
        <v>11624.56</v>
      </c>
      <c r="H1444">
        <v>54065.94</v>
      </c>
      <c r="I1444" t="s">
        <v>240</v>
      </c>
      <c r="J1444" s="44">
        <f>IFERROR(tblMoeHistory[[#This Row],[LEA State and Local Amount]]/tblMoeHistory[[#This Row],[Child Count]],0)</f>
        <v>492.24933333333331</v>
      </c>
      <c r="K1444">
        <f>IFERROR(tblMoeHistory[[#This Row],[ESD State and Local Amount]]/tblMoeHistory[[#This Row],[Child Count]],0)</f>
        <v>282.72133333333329</v>
      </c>
      <c r="L1444" s="1">
        <f>IFERROR(tblMoeHistory[[#This Row],[State and Local Total Amount]]/tblMoeHistory[[#This Row],[Child Count]],0)</f>
        <v>774.9706666666666</v>
      </c>
      <c r="M1444">
        <v>0</v>
      </c>
      <c r="N1444" t="s">
        <v>242</v>
      </c>
      <c r="O1444">
        <v>0</v>
      </c>
      <c r="P1444">
        <v>0</v>
      </c>
      <c r="Q1444">
        <f>tblMoeHistory[[#This Row],[Amount of IDEA Part B, Section 611 award]]+tblMoeHistory[[#This Row],[Amount of IDEA Part B, Section 619 award]]</f>
        <v>0</v>
      </c>
      <c r="S1444">
        <v>30655.57</v>
      </c>
      <c r="T1444">
        <v>30655.57</v>
      </c>
      <c r="U14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4" t="str">
        <f>IF(OR(IFERROR(SEARCH("Met",tblMoeHistory[[#This Row],[State and Local Per Capita Result]]),0)&gt;0,IFERROR(SEARCH("Met",tblMoeHistory[[#This Row],[State and Local Total Result]]),0)&gt;0),"Met","Not Met")</f>
        <v>Met</v>
      </c>
    </row>
    <row r="1445" spans="1:22" x14ac:dyDescent="0.35">
      <c r="A1445" t="s">
        <v>86</v>
      </c>
      <c r="B1445">
        <v>2245</v>
      </c>
      <c r="C1445" t="s">
        <v>16</v>
      </c>
      <c r="D1445">
        <v>90</v>
      </c>
      <c r="E1445">
        <v>876287.04</v>
      </c>
      <c r="F1445">
        <v>21305</v>
      </c>
      <c r="G1445">
        <f>tblMoeHistory[[#This Row],[LEA State and Local Amount]]+tblMoeHistory[[#This Row],[ESD State and Local Amount]]</f>
        <v>897592.04</v>
      </c>
      <c r="H1445">
        <v>0</v>
      </c>
      <c r="I1445" t="s">
        <v>241</v>
      </c>
      <c r="J1445" s="44">
        <f>IFERROR(tblMoeHistory[[#This Row],[LEA State and Local Amount]]/tblMoeHistory[[#This Row],[Child Count]],0)</f>
        <v>9736.5226666666676</v>
      </c>
      <c r="K1445">
        <f>IFERROR(tblMoeHistory[[#This Row],[ESD State and Local Amount]]/tblMoeHistory[[#This Row],[Child Count]],0)</f>
        <v>236.72222222222223</v>
      </c>
      <c r="L1445" s="1">
        <f>IFERROR(tblMoeHistory[[#This Row],[State and Local Total Amount]]/tblMoeHistory[[#This Row],[Child Count]],0)</f>
        <v>9973.2448888888885</v>
      </c>
      <c r="M1445">
        <v>39069.449999999997</v>
      </c>
      <c r="N1445" t="s">
        <v>240</v>
      </c>
      <c r="O1445">
        <v>98896.27</v>
      </c>
      <c r="P1445">
        <v>661.63</v>
      </c>
      <c r="Q1445">
        <f>tblMoeHistory[[#This Row],[Amount of IDEA Part B, Section 611 award]]+tblMoeHistory[[#This Row],[Amount of IDEA Part B, Section 619 award]]</f>
        <v>99557.900000000009</v>
      </c>
      <c r="T1445">
        <v>0</v>
      </c>
      <c r="U14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5" t="str">
        <f>IF(OR(IFERROR(SEARCH("Met",tblMoeHistory[[#This Row],[State and Local Per Capita Result]]),0)&gt;0,IFERROR(SEARCH("Met",tblMoeHistory[[#This Row],[State and Local Total Result]]),0)&gt;0),"Met","Not Met")</f>
        <v>Met</v>
      </c>
    </row>
    <row r="1446" spans="1:22" x14ac:dyDescent="0.35">
      <c r="A1446" t="s">
        <v>87</v>
      </c>
      <c r="B1446">
        <v>2137</v>
      </c>
      <c r="C1446" t="s">
        <v>16</v>
      </c>
      <c r="D1446">
        <v>133</v>
      </c>
      <c r="E1446">
        <v>1259840.6000000001</v>
      </c>
      <c r="F1446">
        <v>187305.37</v>
      </c>
      <c r="G1446">
        <f>tblMoeHistory[[#This Row],[LEA State and Local Amount]]+tblMoeHistory[[#This Row],[ESD State and Local Amount]]</f>
        <v>1447145.9700000002</v>
      </c>
      <c r="H1446">
        <v>0</v>
      </c>
      <c r="I1446" t="s">
        <v>241</v>
      </c>
      <c r="J1446" s="44">
        <f>IFERROR(tblMoeHistory[[#This Row],[LEA State and Local Amount]]/tblMoeHistory[[#This Row],[Child Count]],0)</f>
        <v>9472.4857142857145</v>
      </c>
      <c r="K1446">
        <f>IFERROR(tblMoeHistory[[#This Row],[ESD State and Local Amount]]/tblMoeHistory[[#This Row],[Child Count]],0)</f>
        <v>1408.3110526315788</v>
      </c>
      <c r="L1446" s="1">
        <f>IFERROR(tblMoeHistory[[#This Row],[State and Local Total Amount]]/tblMoeHistory[[#This Row],[Child Count]],0)</f>
        <v>10880.796766917294</v>
      </c>
      <c r="M1446">
        <v>0</v>
      </c>
      <c r="N1446" t="s">
        <v>241</v>
      </c>
      <c r="O1446">
        <v>188336.81</v>
      </c>
      <c r="P1446">
        <v>1567.54</v>
      </c>
      <c r="Q1446">
        <f>tblMoeHistory[[#This Row],[Amount of IDEA Part B, Section 611 award]]+tblMoeHistory[[#This Row],[Amount of IDEA Part B, Section 619 award]]</f>
        <v>189904.35</v>
      </c>
      <c r="U14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6" t="str">
        <f>IF(OR(IFERROR(SEARCH("Met",tblMoeHistory[[#This Row],[State and Local Per Capita Result]]),0)&gt;0,IFERROR(SEARCH("Met",tblMoeHistory[[#This Row],[State and Local Total Result]]),0)&gt;0),"Met","Not Met")</f>
        <v>Met</v>
      </c>
    </row>
    <row r="1447" spans="1:22" x14ac:dyDescent="0.35">
      <c r="A1447" t="s">
        <v>88</v>
      </c>
      <c r="B1447">
        <v>1931</v>
      </c>
      <c r="C1447" t="s">
        <v>16</v>
      </c>
      <c r="D1447">
        <v>280</v>
      </c>
      <c r="E1447">
        <v>3336897</v>
      </c>
      <c r="F1447">
        <v>215571</v>
      </c>
      <c r="G1447">
        <f>tblMoeHistory[[#This Row],[LEA State and Local Amount]]+tblMoeHistory[[#This Row],[ESD State and Local Amount]]</f>
        <v>3552468</v>
      </c>
      <c r="H1447">
        <v>0</v>
      </c>
      <c r="I1447" t="s">
        <v>241</v>
      </c>
      <c r="J1447" s="44">
        <f>IFERROR(tblMoeHistory[[#This Row],[LEA State and Local Amount]]/tblMoeHistory[[#This Row],[Child Count]],0)</f>
        <v>11917.489285714286</v>
      </c>
      <c r="K1447">
        <f>IFERROR(tblMoeHistory[[#This Row],[ESD State and Local Amount]]/tblMoeHistory[[#This Row],[Child Count]],0)</f>
        <v>769.8964285714286</v>
      </c>
      <c r="L1447" s="1">
        <f>IFERROR(tblMoeHistory[[#This Row],[State and Local Total Amount]]/tblMoeHistory[[#This Row],[Child Count]],0)</f>
        <v>12687.385714285714</v>
      </c>
      <c r="M1447">
        <v>0</v>
      </c>
      <c r="N1447" t="s">
        <v>241</v>
      </c>
      <c r="O1447">
        <v>341260.82</v>
      </c>
      <c r="P1447">
        <v>671.8</v>
      </c>
      <c r="Q1447">
        <f>tblMoeHistory[[#This Row],[Amount of IDEA Part B, Section 611 award]]+tblMoeHistory[[#This Row],[Amount of IDEA Part B, Section 619 award]]</f>
        <v>341932.62</v>
      </c>
      <c r="U14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7" t="str">
        <f>IF(OR(IFERROR(SEARCH("Met",tblMoeHistory[[#This Row],[State and Local Per Capita Result]]),0)&gt;0,IFERROR(SEARCH("Met",tblMoeHistory[[#This Row],[State and Local Total Result]]),0)&gt;0),"Met","Not Met")</f>
        <v>Met</v>
      </c>
    </row>
    <row r="1448" spans="1:22" x14ac:dyDescent="0.35">
      <c r="A1448" t="s">
        <v>89</v>
      </c>
      <c r="B1448">
        <v>2000</v>
      </c>
      <c r="C1448" t="s">
        <v>16</v>
      </c>
      <c r="D1448">
        <v>46</v>
      </c>
      <c r="E1448">
        <v>435130.06</v>
      </c>
      <c r="F1448">
        <v>98497.68</v>
      </c>
      <c r="G1448">
        <f>tblMoeHistory[[#This Row],[LEA State and Local Amount]]+tblMoeHistory[[#This Row],[ESD State and Local Amount]]</f>
        <v>533627.74</v>
      </c>
      <c r="H1448">
        <v>0</v>
      </c>
      <c r="I1448" t="s">
        <v>241</v>
      </c>
      <c r="J1448" s="44">
        <f>IFERROR(tblMoeHistory[[#This Row],[LEA State and Local Amount]]/tblMoeHistory[[#This Row],[Child Count]],0)</f>
        <v>9459.3491304347826</v>
      </c>
      <c r="K1448">
        <f>IFERROR(tblMoeHistory[[#This Row],[ESD State and Local Amount]]/tblMoeHistory[[#This Row],[Child Count]],0)</f>
        <v>2141.253913043478</v>
      </c>
      <c r="L1448" s="1">
        <f>IFERROR(tblMoeHistory[[#This Row],[State and Local Total Amount]]/tblMoeHistory[[#This Row],[Child Count]],0)</f>
        <v>11600.603043478261</v>
      </c>
      <c r="M1448">
        <v>0</v>
      </c>
      <c r="N1448" t="s">
        <v>241</v>
      </c>
      <c r="O1448">
        <v>54134.2</v>
      </c>
      <c r="P1448">
        <v>121.3</v>
      </c>
      <c r="Q1448">
        <f>tblMoeHistory[[#This Row],[Amount of IDEA Part B, Section 611 award]]+tblMoeHistory[[#This Row],[Amount of IDEA Part B, Section 619 award]]</f>
        <v>54255.5</v>
      </c>
      <c r="U14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8" t="str">
        <f>IF(OR(IFERROR(SEARCH("Met",tblMoeHistory[[#This Row],[State and Local Per Capita Result]]),0)&gt;0,IFERROR(SEARCH("Met",tblMoeHistory[[#This Row],[State and Local Total Result]]),0)&gt;0),"Met","Not Met")</f>
        <v>Met</v>
      </c>
    </row>
    <row r="1449" spans="1:22" x14ac:dyDescent="0.35">
      <c r="A1449" t="s">
        <v>90</v>
      </c>
      <c r="B1449">
        <v>1992</v>
      </c>
      <c r="C1449" t="s">
        <v>16</v>
      </c>
      <c r="D1449">
        <v>85</v>
      </c>
      <c r="E1449">
        <v>589615.06999999995</v>
      </c>
      <c r="F1449">
        <v>156494.63</v>
      </c>
      <c r="G1449">
        <f>tblMoeHistory[[#This Row],[LEA State and Local Amount]]+tblMoeHistory[[#This Row],[ESD State and Local Amount]]</f>
        <v>746109.7</v>
      </c>
      <c r="H1449">
        <v>0</v>
      </c>
      <c r="I1449" t="s">
        <v>241</v>
      </c>
      <c r="J1449" s="44">
        <f>IFERROR(tblMoeHistory[[#This Row],[LEA State and Local Amount]]/tblMoeHistory[[#This Row],[Child Count]],0)</f>
        <v>6936.6478823529405</v>
      </c>
      <c r="K1449">
        <f>IFERROR(tblMoeHistory[[#This Row],[ESD State and Local Amount]]/tblMoeHistory[[#This Row],[Child Count]],0)</f>
        <v>1841.113294117647</v>
      </c>
      <c r="L1449" s="1">
        <f>IFERROR(tblMoeHistory[[#This Row],[State and Local Total Amount]]/tblMoeHistory[[#This Row],[Child Count]],0)</f>
        <v>8777.7611764705871</v>
      </c>
      <c r="M1449">
        <v>0</v>
      </c>
      <c r="N1449" t="s">
        <v>241</v>
      </c>
      <c r="O1449">
        <v>156829.70000000001</v>
      </c>
      <c r="P1449">
        <v>352.87</v>
      </c>
      <c r="Q1449">
        <f>tblMoeHistory[[#This Row],[Amount of IDEA Part B, Section 611 award]]+tblMoeHistory[[#This Row],[Amount of IDEA Part B, Section 619 award]]</f>
        <v>157182.57</v>
      </c>
      <c r="U14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9" t="str">
        <f>IF(OR(IFERROR(SEARCH("Met",tblMoeHistory[[#This Row],[State and Local Per Capita Result]]),0)&gt;0,IFERROR(SEARCH("Met",tblMoeHistory[[#This Row],[State and Local Total Result]]),0)&gt;0),"Met","Not Met")</f>
        <v>Met</v>
      </c>
    </row>
    <row r="1450" spans="1:22" x14ac:dyDescent="0.35">
      <c r="A1450" t="s">
        <v>91</v>
      </c>
      <c r="B1450">
        <v>2054</v>
      </c>
      <c r="C1450" t="s">
        <v>16</v>
      </c>
      <c r="D1450">
        <v>739</v>
      </c>
      <c r="E1450">
        <v>7058987.6600000001</v>
      </c>
      <c r="F1450">
        <v>0</v>
      </c>
      <c r="G1450">
        <f>tblMoeHistory[[#This Row],[LEA State and Local Amount]]+tblMoeHistory[[#This Row],[ESD State and Local Amount]]</f>
        <v>7058987.6600000001</v>
      </c>
      <c r="H1450">
        <v>0</v>
      </c>
      <c r="I1450" t="s">
        <v>241</v>
      </c>
      <c r="J1450" s="44">
        <f>IFERROR(tblMoeHistory[[#This Row],[LEA State and Local Amount]]/tblMoeHistory[[#This Row],[Child Count]],0)</f>
        <v>9552.0807307171854</v>
      </c>
      <c r="K1450">
        <f>IFERROR(tblMoeHistory[[#This Row],[ESD State and Local Amount]]/tblMoeHistory[[#This Row],[Child Count]],0)</f>
        <v>0</v>
      </c>
      <c r="L1450" s="1">
        <f>IFERROR(tblMoeHistory[[#This Row],[State and Local Total Amount]]/tblMoeHistory[[#This Row],[Child Count]],0)</f>
        <v>9552.0807307171854</v>
      </c>
      <c r="M1450">
        <v>0</v>
      </c>
      <c r="N1450" t="s">
        <v>241</v>
      </c>
      <c r="O1450">
        <v>822751.79</v>
      </c>
      <c r="P1450">
        <v>7277.89</v>
      </c>
      <c r="Q1450">
        <f>tblMoeHistory[[#This Row],[Amount of IDEA Part B, Section 611 award]]+tblMoeHistory[[#This Row],[Amount of IDEA Part B, Section 619 award]]</f>
        <v>830029.68</v>
      </c>
      <c r="U14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0" t="str">
        <f>IF(OR(IFERROR(SEARCH("Met",tblMoeHistory[[#This Row],[State and Local Per Capita Result]]),0)&gt;0,IFERROR(SEARCH("Met",tblMoeHistory[[#This Row],[State and Local Total Result]]),0)&gt;0),"Met","Not Met")</f>
        <v>Met</v>
      </c>
    </row>
    <row r="1451" spans="1:22" x14ac:dyDescent="0.35">
      <c r="A1451" t="s">
        <v>92</v>
      </c>
      <c r="B1451">
        <v>2100</v>
      </c>
      <c r="C1451" t="s">
        <v>16</v>
      </c>
      <c r="D1451">
        <v>1240</v>
      </c>
      <c r="E1451">
        <v>13588063.33</v>
      </c>
      <c r="F1451">
        <v>1095125</v>
      </c>
      <c r="G1451">
        <f>tblMoeHistory[[#This Row],[LEA State and Local Amount]]+tblMoeHistory[[#This Row],[ESD State and Local Amount]]</f>
        <v>14683188.33</v>
      </c>
      <c r="H1451">
        <v>0</v>
      </c>
      <c r="I1451" t="s">
        <v>241</v>
      </c>
      <c r="J1451" s="44">
        <f>IFERROR(tblMoeHistory[[#This Row],[LEA State and Local Amount]]/tblMoeHistory[[#This Row],[Child Count]],0)</f>
        <v>10958.115588709677</v>
      </c>
      <c r="K1451">
        <f>IFERROR(tblMoeHistory[[#This Row],[ESD State and Local Amount]]/tblMoeHistory[[#This Row],[Child Count]],0)</f>
        <v>883.16532258064512</v>
      </c>
      <c r="L1451" s="1">
        <f>IFERROR(tblMoeHistory[[#This Row],[State and Local Total Amount]]/tblMoeHistory[[#This Row],[Child Count]],0)</f>
        <v>11841.280911290323</v>
      </c>
      <c r="M1451">
        <v>0</v>
      </c>
      <c r="N1451" t="s">
        <v>241</v>
      </c>
      <c r="O1451">
        <v>1464162.76</v>
      </c>
      <c r="P1451">
        <v>13827.98</v>
      </c>
      <c r="Q1451">
        <f>tblMoeHistory[[#This Row],[Amount of IDEA Part B, Section 611 award]]+tblMoeHistory[[#This Row],[Amount of IDEA Part B, Section 619 award]]</f>
        <v>1477990.74</v>
      </c>
      <c r="U14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1" t="str">
        <f>IF(OR(IFERROR(SEARCH("Met",tblMoeHistory[[#This Row],[State and Local Per Capita Result]]),0)&gt;0,IFERROR(SEARCH("Met",tblMoeHistory[[#This Row],[State and Local Total Result]]),0)&gt;0),"Met","Not Met")</f>
        <v>Met</v>
      </c>
    </row>
    <row r="1452" spans="1:22" x14ac:dyDescent="0.35">
      <c r="A1452" t="s">
        <v>93</v>
      </c>
      <c r="B1452">
        <v>2183</v>
      </c>
      <c r="C1452" t="s">
        <v>16</v>
      </c>
      <c r="D1452">
        <v>1534</v>
      </c>
      <c r="E1452">
        <v>16952002.260000002</v>
      </c>
      <c r="F1452">
        <v>999479.62</v>
      </c>
      <c r="G1452">
        <f>tblMoeHistory[[#This Row],[LEA State and Local Amount]]+tblMoeHistory[[#This Row],[ESD State and Local Amount]]</f>
        <v>17951481.880000003</v>
      </c>
      <c r="H1452">
        <v>0</v>
      </c>
      <c r="I1452" t="s">
        <v>241</v>
      </c>
      <c r="J1452" s="44">
        <f>IFERROR(tblMoeHistory[[#This Row],[LEA State and Local Amount]]/tblMoeHistory[[#This Row],[Child Count]],0)</f>
        <v>11050.84893089961</v>
      </c>
      <c r="K1452">
        <f>IFERROR(tblMoeHistory[[#This Row],[ESD State and Local Amount]]/tblMoeHistory[[#This Row],[Child Count]],0)</f>
        <v>651.55125162972615</v>
      </c>
      <c r="L1452" s="1">
        <f>IFERROR(tblMoeHistory[[#This Row],[State and Local Total Amount]]/tblMoeHistory[[#This Row],[Child Count]],0)</f>
        <v>11702.400182529336</v>
      </c>
      <c r="M1452">
        <v>0</v>
      </c>
      <c r="N1452" t="s">
        <v>241</v>
      </c>
      <c r="O1452">
        <v>2130384.23</v>
      </c>
      <c r="P1452">
        <v>18083.2</v>
      </c>
      <c r="Q1452">
        <f>tblMoeHistory[[#This Row],[Amount of IDEA Part B, Section 611 award]]+tblMoeHistory[[#This Row],[Amount of IDEA Part B, Section 619 award]]</f>
        <v>2148467.4300000002</v>
      </c>
      <c r="U14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2" t="str">
        <f>IF(OR(IFERROR(SEARCH("Met",tblMoeHistory[[#This Row],[State and Local Per Capita Result]]),0)&gt;0,IFERROR(SEARCH("Met",tblMoeHistory[[#This Row],[State and Local Total Result]]),0)&gt;0),"Met","Not Met")</f>
        <v>Met</v>
      </c>
    </row>
    <row r="1453" spans="1:22" x14ac:dyDescent="0.35">
      <c r="A1453" t="s">
        <v>94</v>
      </c>
      <c r="B1453">
        <v>2014</v>
      </c>
      <c r="C1453" t="s">
        <v>16</v>
      </c>
      <c r="D1453">
        <v>116</v>
      </c>
      <c r="E1453">
        <v>1210894.6299999999</v>
      </c>
      <c r="F1453">
        <v>159572.1</v>
      </c>
      <c r="G1453">
        <f>tblMoeHistory[[#This Row],[LEA State and Local Amount]]+tblMoeHistory[[#This Row],[ESD State and Local Amount]]</f>
        <v>1370466.73</v>
      </c>
      <c r="H1453">
        <v>0</v>
      </c>
      <c r="I1453" t="s">
        <v>242</v>
      </c>
      <c r="J1453" s="44">
        <f>IFERROR(tblMoeHistory[[#This Row],[LEA State and Local Amount]]/tblMoeHistory[[#This Row],[Child Count]],0)</f>
        <v>10438.746810344826</v>
      </c>
      <c r="K1453">
        <f>IFERROR(tblMoeHistory[[#This Row],[ESD State and Local Amount]]/tblMoeHistory[[#This Row],[Child Count]],0)</f>
        <v>1375.621551724138</v>
      </c>
      <c r="L1453" s="1">
        <f>IFERROR(tblMoeHistory[[#This Row],[State and Local Total Amount]]/tblMoeHistory[[#This Row],[Child Count]],0)</f>
        <v>11814.368362068966</v>
      </c>
      <c r="M1453">
        <v>0</v>
      </c>
      <c r="N1453" t="s">
        <v>242</v>
      </c>
      <c r="O1453">
        <v>174278.64</v>
      </c>
      <c r="P1453">
        <v>2543.08</v>
      </c>
      <c r="Q1453">
        <f>tblMoeHistory[[#This Row],[Amount of IDEA Part B, Section 611 award]]+tblMoeHistory[[#This Row],[Amount of IDEA Part B, Section 619 award]]</f>
        <v>176821.72</v>
      </c>
      <c r="S1453">
        <v>305041.90000000002</v>
      </c>
      <c r="T1453">
        <v>1886.02</v>
      </c>
      <c r="U14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3" t="str">
        <f>IF(OR(IFERROR(SEARCH("Met",tblMoeHistory[[#This Row],[State and Local Per Capita Result]]),0)&gt;0,IFERROR(SEARCH("Met",tblMoeHistory[[#This Row],[State and Local Total Result]]),0)&gt;0),"Met","Not Met")</f>
        <v>Met</v>
      </c>
    </row>
    <row r="1454" spans="1:22" x14ac:dyDescent="0.35">
      <c r="A1454" t="s">
        <v>95</v>
      </c>
      <c r="B1454">
        <v>2015</v>
      </c>
      <c r="C1454" t="s">
        <v>16</v>
      </c>
      <c r="D1454">
        <v>7</v>
      </c>
      <c r="E1454">
        <v>59552.160000000003</v>
      </c>
      <c r="F1454">
        <v>5839.24</v>
      </c>
      <c r="G1454">
        <f>tblMoeHistory[[#This Row],[LEA State and Local Amount]]+tblMoeHistory[[#This Row],[ESD State and Local Amount]]</f>
        <v>65391.4</v>
      </c>
      <c r="H1454">
        <v>24811.85</v>
      </c>
      <c r="I1454" t="s">
        <v>240</v>
      </c>
      <c r="J1454" s="44">
        <f>IFERROR(tblMoeHistory[[#This Row],[LEA State and Local Amount]]/tblMoeHistory[[#This Row],[Child Count]],0)</f>
        <v>8507.4514285714286</v>
      </c>
      <c r="K1454">
        <f>IFERROR(tblMoeHistory[[#This Row],[ESD State and Local Amount]]/tblMoeHistory[[#This Row],[Child Count]],0)</f>
        <v>834.17714285714283</v>
      </c>
      <c r="L1454" s="1">
        <f>IFERROR(tblMoeHistory[[#This Row],[State and Local Total Amount]]/tblMoeHistory[[#This Row],[Child Count]],0)</f>
        <v>9341.6285714285714</v>
      </c>
      <c r="M1454">
        <v>39845.72</v>
      </c>
      <c r="N1454" t="s">
        <v>240</v>
      </c>
      <c r="O1454">
        <v>10670.35</v>
      </c>
      <c r="P1454">
        <v>0</v>
      </c>
      <c r="Q1454">
        <f>tblMoeHistory[[#This Row],[Amount of IDEA Part B, Section 611 award]]+tblMoeHistory[[#This Row],[Amount of IDEA Part B, Section 619 award]]</f>
        <v>10670.35</v>
      </c>
      <c r="S1454">
        <v>10336.86</v>
      </c>
      <c r="T1454">
        <v>1722.81</v>
      </c>
      <c r="U14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10670.35</v>
      </c>
      <c r="V1454" t="str">
        <f>IF(OR(IFERROR(SEARCH("Met",tblMoeHistory[[#This Row],[State and Local Per Capita Result]]),0)&gt;0,IFERROR(SEARCH("Met",tblMoeHistory[[#This Row],[State and Local Total Result]]),0)&gt;0),"Met","Not Met")</f>
        <v>Not Met</v>
      </c>
    </row>
    <row r="1455" spans="1:22" x14ac:dyDescent="0.35">
      <c r="A1455" t="s">
        <v>96</v>
      </c>
      <c r="B1455">
        <v>2023</v>
      </c>
      <c r="C1455" t="s">
        <v>16</v>
      </c>
      <c r="D1455">
        <v>3</v>
      </c>
      <c r="E1455">
        <v>20579.689999999999</v>
      </c>
      <c r="F1455">
        <v>7785.65</v>
      </c>
      <c r="G1455">
        <f>tblMoeHistory[[#This Row],[LEA State and Local Amount]]+tblMoeHistory[[#This Row],[ESD State and Local Amount]]</f>
        <v>28365.339999999997</v>
      </c>
      <c r="H1455">
        <v>7487.95</v>
      </c>
      <c r="I1455" t="s">
        <v>242</v>
      </c>
      <c r="J1455" s="44">
        <f>IFERROR(tblMoeHistory[[#This Row],[LEA State and Local Amount]]/tblMoeHistory[[#This Row],[Child Count]],0)</f>
        <v>6859.8966666666665</v>
      </c>
      <c r="K1455">
        <f>IFERROR(tblMoeHistory[[#This Row],[ESD State and Local Amount]]/tblMoeHistory[[#This Row],[Child Count]],0)</f>
        <v>2595.2166666666667</v>
      </c>
      <c r="L1455" s="1">
        <f>IFERROR(tblMoeHistory[[#This Row],[State and Local Total Amount]]/tblMoeHistory[[#This Row],[Child Count]],0)</f>
        <v>9455.1133333333328</v>
      </c>
      <c r="M1455">
        <v>0</v>
      </c>
      <c r="N1455" t="s">
        <v>241</v>
      </c>
      <c r="O1455">
        <v>9777.0499999999993</v>
      </c>
      <c r="P1455">
        <v>0</v>
      </c>
      <c r="Q1455">
        <f>tblMoeHistory[[#This Row],[Amount of IDEA Part B, Section 611 award]]+tblMoeHistory[[#This Row],[Amount of IDEA Part B, Section 619 award]]</f>
        <v>9777.0499999999993</v>
      </c>
      <c r="S1455">
        <v>32808.29</v>
      </c>
      <c r="U14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5" t="str">
        <f>IF(OR(IFERROR(SEARCH("Met",tblMoeHistory[[#This Row],[State and Local Per Capita Result]]),0)&gt;0,IFERROR(SEARCH("Met",tblMoeHistory[[#This Row],[State and Local Total Result]]),0)&gt;0),"Met","Not Met")</f>
        <v>Met</v>
      </c>
    </row>
    <row r="1456" spans="1:22" x14ac:dyDescent="0.35">
      <c r="A1456" t="s">
        <v>97</v>
      </c>
      <c r="B1456">
        <v>2114</v>
      </c>
      <c r="C1456" t="s">
        <v>16</v>
      </c>
      <c r="D1456">
        <v>18</v>
      </c>
      <c r="E1456">
        <v>83934.02</v>
      </c>
      <c r="F1456">
        <v>49524.32</v>
      </c>
      <c r="G1456">
        <f>tblMoeHistory[[#This Row],[LEA State and Local Amount]]+tblMoeHistory[[#This Row],[ESD State and Local Amount]]</f>
        <v>133458.34</v>
      </c>
      <c r="H1456">
        <v>9286.26</v>
      </c>
      <c r="I1456" t="s">
        <v>240</v>
      </c>
      <c r="J1456" s="44">
        <f>IFERROR(tblMoeHistory[[#This Row],[LEA State and Local Amount]]/tblMoeHistory[[#This Row],[Child Count]],0)</f>
        <v>4663.0011111111116</v>
      </c>
      <c r="K1456">
        <f>IFERROR(tblMoeHistory[[#This Row],[ESD State and Local Amount]]/tblMoeHistory[[#This Row],[Child Count]],0)</f>
        <v>2751.3511111111111</v>
      </c>
      <c r="L1456" s="1">
        <f>IFERROR(tblMoeHistory[[#This Row],[State and Local Total Amount]]/tblMoeHistory[[#This Row],[Child Count]],0)</f>
        <v>7414.3522222222218</v>
      </c>
      <c r="M1456">
        <v>50070.43</v>
      </c>
      <c r="N1456" t="s">
        <v>240</v>
      </c>
      <c r="O1456">
        <v>13989.61</v>
      </c>
      <c r="P1456">
        <v>242.6</v>
      </c>
      <c r="Q1456">
        <f>tblMoeHistory[[#This Row],[Amount of IDEA Part B, Section 611 award]]+tblMoeHistory[[#This Row],[Amount of IDEA Part B, Section 619 award]]</f>
        <v>14232.210000000001</v>
      </c>
      <c r="S1456">
        <v>0</v>
      </c>
      <c r="T1456">
        <v>0</v>
      </c>
      <c r="U14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9286.26</v>
      </c>
      <c r="V1456" t="str">
        <f>IF(OR(IFERROR(SEARCH("Met",tblMoeHistory[[#This Row],[State and Local Per Capita Result]]),0)&gt;0,IFERROR(SEARCH("Met",tblMoeHistory[[#This Row],[State and Local Total Result]]),0)&gt;0),"Met","Not Met")</f>
        <v>Not Met</v>
      </c>
    </row>
    <row r="1457" spans="1:22" x14ac:dyDescent="0.35">
      <c r="A1457" t="s">
        <v>98</v>
      </c>
      <c r="B1457">
        <v>2099</v>
      </c>
      <c r="C1457" t="s">
        <v>16</v>
      </c>
      <c r="D1457">
        <v>124</v>
      </c>
      <c r="E1457">
        <v>1285253.31</v>
      </c>
      <c r="F1457">
        <v>116698</v>
      </c>
      <c r="G1457">
        <f>tblMoeHistory[[#This Row],[LEA State and Local Amount]]+tblMoeHistory[[#This Row],[ESD State and Local Amount]]</f>
        <v>1401951.31</v>
      </c>
      <c r="H1457">
        <v>0</v>
      </c>
      <c r="I1457" t="s">
        <v>241</v>
      </c>
      <c r="J1457" s="44">
        <f>IFERROR(tblMoeHistory[[#This Row],[LEA State and Local Amount]]/tblMoeHistory[[#This Row],[Child Count]],0)</f>
        <v>10364.946048387097</v>
      </c>
      <c r="K1457">
        <f>IFERROR(tblMoeHistory[[#This Row],[ESD State and Local Amount]]/tblMoeHistory[[#This Row],[Child Count]],0)</f>
        <v>941.11290322580646</v>
      </c>
      <c r="L1457" s="1">
        <f>IFERROR(tblMoeHistory[[#This Row],[State and Local Total Amount]]/tblMoeHistory[[#This Row],[Child Count]],0)</f>
        <v>11306.058951612904</v>
      </c>
      <c r="M1457">
        <v>0</v>
      </c>
      <c r="N1457" t="s">
        <v>241</v>
      </c>
      <c r="O1457">
        <v>129259.19</v>
      </c>
      <c r="P1457">
        <v>256.87</v>
      </c>
      <c r="Q1457">
        <f>tblMoeHistory[[#This Row],[Amount of IDEA Part B, Section 611 award]]+tblMoeHistory[[#This Row],[Amount of IDEA Part B, Section 619 award]]</f>
        <v>129516.06</v>
      </c>
      <c r="U14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7" t="str">
        <f>IF(OR(IFERROR(SEARCH("Met",tblMoeHistory[[#This Row],[State and Local Per Capita Result]]),0)&gt;0,IFERROR(SEARCH("Met",tblMoeHistory[[#This Row],[State and Local Total Result]]),0)&gt;0),"Met","Not Met")</f>
        <v>Met</v>
      </c>
    </row>
    <row r="1458" spans="1:22" x14ac:dyDescent="0.35">
      <c r="A1458" t="s">
        <v>99</v>
      </c>
      <c r="B1458">
        <v>2201</v>
      </c>
      <c r="C1458" t="s">
        <v>16</v>
      </c>
      <c r="D1458">
        <v>22</v>
      </c>
      <c r="E1458">
        <v>83057.070000000007</v>
      </c>
      <c r="F1458">
        <v>35665.629999999997</v>
      </c>
      <c r="G1458">
        <f>tblMoeHistory[[#This Row],[LEA State and Local Amount]]+tblMoeHistory[[#This Row],[ESD State and Local Amount]]</f>
        <v>118722.70000000001</v>
      </c>
      <c r="H1458">
        <v>0</v>
      </c>
      <c r="I1458" t="s">
        <v>241</v>
      </c>
      <c r="J1458" s="44">
        <f>IFERROR(tblMoeHistory[[#This Row],[LEA State and Local Amount]]/tblMoeHistory[[#This Row],[Child Count]],0)</f>
        <v>3775.3213636363639</v>
      </c>
      <c r="K1458">
        <f>IFERROR(tblMoeHistory[[#This Row],[ESD State and Local Amount]]/tblMoeHistory[[#This Row],[Child Count]],0)</f>
        <v>1621.165</v>
      </c>
      <c r="L1458" s="1">
        <f>IFERROR(tblMoeHistory[[#This Row],[State and Local Total Amount]]/tblMoeHistory[[#This Row],[Child Count]],0)</f>
        <v>5396.4863636363643</v>
      </c>
      <c r="M1458">
        <v>0</v>
      </c>
      <c r="N1458" t="s">
        <v>241</v>
      </c>
      <c r="O1458">
        <v>24628.77</v>
      </c>
      <c r="P1458">
        <v>970.38</v>
      </c>
      <c r="Q1458">
        <f>tblMoeHistory[[#This Row],[Amount of IDEA Part B, Section 611 award]]+tblMoeHistory[[#This Row],[Amount of IDEA Part B, Section 619 award]]</f>
        <v>25599.15</v>
      </c>
      <c r="U14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8" t="str">
        <f>IF(OR(IFERROR(SEARCH("Met",tblMoeHistory[[#This Row],[State and Local Per Capita Result]]),0)&gt;0,IFERROR(SEARCH("Met",tblMoeHistory[[#This Row],[State and Local Total Result]]),0)&gt;0),"Met","Not Met")</f>
        <v>Met</v>
      </c>
    </row>
    <row r="1459" spans="1:22" x14ac:dyDescent="0.35">
      <c r="A1459" t="s">
        <v>100</v>
      </c>
      <c r="B1459">
        <v>2206</v>
      </c>
      <c r="C1459" t="s">
        <v>16</v>
      </c>
      <c r="D1459">
        <v>723</v>
      </c>
      <c r="E1459">
        <v>6008254.7999999998</v>
      </c>
      <c r="F1459">
        <v>0</v>
      </c>
      <c r="G1459">
        <f>tblMoeHistory[[#This Row],[LEA State and Local Amount]]+tblMoeHistory[[#This Row],[ESD State and Local Amount]]</f>
        <v>6008254.7999999998</v>
      </c>
      <c r="H1459">
        <v>0</v>
      </c>
      <c r="I1459" t="s">
        <v>241</v>
      </c>
      <c r="J1459" s="44">
        <f>IFERROR(tblMoeHistory[[#This Row],[LEA State and Local Amount]]/tblMoeHistory[[#This Row],[Child Count]],0)</f>
        <v>8310.1726141078834</v>
      </c>
      <c r="K1459">
        <f>IFERROR(tblMoeHistory[[#This Row],[ESD State and Local Amount]]/tblMoeHistory[[#This Row],[Child Count]],0)</f>
        <v>0</v>
      </c>
      <c r="L1459" s="1">
        <f>IFERROR(tblMoeHistory[[#This Row],[State and Local Total Amount]]/tblMoeHistory[[#This Row],[Child Count]],0)</f>
        <v>8310.1726141078834</v>
      </c>
      <c r="M1459">
        <v>94773.17</v>
      </c>
      <c r="N1459" t="s">
        <v>240</v>
      </c>
      <c r="O1459">
        <v>772470.35</v>
      </c>
      <c r="P1459">
        <v>7086.61</v>
      </c>
      <c r="Q1459">
        <f>tblMoeHistory[[#This Row],[Amount of IDEA Part B, Section 611 award]]+tblMoeHistory[[#This Row],[Amount of IDEA Part B, Section 619 award]]</f>
        <v>779556.96</v>
      </c>
      <c r="T1459">
        <v>14.91</v>
      </c>
      <c r="U14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9" t="str">
        <f>IF(OR(IFERROR(SEARCH("Met",tblMoeHistory[[#This Row],[State and Local Per Capita Result]]),0)&gt;0,IFERROR(SEARCH("Met",tblMoeHistory[[#This Row],[State and Local Total Result]]),0)&gt;0),"Met","Not Met")</f>
        <v>Met</v>
      </c>
    </row>
    <row r="1460" spans="1:22" x14ac:dyDescent="0.35">
      <c r="A1460" t="s">
        <v>101</v>
      </c>
      <c r="B1460">
        <v>2239</v>
      </c>
      <c r="C1460" t="s">
        <v>16</v>
      </c>
      <c r="D1460">
        <v>2967</v>
      </c>
      <c r="E1460">
        <v>32371139.550000001</v>
      </c>
      <c r="F1460">
        <v>3777337</v>
      </c>
      <c r="G1460">
        <f>tblMoeHistory[[#This Row],[LEA State and Local Amount]]+tblMoeHistory[[#This Row],[ESD State and Local Amount]]</f>
        <v>36148476.549999997</v>
      </c>
      <c r="H1460">
        <v>0</v>
      </c>
      <c r="I1460" t="s">
        <v>241</v>
      </c>
      <c r="J1460" s="44">
        <f>IFERROR(tblMoeHistory[[#This Row],[LEA State and Local Amount]]/tblMoeHistory[[#This Row],[Child Count]],0)</f>
        <v>10910.394186046511</v>
      </c>
      <c r="K1460">
        <f>IFERROR(tblMoeHistory[[#This Row],[ESD State and Local Amount]]/tblMoeHistory[[#This Row],[Child Count]],0)</f>
        <v>1273.1166161105493</v>
      </c>
      <c r="L1460" s="1">
        <f>IFERROR(tblMoeHistory[[#This Row],[State and Local Total Amount]]/tblMoeHistory[[#This Row],[Child Count]],0)</f>
        <v>12183.51080215706</v>
      </c>
      <c r="M1460">
        <v>1672765.43</v>
      </c>
      <c r="N1460" t="s">
        <v>240</v>
      </c>
      <c r="O1460">
        <v>2837049.07</v>
      </c>
      <c r="P1460">
        <v>14056.6</v>
      </c>
      <c r="Q1460">
        <f>tblMoeHistory[[#This Row],[Amount of IDEA Part B, Section 611 award]]+tblMoeHistory[[#This Row],[Amount of IDEA Part B, Section 619 award]]</f>
        <v>2851105.67</v>
      </c>
      <c r="T1460">
        <v>0</v>
      </c>
      <c r="U14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0" t="str">
        <f>IF(OR(IFERROR(SEARCH("Met",tblMoeHistory[[#This Row],[State and Local Per Capita Result]]),0)&gt;0,IFERROR(SEARCH("Met",tblMoeHistory[[#This Row],[State and Local Total Result]]),0)&gt;0),"Met","Not Met")</f>
        <v>Met</v>
      </c>
    </row>
    <row r="1461" spans="1:22" x14ac:dyDescent="0.35">
      <c r="A1461" t="s">
        <v>102</v>
      </c>
      <c r="B1461">
        <v>2024</v>
      </c>
      <c r="C1461" t="s">
        <v>16</v>
      </c>
      <c r="D1461">
        <v>474</v>
      </c>
      <c r="E1461">
        <v>4361520.79</v>
      </c>
      <c r="F1461">
        <v>0</v>
      </c>
      <c r="G1461">
        <f>tblMoeHistory[[#This Row],[LEA State and Local Amount]]+tblMoeHistory[[#This Row],[ESD State and Local Amount]]</f>
        <v>4361520.79</v>
      </c>
      <c r="H1461">
        <v>0</v>
      </c>
      <c r="I1461" t="s">
        <v>241</v>
      </c>
      <c r="J1461" s="44">
        <f>IFERROR(tblMoeHistory[[#This Row],[LEA State and Local Amount]]/tblMoeHistory[[#This Row],[Child Count]],0)</f>
        <v>9201.5206540084382</v>
      </c>
      <c r="K1461">
        <f>IFERROR(tblMoeHistory[[#This Row],[ESD State and Local Amount]]/tblMoeHistory[[#This Row],[Child Count]],0)</f>
        <v>0</v>
      </c>
      <c r="L1461" s="1">
        <f>IFERROR(tblMoeHistory[[#This Row],[State and Local Total Amount]]/tblMoeHistory[[#This Row],[Child Count]],0)</f>
        <v>9201.5206540084382</v>
      </c>
      <c r="M1461">
        <v>0</v>
      </c>
      <c r="N1461" t="s">
        <v>241</v>
      </c>
      <c r="O1461">
        <v>643909.15</v>
      </c>
      <c r="P1461">
        <v>6339.49</v>
      </c>
      <c r="Q1461">
        <f>tblMoeHistory[[#This Row],[Amount of IDEA Part B, Section 611 award]]+tblMoeHistory[[#This Row],[Amount of IDEA Part B, Section 619 award]]</f>
        <v>650248.64</v>
      </c>
      <c r="U14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1" t="str">
        <f>IF(OR(IFERROR(SEARCH("Met",tblMoeHistory[[#This Row],[State and Local Per Capita Result]]),0)&gt;0,IFERROR(SEARCH("Met",tblMoeHistory[[#This Row],[State and Local Total Result]]),0)&gt;0),"Met","Not Met")</f>
        <v>Met</v>
      </c>
    </row>
    <row r="1462" spans="1:22" x14ac:dyDescent="0.35">
      <c r="A1462" t="s">
        <v>103</v>
      </c>
      <c r="B1462">
        <v>1895</v>
      </c>
      <c r="C1462" t="s">
        <v>16</v>
      </c>
      <c r="D1462">
        <v>10</v>
      </c>
      <c r="E1462">
        <v>70018.820000000007</v>
      </c>
      <c r="F1462">
        <v>42585.29</v>
      </c>
      <c r="G1462">
        <f>tblMoeHistory[[#This Row],[LEA State and Local Amount]]+tblMoeHistory[[#This Row],[ESD State and Local Amount]]</f>
        <v>112604.11000000002</v>
      </c>
      <c r="H1462">
        <v>0</v>
      </c>
      <c r="I1462" t="s">
        <v>241</v>
      </c>
      <c r="J1462" s="44">
        <f>IFERROR(tblMoeHistory[[#This Row],[LEA State and Local Amount]]/tblMoeHistory[[#This Row],[Child Count]],0)</f>
        <v>7001.8820000000005</v>
      </c>
      <c r="K1462">
        <f>IFERROR(tblMoeHistory[[#This Row],[ESD State and Local Amount]]/tblMoeHistory[[#This Row],[Child Count]],0)</f>
        <v>4258.5290000000005</v>
      </c>
      <c r="L1462" s="1">
        <f>IFERROR(tblMoeHistory[[#This Row],[State and Local Total Amount]]/tblMoeHistory[[#This Row],[Child Count]],0)</f>
        <v>11260.411000000002</v>
      </c>
      <c r="M1462">
        <v>27500.39</v>
      </c>
      <c r="N1462" t="s">
        <v>240</v>
      </c>
      <c r="O1462">
        <v>16831.599999999999</v>
      </c>
      <c r="P1462">
        <v>970.38</v>
      </c>
      <c r="Q1462">
        <f>tblMoeHistory[[#This Row],[Amount of IDEA Part B, Section 611 award]]+tblMoeHistory[[#This Row],[Amount of IDEA Part B, Section 619 award]]</f>
        <v>17801.98</v>
      </c>
      <c r="T1462">
        <v>0</v>
      </c>
      <c r="U14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2" t="str">
        <f>IF(OR(IFERROR(SEARCH("Met",tblMoeHistory[[#This Row],[State and Local Per Capita Result]]),0)&gt;0,IFERROR(SEARCH("Met",tblMoeHistory[[#This Row],[State and Local Total Result]]),0)&gt;0),"Met","Not Met")</f>
        <v>Met</v>
      </c>
    </row>
    <row r="1463" spans="1:22" x14ac:dyDescent="0.35">
      <c r="A1463" t="s">
        <v>104</v>
      </c>
      <c r="B1463">
        <v>2215</v>
      </c>
      <c r="C1463" t="s">
        <v>16</v>
      </c>
      <c r="D1463">
        <v>41</v>
      </c>
      <c r="E1463">
        <v>248482.43</v>
      </c>
      <c r="F1463">
        <v>66276.039999999994</v>
      </c>
      <c r="G1463">
        <f>tblMoeHistory[[#This Row],[LEA State and Local Amount]]+tblMoeHistory[[#This Row],[ESD State and Local Amount]]</f>
        <v>314758.46999999997</v>
      </c>
      <c r="H1463">
        <v>0</v>
      </c>
      <c r="I1463" t="s">
        <v>241</v>
      </c>
      <c r="J1463" s="44">
        <f>IFERROR(tblMoeHistory[[#This Row],[LEA State and Local Amount]]/tblMoeHistory[[#This Row],[Child Count]],0)</f>
        <v>6060.5470731707319</v>
      </c>
      <c r="K1463">
        <f>IFERROR(tblMoeHistory[[#This Row],[ESD State and Local Amount]]/tblMoeHistory[[#This Row],[Child Count]],0)</f>
        <v>1616.4887804878047</v>
      </c>
      <c r="L1463" s="1">
        <f>IFERROR(tblMoeHistory[[#This Row],[State and Local Total Amount]]/tblMoeHistory[[#This Row],[Child Count]],0)</f>
        <v>7677.0358536585363</v>
      </c>
      <c r="M1463">
        <v>14431.74</v>
      </c>
      <c r="N1463" t="s">
        <v>240</v>
      </c>
      <c r="O1463">
        <v>59498.23</v>
      </c>
      <c r="P1463">
        <v>242.6</v>
      </c>
      <c r="Q1463">
        <f>tblMoeHistory[[#This Row],[Amount of IDEA Part B, Section 611 award]]+tblMoeHistory[[#This Row],[Amount of IDEA Part B, Section 619 award]]</f>
        <v>59740.83</v>
      </c>
      <c r="T1463">
        <v>0</v>
      </c>
      <c r="U14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3" t="str">
        <f>IF(OR(IFERROR(SEARCH("Met",tblMoeHistory[[#This Row],[State and Local Per Capita Result]]),0)&gt;0,IFERROR(SEARCH("Met",tblMoeHistory[[#This Row],[State and Local Total Result]]),0)&gt;0),"Met","Not Met")</f>
        <v>Met</v>
      </c>
    </row>
    <row r="1464" spans="1:22" x14ac:dyDescent="0.35">
      <c r="A1464" t="s">
        <v>105</v>
      </c>
      <c r="B1464">
        <v>3997</v>
      </c>
      <c r="C1464" t="s">
        <v>16</v>
      </c>
      <c r="D1464">
        <v>28</v>
      </c>
      <c r="E1464">
        <v>172856.48</v>
      </c>
      <c r="F1464">
        <v>45279.839999999997</v>
      </c>
      <c r="G1464">
        <f>tblMoeHistory[[#This Row],[LEA State and Local Amount]]+tblMoeHistory[[#This Row],[ESD State and Local Amount]]</f>
        <v>218136.32000000001</v>
      </c>
      <c r="H1464">
        <v>0</v>
      </c>
      <c r="I1464" t="s">
        <v>241</v>
      </c>
      <c r="J1464" s="44">
        <f>IFERROR(tblMoeHistory[[#This Row],[LEA State and Local Amount]]/tblMoeHistory[[#This Row],[Child Count]],0)</f>
        <v>6173.4457142857145</v>
      </c>
      <c r="K1464">
        <f>IFERROR(tblMoeHistory[[#This Row],[ESD State and Local Amount]]/tblMoeHistory[[#This Row],[Child Count]],0)</f>
        <v>1617.1371428571426</v>
      </c>
      <c r="L1464" s="1">
        <f>IFERROR(tblMoeHistory[[#This Row],[State and Local Total Amount]]/tblMoeHistory[[#This Row],[Child Count]],0)</f>
        <v>7790.5828571428574</v>
      </c>
      <c r="M1464">
        <v>20212.439999999999</v>
      </c>
      <c r="N1464" t="s">
        <v>240</v>
      </c>
      <c r="O1464">
        <v>22365.27</v>
      </c>
      <c r="P1464">
        <v>0</v>
      </c>
      <c r="Q1464">
        <f>tblMoeHistory[[#This Row],[Amount of IDEA Part B, Section 611 award]]+tblMoeHistory[[#This Row],[Amount of IDEA Part B, Section 619 award]]</f>
        <v>22365.27</v>
      </c>
      <c r="T1464">
        <v>0</v>
      </c>
      <c r="U14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4" t="str">
        <f>IF(OR(IFERROR(SEARCH("Met",tblMoeHistory[[#This Row],[State and Local Per Capita Result]]),0)&gt;0,IFERROR(SEARCH("Met",tblMoeHistory[[#This Row],[State and Local Total Result]]),0)&gt;0),"Met","Not Met")</f>
        <v>Met</v>
      </c>
    </row>
    <row r="1465" spans="1:22" x14ac:dyDescent="0.35">
      <c r="A1465" t="s">
        <v>106</v>
      </c>
      <c r="B1465">
        <v>2053</v>
      </c>
      <c r="C1465" t="s">
        <v>16</v>
      </c>
      <c r="D1465">
        <v>463</v>
      </c>
      <c r="E1465">
        <v>4321609.8</v>
      </c>
      <c r="F1465">
        <v>1073140.6599999999</v>
      </c>
      <c r="G1465">
        <f>tblMoeHistory[[#This Row],[LEA State and Local Amount]]+tblMoeHistory[[#This Row],[ESD State and Local Amount]]</f>
        <v>5394750.46</v>
      </c>
      <c r="H1465">
        <v>0</v>
      </c>
      <c r="I1465" t="s">
        <v>241</v>
      </c>
      <c r="J1465" s="44">
        <f>IFERROR(tblMoeHistory[[#This Row],[LEA State and Local Amount]]/tblMoeHistory[[#This Row],[Child Count]],0)</f>
        <v>9333.9304535637148</v>
      </c>
      <c r="K1465">
        <f>IFERROR(tblMoeHistory[[#This Row],[ESD State and Local Amount]]/tblMoeHistory[[#This Row],[Child Count]],0)</f>
        <v>2317.7984017278618</v>
      </c>
      <c r="L1465" s="1">
        <f>IFERROR(tblMoeHistory[[#This Row],[State and Local Total Amount]]/tblMoeHistory[[#This Row],[Child Count]],0)</f>
        <v>11651.728855291576</v>
      </c>
      <c r="M1465">
        <v>0</v>
      </c>
      <c r="N1465" t="s">
        <v>241</v>
      </c>
      <c r="O1465">
        <v>509803.68</v>
      </c>
      <c r="P1465">
        <v>10074.56</v>
      </c>
      <c r="Q1465">
        <f>tblMoeHistory[[#This Row],[Amount of IDEA Part B, Section 611 award]]+tblMoeHistory[[#This Row],[Amount of IDEA Part B, Section 619 award]]</f>
        <v>519878.24</v>
      </c>
      <c r="U14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5" t="str">
        <f>IF(OR(IFERROR(SEARCH("Met",tblMoeHistory[[#This Row],[State and Local Per Capita Result]]),0)&gt;0,IFERROR(SEARCH("Met",tblMoeHistory[[#This Row],[State and Local Total Result]]),0)&gt;0),"Met","Not Met")</f>
        <v>Met</v>
      </c>
    </row>
    <row r="1466" spans="1:22" x14ac:dyDescent="0.35">
      <c r="A1466" t="s">
        <v>107</v>
      </c>
      <c r="B1466">
        <v>2140</v>
      </c>
      <c r="C1466" t="s">
        <v>16</v>
      </c>
      <c r="D1466">
        <v>136</v>
      </c>
      <c r="E1466">
        <v>1212144.01</v>
      </c>
      <c r="F1466">
        <v>160085.89000000001</v>
      </c>
      <c r="G1466">
        <f>tblMoeHistory[[#This Row],[LEA State and Local Amount]]+tblMoeHistory[[#This Row],[ESD State and Local Amount]]</f>
        <v>1372229.9</v>
      </c>
      <c r="H1466">
        <v>0</v>
      </c>
      <c r="I1466" t="s">
        <v>241</v>
      </c>
      <c r="J1466" s="44">
        <f>IFERROR(tblMoeHistory[[#This Row],[LEA State and Local Amount]]/tblMoeHistory[[#This Row],[Child Count]],0)</f>
        <v>8912.8236029411764</v>
      </c>
      <c r="K1466">
        <f>IFERROR(tblMoeHistory[[#This Row],[ESD State and Local Amount]]/tblMoeHistory[[#This Row],[Child Count]],0)</f>
        <v>1177.1021323529412</v>
      </c>
      <c r="L1466" s="1">
        <f>IFERROR(tblMoeHistory[[#This Row],[State and Local Total Amount]]/tblMoeHistory[[#This Row],[Child Count]],0)</f>
        <v>10089.925735294117</v>
      </c>
      <c r="M1466">
        <v>0</v>
      </c>
      <c r="N1466" t="s">
        <v>241</v>
      </c>
      <c r="O1466">
        <v>130893.83</v>
      </c>
      <c r="P1466">
        <v>242.6</v>
      </c>
      <c r="Q1466">
        <f>tblMoeHistory[[#This Row],[Amount of IDEA Part B, Section 611 award]]+tblMoeHistory[[#This Row],[Amount of IDEA Part B, Section 619 award]]</f>
        <v>131136.43</v>
      </c>
      <c r="U14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6" t="str">
        <f>IF(OR(IFERROR(SEARCH("Met",tblMoeHistory[[#This Row],[State and Local Per Capita Result]]),0)&gt;0,IFERROR(SEARCH("Met",tblMoeHistory[[#This Row],[State and Local Total Result]]),0)&gt;0),"Met","Not Met")</f>
        <v>Met</v>
      </c>
    </row>
    <row r="1467" spans="1:22" x14ac:dyDescent="0.35">
      <c r="A1467" t="s">
        <v>108</v>
      </c>
      <c r="B1467">
        <v>1934</v>
      </c>
      <c r="C1467" t="s">
        <v>16</v>
      </c>
      <c r="D1467">
        <v>27</v>
      </c>
      <c r="E1467">
        <v>319519.62</v>
      </c>
      <c r="F1467">
        <v>10355</v>
      </c>
      <c r="G1467">
        <f>tblMoeHistory[[#This Row],[LEA State and Local Amount]]+tblMoeHistory[[#This Row],[ESD State and Local Amount]]</f>
        <v>329874.62</v>
      </c>
      <c r="H1467">
        <v>0</v>
      </c>
      <c r="I1467" t="s">
        <v>241</v>
      </c>
      <c r="J1467" s="44">
        <f>IFERROR(tblMoeHistory[[#This Row],[LEA State and Local Amount]]/tblMoeHistory[[#This Row],[Child Count]],0)</f>
        <v>11834.06</v>
      </c>
      <c r="K1467">
        <f>IFERROR(tblMoeHistory[[#This Row],[ESD State and Local Amount]]/tblMoeHistory[[#This Row],[Child Count]],0)</f>
        <v>383.51851851851853</v>
      </c>
      <c r="L1467" s="1">
        <f>IFERROR(tblMoeHistory[[#This Row],[State and Local Total Amount]]/tblMoeHistory[[#This Row],[Child Count]],0)</f>
        <v>12217.578518518518</v>
      </c>
      <c r="M1467">
        <v>262770.05</v>
      </c>
      <c r="N1467" t="s">
        <v>240</v>
      </c>
      <c r="O1467">
        <v>22956.21</v>
      </c>
      <c r="P1467">
        <v>0</v>
      </c>
      <c r="Q1467">
        <f>tblMoeHistory[[#This Row],[Amount of IDEA Part B, Section 611 award]]+tblMoeHistory[[#This Row],[Amount of IDEA Part B, Section 619 award]]</f>
        <v>22956.21</v>
      </c>
      <c r="T1467">
        <v>0</v>
      </c>
      <c r="U14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7" t="str">
        <f>IF(OR(IFERROR(SEARCH("Met",tblMoeHistory[[#This Row],[State and Local Per Capita Result]]),0)&gt;0,IFERROR(SEARCH("Met",tblMoeHistory[[#This Row],[State and Local Total Result]]),0)&gt;0),"Met","Not Met")</f>
        <v>Met</v>
      </c>
    </row>
    <row r="1468" spans="1:22" x14ac:dyDescent="0.35">
      <c r="A1468" t="s">
        <v>109</v>
      </c>
      <c r="B1468">
        <v>2008</v>
      </c>
      <c r="C1468" t="s">
        <v>16</v>
      </c>
      <c r="D1468">
        <v>88</v>
      </c>
      <c r="E1468">
        <v>772510</v>
      </c>
      <c r="F1468">
        <v>144704.87</v>
      </c>
      <c r="G1468">
        <f>tblMoeHistory[[#This Row],[LEA State and Local Amount]]+tblMoeHistory[[#This Row],[ESD State and Local Amount]]</f>
        <v>917214.87</v>
      </c>
      <c r="H1468">
        <v>0</v>
      </c>
      <c r="I1468" t="s">
        <v>242</v>
      </c>
      <c r="J1468" s="44">
        <f>IFERROR(tblMoeHistory[[#This Row],[LEA State and Local Amount]]/tblMoeHistory[[#This Row],[Child Count]],0)</f>
        <v>8778.5227272727279</v>
      </c>
      <c r="K1468">
        <f>IFERROR(tblMoeHistory[[#This Row],[ESD State and Local Amount]]/tblMoeHistory[[#This Row],[Child Count]],0)</f>
        <v>1644.3735227272728</v>
      </c>
      <c r="L1468" s="1">
        <f>IFERROR(tblMoeHistory[[#This Row],[State and Local Total Amount]]/tblMoeHistory[[#This Row],[Child Count]],0)</f>
        <v>10422.89625</v>
      </c>
      <c r="M1468">
        <v>0</v>
      </c>
      <c r="N1468" t="s">
        <v>241</v>
      </c>
      <c r="O1468">
        <v>137963.28</v>
      </c>
      <c r="P1468">
        <v>2075.5500000000002</v>
      </c>
      <c r="Q1468">
        <f>tblMoeHistory[[#This Row],[Amount of IDEA Part B, Section 611 award]]+tblMoeHistory[[#This Row],[Amount of IDEA Part B, Section 619 award]]</f>
        <v>140038.82999999999</v>
      </c>
      <c r="S1468">
        <v>80967.27</v>
      </c>
      <c r="U14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8" t="str">
        <f>IF(OR(IFERROR(SEARCH("Met",tblMoeHistory[[#This Row],[State and Local Per Capita Result]]),0)&gt;0,IFERROR(SEARCH("Met",tblMoeHistory[[#This Row],[State and Local Total Result]]),0)&gt;0),"Met","Not Met")</f>
        <v>Met</v>
      </c>
    </row>
    <row r="1469" spans="1:22" x14ac:dyDescent="0.35">
      <c r="A1469" t="s">
        <v>110</v>
      </c>
      <c r="B1469">
        <v>2107</v>
      </c>
      <c r="C1469" t="s">
        <v>16</v>
      </c>
      <c r="D1469">
        <v>6</v>
      </c>
      <c r="E1469">
        <v>39503.5</v>
      </c>
      <c r="F1469">
        <v>40031.08</v>
      </c>
      <c r="G1469">
        <f>tblMoeHistory[[#This Row],[LEA State and Local Amount]]+tblMoeHistory[[#This Row],[ESD State and Local Amount]]</f>
        <v>79534.58</v>
      </c>
      <c r="H1469">
        <v>8962.84</v>
      </c>
      <c r="I1469" t="s">
        <v>240</v>
      </c>
      <c r="J1469" s="44">
        <f>IFERROR(tblMoeHistory[[#This Row],[LEA State and Local Amount]]/tblMoeHistory[[#This Row],[Child Count]],0)</f>
        <v>6583.916666666667</v>
      </c>
      <c r="K1469">
        <f>IFERROR(tblMoeHistory[[#This Row],[ESD State and Local Amount]]/tblMoeHistory[[#This Row],[Child Count]],0)</f>
        <v>6671.8466666666673</v>
      </c>
      <c r="L1469" s="1">
        <f>IFERROR(tblMoeHistory[[#This Row],[State and Local Total Amount]]/tblMoeHistory[[#This Row],[Child Count]],0)</f>
        <v>13255.763333333334</v>
      </c>
      <c r="M1469">
        <v>0</v>
      </c>
      <c r="N1469" t="s">
        <v>242</v>
      </c>
      <c r="O1469">
        <v>17699.07</v>
      </c>
      <c r="P1469">
        <v>485.19</v>
      </c>
      <c r="Q1469">
        <f>tblMoeHistory[[#This Row],[Amount of IDEA Part B, Section 611 award]]+tblMoeHistory[[#This Row],[Amount of IDEA Part B, Section 619 award]]</f>
        <v>18184.259999999998</v>
      </c>
      <c r="S1469">
        <v>29499.14</v>
      </c>
      <c r="T1469">
        <v>6551.3</v>
      </c>
      <c r="U14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9" t="str">
        <f>IF(OR(IFERROR(SEARCH("Met",tblMoeHistory[[#This Row],[State and Local Per Capita Result]]),0)&gt;0,IFERROR(SEARCH("Met",tblMoeHistory[[#This Row],[State and Local Total Result]]),0)&gt;0),"Met","Not Met")</f>
        <v>Met</v>
      </c>
    </row>
    <row r="1470" spans="1:22" x14ac:dyDescent="0.35">
      <c r="A1470" t="s">
        <v>111</v>
      </c>
      <c r="B1470">
        <v>2219</v>
      </c>
      <c r="C1470" t="s">
        <v>16</v>
      </c>
      <c r="D1470">
        <v>30</v>
      </c>
      <c r="E1470">
        <v>116500.98</v>
      </c>
      <c r="F1470">
        <v>155959.67999999999</v>
      </c>
      <c r="G1470">
        <f>tblMoeHistory[[#This Row],[LEA State and Local Amount]]+tblMoeHistory[[#This Row],[ESD State and Local Amount]]</f>
        <v>272460.65999999997</v>
      </c>
      <c r="H1470">
        <v>0</v>
      </c>
      <c r="I1470" t="s">
        <v>241</v>
      </c>
      <c r="J1470" s="44">
        <f>IFERROR(tblMoeHistory[[#This Row],[LEA State and Local Amount]]/tblMoeHistory[[#This Row],[Child Count]],0)</f>
        <v>3883.366</v>
      </c>
      <c r="K1470">
        <f>IFERROR(tblMoeHistory[[#This Row],[ESD State and Local Amount]]/tblMoeHistory[[#This Row],[Child Count]],0)</f>
        <v>5198.6559999999999</v>
      </c>
      <c r="L1470" s="1">
        <f>IFERROR(tblMoeHistory[[#This Row],[State and Local Total Amount]]/tblMoeHistory[[#This Row],[Child Count]],0)</f>
        <v>9082.021999999999</v>
      </c>
      <c r="M1470">
        <v>42422.53</v>
      </c>
      <c r="N1470" t="s">
        <v>240</v>
      </c>
      <c r="O1470">
        <v>59196.05</v>
      </c>
      <c r="P1470">
        <v>1212.98</v>
      </c>
      <c r="Q1470">
        <f>tblMoeHistory[[#This Row],[Amount of IDEA Part B, Section 611 award]]+tblMoeHistory[[#This Row],[Amount of IDEA Part B, Section 619 award]]</f>
        <v>60409.030000000006</v>
      </c>
      <c r="T1470">
        <v>0</v>
      </c>
      <c r="U14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0" t="str">
        <f>IF(OR(IFERROR(SEARCH("Met",tblMoeHistory[[#This Row],[State and Local Per Capita Result]]),0)&gt;0,IFERROR(SEARCH("Met",tblMoeHistory[[#This Row],[State and Local Total Result]]),0)&gt;0),"Met","Not Met")</f>
        <v>Met</v>
      </c>
    </row>
    <row r="1471" spans="1:22" x14ac:dyDescent="0.35">
      <c r="A1471" t="s">
        <v>112</v>
      </c>
      <c r="B1471">
        <v>2091</v>
      </c>
      <c r="C1471" t="s">
        <v>16</v>
      </c>
      <c r="D1471">
        <v>225</v>
      </c>
      <c r="E1471">
        <v>1708756.77</v>
      </c>
      <c r="F1471">
        <v>459921</v>
      </c>
      <c r="G1471">
        <f>tblMoeHistory[[#This Row],[LEA State and Local Amount]]+tblMoeHistory[[#This Row],[ESD State and Local Amount]]</f>
        <v>2168677.77</v>
      </c>
      <c r="H1471">
        <v>0</v>
      </c>
      <c r="I1471" t="s">
        <v>241</v>
      </c>
      <c r="J1471" s="44">
        <f>IFERROR(tblMoeHistory[[#This Row],[LEA State and Local Amount]]/tblMoeHistory[[#This Row],[Child Count]],0)</f>
        <v>7594.4745333333331</v>
      </c>
      <c r="K1471">
        <f>IFERROR(tblMoeHistory[[#This Row],[ESD State and Local Amount]]/tblMoeHistory[[#This Row],[Child Count]],0)</f>
        <v>2044.0933333333332</v>
      </c>
      <c r="L1471" s="1">
        <f>IFERROR(tblMoeHistory[[#This Row],[State and Local Total Amount]]/tblMoeHistory[[#This Row],[Child Count]],0)</f>
        <v>9638.5678666666663</v>
      </c>
      <c r="M1471">
        <v>0</v>
      </c>
      <c r="N1471" t="s">
        <v>241</v>
      </c>
      <c r="O1471">
        <v>284604.52</v>
      </c>
      <c r="P1471">
        <v>3757.66</v>
      </c>
      <c r="Q1471">
        <f>tblMoeHistory[[#This Row],[Amount of IDEA Part B, Section 611 award]]+tblMoeHistory[[#This Row],[Amount of IDEA Part B, Section 619 award]]</f>
        <v>288362.18</v>
      </c>
      <c r="U14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1" t="str">
        <f>IF(OR(IFERROR(SEARCH("Met",tblMoeHistory[[#This Row],[State and Local Per Capita Result]]),0)&gt;0,IFERROR(SEARCH("Met",tblMoeHistory[[#This Row],[State and Local Total Result]]),0)&gt;0),"Met","Not Met")</f>
        <v>Met</v>
      </c>
    </row>
    <row r="1472" spans="1:22" x14ac:dyDescent="0.35">
      <c r="A1472" t="s">
        <v>113</v>
      </c>
      <c r="B1472">
        <v>2109</v>
      </c>
      <c r="C1472" t="s">
        <v>16</v>
      </c>
      <c r="D1472">
        <v>0</v>
      </c>
      <c r="E1472">
        <v>0</v>
      </c>
      <c r="F1472">
        <v>6068.13</v>
      </c>
      <c r="G1472">
        <f>tblMoeHistory[[#This Row],[LEA State and Local Amount]]+tblMoeHistory[[#This Row],[ESD State and Local Amount]]</f>
        <v>6068.13</v>
      </c>
      <c r="H1472">
        <v>4298.29</v>
      </c>
      <c r="I1472" t="s">
        <v>240</v>
      </c>
      <c r="J1472" s="44">
        <f>IFERROR(tblMoeHistory[[#This Row],[LEA State and Local Amount]]/tblMoeHistory[[#This Row],[Child Count]],0)</f>
        <v>0</v>
      </c>
      <c r="K1472">
        <f>IFERROR(tblMoeHistory[[#This Row],[ESD State and Local Amount]]/tblMoeHistory[[#This Row],[Child Count]],0)</f>
        <v>0</v>
      </c>
      <c r="L1472" s="1">
        <f>IFERROR(tblMoeHistory[[#This Row],[State and Local Total Amount]]/tblMoeHistory[[#This Row],[Child Count]],0)</f>
        <v>0</v>
      </c>
      <c r="M1472">
        <v>0</v>
      </c>
      <c r="N1472" t="s">
        <v>241</v>
      </c>
      <c r="O1472">
        <v>354.09</v>
      </c>
      <c r="P1472">
        <v>0</v>
      </c>
      <c r="Q1472">
        <f>tblMoeHistory[[#This Row],[Amount of IDEA Part B, Section 611 award]]+tblMoeHistory[[#This Row],[Amount of IDEA Part B, Section 619 award]]</f>
        <v>354.09</v>
      </c>
      <c r="S1472">
        <v>0</v>
      </c>
      <c r="U14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2" t="str">
        <f>IF(OR(IFERROR(SEARCH("Met",tblMoeHistory[[#This Row],[State and Local Per Capita Result]]),0)&gt;0,IFERROR(SEARCH("Met",tblMoeHistory[[#This Row],[State and Local Total Result]]),0)&gt;0),"Met","Not Met")</f>
        <v>Met</v>
      </c>
    </row>
    <row r="1473" spans="1:22" x14ac:dyDescent="0.35">
      <c r="A1473" t="s">
        <v>114</v>
      </c>
      <c r="B1473">
        <v>2057</v>
      </c>
      <c r="C1473" t="s">
        <v>16</v>
      </c>
      <c r="D1473">
        <v>832</v>
      </c>
      <c r="E1473">
        <v>6957254.7699999996</v>
      </c>
      <c r="F1473">
        <v>294928.53999999998</v>
      </c>
      <c r="G1473">
        <f>tblMoeHistory[[#This Row],[LEA State and Local Amount]]+tblMoeHistory[[#This Row],[ESD State and Local Amount]]</f>
        <v>7252183.3099999996</v>
      </c>
      <c r="H1473">
        <v>0</v>
      </c>
      <c r="I1473" t="s">
        <v>241</v>
      </c>
      <c r="J1473" s="44">
        <f>IFERROR(tblMoeHistory[[#This Row],[LEA State and Local Amount]]/tblMoeHistory[[#This Row],[Child Count]],0)</f>
        <v>8362.085060096153</v>
      </c>
      <c r="K1473">
        <f>IFERROR(tblMoeHistory[[#This Row],[ESD State and Local Amount]]/tblMoeHistory[[#This Row],[Child Count]],0)</f>
        <v>354.48141826923074</v>
      </c>
      <c r="L1473" s="1">
        <f>IFERROR(tblMoeHistory[[#This Row],[State and Local Total Amount]]/tblMoeHistory[[#This Row],[Child Count]],0)</f>
        <v>8716.5664783653847</v>
      </c>
      <c r="M1473">
        <v>0</v>
      </c>
      <c r="N1473" t="s">
        <v>241</v>
      </c>
      <c r="O1473">
        <v>1237856.1100000001</v>
      </c>
      <c r="P1473">
        <v>10524.14</v>
      </c>
      <c r="Q1473">
        <f>tblMoeHistory[[#This Row],[Amount of IDEA Part B, Section 611 award]]+tblMoeHistory[[#This Row],[Amount of IDEA Part B, Section 619 award]]</f>
        <v>1248380.25</v>
      </c>
      <c r="U14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3" t="str">
        <f>IF(OR(IFERROR(SEARCH("Met",tblMoeHistory[[#This Row],[State and Local Per Capita Result]]),0)&gt;0,IFERROR(SEARCH("Met",tblMoeHistory[[#This Row],[State and Local Total Result]]),0)&gt;0),"Met","Not Met")</f>
        <v>Met</v>
      </c>
    </row>
    <row r="1474" spans="1:22" x14ac:dyDescent="0.35">
      <c r="A1474" t="s">
        <v>115</v>
      </c>
      <c r="B1474">
        <v>2056</v>
      </c>
      <c r="C1474" t="s">
        <v>16</v>
      </c>
      <c r="D1474">
        <v>411</v>
      </c>
      <c r="E1474">
        <v>3411420.53</v>
      </c>
      <c r="F1474">
        <v>95390.92</v>
      </c>
      <c r="G1474">
        <f>tblMoeHistory[[#This Row],[LEA State and Local Amount]]+tblMoeHistory[[#This Row],[ESD State and Local Amount]]</f>
        <v>3506811.4499999997</v>
      </c>
      <c r="H1474">
        <v>0</v>
      </c>
      <c r="I1474" t="s">
        <v>241</v>
      </c>
      <c r="J1474" s="44">
        <f>IFERROR(tblMoeHistory[[#This Row],[LEA State and Local Amount]]/tblMoeHistory[[#This Row],[Child Count]],0)</f>
        <v>8300.2932603406316</v>
      </c>
      <c r="K1474">
        <f>IFERROR(tblMoeHistory[[#This Row],[ESD State and Local Amount]]/tblMoeHistory[[#This Row],[Child Count]],0)</f>
        <v>232.09469586374695</v>
      </c>
      <c r="L1474" s="1">
        <f>IFERROR(tblMoeHistory[[#This Row],[State and Local Total Amount]]/tblMoeHistory[[#This Row],[Child Count]],0)</f>
        <v>8532.3879562043785</v>
      </c>
      <c r="M1474">
        <v>0</v>
      </c>
      <c r="N1474" t="s">
        <v>241</v>
      </c>
      <c r="O1474">
        <v>630419.01</v>
      </c>
      <c r="P1474">
        <v>8016.96</v>
      </c>
      <c r="Q1474">
        <f>tblMoeHistory[[#This Row],[Amount of IDEA Part B, Section 611 award]]+tblMoeHistory[[#This Row],[Amount of IDEA Part B, Section 619 award]]</f>
        <v>638435.97</v>
      </c>
      <c r="U14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4" t="str">
        <f>IF(OR(IFERROR(SEARCH("Met",tblMoeHistory[[#This Row],[State and Local Per Capita Result]]),0)&gt;0,IFERROR(SEARCH("Met",tblMoeHistory[[#This Row],[State and Local Total Result]]),0)&gt;0),"Met","Not Met")</f>
        <v>Met</v>
      </c>
    </row>
    <row r="1475" spans="1:22" x14ac:dyDescent="0.35">
      <c r="A1475" t="s">
        <v>116</v>
      </c>
      <c r="B1475">
        <v>2262</v>
      </c>
      <c r="C1475" t="s">
        <v>16</v>
      </c>
      <c r="D1475">
        <v>84</v>
      </c>
      <c r="E1475">
        <v>725541.45</v>
      </c>
      <c r="F1475">
        <v>43971</v>
      </c>
      <c r="G1475">
        <f>tblMoeHistory[[#This Row],[LEA State and Local Amount]]+tblMoeHistory[[#This Row],[ESD State and Local Amount]]</f>
        <v>769512.45</v>
      </c>
      <c r="H1475">
        <v>0</v>
      </c>
      <c r="I1475" t="s">
        <v>241</v>
      </c>
      <c r="J1475" s="44">
        <f>IFERROR(tblMoeHistory[[#This Row],[LEA State and Local Amount]]/tblMoeHistory[[#This Row],[Child Count]],0)</f>
        <v>8637.398214285713</v>
      </c>
      <c r="K1475">
        <f>IFERROR(tblMoeHistory[[#This Row],[ESD State and Local Amount]]/tblMoeHistory[[#This Row],[Child Count]],0)</f>
        <v>523.46428571428567</v>
      </c>
      <c r="L1475" s="1">
        <f>IFERROR(tblMoeHistory[[#This Row],[State and Local Total Amount]]/tblMoeHistory[[#This Row],[Child Count]],0)</f>
        <v>9160.8624999999993</v>
      </c>
      <c r="M1475">
        <v>0</v>
      </c>
      <c r="N1475" t="s">
        <v>241</v>
      </c>
      <c r="O1475">
        <v>74616.25</v>
      </c>
      <c r="P1475">
        <v>970.38</v>
      </c>
      <c r="Q1475">
        <f>tblMoeHistory[[#This Row],[Amount of IDEA Part B, Section 611 award]]+tblMoeHistory[[#This Row],[Amount of IDEA Part B, Section 619 award]]</f>
        <v>75586.63</v>
      </c>
      <c r="U14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5" t="str">
        <f>IF(OR(IFERROR(SEARCH("Met",tblMoeHistory[[#This Row],[State and Local Per Capita Result]]),0)&gt;0,IFERROR(SEARCH("Met",tblMoeHistory[[#This Row],[State and Local Total Result]]),0)&gt;0),"Met","Not Met")</f>
        <v>Met</v>
      </c>
    </row>
    <row r="1476" spans="1:22" x14ac:dyDescent="0.35">
      <c r="A1476" t="s">
        <v>117</v>
      </c>
      <c r="B1476">
        <v>2212</v>
      </c>
      <c r="C1476" t="s">
        <v>16</v>
      </c>
      <c r="D1476">
        <v>348</v>
      </c>
      <c r="E1476">
        <v>2798967.47</v>
      </c>
      <c r="F1476">
        <v>494232.56</v>
      </c>
      <c r="G1476">
        <f>tblMoeHistory[[#This Row],[LEA State and Local Amount]]+tblMoeHistory[[#This Row],[ESD State and Local Amount]]</f>
        <v>3293200.0300000003</v>
      </c>
      <c r="H1476">
        <v>0</v>
      </c>
      <c r="I1476" t="s">
        <v>241</v>
      </c>
      <c r="J1476" s="44">
        <f>IFERROR(tblMoeHistory[[#This Row],[LEA State and Local Amount]]/tblMoeHistory[[#This Row],[Child Count]],0)</f>
        <v>8043.0099712643687</v>
      </c>
      <c r="K1476">
        <f>IFERROR(tblMoeHistory[[#This Row],[ESD State and Local Amount]]/tblMoeHistory[[#This Row],[Child Count]],0)</f>
        <v>1420.2085057471265</v>
      </c>
      <c r="L1476" s="1">
        <f>IFERROR(tblMoeHistory[[#This Row],[State and Local Total Amount]]/tblMoeHistory[[#This Row],[Child Count]],0)</f>
        <v>9463.2184770114945</v>
      </c>
      <c r="M1476">
        <v>0</v>
      </c>
      <c r="N1476" t="s">
        <v>241</v>
      </c>
      <c r="O1476">
        <v>444672</v>
      </c>
      <c r="P1476">
        <v>4841.38</v>
      </c>
      <c r="Q1476">
        <f>tblMoeHistory[[#This Row],[Amount of IDEA Part B, Section 611 award]]+tblMoeHistory[[#This Row],[Amount of IDEA Part B, Section 619 award]]</f>
        <v>449513.38</v>
      </c>
      <c r="U14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6" t="str">
        <f>IF(OR(IFERROR(SEARCH("Met",tblMoeHistory[[#This Row],[State and Local Per Capita Result]]),0)&gt;0,IFERROR(SEARCH("Met",tblMoeHistory[[#This Row],[State and Local Total Result]]),0)&gt;0),"Met","Not Met")</f>
        <v>Met</v>
      </c>
    </row>
    <row r="1477" spans="1:22" x14ac:dyDescent="0.35">
      <c r="A1477" t="s">
        <v>118</v>
      </c>
      <c r="B1477">
        <v>2059</v>
      </c>
      <c r="C1477" t="s">
        <v>16</v>
      </c>
      <c r="D1477">
        <v>106</v>
      </c>
      <c r="E1477">
        <v>471789.06</v>
      </c>
      <c r="F1477">
        <v>205590.39</v>
      </c>
      <c r="G1477">
        <f>tblMoeHistory[[#This Row],[LEA State and Local Amount]]+tblMoeHistory[[#This Row],[ESD State and Local Amount]]</f>
        <v>677379.45</v>
      </c>
      <c r="H1477">
        <v>0</v>
      </c>
      <c r="I1477" t="s">
        <v>242</v>
      </c>
      <c r="J1477" s="44">
        <f>IFERROR(tblMoeHistory[[#This Row],[LEA State and Local Amount]]/tblMoeHistory[[#This Row],[Child Count]],0)</f>
        <v>4450.8401886792453</v>
      </c>
      <c r="K1477">
        <f>IFERROR(tblMoeHistory[[#This Row],[ESD State and Local Amount]]/tblMoeHistory[[#This Row],[Child Count]],0)</f>
        <v>1939.5319811320755</v>
      </c>
      <c r="L1477" s="1">
        <f>IFERROR(tblMoeHistory[[#This Row],[State and Local Total Amount]]/tblMoeHistory[[#This Row],[Child Count]],0)</f>
        <v>6390.3721698113204</v>
      </c>
      <c r="M1477">
        <v>40566.18</v>
      </c>
      <c r="N1477" t="s">
        <v>240</v>
      </c>
      <c r="O1477">
        <v>139580.32</v>
      </c>
      <c r="P1477">
        <v>1455.58</v>
      </c>
      <c r="Q1477">
        <f>tblMoeHistory[[#This Row],[Amount of IDEA Part B, Section 611 award]]+tblMoeHistory[[#This Row],[Amount of IDEA Part B, Section 619 award]]</f>
        <v>141035.9</v>
      </c>
      <c r="S1477">
        <v>52389.86</v>
      </c>
      <c r="T1477">
        <v>540.1</v>
      </c>
      <c r="U14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7" t="str">
        <f>IF(OR(IFERROR(SEARCH("Met",tblMoeHistory[[#This Row],[State and Local Per Capita Result]]),0)&gt;0,IFERROR(SEARCH("Met",tblMoeHistory[[#This Row],[State and Local Total Result]]),0)&gt;0),"Met","Not Met")</f>
        <v>Met</v>
      </c>
    </row>
    <row r="1478" spans="1:22" x14ac:dyDescent="0.35">
      <c r="A1478" t="s">
        <v>119</v>
      </c>
      <c r="B1478">
        <v>1923</v>
      </c>
      <c r="C1478" t="s">
        <v>16</v>
      </c>
      <c r="D1478">
        <v>682</v>
      </c>
      <c r="E1478">
        <v>12570220.66</v>
      </c>
      <c r="F1478">
        <v>224677</v>
      </c>
      <c r="G1478">
        <f>tblMoeHistory[[#This Row],[LEA State and Local Amount]]+tblMoeHistory[[#This Row],[ESD State and Local Amount]]</f>
        <v>12794897.66</v>
      </c>
      <c r="H1478">
        <v>0</v>
      </c>
      <c r="I1478" t="s">
        <v>241</v>
      </c>
      <c r="J1478" s="44">
        <f>IFERROR(tblMoeHistory[[#This Row],[LEA State and Local Amount]]/tblMoeHistory[[#This Row],[Child Count]],0)</f>
        <v>18431.408592375366</v>
      </c>
      <c r="K1478">
        <f>IFERROR(tblMoeHistory[[#This Row],[ESD State and Local Amount]]/tblMoeHistory[[#This Row],[Child Count]],0)</f>
        <v>329.43841642228739</v>
      </c>
      <c r="L1478" s="1">
        <f>IFERROR(tblMoeHistory[[#This Row],[State and Local Total Amount]]/tblMoeHistory[[#This Row],[Child Count]],0)</f>
        <v>18760.847008797653</v>
      </c>
      <c r="M1478">
        <v>0</v>
      </c>
      <c r="N1478" t="s">
        <v>241</v>
      </c>
      <c r="O1478">
        <v>1041511.97</v>
      </c>
      <c r="P1478">
        <v>4714.33</v>
      </c>
      <c r="Q1478">
        <f>tblMoeHistory[[#This Row],[Amount of IDEA Part B, Section 611 award]]+tblMoeHistory[[#This Row],[Amount of IDEA Part B, Section 619 award]]</f>
        <v>1046226.2999999999</v>
      </c>
      <c r="U14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8" t="str">
        <f>IF(OR(IFERROR(SEARCH("Met",tblMoeHistory[[#This Row],[State and Local Per Capita Result]]),0)&gt;0,IFERROR(SEARCH("Met",tblMoeHistory[[#This Row],[State and Local Total Result]]),0)&gt;0),"Met","Not Met")</f>
        <v>Met</v>
      </c>
    </row>
    <row r="1479" spans="1:22" x14ac:dyDescent="0.35">
      <c r="A1479" t="s">
        <v>120</v>
      </c>
      <c r="B1479">
        <v>2101</v>
      </c>
      <c r="C1479" t="s">
        <v>16</v>
      </c>
      <c r="D1479">
        <v>650</v>
      </c>
      <c r="E1479">
        <v>4943816.53</v>
      </c>
      <c r="F1479">
        <v>846554</v>
      </c>
      <c r="G1479">
        <f>tblMoeHistory[[#This Row],[LEA State and Local Amount]]+tblMoeHistory[[#This Row],[ESD State and Local Amount]]</f>
        <v>5790370.5300000003</v>
      </c>
      <c r="H1479">
        <v>0</v>
      </c>
      <c r="I1479" t="s">
        <v>241</v>
      </c>
      <c r="J1479" s="44">
        <f>IFERROR(tblMoeHistory[[#This Row],[LEA State and Local Amount]]/tblMoeHistory[[#This Row],[Child Count]],0)</f>
        <v>7605.8715846153846</v>
      </c>
      <c r="K1479">
        <f>IFERROR(tblMoeHistory[[#This Row],[ESD State and Local Amount]]/tblMoeHistory[[#This Row],[Child Count]],0)</f>
        <v>1302.3907692307691</v>
      </c>
      <c r="L1479" s="1">
        <f>IFERROR(tblMoeHistory[[#This Row],[State and Local Total Amount]]/tblMoeHistory[[#This Row],[Child Count]],0)</f>
        <v>8908.2623538461539</v>
      </c>
      <c r="M1479">
        <v>0</v>
      </c>
      <c r="N1479" t="s">
        <v>241</v>
      </c>
      <c r="O1479">
        <v>732963.59</v>
      </c>
      <c r="P1479">
        <v>5666.57</v>
      </c>
      <c r="Q1479">
        <f>tblMoeHistory[[#This Row],[Amount of IDEA Part B, Section 611 award]]+tblMoeHistory[[#This Row],[Amount of IDEA Part B, Section 619 award]]</f>
        <v>738630.15999999992</v>
      </c>
      <c r="U14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9" t="str">
        <f>IF(OR(IFERROR(SEARCH("Met",tblMoeHistory[[#This Row],[State and Local Per Capita Result]]),0)&gt;0,IFERROR(SEARCH("Met",tblMoeHistory[[#This Row],[State and Local Total Result]]),0)&gt;0),"Met","Not Met")</f>
        <v>Met</v>
      </c>
    </row>
    <row r="1480" spans="1:22" x14ac:dyDescent="0.35">
      <c r="A1480" t="s">
        <v>121</v>
      </c>
      <c r="B1480">
        <v>2097</v>
      </c>
      <c r="C1480" t="s">
        <v>16</v>
      </c>
      <c r="D1480">
        <v>758</v>
      </c>
      <c r="E1480">
        <v>7065501.5</v>
      </c>
      <c r="F1480">
        <v>697523</v>
      </c>
      <c r="G1480">
        <f>tblMoeHistory[[#This Row],[LEA State and Local Amount]]+tblMoeHistory[[#This Row],[ESD State and Local Amount]]</f>
        <v>7763024.5</v>
      </c>
      <c r="H1480">
        <v>0</v>
      </c>
      <c r="I1480" t="s">
        <v>241</v>
      </c>
      <c r="J1480" s="44">
        <f>IFERROR(tblMoeHistory[[#This Row],[LEA State and Local Amount]]/tblMoeHistory[[#This Row],[Child Count]],0)</f>
        <v>9321.2420844327171</v>
      </c>
      <c r="K1480">
        <f>IFERROR(tblMoeHistory[[#This Row],[ESD State and Local Amount]]/tblMoeHistory[[#This Row],[Child Count]],0)</f>
        <v>920.21503957783636</v>
      </c>
      <c r="L1480" s="1">
        <f>IFERROR(tblMoeHistory[[#This Row],[State and Local Total Amount]]/tblMoeHistory[[#This Row],[Child Count]],0)</f>
        <v>10241.457124010554</v>
      </c>
      <c r="M1480">
        <v>107156.22</v>
      </c>
      <c r="N1480" t="s">
        <v>240</v>
      </c>
      <c r="O1480">
        <v>1017246.99</v>
      </c>
      <c r="P1480">
        <v>11987.11</v>
      </c>
      <c r="Q1480">
        <f>tblMoeHistory[[#This Row],[Amount of IDEA Part B, Section 611 award]]+tblMoeHistory[[#This Row],[Amount of IDEA Part B, Section 619 award]]</f>
        <v>1029234.1</v>
      </c>
      <c r="T1480">
        <v>0</v>
      </c>
      <c r="U14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0" t="str">
        <f>IF(OR(IFERROR(SEARCH("Met",tblMoeHistory[[#This Row],[State and Local Per Capita Result]]),0)&gt;0,IFERROR(SEARCH("Met",tblMoeHistory[[#This Row],[State and Local Total Result]]),0)&gt;0),"Met","Not Met")</f>
        <v>Met</v>
      </c>
    </row>
    <row r="1481" spans="1:22" x14ac:dyDescent="0.35">
      <c r="A1481" t="s">
        <v>122</v>
      </c>
      <c r="B1481">
        <v>2012</v>
      </c>
      <c r="C1481" t="s">
        <v>16</v>
      </c>
      <c r="D1481">
        <v>5</v>
      </c>
      <c r="E1481">
        <v>16388.919999999998</v>
      </c>
      <c r="F1481">
        <v>56997.41</v>
      </c>
      <c r="G1481">
        <f>tblMoeHistory[[#This Row],[LEA State and Local Amount]]+tblMoeHistory[[#This Row],[ESD State and Local Amount]]</f>
        <v>73386.33</v>
      </c>
      <c r="H1481">
        <v>0</v>
      </c>
      <c r="I1481" t="s">
        <v>242</v>
      </c>
      <c r="J1481" s="44">
        <f>IFERROR(tblMoeHistory[[#This Row],[LEA State and Local Amount]]/tblMoeHistory[[#This Row],[Child Count]],0)</f>
        <v>3277.7839999999997</v>
      </c>
      <c r="K1481">
        <f>IFERROR(tblMoeHistory[[#This Row],[ESD State and Local Amount]]/tblMoeHistory[[#This Row],[Child Count]],0)</f>
        <v>11399.482</v>
      </c>
      <c r="L1481" s="1">
        <f>IFERROR(tblMoeHistory[[#This Row],[State and Local Total Amount]]/tblMoeHistory[[#This Row],[Child Count]],0)</f>
        <v>14677.266</v>
      </c>
      <c r="M1481">
        <v>64855.46</v>
      </c>
      <c r="N1481" t="s">
        <v>240</v>
      </c>
      <c r="O1481">
        <v>5828.4</v>
      </c>
      <c r="P1481">
        <v>0</v>
      </c>
      <c r="Q1481">
        <f>tblMoeHistory[[#This Row],[Amount of IDEA Part B, Section 611 award]]+tblMoeHistory[[#This Row],[Amount of IDEA Part B, Section 619 award]]</f>
        <v>5828.4</v>
      </c>
      <c r="R1481">
        <v>24704.959999999999</v>
      </c>
      <c r="S1481">
        <v>24704.959999999999</v>
      </c>
      <c r="T1481">
        <v>12352.48</v>
      </c>
      <c r="U14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1" t="str">
        <f>IF(OR(IFERROR(SEARCH("Met",tblMoeHistory[[#This Row],[State and Local Per Capita Result]]),0)&gt;0,IFERROR(SEARCH("Met",tblMoeHistory[[#This Row],[State and Local Total Result]]),0)&gt;0),"Met","Not Met")</f>
        <v>Met</v>
      </c>
    </row>
    <row r="1482" spans="1:22" x14ac:dyDescent="0.35">
      <c r="A1482" t="s">
        <v>123</v>
      </c>
      <c r="B1482">
        <v>2092</v>
      </c>
      <c r="C1482" t="s">
        <v>16</v>
      </c>
      <c r="D1482">
        <v>73</v>
      </c>
      <c r="E1482">
        <v>636033.05000000005</v>
      </c>
      <c r="F1482">
        <v>167650</v>
      </c>
      <c r="G1482">
        <f>tblMoeHistory[[#This Row],[LEA State and Local Amount]]+tblMoeHistory[[#This Row],[ESD State and Local Amount]]</f>
        <v>803683.05</v>
      </c>
      <c r="H1482">
        <v>0</v>
      </c>
      <c r="I1482" t="s">
        <v>241</v>
      </c>
      <c r="J1482" s="44">
        <f>IFERROR(tblMoeHistory[[#This Row],[LEA State and Local Amount]]/tblMoeHistory[[#This Row],[Child Count]],0)</f>
        <v>8712.7815068493164</v>
      </c>
      <c r="K1482">
        <f>IFERROR(tblMoeHistory[[#This Row],[ESD State and Local Amount]]/tblMoeHistory[[#This Row],[Child Count]],0)</f>
        <v>2296.5753424657532</v>
      </c>
      <c r="L1482" s="1">
        <f>IFERROR(tblMoeHistory[[#This Row],[State and Local Total Amount]]/tblMoeHistory[[#This Row],[Child Count]],0)</f>
        <v>11009.356849315069</v>
      </c>
      <c r="M1482">
        <v>4668.41</v>
      </c>
      <c r="N1482" t="s">
        <v>240</v>
      </c>
      <c r="O1482">
        <v>96790.42</v>
      </c>
      <c r="P1482">
        <v>291.12</v>
      </c>
      <c r="Q1482">
        <f>tblMoeHistory[[#This Row],[Amount of IDEA Part B, Section 611 award]]+tblMoeHistory[[#This Row],[Amount of IDEA Part B, Section 619 award]]</f>
        <v>97081.54</v>
      </c>
      <c r="T1482">
        <v>148.26</v>
      </c>
      <c r="U14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2" t="str">
        <f>IF(OR(IFERROR(SEARCH("Met",tblMoeHistory[[#This Row],[State and Local Per Capita Result]]),0)&gt;0,IFERROR(SEARCH("Met",tblMoeHistory[[#This Row],[State and Local Total Result]]),0)&gt;0),"Met","Not Met")</f>
        <v>Met</v>
      </c>
    </row>
    <row r="1483" spans="1:22" x14ac:dyDescent="0.35">
      <c r="A1483" t="s">
        <v>124</v>
      </c>
      <c r="B1483">
        <v>2112</v>
      </c>
      <c r="C1483" t="s">
        <v>16</v>
      </c>
      <c r="D1483">
        <v>0</v>
      </c>
      <c r="E1483">
        <v>0</v>
      </c>
      <c r="F1483">
        <v>1074.54</v>
      </c>
      <c r="G1483">
        <f>tblMoeHistory[[#This Row],[LEA State and Local Amount]]+tblMoeHistory[[#This Row],[ESD State and Local Amount]]</f>
        <v>1074.54</v>
      </c>
      <c r="H1483">
        <v>1263.3699999999999</v>
      </c>
      <c r="I1483" t="s">
        <v>240</v>
      </c>
      <c r="J1483" s="44">
        <f>IFERROR(tblMoeHistory[[#This Row],[LEA State and Local Amount]]/tblMoeHistory[[#This Row],[Child Count]],0)</f>
        <v>0</v>
      </c>
      <c r="K1483">
        <f>IFERROR(tblMoeHistory[[#This Row],[ESD State and Local Amount]]/tblMoeHistory[[#This Row],[Child Count]],0)</f>
        <v>0</v>
      </c>
      <c r="L1483" s="1">
        <f>IFERROR(tblMoeHistory[[#This Row],[State and Local Total Amount]]/tblMoeHistory[[#This Row],[Child Count]],0)</f>
        <v>0</v>
      </c>
      <c r="M1483">
        <v>0</v>
      </c>
      <c r="N1483" t="s">
        <v>241</v>
      </c>
      <c r="O1483">
        <v>705.1</v>
      </c>
      <c r="P1483">
        <v>0</v>
      </c>
      <c r="Q1483">
        <f>tblMoeHistory[[#This Row],[Amount of IDEA Part B, Section 611 award]]+tblMoeHistory[[#This Row],[Amount of IDEA Part B, Section 619 award]]</f>
        <v>705.1</v>
      </c>
      <c r="S1483">
        <v>0</v>
      </c>
      <c r="U14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3" t="str">
        <f>IF(OR(IFERROR(SEARCH("Met",tblMoeHistory[[#This Row],[State and Local Per Capita Result]]),0)&gt;0,IFERROR(SEARCH("Met",tblMoeHistory[[#This Row],[State and Local Total Result]]),0)&gt;0),"Met","Not Met")</f>
        <v>Met</v>
      </c>
    </row>
    <row r="1484" spans="1:22" x14ac:dyDescent="0.35">
      <c r="A1484" t="s">
        <v>125</v>
      </c>
      <c r="B1484">
        <v>2085</v>
      </c>
      <c r="C1484" t="s">
        <v>16</v>
      </c>
      <c r="D1484">
        <v>24</v>
      </c>
      <c r="E1484">
        <v>309012.39</v>
      </c>
      <c r="F1484">
        <v>95191</v>
      </c>
      <c r="G1484">
        <f>tblMoeHistory[[#This Row],[LEA State and Local Amount]]+tblMoeHistory[[#This Row],[ESD State and Local Amount]]</f>
        <v>404203.39</v>
      </c>
      <c r="H1484">
        <v>17595.330000000002</v>
      </c>
      <c r="I1484" t="s">
        <v>242</v>
      </c>
      <c r="J1484" s="44">
        <f>IFERROR(tblMoeHistory[[#This Row],[LEA State and Local Amount]]/tblMoeHistory[[#This Row],[Child Count]],0)</f>
        <v>12875.516250000001</v>
      </c>
      <c r="K1484">
        <f>IFERROR(tblMoeHistory[[#This Row],[ESD State and Local Amount]]/tblMoeHistory[[#This Row],[Child Count]],0)</f>
        <v>3966.2916666666665</v>
      </c>
      <c r="L1484" s="1">
        <f>IFERROR(tblMoeHistory[[#This Row],[State and Local Total Amount]]/tblMoeHistory[[#This Row],[Child Count]],0)</f>
        <v>16841.807916666668</v>
      </c>
      <c r="M1484">
        <v>35934.400000000001</v>
      </c>
      <c r="N1484" t="s">
        <v>240</v>
      </c>
      <c r="O1484">
        <v>49049.13</v>
      </c>
      <c r="P1484">
        <v>363.89</v>
      </c>
      <c r="Q1484">
        <f>tblMoeHistory[[#This Row],[Amount of IDEA Part B, Section 611 award]]+tblMoeHistory[[#This Row],[Amount of IDEA Part B, Section 619 award]]</f>
        <v>49413.02</v>
      </c>
      <c r="S1484">
        <v>27500</v>
      </c>
      <c r="T1484">
        <v>1195.6500000000001</v>
      </c>
      <c r="U14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4" t="str">
        <f>IF(OR(IFERROR(SEARCH("Met",tblMoeHistory[[#This Row],[State and Local Per Capita Result]]),0)&gt;0,IFERROR(SEARCH("Met",tblMoeHistory[[#This Row],[State and Local Total Result]]),0)&gt;0),"Met","Not Met")</f>
        <v>Met</v>
      </c>
    </row>
    <row r="1485" spans="1:22" x14ac:dyDescent="0.35">
      <c r="A1485" t="s">
        <v>126</v>
      </c>
      <c r="B1485">
        <v>2094</v>
      </c>
      <c r="C1485" t="s">
        <v>16</v>
      </c>
      <c r="D1485">
        <v>40</v>
      </c>
      <c r="E1485">
        <v>321045.2</v>
      </c>
      <c r="F1485">
        <v>107709</v>
      </c>
      <c r="G1485">
        <f>tblMoeHistory[[#This Row],[LEA State and Local Amount]]+tblMoeHistory[[#This Row],[ESD State and Local Amount]]</f>
        <v>428754.2</v>
      </c>
      <c r="H1485">
        <v>0</v>
      </c>
      <c r="I1485" t="s">
        <v>241</v>
      </c>
      <c r="J1485" s="44">
        <f>IFERROR(tblMoeHistory[[#This Row],[LEA State and Local Amount]]/tblMoeHistory[[#This Row],[Child Count]],0)</f>
        <v>8026.13</v>
      </c>
      <c r="K1485">
        <f>IFERROR(tblMoeHistory[[#This Row],[ESD State and Local Amount]]/tblMoeHistory[[#This Row],[Child Count]],0)</f>
        <v>2692.7249999999999</v>
      </c>
      <c r="L1485" s="1">
        <f>IFERROR(tblMoeHistory[[#This Row],[State and Local Total Amount]]/tblMoeHistory[[#This Row],[Child Count]],0)</f>
        <v>10718.855</v>
      </c>
      <c r="M1485">
        <v>0</v>
      </c>
      <c r="N1485" t="s">
        <v>241</v>
      </c>
      <c r="O1485">
        <v>47977.43</v>
      </c>
      <c r="P1485">
        <v>161.72999999999999</v>
      </c>
      <c r="Q1485">
        <f>tblMoeHistory[[#This Row],[Amount of IDEA Part B, Section 611 award]]+tblMoeHistory[[#This Row],[Amount of IDEA Part B, Section 619 award]]</f>
        <v>48139.16</v>
      </c>
      <c r="U14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5" t="str">
        <f>IF(OR(IFERROR(SEARCH("Met",tblMoeHistory[[#This Row],[State and Local Per Capita Result]]),0)&gt;0,IFERROR(SEARCH("Met",tblMoeHistory[[#This Row],[State and Local Total Result]]),0)&gt;0),"Met","Not Met")</f>
        <v>Met</v>
      </c>
    </row>
    <row r="1486" spans="1:22" x14ac:dyDescent="0.35">
      <c r="A1486" t="s">
        <v>127</v>
      </c>
      <c r="B1486">
        <v>2090</v>
      </c>
      <c r="C1486" t="s">
        <v>16</v>
      </c>
      <c r="D1486">
        <v>32</v>
      </c>
      <c r="E1486">
        <v>412325.58</v>
      </c>
      <c r="F1486">
        <v>73698</v>
      </c>
      <c r="G1486">
        <f>tblMoeHistory[[#This Row],[LEA State and Local Amount]]+tblMoeHistory[[#This Row],[ESD State and Local Amount]]</f>
        <v>486023.58</v>
      </c>
      <c r="H1486">
        <v>0</v>
      </c>
      <c r="I1486" t="s">
        <v>242</v>
      </c>
      <c r="J1486" s="44">
        <f>IFERROR(tblMoeHistory[[#This Row],[LEA State and Local Amount]]/tblMoeHistory[[#This Row],[Child Count]],0)</f>
        <v>12885.174375000001</v>
      </c>
      <c r="K1486">
        <f>IFERROR(tblMoeHistory[[#This Row],[ESD State and Local Amount]]/tblMoeHistory[[#This Row],[Child Count]],0)</f>
        <v>2303.0625</v>
      </c>
      <c r="L1486" s="1">
        <f>IFERROR(tblMoeHistory[[#This Row],[State and Local Total Amount]]/tblMoeHistory[[#This Row],[Child Count]],0)</f>
        <v>15188.236875000001</v>
      </c>
      <c r="M1486">
        <v>0</v>
      </c>
      <c r="N1486" t="s">
        <v>242</v>
      </c>
      <c r="O1486">
        <v>40368.5</v>
      </c>
      <c r="P1486">
        <v>138.63</v>
      </c>
      <c r="Q1486">
        <f>tblMoeHistory[[#This Row],[Amount of IDEA Part B, Section 611 award]]+tblMoeHistory[[#This Row],[Amount of IDEA Part B, Section 619 award]]</f>
        <v>40507.129999999997</v>
      </c>
      <c r="S1486">
        <v>139237</v>
      </c>
      <c r="T1486">
        <v>4491.5200000000004</v>
      </c>
      <c r="U14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6" t="str">
        <f>IF(OR(IFERROR(SEARCH("Met",tblMoeHistory[[#This Row],[State and Local Per Capita Result]]),0)&gt;0,IFERROR(SEARCH("Met",tblMoeHistory[[#This Row],[State and Local Total Result]]),0)&gt;0),"Met","Not Met")</f>
        <v>Met</v>
      </c>
    </row>
    <row r="1487" spans="1:22" x14ac:dyDescent="0.35">
      <c r="A1487" t="s">
        <v>128</v>
      </c>
      <c r="B1487">
        <v>2256</v>
      </c>
      <c r="C1487" t="s">
        <v>16</v>
      </c>
      <c r="D1487">
        <v>831</v>
      </c>
      <c r="E1487">
        <v>7448012.0499999998</v>
      </c>
      <c r="F1487">
        <v>270550.7</v>
      </c>
      <c r="G1487">
        <f>tblMoeHistory[[#This Row],[LEA State and Local Amount]]+tblMoeHistory[[#This Row],[ESD State and Local Amount]]</f>
        <v>7718562.75</v>
      </c>
      <c r="H1487">
        <v>0</v>
      </c>
      <c r="I1487" t="s">
        <v>241</v>
      </c>
      <c r="J1487" s="44">
        <f>IFERROR(tblMoeHistory[[#This Row],[LEA State and Local Amount]]/tblMoeHistory[[#This Row],[Child Count]],0)</f>
        <v>8962.710048134777</v>
      </c>
      <c r="K1487">
        <f>IFERROR(tblMoeHistory[[#This Row],[ESD State and Local Amount]]/tblMoeHistory[[#This Row],[Child Count]],0)</f>
        <v>325.57244283995186</v>
      </c>
      <c r="L1487" s="1">
        <f>IFERROR(tblMoeHistory[[#This Row],[State and Local Total Amount]]/tblMoeHistory[[#This Row],[Child Count]],0)</f>
        <v>9288.2824909747287</v>
      </c>
      <c r="M1487">
        <v>0</v>
      </c>
      <c r="N1487" t="s">
        <v>241</v>
      </c>
      <c r="O1487">
        <v>970544.06</v>
      </c>
      <c r="P1487">
        <v>8856.4699999999993</v>
      </c>
      <c r="Q1487">
        <f>tblMoeHistory[[#This Row],[Amount of IDEA Part B, Section 611 award]]+tblMoeHistory[[#This Row],[Amount of IDEA Part B, Section 619 award]]</f>
        <v>979400.53</v>
      </c>
      <c r="U14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7" t="str">
        <f>IF(OR(IFERROR(SEARCH("Met",tblMoeHistory[[#This Row],[State and Local Per Capita Result]]),0)&gt;0,IFERROR(SEARCH("Met",tblMoeHistory[[#This Row],[State and Local Total Result]]),0)&gt;0),"Met","Not Met")</f>
        <v>Met</v>
      </c>
    </row>
    <row r="1488" spans="1:22" x14ac:dyDescent="0.35">
      <c r="A1488" t="s">
        <v>129</v>
      </c>
      <c r="B1488">
        <v>2048</v>
      </c>
      <c r="C1488" t="s">
        <v>16</v>
      </c>
      <c r="D1488">
        <v>1934</v>
      </c>
      <c r="E1488">
        <v>14540519.48</v>
      </c>
      <c r="F1488">
        <v>1548067.17</v>
      </c>
      <c r="G1488">
        <f>tblMoeHistory[[#This Row],[LEA State and Local Amount]]+tblMoeHistory[[#This Row],[ESD State and Local Amount]]</f>
        <v>16088586.65</v>
      </c>
      <c r="H1488">
        <v>0</v>
      </c>
      <c r="I1488" t="s">
        <v>241</v>
      </c>
      <c r="J1488" s="44">
        <f>IFERROR(tblMoeHistory[[#This Row],[LEA State and Local Amount]]/tblMoeHistory[[#This Row],[Child Count]],0)</f>
        <v>7518.3658117890382</v>
      </c>
      <c r="K1488">
        <f>IFERROR(tblMoeHistory[[#This Row],[ESD State and Local Amount]]/tblMoeHistory[[#This Row],[Child Count]],0)</f>
        <v>800.44838159255426</v>
      </c>
      <c r="L1488" s="1">
        <f>IFERROR(tblMoeHistory[[#This Row],[State and Local Total Amount]]/tblMoeHistory[[#This Row],[Child Count]],0)</f>
        <v>8318.8141933815932</v>
      </c>
      <c r="M1488">
        <v>602704.42000000004</v>
      </c>
      <c r="N1488" t="s">
        <v>240</v>
      </c>
      <c r="O1488">
        <v>2146083.66</v>
      </c>
      <c r="P1488">
        <v>23232.36</v>
      </c>
      <c r="Q1488">
        <f>tblMoeHistory[[#This Row],[Amount of IDEA Part B, Section 611 award]]+tblMoeHistory[[#This Row],[Amount of IDEA Part B, Section 619 award]]</f>
        <v>2169316.02</v>
      </c>
      <c r="T1488">
        <v>0</v>
      </c>
      <c r="U14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8" t="str">
        <f>IF(OR(IFERROR(SEARCH("Met",tblMoeHistory[[#This Row],[State and Local Per Capita Result]]),0)&gt;0,IFERROR(SEARCH("Met",tblMoeHistory[[#This Row],[State and Local Total Result]]),0)&gt;0),"Met","Not Met")</f>
        <v>Met</v>
      </c>
    </row>
    <row r="1489" spans="1:22" x14ac:dyDescent="0.35">
      <c r="A1489" t="s">
        <v>130</v>
      </c>
      <c r="B1489">
        <v>2205</v>
      </c>
      <c r="C1489" t="s">
        <v>16</v>
      </c>
      <c r="D1489">
        <v>210</v>
      </c>
      <c r="E1489">
        <v>1646907.63</v>
      </c>
      <c r="F1489">
        <v>340839.35</v>
      </c>
      <c r="G1489">
        <f>tblMoeHistory[[#This Row],[LEA State and Local Amount]]+tblMoeHistory[[#This Row],[ESD State and Local Amount]]</f>
        <v>1987746.98</v>
      </c>
      <c r="H1489">
        <v>0</v>
      </c>
      <c r="I1489" t="s">
        <v>241</v>
      </c>
      <c r="J1489" s="44">
        <f>IFERROR(tblMoeHistory[[#This Row],[LEA State and Local Amount]]/tblMoeHistory[[#This Row],[Child Count]],0)</f>
        <v>7842.4172857142848</v>
      </c>
      <c r="K1489">
        <f>IFERROR(tblMoeHistory[[#This Row],[ESD State and Local Amount]]/tblMoeHistory[[#This Row],[Child Count]],0)</f>
        <v>1623.0445238095238</v>
      </c>
      <c r="L1489" s="1">
        <f>IFERROR(tblMoeHistory[[#This Row],[State and Local Total Amount]]/tblMoeHistory[[#This Row],[Child Count]],0)</f>
        <v>9465.4618095238093</v>
      </c>
      <c r="M1489">
        <v>44261.41</v>
      </c>
      <c r="N1489" t="s">
        <v>240</v>
      </c>
      <c r="O1489">
        <v>271560.18</v>
      </c>
      <c r="P1489">
        <v>3105.23</v>
      </c>
      <c r="Q1489">
        <f>tblMoeHistory[[#This Row],[Amount of IDEA Part B, Section 611 award]]+tblMoeHistory[[#This Row],[Amount of IDEA Part B, Section 619 award]]</f>
        <v>274665.40999999997</v>
      </c>
      <c r="T1489">
        <v>0</v>
      </c>
      <c r="U14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9" t="str">
        <f>IF(OR(IFERROR(SEARCH("Met",tblMoeHistory[[#This Row],[State and Local Per Capita Result]]),0)&gt;0,IFERROR(SEARCH("Met",tblMoeHistory[[#This Row],[State and Local Total Result]]),0)&gt;0),"Met","Not Met")</f>
        <v>Met</v>
      </c>
    </row>
    <row r="1490" spans="1:22" x14ac:dyDescent="0.35">
      <c r="A1490" t="s">
        <v>131</v>
      </c>
      <c r="B1490">
        <v>2249</v>
      </c>
      <c r="C1490" t="s">
        <v>16</v>
      </c>
      <c r="D1490">
        <v>46</v>
      </c>
      <c r="E1490">
        <v>21464.400000000001</v>
      </c>
      <c r="F1490">
        <v>70341</v>
      </c>
      <c r="G1490">
        <f>tblMoeHistory[[#This Row],[LEA State and Local Amount]]+tblMoeHistory[[#This Row],[ESD State and Local Amount]]</f>
        <v>91805.4</v>
      </c>
      <c r="H1490">
        <v>0</v>
      </c>
      <c r="I1490" t="s">
        <v>241</v>
      </c>
      <c r="J1490" s="44">
        <f>IFERROR(tblMoeHistory[[#This Row],[LEA State and Local Amount]]/tblMoeHistory[[#This Row],[Child Count]],0)</f>
        <v>466.61739130434785</v>
      </c>
      <c r="K1490">
        <f>IFERROR(tblMoeHistory[[#This Row],[ESD State and Local Amount]]/tblMoeHistory[[#This Row],[Child Count]],0)</f>
        <v>1529.1521739130435</v>
      </c>
      <c r="L1490" s="1">
        <f>IFERROR(tblMoeHistory[[#This Row],[State and Local Total Amount]]/tblMoeHistory[[#This Row],[Child Count]],0)</f>
        <v>1995.7695652173911</v>
      </c>
      <c r="M1490">
        <v>273724.59999999998</v>
      </c>
      <c r="N1490" t="s">
        <v>240</v>
      </c>
      <c r="O1490">
        <v>47152.84</v>
      </c>
      <c r="P1490">
        <v>0</v>
      </c>
      <c r="Q1490">
        <f>tblMoeHistory[[#This Row],[Amount of IDEA Part B, Section 611 award]]+tblMoeHistory[[#This Row],[Amount of IDEA Part B, Section 619 award]]</f>
        <v>47152.84</v>
      </c>
      <c r="T1490">
        <v>3175.75</v>
      </c>
      <c r="U14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0" t="str">
        <f>IF(OR(IFERROR(SEARCH("Met",tblMoeHistory[[#This Row],[State and Local Per Capita Result]]),0)&gt;0,IFERROR(SEARCH("Met",tblMoeHistory[[#This Row],[State and Local Total Result]]),0)&gt;0),"Met","Not Met")</f>
        <v>Met</v>
      </c>
    </row>
    <row r="1491" spans="1:22" x14ac:dyDescent="0.35">
      <c r="A1491" t="s">
        <v>132</v>
      </c>
      <c r="B1491">
        <v>1925</v>
      </c>
      <c r="C1491" t="s">
        <v>16</v>
      </c>
      <c r="D1491">
        <v>397</v>
      </c>
      <c r="E1491">
        <v>4002778.24</v>
      </c>
      <c r="F1491">
        <v>459827</v>
      </c>
      <c r="G1491">
        <f>tblMoeHistory[[#This Row],[LEA State and Local Amount]]+tblMoeHistory[[#This Row],[ESD State and Local Amount]]</f>
        <v>4462605.24</v>
      </c>
      <c r="H1491">
        <v>0</v>
      </c>
      <c r="I1491" t="s">
        <v>241</v>
      </c>
      <c r="J1491" s="44">
        <f>IFERROR(tblMoeHistory[[#This Row],[LEA State and Local Amount]]/tblMoeHistory[[#This Row],[Child Count]],0)</f>
        <v>10082.56483627204</v>
      </c>
      <c r="K1491">
        <f>IFERROR(tblMoeHistory[[#This Row],[ESD State and Local Amount]]/tblMoeHistory[[#This Row],[Child Count]],0)</f>
        <v>1158.2544080604534</v>
      </c>
      <c r="L1491" s="1">
        <f>IFERROR(tblMoeHistory[[#This Row],[State and Local Total Amount]]/tblMoeHistory[[#This Row],[Child Count]],0)</f>
        <v>11240.819244332495</v>
      </c>
      <c r="M1491">
        <v>0</v>
      </c>
      <c r="N1491" t="s">
        <v>241</v>
      </c>
      <c r="O1491">
        <v>432214.23</v>
      </c>
      <c r="P1491">
        <v>1940.77</v>
      </c>
      <c r="Q1491">
        <f>tblMoeHistory[[#This Row],[Amount of IDEA Part B, Section 611 award]]+tblMoeHistory[[#This Row],[Amount of IDEA Part B, Section 619 award]]</f>
        <v>434155</v>
      </c>
      <c r="U14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1" t="str">
        <f>IF(OR(IFERROR(SEARCH("Met",tblMoeHistory[[#This Row],[State and Local Per Capita Result]]),0)&gt;0,IFERROR(SEARCH("Met",tblMoeHistory[[#This Row],[State and Local Total Result]]),0)&gt;0),"Met","Not Met")</f>
        <v>Met</v>
      </c>
    </row>
    <row r="1492" spans="1:22" x14ac:dyDescent="0.35">
      <c r="A1492" t="s">
        <v>133</v>
      </c>
      <c r="B1492">
        <v>1898</v>
      </c>
      <c r="C1492" t="s">
        <v>16</v>
      </c>
      <c r="D1492">
        <v>58</v>
      </c>
      <c r="E1492">
        <v>593779.62</v>
      </c>
      <c r="F1492">
        <v>74138</v>
      </c>
      <c r="G1492">
        <f>tblMoeHistory[[#This Row],[LEA State and Local Amount]]+tblMoeHistory[[#This Row],[ESD State and Local Amount]]</f>
        <v>667917.62</v>
      </c>
      <c r="H1492">
        <v>0</v>
      </c>
      <c r="I1492" t="s">
        <v>242</v>
      </c>
      <c r="J1492" s="44">
        <f>IFERROR(tblMoeHistory[[#This Row],[LEA State and Local Amount]]/tblMoeHistory[[#This Row],[Child Count]],0)</f>
        <v>10237.579655172414</v>
      </c>
      <c r="K1492">
        <f>IFERROR(tblMoeHistory[[#This Row],[ESD State and Local Amount]]/tblMoeHistory[[#This Row],[Child Count]],0)</f>
        <v>1278.2413793103449</v>
      </c>
      <c r="L1492" s="1">
        <f>IFERROR(tblMoeHistory[[#This Row],[State and Local Total Amount]]/tblMoeHistory[[#This Row],[Child Count]],0)</f>
        <v>11515.821034482758</v>
      </c>
      <c r="M1492">
        <v>0</v>
      </c>
      <c r="N1492" t="s">
        <v>242</v>
      </c>
      <c r="O1492">
        <v>86623.16</v>
      </c>
      <c r="P1492">
        <v>727.79</v>
      </c>
      <c r="Q1492">
        <f>tblMoeHistory[[#This Row],[Amount of IDEA Part B, Section 611 award]]+tblMoeHistory[[#This Row],[Amount of IDEA Part B, Section 619 award]]</f>
        <v>87350.95</v>
      </c>
      <c r="S1492">
        <v>178032.01</v>
      </c>
      <c r="T1492">
        <v>2871.48</v>
      </c>
      <c r="U14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2" t="str">
        <f>IF(OR(IFERROR(SEARCH("Met",tblMoeHistory[[#This Row],[State and Local Per Capita Result]]),0)&gt;0,IFERROR(SEARCH("Met",tblMoeHistory[[#This Row],[State and Local Total Result]]),0)&gt;0),"Met","Not Met")</f>
        <v>Met</v>
      </c>
    </row>
    <row r="1493" spans="1:22" x14ac:dyDescent="0.35">
      <c r="A1493" t="s">
        <v>134</v>
      </c>
      <c r="B1493">
        <v>2010</v>
      </c>
      <c r="C1493" t="s">
        <v>16</v>
      </c>
      <c r="D1493">
        <v>7</v>
      </c>
      <c r="E1493">
        <v>310</v>
      </c>
      <c r="F1493">
        <v>87340.65</v>
      </c>
      <c r="G1493">
        <f>tblMoeHistory[[#This Row],[LEA State and Local Amount]]+tblMoeHistory[[#This Row],[ESD State and Local Amount]]</f>
        <v>87650.65</v>
      </c>
      <c r="H1493">
        <v>0</v>
      </c>
      <c r="I1493" t="s">
        <v>242</v>
      </c>
      <c r="J1493" s="44">
        <f>IFERROR(tblMoeHistory[[#This Row],[LEA State and Local Amount]]/tblMoeHistory[[#This Row],[Child Count]],0)</f>
        <v>44.285714285714285</v>
      </c>
      <c r="K1493">
        <f>IFERROR(tblMoeHistory[[#This Row],[ESD State and Local Amount]]/tblMoeHistory[[#This Row],[Child Count]],0)</f>
        <v>12477.235714285713</v>
      </c>
      <c r="L1493" s="1">
        <f>IFERROR(tblMoeHistory[[#This Row],[State and Local Total Amount]]/tblMoeHistory[[#This Row],[Child Count]],0)</f>
        <v>12521.521428571428</v>
      </c>
      <c r="M1493">
        <v>0</v>
      </c>
      <c r="N1493" t="s">
        <v>241</v>
      </c>
      <c r="O1493">
        <v>12180.84</v>
      </c>
      <c r="P1493">
        <v>1455.58</v>
      </c>
      <c r="Q1493">
        <f>tblMoeHistory[[#This Row],[Amount of IDEA Part B, Section 611 award]]+tblMoeHistory[[#This Row],[Amount of IDEA Part B, Section 619 award]]</f>
        <v>13636.42</v>
      </c>
      <c r="S1493">
        <v>24882.17</v>
      </c>
      <c r="U14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3" t="str">
        <f>IF(OR(IFERROR(SEARCH("Met",tblMoeHistory[[#This Row],[State and Local Per Capita Result]]),0)&gt;0,IFERROR(SEARCH("Met",tblMoeHistory[[#This Row],[State and Local Total Result]]),0)&gt;0),"Met","Not Met")</f>
        <v>Met</v>
      </c>
    </row>
    <row r="1494" spans="1:22" x14ac:dyDescent="0.35">
      <c r="A1494" t="s">
        <v>135</v>
      </c>
      <c r="B1494">
        <v>2147</v>
      </c>
      <c r="C1494" t="s">
        <v>16</v>
      </c>
      <c r="D1494">
        <v>288</v>
      </c>
      <c r="E1494">
        <v>1791751.1</v>
      </c>
      <c r="F1494">
        <v>467064.65</v>
      </c>
      <c r="G1494">
        <f>tblMoeHistory[[#This Row],[LEA State and Local Amount]]+tblMoeHistory[[#This Row],[ESD State and Local Amount]]</f>
        <v>2258815.75</v>
      </c>
      <c r="H1494">
        <v>0</v>
      </c>
      <c r="I1494" t="s">
        <v>241</v>
      </c>
      <c r="J1494" s="44">
        <f>IFERROR(tblMoeHistory[[#This Row],[LEA State and Local Amount]]/tblMoeHistory[[#This Row],[Child Count]],0)</f>
        <v>6221.3579861111111</v>
      </c>
      <c r="K1494">
        <f>IFERROR(tblMoeHistory[[#This Row],[ESD State and Local Amount]]/tblMoeHistory[[#This Row],[Child Count]],0)</f>
        <v>1621.7522569444445</v>
      </c>
      <c r="L1494" s="1">
        <f>IFERROR(tblMoeHistory[[#This Row],[State and Local Total Amount]]/tblMoeHistory[[#This Row],[Child Count]],0)</f>
        <v>7843.1102430555557</v>
      </c>
      <c r="M1494">
        <v>0</v>
      </c>
      <c r="N1494" t="s">
        <v>241</v>
      </c>
      <c r="O1494">
        <v>334484.24</v>
      </c>
      <c r="P1494">
        <v>1856.39</v>
      </c>
      <c r="Q1494">
        <f>tblMoeHistory[[#This Row],[Amount of IDEA Part B, Section 611 award]]+tblMoeHistory[[#This Row],[Amount of IDEA Part B, Section 619 award]]</f>
        <v>336340.63</v>
      </c>
      <c r="U14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4" t="str">
        <f>IF(OR(IFERROR(SEARCH("Met",tblMoeHistory[[#This Row],[State and Local Per Capita Result]]),0)&gt;0,IFERROR(SEARCH("Met",tblMoeHistory[[#This Row],[State and Local Total Result]]),0)&gt;0),"Met","Not Met")</f>
        <v>Met</v>
      </c>
    </row>
    <row r="1495" spans="1:22" x14ac:dyDescent="0.35">
      <c r="A1495" t="s">
        <v>136</v>
      </c>
      <c r="B1495">
        <v>2145</v>
      </c>
      <c r="C1495" t="s">
        <v>16</v>
      </c>
      <c r="D1495">
        <v>85</v>
      </c>
      <c r="E1495">
        <v>389239.06</v>
      </c>
      <c r="F1495">
        <v>134504.17000000001</v>
      </c>
      <c r="G1495">
        <f>tblMoeHistory[[#This Row],[LEA State and Local Amount]]+tblMoeHistory[[#This Row],[ESD State and Local Amount]]</f>
        <v>523743.23</v>
      </c>
      <c r="H1495">
        <v>0</v>
      </c>
      <c r="I1495" t="s">
        <v>241</v>
      </c>
      <c r="J1495" s="44">
        <f>IFERROR(tblMoeHistory[[#This Row],[LEA State and Local Amount]]/tblMoeHistory[[#This Row],[Child Count]],0)</f>
        <v>4579.2830588235292</v>
      </c>
      <c r="K1495">
        <f>IFERROR(tblMoeHistory[[#This Row],[ESD State and Local Amount]]/tblMoeHistory[[#This Row],[Child Count]],0)</f>
        <v>1582.402</v>
      </c>
      <c r="L1495" s="1">
        <f>IFERROR(tblMoeHistory[[#This Row],[State and Local Total Amount]]/tblMoeHistory[[#This Row],[Child Count]],0)</f>
        <v>6161.6850588235293</v>
      </c>
      <c r="M1495">
        <v>126116.59</v>
      </c>
      <c r="N1495" t="s">
        <v>240</v>
      </c>
      <c r="O1495">
        <v>123845.15</v>
      </c>
      <c r="P1495">
        <v>2122.7199999999998</v>
      </c>
      <c r="Q1495">
        <f>tblMoeHistory[[#This Row],[Amount of IDEA Part B, Section 611 award]]+tblMoeHistory[[#This Row],[Amount of IDEA Part B, Section 619 award]]</f>
        <v>125967.87</v>
      </c>
      <c r="T1495">
        <v>0</v>
      </c>
      <c r="U14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5" t="str">
        <f>IF(OR(IFERROR(SEARCH("Met",tblMoeHistory[[#This Row],[State and Local Per Capita Result]]),0)&gt;0,IFERROR(SEARCH("Met",tblMoeHistory[[#This Row],[State and Local Total Result]]),0)&gt;0),"Met","Not Met")</f>
        <v>Met</v>
      </c>
    </row>
    <row r="1496" spans="1:22" x14ac:dyDescent="0.35">
      <c r="A1496" t="s">
        <v>137</v>
      </c>
      <c r="B1496">
        <v>1968</v>
      </c>
      <c r="C1496" t="s">
        <v>16</v>
      </c>
      <c r="D1496">
        <v>73</v>
      </c>
      <c r="E1496">
        <v>599699.06000000006</v>
      </c>
      <c r="F1496">
        <v>207526.39999999999</v>
      </c>
      <c r="G1496">
        <f>tblMoeHistory[[#This Row],[LEA State and Local Amount]]+tblMoeHistory[[#This Row],[ESD State and Local Amount]]</f>
        <v>807225.46000000008</v>
      </c>
      <c r="H1496">
        <v>0</v>
      </c>
      <c r="I1496" t="s">
        <v>241</v>
      </c>
      <c r="J1496" s="44">
        <f>IFERROR(tblMoeHistory[[#This Row],[LEA State and Local Amount]]/tblMoeHistory[[#This Row],[Child Count]],0)</f>
        <v>8215.0556164383561</v>
      </c>
      <c r="K1496">
        <f>IFERROR(tblMoeHistory[[#This Row],[ESD State and Local Amount]]/tblMoeHistory[[#This Row],[Child Count]],0)</f>
        <v>2842.8273972602738</v>
      </c>
      <c r="L1496" s="1">
        <f>IFERROR(tblMoeHistory[[#This Row],[State and Local Total Amount]]/tblMoeHistory[[#This Row],[Child Count]],0)</f>
        <v>11057.883013698631</v>
      </c>
      <c r="M1496">
        <v>33932.839999999997</v>
      </c>
      <c r="N1496" t="s">
        <v>240</v>
      </c>
      <c r="O1496">
        <v>135194.29</v>
      </c>
      <c r="P1496">
        <v>1940.77</v>
      </c>
      <c r="Q1496">
        <f>tblMoeHistory[[#This Row],[Amount of IDEA Part B, Section 611 award]]+tblMoeHistory[[#This Row],[Amount of IDEA Part B, Section 619 award]]</f>
        <v>137135.06</v>
      </c>
      <c r="T1496">
        <v>0</v>
      </c>
      <c r="U14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6" t="str">
        <f>IF(OR(IFERROR(SEARCH("Met",tblMoeHistory[[#This Row],[State and Local Per Capita Result]]),0)&gt;0,IFERROR(SEARCH("Met",tblMoeHistory[[#This Row],[State and Local Total Result]]),0)&gt;0),"Met","Not Met")</f>
        <v>Met</v>
      </c>
    </row>
    <row r="1497" spans="1:22" x14ac:dyDescent="0.35">
      <c r="A1497" t="s">
        <v>138</v>
      </c>
      <c r="B1497">
        <v>2198</v>
      </c>
      <c r="C1497" t="s">
        <v>16</v>
      </c>
      <c r="D1497">
        <v>119</v>
      </c>
      <c r="E1497">
        <v>1717616.33</v>
      </c>
      <c r="F1497">
        <v>239016</v>
      </c>
      <c r="G1497">
        <f>tblMoeHistory[[#This Row],[LEA State and Local Amount]]+tblMoeHistory[[#This Row],[ESD State and Local Amount]]</f>
        <v>1956632.33</v>
      </c>
      <c r="H1497">
        <v>0</v>
      </c>
      <c r="I1497" t="s">
        <v>241</v>
      </c>
      <c r="J1497" s="44">
        <f>IFERROR(tblMoeHistory[[#This Row],[LEA State and Local Amount]]/tblMoeHistory[[#This Row],[Child Count]],0)</f>
        <v>14433.750672268909</v>
      </c>
      <c r="K1497">
        <f>IFERROR(tblMoeHistory[[#This Row],[ESD State and Local Amount]]/tblMoeHistory[[#This Row],[Child Count]],0)</f>
        <v>2008.5378151260504</v>
      </c>
      <c r="L1497" s="1">
        <f>IFERROR(tblMoeHistory[[#This Row],[State and Local Total Amount]]/tblMoeHistory[[#This Row],[Child Count]],0)</f>
        <v>16442.288487394959</v>
      </c>
      <c r="M1497">
        <v>38573.17</v>
      </c>
      <c r="N1497" t="s">
        <v>240</v>
      </c>
      <c r="O1497">
        <v>114862.55</v>
      </c>
      <c r="P1497">
        <v>1247.6400000000001</v>
      </c>
      <c r="Q1497">
        <f>tblMoeHistory[[#This Row],[Amount of IDEA Part B, Section 611 award]]+tblMoeHistory[[#This Row],[Amount of IDEA Part B, Section 619 award]]</f>
        <v>116110.19</v>
      </c>
      <c r="T1497">
        <v>0</v>
      </c>
      <c r="U14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7" t="str">
        <f>IF(OR(IFERROR(SEARCH("Met",tblMoeHistory[[#This Row],[State and Local Per Capita Result]]),0)&gt;0,IFERROR(SEARCH("Met",tblMoeHistory[[#This Row],[State and Local Total Result]]),0)&gt;0),"Met","Not Met")</f>
        <v>Met</v>
      </c>
    </row>
    <row r="1498" spans="1:22" x14ac:dyDescent="0.35">
      <c r="A1498" t="s">
        <v>139</v>
      </c>
      <c r="B1498">
        <v>2199</v>
      </c>
      <c r="C1498" t="s">
        <v>16</v>
      </c>
      <c r="D1498">
        <v>72</v>
      </c>
      <c r="E1498">
        <v>895648.15</v>
      </c>
      <c r="F1498">
        <v>138786</v>
      </c>
      <c r="G1498">
        <f>tblMoeHistory[[#This Row],[LEA State and Local Amount]]+tblMoeHistory[[#This Row],[ESD State and Local Amount]]</f>
        <v>1034434.15</v>
      </c>
      <c r="H1498">
        <v>0</v>
      </c>
      <c r="I1498" t="s">
        <v>241</v>
      </c>
      <c r="J1498" s="44">
        <f>IFERROR(tblMoeHistory[[#This Row],[LEA State and Local Amount]]/tblMoeHistory[[#This Row],[Child Count]],0)</f>
        <v>12439.557638888889</v>
      </c>
      <c r="K1498">
        <f>IFERROR(tblMoeHistory[[#This Row],[ESD State and Local Amount]]/tblMoeHistory[[#This Row],[Child Count]],0)</f>
        <v>1927.5833333333333</v>
      </c>
      <c r="L1498" s="1">
        <f>IFERROR(tblMoeHistory[[#This Row],[State and Local Total Amount]]/tblMoeHistory[[#This Row],[Child Count]],0)</f>
        <v>14367.140972222223</v>
      </c>
      <c r="M1498">
        <v>0</v>
      </c>
      <c r="N1498" t="s">
        <v>241</v>
      </c>
      <c r="O1498">
        <v>102171.29</v>
      </c>
      <c r="P1498">
        <v>970.38</v>
      </c>
      <c r="Q1498">
        <f>tblMoeHistory[[#This Row],[Amount of IDEA Part B, Section 611 award]]+tblMoeHistory[[#This Row],[Amount of IDEA Part B, Section 619 award]]</f>
        <v>103141.67</v>
      </c>
      <c r="U14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8" t="str">
        <f>IF(OR(IFERROR(SEARCH("Met",tblMoeHistory[[#This Row],[State and Local Per Capita Result]]),0)&gt;0,IFERROR(SEARCH("Met",tblMoeHistory[[#This Row],[State and Local Total Result]]),0)&gt;0),"Met","Not Met")</f>
        <v>Met</v>
      </c>
    </row>
    <row r="1499" spans="1:22" x14ac:dyDescent="0.35">
      <c r="A1499" t="s">
        <v>140</v>
      </c>
      <c r="B1499">
        <v>2254</v>
      </c>
      <c r="C1499" t="s">
        <v>16</v>
      </c>
      <c r="D1499">
        <v>660</v>
      </c>
      <c r="E1499">
        <v>6310925.0099999998</v>
      </c>
      <c r="F1499">
        <v>129785.05</v>
      </c>
      <c r="G1499">
        <f>tblMoeHistory[[#This Row],[LEA State and Local Amount]]+tblMoeHistory[[#This Row],[ESD State and Local Amount]]</f>
        <v>6440710.0599999996</v>
      </c>
      <c r="H1499">
        <v>0</v>
      </c>
      <c r="I1499" t="s">
        <v>241</v>
      </c>
      <c r="J1499" s="44">
        <f>IFERROR(tblMoeHistory[[#This Row],[LEA State and Local Amount]]/tblMoeHistory[[#This Row],[Child Count]],0)</f>
        <v>9562.0075909090901</v>
      </c>
      <c r="K1499">
        <f>IFERROR(tblMoeHistory[[#This Row],[ESD State and Local Amount]]/tblMoeHistory[[#This Row],[Child Count]],0)</f>
        <v>196.64401515151516</v>
      </c>
      <c r="L1499" s="1">
        <f>IFERROR(tblMoeHistory[[#This Row],[State and Local Total Amount]]/tblMoeHistory[[#This Row],[Child Count]],0)</f>
        <v>9758.6516060606045</v>
      </c>
      <c r="M1499">
        <v>0</v>
      </c>
      <c r="N1499" t="s">
        <v>241</v>
      </c>
      <c r="O1499">
        <v>753605.98</v>
      </c>
      <c r="P1499">
        <v>7185.76</v>
      </c>
      <c r="Q1499">
        <f>tblMoeHistory[[#This Row],[Amount of IDEA Part B, Section 611 award]]+tblMoeHistory[[#This Row],[Amount of IDEA Part B, Section 619 award]]</f>
        <v>760791.74</v>
      </c>
      <c r="U14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9" t="str">
        <f>IF(OR(IFERROR(SEARCH("Met",tblMoeHistory[[#This Row],[State and Local Per Capita Result]]),0)&gt;0,IFERROR(SEARCH("Met",tblMoeHistory[[#This Row],[State and Local Total Result]]),0)&gt;0),"Met","Not Met")</f>
        <v>Met</v>
      </c>
    </row>
    <row r="1500" spans="1:22" x14ac:dyDescent="0.35">
      <c r="A1500" t="s">
        <v>141</v>
      </c>
      <c r="B1500">
        <v>1966</v>
      </c>
      <c r="C1500" t="s">
        <v>16</v>
      </c>
      <c r="D1500">
        <v>538</v>
      </c>
      <c r="E1500">
        <v>4031122.47</v>
      </c>
      <c r="F1500">
        <v>1048346</v>
      </c>
      <c r="G1500">
        <f>tblMoeHistory[[#This Row],[LEA State and Local Amount]]+tblMoeHistory[[#This Row],[ESD State and Local Amount]]</f>
        <v>5079468.4700000007</v>
      </c>
      <c r="H1500">
        <v>0</v>
      </c>
      <c r="I1500" t="s">
        <v>241</v>
      </c>
      <c r="J1500" s="44">
        <f>IFERROR(tblMoeHistory[[#This Row],[LEA State and Local Amount]]/tblMoeHistory[[#This Row],[Child Count]],0)</f>
        <v>7492.7926951672862</v>
      </c>
      <c r="K1500">
        <f>IFERROR(tblMoeHistory[[#This Row],[ESD State and Local Amount]]/tblMoeHistory[[#This Row],[Child Count]],0)</f>
        <v>1948.5985130111524</v>
      </c>
      <c r="L1500" s="1">
        <f>IFERROR(tblMoeHistory[[#This Row],[State and Local Total Amount]]/tblMoeHistory[[#This Row],[Child Count]],0)</f>
        <v>9441.3912081784401</v>
      </c>
      <c r="M1500">
        <v>125182.41</v>
      </c>
      <c r="N1500" t="s">
        <v>240</v>
      </c>
      <c r="O1500">
        <v>575262.76</v>
      </c>
      <c r="P1500">
        <v>4402.9399999999996</v>
      </c>
      <c r="Q1500">
        <f>tblMoeHistory[[#This Row],[Amount of IDEA Part B, Section 611 award]]+tblMoeHistory[[#This Row],[Amount of IDEA Part B, Section 619 award]]</f>
        <v>579665.69999999995</v>
      </c>
      <c r="T1500">
        <v>1472.88</v>
      </c>
      <c r="U15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0" t="str">
        <f>IF(OR(IFERROR(SEARCH("Met",tblMoeHistory[[#This Row],[State and Local Per Capita Result]]),0)&gt;0,IFERROR(SEARCH("Met",tblMoeHistory[[#This Row],[State and Local Total Result]]),0)&gt;0),"Met","Not Met")</f>
        <v>Met</v>
      </c>
    </row>
    <row r="1501" spans="1:22" x14ac:dyDescent="0.35">
      <c r="A1501" t="s">
        <v>142</v>
      </c>
      <c r="B1501">
        <v>1924</v>
      </c>
      <c r="C1501" t="s">
        <v>16</v>
      </c>
      <c r="D1501">
        <v>2706</v>
      </c>
      <c r="E1501">
        <v>24755193.789999999</v>
      </c>
      <c r="F1501">
        <v>2626142</v>
      </c>
      <c r="G1501">
        <f>tblMoeHistory[[#This Row],[LEA State and Local Amount]]+tblMoeHistory[[#This Row],[ESD State and Local Amount]]</f>
        <v>27381335.789999999</v>
      </c>
      <c r="H1501">
        <v>0</v>
      </c>
      <c r="I1501" t="s">
        <v>241</v>
      </c>
      <c r="J1501" s="44">
        <f>IFERROR(tblMoeHistory[[#This Row],[LEA State and Local Amount]]/tblMoeHistory[[#This Row],[Child Count]],0)</f>
        <v>9148.2608240946047</v>
      </c>
      <c r="K1501">
        <f>IFERROR(tblMoeHistory[[#This Row],[ESD State and Local Amount]]/tblMoeHistory[[#This Row],[Child Count]],0)</f>
        <v>970.48854397634886</v>
      </c>
      <c r="L1501" s="1">
        <f>IFERROR(tblMoeHistory[[#This Row],[State and Local Total Amount]]/tblMoeHistory[[#This Row],[Child Count]],0)</f>
        <v>10118.749368070954</v>
      </c>
      <c r="M1501">
        <v>0</v>
      </c>
      <c r="N1501" t="s">
        <v>241</v>
      </c>
      <c r="O1501">
        <v>2571050.4700000002</v>
      </c>
      <c r="P1501">
        <v>18029.97</v>
      </c>
      <c r="Q1501">
        <f>tblMoeHistory[[#This Row],[Amount of IDEA Part B, Section 611 award]]+tblMoeHistory[[#This Row],[Amount of IDEA Part B, Section 619 award]]</f>
        <v>2589080.4400000004</v>
      </c>
      <c r="U15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1" t="str">
        <f>IF(OR(IFERROR(SEARCH("Met",tblMoeHistory[[#This Row],[State and Local Per Capita Result]]),0)&gt;0,IFERROR(SEARCH("Met",tblMoeHistory[[#This Row],[State and Local Total Result]]),0)&gt;0),"Met","Not Met")</f>
        <v>Met</v>
      </c>
    </row>
    <row r="1502" spans="1:22" x14ac:dyDescent="0.35">
      <c r="A1502" t="s">
        <v>143</v>
      </c>
      <c r="B1502">
        <v>1996</v>
      </c>
      <c r="C1502" t="s">
        <v>16</v>
      </c>
      <c r="D1502">
        <v>52</v>
      </c>
      <c r="E1502">
        <v>334370.09999999998</v>
      </c>
      <c r="F1502">
        <v>49386.58</v>
      </c>
      <c r="G1502">
        <f>tblMoeHistory[[#This Row],[LEA State and Local Amount]]+tblMoeHistory[[#This Row],[ESD State and Local Amount]]</f>
        <v>383756.68</v>
      </c>
      <c r="H1502">
        <v>0</v>
      </c>
      <c r="I1502" t="s">
        <v>241</v>
      </c>
      <c r="J1502" s="44">
        <f>IFERROR(tblMoeHistory[[#This Row],[LEA State and Local Amount]]/tblMoeHistory[[#This Row],[Child Count]],0)</f>
        <v>6430.1942307692307</v>
      </c>
      <c r="K1502">
        <f>IFERROR(tblMoeHistory[[#This Row],[ESD State and Local Amount]]/tblMoeHistory[[#This Row],[Child Count]],0)</f>
        <v>949.74192307692306</v>
      </c>
      <c r="L1502" s="1">
        <f>IFERROR(tblMoeHistory[[#This Row],[State and Local Total Amount]]/tblMoeHistory[[#This Row],[Child Count]],0)</f>
        <v>7379.9361538461535</v>
      </c>
      <c r="M1502">
        <v>210508.19</v>
      </c>
      <c r="N1502" t="s">
        <v>240</v>
      </c>
      <c r="O1502">
        <v>59279.65</v>
      </c>
      <c r="P1502">
        <v>0</v>
      </c>
      <c r="Q1502">
        <f>tblMoeHistory[[#This Row],[Amount of IDEA Part B, Section 611 award]]+tblMoeHistory[[#This Row],[Amount of IDEA Part B, Section 619 award]]</f>
        <v>59279.65</v>
      </c>
      <c r="T1502">
        <v>0</v>
      </c>
      <c r="U15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2" t="str">
        <f>IF(OR(IFERROR(SEARCH("Met",tblMoeHistory[[#This Row],[State and Local Per Capita Result]]),0)&gt;0,IFERROR(SEARCH("Met",tblMoeHistory[[#This Row],[State and Local Total Result]]),0)&gt;0),"Met","Not Met")</f>
        <v>Met</v>
      </c>
    </row>
    <row r="1503" spans="1:22" x14ac:dyDescent="0.35">
      <c r="A1503" t="s">
        <v>144</v>
      </c>
      <c r="B1503">
        <v>2061</v>
      </c>
      <c r="C1503" t="s">
        <v>16</v>
      </c>
      <c r="D1503">
        <v>47</v>
      </c>
      <c r="E1503">
        <v>149611.75</v>
      </c>
      <c r="F1503">
        <v>111834.9</v>
      </c>
      <c r="G1503">
        <f>tblMoeHistory[[#This Row],[LEA State and Local Amount]]+tblMoeHistory[[#This Row],[ESD State and Local Amount]]</f>
        <v>261446.65</v>
      </c>
      <c r="H1503">
        <v>0</v>
      </c>
      <c r="I1503" t="s">
        <v>241</v>
      </c>
      <c r="J1503" s="44">
        <f>IFERROR(tblMoeHistory[[#This Row],[LEA State and Local Amount]]/tblMoeHistory[[#This Row],[Child Count]],0)</f>
        <v>3183.2287234042551</v>
      </c>
      <c r="K1503">
        <f>IFERROR(tblMoeHistory[[#This Row],[ESD State and Local Amount]]/tblMoeHistory[[#This Row],[Child Count]],0)</f>
        <v>2379.4659574468083</v>
      </c>
      <c r="L1503" s="1">
        <f>IFERROR(tblMoeHistory[[#This Row],[State and Local Total Amount]]/tblMoeHistory[[#This Row],[Child Count]],0)</f>
        <v>5562.6946808510638</v>
      </c>
      <c r="M1503">
        <v>6020.15</v>
      </c>
      <c r="N1503" t="s">
        <v>240</v>
      </c>
      <c r="O1503">
        <v>50308.25</v>
      </c>
      <c r="P1503">
        <v>0</v>
      </c>
      <c r="Q1503">
        <f>tblMoeHistory[[#This Row],[Amount of IDEA Part B, Section 611 award]]+tblMoeHistory[[#This Row],[Amount of IDEA Part B, Section 619 award]]</f>
        <v>50308.25</v>
      </c>
      <c r="T1503">
        <v>955.75</v>
      </c>
      <c r="U15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3" t="str">
        <f>IF(OR(IFERROR(SEARCH("Met",tblMoeHistory[[#This Row],[State and Local Per Capita Result]]),0)&gt;0,IFERROR(SEARCH("Met",tblMoeHistory[[#This Row],[State and Local Total Result]]),0)&gt;0),"Met","Not Met")</f>
        <v>Met</v>
      </c>
    </row>
    <row r="1504" spans="1:22" x14ac:dyDescent="0.35">
      <c r="A1504" t="s">
        <v>145</v>
      </c>
      <c r="B1504">
        <v>2141</v>
      </c>
      <c r="C1504" t="s">
        <v>16</v>
      </c>
      <c r="D1504">
        <v>290</v>
      </c>
      <c r="E1504">
        <v>2475208.04</v>
      </c>
      <c r="F1504">
        <v>374663.75</v>
      </c>
      <c r="G1504">
        <f>tblMoeHistory[[#This Row],[LEA State and Local Amount]]+tblMoeHistory[[#This Row],[ESD State and Local Amount]]</f>
        <v>2849871.79</v>
      </c>
      <c r="H1504">
        <v>0</v>
      </c>
      <c r="I1504" t="s">
        <v>241</v>
      </c>
      <c r="J1504" s="44">
        <f>IFERROR(tblMoeHistory[[#This Row],[LEA State and Local Amount]]/tblMoeHistory[[#This Row],[Child Count]],0)</f>
        <v>8535.200137931035</v>
      </c>
      <c r="K1504">
        <f>IFERROR(tblMoeHistory[[#This Row],[ESD State and Local Amount]]/tblMoeHistory[[#This Row],[Child Count]],0)</f>
        <v>1291.9439655172414</v>
      </c>
      <c r="L1504" s="1">
        <f>IFERROR(tblMoeHistory[[#This Row],[State and Local Total Amount]]/tblMoeHistory[[#This Row],[Child Count]],0)</f>
        <v>9827.1441034482759</v>
      </c>
      <c r="M1504">
        <v>0</v>
      </c>
      <c r="N1504" t="s">
        <v>241</v>
      </c>
      <c r="O1504">
        <v>262988.71000000002</v>
      </c>
      <c r="P1504">
        <v>2587.69</v>
      </c>
      <c r="Q1504">
        <f>tblMoeHistory[[#This Row],[Amount of IDEA Part B, Section 611 award]]+tblMoeHistory[[#This Row],[Amount of IDEA Part B, Section 619 award]]</f>
        <v>265576.40000000002</v>
      </c>
      <c r="U15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4" t="str">
        <f>IF(OR(IFERROR(SEARCH("Met",tblMoeHistory[[#This Row],[State and Local Per Capita Result]]),0)&gt;0,IFERROR(SEARCH("Met",tblMoeHistory[[#This Row],[State and Local Total Result]]),0)&gt;0),"Met","Not Met")</f>
        <v>Met</v>
      </c>
    </row>
    <row r="1505" spans="1:22" x14ac:dyDescent="0.35">
      <c r="A1505" t="s">
        <v>146</v>
      </c>
      <c r="B1505">
        <v>2214</v>
      </c>
      <c r="C1505" t="s">
        <v>16</v>
      </c>
      <c r="D1505">
        <v>44</v>
      </c>
      <c r="E1505">
        <v>188914.15</v>
      </c>
      <c r="F1505">
        <v>71021.119999999995</v>
      </c>
      <c r="G1505">
        <f>tblMoeHistory[[#This Row],[LEA State and Local Amount]]+tblMoeHistory[[#This Row],[ESD State and Local Amount]]</f>
        <v>259935.27</v>
      </c>
      <c r="H1505">
        <v>0</v>
      </c>
      <c r="I1505" t="s">
        <v>241</v>
      </c>
      <c r="J1505" s="44">
        <f>IFERROR(tblMoeHistory[[#This Row],[LEA State and Local Amount]]/tblMoeHistory[[#This Row],[Child Count]],0)</f>
        <v>4293.5034090909094</v>
      </c>
      <c r="K1505">
        <f>IFERROR(tblMoeHistory[[#This Row],[ESD State and Local Amount]]/tblMoeHistory[[#This Row],[Child Count]],0)</f>
        <v>1614.1163636363635</v>
      </c>
      <c r="L1505" s="1">
        <f>IFERROR(tblMoeHistory[[#This Row],[State and Local Total Amount]]/tblMoeHistory[[#This Row],[Child Count]],0)</f>
        <v>5907.6197727272729</v>
      </c>
      <c r="M1505">
        <v>17548.22</v>
      </c>
      <c r="N1505" t="s">
        <v>240</v>
      </c>
      <c r="O1505">
        <v>44036.55</v>
      </c>
      <c r="P1505">
        <v>0</v>
      </c>
      <c r="Q1505">
        <f>tblMoeHistory[[#This Row],[Amount of IDEA Part B, Section 611 award]]+tblMoeHistory[[#This Row],[Amount of IDEA Part B, Section 619 award]]</f>
        <v>44036.55</v>
      </c>
      <c r="T1505">
        <v>0</v>
      </c>
      <c r="U15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5" t="str">
        <f>IF(OR(IFERROR(SEARCH("Met",tblMoeHistory[[#This Row],[State and Local Per Capita Result]]),0)&gt;0,IFERROR(SEARCH("Met",tblMoeHistory[[#This Row],[State and Local Total Result]]),0)&gt;0),"Met","Not Met")</f>
        <v>Met</v>
      </c>
    </row>
    <row r="1506" spans="1:22" x14ac:dyDescent="0.35">
      <c r="A1506" t="s">
        <v>147</v>
      </c>
      <c r="B1506">
        <v>2143</v>
      </c>
      <c r="C1506" t="s">
        <v>16</v>
      </c>
      <c r="D1506">
        <v>348</v>
      </c>
      <c r="E1506">
        <v>2795114.3</v>
      </c>
      <c r="F1506">
        <v>128113.4</v>
      </c>
      <c r="G1506">
        <f>tblMoeHistory[[#This Row],[LEA State and Local Amount]]+tblMoeHistory[[#This Row],[ESD State and Local Amount]]</f>
        <v>2923227.6999999997</v>
      </c>
      <c r="H1506">
        <v>0</v>
      </c>
      <c r="I1506" t="s">
        <v>241</v>
      </c>
      <c r="J1506" s="44">
        <f>IFERROR(tblMoeHistory[[#This Row],[LEA State and Local Amount]]/tblMoeHistory[[#This Row],[Child Count]],0)</f>
        <v>8031.9376436781604</v>
      </c>
      <c r="K1506">
        <f>IFERROR(tblMoeHistory[[#This Row],[ESD State and Local Amount]]/tblMoeHistory[[#This Row],[Child Count]],0)</f>
        <v>368.1419540229885</v>
      </c>
      <c r="L1506" s="1">
        <f>IFERROR(tblMoeHistory[[#This Row],[State and Local Total Amount]]/tblMoeHistory[[#This Row],[Child Count]],0)</f>
        <v>8400.0795977011494</v>
      </c>
      <c r="M1506">
        <v>489265.88</v>
      </c>
      <c r="N1506" t="s">
        <v>240</v>
      </c>
      <c r="O1506">
        <v>452616.62</v>
      </c>
      <c r="P1506">
        <v>3480.73</v>
      </c>
      <c r="Q1506">
        <f>tblMoeHistory[[#This Row],[Amount of IDEA Part B, Section 611 award]]+tblMoeHistory[[#This Row],[Amount of IDEA Part B, Section 619 award]]</f>
        <v>456097.35</v>
      </c>
      <c r="T1506">
        <v>291.95</v>
      </c>
      <c r="U15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6" t="str">
        <f>IF(OR(IFERROR(SEARCH("Met",tblMoeHistory[[#This Row],[State and Local Per Capita Result]]),0)&gt;0,IFERROR(SEARCH("Met",tblMoeHistory[[#This Row],[State and Local Total Result]]),0)&gt;0),"Met","Not Met")</f>
        <v>Met</v>
      </c>
    </row>
    <row r="1507" spans="1:22" x14ac:dyDescent="0.35">
      <c r="A1507" t="s">
        <v>148</v>
      </c>
      <c r="B1507">
        <v>4131</v>
      </c>
      <c r="C1507" t="s">
        <v>16</v>
      </c>
      <c r="D1507">
        <v>467</v>
      </c>
      <c r="E1507">
        <v>4526011.8</v>
      </c>
      <c r="F1507">
        <v>0</v>
      </c>
      <c r="G1507">
        <f>tblMoeHistory[[#This Row],[LEA State and Local Amount]]+tblMoeHistory[[#This Row],[ESD State and Local Amount]]</f>
        <v>4526011.8</v>
      </c>
      <c r="H1507">
        <v>0</v>
      </c>
      <c r="I1507" t="s">
        <v>241</v>
      </c>
      <c r="J1507" s="44">
        <f>IFERROR(tblMoeHistory[[#This Row],[LEA State and Local Amount]]/tblMoeHistory[[#This Row],[Child Count]],0)</f>
        <v>9691.6740899357592</v>
      </c>
      <c r="K1507">
        <f>IFERROR(tblMoeHistory[[#This Row],[ESD State and Local Amount]]/tblMoeHistory[[#This Row],[Child Count]],0)</f>
        <v>0</v>
      </c>
      <c r="L1507" s="1">
        <f>IFERROR(tblMoeHistory[[#This Row],[State and Local Total Amount]]/tblMoeHistory[[#This Row],[Child Count]],0)</f>
        <v>9691.6740899357592</v>
      </c>
      <c r="M1507">
        <v>0</v>
      </c>
      <c r="N1507" t="s">
        <v>241</v>
      </c>
      <c r="O1507">
        <v>546435.47</v>
      </c>
      <c r="P1507">
        <v>25230</v>
      </c>
      <c r="Q1507">
        <f>tblMoeHistory[[#This Row],[Amount of IDEA Part B, Section 611 award]]+tblMoeHistory[[#This Row],[Amount of IDEA Part B, Section 619 award]]</f>
        <v>571665.47</v>
      </c>
      <c r="U15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7" t="str">
        <f>IF(OR(IFERROR(SEARCH("Met",tblMoeHistory[[#This Row],[State and Local Per Capita Result]]),0)&gt;0,IFERROR(SEARCH("Met",tblMoeHistory[[#This Row],[State and Local Total Result]]),0)&gt;0),"Met","Not Met")</f>
        <v>Met</v>
      </c>
    </row>
    <row r="1508" spans="1:22" x14ac:dyDescent="0.35">
      <c r="A1508" t="s">
        <v>149</v>
      </c>
      <c r="B1508">
        <v>2110</v>
      </c>
      <c r="C1508" t="s">
        <v>16</v>
      </c>
      <c r="D1508">
        <v>166</v>
      </c>
      <c r="E1508">
        <v>799023.53</v>
      </c>
      <c r="F1508">
        <v>336940.91</v>
      </c>
      <c r="G1508">
        <f>tblMoeHistory[[#This Row],[LEA State and Local Amount]]+tblMoeHistory[[#This Row],[ESD State and Local Amount]]</f>
        <v>1135964.44</v>
      </c>
      <c r="H1508">
        <v>18819.349999999999</v>
      </c>
      <c r="I1508" t="s">
        <v>240</v>
      </c>
      <c r="J1508" s="44">
        <f>IFERROR(tblMoeHistory[[#This Row],[LEA State and Local Amount]]/tblMoeHistory[[#This Row],[Child Count]],0)</f>
        <v>4813.3947590361449</v>
      </c>
      <c r="K1508">
        <f>IFERROR(tblMoeHistory[[#This Row],[ESD State and Local Amount]]/tblMoeHistory[[#This Row],[Child Count]],0)</f>
        <v>2029.7645180722891</v>
      </c>
      <c r="L1508" s="1">
        <f>IFERROR(tblMoeHistory[[#This Row],[State and Local Total Amount]]/tblMoeHistory[[#This Row],[Child Count]],0)</f>
        <v>6843.1592771084333</v>
      </c>
      <c r="M1508">
        <v>0</v>
      </c>
      <c r="N1508" t="s">
        <v>242</v>
      </c>
      <c r="O1508">
        <v>221207.52</v>
      </c>
      <c r="P1508">
        <v>970.38</v>
      </c>
      <c r="Q1508">
        <f>tblMoeHistory[[#This Row],[Amount of IDEA Part B, Section 611 award]]+tblMoeHistory[[#This Row],[Amount of IDEA Part B, Section 619 award]]</f>
        <v>222177.9</v>
      </c>
      <c r="S1508">
        <v>48695.7</v>
      </c>
      <c r="T1508">
        <v>281.48</v>
      </c>
      <c r="U15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8" t="str">
        <f>IF(OR(IFERROR(SEARCH("Met",tblMoeHistory[[#This Row],[State and Local Per Capita Result]]),0)&gt;0,IFERROR(SEARCH("Met",tblMoeHistory[[#This Row],[State and Local Total Result]]),0)&gt;0),"Met","Not Met")</f>
        <v>Met</v>
      </c>
    </row>
    <row r="1509" spans="1:22" x14ac:dyDescent="0.35">
      <c r="A1509" t="s">
        <v>150</v>
      </c>
      <c r="B1509">
        <v>1990</v>
      </c>
      <c r="C1509" t="s">
        <v>16</v>
      </c>
      <c r="D1509">
        <v>67</v>
      </c>
      <c r="E1509">
        <v>403079.22</v>
      </c>
      <c r="F1509">
        <v>108290.45</v>
      </c>
      <c r="G1509">
        <f>tblMoeHistory[[#This Row],[LEA State and Local Amount]]+tblMoeHistory[[#This Row],[ESD State and Local Amount]]</f>
        <v>511369.67</v>
      </c>
      <c r="H1509">
        <v>41.45</v>
      </c>
      <c r="I1509" t="s">
        <v>240</v>
      </c>
      <c r="J1509" s="44">
        <f>IFERROR(tblMoeHistory[[#This Row],[LEA State and Local Amount]]/tblMoeHistory[[#This Row],[Child Count]],0)</f>
        <v>6016.1077611940291</v>
      </c>
      <c r="K1509">
        <f>IFERROR(tblMoeHistory[[#This Row],[ESD State and Local Amount]]/tblMoeHistory[[#This Row],[Child Count]],0)</f>
        <v>1616.2753731343282</v>
      </c>
      <c r="L1509" s="1">
        <f>IFERROR(tblMoeHistory[[#This Row],[State and Local Total Amount]]/tblMoeHistory[[#This Row],[Child Count]],0)</f>
        <v>7632.3831343283582</v>
      </c>
      <c r="M1509">
        <v>24013.85</v>
      </c>
      <c r="N1509" t="s">
        <v>240</v>
      </c>
      <c r="O1509">
        <v>98313.5</v>
      </c>
      <c r="P1509">
        <v>0</v>
      </c>
      <c r="Q1509">
        <f>tblMoeHistory[[#This Row],[Amount of IDEA Part B, Section 611 award]]+tblMoeHistory[[#This Row],[Amount of IDEA Part B, Section 619 award]]</f>
        <v>98313.5</v>
      </c>
      <c r="S1509">
        <v>0</v>
      </c>
      <c r="T1509">
        <v>0</v>
      </c>
      <c r="U15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41.45</v>
      </c>
      <c r="V1509" t="str">
        <f>IF(OR(IFERROR(SEARCH("Met",tblMoeHistory[[#This Row],[State and Local Per Capita Result]]),0)&gt;0,IFERROR(SEARCH("Met",tblMoeHistory[[#This Row],[State and Local Total Result]]),0)&gt;0),"Met","Not Met")</f>
        <v>Not Met</v>
      </c>
    </row>
    <row r="1510" spans="1:22" x14ac:dyDescent="0.35">
      <c r="A1510" t="s">
        <v>151</v>
      </c>
      <c r="B1510">
        <v>2093</v>
      </c>
      <c r="C1510" t="s">
        <v>16</v>
      </c>
      <c r="D1510">
        <v>98</v>
      </c>
      <c r="E1510">
        <v>470566.58</v>
      </c>
      <c r="F1510">
        <v>147900</v>
      </c>
      <c r="G1510">
        <f>tblMoeHistory[[#This Row],[LEA State and Local Amount]]+tblMoeHistory[[#This Row],[ESD State and Local Amount]]</f>
        <v>618466.58000000007</v>
      </c>
      <c r="H1510">
        <v>0</v>
      </c>
      <c r="I1510" t="s">
        <v>241</v>
      </c>
      <c r="J1510" s="44">
        <f>IFERROR(tblMoeHistory[[#This Row],[LEA State and Local Amount]]/tblMoeHistory[[#This Row],[Child Count]],0)</f>
        <v>4801.6997959183673</v>
      </c>
      <c r="K1510">
        <f>IFERROR(tblMoeHistory[[#This Row],[ESD State and Local Amount]]/tblMoeHistory[[#This Row],[Child Count]],0)</f>
        <v>1509.1836734693877</v>
      </c>
      <c r="L1510" s="1">
        <f>IFERROR(tblMoeHistory[[#This Row],[State and Local Total Amount]]/tblMoeHistory[[#This Row],[Child Count]],0)</f>
        <v>6310.8834693877561</v>
      </c>
      <c r="M1510">
        <v>57368.54</v>
      </c>
      <c r="N1510" t="s">
        <v>240</v>
      </c>
      <c r="O1510">
        <v>123929.17</v>
      </c>
      <c r="P1510">
        <v>1940.77</v>
      </c>
      <c r="Q1510">
        <f>tblMoeHistory[[#This Row],[Amount of IDEA Part B, Section 611 award]]+tblMoeHistory[[#This Row],[Amount of IDEA Part B, Section 619 award]]</f>
        <v>125869.94</v>
      </c>
      <c r="T1510">
        <v>862.58</v>
      </c>
      <c r="U15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0" t="str">
        <f>IF(OR(IFERROR(SEARCH("Met",tblMoeHistory[[#This Row],[State and Local Per Capita Result]]),0)&gt;0,IFERROR(SEARCH("Met",tblMoeHistory[[#This Row],[State and Local Total Result]]),0)&gt;0),"Met","Not Met")</f>
        <v>Met</v>
      </c>
    </row>
    <row r="1511" spans="1:22" x14ac:dyDescent="0.35">
      <c r="A1511" t="s">
        <v>152</v>
      </c>
      <c r="B1511">
        <v>2108</v>
      </c>
      <c r="C1511" t="s">
        <v>16</v>
      </c>
      <c r="D1511">
        <v>314</v>
      </c>
      <c r="E1511">
        <v>2778424.09</v>
      </c>
      <c r="F1511">
        <v>91330</v>
      </c>
      <c r="G1511">
        <f>tblMoeHistory[[#This Row],[LEA State and Local Amount]]+tblMoeHistory[[#This Row],[ESD State and Local Amount]]</f>
        <v>2869754.09</v>
      </c>
      <c r="H1511">
        <v>0</v>
      </c>
      <c r="I1511" t="s">
        <v>241</v>
      </c>
      <c r="J1511" s="44">
        <f>IFERROR(tblMoeHistory[[#This Row],[LEA State and Local Amount]]/tblMoeHistory[[#This Row],[Child Count]],0)</f>
        <v>8848.484363057325</v>
      </c>
      <c r="K1511">
        <f>IFERROR(tblMoeHistory[[#This Row],[ESD State and Local Amount]]/tblMoeHistory[[#This Row],[Child Count]],0)</f>
        <v>290.85987261146499</v>
      </c>
      <c r="L1511" s="1">
        <f>IFERROR(tblMoeHistory[[#This Row],[State and Local Total Amount]]/tblMoeHistory[[#This Row],[Child Count]],0)</f>
        <v>9139.3442356687901</v>
      </c>
      <c r="M1511">
        <v>78099.520000000004</v>
      </c>
      <c r="N1511" t="s">
        <v>240</v>
      </c>
      <c r="O1511">
        <v>509844.82</v>
      </c>
      <c r="P1511">
        <v>5122.3599999999997</v>
      </c>
      <c r="Q1511">
        <f>tblMoeHistory[[#This Row],[Amount of IDEA Part B, Section 611 award]]+tblMoeHistory[[#This Row],[Amount of IDEA Part B, Section 619 award]]</f>
        <v>514967.18</v>
      </c>
      <c r="T1511">
        <v>0</v>
      </c>
      <c r="U15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1" t="str">
        <f>IF(OR(IFERROR(SEARCH("Met",tblMoeHistory[[#This Row],[State and Local Per Capita Result]]),0)&gt;0,IFERROR(SEARCH("Met",tblMoeHistory[[#This Row],[State and Local Total Result]]),0)&gt;0),"Met","Not Met")</f>
        <v>Met</v>
      </c>
    </row>
    <row r="1512" spans="1:22" x14ac:dyDescent="0.35">
      <c r="A1512" t="s">
        <v>153</v>
      </c>
      <c r="B1512">
        <v>1928</v>
      </c>
      <c r="C1512" t="s">
        <v>16</v>
      </c>
      <c r="D1512">
        <v>1221</v>
      </c>
      <c r="E1512">
        <v>14959523.470000001</v>
      </c>
      <c r="F1512">
        <v>1766624</v>
      </c>
      <c r="G1512">
        <f>tblMoeHistory[[#This Row],[LEA State and Local Amount]]+tblMoeHistory[[#This Row],[ESD State and Local Amount]]</f>
        <v>16726147.470000001</v>
      </c>
      <c r="H1512">
        <v>0</v>
      </c>
      <c r="I1512" t="s">
        <v>241</v>
      </c>
      <c r="J1512" s="44">
        <f>IFERROR(tblMoeHistory[[#This Row],[LEA State and Local Amount]]/tblMoeHistory[[#This Row],[Child Count]],0)</f>
        <v>12251.861973791974</v>
      </c>
      <c r="K1512">
        <f>IFERROR(tblMoeHistory[[#This Row],[ESD State and Local Amount]]/tblMoeHistory[[#This Row],[Child Count]],0)</f>
        <v>1446.866502866503</v>
      </c>
      <c r="L1512" s="1">
        <f>IFERROR(tblMoeHistory[[#This Row],[State and Local Total Amount]]/tblMoeHistory[[#This Row],[Child Count]],0)</f>
        <v>13698.728476658478</v>
      </c>
      <c r="M1512">
        <v>0</v>
      </c>
      <c r="N1512" t="s">
        <v>241</v>
      </c>
      <c r="O1512">
        <v>1269877.68</v>
      </c>
      <c r="P1512">
        <v>10641.89</v>
      </c>
      <c r="Q1512">
        <f>tblMoeHistory[[#This Row],[Amount of IDEA Part B, Section 611 award]]+tblMoeHistory[[#This Row],[Amount of IDEA Part B, Section 619 award]]</f>
        <v>1280519.5699999998</v>
      </c>
      <c r="U15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2" t="str">
        <f>IF(OR(IFERROR(SEARCH("Met",tblMoeHistory[[#This Row],[State and Local Per Capita Result]]),0)&gt;0,IFERROR(SEARCH("Met",tblMoeHistory[[#This Row],[State and Local Total Result]]),0)&gt;0),"Met","Not Met")</f>
        <v>Met</v>
      </c>
    </row>
    <row r="1513" spans="1:22" x14ac:dyDescent="0.35">
      <c r="A1513" t="s">
        <v>154</v>
      </c>
      <c r="B1513">
        <v>1926</v>
      </c>
      <c r="C1513" t="s">
        <v>16</v>
      </c>
      <c r="D1513">
        <v>531</v>
      </c>
      <c r="E1513">
        <v>6227960.6100000003</v>
      </c>
      <c r="F1513">
        <v>767587</v>
      </c>
      <c r="G1513">
        <f>tblMoeHistory[[#This Row],[LEA State and Local Amount]]+tblMoeHistory[[#This Row],[ESD State and Local Amount]]</f>
        <v>6995547.6100000003</v>
      </c>
      <c r="H1513">
        <v>0</v>
      </c>
      <c r="I1513" t="s">
        <v>241</v>
      </c>
      <c r="J1513" s="44">
        <f>IFERROR(tblMoeHistory[[#This Row],[LEA State and Local Amount]]/tblMoeHistory[[#This Row],[Child Count]],0)</f>
        <v>11728.739378531074</v>
      </c>
      <c r="K1513">
        <f>IFERROR(tblMoeHistory[[#This Row],[ESD State and Local Amount]]/tblMoeHistory[[#This Row],[Child Count]],0)</f>
        <v>1445.5499058380415</v>
      </c>
      <c r="L1513" s="1">
        <f>IFERROR(tblMoeHistory[[#This Row],[State and Local Total Amount]]/tblMoeHistory[[#This Row],[Child Count]],0)</f>
        <v>13174.289284369115</v>
      </c>
      <c r="M1513">
        <v>0</v>
      </c>
      <c r="N1513" t="s">
        <v>241</v>
      </c>
      <c r="O1513">
        <v>645612.98</v>
      </c>
      <c r="P1513">
        <v>6931.32</v>
      </c>
      <c r="Q1513">
        <f>tblMoeHistory[[#This Row],[Amount of IDEA Part B, Section 611 award]]+tblMoeHistory[[#This Row],[Amount of IDEA Part B, Section 619 award]]</f>
        <v>652544.29999999993</v>
      </c>
      <c r="U15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3" t="str">
        <f>IF(OR(IFERROR(SEARCH("Met",tblMoeHistory[[#This Row],[State and Local Per Capita Result]]),0)&gt;0,IFERROR(SEARCH("Met",tblMoeHistory[[#This Row],[State and Local Total Result]]),0)&gt;0),"Met","Not Met")</f>
        <v>Met</v>
      </c>
    </row>
    <row r="1514" spans="1:22" x14ac:dyDescent="0.35">
      <c r="A1514" t="s">
        <v>155</v>
      </c>
      <c r="B1514">
        <v>2060</v>
      </c>
      <c r="C1514" t="s">
        <v>16</v>
      </c>
      <c r="D1514">
        <v>23</v>
      </c>
      <c r="E1514">
        <v>114496.13</v>
      </c>
      <c r="F1514">
        <v>84373.759999999995</v>
      </c>
      <c r="G1514">
        <f>tblMoeHistory[[#This Row],[LEA State and Local Amount]]+tblMoeHistory[[#This Row],[ESD State and Local Amount]]</f>
        <v>198869.89</v>
      </c>
      <c r="H1514">
        <v>0</v>
      </c>
      <c r="I1514" t="s">
        <v>241</v>
      </c>
      <c r="J1514" s="44">
        <f>IFERROR(tblMoeHistory[[#This Row],[LEA State and Local Amount]]/tblMoeHistory[[#This Row],[Child Count]],0)</f>
        <v>4978.0926086956524</v>
      </c>
      <c r="K1514">
        <f>IFERROR(tblMoeHistory[[#This Row],[ESD State and Local Amount]]/tblMoeHistory[[#This Row],[Child Count]],0)</f>
        <v>3668.4243478260869</v>
      </c>
      <c r="L1514" s="1">
        <f>IFERROR(tblMoeHistory[[#This Row],[State and Local Total Amount]]/tblMoeHistory[[#This Row],[Child Count]],0)</f>
        <v>8646.5169565217402</v>
      </c>
      <c r="M1514">
        <v>0</v>
      </c>
      <c r="N1514" t="s">
        <v>241</v>
      </c>
      <c r="O1514">
        <v>28674.55</v>
      </c>
      <c r="P1514">
        <v>0</v>
      </c>
      <c r="Q1514">
        <f>tblMoeHistory[[#This Row],[Amount of IDEA Part B, Section 611 award]]+tblMoeHistory[[#This Row],[Amount of IDEA Part B, Section 619 award]]</f>
        <v>28674.55</v>
      </c>
      <c r="U15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4" t="str">
        <f>IF(OR(IFERROR(SEARCH("Met",tblMoeHistory[[#This Row],[State and Local Per Capita Result]]),0)&gt;0,IFERROR(SEARCH("Met",tblMoeHistory[[#This Row],[State and Local Total Result]]),0)&gt;0),"Met","Not Met")</f>
        <v>Met</v>
      </c>
    </row>
    <row r="1515" spans="1:22" x14ac:dyDescent="0.35">
      <c r="A1515" t="s">
        <v>156</v>
      </c>
      <c r="B1515">
        <v>2181</v>
      </c>
      <c r="C1515" t="s">
        <v>16</v>
      </c>
      <c r="D1515">
        <v>527</v>
      </c>
      <c r="E1515">
        <v>7180461.2300000004</v>
      </c>
      <c r="F1515">
        <v>873312.04</v>
      </c>
      <c r="G1515">
        <f>tblMoeHistory[[#This Row],[LEA State and Local Amount]]+tblMoeHistory[[#This Row],[ESD State and Local Amount]]</f>
        <v>8053773.2700000005</v>
      </c>
      <c r="H1515">
        <v>0</v>
      </c>
      <c r="I1515" t="s">
        <v>241</v>
      </c>
      <c r="J1515" s="44">
        <f>IFERROR(tblMoeHistory[[#This Row],[LEA State and Local Amount]]/tblMoeHistory[[#This Row],[Child Count]],0)</f>
        <v>13625.163624288425</v>
      </c>
      <c r="K1515">
        <f>IFERROR(tblMoeHistory[[#This Row],[ESD State and Local Amount]]/tblMoeHistory[[#This Row],[Child Count]],0)</f>
        <v>1657.138595825427</v>
      </c>
      <c r="L1515" s="1">
        <f>IFERROR(tblMoeHistory[[#This Row],[State and Local Total Amount]]/tblMoeHistory[[#This Row],[Child Count]],0)</f>
        <v>15282.302220113854</v>
      </c>
      <c r="M1515">
        <v>153300.22</v>
      </c>
      <c r="N1515" t="s">
        <v>240</v>
      </c>
      <c r="O1515">
        <v>563890.51</v>
      </c>
      <c r="P1515">
        <v>3786.09</v>
      </c>
      <c r="Q1515">
        <f>tblMoeHistory[[#This Row],[Amount of IDEA Part B, Section 611 award]]+tblMoeHistory[[#This Row],[Amount of IDEA Part B, Section 619 award]]</f>
        <v>567676.6</v>
      </c>
      <c r="T1515">
        <v>0</v>
      </c>
      <c r="U15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5" t="str">
        <f>IF(OR(IFERROR(SEARCH("Met",tblMoeHistory[[#This Row],[State and Local Per Capita Result]]),0)&gt;0,IFERROR(SEARCH("Met",tblMoeHistory[[#This Row],[State and Local Total Result]]),0)&gt;0),"Met","Not Met")</f>
        <v>Met</v>
      </c>
    </row>
    <row r="1516" spans="1:22" x14ac:dyDescent="0.35">
      <c r="A1516" t="s">
        <v>157</v>
      </c>
      <c r="B1516">
        <v>2207</v>
      </c>
      <c r="C1516" t="s">
        <v>16</v>
      </c>
      <c r="D1516">
        <v>440</v>
      </c>
      <c r="E1516">
        <v>4664027.5999999996</v>
      </c>
      <c r="F1516">
        <v>712692.28</v>
      </c>
      <c r="G1516">
        <f>tblMoeHistory[[#This Row],[LEA State and Local Amount]]+tblMoeHistory[[#This Row],[ESD State and Local Amount]]</f>
        <v>5376719.8799999999</v>
      </c>
      <c r="H1516">
        <v>0</v>
      </c>
      <c r="I1516" t="s">
        <v>241</v>
      </c>
      <c r="J1516" s="44">
        <f>IFERROR(tblMoeHistory[[#This Row],[LEA State and Local Amount]]/tblMoeHistory[[#This Row],[Child Count]],0)</f>
        <v>10600.062727272727</v>
      </c>
      <c r="K1516">
        <f>IFERROR(tblMoeHistory[[#This Row],[ESD State and Local Amount]]/tblMoeHistory[[#This Row],[Child Count]],0)</f>
        <v>1619.7551818181819</v>
      </c>
      <c r="L1516" s="1">
        <f>IFERROR(tblMoeHistory[[#This Row],[State and Local Total Amount]]/tblMoeHistory[[#This Row],[Child Count]],0)</f>
        <v>12219.817909090909</v>
      </c>
      <c r="M1516">
        <v>0</v>
      </c>
      <c r="N1516" t="s">
        <v>241</v>
      </c>
      <c r="O1516">
        <v>532737.47</v>
      </c>
      <c r="P1516">
        <v>5792.6</v>
      </c>
      <c r="Q1516">
        <f>tblMoeHistory[[#This Row],[Amount of IDEA Part B, Section 611 award]]+tblMoeHistory[[#This Row],[Amount of IDEA Part B, Section 619 award]]</f>
        <v>538530.06999999995</v>
      </c>
      <c r="U15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6" t="str">
        <f>IF(OR(IFERROR(SEARCH("Met",tblMoeHistory[[#This Row],[State and Local Per Capita Result]]),0)&gt;0,IFERROR(SEARCH("Met",tblMoeHistory[[#This Row],[State and Local Total Result]]),0)&gt;0),"Met","Not Met")</f>
        <v>Met</v>
      </c>
    </row>
    <row r="1517" spans="1:22" x14ac:dyDescent="0.35">
      <c r="A1517" t="s">
        <v>158</v>
      </c>
      <c r="B1517">
        <v>2192</v>
      </c>
      <c r="C1517" t="s">
        <v>16</v>
      </c>
      <c r="D1517">
        <v>40</v>
      </c>
      <c r="E1517">
        <v>394569.42</v>
      </c>
      <c r="F1517">
        <v>40301.57</v>
      </c>
      <c r="G1517">
        <f>tblMoeHistory[[#This Row],[LEA State and Local Amount]]+tblMoeHistory[[#This Row],[ESD State and Local Amount]]</f>
        <v>434870.99</v>
      </c>
      <c r="H1517">
        <v>0</v>
      </c>
      <c r="I1517" t="s">
        <v>241</v>
      </c>
      <c r="J1517" s="44">
        <f>IFERROR(tblMoeHistory[[#This Row],[LEA State and Local Amount]]/tblMoeHistory[[#This Row],[Child Count]],0)</f>
        <v>9864.2354999999989</v>
      </c>
      <c r="K1517">
        <f>IFERROR(tblMoeHistory[[#This Row],[ESD State and Local Amount]]/tblMoeHistory[[#This Row],[Child Count]],0)</f>
        <v>1007.53925</v>
      </c>
      <c r="L1517" s="1">
        <f>IFERROR(tblMoeHistory[[#This Row],[State and Local Total Amount]]/tblMoeHistory[[#This Row],[Child Count]],0)</f>
        <v>10871.77475</v>
      </c>
      <c r="M1517">
        <v>518721.14</v>
      </c>
      <c r="N1517" t="s">
        <v>240</v>
      </c>
      <c r="O1517">
        <v>35243.21</v>
      </c>
      <c r="P1517">
        <v>485.19</v>
      </c>
      <c r="Q1517">
        <f>tblMoeHistory[[#This Row],[Amount of IDEA Part B, Section 611 award]]+tblMoeHistory[[#This Row],[Amount of IDEA Part B, Section 619 award]]</f>
        <v>35728.400000000001</v>
      </c>
      <c r="T1517">
        <v>1935.74</v>
      </c>
      <c r="U15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7" t="str">
        <f>IF(OR(IFERROR(SEARCH("Met",tblMoeHistory[[#This Row],[State and Local Per Capita Result]]),0)&gt;0,IFERROR(SEARCH("Met",tblMoeHistory[[#This Row],[State and Local Total Result]]),0)&gt;0),"Met","Not Met")</f>
        <v>Met</v>
      </c>
    </row>
    <row r="1518" spans="1:22" x14ac:dyDescent="0.35">
      <c r="A1518" t="s">
        <v>160</v>
      </c>
      <c r="B1518">
        <v>1900</v>
      </c>
      <c r="C1518" t="s">
        <v>16</v>
      </c>
      <c r="D1518">
        <v>190</v>
      </c>
      <c r="E1518">
        <v>2013596.45</v>
      </c>
      <c r="F1518">
        <v>174540</v>
      </c>
      <c r="G1518">
        <f>tblMoeHistory[[#This Row],[LEA State and Local Amount]]+tblMoeHistory[[#This Row],[ESD State and Local Amount]]</f>
        <v>2188136.4500000002</v>
      </c>
      <c r="H1518">
        <v>0</v>
      </c>
      <c r="I1518" t="s">
        <v>241</v>
      </c>
      <c r="J1518" s="44">
        <f>IFERROR(tblMoeHistory[[#This Row],[LEA State and Local Amount]]/tblMoeHistory[[#This Row],[Child Count]],0)</f>
        <v>10597.876052631578</v>
      </c>
      <c r="K1518">
        <f>IFERROR(tblMoeHistory[[#This Row],[ESD State and Local Amount]]/tblMoeHistory[[#This Row],[Child Count]],0)</f>
        <v>918.63157894736844</v>
      </c>
      <c r="L1518" s="1">
        <f>IFERROR(tblMoeHistory[[#This Row],[State and Local Total Amount]]/tblMoeHistory[[#This Row],[Child Count]],0)</f>
        <v>11516.507631578948</v>
      </c>
      <c r="M1518">
        <v>0</v>
      </c>
      <c r="N1518" t="s">
        <v>241</v>
      </c>
      <c r="O1518">
        <v>244175.02</v>
      </c>
      <c r="P1518">
        <v>3153.75</v>
      </c>
      <c r="Q1518">
        <f>tblMoeHistory[[#This Row],[Amount of IDEA Part B, Section 611 award]]+tblMoeHistory[[#This Row],[Amount of IDEA Part B, Section 619 award]]</f>
        <v>247328.77</v>
      </c>
      <c r="U15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8" t="str">
        <f>IF(OR(IFERROR(SEARCH("Met",tblMoeHistory[[#This Row],[State and Local Per Capita Result]]),0)&gt;0,IFERROR(SEARCH("Met",tblMoeHistory[[#This Row],[State and Local Total Result]]),0)&gt;0),"Met","Not Met")</f>
        <v>Met</v>
      </c>
    </row>
    <row r="1519" spans="1:22" x14ac:dyDescent="0.35">
      <c r="A1519" t="s">
        <v>161</v>
      </c>
      <c r="B1519">
        <v>2039</v>
      </c>
      <c r="C1519" t="s">
        <v>16</v>
      </c>
      <c r="D1519">
        <v>391</v>
      </c>
      <c r="E1519">
        <v>3035770.96</v>
      </c>
      <c r="F1519">
        <v>691439.45</v>
      </c>
      <c r="G1519">
        <f>tblMoeHistory[[#This Row],[LEA State and Local Amount]]+tblMoeHistory[[#This Row],[ESD State and Local Amount]]</f>
        <v>3727210.41</v>
      </c>
      <c r="H1519">
        <v>0</v>
      </c>
      <c r="I1519" t="s">
        <v>241</v>
      </c>
      <c r="J1519" s="44">
        <f>IFERROR(tblMoeHistory[[#This Row],[LEA State and Local Amount]]/tblMoeHistory[[#This Row],[Child Count]],0)</f>
        <v>7764.1201023017902</v>
      </c>
      <c r="K1519">
        <f>IFERROR(tblMoeHistory[[#This Row],[ESD State and Local Amount]]/tblMoeHistory[[#This Row],[Child Count]],0)</f>
        <v>1768.3873401534527</v>
      </c>
      <c r="L1519" s="1">
        <f>IFERROR(tblMoeHistory[[#This Row],[State and Local Total Amount]]/tblMoeHistory[[#This Row],[Child Count]],0)</f>
        <v>9532.507442455244</v>
      </c>
      <c r="M1519">
        <v>0</v>
      </c>
      <c r="N1519" t="s">
        <v>241</v>
      </c>
      <c r="O1519">
        <v>413876.56</v>
      </c>
      <c r="P1519">
        <v>5124.3100000000004</v>
      </c>
      <c r="Q1519">
        <f>tblMoeHistory[[#This Row],[Amount of IDEA Part B, Section 611 award]]+tblMoeHistory[[#This Row],[Amount of IDEA Part B, Section 619 award]]</f>
        <v>419000.87</v>
      </c>
      <c r="U15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9" t="str">
        <f>IF(OR(IFERROR(SEARCH("Met",tblMoeHistory[[#This Row],[State and Local Per Capita Result]]),0)&gt;0,IFERROR(SEARCH("Met",tblMoeHistory[[#This Row],[State and Local Total Result]]),0)&gt;0),"Met","Not Met")</f>
        <v>Met</v>
      </c>
    </row>
    <row r="1520" spans="1:22" x14ac:dyDescent="0.35">
      <c r="A1520" t="s">
        <v>162</v>
      </c>
      <c r="B1520">
        <v>2202</v>
      </c>
      <c r="C1520" t="s">
        <v>16</v>
      </c>
      <c r="D1520">
        <v>38</v>
      </c>
      <c r="E1520">
        <v>315593.65000000002</v>
      </c>
      <c r="F1520">
        <v>61406.9</v>
      </c>
      <c r="G1520">
        <f>tblMoeHistory[[#This Row],[LEA State and Local Amount]]+tblMoeHistory[[#This Row],[ESD State and Local Amount]]</f>
        <v>377000.55000000005</v>
      </c>
      <c r="H1520">
        <v>0</v>
      </c>
      <c r="I1520" t="s">
        <v>242</v>
      </c>
      <c r="J1520" s="44">
        <f>IFERROR(tblMoeHistory[[#This Row],[LEA State and Local Amount]]/tblMoeHistory[[#This Row],[Child Count]],0)</f>
        <v>8305.0960526315794</v>
      </c>
      <c r="K1520">
        <f>IFERROR(tblMoeHistory[[#This Row],[ESD State and Local Amount]]/tblMoeHistory[[#This Row],[Child Count]],0)</f>
        <v>1615.9710526315789</v>
      </c>
      <c r="L1520" s="1">
        <f>IFERROR(tblMoeHistory[[#This Row],[State and Local Total Amount]]/tblMoeHistory[[#This Row],[Child Count]],0)</f>
        <v>9921.0671052631587</v>
      </c>
      <c r="M1520">
        <v>0</v>
      </c>
      <c r="N1520" t="s">
        <v>241</v>
      </c>
      <c r="O1520">
        <v>72372.800000000003</v>
      </c>
      <c r="P1520">
        <v>485.19</v>
      </c>
      <c r="Q1520">
        <f>tblMoeHistory[[#This Row],[Amount of IDEA Part B, Section 611 award]]+tblMoeHistory[[#This Row],[Amount of IDEA Part B, Section 619 award]]</f>
        <v>72857.990000000005</v>
      </c>
      <c r="S1520">
        <v>9745.42</v>
      </c>
      <c r="U15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0" t="str">
        <f>IF(OR(IFERROR(SEARCH("Met",tblMoeHistory[[#This Row],[State and Local Per Capita Result]]),0)&gt;0,IFERROR(SEARCH("Met",tblMoeHistory[[#This Row],[State and Local Total Result]]),0)&gt;0),"Met","Not Met")</f>
        <v>Met</v>
      </c>
    </row>
    <row r="1521" spans="1:22" x14ac:dyDescent="0.35">
      <c r="A1521" t="s">
        <v>163</v>
      </c>
      <c r="B1521">
        <v>2016</v>
      </c>
      <c r="C1521" t="s">
        <v>16</v>
      </c>
      <c r="D1521">
        <v>0</v>
      </c>
      <c r="E1521">
        <v>7055.96</v>
      </c>
      <c r="F1521">
        <v>3267.61</v>
      </c>
      <c r="G1521">
        <f>tblMoeHistory[[#This Row],[LEA State and Local Amount]]+tblMoeHistory[[#This Row],[ESD State and Local Amount]]</f>
        <v>10323.57</v>
      </c>
      <c r="H1521">
        <v>0</v>
      </c>
      <c r="I1521" t="s">
        <v>241</v>
      </c>
      <c r="J1521" s="44">
        <f>IFERROR(tblMoeHistory[[#This Row],[LEA State and Local Amount]]/tblMoeHistory[[#This Row],[Child Count]],0)</f>
        <v>0</v>
      </c>
      <c r="K1521">
        <f>IFERROR(tblMoeHistory[[#This Row],[ESD State and Local Amount]]/tblMoeHistory[[#This Row],[Child Count]],0)</f>
        <v>0</v>
      </c>
      <c r="L1521" s="1">
        <f>IFERROR(tblMoeHistory[[#This Row],[State and Local Total Amount]]/tblMoeHistory[[#This Row],[Child Count]],0)</f>
        <v>0</v>
      </c>
      <c r="M1521">
        <v>0</v>
      </c>
      <c r="N1521" t="s">
        <v>241</v>
      </c>
      <c r="O1521">
        <v>0</v>
      </c>
      <c r="P1521">
        <v>0</v>
      </c>
      <c r="Q1521">
        <f>tblMoeHistory[[#This Row],[Amount of IDEA Part B, Section 611 award]]+tblMoeHistory[[#This Row],[Amount of IDEA Part B, Section 619 award]]</f>
        <v>0</v>
      </c>
      <c r="U15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1" t="str">
        <f>IF(OR(IFERROR(SEARCH("Met",tblMoeHistory[[#This Row],[State and Local Per Capita Result]]),0)&gt;0,IFERROR(SEARCH("Met",tblMoeHistory[[#This Row],[State and Local Total Result]]),0)&gt;0),"Met","Not Met")</f>
        <v>Met</v>
      </c>
    </row>
    <row r="1522" spans="1:22" x14ac:dyDescent="0.35">
      <c r="A1522" t="s">
        <v>164</v>
      </c>
      <c r="B1522">
        <v>1897</v>
      </c>
      <c r="C1522" t="s">
        <v>16</v>
      </c>
      <c r="D1522">
        <v>29</v>
      </c>
      <c r="E1522">
        <v>160660.22</v>
      </c>
      <c r="F1522">
        <v>0</v>
      </c>
      <c r="G1522">
        <f>tblMoeHistory[[#This Row],[LEA State and Local Amount]]+tblMoeHistory[[#This Row],[ESD State and Local Amount]]</f>
        <v>160660.22</v>
      </c>
      <c r="H1522">
        <v>0</v>
      </c>
      <c r="I1522" t="s">
        <v>242</v>
      </c>
      <c r="J1522" s="44">
        <f>IFERROR(tblMoeHistory[[#This Row],[LEA State and Local Amount]]/tblMoeHistory[[#This Row],[Child Count]],0)</f>
        <v>5540.007586206897</v>
      </c>
      <c r="K1522">
        <f>IFERROR(tblMoeHistory[[#This Row],[ESD State and Local Amount]]/tblMoeHistory[[#This Row],[Child Count]],0)</f>
        <v>0</v>
      </c>
      <c r="L1522" s="1">
        <f>IFERROR(tblMoeHistory[[#This Row],[State and Local Total Amount]]/tblMoeHistory[[#This Row],[Child Count]],0)</f>
        <v>5540.007586206897</v>
      </c>
      <c r="M1522">
        <v>0</v>
      </c>
      <c r="N1522" t="s">
        <v>242</v>
      </c>
      <c r="O1522">
        <v>36498.129999999997</v>
      </c>
      <c r="P1522">
        <v>0</v>
      </c>
      <c r="Q1522">
        <f>tblMoeHistory[[#This Row],[Amount of IDEA Part B, Section 611 award]]+tblMoeHistory[[#This Row],[Amount of IDEA Part B, Section 619 award]]</f>
        <v>36498.129999999997</v>
      </c>
      <c r="S1522">
        <v>28275.69</v>
      </c>
      <c r="T1522">
        <v>1047.25</v>
      </c>
      <c r="U15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2" t="str">
        <f>IF(OR(IFERROR(SEARCH("Met",tblMoeHistory[[#This Row],[State and Local Per Capita Result]]),0)&gt;0,IFERROR(SEARCH("Met",tblMoeHistory[[#This Row],[State and Local Total Result]]),0)&gt;0),"Met","Not Met")</f>
        <v>Met</v>
      </c>
    </row>
    <row r="1523" spans="1:22" x14ac:dyDescent="0.35">
      <c r="A1523" t="s">
        <v>165</v>
      </c>
      <c r="B1523">
        <v>2047</v>
      </c>
      <c r="C1523" t="s">
        <v>16</v>
      </c>
      <c r="D1523">
        <v>4</v>
      </c>
      <c r="E1523">
        <v>11547</v>
      </c>
      <c r="F1523">
        <v>10195.08</v>
      </c>
      <c r="G1523">
        <f>tblMoeHistory[[#This Row],[LEA State and Local Amount]]+tblMoeHistory[[#This Row],[ESD State and Local Amount]]</f>
        <v>21742.080000000002</v>
      </c>
      <c r="H1523">
        <v>0</v>
      </c>
      <c r="I1523" t="s">
        <v>241</v>
      </c>
      <c r="J1523" s="44">
        <f>IFERROR(tblMoeHistory[[#This Row],[LEA State and Local Amount]]/tblMoeHistory[[#This Row],[Child Count]],0)</f>
        <v>2886.75</v>
      </c>
      <c r="K1523">
        <f>IFERROR(tblMoeHistory[[#This Row],[ESD State and Local Amount]]/tblMoeHistory[[#This Row],[Child Count]],0)</f>
        <v>2548.77</v>
      </c>
      <c r="L1523" s="1">
        <f>IFERROR(tblMoeHistory[[#This Row],[State and Local Total Amount]]/tblMoeHistory[[#This Row],[Child Count]],0)</f>
        <v>5435.52</v>
      </c>
      <c r="M1523">
        <v>8915.44</v>
      </c>
      <c r="N1523" t="s">
        <v>240</v>
      </c>
      <c r="O1523">
        <v>6763.11</v>
      </c>
      <c r="P1523">
        <v>970.38</v>
      </c>
      <c r="Q1523">
        <f>tblMoeHistory[[#This Row],[Amount of IDEA Part B, Section 611 award]]+tblMoeHistory[[#This Row],[Amount of IDEA Part B, Section 619 award]]</f>
        <v>7733.49</v>
      </c>
      <c r="T1523">
        <v>0</v>
      </c>
      <c r="U15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3" t="str">
        <f>IF(OR(IFERROR(SEARCH("Met",tblMoeHistory[[#This Row],[State and Local Per Capita Result]]),0)&gt;0,IFERROR(SEARCH("Met",tblMoeHistory[[#This Row],[State and Local Total Result]]),0)&gt;0),"Met","Not Met")</f>
        <v>Met</v>
      </c>
    </row>
    <row r="1524" spans="1:22" x14ac:dyDescent="0.35">
      <c r="A1524" t="s">
        <v>166</v>
      </c>
      <c r="B1524">
        <v>2081</v>
      </c>
      <c r="C1524" t="s">
        <v>16</v>
      </c>
      <c r="D1524">
        <v>143</v>
      </c>
      <c r="E1524">
        <v>1100613.19</v>
      </c>
      <c r="F1524">
        <v>298541</v>
      </c>
      <c r="G1524">
        <f>tblMoeHistory[[#This Row],[LEA State and Local Amount]]+tblMoeHistory[[#This Row],[ESD State and Local Amount]]</f>
        <v>1399154.19</v>
      </c>
      <c r="H1524">
        <v>0</v>
      </c>
      <c r="I1524" t="s">
        <v>241</v>
      </c>
      <c r="J1524" s="44">
        <f>IFERROR(tblMoeHistory[[#This Row],[LEA State and Local Amount]]/tblMoeHistory[[#This Row],[Child Count]],0)</f>
        <v>7696.5957342657339</v>
      </c>
      <c r="K1524">
        <f>IFERROR(tblMoeHistory[[#This Row],[ESD State and Local Amount]]/tblMoeHistory[[#This Row],[Child Count]],0)</f>
        <v>2087.6993006993007</v>
      </c>
      <c r="L1524" s="1">
        <f>IFERROR(tblMoeHistory[[#This Row],[State and Local Total Amount]]/tblMoeHistory[[#This Row],[Child Count]],0)</f>
        <v>9784.2950349650346</v>
      </c>
      <c r="M1524">
        <v>221149.54</v>
      </c>
      <c r="N1524" t="s">
        <v>240</v>
      </c>
      <c r="O1524">
        <v>185788.51</v>
      </c>
      <c r="P1524">
        <v>1455.58</v>
      </c>
      <c r="Q1524">
        <f>tblMoeHistory[[#This Row],[Amount of IDEA Part B, Section 611 award]]+tblMoeHistory[[#This Row],[Amount of IDEA Part B, Section 619 award]]</f>
        <v>187244.09</v>
      </c>
      <c r="T1524">
        <v>515.01</v>
      </c>
      <c r="U15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4" t="str">
        <f>IF(OR(IFERROR(SEARCH("Met",tblMoeHistory[[#This Row],[State and Local Per Capita Result]]),0)&gt;0,IFERROR(SEARCH("Met",tblMoeHistory[[#This Row],[State and Local Total Result]]),0)&gt;0),"Met","Not Met")</f>
        <v>Met</v>
      </c>
    </row>
    <row r="1525" spans="1:22" x14ac:dyDescent="0.35">
      <c r="A1525" t="s">
        <v>167</v>
      </c>
      <c r="B1525">
        <v>2062</v>
      </c>
      <c r="C1525" t="s">
        <v>16</v>
      </c>
      <c r="D1525">
        <v>4</v>
      </c>
      <c r="E1525">
        <v>0</v>
      </c>
      <c r="F1525">
        <v>12319.94</v>
      </c>
      <c r="G1525">
        <f>tblMoeHistory[[#This Row],[LEA State and Local Amount]]+tblMoeHistory[[#This Row],[ESD State and Local Amount]]</f>
        <v>12319.94</v>
      </c>
      <c r="H1525">
        <v>0</v>
      </c>
      <c r="I1525" t="s">
        <v>241</v>
      </c>
      <c r="J1525" s="44">
        <f>IFERROR(tblMoeHistory[[#This Row],[LEA State and Local Amount]]/tblMoeHistory[[#This Row],[Child Count]],0)</f>
        <v>0</v>
      </c>
      <c r="K1525">
        <f>IFERROR(tblMoeHistory[[#This Row],[ESD State and Local Amount]]/tblMoeHistory[[#This Row],[Child Count]],0)</f>
        <v>3079.9850000000001</v>
      </c>
      <c r="L1525" s="1">
        <f>IFERROR(tblMoeHistory[[#This Row],[State and Local Total Amount]]/tblMoeHistory[[#This Row],[Child Count]],0)</f>
        <v>3079.9850000000001</v>
      </c>
      <c r="M1525">
        <v>0</v>
      </c>
      <c r="N1525" t="s">
        <v>241</v>
      </c>
      <c r="O1525">
        <v>2044.65</v>
      </c>
      <c r="P1525">
        <v>0</v>
      </c>
      <c r="Q1525">
        <f>tblMoeHistory[[#This Row],[Amount of IDEA Part B, Section 611 award]]+tblMoeHistory[[#This Row],[Amount of IDEA Part B, Section 619 award]]</f>
        <v>2044.65</v>
      </c>
      <c r="U15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5" t="str">
        <f>IF(OR(IFERROR(SEARCH("Met",tblMoeHistory[[#This Row],[State and Local Per Capita Result]]),0)&gt;0,IFERROR(SEARCH("Met",tblMoeHistory[[#This Row],[State and Local Total Result]]),0)&gt;0),"Met","Not Met")</f>
        <v>Met</v>
      </c>
    </row>
    <row r="1526" spans="1:22" x14ac:dyDescent="0.35">
      <c r="A1526" t="s">
        <v>168</v>
      </c>
      <c r="B1526">
        <v>1973</v>
      </c>
      <c r="C1526" t="s">
        <v>16</v>
      </c>
      <c r="D1526">
        <v>22</v>
      </c>
      <c r="E1526">
        <v>187029</v>
      </c>
      <c r="F1526">
        <v>127308</v>
      </c>
      <c r="G1526">
        <f>tblMoeHistory[[#This Row],[LEA State and Local Amount]]+tblMoeHistory[[#This Row],[ESD State and Local Amount]]</f>
        <v>314337</v>
      </c>
      <c r="H1526">
        <v>0</v>
      </c>
      <c r="I1526" t="s">
        <v>241</v>
      </c>
      <c r="J1526" s="44">
        <f>IFERROR(tblMoeHistory[[#This Row],[LEA State and Local Amount]]/tblMoeHistory[[#This Row],[Child Count]],0)</f>
        <v>8501.318181818182</v>
      </c>
      <c r="K1526">
        <f>IFERROR(tblMoeHistory[[#This Row],[ESD State and Local Amount]]/tblMoeHistory[[#This Row],[Child Count]],0)</f>
        <v>5786.727272727273</v>
      </c>
      <c r="L1526" s="1">
        <f>IFERROR(tblMoeHistory[[#This Row],[State and Local Total Amount]]/tblMoeHistory[[#This Row],[Child Count]],0)</f>
        <v>14288.045454545454</v>
      </c>
      <c r="M1526">
        <v>0</v>
      </c>
      <c r="N1526" t="s">
        <v>241</v>
      </c>
      <c r="O1526">
        <v>68493.34</v>
      </c>
      <c r="P1526">
        <v>1212.98</v>
      </c>
      <c r="Q1526">
        <f>tblMoeHistory[[#This Row],[Amount of IDEA Part B, Section 611 award]]+tblMoeHistory[[#This Row],[Amount of IDEA Part B, Section 619 award]]</f>
        <v>69706.319999999992</v>
      </c>
      <c r="U15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6" t="str">
        <f>IF(OR(IFERROR(SEARCH("Met",tblMoeHistory[[#This Row],[State and Local Per Capita Result]]),0)&gt;0,IFERROR(SEARCH("Met",tblMoeHistory[[#This Row],[State and Local Total Result]]),0)&gt;0),"Met","Not Met")</f>
        <v>Met</v>
      </c>
    </row>
    <row r="1527" spans="1:22" x14ac:dyDescent="0.35">
      <c r="A1527" t="s">
        <v>169</v>
      </c>
      <c r="B1527">
        <v>2180</v>
      </c>
      <c r="C1527" t="s">
        <v>16</v>
      </c>
      <c r="D1527">
        <v>6989</v>
      </c>
      <c r="E1527">
        <v>82472053.650000006</v>
      </c>
      <c r="F1527">
        <v>1336170.28</v>
      </c>
      <c r="G1527">
        <f>tblMoeHistory[[#This Row],[LEA State and Local Amount]]+tblMoeHistory[[#This Row],[ESD State and Local Amount]]</f>
        <v>83808223.930000007</v>
      </c>
      <c r="H1527">
        <v>0</v>
      </c>
      <c r="I1527" t="s">
        <v>241</v>
      </c>
      <c r="J1527" s="44">
        <f>IFERROR(tblMoeHistory[[#This Row],[LEA State and Local Amount]]/tblMoeHistory[[#This Row],[Child Count]],0)</f>
        <v>11800.265223923308</v>
      </c>
      <c r="K1527">
        <f>IFERROR(tblMoeHistory[[#This Row],[ESD State and Local Amount]]/tblMoeHistory[[#This Row],[Child Count]],0)</f>
        <v>191.18189726713408</v>
      </c>
      <c r="L1527" s="1">
        <f>IFERROR(tblMoeHistory[[#This Row],[State and Local Total Amount]]/tblMoeHistory[[#This Row],[Child Count]],0)</f>
        <v>11991.447121190444</v>
      </c>
      <c r="M1527">
        <v>0</v>
      </c>
      <c r="N1527" t="s">
        <v>241</v>
      </c>
      <c r="O1527">
        <v>8015551.1600000001</v>
      </c>
      <c r="P1527">
        <v>85106.17</v>
      </c>
      <c r="Q1527">
        <f>tblMoeHistory[[#This Row],[Amount of IDEA Part B, Section 611 award]]+tblMoeHistory[[#This Row],[Amount of IDEA Part B, Section 619 award]]</f>
        <v>8100657.3300000001</v>
      </c>
      <c r="U15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7" t="str">
        <f>IF(OR(IFERROR(SEARCH("Met",tblMoeHistory[[#This Row],[State and Local Per Capita Result]]),0)&gt;0,IFERROR(SEARCH("Met",tblMoeHistory[[#This Row],[State and Local Total Result]]),0)&gt;0),"Met","Not Met")</f>
        <v>Met</v>
      </c>
    </row>
    <row r="1528" spans="1:22" x14ac:dyDescent="0.35">
      <c r="A1528" t="s">
        <v>170</v>
      </c>
      <c r="B1528">
        <v>1967</v>
      </c>
      <c r="C1528" t="s">
        <v>16</v>
      </c>
      <c r="D1528">
        <v>14</v>
      </c>
      <c r="E1528">
        <v>74535.520000000004</v>
      </c>
      <c r="F1528">
        <v>30487.1</v>
      </c>
      <c r="G1528">
        <f>tblMoeHistory[[#This Row],[LEA State and Local Amount]]+tblMoeHistory[[#This Row],[ESD State and Local Amount]]</f>
        <v>105022.62</v>
      </c>
      <c r="H1528">
        <v>9640.4699999999993</v>
      </c>
      <c r="I1528" t="s">
        <v>242</v>
      </c>
      <c r="J1528" s="44">
        <f>IFERROR(tblMoeHistory[[#This Row],[LEA State and Local Amount]]/tblMoeHistory[[#This Row],[Child Count]],0)</f>
        <v>5323.965714285715</v>
      </c>
      <c r="K1528">
        <f>IFERROR(tblMoeHistory[[#This Row],[ESD State and Local Amount]]/tblMoeHistory[[#This Row],[Child Count]],0)</f>
        <v>2177.65</v>
      </c>
      <c r="L1528" s="1">
        <f>IFERROR(tblMoeHistory[[#This Row],[State and Local Total Amount]]/tblMoeHistory[[#This Row],[Child Count]],0)</f>
        <v>7501.6157142857137</v>
      </c>
      <c r="M1528">
        <v>18460.71</v>
      </c>
      <c r="N1528" t="s">
        <v>242</v>
      </c>
      <c r="O1528">
        <v>30420.71</v>
      </c>
      <c r="P1528">
        <v>0</v>
      </c>
      <c r="Q1528">
        <f>tblMoeHistory[[#This Row],[Amount of IDEA Part B, Section 611 award]]+tblMoeHistory[[#This Row],[Amount of IDEA Part B, Section 619 award]]</f>
        <v>30420.71</v>
      </c>
      <c r="S1528">
        <v>28999.78</v>
      </c>
      <c r="T1528">
        <v>2230.75</v>
      </c>
      <c r="U15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8" t="str">
        <f>IF(OR(IFERROR(SEARCH("Met",tblMoeHistory[[#This Row],[State and Local Per Capita Result]]),0)&gt;0,IFERROR(SEARCH("Met",tblMoeHistory[[#This Row],[State and Local Total Result]]),0)&gt;0),"Met","Not Met")</f>
        <v>Met</v>
      </c>
    </row>
    <row r="1529" spans="1:22" x14ac:dyDescent="0.35">
      <c r="A1529" t="s">
        <v>171</v>
      </c>
      <c r="B1529">
        <v>2009</v>
      </c>
      <c r="C1529" t="s">
        <v>16</v>
      </c>
      <c r="D1529">
        <v>18</v>
      </c>
      <c r="E1529">
        <v>182597.94</v>
      </c>
      <c r="F1529">
        <v>76656.31</v>
      </c>
      <c r="G1529">
        <f>tblMoeHistory[[#This Row],[LEA State and Local Amount]]+tblMoeHistory[[#This Row],[ESD State and Local Amount]]</f>
        <v>259254.25</v>
      </c>
      <c r="H1529">
        <v>0</v>
      </c>
      <c r="I1529" t="s">
        <v>241</v>
      </c>
      <c r="J1529" s="44">
        <f>IFERROR(tblMoeHistory[[#This Row],[LEA State and Local Amount]]/tblMoeHistory[[#This Row],[Child Count]],0)</f>
        <v>10144.33</v>
      </c>
      <c r="K1529">
        <f>IFERROR(tblMoeHistory[[#This Row],[ESD State and Local Amount]]/tblMoeHistory[[#This Row],[Child Count]],0)</f>
        <v>4258.6838888888888</v>
      </c>
      <c r="L1529" s="1">
        <f>IFERROR(tblMoeHistory[[#This Row],[State and Local Total Amount]]/tblMoeHistory[[#This Row],[Child Count]],0)</f>
        <v>14403.013888888889</v>
      </c>
      <c r="M1529">
        <v>0</v>
      </c>
      <c r="N1529" t="s">
        <v>241</v>
      </c>
      <c r="O1529">
        <v>33049.61</v>
      </c>
      <c r="P1529">
        <v>0</v>
      </c>
      <c r="Q1529">
        <f>tblMoeHistory[[#This Row],[Amount of IDEA Part B, Section 611 award]]+tblMoeHistory[[#This Row],[Amount of IDEA Part B, Section 619 award]]</f>
        <v>33049.61</v>
      </c>
      <c r="U15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9" t="str">
        <f>IF(OR(IFERROR(SEARCH("Met",tblMoeHistory[[#This Row],[State and Local Per Capita Result]]),0)&gt;0,IFERROR(SEARCH("Met",tblMoeHistory[[#This Row],[State and Local Total Result]]),0)&gt;0),"Met","Not Met")</f>
        <v>Met</v>
      </c>
    </row>
    <row r="1530" spans="1:22" x14ac:dyDescent="0.35">
      <c r="A1530" t="s">
        <v>172</v>
      </c>
      <c r="B1530">
        <v>2045</v>
      </c>
      <c r="C1530" t="s">
        <v>16</v>
      </c>
      <c r="D1530">
        <v>29</v>
      </c>
      <c r="E1530">
        <v>144796.4</v>
      </c>
      <c r="F1530">
        <v>94211.26</v>
      </c>
      <c r="G1530">
        <f>tblMoeHistory[[#This Row],[LEA State and Local Amount]]+tblMoeHistory[[#This Row],[ESD State and Local Amount]]</f>
        <v>239007.65999999997</v>
      </c>
      <c r="H1530">
        <v>4080.08</v>
      </c>
      <c r="I1530" t="s">
        <v>240</v>
      </c>
      <c r="J1530" s="44">
        <f>IFERROR(tblMoeHistory[[#This Row],[LEA State and Local Amount]]/tblMoeHistory[[#This Row],[Child Count]],0)</f>
        <v>4992.9793103448274</v>
      </c>
      <c r="K1530">
        <f>IFERROR(tblMoeHistory[[#This Row],[ESD State and Local Amount]]/tblMoeHistory[[#This Row],[Child Count]],0)</f>
        <v>3248.6641379310345</v>
      </c>
      <c r="L1530" s="1">
        <f>IFERROR(tblMoeHistory[[#This Row],[State and Local Total Amount]]/tblMoeHistory[[#This Row],[Child Count]],0)</f>
        <v>8241.6434482758614</v>
      </c>
      <c r="M1530">
        <v>158372.21</v>
      </c>
      <c r="N1530" t="s">
        <v>240</v>
      </c>
      <c r="O1530">
        <v>36617.760000000002</v>
      </c>
      <c r="P1530">
        <v>970.38</v>
      </c>
      <c r="Q1530">
        <f>tblMoeHistory[[#This Row],[Amount of IDEA Part B, Section 611 award]]+tblMoeHistory[[#This Row],[Amount of IDEA Part B, Section 619 award]]</f>
        <v>37588.14</v>
      </c>
      <c r="S1530">
        <v>12369.11</v>
      </c>
      <c r="T1530">
        <v>727.59</v>
      </c>
      <c r="U15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4080.08</v>
      </c>
      <c r="V1530" t="str">
        <f>IF(OR(IFERROR(SEARCH("Met",tblMoeHistory[[#This Row],[State and Local Per Capita Result]]),0)&gt;0,IFERROR(SEARCH("Met",tblMoeHistory[[#This Row],[State and Local Total Result]]),0)&gt;0),"Met","Not Met")</f>
        <v>Not Met</v>
      </c>
    </row>
    <row r="1531" spans="1:22" x14ac:dyDescent="0.35">
      <c r="A1531" t="s">
        <v>173</v>
      </c>
      <c r="B1531">
        <v>1946</v>
      </c>
      <c r="C1531" t="s">
        <v>16</v>
      </c>
      <c r="D1531">
        <v>114</v>
      </c>
      <c r="E1531">
        <v>1496662.96</v>
      </c>
      <c r="F1531">
        <v>119019</v>
      </c>
      <c r="G1531">
        <f>tblMoeHistory[[#This Row],[LEA State and Local Amount]]+tblMoeHistory[[#This Row],[ESD State and Local Amount]]</f>
        <v>1615681.96</v>
      </c>
      <c r="H1531">
        <v>0</v>
      </c>
      <c r="I1531" t="s">
        <v>241</v>
      </c>
      <c r="J1531" s="44">
        <f>IFERROR(tblMoeHistory[[#This Row],[LEA State and Local Amount]]/tblMoeHistory[[#This Row],[Child Count]],0)</f>
        <v>13128.622456140351</v>
      </c>
      <c r="K1531">
        <f>IFERROR(tblMoeHistory[[#This Row],[ESD State and Local Amount]]/tblMoeHistory[[#This Row],[Child Count]],0)</f>
        <v>1044.0263157894738</v>
      </c>
      <c r="L1531" s="1">
        <f>IFERROR(tblMoeHistory[[#This Row],[State and Local Total Amount]]/tblMoeHistory[[#This Row],[Child Count]],0)</f>
        <v>14172.648771929824</v>
      </c>
      <c r="M1531">
        <v>0</v>
      </c>
      <c r="N1531" t="s">
        <v>241</v>
      </c>
      <c r="O1531">
        <v>193457.64</v>
      </c>
      <c r="P1531">
        <v>1212.98</v>
      </c>
      <c r="Q1531">
        <f>tblMoeHistory[[#This Row],[Amount of IDEA Part B, Section 611 award]]+tblMoeHistory[[#This Row],[Amount of IDEA Part B, Section 619 award]]</f>
        <v>194670.62000000002</v>
      </c>
      <c r="U15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31" t="str">
        <f>IF(OR(IFERROR(SEARCH("Met",tblMoeHistory[[#This Row],[State and Local Per Capita Result]]),0)&gt;0,IFERROR(SEARCH("Met",tblMoeHistory[[#This Row],[State and Local Total Result]]),0)&gt;0),"Met","Not Met")</f>
        <v>Met</v>
      </c>
    </row>
    <row r="1532" spans="1:22" x14ac:dyDescent="0.35">
      <c r="A1532" t="s">
        <v>174</v>
      </c>
      <c r="B1532">
        <v>1977</v>
      </c>
      <c r="C1532" t="s">
        <v>16</v>
      </c>
      <c r="D1532">
        <v>1014</v>
      </c>
      <c r="E1532">
        <v>9448389.0500000007</v>
      </c>
      <c r="F1532">
        <v>1492980.83</v>
      </c>
      <c r="G1532">
        <f>tblMoeHistory[[#This Row],[LEA State and Local Amount]]+tblMoeHistory[[#This Row],[ESD State and Local Amount]]</f>
        <v>10941369.880000001</v>
      </c>
      <c r="H1532">
        <v>0</v>
      </c>
      <c r="I1532" t="s">
        <v>241</v>
      </c>
      <c r="J1532" s="44">
        <f>IFERROR(tblMoeHistory[[#This Row],[LEA State and Local Amount]]/tblMoeHistory[[#This Row],[Child Count]],0)</f>
        <v>9317.9379191321514</v>
      </c>
      <c r="K1532">
        <f>IFERROR(tblMoeHistory[[#This Row],[ESD State and Local Amount]]/tblMoeHistory[[#This Row],[Child Count]],0)</f>
        <v>1472.3676824457596</v>
      </c>
      <c r="L1532" s="1">
        <f>IFERROR(tblMoeHistory[[#This Row],[State and Local Total Amount]]/tblMoeHistory[[#This Row],[Child Count]],0)</f>
        <v>10790.305601577909</v>
      </c>
      <c r="M1532">
        <v>0</v>
      </c>
      <c r="N1532" t="s">
        <v>241</v>
      </c>
      <c r="O1532">
        <v>1071610.05</v>
      </c>
      <c r="P1532">
        <v>5494.23</v>
      </c>
      <c r="Q1532">
        <f>tblMoeHistory[[#This Row],[Amount of IDEA Part B, Section 611 award]]+tblMoeHistory[[#This Row],[Amount of IDEA Part B, Section 619 award]]</f>
        <v>1077104.28</v>
      </c>
      <c r="U15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32" t="str">
        <f>IF(OR(IFERROR(SEARCH("Met",tblMoeHistory[[#This Row],[State and Local Per Capita Result]]),0)&gt;0,IFERROR(SEARCH("Met",tblMoeHistory[[#This Row],[State and Local Total Result]]),0)&gt;0),"Met","Not Met")</f>
        <v>Met</v>
      </c>
    </row>
    <row r="1533" spans="1:22" x14ac:dyDescent="0.35">
      <c r="A1533" t="s">
        <v>175</v>
      </c>
      <c r="B1533">
        <v>2001</v>
      </c>
      <c r="C1533" t="s">
        <v>16</v>
      </c>
      <c r="D1533">
        <v>115</v>
      </c>
      <c r="E1533">
        <v>1389809.14</v>
      </c>
      <c r="F1533">
        <v>183754</v>
      </c>
      <c r="G1533">
        <f>tblMoeHistory[[#This Row],[LEA State and Local Amount]]+tblMoeHistory[[#This Row],[ESD State and Local Amount]]</f>
        <v>1573563.14</v>
      </c>
      <c r="H1533">
        <v>0</v>
      </c>
      <c r="I1533" t="s">
        <v>241</v>
      </c>
      <c r="J1533" s="44">
        <f>IFERROR(tblMoeHistory[[#This Row],[LEA State and Local Amount]]/tblMoeHistory[[#This Row],[Child Count]],0)</f>
        <v>12085.296869565216</v>
      </c>
      <c r="K1533">
        <f>IFERROR(tblMoeHistory[[#This Row],[ESD State and Local Amount]]/tblMoeHistory[[#This Row],[Child Count]],0)</f>
        <v>1597.8608695652174</v>
      </c>
      <c r="L1533" s="1">
        <f>IFERROR(tblMoeHistory[[#This Row],[State and Local Total Amount]]/tblMoeHistory[[#This Row],[Child Count]],0)</f>
        <v>13683.157739130434</v>
      </c>
      <c r="M1533">
        <v>0</v>
      </c>
      <c r="N1533" t="s">
        <v>241</v>
      </c>
      <c r="O1533">
        <v>149234.88</v>
      </c>
      <c r="P1533">
        <v>3352.24</v>
      </c>
      <c r="Q1533">
        <f>tblMoeHistory[[#This Row],[Amount of IDEA Part B, Section 611 award]]+tblMoeHistory[[#This Row],[Amount of IDEA Part B, Section 619 award]]</f>
        <v>152587.12</v>
      </c>
      <c r="U15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33" t="str">
        <f>IF(OR(IFERROR(SEARCH("Met",tblMoeHistory[[#This Row],[State and Local Per Capita Result]]),0)&gt;0,IFERROR(SEARCH("Met",tblMoeHistory[[#This Row],[State and Local Total Result]]),0)&gt;0),"Met","Not Met")</f>
        <v>Met</v>
      </c>
    </row>
    <row r="1534" spans="1:22" x14ac:dyDescent="0.35">
      <c r="A1534" t="s">
        <v>176</v>
      </c>
      <c r="B1534">
        <v>2182</v>
      </c>
      <c r="C1534" t="s">
        <v>16</v>
      </c>
      <c r="D1534">
        <v>1745</v>
      </c>
      <c r="E1534">
        <v>19914329.949999999</v>
      </c>
      <c r="F1534">
        <v>1585261.03</v>
      </c>
      <c r="G1534">
        <f>tblMoeHistory[[#This Row],[LEA State and Local Amount]]+tblMoeHistory[[#This Row],[ESD State and Local Amount]]</f>
        <v>21499590.98</v>
      </c>
      <c r="H1534">
        <v>0</v>
      </c>
      <c r="I1534" t="s">
        <v>241</v>
      </c>
      <c r="J1534" s="44">
        <f>IFERROR(tblMoeHistory[[#This Row],[LEA State and Local Amount]]/tblMoeHistory[[#This Row],[Child Count]],0)</f>
        <v>11412.223467048711</v>
      </c>
      <c r="K1534">
        <f>IFERROR(tblMoeHistory[[#This Row],[ESD State and Local Amount]]/tblMoeHistory[[#This Row],[Child Count]],0)</f>
        <v>908.45904297994275</v>
      </c>
      <c r="L1534" s="1">
        <f>IFERROR(tblMoeHistory[[#This Row],[State and Local Total Amount]]/tblMoeHistory[[#This Row],[Child Count]],0)</f>
        <v>12320.682510028653</v>
      </c>
      <c r="M1534">
        <v>0</v>
      </c>
      <c r="N1534" t="s">
        <v>241</v>
      </c>
      <c r="O1534">
        <v>1760018.66</v>
      </c>
      <c r="P1534">
        <v>12961.32</v>
      </c>
      <c r="Q1534">
        <f>tblMoeHistory[[#This Row],[Amount of IDEA Part B, Section 611 award]]+tblMoeHistory[[#This Row],[Amount of IDEA Part B, Section 619 award]]</f>
        <v>1772979.98</v>
      </c>
      <c r="U15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34" t="str">
        <f>IF(OR(IFERROR(SEARCH("Met",tblMoeHistory[[#This Row],[State and Local Per Capita Result]]),0)&gt;0,IFERROR(SEARCH("Met",tblMoeHistory[[#This Row],[State and Local Total Result]]),0)&gt;0),"Met","Not Met")</f>
        <v>Met</v>
      </c>
    </row>
    <row r="1535" spans="1:22" x14ac:dyDescent="0.35">
      <c r="A1535" t="s">
        <v>177</v>
      </c>
      <c r="B1535">
        <v>1999</v>
      </c>
      <c r="C1535" t="s">
        <v>16</v>
      </c>
      <c r="D1535">
        <v>65</v>
      </c>
      <c r="E1535">
        <v>433579.35</v>
      </c>
      <c r="F1535">
        <v>116045.72</v>
      </c>
      <c r="G1535">
        <f>tblMoeHistory[[#This Row],[LEA State and Local Amount]]+tblMoeHistory[[#This Row],[ESD State and Local Amount]]</f>
        <v>549625.06999999995</v>
      </c>
      <c r="H1535">
        <v>39240.79</v>
      </c>
      <c r="I1535" t="s">
        <v>240</v>
      </c>
      <c r="J1535" s="44">
        <f>IFERROR(tblMoeHistory[[#This Row],[LEA State and Local Amount]]/tblMoeHistory[[#This Row],[Child Count]],0)</f>
        <v>6670.4515384615379</v>
      </c>
      <c r="K1535">
        <f>IFERROR(tblMoeHistory[[#This Row],[ESD State and Local Amount]]/tblMoeHistory[[#This Row],[Child Count]],0)</f>
        <v>1785.3187692307692</v>
      </c>
      <c r="L1535" s="1">
        <f>IFERROR(tblMoeHistory[[#This Row],[State and Local Total Amount]]/tblMoeHistory[[#This Row],[Child Count]],0)</f>
        <v>8455.7703076923062</v>
      </c>
      <c r="M1535">
        <v>67734.3</v>
      </c>
      <c r="N1535" t="s">
        <v>240</v>
      </c>
      <c r="O1535">
        <v>63696.01</v>
      </c>
      <c r="P1535">
        <v>0</v>
      </c>
      <c r="Q1535">
        <f>tblMoeHistory[[#This Row],[Amount of IDEA Part B, Section 611 award]]+tblMoeHistory[[#This Row],[Amount of IDEA Part B, Section 619 award]]</f>
        <v>63696.01</v>
      </c>
      <c r="S1535">
        <v>0</v>
      </c>
      <c r="T1535">
        <v>0</v>
      </c>
      <c r="U15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39240.79</v>
      </c>
      <c r="V1535" t="str">
        <f>IF(OR(IFERROR(SEARCH("Met",tblMoeHistory[[#This Row],[State and Local Per Capita Result]]),0)&gt;0,IFERROR(SEARCH("Met",tblMoeHistory[[#This Row],[State and Local Total Result]]),0)&gt;0),"Met","Not Met")</f>
        <v>Not Met</v>
      </c>
    </row>
    <row r="1536" spans="1:22" x14ac:dyDescent="0.35">
      <c r="A1536" t="s">
        <v>178</v>
      </c>
      <c r="B1536">
        <v>2188</v>
      </c>
      <c r="C1536" t="s">
        <v>16</v>
      </c>
      <c r="D1536">
        <v>57</v>
      </c>
      <c r="E1536">
        <v>451095.88</v>
      </c>
      <c r="F1536">
        <v>294775.98</v>
      </c>
      <c r="G1536">
        <f>tblMoeHistory[[#This Row],[LEA State and Local Amount]]+tblMoeHistory[[#This Row],[ESD State and Local Amount]]</f>
        <v>745871.86</v>
      </c>
      <c r="H1536">
        <v>0</v>
      </c>
      <c r="I1536" t="s">
        <v>241</v>
      </c>
      <c r="J1536" s="44">
        <f>IFERROR(tblMoeHistory[[#This Row],[LEA State and Local Amount]]/tblMoeHistory[[#This Row],[Child Count]],0)</f>
        <v>7913.962807017544</v>
      </c>
      <c r="K1536">
        <f>IFERROR(tblMoeHistory[[#This Row],[ESD State and Local Amount]]/tblMoeHistory[[#This Row],[Child Count]],0)</f>
        <v>5171.5084210526311</v>
      </c>
      <c r="L1536" s="1">
        <f>IFERROR(tblMoeHistory[[#This Row],[State and Local Total Amount]]/tblMoeHistory[[#This Row],[Child Count]],0)</f>
        <v>13085.471228070175</v>
      </c>
      <c r="M1536">
        <v>0</v>
      </c>
      <c r="N1536" t="s">
        <v>241</v>
      </c>
      <c r="O1536">
        <v>76942.89</v>
      </c>
      <c r="P1536">
        <v>485.19</v>
      </c>
      <c r="Q1536">
        <f>tblMoeHistory[[#This Row],[Amount of IDEA Part B, Section 611 award]]+tblMoeHistory[[#This Row],[Amount of IDEA Part B, Section 619 award]]</f>
        <v>77428.08</v>
      </c>
      <c r="U15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36" t="str">
        <f>IF(OR(IFERROR(SEARCH("Met",tblMoeHistory[[#This Row],[State and Local Per Capita Result]]),0)&gt;0,IFERROR(SEARCH("Met",tblMoeHistory[[#This Row],[State and Local Total Result]]),0)&gt;0),"Met","Not Met")</f>
        <v>Met</v>
      </c>
    </row>
    <row r="1537" spans="1:22" x14ac:dyDescent="0.35">
      <c r="A1537" t="s">
        <v>179</v>
      </c>
      <c r="B1537">
        <v>2044</v>
      </c>
      <c r="C1537" t="s">
        <v>16</v>
      </c>
      <c r="D1537">
        <v>157</v>
      </c>
      <c r="E1537">
        <v>1013737.17</v>
      </c>
      <c r="F1537">
        <v>417233.94</v>
      </c>
      <c r="G1537">
        <f>tblMoeHistory[[#This Row],[LEA State and Local Amount]]+tblMoeHistory[[#This Row],[ESD State and Local Amount]]</f>
        <v>1430971.11</v>
      </c>
      <c r="H1537">
        <v>92.23</v>
      </c>
      <c r="I1537" t="s">
        <v>240</v>
      </c>
      <c r="J1537" s="44">
        <f>IFERROR(tblMoeHistory[[#This Row],[LEA State and Local Amount]]/tblMoeHistory[[#This Row],[Child Count]],0)</f>
        <v>6456.9246496815285</v>
      </c>
      <c r="K1537">
        <f>IFERROR(tblMoeHistory[[#This Row],[ESD State and Local Amount]]/tblMoeHistory[[#This Row],[Child Count]],0)</f>
        <v>2657.5410191082801</v>
      </c>
      <c r="L1537" s="1">
        <f>IFERROR(tblMoeHistory[[#This Row],[State and Local Total Amount]]/tblMoeHistory[[#This Row],[Child Count]],0)</f>
        <v>9114.4656687898096</v>
      </c>
      <c r="M1537">
        <v>27970.09</v>
      </c>
      <c r="N1537" t="s">
        <v>240</v>
      </c>
      <c r="O1537">
        <v>168809.96</v>
      </c>
      <c r="P1537">
        <v>2328.92</v>
      </c>
      <c r="Q1537">
        <f>tblMoeHistory[[#This Row],[Amount of IDEA Part B, Section 611 award]]+tblMoeHistory[[#This Row],[Amount of IDEA Part B, Section 619 award]]</f>
        <v>171138.88</v>
      </c>
      <c r="S1537">
        <v>0</v>
      </c>
      <c r="T1537">
        <v>0</v>
      </c>
      <c r="U15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92.23</v>
      </c>
      <c r="V1537" t="str">
        <f>IF(OR(IFERROR(SEARCH("Met",tblMoeHistory[[#This Row],[State and Local Per Capita Result]]),0)&gt;0,IFERROR(SEARCH("Met",tblMoeHistory[[#This Row],[State and Local Total Result]]),0)&gt;0),"Met","Not Met")</f>
        <v>Not Met</v>
      </c>
    </row>
    <row r="1538" spans="1:22" x14ac:dyDescent="0.35">
      <c r="A1538" t="s">
        <v>180</v>
      </c>
      <c r="B1538">
        <v>2142</v>
      </c>
      <c r="C1538" t="s">
        <v>16</v>
      </c>
      <c r="D1538">
        <v>6768</v>
      </c>
      <c r="E1538">
        <v>83868754.090000004</v>
      </c>
      <c r="F1538">
        <v>0</v>
      </c>
      <c r="G1538">
        <f>tblMoeHistory[[#This Row],[LEA State and Local Amount]]+tblMoeHistory[[#This Row],[ESD State and Local Amount]]</f>
        <v>83868754.090000004</v>
      </c>
      <c r="H1538">
        <v>0</v>
      </c>
      <c r="I1538" t="s">
        <v>241</v>
      </c>
      <c r="J1538" s="44">
        <f>IFERROR(tblMoeHistory[[#This Row],[LEA State and Local Amount]]/tblMoeHistory[[#This Row],[Child Count]],0)</f>
        <v>12391.955391548463</v>
      </c>
      <c r="K1538">
        <f>IFERROR(tblMoeHistory[[#This Row],[ESD State and Local Amount]]/tblMoeHistory[[#This Row],[Child Count]],0)</f>
        <v>0</v>
      </c>
      <c r="L1538" s="1">
        <f>IFERROR(tblMoeHistory[[#This Row],[State and Local Total Amount]]/tblMoeHistory[[#This Row],[Child Count]],0)</f>
        <v>12391.955391548463</v>
      </c>
      <c r="M1538">
        <v>0</v>
      </c>
      <c r="N1538" t="s">
        <v>241</v>
      </c>
      <c r="O1538">
        <v>7068959.6799999997</v>
      </c>
      <c r="P1538">
        <v>37048.730000000003</v>
      </c>
      <c r="Q1538">
        <f>tblMoeHistory[[#This Row],[Amount of IDEA Part B, Section 611 award]]+tblMoeHistory[[#This Row],[Amount of IDEA Part B, Section 619 award]]</f>
        <v>7106008.4100000001</v>
      </c>
      <c r="U15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38" t="str">
        <f>IF(OR(IFERROR(SEARCH("Met",tblMoeHistory[[#This Row],[State and Local Per Capita Result]]),0)&gt;0,IFERROR(SEARCH("Met",tblMoeHistory[[#This Row],[State and Local Total Result]]),0)&gt;0),"Met","Not Met")</f>
        <v>Met</v>
      </c>
    </row>
    <row r="1539" spans="1:22" x14ac:dyDescent="0.35">
      <c r="A1539" t="s">
        <v>181</v>
      </c>
      <c r="B1539">
        <v>2104</v>
      </c>
      <c r="C1539" t="s">
        <v>16</v>
      </c>
      <c r="D1539">
        <v>659</v>
      </c>
      <c r="E1539">
        <v>4164745.1</v>
      </c>
      <c r="F1539">
        <v>771676</v>
      </c>
      <c r="G1539">
        <f>tblMoeHistory[[#This Row],[LEA State and Local Amount]]+tblMoeHistory[[#This Row],[ESD State and Local Amount]]</f>
        <v>4936421.0999999996</v>
      </c>
      <c r="H1539">
        <v>0</v>
      </c>
      <c r="I1539" t="s">
        <v>241</v>
      </c>
      <c r="J1539" s="44">
        <f>IFERROR(tblMoeHistory[[#This Row],[LEA State and Local Amount]]/tblMoeHistory[[#This Row],[Child Count]],0)</f>
        <v>6319.7952959028835</v>
      </c>
      <c r="K1539">
        <f>IFERROR(tblMoeHistory[[#This Row],[ESD State and Local Amount]]/tblMoeHistory[[#This Row],[Child Count]],0)</f>
        <v>1170.980273141123</v>
      </c>
      <c r="L1539" s="1">
        <f>IFERROR(tblMoeHistory[[#This Row],[State and Local Total Amount]]/tblMoeHistory[[#This Row],[Child Count]],0)</f>
        <v>7490.7755690440054</v>
      </c>
      <c r="M1539">
        <v>1256739.77</v>
      </c>
      <c r="N1539" t="s">
        <v>240</v>
      </c>
      <c r="O1539">
        <v>489379.97</v>
      </c>
      <c r="P1539">
        <v>1819.47</v>
      </c>
      <c r="Q1539">
        <f>tblMoeHistory[[#This Row],[Amount of IDEA Part B, Section 611 award]]+tblMoeHistory[[#This Row],[Amount of IDEA Part B, Section 619 award]]</f>
        <v>491199.43999999994</v>
      </c>
      <c r="T1539">
        <v>0</v>
      </c>
      <c r="U15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39" t="str">
        <f>IF(OR(IFERROR(SEARCH("Met",tblMoeHistory[[#This Row],[State and Local Per Capita Result]]),0)&gt;0,IFERROR(SEARCH("Met",tblMoeHistory[[#This Row],[State and Local Total Result]]),0)&gt;0),"Met","Not Met")</f>
        <v>Met</v>
      </c>
    </row>
    <row r="1540" spans="1:22" x14ac:dyDescent="0.35">
      <c r="A1540" t="s">
        <v>182</v>
      </c>
      <c r="B1540">
        <v>1944</v>
      </c>
      <c r="C1540" t="s">
        <v>16</v>
      </c>
      <c r="D1540">
        <v>254</v>
      </c>
      <c r="E1540">
        <v>3093029.61</v>
      </c>
      <c r="F1540">
        <v>366282</v>
      </c>
      <c r="G1540">
        <f>tblMoeHistory[[#This Row],[LEA State and Local Amount]]+tblMoeHistory[[#This Row],[ESD State and Local Amount]]</f>
        <v>3459311.61</v>
      </c>
      <c r="H1540">
        <v>0</v>
      </c>
      <c r="I1540" t="s">
        <v>241</v>
      </c>
      <c r="J1540" s="44">
        <f>IFERROR(tblMoeHistory[[#This Row],[LEA State and Local Amount]]/tblMoeHistory[[#This Row],[Child Count]],0)</f>
        <v>12177.281929133858</v>
      </c>
      <c r="K1540">
        <f>IFERROR(tblMoeHistory[[#This Row],[ESD State and Local Amount]]/tblMoeHistory[[#This Row],[Child Count]],0)</f>
        <v>1442.0551181102362</v>
      </c>
      <c r="L1540" s="1">
        <f>IFERROR(tblMoeHistory[[#This Row],[State and Local Total Amount]]/tblMoeHistory[[#This Row],[Child Count]],0)</f>
        <v>13619.337047244095</v>
      </c>
      <c r="M1540">
        <v>0</v>
      </c>
      <c r="N1540" t="s">
        <v>241</v>
      </c>
      <c r="O1540">
        <v>354103.05</v>
      </c>
      <c r="P1540">
        <v>2365.31</v>
      </c>
      <c r="Q1540">
        <f>tblMoeHistory[[#This Row],[Amount of IDEA Part B, Section 611 award]]+tblMoeHistory[[#This Row],[Amount of IDEA Part B, Section 619 award]]</f>
        <v>356468.36</v>
      </c>
      <c r="U15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0" t="str">
        <f>IF(OR(IFERROR(SEARCH("Met",tblMoeHistory[[#This Row],[State and Local Per Capita Result]]),0)&gt;0,IFERROR(SEARCH("Met",tblMoeHistory[[#This Row],[State and Local Total Result]]),0)&gt;0),"Met","Not Met")</f>
        <v>Met</v>
      </c>
    </row>
    <row r="1541" spans="1:22" x14ac:dyDescent="0.35">
      <c r="A1541" t="s">
        <v>183</v>
      </c>
      <c r="B1541">
        <v>2103</v>
      </c>
      <c r="C1541" t="s">
        <v>16</v>
      </c>
      <c r="D1541">
        <v>73</v>
      </c>
      <c r="E1541">
        <v>465114.55</v>
      </c>
      <c r="F1541">
        <v>157001</v>
      </c>
      <c r="G1541">
        <f>tblMoeHistory[[#This Row],[LEA State and Local Amount]]+tblMoeHistory[[#This Row],[ESD State and Local Amount]]</f>
        <v>622115.55000000005</v>
      </c>
      <c r="H1541">
        <v>0</v>
      </c>
      <c r="I1541" t="s">
        <v>241</v>
      </c>
      <c r="J1541" s="44">
        <f>IFERROR(tblMoeHistory[[#This Row],[LEA State and Local Amount]]/tblMoeHistory[[#This Row],[Child Count]],0)</f>
        <v>6371.432191780822</v>
      </c>
      <c r="K1541">
        <f>IFERROR(tblMoeHistory[[#This Row],[ESD State and Local Amount]]/tblMoeHistory[[#This Row],[Child Count]],0)</f>
        <v>2150.6986301369861</v>
      </c>
      <c r="L1541" s="1">
        <f>IFERROR(tblMoeHistory[[#This Row],[State and Local Total Amount]]/tblMoeHistory[[#This Row],[Child Count]],0)</f>
        <v>8522.1308219178081</v>
      </c>
      <c r="M1541">
        <v>0</v>
      </c>
      <c r="N1541" t="s">
        <v>241</v>
      </c>
      <c r="O1541">
        <v>120264.2</v>
      </c>
      <c r="P1541">
        <v>970.38</v>
      </c>
      <c r="Q1541">
        <f>tblMoeHistory[[#This Row],[Amount of IDEA Part B, Section 611 award]]+tblMoeHistory[[#This Row],[Amount of IDEA Part B, Section 619 award]]</f>
        <v>121234.58</v>
      </c>
      <c r="U15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1" t="str">
        <f>IF(OR(IFERROR(SEARCH("Met",tblMoeHistory[[#This Row],[State and Local Per Capita Result]]),0)&gt;0,IFERROR(SEARCH("Met",tblMoeHistory[[#This Row],[State and Local Total Result]]),0)&gt;0),"Met","Not Met")</f>
        <v>Met</v>
      </c>
    </row>
    <row r="1542" spans="1:22" x14ac:dyDescent="0.35">
      <c r="A1542" t="s">
        <v>184</v>
      </c>
      <c r="B1542">
        <v>1935</v>
      </c>
      <c r="C1542" t="s">
        <v>16</v>
      </c>
      <c r="D1542">
        <v>255</v>
      </c>
      <c r="E1542">
        <v>2502124.71</v>
      </c>
      <c r="F1542">
        <v>424447</v>
      </c>
      <c r="G1542">
        <f>tblMoeHistory[[#This Row],[LEA State and Local Amount]]+tblMoeHistory[[#This Row],[ESD State and Local Amount]]</f>
        <v>2926571.71</v>
      </c>
      <c r="H1542">
        <v>0</v>
      </c>
      <c r="I1542" t="s">
        <v>241</v>
      </c>
      <c r="J1542" s="44">
        <f>IFERROR(tblMoeHistory[[#This Row],[LEA State and Local Amount]]/tblMoeHistory[[#This Row],[Child Count]],0)</f>
        <v>9812.2537647058816</v>
      </c>
      <c r="K1542">
        <f>IFERROR(tblMoeHistory[[#This Row],[ESD State and Local Amount]]/tblMoeHistory[[#This Row],[Child Count]],0)</f>
        <v>1664.4980392156863</v>
      </c>
      <c r="L1542" s="1">
        <f>IFERROR(tblMoeHistory[[#This Row],[State and Local Total Amount]]/tblMoeHistory[[#This Row],[Child Count]],0)</f>
        <v>11476.751803921568</v>
      </c>
      <c r="M1542">
        <v>0</v>
      </c>
      <c r="N1542" t="s">
        <v>241</v>
      </c>
      <c r="O1542">
        <v>257707.17</v>
      </c>
      <c r="P1542">
        <v>3018.97</v>
      </c>
      <c r="Q1542">
        <f>tblMoeHistory[[#This Row],[Amount of IDEA Part B, Section 611 award]]+tblMoeHistory[[#This Row],[Amount of IDEA Part B, Section 619 award]]</f>
        <v>260726.14</v>
      </c>
      <c r="U15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2" t="str">
        <f>IF(OR(IFERROR(SEARCH("Met",tblMoeHistory[[#This Row],[State and Local Per Capita Result]]),0)&gt;0,IFERROR(SEARCH("Met",tblMoeHistory[[#This Row],[State and Local Total Result]]),0)&gt;0),"Met","Not Met")</f>
        <v>Met</v>
      </c>
    </row>
    <row r="1543" spans="1:22" x14ac:dyDescent="0.35">
      <c r="A1543" t="s">
        <v>185</v>
      </c>
      <c r="B1543">
        <v>2257</v>
      </c>
      <c r="C1543" t="s">
        <v>16</v>
      </c>
      <c r="D1543">
        <v>126</v>
      </c>
      <c r="E1543">
        <v>848221.9</v>
      </c>
      <c r="F1543">
        <v>156248.18</v>
      </c>
      <c r="G1543">
        <f>tblMoeHistory[[#This Row],[LEA State and Local Amount]]+tblMoeHistory[[#This Row],[ESD State and Local Amount]]</f>
        <v>1004470.0800000001</v>
      </c>
      <c r="H1543">
        <v>31145.040000000001</v>
      </c>
      <c r="I1543" t="s">
        <v>241</v>
      </c>
      <c r="J1543" s="44">
        <f>IFERROR(tblMoeHistory[[#This Row],[LEA State and Local Amount]]/tblMoeHistory[[#This Row],[Child Count]],0)</f>
        <v>6731.9198412698415</v>
      </c>
      <c r="K1543">
        <f>IFERROR(tblMoeHistory[[#This Row],[ESD State and Local Amount]]/tblMoeHistory[[#This Row],[Child Count]],0)</f>
        <v>1240.0649206349206</v>
      </c>
      <c r="L1543" s="1">
        <f>IFERROR(tblMoeHistory[[#This Row],[State and Local Total Amount]]/tblMoeHistory[[#This Row],[Child Count]],0)</f>
        <v>7971.9847619047623</v>
      </c>
      <c r="M1543">
        <v>279564.62</v>
      </c>
      <c r="N1543" t="s">
        <v>240</v>
      </c>
      <c r="O1543">
        <v>152856.88</v>
      </c>
      <c r="P1543">
        <v>1027.47</v>
      </c>
      <c r="Q1543">
        <f>tblMoeHistory[[#This Row],[Amount of IDEA Part B, Section 611 award]]+tblMoeHistory[[#This Row],[Amount of IDEA Part B, Section 619 award]]</f>
        <v>153884.35</v>
      </c>
      <c r="T1543">
        <v>0</v>
      </c>
      <c r="U15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3" t="str">
        <f>IF(OR(IFERROR(SEARCH("Met",tblMoeHistory[[#This Row],[State and Local Per Capita Result]]),0)&gt;0,IFERROR(SEARCH("Met",tblMoeHistory[[#This Row],[State and Local Total Result]]),0)&gt;0),"Met","Not Met")</f>
        <v>Met</v>
      </c>
    </row>
    <row r="1544" spans="1:22" x14ac:dyDescent="0.35">
      <c r="A1544" t="s">
        <v>186</v>
      </c>
      <c r="B1544">
        <v>2195</v>
      </c>
      <c r="C1544" t="s">
        <v>16</v>
      </c>
      <c r="D1544">
        <v>39</v>
      </c>
      <c r="E1544">
        <v>159728.42000000001</v>
      </c>
      <c r="F1544">
        <v>145953</v>
      </c>
      <c r="G1544">
        <f>tblMoeHistory[[#This Row],[LEA State and Local Amount]]+tblMoeHistory[[#This Row],[ESD State and Local Amount]]</f>
        <v>305681.42000000004</v>
      </c>
      <c r="H1544">
        <v>0</v>
      </c>
      <c r="I1544" t="s">
        <v>241</v>
      </c>
      <c r="J1544" s="44">
        <f>IFERROR(tblMoeHistory[[#This Row],[LEA State and Local Amount]]/tblMoeHistory[[#This Row],[Child Count]],0)</f>
        <v>4095.6005128205134</v>
      </c>
      <c r="K1544">
        <f>IFERROR(tblMoeHistory[[#This Row],[ESD State and Local Amount]]/tblMoeHistory[[#This Row],[Child Count]],0)</f>
        <v>3742.3846153846152</v>
      </c>
      <c r="L1544" s="1">
        <f>IFERROR(tblMoeHistory[[#This Row],[State and Local Total Amount]]/tblMoeHistory[[#This Row],[Child Count]],0)</f>
        <v>7837.9851282051295</v>
      </c>
      <c r="M1544">
        <v>6440.82</v>
      </c>
      <c r="N1544" t="s">
        <v>240</v>
      </c>
      <c r="O1544">
        <v>56417.5</v>
      </c>
      <c r="P1544">
        <v>161.72999999999999</v>
      </c>
      <c r="Q1544">
        <f>tblMoeHistory[[#This Row],[Amount of IDEA Part B, Section 611 award]]+tblMoeHistory[[#This Row],[Amount of IDEA Part B, Section 619 award]]</f>
        <v>56579.23</v>
      </c>
      <c r="T1544">
        <v>0</v>
      </c>
      <c r="U15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4" t="str">
        <f>IF(OR(IFERROR(SEARCH("Met",tblMoeHistory[[#This Row],[State and Local Per Capita Result]]),0)&gt;0,IFERROR(SEARCH("Met",tblMoeHistory[[#This Row],[State and Local Total Result]]),0)&gt;0),"Met","Not Met")</f>
        <v>Met</v>
      </c>
    </row>
    <row r="1545" spans="1:22" x14ac:dyDescent="0.35">
      <c r="A1545" t="s">
        <v>187</v>
      </c>
      <c r="B1545">
        <v>2244</v>
      </c>
      <c r="C1545" t="s">
        <v>16</v>
      </c>
      <c r="D1545">
        <v>571</v>
      </c>
      <c r="E1545">
        <v>5174247.2300000004</v>
      </c>
      <c r="F1545">
        <v>773222</v>
      </c>
      <c r="G1545">
        <f>tblMoeHistory[[#This Row],[LEA State and Local Amount]]+tblMoeHistory[[#This Row],[ESD State and Local Amount]]</f>
        <v>5947469.2300000004</v>
      </c>
      <c r="H1545">
        <v>0</v>
      </c>
      <c r="I1545" t="s">
        <v>241</v>
      </c>
      <c r="J1545" s="44">
        <f>IFERROR(tblMoeHistory[[#This Row],[LEA State and Local Amount]]/tblMoeHistory[[#This Row],[Child Count]],0)</f>
        <v>9061.7289492119089</v>
      </c>
      <c r="K1545">
        <f>IFERROR(tblMoeHistory[[#This Row],[ESD State and Local Amount]]/tblMoeHistory[[#This Row],[Child Count]],0)</f>
        <v>1354.1541155866901</v>
      </c>
      <c r="L1545" s="1">
        <f>IFERROR(tblMoeHistory[[#This Row],[State and Local Total Amount]]/tblMoeHistory[[#This Row],[Child Count]],0)</f>
        <v>10415.8830647986</v>
      </c>
      <c r="M1545">
        <v>0</v>
      </c>
      <c r="N1545" t="s">
        <v>241</v>
      </c>
      <c r="O1545">
        <v>652928.02</v>
      </c>
      <c r="P1545">
        <v>1698.17</v>
      </c>
      <c r="Q1545">
        <f>tblMoeHistory[[#This Row],[Amount of IDEA Part B, Section 611 award]]+tblMoeHistory[[#This Row],[Amount of IDEA Part B, Section 619 award]]</f>
        <v>654626.19000000006</v>
      </c>
      <c r="U15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5" t="str">
        <f>IF(OR(IFERROR(SEARCH("Met",tblMoeHistory[[#This Row],[State and Local Per Capita Result]]),0)&gt;0,IFERROR(SEARCH("Met",tblMoeHistory[[#This Row],[State and Local Total Result]]),0)&gt;0),"Met","Not Met")</f>
        <v>Met</v>
      </c>
    </row>
    <row r="1546" spans="1:22" x14ac:dyDescent="0.35">
      <c r="A1546" t="s">
        <v>188</v>
      </c>
      <c r="B1546">
        <v>2138</v>
      </c>
      <c r="C1546" t="s">
        <v>16</v>
      </c>
      <c r="D1546">
        <v>471</v>
      </c>
      <c r="E1546">
        <v>5005961.38</v>
      </c>
      <c r="F1546">
        <v>394587.83</v>
      </c>
      <c r="G1546">
        <f>tblMoeHistory[[#This Row],[LEA State and Local Amount]]+tblMoeHistory[[#This Row],[ESD State and Local Amount]]</f>
        <v>5400549.21</v>
      </c>
      <c r="H1546">
        <v>0</v>
      </c>
      <c r="I1546" t="s">
        <v>241</v>
      </c>
      <c r="J1546" s="44">
        <f>IFERROR(tblMoeHistory[[#This Row],[LEA State and Local Amount]]/tblMoeHistory[[#This Row],[Child Count]],0)</f>
        <v>10628.368110403397</v>
      </c>
      <c r="K1546">
        <f>IFERROR(tblMoeHistory[[#This Row],[ESD State and Local Amount]]/tblMoeHistory[[#This Row],[Child Count]],0)</f>
        <v>837.76609341825906</v>
      </c>
      <c r="L1546" s="1">
        <f>IFERROR(tblMoeHistory[[#This Row],[State and Local Total Amount]]/tblMoeHistory[[#This Row],[Child Count]],0)</f>
        <v>11466.134203821655</v>
      </c>
      <c r="M1546">
        <v>0</v>
      </c>
      <c r="N1546" t="s">
        <v>241</v>
      </c>
      <c r="O1546">
        <v>527729.71</v>
      </c>
      <c r="P1546">
        <v>3604.29</v>
      </c>
      <c r="Q1546">
        <f>tblMoeHistory[[#This Row],[Amount of IDEA Part B, Section 611 award]]+tblMoeHistory[[#This Row],[Amount of IDEA Part B, Section 619 award]]</f>
        <v>531334</v>
      </c>
      <c r="U15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6" t="str">
        <f>IF(OR(IFERROR(SEARCH("Met",tblMoeHistory[[#This Row],[State and Local Per Capita Result]]),0)&gt;0,IFERROR(SEARCH("Met",tblMoeHistory[[#This Row],[State and Local Total Result]]),0)&gt;0),"Met","Not Met")</f>
        <v>Met</v>
      </c>
    </row>
    <row r="1547" spans="1:22" x14ac:dyDescent="0.35">
      <c r="A1547" t="s">
        <v>189</v>
      </c>
      <c r="B1547">
        <v>1978</v>
      </c>
      <c r="C1547" t="s">
        <v>16</v>
      </c>
      <c r="D1547">
        <v>103</v>
      </c>
      <c r="E1547">
        <v>927397.91</v>
      </c>
      <c r="F1547">
        <v>82792.67</v>
      </c>
      <c r="G1547">
        <f>tblMoeHistory[[#This Row],[LEA State and Local Amount]]+tblMoeHistory[[#This Row],[ESD State and Local Amount]]</f>
        <v>1010190.5800000001</v>
      </c>
      <c r="H1547">
        <v>0</v>
      </c>
      <c r="I1547" t="s">
        <v>242</v>
      </c>
      <c r="J1547" s="44">
        <f>IFERROR(tblMoeHistory[[#This Row],[LEA State and Local Amount]]/tblMoeHistory[[#This Row],[Child Count]],0)</f>
        <v>9003.8632038834949</v>
      </c>
      <c r="K1547">
        <f>IFERROR(tblMoeHistory[[#This Row],[ESD State and Local Amount]]/tblMoeHistory[[#This Row],[Child Count]],0)</f>
        <v>803.8123300970874</v>
      </c>
      <c r="L1547" s="1">
        <f>IFERROR(tblMoeHistory[[#This Row],[State and Local Total Amount]]/tblMoeHistory[[#This Row],[Child Count]],0)</f>
        <v>9807.6755339805841</v>
      </c>
      <c r="M1547">
        <v>0</v>
      </c>
      <c r="N1547" t="s">
        <v>241</v>
      </c>
      <c r="O1547">
        <v>169638.28</v>
      </c>
      <c r="P1547">
        <v>404.33</v>
      </c>
      <c r="Q1547">
        <f>tblMoeHistory[[#This Row],[Amount of IDEA Part B, Section 611 award]]+tblMoeHistory[[#This Row],[Amount of IDEA Part B, Section 619 award]]</f>
        <v>170042.61</v>
      </c>
      <c r="S1547">
        <v>70474.58</v>
      </c>
      <c r="U15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7" t="str">
        <f>IF(OR(IFERROR(SEARCH("Met",tblMoeHistory[[#This Row],[State and Local Per Capita Result]]),0)&gt;0,IFERROR(SEARCH("Met",tblMoeHistory[[#This Row],[State and Local Total Result]]),0)&gt;0),"Met","Not Met")</f>
        <v>Met</v>
      </c>
    </row>
    <row r="1548" spans="1:22" x14ac:dyDescent="0.35">
      <c r="A1548" t="s">
        <v>190</v>
      </c>
      <c r="B1548">
        <v>2096</v>
      </c>
      <c r="C1548" t="s">
        <v>16</v>
      </c>
      <c r="D1548">
        <v>188</v>
      </c>
      <c r="E1548">
        <v>1477979.78</v>
      </c>
      <c r="F1548">
        <v>479073</v>
      </c>
      <c r="G1548">
        <f>tblMoeHistory[[#This Row],[LEA State and Local Amount]]+tblMoeHistory[[#This Row],[ESD State and Local Amount]]</f>
        <v>1957052.78</v>
      </c>
      <c r="H1548">
        <v>0</v>
      </c>
      <c r="I1548" t="s">
        <v>241</v>
      </c>
      <c r="J1548" s="44">
        <f>IFERROR(tblMoeHistory[[#This Row],[LEA State and Local Amount]]/tblMoeHistory[[#This Row],[Child Count]],0)</f>
        <v>7861.5945744680848</v>
      </c>
      <c r="K1548">
        <f>IFERROR(tblMoeHistory[[#This Row],[ESD State and Local Amount]]/tblMoeHistory[[#This Row],[Child Count]],0)</f>
        <v>2548.2606382978724</v>
      </c>
      <c r="L1548" s="1">
        <f>IFERROR(tblMoeHistory[[#This Row],[State and Local Total Amount]]/tblMoeHistory[[#This Row],[Child Count]],0)</f>
        <v>10409.855212765957</v>
      </c>
      <c r="M1548">
        <v>56659.44</v>
      </c>
      <c r="N1548" t="s">
        <v>240</v>
      </c>
      <c r="O1548">
        <v>238058.81</v>
      </c>
      <c r="P1548">
        <v>1855.15</v>
      </c>
      <c r="Q1548">
        <f>tblMoeHistory[[#This Row],[Amount of IDEA Part B, Section 611 award]]+tblMoeHistory[[#This Row],[Amount of IDEA Part B, Section 619 award]]</f>
        <v>239913.96</v>
      </c>
      <c r="T1548">
        <v>544.33000000000004</v>
      </c>
      <c r="U15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8" t="str">
        <f>IF(OR(IFERROR(SEARCH("Met",tblMoeHistory[[#This Row],[State and Local Per Capita Result]]),0)&gt;0,IFERROR(SEARCH("Met",tblMoeHistory[[#This Row],[State and Local Total Result]]),0)&gt;0),"Met","Not Met")</f>
        <v>Met</v>
      </c>
    </row>
    <row r="1549" spans="1:22" x14ac:dyDescent="0.35">
      <c r="A1549" t="s">
        <v>191</v>
      </c>
      <c r="B1549">
        <v>2022</v>
      </c>
      <c r="C1549" t="s">
        <v>16</v>
      </c>
      <c r="D1549">
        <v>3</v>
      </c>
      <c r="E1549">
        <v>0</v>
      </c>
      <c r="F1549">
        <v>20733.48</v>
      </c>
      <c r="G1549">
        <f>tblMoeHistory[[#This Row],[LEA State and Local Amount]]+tblMoeHistory[[#This Row],[ESD State and Local Amount]]</f>
        <v>20733.48</v>
      </c>
      <c r="H1549">
        <v>0</v>
      </c>
      <c r="I1549" t="s">
        <v>241</v>
      </c>
      <c r="J1549" s="44">
        <f>IFERROR(tblMoeHistory[[#This Row],[LEA State and Local Amount]]/tblMoeHistory[[#This Row],[Child Count]],0)</f>
        <v>0</v>
      </c>
      <c r="K1549">
        <f>IFERROR(tblMoeHistory[[#This Row],[ESD State and Local Amount]]/tblMoeHistory[[#This Row],[Child Count]],0)</f>
        <v>6911.16</v>
      </c>
      <c r="L1549" s="1">
        <f>IFERROR(tblMoeHistory[[#This Row],[State and Local Total Amount]]/tblMoeHistory[[#This Row],[Child Count]],0)</f>
        <v>6911.16</v>
      </c>
      <c r="M1549">
        <v>533.52</v>
      </c>
      <c r="N1549" t="s">
        <v>240</v>
      </c>
      <c r="O1549">
        <v>3112.17</v>
      </c>
      <c r="P1549">
        <v>0</v>
      </c>
      <c r="Q1549">
        <f>tblMoeHistory[[#This Row],[Amount of IDEA Part B, Section 611 award]]+tblMoeHistory[[#This Row],[Amount of IDEA Part B, Section 619 award]]</f>
        <v>3112.17</v>
      </c>
      <c r="T1549">
        <v>0</v>
      </c>
      <c r="U15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9" t="str">
        <f>IF(OR(IFERROR(SEARCH("Met",tblMoeHistory[[#This Row],[State and Local Per Capita Result]]),0)&gt;0,IFERROR(SEARCH("Met",tblMoeHistory[[#This Row],[State and Local Total Result]]),0)&gt;0),"Met","Not Met")</f>
        <v>Met</v>
      </c>
    </row>
    <row r="1550" spans="1:22" x14ac:dyDescent="0.35">
      <c r="A1550" t="s">
        <v>192</v>
      </c>
      <c r="B1550">
        <v>2087</v>
      </c>
      <c r="C1550" t="s">
        <v>16</v>
      </c>
      <c r="D1550">
        <v>454</v>
      </c>
      <c r="E1550">
        <v>4316735.59</v>
      </c>
      <c r="F1550">
        <v>605250</v>
      </c>
      <c r="G1550">
        <f>tblMoeHistory[[#This Row],[LEA State and Local Amount]]+tblMoeHistory[[#This Row],[ESD State and Local Amount]]</f>
        <v>4921985.59</v>
      </c>
      <c r="H1550">
        <v>0</v>
      </c>
      <c r="I1550" t="s">
        <v>241</v>
      </c>
      <c r="J1550" s="44">
        <f>IFERROR(tblMoeHistory[[#This Row],[LEA State and Local Amount]]/tblMoeHistory[[#This Row],[Child Count]],0)</f>
        <v>9508.2281718061677</v>
      </c>
      <c r="K1550">
        <f>IFERROR(tblMoeHistory[[#This Row],[ESD State and Local Amount]]/tblMoeHistory[[#This Row],[Child Count]],0)</f>
        <v>1333.1497797356828</v>
      </c>
      <c r="L1550" s="1">
        <f>IFERROR(tblMoeHistory[[#This Row],[State and Local Total Amount]]/tblMoeHistory[[#This Row],[Child Count]],0)</f>
        <v>10841.37795154185</v>
      </c>
      <c r="M1550">
        <v>0</v>
      </c>
      <c r="N1550" t="s">
        <v>241</v>
      </c>
      <c r="O1550">
        <v>514293.77</v>
      </c>
      <c r="P1550">
        <v>2676.92</v>
      </c>
      <c r="Q1550">
        <f>tblMoeHistory[[#This Row],[Amount of IDEA Part B, Section 611 award]]+tblMoeHistory[[#This Row],[Amount of IDEA Part B, Section 619 award]]</f>
        <v>516970.69</v>
      </c>
      <c r="U15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0" t="str">
        <f>IF(OR(IFERROR(SEARCH("Met",tblMoeHistory[[#This Row],[State and Local Per Capita Result]]),0)&gt;0,IFERROR(SEARCH("Met",tblMoeHistory[[#This Row],[State and Local Total Result]]),0)&gt;0),"Met","Not Met")</f>
        <v>Met</v>
      </c>
    </row>
    <row r="1551" spans="1:22" x14ac:dyDescent="0.35">
      <c r="A1551" t="s">
        <v>193</v>
      </c>
      <c r="B1551">
        <v>1994</v>
      </c>
      <c r="C1551" t="s">
        <v>16</v>
      </c>
      <c r="D1551">
        <v>265</v>
      </c>
      <c r="E1551">
        <v>2095940.55</v>
      </c>
      <c r="F1551">
        <v>356896.38</v>
      </c>
      <c r="G1551">
        <f>tblMoeHistory[[#This Row],[LEA State and Local Amount]]+tblMoeHistory[[#This Row],[ESD State and Local Amount]]</f>
        <v>2452836.9300000002</v>
      </c>
      <c r="H1551">
        <v>0</v>
      </c>
      <c r="I1551" t="s">
        <v>241</v>
      </c>
      <c r="J1551" s="44">
        <f>IFERROR(tblMoeHistory[[#This Row],[LEA State and Local Amount]]/tblMoeHistory[[#This Row],[Child Count]],0)</f>
        <v>7909.2096226415097</v>
      </c>
      <c r="K1551">
        <f>IFERROR(tblMoeHistory[[#This Row],[ESD State and Local Amount]]/tblMoeHistory[[#This Row],[Child Count]],0)</f>
        <v>1346.7787924528302</v>
      </c>
      <c r="L1551" s="1">
        <f>IFERROR(tblMoeHistory[[#This Row],[State and Local Total Amount]]/tblMoeHistory[[#This Row],[Child Count]],0)</f>
        <v>9255.9884150943399</v>
      </c>
      <c r="M1551">
        <v>252920.69</v>
      </c>
      <c r="N1551" t="s">
        <v>240</v>
      </c>
      <c r="O1551">
        <v>326637.93</v>
      </c>
      <c r="P1551">
        <v>5094.5200000000004</v>
      </c>
      <c r="Q1551">
        <f>tblMoeHistory[[#This Row],[Amount of IDEA Part B, Section 611 award]]+tblMoeHistory[[#This Row],[Amount of IDEA Part B, Section 619 award]]</f>
        <v>331732.45</v>
      </c>
      <c r="T1551">
        <v>0</v>
      </c>
      <c r="U15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1" t="str">
        <f>IF(OR(IFERROR(SEARCH("Met",tblMoeHistory[[#This Row],[State and Local Per Capita Result]]),0)&gt;0,IFERROR(SEARCH("Met",tblMoeHistory[[#This Row],[State and Local Total Result]]),0)&gt;0),"Met","Not Met")</f>
        <v>Met</v>
      </c>
    </row>
    <row r="1552" spans="1:22" x14ac:dyDescent="0.35">
      <c r="A1552" t="s">
        <v>194</v>
      </c>
      <c r="B1552">
        <v>2225</v>
      </c>
      <c r="C1552" t="s">
        <v>16</v>
      </c>
      <c r="D1552">
        <v>25</v>
      </c>
      <c r="E1552">
        <v>220754.49</v>
      </c>
      <c r="F1552">
        <v>37000</v>
      </c>
      <c r="G1552">
        <f>tblMoeHistory[[#This Row],[LEA State and Local Amount]]+tblMoeHistory[[#This Row],[ESD State and Local Amount]]</f>
        <v>257754.49</v>
      </c>
      <c r="H1552">
        <v>0</v>
      </c>
      <c r="I1552" t="s">
        <v>241</v>
      </c>
      <c r="J1552" s="44">
        <f>IFERROR(tblMoeHistory[[#This Row],[LEA State and Local Amount]]/tblMoeHistory[[#This Row],[Child Count]],0)</f>
        <v>8830.1795999999995</v>
      </c>
      <c r="K1552">
        <f>IFERROR(tblMoeHistory[[#This Row],[ESD State and Local Amount]]/tblMoeHistory[[#This Row],[Child Count]],0)</f>
        <v>1480</v>
      </c>
      <c r="L1552" s="1">
        <f>IFERROR(tblMoeHistory[[#This Row],[State and Local Total Amount]]/tblMoeHistory[[#This Row],[Child Count]],0)</f>
        <v>10310.179599999999</v>
      </c>
      <c r="M1552">
        <v>0</v>
      </c>
      <c r="N1552" t="s">
        <v>241</v>
      </c>
      <c r="O1552">
        <v>60784.28</v>
      </c>
      <c r="P1552">
        <v>3493.39</v>
      </c>
      <c r="Q1552">
        <f>tblMoeHistory[[#This Row],[Amount of IDEA Part B, Section 611 award]]+tblMoeHistory[[#This Row],[Amount of IDEA Part B, Section 619 award]]</f>
        <v>64277.67</v>
      </c>
      <c r="U15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2" t="str">
        <f>IF(OR(IFERROR(SEARCH("Met",tblMoeHistory[[#This Row],[State and Local Per Capita Result]]),0)&gt;0,IFERROR(SEARCH("Met",tblMoeHistory[[#This Row],[State and Local Total Result]]),0)&gt;0),"Met","Not Met")</f>
        <v>Met</v>
      </c>
    </row>
    <row r="1553" spans="1:22" x14ac:dyDescent="0.35">
      <c r="A1553" t="s">
        <v>195</v>
      </c>
      <c r="B1553">
        <v>2247</v>
      </c>
      <c r="C1553" t="s">
        <v>16</v>
      </c>
      <c r="D1553">
        <v>5</v>
      </c>
      <c r="E1553">
        <v>12863.9</v>
      </c>
      <c r="F1553">
        <v>55051</v>
      </c>
      <c r="G1553">
        <f>tblMoeHistory[[#This Row],[LEA State and Local Amount]]+tblMoeHistory[[#This Row],[ESD State and Local Amount]]</f>
        <v>67914.899999999994</v>
      </c>
      <c r="H1553">
        <v>0</v>
      </c>
      <c r="I1553" t="s">
        <v>241</v>
      </c>
      <c r="J1553" s="44">
        <f>IFERROR(tblMoeHistory[[#This Row],[LEA State and Local Amount]]/tblMoeHistory[[#This Row],[Child Count]],0)</f>
        <v>2572.7799999999997</v>
      </c>
      <c r="K1553">
        <f>IFERROR(tblMoeHistory[[#This Row],[ESD State and Local Amount]]/tblMoeHistory[[#This Row],[Child Count]],0)</f>
        <v>11010.2</v>
      </c>
      <c r="L1553" s="1">
        <f>IFERROR(tblMoeHistory[[#This Row],[State and Local Total Amount]]/tblMoeHistory[[#This Row],[Child Count]],0)</f>
        <v>13582.98</v>
      </c>
      <c r="M1553">
        <v>0</v>
      </c>
      <c r="N1553" t="s">
        <v>241</v>
      </c>
      <c r="O1553">
        <v>6899.24</v>
      </c>
      <c r="P1553">
        <v>0</v>
      </c>
      <c r="Q1553">
        <f>tblMoeHistory[[#This Row],[Amount of IDEA Part B, Section 611 award]]+tblMoeHistory[[#This Row],[Amount of IDEA Part B, Section 619 award]]</f>
        <v>6899.24</v>
      </c>
      <c r="U15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3" t="str">
        <f>IF(OR(IFERROR(SEARCH("Met",tblMoeHistory[[#This Row],[State and Local Per Capita Result]]),0)&gt;0,IFERROR(SEARCH("Met",tblMoeHistory[[#This Row],[State and Local Total Result]]),0)&gt;0),"Met","Not Met")</f>
        <v>Met</v>
      </c>
    </row>
    <row r="1554" spans="1:22" x14ac:dyDescent="0.35">
      <c r="A1554" t="s">
        <v>196</v>
      </c>
      <c r="B1554">
        <v>2083</v>
      </c>
      <c r="C1554" t="s">
        <v>16</v>
      </c>
      <c r="D1554">
        <v>1665</v>
      </c>
      <c r="E1554">
        <v>18399027.68</v>
      </c>
      <c r="F1554">
        <v>2136912</v>
      </c>
      <c r="G1554">
        <f>tblMoeHistory[[#This Row],[LEA State and Local Amount]]+tblMoeHistory[[#This Row],[ESD State and Local Amount]]</f>
        <v>20535939.68</v>
      </c>
      <c r="H1554">
        <v>0</v>
      </c>
      <c r="I1554" t="s">
        <v>241</v>
      </c>
      <c r="J1554" s="44">
        <f>IFERROR(tblMoeHistory[[#This Row],[LEA State and Local Amount]]/tblMoeHistory[[#This Row],[Child Count]],0)</f>
        <v>11050.467075075076</v>
      </c>
      <c r="K1554">
        <f>IFERROR(tblMoeHistory[[#This Row],[ESD State and Local Amount]]/tblMoeHistory[[#This Row],[Child Count]],0)</f>
        <v>1283.4306306306307</v>
      </c>
      <c r="L1554" s="1">
        <f>IFERROR(tblMoeHistory[[#This Row],[State and Local Total Amount]]/tblMoeHistory[[#This Row],[Child Count]],0)</f>
        <v>12333.897705705705</v>
      </c>
      <c r="M1554">
        <v>0</v>
      </c>
      <c r="N1554" t="s">
        <v>241</v>
      </c>
      <c r="O1554">
        <v>1919682.37</v>
      </c>
      <c r="P1554">
        <v>19617.509999999998</v>
      </c>
      <c r="Q1554">
        <f>tblMoeHistory[[#This Row],[Amount of IDEA Part B, Section 611 award]]+tblMoeHistory[[#This Row],[Amount of IDEA Part B, Section 619 award]]</f>
        <v>1939299.8800000001</v>
      </c>
      <c r="U15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4" t="str">
        <f>IF(OR(IFERROR(SEARCH("Met",tblMoeHistory[[#This Row],[State and Local Per Capita Result]]),0)&gt;0,IFERROR(SEARCH("Met",tblMoeHistory[[#This Row],[State and Local Total Result]]),0)&gt;0),"Met","Not Met")</f>
        <v>Met</v>
      </c>
    </row>
    <row r="1555" spans="1:22" x14ac:dyDescent="0.35">
      <c r="A1555" t="s">
        <v>197</v>
      </c>
      <c r="B1555">
        <v>1948</v>
      </c>
      <c r="C1555" t="s">
        <v>16</v>
      </c>
      <c r="D1555">
        <v>461</v>
      </c>
      <c r="E1555">
        <v>4028920.04</v>
      </c>
      <c r="F1555">
        <v>776117</v>
      </c>
      <c r="G1555">
        <f>tblMoeHistory[[#This Row],[LEA State and Local Amount]]+tblMoeHistory[[#This Row],[ESD State and Local Amount]]</f>
        <v>4805037.04</v>
      </c>
      <c r="H1555">
        <v>0</v>
      </c>
      <c r="I1555" t="s">
        <v>241</v>
      </c>
      <c r="J1555" s="44">
        <f>IFERROR(tblMoeHistory[[#This Row],[LEA State and Local Amount]]/tblMoeHistory[[#This Row],[Child Count]],0)</f>
        <v>8739.5228633405641</v>
      </c>
      <c r="K1555">
        <f>IFERROR(tblMoeHistory[[#This Row],[ESD State and Local Amount]]/tblMoeHistory[[#This Row],[Child Count]],0)</f>
        <v>1683.5509761388287</v>
      </c>
      <c r="L1555" s="1">
        <f>IFERROR(tblMoeHistory[[#This Row],[State and Local Total Amount]]/tblMoeHistory[[#This Row],[Child Count]],0)</f>
        <v>10423.073839479393</v>
      </c>
      <c r="M1555">
        <v>0</v>
      </c>
      <c r="N1555" t="s">
        <v>241</v>
      </c>
      <c r="O1555">
        <v>531113.99</v>
      </c>
      <c r="P1555">
        <v>4104.25</v>
      </c>
      <c r="Q1555">
        <f>tblMoeHistory[[#This Row],[Amount of IDEA Part B, Section 611 award]]+tblMoeHistory[[#This Row],[Amount of IDEA Part B, Section 619 award]]</f>
        <v>535218.24</v>
      </c>
      <c r="U15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5" t="str">
        <f>IF(OR(IFERROR(SEARCH("Met",tblMoeHistory[[#This Row],[State and Local Per Capita Result]]),0)&gt;0,IFERROR(SEARCH("Met",tblMoeHistory[[#This Row],[State and Local Total Result]]),0)&gt;0),"Met","Not Met")</f>
        <v>Met</v>
      </c>
    </row>
    <row r="1556" spans="1:22" x14ac:dyDescent="0.35">
      <c r="A1556" t="s">
        <v>198</v>
      </c>
      <c r="B1556">
        <v>2144</v>
      </c>
      <c r="C1556" t="s">
        <v>16</v>
      </c>
      <c r="D1556">
        <v>25</v>
      </c>
      <c r="E1556">
        <v>324861.33</v>
      </c>
      <c r="F1556">
        <v>75151.95</v>
      </c>
      <c r="G1556">
        <f>tblMoeHistory[[#This Row],[LEA State and Local Amount]]+tblMoeHistory[[#This Row],[ESD State and Local Amount]]</f>
        <v>400013.28</v>
      </c>
      <c r="H1556">
        <v>0</v>
      </c>
      <c r="I1556" t="s">
        <v>241</v>
      </c>
      <c r="J1556" s="44">
        <f>IFERROR(tblMoeHistory[[#This Row],[LEA State and Local Amount]]/tblMoeHistory[[#This Row],[Child Count]],0)</f>
        <v>12994.4532</v>
      </c>
      <c r="K1556">
        <f>IFERROR(tblMoeHistory[[#This Row],[ESD State and Local Amount]]/tblMoeHistory[[#This Row],[Child Count]],0)</f>
        <v>3006.078</v>
      </c>
      <c r="L1556" s="1">
        <f>IFERROR(tblMoeHistory[[#This Row],[State and Local Total Amount]]/tblMoeHistory[[#This Row],[Child Count]],0)</f>
        <v>16000.531200000001</v>
      </c>
      <c r="M1556">
        <v>0</v>
      </c>
      <c r="N1556" t="s">
        <v>241</v>
      </c>
      <c r="O1556">
        <v>38065.43</v>
      </c>
      <c r="P1556">
        <v>970.38</v>
      </c>
      <c r="Q1556">
        <f>tblMoeHistory[[#This Row],[Amount of IDEA Part B, Section 611 award]]+tblMoeHistory[[#This Row],[Amount of IDEA Part B, Section 619 award]]</f>
        <v>39035.81</v>
      </c>
      <c r="U15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6" t="str">
        <f>IF(OR(IFERROR(SEARCH("Met",tblMoeHistory[[#This Row],[State and Local Per Capita Result]]),0)&gt;0,IFERROR(SEARCH("Met",tblMoeHistory[[#This Row],[State and Local Total Result]]),0)&gt;0),"Met","Not Met")</f>
        <v>Met</v>
      </c>
    </row>
    <row r="1557" spans="1:22" x14ac:dyDescent="0.35">
      <c r="A1557" t="s">
        <v>199</v>
      </c>
      <c r="B1557">
        <v>2209</v>
      </c>
      <c r="C1557" t="s">
        <v>16</v>
      </c>
      <c r="D1557">
        <v>52</v>
      </c>
      <c r="E1557">
        <v>407191.67</v>
      </c>
      <c r="F1557">
        <v>84046.82</v>
      </c>
      <c r="G1557">
        <f>tblMoeHistory[[#This Row],[LEA State and Local Amount]]+tblMoeHistory[[#This Row],[ESD State and Local Amount]]</f>
        <v>491238.49</v>
      </c>
      <c r="H1557">
        <v>25683.69</v>
      </c>
      <c r="I1557" t="s">
        <v>242</v>
      </c>
      <c r="J1557" s="44">
        <f>IFERROR(tblMoeHistory[[#This Row],[LEA State and Local Amount]]/tblMoeHistory[[#This Row],[Child Count]],0)</f>
        <v>7830.6090384615381</v>
      </c>
      <c r="K1557">
        <f>IFERROR(tblMoeHistory[[#This Row],[ESD State and Local Amount]]/tblMoeHistory[[#This Row],[Child Count]],0)</f>
        <v>1616.2850000000001</v>
      </c>
      <c r="L1557" s="1">
        <f>IFERROR(tblMoeHistory[[#This Row],[State and Local Total Amount]]/tblMoeHistory[[#This Row],[Child Count]],0)</f>
        <v>9446.894038461538</v>
      </c>
      <c r="M1557">
        <v>0</v>
      </c>
      <c r="N1557" t="s">
        <v>241</v>
      </c>
      <c r="O1557">
        <v>77406.899999999994</v>
      </c>
      <c r="P1557">
        <v>0</v>
      </c>
      <c r="Q1557">
        <f>tblMoeHistory[[#This Row],[Amount of IDEA Part B, Section 611 award]]+tblMoeHistory[[#This Row],[Amount of IDEA Part B, Section 619 award]]</f>
        <v>77406.899999999994</v>
      </c>
      <c r="S1557">
        <v>77599.72</v>
      </c>
      <c r="U15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7" t="str">
        <f>IF(OR(IFERROR(SEARCH("Met",tblMoeHistory[[#This Row],[State and Local Per Capita Result]]),0)&gt;0,IFERROR(SEARCH("Met",tblMoeHistory[[#This Row],[State and Local Total Result]]),0)&gt;0),"Met","Not Met")</f>
        <v>Met</v>
      </c>
    </row>
    <row r="1558" spans="1:22" x14ac:dyDescent="0.35">
      <c r="A1558" t="s">
        <v>200</v>
      </c>
      <c r="B1558">
        <v>2018</v>
      </c>
      <c r="C1558" t="s">
        <v>16</v>
      </c>
      <c r="D1558">
        <v>1</v>
      </c>
      <c r="E1558">
        <v>8226.06</v>
      </c>
      <c r="F1558">
        <v>21706.69</v>
      </c>
      <c r="G1558">
        <f>tblMoeHistory[[#This Row],[LEA State and Local Amount]]+tblMoeHistory[[#This Row],[ESD State and Local Amount]]</f>
        <v>29932.75</v>
      </c>
      <c r="H1558">
        <v>0</v>
      </c>
      <c r="I1558" t="s">
        <v>241</v>
      </c>
      <c r="J1558" s="44">
        <f>IFERROR(tblMoeHistory[[#This Row],[LEA State and Local Amount]]/tblMoeHistory[[#This Row],[Child Count]],0)</f>
        <v>8226.06</v>
      </c>
      <c r="K1558">
        <f>IFERROR(tblMoeHistory[[#This Row],[ESD State and Local Amount]]/tblMoeHistory[[#This Row],[Child Count]],0)</f>
        <v>21706.69</v>
      </c>
      <c r="L1558" s="1">
        <f>IFERROR(tblMoeHistory[[#This Row],[State and Local Total Amount]]/tblMoeHistory[[#This Row],[Child Count]],0)</f>
        <v>29932.75</v>
      </c>
      <c r="M1558">
        <v>0</v>
      </c>
      <c r="N1558" t="s">
        <v>241</v>
      </c>
      <c r="O1558">
        <v>0</v>
      </c>
      <c r="P1558">
        <v>0</v>
      </c>
      <c r="Q1558">
        <f>tblMoeHistory[[#This Row],[Amount of IDEA Part B, Section 611 award]]+tblMoeHistory[[#This Row],[Amount of IDEA Part B, Section 619 award]]</f>
        <v>0</v>
      </c>
      <c r="U15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8" t="str">
        <f>IF(OR(IFERROR(SEARCH("Met",tblMoeHistory[[#This Row],[State and Local Per Capita Result]]),0)&gt;0,IFERROR(SEARCH("Met",tblMoeHistory[[#This Row],[State and Local Total Result]]),0)&gt;0),"Met","Not Met")</f>
        <v>Met</v>
      </c>
    </row>
    <row r="1559" spans="1:22" x14ac:dyDescent="0.35">
      <c r="A1559" t="s">
        <v>201</v>
      </c>
      <c r="B1559">
        <v>2003</v>
      </c>
      <c r="C1559" t="s">
        <v>16</v>
      </c>
      <c r="D1559">
        <v>160</v>
      </c>
      <c r="E1559">
        <v>1261883</v>
      </c>
      <c r="F1559">
        <v>304675.11</v>
      </c>
      <c r="G1559">
        <f>tblMoeHistory[[#This Row],[LEA State and Local Amount]]+tblMoeHistory[[#This Row],[ESD State and Local Amount]]</f>
        <v>1566558.1099999999</v>
      </c>
      <c r="H1559">
        <v>0</v>
      </c>
      <c r="I1559" t="s">
        <v>241</v>
      </c>
      <c r="J1559" s="44">
        <f>IFERROR(tblMoeHistory[[#This Row],[LEA State and Local Amount]]/tblMoeHistory[[#This Row],[Child Count]],0)</f>
        <v>7886.7687500000002</v>
      </c>
      <c r="K1559">
        <f>IFERROR(tblMoeHistory[[#This Row],[ESD State and Local Amount]]/tblMoeHistory[[#This Row],[Child Count]],0)</f>
        <v>1904.2194374999999</v>
      </c>
      <c r="L1559" s="1">
        <f>IFERROR(tblMoeHistory[[#This Row],[State and Local Total Amount]]/tblMoeHistory[[#This Row],[Child Count]],0)</f>
        <v>9790.9881874999992</v>
      </c>
      <c r="M1559">
        <v>0</v>
      </c>
      <c r="N1559" t="s">
        <v>241</v>
      </c>
      <c r="O1559">
        <v>210385.54</v>
      </c>
      <c r="P1559">
        <v>2117.1999999999998</v>
      </c>
      <c r="Q1559">
        <f>tblMoeHistory[[#This Row],[Amount of IDEA Part B, Section 611 award]]+tblMoeHistory[[#This Row],[Amount of IDEA Part B, Section 619 award]]</f>
        <v>212502.74000000002</v>
      </c>
      <c r="U15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9" t="str">
        <f>IF(OR(IFERROR(SEARCH("Met",tblMoeHistory[[#This Row],[State and Local Per Capita Result]]),0)&gt;0,IFERROR(SEARCH("Met",tblMoeHistory[[#This Row],[State and Local Total Result]]),0)&gt;0),"Met","Not Met")</f>
        <v>Met</v>
      </c>
    </row>
    <row r="1560" spans="1:22" x14ac:dyDescent="0.35">
      <c r="A1560" t="s">
        <v>202</v>
      </c>
      <c r="B1560">
        <v>2102</v>
      </c>
      <c r="C1560" t="s">
        <v>16</v>
      </c>
      <c r="D1560">
        <v>438</v>
      </c>
      <c r="E1560">
        <v>2907316.88</v>
      </c>
      <c r="F1560">
        <v>399572</v>
      </c>
      <c r="G1560">
        <f>tblMoeHistory[[#This Row],[LEA State and Local Amount]]+tblMoeHistory[[#This Row],[ESD State and Local Amount]]</f>
        <v>3306888.88</v>
      </c>
      <c r="H1560">
        <v>0</v>
      </c>
      <c r="I1560" t="s">
        <v>241</v>
      </c>
      <c r="J1560" s="44">
        <f>IFERROR(tblMoeHistory[[#This Row],[LEA State and Local Amount]]/tblMoeHistory[[#This Row],[Child Count]],0)</f>
        <v>6637.7097716894978</v>
      </c>
      <c r="K1560">
        <f>IFERROR(tblMoeHistory[[#This Row],[ESD State and Local Amount]]/tblMoeHistory[[#This Row],[Child Count]],0)</f>
        <v>912.26484018264841</v>
      </c>
      <c r="L1560" s="1">
        <f>IFERROR(tblMoeHistory[[#This Row],[State and Local Total Amount]]/tblMoeHistory[[#This Row],[Child Count]],0)</f>
        <v>7549.9746118721459</v>
      </c>
      <c r="M1560">
        <v>0</v>
      </c>
      <c r="N1560" t="s">
        <v>241</v>
      </c>
      <c r="O1560">
        <v>448059.54</v>
      </c>
      <c r="P1560">
        <v>5021.74</v>
      </c>
      <c r="Q1560">
        <f>tblMoeHistory[[#This Row],[Amount of IDEA Part B, Section 611 award]]+tblMoeHistory[[#This Row],[Amount of IDEA Part B, Section 619 award]]</f>
        <v>453081.27999999997</v>
      </c>
      <c r="U15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0" t="str">
        <f>IF(OR(IFERROR(SEARCH("Met",tblMoeHistory[[#This Row],[State and Local Per Capita Result]]),0)&gt;0,IFERROR(SEARCH("Met",tblMoeHistory[[#This Row],[State and Local Total Result]]),0)&gt;0),"Met","Not Met")</f>
        <v>Met</v>
      </c>
    </row>
    <row r="1561" spans="1:22" x14ac:dyDescent="0.35">
      <c r="A1561" t="s">
        <v>203</v>
      </c>
      <c r="B1561">
        <v>2055</v>
      </c>
      <c r="C1561" t="s">
        <v>16</v>
      </c>
      <c r="D1561">
        <v>521</v>
      </c>
      <c r="E1561">
        <v>7292605.0899999999</v>
      </c>
      <c r="F1561">
        <v>496772</v>
      </c>
      <c r="G1561">
        <f>tblMoeHistory[[#This Row],[LEA State and Local Amount]]+tblMoeHistory[[#This Row],[ESD State and Local Amount]]</f>
        <v>7789377.0899999999</v>
      </c>
      <c r="H1561">
        <v>0</v>
      </c>
      <c r="I1561" t="s">
        <v>241</v>
      </c>
      <c r="J1561" s="44">
        <f>IFERROR(tblMoeHistory[[#This Row],[LEA State and Local Amount]]/tblMoeHistory[[#This Row],[Child Count]],0)</f>
        <v>13997.322629558541</v>
      </c>
      <c r="K1561">
        <f>IFERROR(tblMoeHistory[[#This Row],[ESD State and Local Amount]]/tblMoeHistory[[#This Row],[Child Count]],0)</f>
        <v>953.49712092130517</v>
      </c>
      <c r="L1561" s="1">
        <f>IFERROR(tblMoeHistory[[#This Row],[State and Local Total Amount]]/tblMoeHistory[[#This Row],[Child Count]],0)</f>
        <v>14950.819750479846</v>
      </c>
      <c r="M1561">
        <v>0</v>
      </c>
      <c r="N1561" t="s">
        <v>241</v>
      </c>
      <c r="O1561">
        <v>807147.5</v>
      </c>
      <c r="P1561">
        <v>11159.43</v>
      </c>
      <c r="Q1561">
        <f>tblMoeHistory[[#This Row],[Amount of IDEA Part B, Section 611 award]]+tblMoeHistory[[#This Row],[Amount of IDEA Part B, Section 619 award]]</f>
        <v>818306.93</v>
      </c>
      <c r="U15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1" t="str">
        <f>IF(OR(IFERROR(SEARCH("Met",tblMoeHistory[[#This Row],[State and Local Per Capita Result]]),0)&gt;0,IFERROR(SEARCH("Met",tblMoeHistory[[#This Row],[State and Local Total Result]]),0)&gt;0),"Met","Not Met")</f>
        <v>Met</v>
      </c>
    </row>
    <row r="1562" spans="1:22" x14ac:dyDescent="0.35">
      <c r="A1562" t="s">
        <v>204</v>
      </c>
      <c r="B1562">
        <v>2242</v>
      </c>
      <c r="C1562" t="s">
        <v>16</v>
      </c>
      <c r="D1562">
        <v>1306</v>
      </c>
      <c r="E1562">
        <v>12175908.779999999</v>
      </c>
      <c r="F1562">
        <v>2106419</v>
      </c>
      <c r="G1562">
        <f>tblMoeHistory[[#This Row],[LEA State and Local Amount]]+tblMoeHistory[[#This Row],[ESD State and Local Amount]]</f>
        <v>14282327.779999999</v>
      </c>
      <c r="H1562">
        <v>0</v>
      </c>
      <c r="I1562" t="s">
        <v>241</v>
      </c>
      <c r="J1562" s="44">
        <f>IFERROR(tblMoeHistory[[#This Row],[LEA State and Local Amount]]/tblMoeHistory[[#This Row],[Child Count]],0)</f>
        <v>9323.0541960183764</v>
      </c>
      <c r="K1562">
        <f>IFERROR(tblMoeHistory[[#This Row],[ESD State and Local Amount]]/tblMoeHistory[[#This Row],[Child Count]],0)</f>
        <v>1612.8782542113322</v>
      </c>
      <c r="L1562" s="1">
        <f>IFERROR(tblMoeHistory[[#This Row],[State and Local Total Amount]]/tblMoeHistory[[#This Row],[Child Count]],0)</f>
        <v>10935.932450229708</v>
      </c>
      <c r="M1562">
        <v>0</v>
      </c>
      <c r="N1562" t="s">
        <v>241</v>
      </c>
      <c r="O1562">
        <v>1950390.98</v>
      </c>
      <c r="P1562">
        <v>11991.54</v>
      </c>
      <c r="Q1562">
        <f>tblMoeHistory[[#This Row],[Amount of IDEA Part B, Section 611 award]]+tblMoeHistory[[#This Row],[Amount of IDEA Part B, Section 619 award]]</f>
        <v>1962382.52</v>
      </c>
      <c r="U15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2" t="str">
        <f>IF(OR(IFERROR(SEARCH("Met",tblMoeHistory[[#This Row],[State and Local Per Capita Result]]),0)&gt;0,IFERROR(SEARCH("Met",tblMoeHistory[[#This Row],[State and Local Total Result]]),0)&gt;0),"Met","Not Met")</f>
        <v>Met</v>
      </c>
    </row>
    <row r="1563" spans="1:22" x14ac:dyDescent="0.35">
      <c r="A1563" t="s">
        <v>205</v>
      </c>
      <c r="B1563">
        <v>2197</v>
      </c>
      <c r="C1563" t="s">
        <v>16</v>
      </c>
      <c r="D1563">
        <v>276</v>
      </c>
      <c r="E1563">
        <v>3335280.04</v>
      </c>
      <c r="F1563">
        <v>115844</v>
      </c>
      <c r="G1563">
        <f>tblMoeHistory[[#This Row],[LEA State and Local Amount]]+tblMoeHistory[[#This Row],[ESD State and Local Amount]]</f>
        <v>3451124.04</v>
      </c>
      <c r="H1563">
        <v>0</v>
      </c>
      <c r="I1563" t="s">
        <v>241</v>
      </c>
      <c r="J1563" s="44">
        <f>IFERROR(tblMoeHistory[[#This Row],[LEA State and Local Amount]]/tblMoeHistory[[#This Row],[Child Count]],0)</f>
        <v>12084.347971014493</v>
      </c>
      <c r="K1563">
        <f>IFERROR(tblMoeHistory[[#This Row],[ESD State and Local Amount]]/tblMoeHistory[[#This Row],[Child Count]],0)</f>
        <v>419.72463768115944</v>
      </c>
      <c r="L1563" s="1">
        <f>IFERROR(tblMoeHistory[[#This Row],[State and Local Total Amount]]/tblMoeHistory[[#This Row],[Child Count]],0)</f>
        <v>12504.072608695653</v>
      </c>
      <c r="M1563">
        <v>0</v>
      </c>
      <c r="N1563" t="s">
        <v>241</v>
      </c>
      <c r="O1563">
        <v>381271.13</v>
      </c>
      <c r="P1563">
        <v>4336.41</v>
      </c>
      <c r="Q1563">
        <f>tblMoeHistory[[#This Row],[Amount of IDEA Part B, Section 611 award]]+tblMoeHistory[[#This Row],[Amount of IDEA Part B, Section 619 award]]</f>
        <v>385607.54</v>
      </c>
      <c r="U15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3" t="str">
        <f>IF(OR(IFERROR(SEARCH("Met",tblMoeHistory[[#This Row],[State and Local Per Capita Result]]),0)&gt;0,IFERROR(SEARCH("Met",tblMoeHistory[[#This Row],[State and Local Total Result]]),0)&gt;0),"Met","Not Met")</f>
        <v>Met</v>
      </c>
    </row>
    <row r="1564" spans="1:22" x14ac:dyDescent="0.35">
      <c r="A1564" t="s">
        <v>206</v>
      </c>
      <c r="B1564">
        <v>2222</v>
      </c>
      <c r="C1564" t="s">
        <v>16</v>
      </c>
      <c r="D1564">
        <v>0</v>
      </c>
      <c r="E1564">
        <v>0</v>
      </c>
      <c r="F1564">
        <v>3700</v>
      </c>
      <c r="G1564">
        <f>tblMoeHistory[[#This Row],[LEA State and Local Amount]]+tblMoeHistory[[#This Row],[ESD State and Local Amount]]</f>
        <v>3700</v>
      </c>
      <c r="H1564">
        <v>0</v>
      </c>
      <c r="I1564" t="s">
        <v>241</v>
      </c>
      <c r="J1564" s="44">
        <f>IFERROR(tblMoeHistory[[#This Row],[LEA State and Local Amount]]/tblMoeHistory[[#This Row],[Child Count]],0)</f>
        <v>0</v>
      </c>
      <c r="K1564">
        <f>IFERROR(tblMoeHistory[[#This Row],[ESD State and Local Amount]]/tblMoeHistory[[#This Row],[Child Count]],0)</f>
        <v>0</v>
      </c>
      <c r="L1564" s="1">
        <f>IFERROR(tblMoeHistory[[#This Row],[State and Local Total Amount]]/tblMoeHistory[[#This Row],[Child Count]],0)</f>
        <v>0</v>
      </c>
      <c r="M1564">
        <v>0</v>
      </c>
      <c r="N1564" t="s">
        <v>241</v>
      </c>
      <c r="O1564">
        <v>2475.4899999999998</v>
      </c>
      <c r="P1564">
        <v>0</v>
      </c>
      <c r="Q1564">
        <f>tblMoeHistory[[#This Row],[Amount of IDEA Part B, Section 611 award]]+tblMoeHistory[[#This Row],[Amount of IDEA Part B, Section 619 award]]</f>
        <v>2475.4899999999998</v>
      </c>
      <c r="U15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4" t="str">
        <f>IF(OR(IFERROR(SEARCH("Met",tblMoeHistory[[#This Row],[State and Local Per Capita Result]]),0)&gt;0,IFERROR(SEARCH("Met",tblMoeHistory[[#This Row],[State and Local Total Result]]),0)&gt;0),"Met","Not Met")</f>
        <v>Met</v>
      </c>
    </row>
    <row r="1565" spans="1:22" x14ac:dyDescent="0.35">
      <c r="A1565" t="s">
        <v>207</v>
      </c>
      <c r="B1565">
        <v>2210</v>
      </c>
      <c r="C1565" t="s">
        <v>16</v>
      </c>
      <c r="D1565">
        <v>4</v>
      </c>
      <c r="E1565">
        <v>4834.05</v>
      </c>
      <c r="F1565">
        <v>6574.88</v>
      </c>
      <c r="G1565">
        <f>tblMoeHistory[[#This Row],[LEA State and Local Amount]]+tblMoeHistory[[#This Row],[ESD State and Local Amount]]</f>
        <v>11408.93</v>
      </c>
      <c r="H1565">
        <v>0</v>
      </c>
      <c r="I1565" t="s">
        <v>241</v>
      </c>
      <c r="J1565" s="44">
        <f>IFERROR(tblMoeHistory[[#This Row],[LEA State and Local Amount]]/tblMoeHistory[[#This Row],[Child Count]],0)</f>
        <v>1208.5125</v>
      </c>
      <c r="K1565">
        <f>IFERROR(tblMoeHistory[[#This Row],[ESD State and Local Amount]]/tblMoeHistory[[#This Row],[Child Count]],0)</f>
        <v>1643.72</v>
      </c>
      <c r="L1565" s="1">
        <f>IFERROR(tblMoeHistory[[#This Row],[State and Local Total Amount]]/tblMoeHistory[[#This Row],[Child Count]],0)</f>
        <v>2852.2325000000001</v>
      </c>
      <c r="M1565">
        <v>4610.41</v>
      </c>
      <c r="N1565" t="s">
        <v>240</v>
      </c>
      <c r="O1565">
        <v>6392.2</v>
      </c>
      <c r="P1565">
        <v>0</v>
      </c>
      <c r="Q1565">
        <f>tblMoeHistory[[#This Row],[Amount of IDEA Part B, Section 611 award]]+tblMoeHistory[[#This Row],[Amount of IDEA Part B, Section 619 award]]</f>
        <v>6392.2</v>
      </c>
      <c r="T1565">
        <v>0</v>
      </c>
      <c r="U15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5" t="str">
        <f>IF(OR(IFERROR(SEARCH("Met",tblMoeHistory[[#This Row],[State and Local Per Capita Result]]),0)&gt;0,IFERROR(SEARCH("Met",tblMoeHistory[[#This Row],[State and Local Total Result]]),0)&gt;0),"Met","Not Met")</f>
        <v>Met</v>
      </c>
    </row>
    <row r="1566" spans="1:22" x14ac:dyDescent="0.35">
      <c r="A1566" t="s">
        <v>208</v>
      </c>
      <c r="B1566">
        <v>2204</v>
      </c>
      <c r="C1566" t="s">
        <v>16</v>
      </c>
      <c r="D1566">
        <v>143</v>
      </c>
      <c r="E1566">
        <v>1342554.35</v>
      </c>
      <c r="F1566">
        <v>231051.24</v>
      </c>
      <c r="G1566">
        <f>tblMoeHistory[[#This Row],[LEA State and Local Amount]]+tblMoeHistory[[#This Row],[ESD State and Local Amount]]</f>
        <v>1573605.59</v>
      </c>
      <c r="H1566">
        <v>0</v>
      </c>
      <c r="I1566" t="s">
        <v>241</v>
      </c>
      <c r="J1566" s="44">
        <f>IFERROR(tblMoeHistory[[#This Row],[LEA State and Local Amount]]/tblMoeHistory[[#This Row],[Child Count]],0)</f>
        <v>9388.4919580419592</v>
      </c>
      <c r="K1566">
        <f>IFERROR(tblMoeHistory[[#This Row],[ESD State and Local Amount]]/tblMoeHistory[[#This Row],[Child Count]],0)</f>
        <v>1615.742937062937</v>
      </c>
      <c r="L1566" s="1">
        <f>IFERROR(tblMoeHistory[[#This Row],[State and Local Total Amount]]/tblMoeHistory[[#This Row],[Child Count]],0)</f>
        <v>11004.234895104895</v>
      </c>
      <c r="M1566">
        <v>0</v>
      </c>
      <c r="N1566" t="s">
        <v>241</v>
      </c>
      <c r="O1566">
        <v>183048.44</v>
      </c>
      <c r="P1566">
        <v>1101.52</v>
      </c>
      <c r="Q1566">
        <f>tblMoeHistory[[#This Row],[Amount of IDEA Part B, Section 611 award]]+tblMoeHistory[[#This Row],[Amount of IDEA Part B, Section 619 award]]</f>
        <v>184149.96</v>
      </c>
      <c r="U15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6" t="str">
        <f>IF(OR(IFERROR(SEARCH("Met",tblMoeHistory[[#This Row],[State and Local Per Capita Result]]),0)&gt;0,IFERROR(SEARCH("Met",tblMoeHistory[[#This Row],[State and Local Total Result]]),0)&gt;0),"Met","Not Met")</f>
        <v>Met</v>
      </c>
    </row>
    <row r="1567" spans="1:22" x14ac:dyDescent="0.35">
      <c r="A1567" t="s">
        <v>209</v>
      </c>
      <c r="B1567">
        <v>2213</v>
      </c>
      <c r="C1567" t="s">
        <v>16</v>
      </c>
      <c r="D1567">
        <v>38</v>
      </c>
      <c r="E1567">
        <v>332536.39</v>
      </c>
      <c r="F1567">
        <v>122813.82</v>
      </c>
      <c r="G1567">
        <f>tblMoeHistory[[#This Row],[LEA State and Local Amount]]+tblMoeHistory[[#This Row],[ESD State and Local Amount]]</f>
        <v>455350.21</v>
      </c>
      <c r="H1567">
        <v>4762.6099999999997</v>
      </c>
      <c r="I1567" t="s">
        <v>240</v>
      </c>
      <c r="J1567" s="44">
        <f>IFERROR(tblMoeHistory[[#This Row],[LEA State and Local Amount]]/tblMoeHistory[[#This Row],[Child Count]],0)</f>
        <v>8750.9576315789473</v>
      </c>
      <c r="K1567">
        <f>IFERROR(tblMoeHistory[[#This Row],[ESD State and Local Amount]]/tblMoeHistory[[#This Row],[Child Count]],0)</f>
        <v>3231.9426315789474</v>
      </c>
      <c r="L1567" s="1">
        <f>IFERROR(tblMoeHistory[[#This Row],[State and Local Total Amount]]/tblMoeHistory[[#This Row],[Child Count]],0)</f>
        <v>11982.900263157895</v>
      </c>
      <c r="M1567">
        <v>4762.53</v>
      </c>
      <c r="N1567" t="s">
        <v>240</v>
      </c>
      <c r="O1567">
        <v>60809.79</v>
      </c>
      <c r="P1567">
        <v>121.3</v>
      </c>
      <c r="Q1567">
        <f>tblMoeHistory[[#This Row],[Amount of IDEA Part B, Section 611 award]]+tblMoeHistory[[#This Row],[Amount of IDEA Part B, Section 619 award]]</f>
        <v>60931.090000000004</v>
      </c>
      <c r="S1567">
        <v>0</v>
      </c>
      <c r="T1567">
        <v>0</v>
      </c>
      <c r="U15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4762.53</v>
      </c>
      <c r="V1567" t="str">
        <f>IF(OR(IFERROR(SEARCH("Met",tblMoeHistory[[#This Row],[State and Local Per Capita Result]]),0)&gt;0,IFERROR(SEARCH("Met",tblMoeHistory[[#This Row],[State and Local Total Result]]),0)&gt;0),"Met","Not Met")</f>
        <v>Not Met</v>
      </c>
    </row>
    <row r="1568" spans="1:22" x14ac:dyDescent="0.35">
      <c r="A1568" t="s">
        <v>210</v>
      </c>
      <c r="B1568">
        <v>2116</v>
      </c>
      <c r="C1568" t="s">
        <v>16</v>
      </c>
      <c r="D1568">
        <v>114</v>
      </c>
      <c r="E1568">
        <v>873664.29</v>
      </c>
      <c r="F1568">
        <v>271099.12</v>
      </c>
      <c r="G1568">
        <f>tblMoeHistory[[#This Row],[LEA State and Local Amount]]+tblMoeHistory[[#This Row],[ESD State and Local Amount]]</f>
        <v>1144763.4100000001</v>
      </c>
      <c r="H1568">
        <v>0</v>
      </c>
      <c r="I1568" t="s">
        <v>241</v>
      </c>
      <c r="J1568" s="44">
        <f>IFERROR(tblMoeHistory[[#This Row],[LEA State and Local Amount]]/tblMoeHistory[[#This Row],[Child Count]],0)</f>
        <v>7663.7218421052639</v>
      </c>
      <c r="K1568">
        <f>IFERROR(tblMoeHistory[[#This Row],[ESD State and Local Amount]]/tblMoeHistory[[#This Row],[Child Count]],0)</f>
        <v>2378.0624561403511</v>
      </c>
      <c r="L1568" s="1">
        <f>IFERROR(tblMoeHistory[[#This Row],[State and Local Total Amount]]/tblMoeHistory[[#This Row],[Child Count]],0)</f>
        <v>10041.784298245615</v>
      </c>
      <c r="M1568">
        <v>0</v>
      </c>
      <c r="N1568" t="s">
        <v>241</v>
      </c>
      <c r="O1568">
        <v>182984.12</v>
      </c>
      <c r="P1568">
        <v>517.54</v>
      </c>
      <c r="Q1568">
        <f>tblMoeHistory[[#This Row],[Amount of IDEA Part B, Section 611 award]]+tblMoeHistory[[#This Row],[Amount of IDEA Part B, Section 619 award]]</f>
        <v>183501.66</v>
      </c>
      <c r="U15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8" t="str">
        <f>IF(OR(IFERROR(SEARCH("Met",tblMoeHistory[[#This Row],[State and Local Per Capita Result]]),0)&gt;0,IFERROR(SEARCH("Met",tblMoeHistory[[#This Row],[State and Local Total Result]]),0)&gt;0),"Met","Not Met")</f>
        <v>Met</v>
      </c>
    </row>
    <row r="1569" spans="1:22" x14ac:dyDescent="0.35">
      <c r="A1569" t="s">
        <v>211</v>
      </c>
      <c r="B1569">
        <v>1947</v>
      </c>
      <c r="C1569" t="s">
        <v>16</v>
      </c>
      <c r="D1569">
        <v>93</v>
      </c>
      <c r="E1569">
        <v>1228040.49</v>
      </c>
      <c r="F1569">
        <v>80626</v>
      </c>
      <c r="G1569">
        <f>tblMoeHistory[[#This Row],[LEA State and Local Amount]]+tblMoeHistory[[#This Row],[ESD State and Local Amount]]</f>
        <v>1308666.49</v>
      </c>
      <c r="H1569">
        <v>0</v>
      </c>
      <c r="I1569" t="s">
        <v>241</v>
      </c>
      <c r="J1569" s="44">
        <f>IFERROR(tblMoeHistory[[#This Row],[LEA State and Local Amount]]/tblMoeHistory[[#This Row],[Child Count]],0)</f>
        <v>13204.736451612904</v>
      </c>
      <c r="K1569">
        <f>IFERROR(tblMoeHistory[[#This Row],[ESD State and Local Amount]]/tblMoeHistory[[#This Row],[Child Count]],0)</f>
        <v>866.94623655913983</v>
      </c>
      <c r="L1569" s="1">
        <f>IFERROR(tblMoeHistory[[#This Row],[State and Local Total Amount]]/tblMoeHistory[[#This Row],[Child Count]],0)</f>
        <v>14071.682688172043</v>
      </c>
      <c r="M1569">
        <v>105981.1</v>
      </c>
      <c r="N1569" t="s">
        <v>240</v>
      </c>
      <c r="O1569">
        <v>112123.71</v>
      </c>
      <c r="P1569">
        <v>2001.42</v>
      </c>
      <c r="Q1569">
        <f>tblMoeHistory[[#This Row],[Amount of IDEA Part B, Section 611 award]]+tblMoeHistory[[#This Row],[Amount of IDEA Part B, Section 619 award]]</f>
        <v>114125.13</v>
      </c>
      <c r="T1569">
        <v>0</v>
      </c>
      <c r="U15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9" t="str">
        <f>IF(OR(IFERROR(SEARCH("Met",tblMoeHistory[[#This Row],[State and Local Per Capita Result]]),0)&gt;0,IFERROR(SEARCH("Met",tblMoeHistory[[#This Row],[State and Local Total Result]]),0)&gt;0),"Met","Not Met")</f>
        <v>Met</v>
      </c>
    </row>
    <row r="1570" spans="1:22" x14ac:dyDescent="0.35">
      <c r="A1570" t="s">
        <v>212</v>
      </c>
      <c r="B1570">
        <v>2220</v>
      </c>
      <c r="C1570" t="s">
        <v>16</v>
      </c>
      <c r="D1570">
        <v>29</v>
      </c>
      <c r="E1570">
        <v>62888.98</v>
      </c>
      <c r="F1570">
        <v>154166.19</v>
      </c>
      <c r="G1570">
        <f>tblMoeHistory[[#This Row],[LEA State and Local Amount]]+tblMoeHistory[[#This Row],[ESD State and Local Amount]]</f>
        <v>217055.17</v>
      </c>
      <c r="H1570">
        <v>0</v>
      </c>
      <c r="I1570" t="s">
        <v>242</v>
      </c>
      <c r="J1570" s="44">
        <f>IFERROR(tblMoeHistory[[#This Row],[LEA State and Local Amount]]/tblMoeHistory[[#This Row],[Child Count]],0)</f>
        <v>2168.5855172413794</v>
      </c>
      <c r="K1570">
        <f>IFERROR(tblMoeHistory[[#This Row],[ESD State and Local Amount]]/tblMoeHistory[[#This Row],[Child Count]],0)</f>
        <v>5316.0755172413792</v>
      </c>
      <c r="L1570" s="1">
        <f>IFERROR(tblMoeHistory[[#This Row],[State and Local Total Amount]]/tblMoeHistory[[#This Row],[Child Count]],0)</f>
        <v>7484.6610344827586</v>
      </c>
      <c r="M1570">
        <v>0</v>
      </c>
      <c r="N1570" t="s">
        <v>241</v>
      </c>
      <c r="O1570">
        <v>54883</v>
      </c>
      <c r="P1570">
        <v>485.19</v>
      </c>
      <c r="Q1570">
        <f>tblMoeHistory[[#This Row],[Amount of IDEA Part B, Section 611 award]]+tblMoeHistory[[#This Row],[Amount of IDEA Part B, Section 619 award]]</f>
        <v>55368.19</v>
      </c>
      <c r="S1570">
        <v>55200.7</v>
      </c>
      <c r="U15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0" t="str">
        <f>IF(OR(IFERROR(SEARCH("Met",tblMoeHistory[[#This Row],[State and Local Per Capita Result]]),0)&gt;0,IFERROR(SEARCH("Met",tblMoeHistory[[#This Row],[State and Local Total Result]]),0)&gt;0),"Met","Not Met")</f>
        <v>Met</v>
      </c>
    </row>
    <row r="1571" spans="1:22" x14ac:dyDescent="0.35">
      <c r="A1571" t="s">
        <v>213</v>
      </c>
      <c r="B1571">
        <v>1936</v>
      </c>
      <c r="C1571" t="s">
        <v>16</v>
      </c>
      <c r="D1571">
        <v>152</v>
      </c>
      <c r="E1571">
        <v>1541834.72</v>
      </c>
      <c r="F1571">
        <v>353075</v>
      </c>
      <c r="G1571">
        <f>tblMoeHistory[[#This Row],[LEA State and Local Amount]]+tblMoeHistory[[#This Row],[ESD State and Local Amount]]</f>
        <v>1894909.72</v>
      </c>
      <c r="H1571">
        <v>0</v>
      </c>
      <c r="I1571" t="s">
        <v>241</v>
      </c>
      <c r="J1571" s="44">
        <f>IFERROR(tblMoeHistory[[#This Row],[LEA State and Local Amount]]/tblMoeHistory[[#This Row],[Child Count]],0)</f>
        <v>10143.649473684211</v>
      </c>
      <c r="K1571">
        <f>IFERROR(tblMoeHistory[[#This Row],[ESD State and Local Amount]]/tblMoeHistory[[#This Row],[Child Count]],0)</f>
        <v>2322.8618421052633</v>
      </c>
      <c r="L1571" s="1">
        <f>IFERROR(tblMoeHistory[[#This Row],[State and Local Total Amount]]/tblMoeHistory[[#This Row],[Child Count]],0)</f>
        <v>12466.511315789474</v>
      </c>
      <c r="M1571">
        <v>0</v>
      </c>
      <c r="N1571" t="s">
        <v>241</v>
      </c>
      <c r="O1571">
        <v>149123.14000000001</v>
      </c>
      <c r="P1571">
        <v>1347.76</v>
      </c>
      <c r="Q1571">
        <f>tblMoeHistory[[#This Row],[Amount of IDEA Part B, Section 611 award]]+tblMoeHistory[[#This Row],[Amount of IDEA Part B, Section 619 award]]</f>
        <v>150470.90000000002</v>
      </c>
      <c r="U15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1" t="str">
        <f>IF(OR(IFERROR(SEARCH("Met",tblMoeHistory[[#This Row],[State and Local Per Capita Result]]),0)&gt;0,IFERROR(SEARCH("Met",tblMoeHistory[[#This Row],[State and Local Total Result]]),0)&gt;0),"Met","Not Met")</f>
        <v>Met</v>
      </c>
    </row>
    <row r="1572" spans="1:22" x14ac:dyDescent="0.35">
      <c r="A1572" t="s">
        <v>214</v>
      </c>
      <c r="B1572">
        <v>1922</v>
      </c>
      <c r="C1572" t="s">
        <v>16</v>
      </c>
      <c r="D1572">
        <v>1038</v>
      </c>
      <c r="E1572">
        <v>11449076.9</v>
      </c>
      <c r="F1572">
        <v>53133</v>
      </c>
      <c r="G1572">
        <f>tblMoeHistory[[#This Row],[LEA State and Local Amount]]+tblMoeHistory[[#This Row],[ESD State and Local Amount]]</f>
        <v>11502209.9</v>
      </c>
      <c r="H1572">
        <v>0</v>
      </c>
      <c r="I1572" t="s">
        <v>241</v>
      </c>
      <c r="J1572" s="44">
        <f>IFERROR(tblMoeHistory[[#This Row],[LEA State and Local Amount]]/tblMoeHistory[[#This Row],[Child Count]],0)</f>
        <v>11029.939210019269</v>
      </c>
      <c r="K1572">
        <f>IFERROR(tblMoeHistory[[#This Row],[ESD State and Local Amount]]/tblMoeHistory[[#This Row],[Child Count]],0)</f>
        <v>51.187861271676297</v>
      </c>
      <c r="L1572" s="1">
        <f>IFERROR(tblMoeHistory[[#This Row],[State and Local Total Amount]]/tblMoeHistory[[#This Row],[Child Count]],0)</f>
        <v>11081.127071290945</v>
      </c>
      <c r="M1572">
        <v>0</v>
      </c>
      <c r="N1572" t="s">
        <v>241</v>
      </c>
      <c r="O1572">
        <v>1300602.01</v>
      </c>
      <c r="P1572">
        <v>8441.41</v>
      </c>
      <c r="Q1572">
        <f>tblMoeHistory[[#This Row],[Amount of IDEA Part B, Section 611 award]]+tblMoeHistory[[#This Row],[Amount of IDEA Part B, Section 619 award]]</f>
        <v>1309043.42</v>
      </c>
      <c r="U15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2" t="str">
        <f>IF(OR(IFERROR(SEARCH("Met",tblMoeHistory[[#This Row],[State and Local Per Capita Result]]),0)&gt;0,IFERROR(SEARCH("Met",tblMoeHistory[[#This Row],[State and Local Total Result]]),0)&gt;0),"Met","Not Met")</f>
        <v>Met</v>
      </c>
    </row>
    <row r="1573" spans="1:22" x14ac:dyDescent="0.35">
      <c r="A1573" t="s">
        <v>215</v>
      </c>
      <c r="B1573">
        <v>2255</v>
      </c>
      <c r="C1573" t="s">
        <v>16</v>
      </c>
      <c r="D1573">
        <v>163</v>
      </c>
      <c r="E1573">
        <v>1018619.39</v>
      </c>
      <c r="F1573">
        <v>33039.5</v>
      </c>
      <c r="G1573">
        <f>tblMoeHistory[[#This Row],[LEA State and Local Amount]]+tblMoeHistory[[#This Row],[ESD State and Local Amount]]</f>
        <v>1051658.8900000001</v>
      </c>
      <c r="H1573">
        <v>0</v>
      </c>
      <c r="I1573" t="s">
        <v>241</v>
      </c>
      <c r="J1573" s="44">
        <f>IFERROR(tblMoeHistory[[#This Row],[LEA State and Local Amount]]/tblMoeHistory[[#This Row],[Child Count]],0)</f>
        <v>6249.1987116564414</v>
      </c>
      <c r="K1573">
        <f>IFERROR(tblMoeHistory[[#This Row],[ESD State and Local Amount]]/tblMoeHistory[[#This Row],[Child Count]],0)</f>
        <v>202.69631901840492</v>
      </c>
      <c r="L1573" s="1">
        <f>IFERROR(tblMoeHistory[[#This Row],[State and Local Total Amount]]/tblMoeHistory[[#This Row],[Child Count]],0)</f>
        <v>6451.8950306748475</v>
      </c>
      <c r="M1573">
        <v>432881.63</v>
      </c>
      <c r="N1573" t="s">
        <v>240</v>
      </c>
      <c r="O1573">
        <v>208460.41</v>
      </c>
      <c r="P1573">
        <v>3806.89</v>
      </c>
      <c r="Q1573">
        <f>tblMoeHistory[[#This Row],[Amount of IDEA Part B, Section 611 award]]+tblMoeHistory[[#This Row],[Amount of IDEA Part B, Section 619 award]]</f>
        <v>212267.30000000002</v>
      </c>
      <c r="T1573">
        <v>0</v>
      </c>
      <c r="U15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3" t="str">
        <f>IF(OR(IFERROR(SEARCH("Met",tblMoeHistory[[#This Row],[State and Local Per Capita Result]]),0)&gt;0,IFERROR(SEARCH("Met",tblMoeHistory[[#This Row],[State and Local Total Result]]),0)&gt;0),"Met","Not Met")</f>
        <v>Met</v>
      </c>
    </row>
    <row r="1574" spans="1:22" x14ac:dyDescent="0.35">
      <c r="A1574" t="s">
        <v>216</v>
      </c>
      <c r="B1574">
        <v>2002</v>
      </c>
      <c r="C1574" t="s">
        <v>16</v>
      </c>
      <c r="D1574">
        <v>183</v>
      </c>
      <c r="E1574">
        <v>1381888.04</v>
      </c>
      <c r="F1574">
        <v>306992.03000000003</v>
      </c>
      <c r="G1574">
        <f>tblMoeHistory[[#This Row],[LEA State and Local Amount]]+tblMoeHistory[[#This Row],[ESD State and Local Amount]]</f>
        <v>1688880.07</v>
      </c>
      <c r="H1574">
        <v>0</v>
      </c>
      <c r="I1574" t="s">
        <v>241</v>
      </c>
      <c r="J1574" s="44">
        <f>IFERROR(tblMoeHistory[[#This Row],[LEA State and Local Amount]]/tblMoeHistory[[#This Row],[Child Count]],0)</f>
        <v>7551.300765027323</v>
      </c>
      <c r="K1574">
        <f>IFERROR(tblMoeHistory[[#This Row],[ESD State and Local Amount]]/tblMoeHistory[[#This Row],[Child Count]],0)</f>
        <v>1677.5520765027325</v>
      </c>
      <c r="L1574" s="1">
        <f>IFERROR(tblMoeHistory[[#This Row],[State and Local Total Amount]]/tblMoeHistory[[#This Row],[Child Count]],0)</f>
        <v>9228.8528415300552</v>
      </c>
      <c r="M1574">
        <v>0</v>
      </c>
      <c r="N1574" t="s">
        <v>242</v>
      </c>
      <c r="O1574">
        <v>258869.54</v>
      </c>
      <c r="P1574">
        <v>3179.56</v>
      </c>
      <c r="Q1574">
        <f>tblMoeHistory[[#This Row],[Amount of IDEA Part B, Section 611 award]]+tblMoeHistory[[#This Row],[Amount of IDEA Part B, Section 619 award]]</f>
        <v>262049.1</v>
      </c>
      <c r="T1574">
        <v>602.19000000000005</v>
      </c>
      <c r="U15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4" t="str">
        <f>IF(OR(IFERROR(SEARCH("Met",tblMoeHistory[[#This Row],[State and Local Per Capita Result]]),0)&gt;0,IFERROR(SEARCH("Met",tblMoeHistory[[#This Row],[State and Local Total Result]]),0)&gt;0),"Met","Not Met")</f>
        <v>Met</v>
      </c>
    </row>
    <row r="1575" spans="1:22" x14ac:dyDescent="0.35">
      <c r="A1575" t="s">
        <v>217</v>
      </c>
      <c r="B1575">
        <v>2146</v>
      </c>
      <c r="C1575" t="s">
        <v>16</v>
      </c>
      <c r="D1575">
        <v>793</v>
      </c>
      <c r="E1575">
        <v>7092948.9000000004</v>
      </c>
      <c r="F1575">
        <v>578310.9</v>
      </c>
      <c r="G1575">
        <f>tblMoeHistory[[#This Row],[LEA State and Local Amount]]+tblMoeHistory[[#This Row],[ESD State and Local Amount]]</f>
        <v>7671259.8000000007</v>
      </c>
      <c r="H1575">
        <v>0</v>
      </c>
      <c r="I1575" t="s">
        <v>241</v>
      </c>
      <c r="J1575" s="44">
        <f>IFERROR(tblMoeHistory[[#This Row],[LEA State and Local Amount]]/tblMoeHistory[[#This Row],[Child Count]],0)</f>
        <v>8944.4500630517032</v>
      </c>
      <c r="K1575">
        <f>IFERROR(tblMoeHistory[[#This Row],[ESD State and Local Amount]]/tblMoeHistory[[#This Row],[Child Count]],0)</f>
        <v>729.26973518285001</v>
      </c>
      <c r="L1575" s="1">
        <f>IFERROR(tblMoeHistory[[#This Row],[State and Local Total Amount]]/tblMoeHistory[[#This Row],[Child Count]],0)</f>
        <v>9673.7197982345533</v>
      </c>
      <c r="M1575">
        <v>0</v>
      </c>
      <c r="N1575" t="s">
        <v>241</v>
      </c>
      <c r="O1575">
        <v>838777.16</v>
      </c>
      <c r="P1575">
        <v>4174.79</v>
      </c>
      <c r="Q1575">
        <f>tblMoeHistory[[#This Row],[Amount of IDEA Part B, Section 611 award]]+tblMoeHistory[[#This Row],[Amount of IDEA Part B, Section 619 award]]</f>
        <v>842951.95000000007</v>
      </c>
      <c r="U15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5" t="str">
        <f>IF(OR(IFERROR(SEARCH("Met",tblMoeHistory[[#This Row],[State and Local Per Capita Result]]),0)&gt;0,IFERROR(SEARCH("Met",tblMoeHistory[[#This Row],[State and Local Total Result]]),0)&gt;0),"Met","Not Met")</f>
        <v>Met</v>
      </c>
    </row>
    <row r="1576" spans="1:22" x14ac:dyDescent="0.35">
      <c r="A1576" t="s">
        <v>218</v>
      </c>
      <c r="B1576">
        <v>2251</v>
      </c>
      <c r="C1576" t="s">
        <v>16</v>
      </c>
      <c r="D1576">
        <v>136</v>
      </c>
      <c r="E1576">
        <v>1522097.72</v>
      </c>
      <c r="F1576">
        <v>134622.35999999999</v>
      </c>
      <c r="G1576">
        <f>tblMoeHistory[[#This Row],[LEA State and Local Amount]]+tblMoeHistory[[#This Row],[ESD State and Local Amount]]</f>
        <v>1656720.08</v>
      </c>
      <c r="H1576">
        <v>0</v>
      </c>
      <c r="I1576" t="s">
        <v>241</v>
      </c>
      <c r="J1576" s="44">
        <f>IFERROR(tblMoeHistory[[#This Row],[LEA State and Local Amount]]/tblMoeHistory[[#This Row],[Child Count]],0)</f>
        <v>11191.895</v>
      </c>
      <c r="K1576">
        <f>IFERROR(tblMoeHistory[[#This Row],[ESD State and Local Amount]]/tblMoeHistory[[#This Row],[Child Count]],0)</f>
        <v>989.87029411764695</v>
      </c>
      <c r="L1576" s="1">
        <f>IFERROR(tblMoeHistory[[#This Row],[State and Local Total Amount]]/tblMoeHistory[[#This Row],[Child Count]],0)</f>
        <v>12181.765294117647</v>
      </c>
      <c r="M1576">
        <v>0</v>
      </c>
      <c r="N1576" t="s">
        <v>241</v>
      </c>
      <c r="O1576">
        <v>182709.98</v>
      </c>
      <c r="P1576">
        <v>447.87</v>
      </c>
      <c r="Q1576">
        <f>tblMoeHistory[[#This Row],[Amount of IDEA Part B, Section 611 award]]+tblMoeHistory[[#This Row],[Amount of IDEA Part B, Section 619 award]]</f>
        <v>183157.85</v>
      </c>
      <c r="U15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6" t="str">
        <f>IF(OR(IFERROR(SEARCH("Met",tblMoeHistory[[#This Row],[State and Local Per Capita Result]]),0)&gt;0,IFERROR(SEARCH("Met",tblMoeHistory[[#This Row],[State and Local Total Result]]),0)&gt;0),"Met","Not Met")</f>
        <v>Met</v>
      </c>
    </row>
    <row r="1577" spans="1:22" x14ac:dyDescent="0.35">
      <c r="A1577" t="s">
        <v>219</v>
      </c>
      <c r="B1577">
        <v>1997</v>
      </c>
      <c r="C1577" t="s">
        <v>16</v>
      </c>
      <c r="D1577">
        <v>30</v>
      </c>
      <c r="E1577">
        <v>255721.47</v>
      </c>
      <c r="F1577">
        <v>60202.03</v>
      </c>
      <c r="G1577">
        <f>tblMoeHistory[[#This Row],[LEA State and Local Amount]]+tblMoeHistory[[#This Row],[ESD State and Local Amount]]</f>
        <v>315923.5</v>
      </c>
      <c r="H1577">
        <v>0</v>
      </c>
      <c r="I1577" t="s">
        <v>241</v>
      </c>
      <c r="J1577" s="44">
        <f>IFERROR(tblMoeHistory[[#This Row],[LEA State and Local Amount]]/tblMoeHistory[[#This Row],[Child Count]],0)</f>
        <v>8524.0490000000009</v>
      </c>
      <c r="K1577">
        <f>IFERROR(tblMoeHistory[[#This Row],[ESD State and Local Amount]]/tblMoeHistory[[#This Row],[Child Count]],0)</f>
        <v>2006.7343333333333</v>
      </c>
      <c r="L1577" s="1">
        <f>IFERROR(tblMoeHistory[[#This Row],[State and Local Total Amount]]/tblMoeHistory[[#This Row],[Child Count]],0)</f>
        <v>10530.783333333333</v>
      </c>
      <c r="M1577">
        <v>0</v>
      </c>
      <c r="N1577" t="s">
        <v>241</v>
      </c>
      <c r="O1577">
        <v>55323.05</v>
      </c>
      <c r="P1577">
        <v>970.38</v>
      </c>
      <c r="Q1577">
        <f>tblMoeHistory[[#This Row],[Amount of IDEA Part B, Section 611 award]]+tblMoeHistory[[#This Row],[Amount of IDEA Part B, Section 619 award]]</f>
        <v>56293.43</v>
      </c>
      <c r="U15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7" t="str">
        <f>IF(OR(IFERROR(SEARCH("Met",tblMoeHistory[[#This Row],[State and Local Per Capita Result]]),0)&gt;0,IFERROR(SEARCH("Met",tblMoeHistory[[#This Row],[State and Local Total Result]]),0)&gt;0),"Met","Not Met")</f>
        <v>Met</v>
      </c>
    </row>
    <row r="1578" spans="1:22" x14ac:dyDescent="0.35">
      <c r="A1578" t="s">
        <v>14</v>
      </c>
      <c r="B1578">
        <v>2063</v>
      </c>
      <c r="C1578" t="s">
        <v>243</v>
      </c>
      <c r="D1578">
        <v>2</v>
      </c>
      <c r="E1578">
        <v>3613.92</v>
      </c>
      <c r="F1578">
        <v>30837.43</v>
      </c>
      <c r="G1578">
        <f>tblMoeHistory[[#This Row],[LEA State and Local Amount]]+tblMoeHistory[[#This Row],[ESD State and Local Amount]]</f>
        <v>34451.35</v>
      </c>
      <c r="H1578">
        <v>0</v>
      </c>
      <c r="I1578" t="s">
        <v>241</v>
      </c>
      <c r="J1578" s="44">
        <f>IFERROR(tblMoeHistory[[#This Row],[LEA State and Local Amount]]/tblMoeHistory[[#This Row],[Child Count]],0)</f>
        <v>1806.96</v>
      </c>
      <c r="K1578">
        <f>IFERROR(tblMoeHistory[[#This Row],[ESD State and Local Amount]]/tblMoeHistory[[#This Row],[Child Count]],0)</f>
        <v>15418.715</v>
      </c>
      <c r="L1578" s="1">
        <f>IFERROR(tblMoeHistory[[#This Row],[State and Local Total Amount]]/tblMoeHistory[[#This Row],[Child Count]],0)</f>
        <v>17225.674999999999</v>
      </c>
      <c r="M1578">
        <v>30370.810000000005</v>
      </c>
      <c r="N1578" t="s">
        <v>240</v>
      </c>
      <c r="O1578">
        <v>2629.9</v>
      </c>
      <c r="P1578">
        <v>502.42</v>
      </c>
      <c r="Q1578">
        <f>tblMoeHistory[[#This Row],[Amount of IDEA Part B, Section 611 award]]+tblMoeHistory[[#This Row],[Amount of IDEA Part B, Section 619 award]]</f>
        <v>3132.32</v>
      </c>
      <c r="T1578">
        <v>0</v>
      </c>
      <c r="U15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8" t="str">
        <f>IF(OR(IFERROR(SEARCH("Met",tblMoeHistory[[#This Row],[State and Local Per Capita Result]]),0)&gt;0,IFERROR(SEARCH("Met",tblMoeHistory[[#This Row],[State and Local Total Result]]),0)&gt;0),"Met","Not Met")</f>
        <v>Met</v>
      </c>
    </row>
    <row r="1579" spans="1:22" x14ac:dyDescent="0.35">
      <c r="A1579" t="s">
        <v>17</v>
      </c>
      <c r="B1579">
        <v>2113</v>
      </c>
      <c r="C1579" t="s">
        <v>243</v>
      </c>
      <c r="D1579">
        <v>42</v>
      </c>
      <c r="E1579">
        <v>228172.7</v>
      </c>
      <c r="F1579">
        <v>125433.99</v>
      </c>
      <c r="G1579">
        <f>tblMoeHistory[[#This Row],[LEA State and Local Amount]]+tblMoeHistory[[#This Row],[ESD State and Local Amount]]</f>
        <v>353606.69</v>
      </c>
      <c r="H1579">
        <v>0</v>
      </c>
      <c r="I1579" t="s">
        <v>241</v>
      </c>
      <c r="J1579" s="44">
        <f>IFERROR(tblMoeHistory[[#This Row],[LEA State and Local Amount]]/tblMoeHistory[[#This Row],[Child Count]],0)</f>
        <v>5432.6833333333334</v>
      </c>
      <c r="K1579">
        <f>IFERROR(tblMoeHistory[[#This Row],[ESD State and Local Amount]]/tblMoeHistory[[#This Row],[Child Count]],0)</f>
        <v>2986.5235714285714</v>
      </c>
      <c r="L1579" s="1">
        <f>IFERROR(tblMoeHistory[[#This Row],[State and Local Total Amount]]/tblMoeHistory[[#This Row],[Child Count]],0)</f>
        <v>8419.2069047619043</v>
      </c>
      <c r="M1579">
        <v>0</v>
      </c>
      <c r="N1579" t="s">
        <v>242</v>
      </c>
      <c r="O1579">
        <v>59590.12</v>
      </c>
      <c r="P1579">
        <v>0</v>
      </c>
      <c r="Q1579">
        <f>tblMoeHistory[[#This Row],[Amount of IDEA Part B, Section 611 award]]+tblMoeHistory[[#This Row],[Amount of IDEA Part B, Section 619 award]]</f>
        <v>59590.12</v>
      </c>
      <c r="T1579">
        <v>2631.94</v>
      </c>
      <c r="U15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9" t="str">
        <f>IF(OR(IFERROR(SEARCH("Met",tblMoeHistory[[#This Row],[State and Local Per Capita Result]]),0)&gt;0,IFERROR(SEARCH("Met",tblMoeHistory[[#This Row],[State and Local Total Result]]),0)&gt;0),"Met","Not Met")</f>
        <v>Met</v>
      </c>
    </row>
    <row r="1580" spans="1:22" x14ac:dyDescent="0.35">
      <c r="A1580" t="s">
        <v>20</v>
      </c>
      <c r="B1580">
        <v>1899</v>
      </c>
      <c r="C1580" t="s">
        <v>243</v>
      </c>
      <c r="D1580">
        <v>37</v>
      </c>
      <c r="E1580">
        <v>284915.44</v>
      </c>
      <c r="F1580">
        <v>59337</v>
      </c>
      <c r="G1580">
        <f>tblMoeHistory[[#This Row],[LEA State and Local Amount]]+tblMoeHistory[[#This Row],[ESD State and Local Amount]]</f>
        <v>344252.44</v>
      </c>
      <c r="H1580">
        <v>0</v>
      </c>
      <c r="I1580" t="s">
        <v>241</v>
      </c>
      <c r="J1580" s="44">
        <f>IFERROR(tblMoeHistory[[#This Row],[LEA State and Local Amount]]/tblMoeHistory[[#This Row],[Child Count]],0)</f>
        <v>7700.4172972972974</v>
      </c>
      <c r="K1580">
        <f>IFERROR(tblMoeHistory[[#This Row],[ESD State and Local Amount]]/tblMoeHistory[[#This Row],[Child Count]],0)</f>
        <v>1603.7027027027027</v>
      </c>
      <c r="L1580" s="1">
        <f>IFERROR(tblMoeHistory[[#This Row],[State and Local Total Amount]]/tblMoeHistory[[#This Row],[Child Count]],0)</f>
        <v>9304.1200000000008</v>
      </c>
      <c r="M1580">
        <v>103929.61157894619</v>
      </c>
      <c r="N1580" t="s">
        <v>240</v>
      </c>
      <c r="O1580">
        <v>36220.19</v>
      </c>
      <c r="P1580">
        <v>753.63</v>
      </c>
      <c r="Q1580">
        <f>tblMoeHistory[[#This Row],[Amount of IDEA Part B, Section 611 award]]+tblMoeHistory[[#This Row],[Amount of IDEA Part B, Section 619 award]]</f>
        <v>36973.82</v>
      </c>
      <c r="T1580">
        <v>0</v>
      </c>
      <c r="U15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0" t="str">
        <f>IF(OR(IFERROR(SEARCH("Met",tblMoeHistory[[#This Row],[State and Local Per Capita Result]]),0)&gt;0,IFERROR(SEARCH("Met",tblMoeHistory[[#This Row],[State and Local Total Result]]),0)&gt;0),"Met","Not Met")</f>
        <v>Met</v>
      </c>
    </row>
    <row r="1581" spans="1:22" x14ac:dyDescent="0.35">
      <c r="A1581" t="s">
        <v>21</v>
      </c>
      <c r="B1581">
        <v>2252</v>
      </c>
      <c r="C1581" t="s">
        <v>243</v>
      </c>
      <c r="D1581">
        <v>129</v>
      </c>
      <c r="E1581">
        <v>697472.74</v>
      </c>
      <c r="F1581">
        <v>159172.35999999999</v>
      </c>
      <c r="G1581">
        <f>tblMoeHistory[[#This Row],[LEA State and Local Amount]]+tblMoeHistory[[#This Row],[ESD State and Local Amount]]</f>
        <v>856645.1</v>
      </c>
      <c r="H1581">
        <v>0</v>
      </c>
      <c r="I1581" t="s">
        <v>241</v>
      </c>
      <c r="J1581" s="44">
        <f>IFERROR(tblMoeHistory[[#This Row],[LEA State and Local Amount]]/tblMoeHistory[[#This Row],[Child Count]],0)</f>
        <v>5406.7654263565892</v>
      </c>
      <c r="K1581">
        <f>IFERROR(tblMoeHistory[[#This Row],[ESD State and Local Amount]]/tblMoeHistory[[#This Row],[Child Count]],0)</f>
        <v>1233.8942635658914</v>
      </c>
      <c r="L1581" s="1">
        <f>IFERROR(tblMoeHistory[[#This Row],[State and Local Total Amount]]/tblMoeHistory[[#This Row],[Child Count]],0)</f>
        <v>6640.6596899224805</v>
      </c>
      <c r="M1581">
        <v>112500.77718446634</v>
      </c>
      <c r="N1581" t="s">
        <v>240</v>
      </c>
      <c r="O1581">
        <v>141825.12</v>
      </c>
      <c r="P1581">
        <v>803.87</v>
      </c>
      <c r="Q1581">
        <f>tblMoeHistory[[#This Row],[Amount of IDEA Part B, Section 611 award]]+tblMoeHistory[[#This Row],[Amount of IDEA Part B, Section 619 award]]</f>
        <v>142628.99</v>
      </c>
      <c r="T1581">
        <v>446</v>
      </c>
      <c r="U15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1" t="str">
        <f>IF(OR(IFERROR(SEARCH("Met",tblMoeHistory[[#This Row],[State and Local Per Capita Result]]),0)&gt;0,IFERROR(SEARCH("Met",tblMoeHistory[[#This Row],[State and Local Total Result]]),0)&gt;0),"Met","Not Met")</f>
        <v>Met</v>
      </c>
    </row>
    <row r="1582" spans="1:22" x14ac:dyDescent="0.35">
      <c r="A1582" t="s">
        <v>23</v>
      </c>
      <c r="B1582">
        <v>2111</v>
      </c>
      <c r="C1582" t="s">
        <v>243</v>
      </c>
      <c r="D1582">
        <v>7</v>
      </c>
      <c r="E1582">
        <v>45507.51</v>
      </c>
      <c r="F1582">
        <v>32821.730000000003</v>
      </c>
      <c r="G1582">
        <f>tblMoeHistory[[#This Row],[LEA State and Local Amount]]+tblMoeHistory[[#This Row],[ESD State and Local Amount]]</f>
        <v>78329.240000000005</v>
      </c>
      <c r="H1582">
        <v>0</v>
      </c>
      <c r="I1582" t="s">
        <v>242</v>
      </c>
      <c r="J1582" s="44">
        <f>IFERROR(tblMoeHistory[[#This Row],[LEA State and Local Amount]]/tblMoeHistory[[#This Row],[Child Count]],0)</f>
        <v>6501.0728571428572</v>
      </c>
      <c r="K1582">
        <f>IFERROR(tblMoeHistory[[#This Row],[ESD State and Local Amount]]/tblMoeHistory[[#This Row],[Child Count]],0)</f>
        <v>4688.8185714285719</v>
      </c>
      <c r="L1582" s="1">
        <f>IFERROR(tblMoeHistory[[#This Row],[State and Local Total Amount]]/tblMoeHistory[[#This Row],[Child Count]],0)</f>
        <v>11189.891428571429</v>
      </c>
      <c r="M1582">
        <v>0</v>
      </c>
      <c r="N1582" t="s">
        <v>241</v>
      </c>
      <c r="O1582">
        <v>22097.26</v>
      </c>
      <c r="P1582">
        <v>0</v>
      </c>
      <c r="Q1582">
        <f>tblMoeHistory[[#This Row],[Amount of IDEA Part B, Section 611 award]]+tblMoeHistory[[#This Row],[Amount of IDEA Part B, Section 619 award]]</f>
        <v>22097.26</v>
      </c>
      <c r="S1582">
        <v>34975.03</v>
      </c>
      <c r="U15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2" t="str">
        <f>IF(OR(IFERROR(SEARCH("Met",tblMoeHistory[[#This Row],[State and Local Per Capita Result]]),0)&gt;0,IFERROR(SEARCH("Met",tblMoeHistory[[#This Row],[State and Local Total Result]]),0)&gt;0),"Met","Not Met")</f>
        <v>Met</v>
      </c>
    </row>
    <row r="1583" spans="1:22" x14ac:dyDescent="0.35">
      <c r="A1583" t="s">
        <v>24</v>
      </c>
      <c r="B1583">
        <v>2005</v>
      </c>
      <c r="C1583" t="s">
        <v>243</v>
      </c>
      <c r="D1583">
        <v>22</v>
      </c>
      <c r="E1583">
        <v>32801.599999999999</v>
      </c>
      <c r="F1583">
        <v>152513</v>
      </c>
      <c r="G1583">
        <f>tblMoeHistory[[#This Row],[LEA State and Local Amount]]+tblMoeHistory[[#This Row],[ESD State and Local Amount]]</f>
        <v>185314.6</v>
      </c>
      <c r="H1583">
        <v>0</v>
      </c>
      <c r="I1583" t="s">
        <v>242</v>
      </c>
      <c r="J1583" s="44">
        <f>IFERROR(tblMoeHistory[[#This Row],[LEA State and Local Amount]]/tblMoeHistory[[#This Row],[Child Count]],0)</f>
        <v>1490.9818181818182</v>
      </c>
      <c r="K1583">
        <f>IFERROR(tblMoeHistory[[#This Row],[ESD State and Local Amount]]/tblMoeHistory[[#This Row],[Child Count]],0)</f>
        <v>6932.409090909091</v>
      </c>
      <c r="L1583" s="1">
        <f>IFERROR(tblMoeHistory[[#This Row],[State and Local Total Amount]]/tblMoeHistory[[#This Row],[Child Count]],0)</f>
        <v>8423.3909090909092</v>
      </c>
      <c r="M1583">
        <v>0</v>
      </c>
      <c r="N1583" t="s">
        <v>242</v>
      </c>
      <c r="O1583">
        <v>25749.85</v>
      </c>
      <c r="P1583">
        <v>0</v>
      </c>
      <c r="Q1583">
        <f>tblMoeHistory[[#This Row],[Amount of IDEA Part B, Section 611 award]]+tblMoeHistory[[#This Row],[Amount of IDEA Part B, Section 619 award]]</f>
        <v>25749.85</v>
      </c>
      <c r="S1583">
        <v>39724.32</v>
      </c>
      <c r="T1583">
        <v>1727.14</v>
      </c>
      <c r="U15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3" t="str">
        <f>IF(OR(IFERROR(SEARCH("Met",tblMoeHistory[[#This Row],[State and Local Per Capita Result]]),0)&gt;0,IFERROR(SEARCH("Met",tblMoeHistory[[#This Row],[State and Local Total Result]]),0)&gt;0),"Met","Not Met")</f>
        <v>Met</v>
      </c>
    </row>
    <row r="1584" spans="1:22" x14ac:dyDescent="0.35">
      <c r="A1584" t="s">
        <v>25</v>
      </c>
      <c r="B1584">
        <v>2115</v>
      </c>
      <c r="C1584" t="s">
        <v>243</v>
      </c>
      <c r="D1584">
        <v>0</v>
      </c>
      <c r="E1584">
        <v>0</v>
      </c>
      <c r="F1584">
        <v>12484.71</v>
      </c>
      <c r="G1584">
        <f>tblMoeHistory[[#This Row],[LEA State and Local Amount]]+tblMoeHistory[[#This Row],[ESD State and Local Amount]]</f>
        <v>12484.71</v>
      </c>
      <c r="H1584">
        <v>0</v>
      </c>
      <c r="I1584" t="s">
        <v>241</v>
      </c>
      <c r="J1584" s="44">
        <f>IFERROR(tblMoeHistory[[#This Row],[LEA State and Local Amount]]/tblMoeHistory[[#This Row],[Child Count]],0)</f>
        <v>0</v>
      </c>
      <c r="K1584">
        <f>IFERROR(tblMoeHistory[[#This Row],[ESD State and Local Amount]]/tblMoeHistory[[#This Row],[Child Count]],0)</f>
        <v>0</v>
      </c>
      <c r="L1584" s="1">
        <f>IFERROR(tblMoeHistory[[#This Row],[State and Local Total Amount]]/tblMoeHistory[[#This Row],[Child Count]],0)</f>
        <v>0</v>
      </c>
      <c r="M1584">
        <v>0</v>
      </c>
      <c r="N1584" t="s">
        <v>240</v>
      </c>
      <c r="O1584">
        <v>3947.43</v>
      </c>
      <c r="P1584">
        <v>0</v>
      </c>
      <c r="Q1584">
        <f>tblMoeHistory[[#This Row],[Amount of IDEA Part B, Section 611 award]]+tblMoeHistory[[#This Row],[Amount of IDEA Part B, Section 619 award]]</f>
        <v>3947.43</v>
      </c>
      <c r="T1584">
        <v>1250.3499999999999</v>
      </c>
      <c r="U15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4" t="str">
        <f>IF(OR(IFERROR(SEARCH("Met",tblMoeHistory[[#This Row],[State and Local Per Capita Result]]),0)&gt;0,IFERROR(SEARCH("Met",tblMoeHistory[[#This Row],[State and Local Total Result]]),0)&gt;0),"Met","Not Met")</f>
        <v>Met</v>
      </c>
    </row>
    <row r="1585" spans="1:22" x14ac:dyDescent="0.35">
      <c r="A1585" t="s">
        <v>26</v>
      </c>
      <c r="B1585">
        <v>2041</v>
      </c>
      <c r="C1585" t="s">
        <v>243</v>
      </c>
      <c r="D1585">
        <v>335</v>
      </c>
      <c r="E1585">
        <v>2987254.3</v>
      </c>
      <c r="F1585">
        <v>444841.07</v>
      </c>
      <c r="G1585">
        <f>tblMoeHistory[[#This Row],[LEA State and Local Amount]]+tblMoeHistory[[#This Row],[ESD State and Local Amount]]</f>
        <v>3432095.3699999996</v>
      </c>
      <c r="H1585">
        <v>0</v>
      </c>
      <c r="I1585" t="s">
        <v>241</v>
      </c>
      <c r="J1585" s="44">
        <f>IFERROR(tblMoeHistory[[#This Row],[LEA State and Local Amount]]/tblMoeHistory[[#This Row],[Child Count]],0)</f>
        <v>8917.1770149253734</v>
      </c>
      <c r="K1585">
        <f>IFERROR(tblMoeHistory[[#This Row],[ESD State and Local Amount]]/tblMoeHistory[[#This Row],[Child Count]],0)</f>
        <v>1327.8837910447762</v>
      </c>
      <c r="L1585" s="1">
        <f>IFERROR(tblMoeHistory[[#This Row],[State and Local Total Amount]]/tblMoeHistory[[#This Row],[Child Count]],0)</f>
        <v>10245.060805970148</v>
      </c>
      <c r="M1585">
        <v>0</v>
      </c>
      <c r="N1585" t="s">
        <v>241</v>
      </c>
      <c r="O1585">
        <v>505069.55</v>
      </c>
      <c r="P1585">
        <v>4110.6899999999996</v>
      </c>
      <c r="Q1585">
        <f>tblMoeHistory[[#This Row],[Amount of IDEA Part B, Section 611 award]]+tblMoeHistory[[#This Row],[Amount of IDEA Part B, Section 619 award]]</f>
        <v>509180.24</v>
      </c>
      <c r="U15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5" t="str">
        <f>IF(OR(IFERROR(SEARCH("Met",tblMoeHistory[[#This Row],[State and Local Per Capita Result]]),0)&gt;0,IFERROR(SEARCH("Met",tblMoeHistory[[#This Row],[State and Local Total Result]]),0)&gt;0),"Met","Not Met")</f>
        <v>Met</v>
      </c>
    </row>
    <row r="1586" spans="1:22" x14ac:dyDescent="0.35">
      <c r="A1586" t="s">
        <v>27</v>
      </c>
      <c r="B1586">
        <v>2051</v>
      </c>
      <c r="C1586" t="s">
        <v>243</v>
      </c>
      <c r="D1586">
        <v>0</v>
      </c>
      <c r="E1586">
        <v>0</v>
      </c>
      <c r="F1586">
        <v>8285.76</v>
      </c>
      <c r="G1586">
        <f>tblMoeHistory[[#This Row],[LEA State and Local Amount]]+tblMoeHistory[[#This Row],[ESD State and Local Amount]]</f>
        <v>8285.76</v>
      </c>
      <c r="H1586">
        <v>638.67000000000007</v>
      </c>
      <c r="I1586" t="s">
        <v>240</v>
      </c>
      <c r="J1586" s="44">
        <f>IFERROR(tblMoeHistory[[#This Row],[LEA State and Local Amount]]/tblMoeHistory[[#This Row],[Child Count]],0)</f>
        <v>0</v>
      </c>
      <c r="K1586">
        <f>IFERROR(tblMoeHistory[[#This Row],[ESD State and Local Amount]]/tblMoeHistory[[#This Row],[Child Count]],0)</f>
        <v>0</v>
      </c>
      <c r="L1586" s="1">
        <f>IFERROR(tblMoeHistory[[#This Row],[State and Local Total Amount]]/tblMoeHistory[[#This Row],[Child Count]],0)</f>
        <v>0</v>
      </c>
      <c r="M1586">
        <v>0</v>
      </c>
      <c r="N1586" t="s">
        <v>241</v>
      </c>
      <c r="O1586">
        <v>1011.79</v>
      </c>
      <c r="P1586">
        <v>0</v>
      </c>
      <c r="Q1586">
        <f>tblMoeHistory[[#This Row],[Amount of IDEA Part B, Section 611 award]]+tblMoeHistory[[#This Row],[Amount of IDEA Part B, Section 619 award]]</f>
        <v>1011.79</v>
      </c>
      <c r="S1586">
        <v>0</v>
      </c>
      <c r="U15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6" t="str">
        <f>IF(OR(IFERROR(SEARCH("Met",tblMoeHistory[[#This Row],[State and Local Per Capita Result]]),0)&gt;0,IFERROR(SEARCH("Met",tblMoeHistory[[#This Row],[State and Local Total Result]]),0)&gt;0),"Met","Not Met")</f>
        <v>Met</v>
      </c>
    </row>
    <row r="1587" spans="1:22" x14ac:dyDescent="0.35">
      <c r="A1587" t="s">
        <v>28</v>
      </c>
      <c r="B1587">
        <v>1933</v>
      </c>
      <c r="C1587" t="s">
        <v>243</v>
      </c>
      <c r="D1587">
        <v>248</v>
      </c>
      <c r="E1587">
        <v>2835850.69</v>
      </c>
      <c r="F1587">
        <v>550301</v>
      </c>
      <c r="G1587">
        <f>tblMoeHistory[[#This Row],[LEA State and Local Amount]]+tblMoeHistory[[#This Row],[ESD State and Local Amount]]</f>
        <v>3386151.69</v>
      </c>
      <c r="H1587">
        <v>0</v>
      </c>
      <c r="I1587" t="s">
        <v>241</v>
      </c>
      <c r="J1587" s="44">
        <f>IFERROR(tblMoeHistory[[#This Row],[LEA State and Local Amount]]/tblMoeHistory[[#This Row],[Child Count]],0)</f>
        <v>11434.881814516129</v>
      </c>
      <c r="K1587">
        <f>IFERROR(tblMoeHistory[[#This Row],[ESD State and Local Amount]]/tblMoeHistory[[#This Row],[Child Count]],0)</f>
        <v>2218.9556451612902</v>
      </c>
      <c r="L1587" s="1">
        <f>IFERROR(tblMoeHistory[[#This Row],[State and Local Total Amount]]/tblMoeHistory[[#This Row],[Child Count]],0)</f>
        <v>13653.837459677419</v>
      </c>
      <c r="M1587">
        <v>0</v>
      </c>
      <c r="N1587" t="s">
        <v>241</v>
      </c>
      <c r="O1587">
        <v>282376.25</v>
      </c>
      <c r="P1587">
        <v>2679.56</v>
      </c>
      <c r="Q1587">
        <f>tblMoeHistory[[#This Row],[Amount of IDEA Part B, Section 611 award]]+tblMoeHistory[[#This Row],[Amount of IDEA Part B, Section 619 award]]</f>
        <v>285055.81</v>
      </c>
      <c r="U15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7" t="str">
        <f>IF(OR(IFERROR(SEARCH("Met",tblMoeHistory[[#This Row],[State and Local Per Capita Result]]),0)&gt;0,IFERROR(SEARCH("Met",tblMoeHistory[[#This Row],[State and Local Total Result]]),0)&gt;0),"Met","Not Met")</f>
        <v>Met</v>
      </c>
    </row>
    <row r="1588" spans="1:22" x14ac:dyDescent="0.35">
      <c r="A1588" t="s">
        <v>29</v>
      </c>
      <c r="B1588">
        <v>2208</v>
      </c>
      <c r="C1588" t="s">
        <v>243</v>
      </c>
      <c r="D1588">
        <v>83</v>
      </c>
      <c r="E1588">
        <v>397470.69</v>
      </c>
      <c r="F1588">
        <v>141072.57</v>
      </c>
      <c r="G1588">
        <f>tblMoeHistory[[#This Row],[LEA State and Local Amount]]+tblMoeHistory[[#This Row],[ESD State and Local Amount]]</f>
        <v>538543.26</v>
      </c>
      <c r="H1588">
        <v>0</v>
      </c>
      <c r="I1588" t="s">
        <v>241</v>
      </c>
      <c r="J1588" s="44">
        <f>IFERROR(tblMoeHistory[[#This Row],[LEA State and Local Amount]]/tblMoeHistory[[#This Row],[Child Count]],0)</f>
        <v>4788.8034939759036</v>
      </c>
      <c r="K1588">
        <f>IFERROR(tblMoeHistory[[#This Row],[ESD State and Local Amount]]/tblMoeHistory[[#This Row],[Child Count]],0)</f>
        <v>1699.6695180722893</v>
      </c>
      <c r="L1588" s="1">
        <f>IFERROR(tblMoeHistory[[#This Row],[State and Local Total Amount]]/tblMoeHistory[[#This Row],[Child Count]],0)</f>
        <v>6488.4730120481927</v>
      </c>
      <c r="M1588">
        <v>0</v>
      </c>
      <c r="N1588" t="s">
        <v>241</v>
      </c>
      <c r="O1588">
        <v>103754.86</v>
      </c>
      <c r="P1588">
        <v>4019.34</v>
      </c>
      <c r="Q1588">
        <f>tblMoeHistory[[#This Row],[Amount of IDEA Part B, Section 611 award]]+tblMoeHistory[[#This Row],[Amount of IDEA Part B, Section 619 award]]</f>
        <v>107774.2</v>
      </c>
      <c r="U15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8" t="str">
        <f>IF(OR(IFERROR(SEARCH("Met",tblMoeHistory[[#This Row],[State and Local Per Capita Result]]),0)&gt;0,IFERROR(SEARCH("Met",tblMoeHistory[[#This Row],[State and Local Total Result]]),0)&gt;0),"Met","Not Met")</f>
        <v>Met</v>
      </c>
    </row>
    <row r="1589" spans="1:22" x14ac:dyDescent="0.35">
      <c r="A1589" t="s">
        <v>30</v>
      </c>
      <c r="B1589">
        <v>1894</v>
      </c>
      <c r="C1589" t="s">
        <v>243</v>
      </c>
      <c r="D1589">
        <v>472</v>
      </c>
      <c r="E1589">
        <v>2706876.93</v>
      </c>
      <c r="F1589">
        <v>0</v>
      </c>
      <c r="G1589">
        <f>tblMoeHistory[[#This Row],[LEA State and Local Amount]]+tblMoeHistory[[#This Row],[ESD State and Local Amount]]</f>
        <v>2706876.93</v>
      </c>
      <c r="H1589">
        <v>0</v>
      </c>
      <c r="I1589" t="s">
        <v>241</v>
      </c>
      <c r="J1589" s="44">
        <f>IFERROR(tblMoeHistory[[#This Row],[LEA State and Local Amount]]/tblMoeHistory[[#This Row],[Child Count]],0)</f>
        <v>5734.9087500000005</v>
      </c>
      <c r="K1589">
        <f>IFERROR(tblMoeHistory[[#This Row],[ESD State and Local Amount]]/tblMoeHistory[[#This Row],[Child Count]],0)</f>
        <v>0</v>
      </c>
      <c r="L1589" s="1">
        <f>IFERROR(tblMoeHistory[[#This Row],[State and Local Total Amount]]/tblMoeHistory[[#This Row],[Child Count]],0)</f>
        <v>5734.9087500000005</v>
      </c>
      <c r="M1589">
        <v>915304.56893238449</v>
      </c>
      <c r="N1589" t="s">
        <v>240</v>
      </c>
      <c r="O1589">
        <v>561718.03</v>
      </c>
      <c r="P1589">
        <v>6968.32</v>
      </c>
      <c r="Q1589">
        <f>tblMoeHistory[[#This Row],[Amount of IDEA Part B, Section 611 award]]+tblMoeHistory[[#This Row],[Amount of IDEA Part B, Section 619 award]]</f>
        <v>568686.35</v>
      </c>
      <c r="T1589">
        <v>0</v>
      </c>
      <c r="U15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9" t="str">
        <f>IF(OR(IFERROR(SEARCH("Met",tblMoeHistory[[#This Row],[State and Local Per Capita Result]]),0)&gt;0,IFERROR(SEARCH("Met",tblMoeHistory[[#This Row],[State and Local Total Result]]),0)&gt;0),"Met","Not Met")</f>
        <v>Met</v>
      </c>
    </row>
    <row r="1590" spans="1:22" x14ac:dyDescent="0.35">
      <c r="A1590" t="s">
        <v>32</v>
      </c>
      <c r="B1590">
        <v>1969</v>
      </c>
      <c r="C1590" t="s">
        <v>243</v>
      </c>
      <c r="D1590">
        <v>94</v>
      </c>
      <c r="E1590">
        <v>1258033.73</v>
      </c>
      <c r="F1590">
        <v>302608.64000000001</v>
      </c>
      <c r="G1590">
        <f>tblMoeHistory[[#This Row],[LEA State and Local Amount]]+tblMoeHistory[[#This Row],[ESD State and Local Amount]]</f>
        <v>1560642.37</v>
      </c>
      <c r="H1590">
        <v>0</v>
      </c>
      <c r="I1590" t="s">
        <v>241</v>
      </c>
      <c r="J1590" s="44">
        <f>IFERROR(tblMoeHistory[[#This Row],[LEA State and Local Amount]]/tblMoeHistory[[#This Row],[Child Count]],0)</f>
        <v>13383.33755319149</v>
      </c>
      <c r="K1590">
        <f>IFERROR(tblMoeHistory[[#This Row],[ESD State and Local Amount]]/tblMoeHistory[[#This Row],[Child Count]],0)</f>
        <v>3219.2408510638297</v>
      </c>
      <c r="L1590" s="1">
        <f>IFERROR(tblMoeHistory[[#This Row],[State and Local Total Amount]]/tblMoeHistory[[#This Row],[Child Count]],0)</f>
        <v>16602.57840425532</v>
      </c>
      <c r="M1590">
        <v>0</v>
      </c>
      <c r="N1590" t="s">
        <v>241</v>
      </c>
      <c r="O1590">
        <v>141435.82</v>
      </c>
      <c r="P1590">
        <v>1228.1300000000001</v>
      </c>
      <c r="Q1590">
        <f>tblMoeHistory[[#This Row],[Amount of IDEA Part B, Section 611 award]]+tblMoeHistory[[#This Row],[Amount of IDEA Part B, Section 619 award]]</f>
        <v>142663.95000000001</v>
      </c>
      <c r="U15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0" t="str">
        <f>IF(OR(IFERROR(SEARCH("Met",tblMoeHistory[[#This Row],[State and Local Per Capita Result]]),0)&gt;0,IFERROR(SEARCH("Met",tblMoeHistory[[#This Row],[State and Local Total Result]]),0)&gt;0),"Met","Not Met")</f>
        <v>Met</v>
      </c>
    </row>
    <row r="1591" spans="1:22" x14ac:dyDescent="0.35">
      <c r="A1591" t="s">
        <v>33</v>
      </c>
      <c r="B1591">
        <v>2240</v>
      </c>
      <c r="C1591" t="s">
        <v>243</v>
      </c>
      <c r="D1591">
        <v>150</v>
      </c>
      <c r="E1591">
        <v>1575407.62</v>
      </c>
      <c r="F1591">
        <v>399767</v>
      </c>
      <c r="G1591">
        <f>tblMoeHistory[[#This Row],[LEA State and Local Amount]]+tblMoeHistory[[#This Row],[ESD State and Local Amount]]</f>
        <v>1975174.62</v>
      </c>
      <c r="H1591">
        <v>0</v>
      </c>
      <c r="I1591" t="s">
        <v>242</v>
      </c>
      <c r="J1591" s="44">
        <f>IFERROR(tblMoeHistory[[#This Row],[LEA State and Local Amount]]/tblMoeHistory[[#This Row],[Child Count]],0)</f>
        <v>10502.717466666667</v>
      </c>
      <c r="K1591">
        <f>IFERROR(tblMoeHistory[[#This Row],[ESD State and Local Amount]]/tblMoeHistory[[#This Row],[Child Count]],0)</f>
        <v>2665.1133333333332</v>
      </c>
      <c r="L1591" s="1">
        <f>IFERROR(tblMoeHistory[[#This Row],[State and Local Total Amount]]/tblMoeHistory[[#This Row],[Child Count]],0)</f>
        <v>13167.830800000002</v>
      </c>
      <c r="M1591">
        <v>0</v>
      </c>
      <c r="N1591" t="s">
        <v>241</v>
      </c>
      <c r="O1591">
        <v>181256.58</v>
      </c>
      <c r="P1591">
        <v>753.63</v>
      </c>
      <c r="Q1591">
        <f>tblMoeHistory[[#This Row],[Amount of IDEA Part B, Section 611 award]]+tblMoeHistory[[#This Row],[Amount of IDEA Part B, Section 619 award]]</f>
        <v>182010.21</v>
      </c>
      <c r="S1591">
        <v>186722.72</v>
      </c>
      <c r="U15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1" t="str">
        <f>IF(OR(IFERROR(SEARCH("Met",tblMoeHistory[[#This Row],[State and Local Per Capita Result]]),0)&gt;0,IFERROR(SEARCH("Met",tblMoeHistory[[#This Row],[State and Local Total Result]]),0)&gt;0),"Met","Not Met")</f>
        <v>Met</v>
      </c>
    </row>
    <row r="1592" spans="1:22" x14ac:dyDescent="0.35">
      <c r="A1592" t="s">
        <v>34</v>
      </c>
      <c r="B1592">
        <v>2243</v>
      </c>
      <c r="C1592" t="s">
        <v>243</v>
      </c>
      <c r="D1592">
        <v>5021</v>
      </c>
      <c r="E1592">
        <v>58050808.439999998</v>
      </c>
      <c r="F1592">
        <v>4648500</v>
      </c>
      <c r="G1592">
        <f>tblMoeHistory[[#This Row],[LEA State and Local Amount]]+tblMoeHistory[[#This Row],[ESD State and Local Amount]]</f>
        <v>62699308.439999998</v>
      </c>
      <c r="H1592">
        <v>0</v>
      </c>
      <c r="I1592" t="s">
        <v>241</v>
      </c>
      <c r="J1592" s="44">
        <f>IFERROR(tblMoeHistory[[#This Row],[LEA State and Local Amount]]/tblMoeHistory[[#This Row],[Child Count]],0)</f>
        <v>11561.602955586535</v>
      </c>
      <c r="K1592">
        <f>IFERROR(tblMoeHistory[[#This Row],[ESD State and Local Amount]]/tblMoeHistory[[#This Row],[Child Count]],0)</f>
        <v>925.81159131647087</v>
      </c>
      <c r="L1592" s="1">
        <f>IFERROR(tblMoeHistory[[#This Row],[State and Local Total Amount]]/tblMoeHistory[[#This Row],[Child Count]],0)</f>
        <v>12487.414546903006</v>
      </c>
      <c r="M1592">
        <v>0</v>
      </c>
      <c r="N1592" t="s">
        <v>241</v>
      </c>
      <c r="O1592">
        <v>6899285.0499999998</v>
      </c>
      <c r="P1592">
        <v>26003.25</v>
      </c>
      <c r="Q1592">
        <f>tblMoeHistory[[#This Row],[Amount of IDEA Part B, Section 611 award]]+tblMoeHistory[[#This Row],[Amount of IDEA Part B, Section 619 award]]</f>
        <v>6925288.2999999998</v>
      </c>
      <c r="U15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2" t="str">
        <f>IF(OR(IFERROR(SEARCH("Met",tblMoeHistory[[#This Row],[State and Local Per Capita Result]]),0)&gt;0,IFERROR(SEARCH("Met",tblMoeHistory[[#This Row],[State and Local Total Result]]),0)&gt;0),"Met","Not Met")</f>
        <v>Met</v>
      </c>
    </row>
    <row r="1593" spans="1:22" x14ac:dyDescent="0.35">
      <c r="A1593" t="s">
        <v>35</v>
      </c>
      <c r="B1593">
        <v>1976</v>
      </c>
      <c r="C1593" t="s">
        <v>243</v>
      </c>
      <c r="D1593">
        <v>1856</v>
      </c>
      <c r="E1593">
        <v>21314311.48</v>
      </c>
      <c r="F1593">
        <v>2967141.53</v>
      </c>
      <c r="G1593">
        <f>tblMoeHistory[[#This Row],[LEA State and Local Amount]]+tblMoeHistory[[#This Row],[ESD State and Local Amount]]</f>
        <v>24281453.010000002</v>
      </c>
      <c r="H1593">
        <v>0</v>
      </c>
      <c r="I1593" t="s">
        <v>241</v>
      </c>
      <c r="J1593" s="44">
        <f>IFERROR(tblMoeHistory[[#This Row],[LEA State and Local Amount]]/tblMoeHistory[[#This Row],[Child Count]],0)</f>
        <v>11484.004030172415</v>
      </c>
      <c r="K1593">
        <f>IFERROR(tblMoeHistory[[#This Row],[ESD State and Local Amount]]/tblMoeHistory[[#This Row],[Child Count]],0)</f>
        <v>1598.6753933189655</v>
      </c>
      <c r="L1593" s="1">
        <f>IFERROR(tblMoeHistory[[#This Row],[State and Local Total Amount]]/tblMoeHistory[[#This Row],[Child Count]],0)</f>
        <v>13082.67942349138</v>
      </c>
      <c r="M1593">
        <v>0</v>
      </c>
      <c r="N1593" t="s">
        <v>241</v>
      </c>
      <c r="O1593">
        <v>2748481.94</v>
      </c>
      <c r="P1593">
        <v>12855.52</v>
      </c>
      <c r="Q1593">
        <f>tblMoeHistory[[#This Row],[Amount of IDEA Part B, Section 611 award]]+tblMoeHistory[[#This Row],[Amount of IDEA Part B, Section 619 award]]</f>
        <v>2761337.46</v>
      </c>
      <c r="U15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3" t="str">
        <f>IF(OR(IFERROR(SEARCH("Met",tblMoeHistory[[#This Row],[State and Local Per Capita Result]]),0)&gt;0,IFERROR(SEARCH("Met",tblMoeHistory[[#This Row],[State and Local Total Result]]),0)&gt;0),"Met","Not Met")</f>
        <v>Met</v>
      </c>
    </row>
    <row r="1594" spans="1:22" x14ac:dyDescent="0.35">
      <c r="A1594" t="s">
        <v>36</v>
      </c>
      <c r="B1594">
        <v>2088</v>
      </c>
      <c r="C1594" t="s">
        <v>243</v>
      </c>
      <c r="D1594">
        <v>1013</v>
      </c>
      <c r="E1594">
        <v>10462834.85</v>
      </c>
      <c r="F1594">
        <v>878002</v>
      </c>
      <c r="G1594">
        <f>tblMoeHistory[[#This Row],[LEA State and Local Amount]]+tblMoeHistory[[#This Row],[ESD State and Local Amount]]</f>
        <v>11340836.85</v>
      </c>
      <c r="H1594">
        <v>0</v>
      </c>
      <c r="I1594" t="s">
        <v>241</v>
      </c>
      <c r="J1594" s="44">
        <f>IFERROR(tblMoeHistory[[#This Row],[LEA State and Local Amount]]/tblMoeHistory[[#This Row],[Child Count]],0)</f>
        <v>10328.563524185587</v>
      </c>
      <c r="K1594">
        <f>IFERROR(tblMoeHistory[[#This Row],[ESD State and Local Amount]]/tblMoeHistory[[#This Row],[Child Count]],0)</f>
        <v>866.7344521224087</v>
      </c>
      <c r="L1594" s="1">
        <f>IFERROR(tblMoeHistory[[#This Row],[State and Local Total Amount]]/tblMoeHistory[[#This Row],[Child Count]],0)</f>
        <v>11195.297976307997</v>
      </c>
      <c r="M1594">
        <v>0</v>
      </c>
      <c r="N1594" t="s">
        <v>241</v>
      </c>
      <c r="O1594">
        <v>978849.08</v>
      </c>
      <c r="P1594">
        <v>6874.55</v>
      </c>
      <c r="Q1594">
        <f>tblMoeHistory[[#This Row],[Amount of IDEA Part B, Section 611 award]]+tblMoeHistory[[#This Row],[Amount of IDEA Part B, Section 619 award]]</f>
        <v>985723.63</v>
      </c>
      <c r="U15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4" t="str">
        <f>IF(OR(IFERROR(SEARCH("Met",tblMoeHistory[[#This Row],[State and Local Per Capita Result]]),0)&gt;0,IFERROR(SEARCH("Met",tblMoeHistory[[#This Row],[State and Local Total Result]]),0)&gt;0),"Met","Not Met")</f>
        <v>Met</v>
      </c>
    </row>
    <row r="1595" spans="1:22" x14ac:dyDescent="0.35">
      <c r="A1595" t="s">
        <v>37</v>
      </c>
      <c r="B1595">
        <v>2095</v>
      </c>
      <c r="C1595" t="s">
        <v>243</v>
      </c>
      <c r="D1595">
        <v>53</v>
      </c>
      <c r="E1595">
        <v>337586.76</v>
      </c>
      <c r="F1595">
        <v>81055</v>
      </c>
      <c r="G1595">
        <f>tblMoeHistory[[#This Row],[LEA State and Local Amount]]+tblMoeHistory[[#This Row],[ESD State and Local Amount]]</f>
        <v>418641.76</v>
      </c>
      <c r="H1595">
        <v>0</v>
      </c>
      <c r="I1595" t="s">
        <v>241</v>
      </c>
      <c r="J1595" s="44">
        <f>IFERROR(tblMoeHistory[[#This Row],[LEA State and Local Amount]]/tblMoeHistory[[#This Row],[Child Count]],0)</f>
        <v>6369.5615094339628</v>
      </c>
      <c r="K1595">
        <f>IFERROR(tblMoeHistory[[#This Row],[ESD State and Local Amount]]/tblMoeHistory[[#This Row],[Child Count]],0)</f>
        <v>1529.3396226415093</v>
      </c>
      <c r="L1595" s="1">
        <f>IFERROR(tblMoeHistory[[#This Row],[State and Local Total Amount]]/tblMoeHistory[[#This Row],[Child Count]],0)</f>
        <v>7898.9011320754717</v>
      </c>
      <c r="M1595">
        <v>94371.481162790631</v>
      </c>
      <c r="N1595" t="s">
        <v>240</v>
      </c>
      <c r="O1595">
        <v>44408.23</v>
      </c>
      <c r="P1595">
        <v>334.95</v>
      </c>
      <c r="Q1595">
        <f>tblMoeHistory[[#This Row],[Amount of IDEA Part B, Section 611 award]]+tblMoeHistory[[#This Row],[Amount of IDEA Part B, Section 619 award]]</f>
        <v>44743.18</v>
      </c>
      <c r="T1595">
        <v>0</v>
      </c>
      <c r="U15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5" t="str">
        <f>IF(OR(IFERROR(SEARCH("Met",tblMoeHistory[[#This Row],[State and Local Per Capita Result]]),0)&gt;0,IFERROR(SEARCH("Met",tblMoeHistory[[#This Row],[State and Local Total Result]]),0)&gt;0),"Met","Not Met")</f>
        <v>Met</v>
      </c>
    </row>
    <row r="1596" spans="1:22" x14ac:dyDescent="0.35">
      <c r="A1596" t="s">
        <v>38</v>
      </c>
      <c r="B1596">
        <v>2052</v>
      </c>
      <c r="C1596" t="s">
        <v>243</v>
      </c>
      <c r="D1596">
        <v>2</v>
      </c>
      <c r="E1596">
        <v>0</v>
      </c>
      <c r="F1596">
        <v>15414.07</v>
      </c>
      <c r="G1596">
        <f>tblMoeHistory[[#This Row],[LEA State and Local Amount]]+tblMoeHistory[[#This Row],[ESD State and Local Amount]]</f>
        <v>15414.07</v>
      </c>
      <c r="H1596">
        <v>2364.3199999999997</v>
      </c>
      <c r="I1596" t="s">
        <v>240</v>
      </c>
      <c r="J1596" s="44">
        <f>IFERROR(tblMoeHistory[[#This Row],[LEA State and Local Amount]]/tblMoeHistory[[#This Row],[Child Count]],0)</f>
        <v>0</v>
      </c>
      <c r="K1596">
        <f>IFERROR(tblMoeHistory[[#This Row],[ESD State and Local Amount]]/tblMoeHistory[[#This Row],[Child Count]],0)</f>
        <v>7707.0349999999999</v>
      </c>
      <c r="L1596" s="1">
        <f>IFERROR(tblMoeHistory[[#This Row],[State and Local Total Amount]]/tblMoeHistory[[#This Row],[Child Count]],0)</f>
        <v>7707.0349999999999</v>
      </c>
      <c r="M1596">
        <v>2364.3199999999997</v>
      </c>
      <c r="N1596" t="s">
        <v>240</v>
      </c>
      <c r="O1596">
        <v>3896.88</v>
      </c>
      <c r="P1596">
        <v>0</v>
      </c>
      <c r="Q1596">
        <f>tblMoeHistory[[#This Row],[Amount of IDEA Part B, Section 611 award]]+tblMoeHistory[[#This Row],[Amount of IDEA Part B, Section 619 award]]</f>
        <v>3896.88</v>
      </c>
      <c r="S1596">
        <v>0</v>
      </c>
      <c r="T1596">
        <v>0</v>
      </c>
      <c r="U15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2364.3199999999997</v>
      </c>
      <c r="V1596" t="str">
        <f>IF(OR(IFERROR(SEARCH("Met",tblMoeHistory[[#This Row],[State and Local Per Capita Result]]),0)&gt;0,IFERROR(SEARCH("Met",tblMoeHistory[[#This Row],[State and Local Total Result]]),0)&gt;0),"Met","Not Met")</f>
        <v>Not Met</v>
      </c>
    </row>
    <row r="1597" spans="1:22" x14ac:dyDescent="0.35">
      <c r="A1597" t="s">
        <v>39</v>
      </c>
      <c r="B1597">
        <v>1974</v>
      </c>
      <c r="C1597" t="s">
        <v>243</v>
      </c>
      <c r="D1597">
        <v>215</v>
      </c>
      <c r="E1597">
        <v>2300611.12</v>
      </c>
      <c r="F1597">
        <v>16315.49</v>
      </c>
      <c r="G1597">
        <f>tblMoeHistory[[#This Row],[LEA State and Local Amount]]+tblMoeHistory[[#This Row],[ESD State and Local Amount]]</f>
        <v>2316926.6100000003</v>
      </c>
      <c r="H1597">
        <v>0</v>
      </c>
      <c r="I1597" t="s">
        <v>241</v>
      </c>
      <c r="J1597" s="44">
        <f>IFERROR(tblMoeHistory[[#This Row],[LEA State and Local Amount]]/tblMoeHistory[[#This Row],[Child Count]],0)</f>
        <v>10700.516837209303</v>
      </c>
      <c r="K1597">
        <f>IFERROR(tblMoeHistory[[#This Row],[ESD State and Local Amount]]/tblMoeHistory[[#This Row],[Child Count]],0)</f>
        <v>75.885999999999996</v>
      </c>
      <c r="L1597" s="1">
        <f>IFERROR(tblMoeHistory[[#This Row],[State and Local Total Amount]]/tblMoeHistory[[#This Row],[Child Count]],0)</f>
        <v>10776.402837209303</v>
      </c>
      <c r="M1597">
        <v>0</v>
      </c>
      <c r="N1597" t="s">
        <v>241</v>
      </c>
      <c r="O1597">
        <v>299682.37</v>
      </c>
      <c r="P1597">
        <v>3167.42</v>
      </c>
      <c r="Q1597">
        <f>tblMoeHistory[[#This Row],[Amount of IDEA Part B, Section 611 award]]+tblMoeHistory[[#This Row],[Amount of IDEA Part B, Section 619 award]]</f>
        <v>302849.78999999998</v>
      </c>
      <c r="U15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7" t="str">
        <f>IF(OR(IFERROR(SEARCH("Met",tblMoeHistory[[#This Row],[State and Local Per Capita Result]]),0)&gt;0,IFERROR(SEARCH("Met",tblMoeHistory[[#This Row],[State and Local Total Result]]),0)&gt;0),"Met","Not Met")</f>
        <v>Met</v>
      </c>
    </row>
    <row r="1598" spans="1:22" x14ac:dyDescent="0.35">
      <c r="A1598" t="s">
        <v>40</v>
      </c>
      <c r="B1598">
        <v>1896</v>
      </c>
      <c r="C1598" t="s">
        <v>243</v>
      </c>
      <c r="D1598">
        <v>10</v>
      </c>
      <c r="E1598">
        <v>45165</v>
      </c>
      <c r="F1598">
        <v>15377.57</v>
      </c>
      <c r="G1598">
        <f>tblMoeHistory[[#This Row],[LEA State and Local Amount]]+tblMoeHistory[[#This Row],[ESD State and Local Amount]]</f>
        <v>60542.57</v>
      </c>
      <c r="H1598">
        <v>871.09999999999854</v>
      </c>
      <c r="I1598" t="s">
        <v>240</v>
      </c>
      <c r="J1598" s="44">
        <f>IFERROR(tblMoeHistory[[#This Row],[LEA State and Local Amount]]/tblMoeHistory[[#This Row],[Child Count]],0)</f>
        <v>4516.5</v>
      </c>
      <c r="K1598">
        <f>IFERROR(tblMoeHistory[[#This Row],[ESD State and Local Amount]]/tblMoeHistory[[#This Row],[Child Count]],0)</f>
        <v>1537.7570000000001</v>
      </c>
      <c r="L1598" s="1">
        <f>IFERROR(tblMoeHistory[[#This Row],[State and Local Total Amount]]/tblMoeHistory[[#This Row],[Child Count]],0)</f>
        <v>6054.2569999999996</v>
      </c>
      <c r="M1598">
        <v>550944.7300000001</v>
      </c>
      <c r="N1598" t="s">
        <v>240</v>
      </c>
      <c r="O1598">
        <v>13383.31</v>
      </c>
      <c r="P1598">
        <v>0</v>
      </c>
      <c r="Q1598">
        <f>tblMoeHistory[[#This Row],[Amount of IDEA Part B, Section 611 award]]+tblMoeHistory[[#This Row],[Amount of IDEA Part B, Section 619 award]]</f>
        <v>13383.31</v>
      </c>
      <c r="S1598">
        <v>0</v>
      </c>
      <c r="T1598">
        <v>0</v>
      </c>
      <c r="U15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871.09999999999854</v>
      </c>
      <c r="V1598" t="str">
        <f>IF(OR(IFERROR(SEARCH("Met",tblMoeHistory[[#This Row],[State and Local Per Capita Result]]),0)&gt;0,IFERROR(SEARCH("Met",tblMoeHistory[[#This Row],[State and Local Total Result]]),0)&gt;0),"Met","Not Met")</f>
        <v>Not Met</v>
      </c>
    </row>
    <row r="1599" spans="1:22" x14ac:dyDescent="0.35">
      <c r="A1599" t="s">
        <v>42</v>
      </c>
      <c r="B1599">
        <v>2046</v>
      </c>
      <c r="C1599" t="s">
        <v>243</v>
      </c>
      <c r="D1599">
        <v>54</v>
      </c>
      <c r="E1599">
        <v>319287.23</v>
      </c>
      <c r="F1599">
        <v>83455.66</v>
      </c>
      <c r="G1599">
        <f>tblMoeHistory[[#This Row],[LEA State and Local Amount]]+tblMoeHistory[[#This Row],[ESD State and Local Amount]]</f>
        <v>402742.89</v>
      </c>
      <c r="H1599">
        <v>0</v>
      </c>
      <c r="I1599" t="s">
        <v>241</v>
      </c>
      <c r="J1599" s="44">
        <f>IFERROR(tblMoeHistory[[#This Row],[LEA State and Local Amount]]/tblMoeHistory[[#This Row],[Child Count]],0)</f>
        <v>5912.7264814814807</v>
      </c>
      <c r="K1599">
        <f>IFERROR(tblMoeHistory[[#This Row],[ESD State and Local Amount]]/tblMoeHistory[[#This Row],[Child Count]],0)</f>
        <v>1545.4751851851852</v>
      </c>
      <c r="L1599" s="1">
        <f>IFERROR(tblMoeHistory[[#This Row],[State and Local Total Amount]]/tblMoeHistory[[#This Row],[Child Count]],0)</f>
        <v>7458.2016666666668</v>
      </c>
      <c r="M1599">
        <v>124788.37864864887</v>
      </c>
      <c r="N1599" t="s">
        <v>240</v>
      </c>
      <c r="O1599">
        <v>33772.5</v>
      </c>
      <c r="P1599">
        <v>334.95</v>
      </c>
      <c r="Q1599">
        <f>tblMoeHistory[[#This Row],[Amount of IDEA Part B, Section 611 award]]+tblMoeHistory[[#This Row],[Amount of IDEA Part B, Section 619 award]]</f>
        <v>34107.449999999997</v>
      </c>
      <c r="T1599">
        <v>0</v>
      </c>
      <c r="U15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9" t="str">
        <f>IF(OR(IFERROR(SEARCH("Met",tblMoeHistory[[#This Row],[State and Local Per Capita Result]]),0)&gt;0,IFERROR(SEARCH("Met",tblMoeHistory[[#This Row],[State and Local Total Result]]),0)&gt;0),"Met","Not Met")</f>
        <v>Met</v>
      </c>
    </row>
    <row r="1600" spans="1:22" x14ac:dyDescent="0.35">
      <c r="A1600" t="s">
        <v>43</v>
      </c>
      <c r="B1600">
        <v>1995</v>
      </c>
      <c r="C1600" t="s">
        <v>243</v>
      </c>
      <c r="D1600">
        <v>40</v>
      </c>
      <c r="E1600">
        <v>199302.24</v>
      </c>
      <c r="F1600">
        <v>32387.360000000001</v>
      </c>
      <c r="G1600">
        <f>tblMoeHistory[[#This Row],[LEA State and Local Amount]]+tblMoeHistory[[#This Row],[ESD State and Local Amount]]</f>
        <v>231689.59999999998</v>
      </c>
      <c r="H1600">
        <v>13020.390000000014</v>
      </c>
      <c r="I1600" t="s">
        <v>240</v>
      </c>
      <c r="J1600" s="44">
        <f>IFERROR(tblMoeHistory[[#This Row],[LEA State and Local Amount]]/tblMoeHistory[[#This Row],[Child Count]],0)</f>
        <v>4982.5559999999996</v>
      </c>
      <c r="K1600">
        <f>IFERROR(tblMoeHistory[[#This Row],[ESD State and Local Amount]]/tblMoeHistory[[#This Row],[Child Count]],0)</f>
        <v>809.68399999999997</v>
      </c>
      <c r="L1600" s="1">
        <f>IFERROR(tblMoeHistory[[#This Row],[State and Local Total Amount]]/tblMoeHistory[[#This Row],[Child Count]],0)</f>
        <v>5792.24</v>
      </c>
      <c r="M1600">
        <v>84065.225806451606</v>
      </c>
      <c r="N1600" t="s">
        <v>240</v>
      </c>
      <c r="O1600">
        <v>45426.35</v>
      </c>
      <c r="P1600">
        <v>0</v>
      </c>
      <c r="Q1600">
        <f>tblMoeHistory[[#This Row],[Amount of IDEA Part B, Section 611 award]]+tblMoeHistory[[#This Row],[Amount of IDEA Part B, Section 619 award]]</f>
        <v>45426.35</v>
      </c>
      <c r="S1600">
        <v>0</v>
      </c>
      <c r="T1600">
        <v>0</v>
      </c>
      <c r="U16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13020.390000000014</v>
      </c>
      <c r="V1600" t="str">
        <f>IF(OR(IFERROR(SEARCH("Met",tblMoeHistory[[#This Row],[State and Local Per Capita Result]]),0)&gt;0,IFERROR(SEARCH("Met",tblMoeHistory[[#This Row],[State and Local Total Result]]),0)&gt;0),"Met","Not Met")</f>
        <v>Not Met</v>
      </c>
    </row>
    <row r="1601" spans="1:22" x14ac:dyDescent="0.35">
      <c r="A1601" t="s">
        <v>44</v>
      </c>
      <c r="B1601">
        <v>1929</v>
      </c>
      <c r="C1601" t="s">
        <v>243</v>
      </c>
      <c r="D1601">
        <v>583</v>
      </c>
      <c r="E1601">
        <v>6761163.1399999997</v>
      </c>
      <c r="F1601">
        <v>595678</v>
      </c>
      <c r="G1601">
        <f>tblMoeHistory[[#This Row],[LEA State and Local Amount]]+tblMoeHistory[[#This Row],[ESD State and Local Amount]]</f>
        <v>7356841.1399999997</v>
      </c>
      <c r="H1601">
        <v>0</v>
      </c>
      <c r="I1601" t="s">
        <v>241</v>
      </c>
      <c r="J1601" s="44">
        <f>IFERROR(tblMoeHistory[[#This Row],[LEA State and Local Amount]]/tblMoeHistory[[#This Row],[Child Count]],0)</f>
        <v>11597.192349914236</v>
      </c>
      <c r="K1601">
        <f>IFERROR(tblMoeHistory[[#This Row],[ESD State and Local Amount]]/tblMoeHistory[[#This Row],[Child Count]],0)</f>
        <v>1021.7461406518011</v>
      </c>
      <c r="L1601" s="1">
        <f>IFERROR(tblMoeHistory[[#This Row],[State and Local Total Amount]]/tblMoeHistory[[#This Row],[Child Count]],0)</f>
        <v>12618.938490566037</v>
      </c>
      <c r="M1601">
        <v>0</v>
      </c>
      <c r="N1601" t="s">
        <v>241</v>
      </c>
      <c r="O1601">
        <v>770137.43</v>
      </c>
      <c r="P1601">
        <v>5024.18</v>
      </c>
      <c r="Q1601">
        <f>tblMoeHistory[[#This Row],[Amount of IDEA Part B, Section 611 award]]+tblMoeHistory[[#This Row],[Amount of IDEA Part B, Section 619 award]]</f>
        <v>775161.6100000001</v>
      </c>
      <c r="U16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1" t="str">
        <f>IF(OR(IFERROR(SEARCH("Met",tblMoeHistory[[#This Row],[State and Local Per Capita Result]]),0)&gt;0,IFERROR(SEARCH("Met",tblMoeHistory[[#This Row],[State and Local Total Result]]),0)&gt;0),"Met","Not Met")</f>
        <v>Met</v>
      </c>
    </row>
    <row r="1602" spans="1:22" x14ac:dyDescent="0.35">
      <c r="A1602" t="s">
        <v>45</v>
      </c>
      <c r="B1602">
        <v>2139</v>
      </c>
      <c r="C1602" t="s">
        <v>243</v>
      </c>
      <c r="D1602">
        <v>342</v>
      </c>
      <c r="E1602">
        <v>4051999.97</v>
      </c>
      <c r="F1602">
        <v>225815.63</v>
      </c>
      <c r="G1602">
        <f>tblMoeHistory[[#This Row],[LEA State and Local Amount]]+tblMoeHistory[[#This Row],[ESD State and Local Amount]]</f>
        <v>4277815.6000000006</v>
      </c>
      <c r="H1602">
        <v>0</v>
      </c>
      <c r="I1602" t="s">
        <v>241</v>
      </c>
      <c r="J1602" s="44">
        <f>IFERROR(tblMoeHistory[[#This Row],[LEA State and Local Amount]]/tblMoeHistory[[#This Row],[Child Count]],0)</f>
        <v>11847.953128654972</v>
      </c>
      <c r="K1602">
        <f>IFERROR(tblMoeHistory[[#This Row],[ESD State and Local Amount]]/tblMoeHistory[[#This Row],[Child Count]],0)</f>
        <v>660.27961988304094</v>
      </c>
      <c r="L1602" s="1">
        <f>IFERROR(tblMoeHistory[[#This Row],[State and Local Total Amount]]/tblMoeHistory[[#This Row],[Child Count]],0)</f>
        <v>12508.232748538014</v>
      </c>
      <c r="M1602">
        <v>0</v>
      </c>
      <c r="N1602" t="s">
        <v>241</v>
      </c>
      <c r="O1602">
        <v>427409.28</v>
      </c>
      <c r="P1602">
        <v>4610.42</v>
      </c>
      <c r="Q1602">
        <f>tblMoeHistory[[#This Row],[Amount of IDEA Part B, Section 611 award]]+tblMoeHistory[[#This Row],[Amount of IDEA Part B, Section 619 award]]</f>
        <v>432019.7</v>
      </c>
      <c r="U16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2" t="str">
        <f>IF(OR(IFERROR(SEARCH("Met",tblMoeHistory[[#This Row],[State and Local Per Capita Result]]),0)&gt;0,IFERROR(SEARCH("Met",tblMoeHistory[[#This Row],[State and Local Total Result]]),0)&gt;0),"Met","Not Met")</f>
        <v>Met</v>
      </c>
    </row>
    <row r="1603" spans="1:22" x14ac:dyDescent="0.35">
      <c r="A1603" t="s">
        <v>46</v>
      </c>
      <c r="B1603">
        <v>2185</v>
      </c>
      <c r="C1603" t="s">
        <v>243</v>
      </c>
      <c r="D1603">
        <v>872</v>
      </c>
      <c r="E1603">
        <v>11481734.130000001</v>
      </c>
      <c r="F1603">
        <v>1538772.27</v>
      </c>
      <c r="G1603">
        <f>tblMoeHistory[[#This Row],[LEA State and Local Amount]]+tblMoeHistory[[#This Row],[ESD State and Local Amount]]</f>
        <v>13020506.4</v>
      </c>
      <c r="H1603">
        <v>0</v>
      </c>
      <c r="I1603" t="s">
        <v>241</v>
      </c>
      <c r="J1603" s="44">
        <f>IFERROR(tblMoeHistory[[#This Row],[LEA State and Local Amount]]/tblMoeHistory[[#This Row],[Child Count]],0)</f>
        <v>13167.12629587156</v>
      </c>
      <c r="K1603">
        <f>IFERROR(tblMoeHistory[[#This Row],[ESD State and Local Amount]]/tblMoeHistory[[#This Row],[Child Count]],0)</f>
        <v>1764.6470986238533</v>
      </c>
      <c r="L1603" s="1">
        <f>IFERROR(tblMoeHistory[[#This Row],[State and Local Total Amount]]/tblMoeHistory[[#This Row],[Child Count]],0)</f>
        <v>14931.773394495413</v>
      </c>
      <c r="M1603">
        <v>0</v>
      </c>
      <c r="N1603" t="s">
        <v>241</v>
      </c>
      <c r="O1603">
        <v>1027868.77</v>
      </c>
      <c r="P1603">
        <v>10126.25</v>
      </c>
      <c r="Q1603">
        <f>tblMoeHistory[[#This Row],[Amount of IDEA Part B, Section 611 award]]+tblMoeHistory[[#This Row],[Amount of IDEA Part B, Section 619 award]]</f>
        <v>1037995.02</v>
      </c>
      <c r="U16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3" t="str">
        <f>IF(OR(IFERROR(SEARCH("Met",tblMoeHistory[[#This Row],[State and Local Per Capita Result]]),0)&gt;0,IFERROR(SEARCH("Met",tblMoeHistory[[#This Row],[State and Local Total Result]]),0)&gt;0),"Met","Not Met")</f>
        <v>Met</v>
      </c>
    </row>
    <row r="1604" spans="1:22" x14ac:dyDescent="0.35">
      <c r="A1604" t="s">
        <v>47</v>
      </c>
      <c r="B1604">
        <v>1972</v>
      </c>
      <c r="C1604" t="s">
        <v>243</v>
      </c>
      <c r="D1604">
        <v>66</v>
      </c>
      <c r="E1604">
        <v>412177.46</v>
      </c>
      <c r="F1604">
        <v>194826.3</v>
      </c>
      <c r="G1604">
        <f>tblMoeHistory[[#This Row],[LEA State and Local Amount]]+tblMoeHistory[[#This Row],[ESD State and Local Amount]]</f>
        <v>607003.76</v>
      </c>
      <c r="H1604">
        <v>0</v>
      </c>
      <c r="I1604" t="s">
        <v>241</v>
      </c>
      <c r="J1604" s="44">
        <f>IFERROR(tblMoeHistory[[#This Row],[LEA State and Local Amount]]/tblMoeHistory[[#This Row],[Child Count]],0)</f>
        <v>6245.1130303030304</v>
      </c>
      <c r="K1604">
        <f>IFERROR(tblMoeHistory[[#This Row],[ESD State and Local Amount]]/tblMoeHistory[[#This Row],[Child Count]],0)</f>
        <v>2951.9136363636362</v>
      </c>
      <c r="L1604" s="1">
        <f>IFERROR(tblMoeHistory[[#This Row],[State and Local Total Amount]]/tblMoeHistory[[#This Row],[Child Count]],0)</f>
        <v>9197.0266666666666</v>
      </c>
      <c r="M1604">
        <v>159209.35411764611</v>
      </c>
      <c r="N1604" t="s">
        <v>240</v>
      </c>
      <c r="O1604">
        <v>109983.49</v>
      </c>
      <c r="P1604">
        <v>1004.84</v>
      </c>
      <c r="Q1604">
        <f>tblMoeHistory[[#This Row],[Amount of IDEA Part B, Section 611 award]]+tblMoeHistory[[#This Row],[Amount of IDEA Part B, Section 619 award]]</f>
        <v>110988.33</v>
      </c>
      <c r="T1604">
        <v>597.73</v>
      </c>
      <c r="U16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4" t="str">
        <f>IF(OR(IFERROR(SEARCH("Met",tblMoeHistory[[#This Row],[State and Local Per Capita Result]]),0)&gt;0,IFERROR(SEARCH("Met",tblMoeHistory[[#This Row],[State and Local Total Result]]),0)&gt;0),"Met","Not Met")</f>
        <v>Met</v>
      </c>
    </row>
    <row r="1605" spans="1:22" x14ac:dyDescent="0.35">
      <c r="A1605" t="s">
        <v>48</v>
      </c>
      <c r="B1605">
        <v>2105</v>
      </c>
      <c r="C1605" t="s">
        <v>243</v>
      </c>
      <c r="D1605">
        <v>101</v>
      </c>
      <c r="E1605">
        <v>682853.67</v>
      </c>
      <c r="F1605">
        <v>97581</v>
      </c>
      <c r="G1605">
        <f>tblMoeHistory[[#This Row],[LEA State and Local Amount]]+tblMoeHistory[[#This Row],[ESD State and Local Amount]]</f>
        <v>780434.67</v>
      </c>
      <c r="H1605">
        <v>0</v>
      </c>
      <c r="I1605" t="s">
        <v>241</v>
      </c>
      <c r="J1605" s="44">
        <f>IFERROR(tblMoeHistory[[#This Row],[LEA State and Local Amount]]/tblMoeHistory[[#This Row],[Child Count]],0)</f>
        <v>6760.927425742575</v>
      </c>
      <c r="K1605">
        <f>IFERROR(tblMoeHistory[[#This Row],[ESD State and Local Amount]]/tblMoeHistory[[#This Row],[Child Count]],0)</f>
        <v>966.14851485148517</v>
      </c>
      <c r="L1605" s="1">
        <f>IFERROR(tblMoeHistory[[#This Row],[State and Local Total Amount]]/tblMoeHistory[[#This Row],[Child Count]],0)</f>
        <v>7727.0759405940598</v>
      </c>
      <c r="M1605">
        <v>57982.86606383013</v>
      </c>
      <c r="N1605" t="s">
        <v>240</v>
      </c>
      <c r="O1605">
        <v>114340.56</v>
      </c>
      <c r="P1605">
        <v>1339.78</v>
      </c>
      <c r="Q1605">
        <f>tblMoeHistory[[#This Row],[Amount of IDEA Part B, Section 611 award]]+tblMoeHistory[[#This Row],[Amount of IDEA Part B, Section 619 award]]</f>
        <v>115680.34</v>
      </c>
      <c r="T1605">
        <v>0</v>
      </c>
      <c r="U16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5" t="str">
        <f>IF(OR(IFERROR(SEARCH("Met",tblMoeHistory[[#This Row],[State and Local Per Capita Result]]),0)&gt;0,IFERROR(SEARCH("Met",tblMoeHistory[[#This Row],[State and Local Total Result]]),0)&gt;0),"Met","Not Met")</f>
        <v>Met</v>
      </c>
    </row>
    <row r="1606" spans="1:22" x14ac:dyDescent="0.35">
      <c r="A1606" t="s">
        <v>49</v>
      </c>
      <c r="B1606">
        <v>2042</v>
      </c>
      <c r="C1606" t="s">
        <v>243</v>
      </c>
      <c r="D1606">
        <v>682</v>
      </c>
      <c r="E1606">
        <v>3760148.48</v>
      </c>
      <c r="F1606">
        <v>734660.91</v>
      </c>
      <c r="G1606">
        <f>tblMoeHistory[[#This Row],[LEA State and Local Amount]]+tblMoeHistory[[#This Row],[ESD State and Local Amount]]</f>
        <v>4494809.3899999997</v>
      </c>
      <c r="H1606">
        <v>0</v>
      </c>
      <c r="I1606" t="s">
        <v>241</v>
      </c>
      <c r="J1606" s="44">
        <f>IFERROR(tblMoeHistory[[#This Row],[LEA State and Local Amount]]/tblMoeHistory[[#This Row],[Child Count]],0)</f>
        <v>5513.4141935483867</v>
      </c>
      <c r="K1606">
        <f>IFERROR(tblMoeHistory[[#This Row],[ESD State and Local Amount]]/tblMoeHistory[[#This Row],[Child Count]],0)</f>
        <v>1077.2154105571849</v>
      </c>
      <c r="L1606" s="1">
        <f>IFERROR(tblMoeHistory[[#This Row],[State and Local Total Amount]]/tblMoeHistory[[#This Row],[Child Count]],0)</f>
        <v>6590.6296041055712</v>
      </c>
      <c r="M1606">
        <v>390576.69173376844</v>
      </c>
      <c r="N1606" t="s">
        <v>240</v>
      </c>
      <c r="O1606">
        <v>670369.37</v>
      </c>
      <c r="P1606">
        <v>13062.87</v>
      </c>
      <c r="Q1606">
        <f>tblMoeHistory[[#This Row],[Amount of IDEA Part B, Section 611 award]]+tblMoeHistory[[#This Row],[Amount of IDEA Part B, Section 619 award]]</f>
        <v>683432.24</v>
      </c>
      <c r="T1606">
        <v>129.28</v>
      </c>
      <c r="U16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6" t="str">
        <f>IF(OR(IFERROR(SEARCH("Met",tblMoeHistory[[#This Row],[State and Local Per Capita Result]]),0)&gt;0,IFERROR(SEARCH("Met",tblMoeHistory[[#This Row],[State and Local Total Result]]),0)&gt;0),"Met","Not Met")</f>
        <v>Met</v>
      </c>
    </row>
    <row r="1607" spans="1:22" x14ac:dyDescent="0.35">
      <c r="A1607" t="s">
        <v>50</v>
      </c>
      <c r="B1607">
        <v>2191</v>
      </c>
      <c r="C1607" t="s">
        <v>243</v>
      </c>
      <c r="D1607">
        <v>351</v>
      </c>
      <c r="E1607">
        <v>6271229.3499999996</v>
      </c>
      <c r="F1607">
        <v>327156.3</v>
      </c>
      <c r="G1607">
        <f>tblMoeHistory[[#This Row],[LEA State and Local Amount]]+tblMoeHistory[[#This Row],[ESD State and Local Amount]]</f>
        <v>6598385.6499999994</v>
      </c>
      <c r="H1607">
        <v>0</v>
      </c>
      <c r="I1607" t="s">
        <v>241</v>
      </c>
      <c r="J1607" s="44">
        <f>IFERROR(tblMoeHistory[[#This Row],[LEA State and Local Amount]]/tblMoeHistory[[#This Row],[Child Count]],0)</f>
        <v>17866.750284900285</v>
      </c>
      <c r="K1607">
        <f>IFERROR(tblMoeHistory[[#This Row],[ESD State and Local Amount]]/tblMoeHistory[[#This Row],[Child Count]],0)</f>
        <v>932.06923076923078</v>
      </c>
      <c r="L1607" s="1">
        <f>IFERROR(tblMoeHistory[[#This Row],[State and Local Total Amount]]/tblMoeHistory[[#This Row],[Child Count]],0)</f>
        <v>18798.819515669515</v>
      </c>
      <c r="M1607">
        <v>0</v>
      </c>
      <c r="N1607" t="s">
        <v>241</v>
      </c>
      <c r="O1607">
        <v>455830.16</v>
      </c>
      <c r="P1607">
        <v>3546.48</v>
      </c>
      <c r="Q1607">
        <f>tblMoeHistory[[#This Row],[Amount of IDEA Part B, Section 611 award]]+tblMoeHistory[[#This Row],[Amount of IDEA Part B, Section 619 award]]</f>
        <v>459376.63999999996</v>
      </c>
      <c r="U16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7" t="str">
        <f>IF(OR(IFERROR(SEARCH("Met",tblMoeHistory[[#This Row],[State and Local Per Capita Result]]),0)&gt;0,IFERROR(SEARCH("Met",tblMoeHistory[[#This Row],[State and Local Total Result]]),0)&gt;0),"Met","Not Met")</f>
        <v>Met</v>
      </c>
    </row>
    <row r="1608" spans="1:22" x14ac:dyDescent="0.35">
      <c r="A1608" t="s">
        <v>51</v>
      </c>
      <c r="B1608">
        <v>1945</v>
      </c>
      <c r="C1608" t="s">
        <v>243</v>
      </c>
      <c r="D1608">
        <v>138</v>
      </c>
      <c r="E1608">
        <v>1588968.26</v>
      </c>
      <c r="F1608">
        <v>228474</v>
      </c>
      <c r="G1608">
        <f>tblMoeHistory[[#This Row],[LEA State and Local Amount]]+tblMoeHistory[[#This Row],[ESD State and Local Amount]]</f>
        <v>1817442.26</v>
      </c>
      <c r="H1608">
        <v>0</v>
      </c>
      <c r="I1608" t="s">
        <v>241</v>
      </c>
      <c r="J1608" s="44">
        <f>IFERROR(tblMoeHistory[[#This Row],[LEA State and Local Amount]]/tblMoeHistory[[#This Row],[Child Count]],0)</f>
        <v>11514.262753623188</v>
      </c>
      <c r="K1608">
        <f>IFERROR(tblMoeHistory[[#This Row],[ESD State and Local Amount]]/tblMoeHistory[[#This Row],[Child Count]],0)</f>
        <v>1655.608695652174</v>
      </c>
      <c r="L1608" s="1">
        <f>IFERROR(tblMoeHistory[[#This Row],[State and Local Total Amount]]/tblMoeHistory[[#This Row],[Child Count]],0)</f>
        <v>13169.871449275362</v>
      </c>
      <c r="M1608">
        <v>175714.03669421008</v>
      </c>
      <c r="N1608" t="s">
        <v>240</v>
      </c>
      <c r="O1608">
        <v>124902.84</v>
      </c>
      <c r="P1608">
        <v>1004.84</v>
      </c>
      <c r="Q1608">
        <f>tblMoeHistory[[#This Row],[Amount of IDEA Part B, Section 611 award]]+tblMoeHistory[[#This Row],[Amount of IDEA Part B, Section 619 award]]</f>
        <v>125907.68</v>
      </c>
      <c r="T1608">
        <v>0</v>
      </c>
      <c r="U16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8" t="str">
        <f>IF(OR(IFERROR(SEARCH("Met",tblMoeHistory[[#This Row],[State and Local Per Capita Result]]),0)&gt;0,IFERROR(SEARCH("Met",tblMoeHistory[[#This Row],[State and Local Total Result]]),0)&gt;0),"Met","Not Met")</f>
        <v>Met</v>
      </c>
    </row>
    <row r="1609" spans="1:22" x14ac:dyDescent="0.35">
      <c r="A1609" t="s">
        <v>52</v>
      </c>
      <c r="B1609">
        <v>1927</v>
      </c>
      <c r="C1609" t="s">
        <v>243</v>
      </c>
      <c r="D1609">
        <v>88</v>
      </c>
      <c r="E1609">
        <v>815050.71</v>
      </c>
      <c r="F1609">
        <v>77606</v>
      </c>
      <c r="G1609">
        <f>tblMoeHistory[[#This Row],[LEA State and Local Amount]]+tblMoeHistory[[#This Row],[ESD State and Local Amount]]</f>
        <v>892656.71</v>
      </c>
      <c r="H1609">
        <v>0</v>
      </c>
      <c r="I1609" t="s">
        <v>241</v>
      </c>
      <c r="J1609" s="44">
        <f>IFERROR(tblMoeHistory[[#This Row],[LEA State and Local Amount]]/tblMoeHistory[[#This Row],[Child Count]],0)</f>
        <v>9261.9398863636361</v>
      </c>
      <c r="K1609">
        <f>IFERROR(tblMoeHistory[[#This Row],[ESD State and Local Amount]]/tblMoeHistory[[#This Row],[Child Count]],0)</f>
        <v>881.88636363636363</v>
      </c>
      <c r="L1609" s="1">
        <f>IFERROR(tblMoeHistory[[#This Row],[State and Local Total Amount]]/tblMoeHistory[[#This Row],[Child Count]],0)</f>
        <v>10143.82625</v>
      </c>
      <c r="M1609">
        <v>0</v>
      </c>
      <c r="N1609" t="s">
        <v>242</v>
      </c>
      <c r="O1609">
        <v>116681.92</v>
      </c>
      <c r="P1609">
        <v>1105.32</v>
      </c>
      <c r="Q1609">
        <f>tblMoeHistory[[#This Row],[Amount of IDEA Part B, Section 611 award]]+tblMoeHistory[[#This Row],[Amount of IDEA Part B, Section 619 award]]</f>
        <v>117787.24</v>
      </c>
      <c r="T1609">
        <v>5363.06</v>
      </c>
      <c r="U16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9" t="str">
        <f>IF(OR(IFERROR(SEARCH("Met",tblMoeHistory[[#This Row],[State and Local Per Capita Result]]),0)&gt;0,IFERROR(SEARCH("Met",tblMoeHistory[[#This Row],[State and Local Total Result]]),0)&gt;0),"Met","Not Met")</f>
        <v>Met</v>
      </c>
    </row>
    <row r="1610" spans="1:22" x14ac:dyDescent="0.35">
      <c r="A1610" t="s">
        <v>53</v>
      </c>
      <c r="B1610">
        <v>2006</v>
      </c>
      <c r="C1610" t="s">
        <v>243</v>
      </c>
      <c r="D1610">
        <v>24</v>
      </c>
      <c r="E1610">
        <v>32261.23</v>
      </c>
      <c r="F1610">
        <v>121492.44</v>
      </c>
      <c r="G1610">
        <f>tblMoeHistory[[#This Row],[LEA State and Local Amount]]+tblMoeHistory[[#This Row],[ESD State and Local Amount]]</f>
        <v>153753.67000000001</v>
      </c>
      <c r="H1610">
        <v>0</v>
      </c>
      <c r="I1610" t="s">
        <v>241</v>
      </c>
      <c r="J1610" s="44">
        <f>IFERROR(tblMoeHistory[[#This Row],[LEA State and Local Amount]]/tblMoeHistory[[#This Row],[Child Count]],0)</f>
        <v>1344.2179166666667</v>
      </c>
      <c r="K1610">
        <f>IFERROR(tblMoeHistory[[#This Row],[ESD State and Local Amount]]/tblMoeHistory[[#This Row],[Child Count]],0)</f>
        <v>5062.1850000000004</v>
      </c>
      <c r="L1610" s="1">
        <f>IFERROR(tblMoeHistory[[#This Row],[State and Local Total Amount]]/tblMoeHistory[[#This Row],[Child Count]],0)</f>
        <v>6406.4029166666669</v>
      </c>
      <c r="M1610">
        <v>15808.207647058865</v>
      </c>
      <c r="N1610" t="s">
        <v>240</v>
      </c>
      <c r="O1610">
        <v>25328.46</v>
      </c>
      <c r="P1610">
        <v>0</v>
      </c>
      <c r="Q1610">
        <f>tblMoeHistory[[#This Row],[Amount of IDEA Part B, Section 611 award]]+tblMoeHistory[[#This Row],[Amount of IDEA Part B, Section 619 award]]</f>
        <v>25328.46</v>
      </c>
      <c r="T1610">
        <v>0</v>
      </c>
      <c r="U16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0" t="str">
        <f>IF(OR(IFERROR(SEARCH("Met",tblMoeHistory[[#This Row],[State and Local Per Capita Result]]),0)&gt;0,IFERROR(SEARCH("Met",tblMoeHistory[[#This Row],[State and Local Total Result]]),0)&gt;0),"Met","Not Met")</f>
        <v>Met</v>
      </c>
    </row>
    <row r="1611" spans="1:22" x14ac:dyDescent="0.35">
      <c r="A1611" t="s">
        <v>54</v>
      </c>
      <c r="B1611">
        <v>1965</v>
      </c>
      <c r="C1611" t="s">
        <v>243</v>
      </c>
      <c r="D1611">
        <v>537</v>
      </c>
      <c r="E1611">
        <v>4695966.53</v>
      </c>
      <c r="F1611">
        <v>1711005.65</v>
      </c>
      <c r="G1611">
        <f>tblMoeHistory[[#This Row],[LEA State and Local Amount]]+tblMoeHistory[[#This Row],[ESD State and Local Amount]]</f>
        <v>6406972.1799999997</v>
      </c>
      <c r="H1611">
        <v>0</v>
      </c>
      <c r="I1611" t="s">
        <v>241</v>
      </c>
      <c r="J1611" s="44">
        <f>IFERROR(tblMoeHistory[[#This Row],[LEA State and Local Amount]]/tblMoeHistory[[#This Row],[Child Count]],0)</f>
        <v>8744.8166294227194</v>
      </c>
      <c r="K1611">
        <f>IFERROR(tblMoeHistory[[#This Row],[ESD State and Local Amount]]/tblMoeHistory[[#This Row],[Child Count]],0)</f>
        <v>3186.2302607076349</v>
      </c>
      <c r="L1611" s="1">
        <f>IFERROR(tblMoeHistory[[#This Row],[State and Local Total Amount]]/tblMoeHistory[[#This Row],[Child Count]],0)</f>
        <v>11931.046890130354</v>
      </c>
      <c r="M1611">
        <v>0</v>
      </c>
      <c r="N1611" t="s">
        <v>241</v>
      </c>
      <c r="O1611">
        <v>707674.65</v>
      </c>
      <c r="P1611">
        <v>6801.97</v>
      </c>
      <c r="Q1611">
        <f>tblMoeHistory[[#This Row],[Amount of IDEA Part B, Section 611 award]]+tblMoeHistory[[#This Row],[Amount of IDEA Part B, Section 619 award]]</f>
        <v>714476.62</v>
      </c>
      <c r="U16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1" t="str">
        <f>IF(OR(IFERROR(SEARCH("Met",tblMoeHistory[[#This Row],[State and Local Per Capita Result]]),0)&gt;0,IFERROR(SEARCH("Met",tblMoeHistory[[#This Row],[State and Local Total Result]]),0)&gt;0),"Met","Not Met")</f>
        <v>Met</v>
      </c>
    </row>
    <row r="1612" spans="1:22" x14ac:dyDescent="0.35">
      <c r="A1612" t="s">
        <v>55</v>
      </c>
      <c r="B1612">
        <v>1964</v>
      </c>
      <c r="C1612" t="s">
        <v>243</v>
      </c>
      <c r="D1612">
        <v>149</v>
      </c>
      <c r="E1612">
        <v>1094150.52</v>
      </c>
      <c r="F1612">
        <v>219335.43</v>
      </c>
      <c r="G1612">
        <f>tblMoeHistory[[#This Row],[LEA State and Local Amount]]+tblMoeHistory[[#This Row],[ESD State and Local Amount]]</f>
        <v>1313485.95</v>
      </c>
      <c r="H1612">
        <v>0</v>
      </c>
      <c r="I1612" t="s">
        <v>241</v>
      </c>
      <c r="J1612" s="44">
        <f>IFERROR(tblMoeHistory[[#This Row],[LEA State and Local Amount]]/tblMoeHistory[[#This Row],[Child Count]],0)</f>
        <v>7343.2920805369131</v>
      </c>
      <c r="K1612">
        <f>IFERROR(tblMoeHistory[[#This Row],[ESD State and Local Amount]]/tblMoeHistory[[#This Row],[Child Count]],0)</f>
        <v>1472.0498657718119</v>
      </c>
      <c r="L1612" s="1">
        <f>IFERROR(tblMoeHistory[[#This Row],[State and Local Total Amount]]/tblMoeHistory[[#This Row],[Child Count]],0)</f>
        <v>8815.3419463087248</v>
      </c>
      <c r="M1612">
        <v>308863.98159573891</v>
      </c>
      <c r="N1612" t="s">
        <v>240</v>
      </c>
      <c r="O1612">
        <v>206141.37</v>
      </c>
      <c r="P1612">
        <v>3875.8</v>
      </c>
      <c r="Q1612">
        <f>tblMoeHistory[[#This Row],[Amount of IDEA Part B, Section 611 award]]+tblMoeHistory[[#This Row],[Amount of IDEA Part B, Section 619 award]]</f>
        <v>210017.16999999998</v>
      </c>
      <c r="T1612">
        <v>0</v>
      </c>
      <c r="U16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2" t="str">
        <f>IF(OR(IFERROR(SEARCH("Met",tblMoeHistory[[#This Row],[State and Local Per Capita Result]]),0)&gt;0,IFERROR(SEARCH("Met",tblMoeHistory[[#This Row],[State and Local Total Result]]),0)&gt;0),"Met","Not Met")</f>
        <v>Met</v>
      </c>
    </row>
    <row r="1613" spans="1:22" x14ac:dyDescent="0.35">
      <c r="A1613" t="s">
        <v>56</v>
      </c>
      <c r="B1613">
        <v>2186</v>
      </c>
      <c r="C1613" t="s">
        <v>243</v>
      </c>
      <c r="D1613">
        <v>159</v>
      </c>
      <c r="E1613">
        <v>700795.43</v>
      </c>
      <c r="F1613">
        <v>470839.82</v>
      </c>
      <c r="G1613">
        <f>tblMoeHistory[[#This Row],[LEA State and Local Amount]]+tblMoeHistory[[#This Row],[ESD State and Local Amount]]</f>
        <v>1171635.25</v>
      </c>
      <c r="H1613">
        <v>0</v>
      </c>
      <c r="I1613" t="s">
        <v>241</v>
      </c>
      <c r="J1613" s="44">
        <f>IFERROR(tblMoeHistory[[#This Row],[LEA State and Local Amount]]/tblMoeHistory[[#This Row],[Child Count]],0)</f>
        <v>4407.518427672956</v>
      </c>
      <c r="K1613">
        <f>IFERROR(tblMoeHistory[[#This Row],[ESD State and Local Amount]]/tblMoeHistory[[#This Row],[Child Count]],0)</f>
        <v>2961.2567295597487</v>
      </c>
      <c r="L1613" s="1">
        <f>IFERROR(tblMoeHistory[[#This Row],[State and Local Total Amount]]/tblMoeHistory[[#This Row],[Child Count]],0)</f>
        <v>7368.7751572327043</v>
      </c>
      <c r="M1613">
        <v>1378710.1811627867</v>
      </c>
      <c r="N1613" t="s">
        <v>240</v>
      </c>
      <c r="O1613">
        <v>155505.43</v>
      </c>
      <c r="P1613">
        <v>1055.08</v>
      </c>
      <c r="Q1613">
        <f>tblMoeHistory[[#This Row],[Amount of IDEA Part B, Section 611 award]]+tblMoeHistory[[#This Row],[Amount of IDEA Part B, Section 619 award]]</f>
        <v>156560.50999999998</v>
      </c>
      <c r="T1613">
        <v>158.46</v>
      </c>
      <c r="U16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3" t="str">
        <f>IF(OR(IFERROR(SEARCH("Met",tblMoeHistory[[#This Row],[State and Local Per Capita Result]]),0)&gt;0,IFERROR(SEARCH("Met",tblMoeHistory[[#This Row],[State and Local Total Result]]),0)&gt;0),"Met","Not Met")</f>
        <v>Met</v>
      </c>
    </row>
    <row r="1614" spans="1:22" x14ac:dyDescent="0.35">
      <c r="A1614" t="s">
        <v>58</v>
      </c>
      <c r="B1614">
        <v>1901</v>
      </c>
      <c r="C1614" t="s">
        <v>243</v>
      </c>
      <c r="D1614">
        <v>678</v>
      </c>
      <c r="E1614">
        <v>8792874.3499999996</v>
      </c>
      <c r="F1614">
        <v>828402</v>
      </c>
      <c r="G1614">
        <f>tblMoeHistory[[#This Row],[LEA State and Local Amount]]+tblMoeHistory[[#This Row],[ESD State and Local Amount]]</f>
        <v>9621276.3499999996</v>
      </c>
      <c r="H1614">
        <v>0</v>
      </c>
      <c r="I1614" t="s">
        <v>241</v>
      </c>
      <c r="J1614" s="44">
        <f>IFERROR(tblMoeHistory[[#This Row],[LEA State and Local Amount]]/tblMoeHistory[[#This Row],[Child Count]],0)</f>
        <v>12968.841224188791</v>
      </c>
      <c r="K1614">
        <f>IFERROR(tblMoeHistory[[#This Row],[ESD State and Local Amount]]/tblMoeHistory[[#This Row],[Child Count]],0)</f>
        <v>1221.8318584070796</v>
      </c>
      <c r="L1614" s="1">
        <f>IFERROR(tblMoeHistory[[#This Row],[State and Local Total Amount]]/tblMoeHistory[[#This Row],[Child Count]],0)</f>
        <v>14190.673082595869</v>
      </c>
      <c r="M1614">
        <v>0</v>
      </c>
      <c r="N1614" t="s">
        <v>241</v>
      </c>
      <c r="O1614">
        <v>1045500.57</v>
      </c>
      <c r="P1614">
        <v>9294.73</v>
      </c>
      <c r="Q1614">
        <f>tblMoeHistory[[#This Row],[Amount of IDEA Part B, Section 611 award]]+tblMoeHistory[[#This Row],[Amount of IDEA Part B, Section 619 award]]</f>
        <v>1054795.3</v>
      </c>
      <c r="U16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4" t="str">
        <f>IF(OR(IFERROR(SEARCH("Met",tblMoeHistory[[#This Row],[State and Local Per Capita Result]]),0)&gt;0,IFERROR(SEARCH("Met",tblMoeHistory[[#This Row],[State and Local Total Result]]),0)&gt;0),"Met","Not Met")</f>
        <v>Met</v>
      </c>
    </row>
    <row r="1615" spans="1:22" x14ac:dyDescent="0.35">
      <c r="A1615" t="s">
        <v>59</v>
      </c>
      <c r="B1615">
        <v>2216</v>
      </c>
      <c r="C1615" t="s">
        <v>243</v>
      </c>
      <c r="D1615">
        <v>44</v>
      </c>
      <c r="E1615">
        <v>147978.26999999999</v>
      </c>
      <c r="F1615">
        <v>73046.350000000006</v>
      </c>
      <c r="G1615">
        <f>tblMoeHistory[[#This Row],[LEA State and Local Amount]]+tblMoeHistory[[#This Row],[ESD State and Local Amount]]</f>
        <v>221024.62</v>
      </c>
      <c r="H1615">
        <v>0</v>
      </c>
      <c r="I1615" t="s">
        <v>241</v>
      </c>
      <c r="J1615" s="44">
        <f>IFERROR(tblMoeHistory[[#This Row],[LEA State and Local Amount]]/tblMoeHistory[[#This Row],[Child Count]],0)</f>
        <v>3363.1424999999999</v>
      </c>
      <c r="K1615">
        <f>IFERROR(tblMoeHistory[[#This Row],[ESD State and Local Amount]]/tblMoeHistory[[#This Row],[Child Count]],0)</f>
        <v>1660.1443181818183</v>
      </c>
      <c r="L1615" s="1">
        <f>IFERROR(tblMoeHistory[[#This Row],[State and Local Total Amount]]/tblMoeHistory[[#This Row],[Child Count]],0)</f>
        <v>5023.2868181818185</v>
      </c>
      <c r="M1615">
        <v>95646.565599999987</v>
      </c>
      <c r="N1615" t="s">
        <v>240</v>
      </c>
      <c r="O1615">
        <v>49420.65</v>
      </c>
      <c r="P1615">
        <v>1507.25</v>
      </c>
      <c r="Q1615">
        <f>tblMoeHistory[[#This Row],[Amount of IDEA Part B, Section 611 award]]+tblMoeHistory[[#This Row],[Amount of IDEA Part B, Section 619 award]]</f>
        <v>50927.9</v>
      </c>
      <c r="T1615">
        <v>0</v>
      </c>
      <c r="U16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5" t="str">
        <f>IF(OR(IFERROR(SEARCH("Met",tblMoeHistory[[#This Row],[State and Local Per Capita Result]]),0)&gt;0,IFERROR(SEARCH("Met",tblMoeHistory[[#This Row],[State and Local Total Result]]),0)&gt;0),"Met","Not Met")</f>
        <v>Met</v>
      </c>
    </row>
    <row r="1616" spans="1:22" x14ac:dyDescent="0.35">
      <c r="A1616" t="s">
        <v>60</v>
      </c>
      <c r="B1616">
        <v>2086</v>
      </c>
      <c r="C1616" t="s">
        <v>243</v>
      </c>
      <c r="D1616">
        <v>220</v>
      </c>
      <c r="E1616">
        <v>2752052.6</v>
      </c>
      <c r="F1616">
        <v>429668</v>
      </c>
      <c r="G1616">
        <f>tblMoeHistory[[#This Row],[LEA State and Local Amount]]+tblMoeHistory[[#This Row],[ESD State and Local Amount]]</f>
        <v>3181720.6</v>
      </c>
      <c r="H1616">
        <v>0</v>
      </c>
      <c r="I1616" t="s">
        <v>242</v>
      </c>
      <c r="J1616" s="44">
        <f>IFERROR(tblMoeHistory[[#This Row],[LEA State and Local Amount]]/tblMoeHistory[[#This Row],[Child Count]],0)</f>
        <v>12509.33</v>
      </c>
      <c r="K1616">
        <f>IFERROR(tblMoeHistory[[#This Row],[ESD State and Local Amount]]/tblMoeHistory[[#This Row],[Child Count]],0)</f>
        <v>1953.0363636363636</v>
      </c>
      <c r="L1616" s="1">
        <f>IFERROR(tblMoeHistory[[#This Row],[State and Local Total Amount]]/tblMoeHistory[[#This Row],[Child Count]],0)</f>
        <v>14462.366363636364</v>
      </c>
      <c r="M1616">
        <v>0</v>
      </c>
      <c r="N1616" t="s">
        <v>241</v>
      </c>
      <c r="O1616">
        <v>257057.99</v>
      </c>
      <c r="P1616">
        <v>3146.72</v>
      </c>
      <c r="Q1616">
        <f>tblMoeHistory[[#This Row],[Amount of IDEA Part B, Section 611 award]]+tblMoeHistory[[#This Row],[Amount of IDEA Part B, Section 619 award]]</f>
        <v>260204.71</v>
      </c>
      <c r="S1616">
        <v>14461.9</v>
      </c>
      <c r="U16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6" t="str">
        <f>IF(OR(IFERROR(SEARCH("Met",tblMoeHistory[[#This Row],[State and Local Per Capita Result]]),0)&gt;0,IFERROR(SEARCH("Met",tblMoeHistory[[#This Row],[State and Local Total Result]]),0)&gt;0),"Met","Not Met")</f>
        <v>Met</v>
      </c>
    </row>
    <row r="1617" spans="1:22" x14ac:dyDescent="0.35">
      <c r="A1617" t="s">
        <v>61</v>
      </c>
      <c r="B1617">
        <v>1970</v>
      </c>
      <c r="C1617" t="s">
        <v>243</v>
      </c>
      <c r="D1617">
        <v>409</v>
      </c>
      <c r="E1617">
        <v>3981862.92</v>
      </c>
      <c r="F1617">
        <v>214057.23</v>
      </c>
      <c r="G1617">
        <f>tblMoeHistory[[#This Row],[LEA State and Local Amount]]+tblMoeHistory[[#This Row],[ESD State and Local Amount]]</f>
        <v>4195920.1500000004</v>
      </c>
      <c r="H1617">
        <v>0</v>
      </c>
      <c r="I1617" t="s">
        <v>241</v>
      </c>
      <c r="J1617" s="44">
        <f>IFERROR(tblMoeHistory[[#This Row],[LEA State and Local Amount]]/tblMoeHistory[[#This Row],[Child Count]],0)</f>
        <v>9735.6061613691927</v>
      </c>
      <c r="K1617">
        <f>IFERROR(tblMoeHistory[[#This Row],[ESD State and Local Amount]]/tblMoeHistory[[#This Row],[Child Count]],0)</f>
        <v>523.36731051344748</v>
      </c>
      <c r="L1617" s="1">
        <f>IFERROR(tblMoeHistory[[#This Row],[State and Local Total Amount]]/tblMoeHistory[[#This Row],[Child Count]],0)</f>
        <v>10258.973471882642</v>
      </c>
      <c r="M1617">
        <v>260076.08148051469</v>
      </c>
      <c r="N1617" t="s">
        <v>240</v>
      </c>
      <c r="O1617">
        <v>522355.63</v>
      </c>
      <c r="P1617">
        <v>4923.7</v>
      </c>
      <c r="Q1617">
        <f>tblMoeHistory[[#This Row],[Amount of IDEA Part B, Section 611 award]]+tblMoeHistory[[#This Row],[Amount of IDEA Part B, Section 619 award]]</f>
        <v>527279.32999999996</v>
      </c>
      <c r="T1617">
        <v>0</v>
      </c>
      <c r="U16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7" t="str">
        <f>IF(OR(IFERROR(SEARCH("Met",tblMoeHistory[[#This Row],[State and Local Per Capita Result]]),0)&gt;0,IFERROR(SEARCH("Met",tblMoeHistory[[#This Row],[State and Local Total Result]]),0)&gt;0),"Met","Not Met")</f>
        <v>Met</v>
      </c>
    </row>
    <row r="1618" spans="1:22" x14ac:dyDescent="0.35">
      <c r="A1618" t="s">
        <v>62</v>
      </c>
      <c r="B1618">
        <v>2089</v>
      </c>
      <c r="C1618" t="s">
        <v>243</v>
      </c>
      <c r="D1618">
        <v>40</v>
      </c>
      <c r="E1618">
        <v>408502.42</v>
      </c>
      <c r="F1618">
        <v>120807</v>
      </c>
      <c r="G1618">
        <f>tblMoeHistory[[#This Row],[LEA State and Local Amount]]+tblMoeHistory[[#This Row],[ESD State and Local Amount]]</f>
        <v>529309.41999999993</v>
      </c>
      <c r="H1618">
        <v>0</v>
      </c>
      <c r="I1618" t="s">
        <v>242</v>
      </c>
      <c r="J1618" s="44">
        <f>IFERROR(tblMoeHistory[[#This Row],[LEA State and Local Amount]]/tblMoeHistory[[#This Row],[Child Count]],0)</f>
        <v>10212.5605</v>
      </c>
      <c r="K1618">
        <f>IFERROR(tblMoeHistory[[#This Row],[ESD State and Local Amount]]/tblMoeHistory[[#This Row],[Child Count]],0)</f>
        <v>3020.1750000000002</v>
      </c>
      <c r="L1618" s="1">
        <f>IFERROR(tblMoeHistory[[#This Row],[State and Local Total Amount]]/tblMoeHistory[[#This Row],[Child Count]],0)</f>
        <v>13232.735499999999</v>
      </c>
      <c r="M1618">
        <v>0</v>
      </c>
      <c r="N1618" t="s">
        <v>242</v>
      </c>
      <c r="O1618">
        <v>62739.63</v>
      </c>
      <c r="P1618">
        <v>251.21</v>
      </c>
      <c r="Q1618">
        <f>tblMoeHistory[[#This Row],[Amount of IDEA Part B, Section 611 award]]+tblMoeHistory[[#This Row],[Amount of IDEA Part B, Section 619 award]]</f>
        <v>62990.84</v>
      </c>
      <c r="S1618">
        <v>95556.01</v>
      </c>
      <c r="T1618">
        <v>2275.14</v>
      </c>
      <c r="U16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8" t="str">
        <f>IF(OR(IFERROR(SEARCH("Met",tblMoeHistory[[#This Row],[State and Local Per Capita Result]]),0)&gt;0,IFERROR(SEARCH("Met",tblMoeHistory[[#This Row],[State and Local Total Result]]),0)&gt;0),"Met","Not Met")</f>
        <v>Met</v>
      </c>
    </row>
    <row r="1619" spans="1:22" x14ac:dyDescent="0.35">
      <c r="A1619" t="s">
        <v>63</v>
      </c>
      <c r="B1619">
        <v>2050</v>
      </c>
      <c r="C1619" t="s">
        <v>243</v>
      </c>
      <c r="D1619">
        <v>92</v>
      </c>
      <c r="E1619">
        <v>648916.39</v>
      </c>
      <c r="F1619">
        <v>258510.14</v>
      </c>
      <c r="G1619">
        <f>tblMoeHistory[[#This Row],[LEA State and Local Amount]]+tblMoeHistory[[#This Row],[ESD State and Local Amount]]</f>
        <v>907426.53</v>
      </c>
      <c r="H1619">
        <v>0</v>
      </c>
      <c r="I1619" t="s">
        <v>242</v>
      </c>
      <c r="J1619" s="44">
        <f>IFERROR(tblMoeHistory[[#This Row],[LEA State and Local Amount]]/tblMoeHistory[[#This Row],[Child Count]],0)</f>
        <v>7053.439021739131</v>
      </c>
      <c r="K1619">
        <f>IFERROR(tblMoeHistory[[#This Row],[ESD State and Local Amount]]/tblMoeHistory[[#This Row],[Child Count]],0)</f>
        <v>2809.8928260869566</v>
      </c>
      <c r="L1619" s="1">
        <f>IFERROR(tblMoeHistory[[#This Row],[State and Local Total Amount]]/tblMoeHistory[[#This Row],[Child Count]],0)</f>
        <v>9863.3318478260881</v>
      </c>
      <c r="M1619">
        <v>0</v>
      </c>
      <c r="N1619" t="s">
        <v>242</v>
      </c>
      <c r="O1619">
        <v>113859.69</v>
      </c>
      <c r="P1619">
        <v>1205.8</v>
      </c>
      <c r="Q1619">
        <f>tblMoeHistory[[#This Row],[Amount of IDEA Part B, Section 611 award]]+tblMoeHistory[[#This Row],[Amount of IDEA Part B, Section 619 award]]</f>
        <v>115065.49</v>
      </c>
      <c r="S1619">
        <v>97583.87</v>
      </c>
      <c r="T1619">
        <v>1060.69</v>
      </c>
      <c r="U16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9" t="str">
        <f>IF(OR(IFERROR(SEARCH("Met",tblMoeHistory[[#This Row],[State and Local Per Capita Result]]),0)&gt;0,IFERROR(SEARCH("Met",tblMoeHistory[[#This Row],[State and Local Total Result]]),0)&gt;0),"Met","Not Met")</f>
        <v>Met</v>
      </c>
    </row>
    <row r="1620" spans="1:22" x14ac:dyDescent="0.35">
      <c r="A1620" t="s">
        <v>64</v>
      </c>
      <c r="B1620">
        <v>2190</v>
      </c>
      <c r="C1620" t="s">
        <v>243</v>
      </c>
      <c r="D1620">
        <v>506</v>
      </c>
      <c r="E1620">
        <v>5106213.57</v>
      </c>
      <c r="F1620">
        <v>404974.41</v>
      </c>
      <c r="G1620">
        <f>tblMoeHistory[[#This Row],[LEA State and Local Amount]]+tblMoeHistory[[#This Row],[ESD State and Local Amount]]</f>
        <v>5511187.9800000004</v>
      </c>
      <c r="H1620">
        <v>0</v>
      </c>
      <c r="I1620" t="s">
        <v>241</v>
      </c>
      <c r="J1620" s="44">
        <f>IFERROR(tblMoeHistory[[#This Row],[LEA State and Local Amount]]/tblMoeHistory[[#This Row],[Child Count]],0)</f>
        <v>10091.331166007905</v>
      </c>
      <c r="K1620">
        <f>IFERROR(tblMoeHistory[[#This Row],[ESD State and Local Amount]]/tblMoeHistory[[#This Row],[Child Count]],0)</f>
        <v>800.34468379446639</v>
      </c>
      <c r="L1620" s="1">
        <f>IFERROR(tblMoeHistory[[#This Row],[State and Local Total Amount]]/tblMoeHistory[[#This Row],[Child Count]],0)</f>
        <v>10891.675849802372</v>
      </c>
      <c r="M1620">
        <v>0</v>
      </c>
      <c r="N1620" t="s">
        <v>241</v>
      </c>
      <c r="O1620">
        <v>532298.84</v>
      </c>
      <c r="P1620">
        <v>4823.21</v>
      </c>
      <c r="Q1620">
        <f>tblMoeHistory[[#This Row],[Amount of IDEA Part B, Section 611 award]]+tblMoeHistory[[#This Row],[Amount of IDEA Part B, Section 619 award]]</f>
        <v>537122.04999999993</v>
      </c>
      <c r="U16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0" t="str">
        <f>IF(OR(IFERROR(SEARCH("Met",tblMoeHistory[[#This Row],[State and Local Per Capita Result]]),0)&gt;0,IFERROR(SEARCH("Met",tblMoeHistory[[#This Row],[State and Local Total Result]]),0)&gt;0),"Met","Not Met")</f>
        <v>Met</v>
      </c>
    </row>
    <row r="1621" spans="1:22" x14ac:dyDescent="0.35">
      <c r="A1621" t="s">
        <v>65</v>
      </c>
      <c r="B1621">
        <v>2187</v>
      </c>
      <c r="C1621" t="s">
        <v>243</v>
      </c>
      <c r="D1621">
        <v>1214</v>
      </c>
      <c r="E1621">
        <v>14888234.67</v>
      </c>
      <c r="F1621">
        <v>1435505.83</v>
      </c>
      <c r="G1621">
        <f>tblMoeHistory[[#This Row],[LEA State and Local Amount]]+tblMoeHistory[[#This Row],[ESD State and Local Amount]]</f>
        <v>16323740.5</v>
      </c>
      <c r="H1621">
        <v>0</v>
      </c>
      <c r="I1621" t="s">
        <v>241</v>
      </c>
      <c r="J1621" s="44">
        <f>IFERROR(tblMoeHistory[[#This Row],[LEA State and Local Amount]]/tblMoeHistory[[#This Row],[Child Count]],0)</f>
        <v>12263.784736408566</v>
      </c>
      <c r="K1621">
        <f>IFERROR(tblMoeHistory[[#This Row],[ESD State and Local Amount]]/tblMoeHistory[[#This Row],[Child Count]],0)</f>
        <v>1182.4594975288303</v>
      </c>
      <c r="L1621" s="1">
        <f>IFERROR(tblMoeHistory[[#This Row],[State and Local Total Amount]]/tblMoeHistory[[#This Row],[Child Count]],0)</f>
        <v>13446.244233937397</v>
      </c>
      <c r="M1621">
        <v>0</v>
      </c>
      <c r="N1621" t="s">
        <v>241</v>
      </c>
      <c r="O1621">
        <v>1515351.53</v>
      </c>
      <c r="P1621">
        <v>13807.98</v>
      </c>
      <c r="Q1621">
        <f>tblMoeHistory[[#This Row],[Amount of IDEA Part B, Section 611 award]]+tblMoeHistory[[#This Row],[Amount of IDEA Part B, Section 619 award]]</f>
        <v>1529159.51</v>
      </c>
      <c r="U16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1" t="str">
        <f>IF(OR(IFERROR(SEARCH("Met",tblMoeHistory[[#This Row],[State and Local Per Capita Result]]),0)&gt;0,IFERROR(SEARCH("Met",tblMoeHistory[[#This Row],[State and Local Total Result]]),0)&gt;0),"Met","Not Met")</f>
        <v>Met</v>
      </c>
    </row>
    <row r="1622" spans="1:22" x14ac:dyDescent="0.35">
      <c r="A1622" t="s">
        <v>66</v>
      </c>
      <c r="B1622">
        <v>2253</v>
      </c>
      <c r="C1622" t="s">
        <v>243</v>
      </c>
      <c r="D1622">
        <v>122</v>
      </c>
      <c r="E1622">
        <v>1286541.2</v>
      </c>
      <c r="F1622">
        <v>88088.81</v>
      </c>
      <c r="G1622">
        <f>tblMoeHistory[[#This Row],[LEA State and Local Amount]]+tblMoeHistory[[#This Row],[ESD State and Local Amount]]</f>
        <v>1374630.01</v>
      </c>
      <c r="H1622">
        <v>0</v>
      </c>
      <c r="I1622" t="s">
        <v>241</v>
      </c>
      <c r="J1622" s="44">
        <f>IFERROR(tblMoeHistory[[#This Row],[LEA State and Local Amount]]/tblMoeHistory[[#This Row],[Child Count]],0)</f>
        <v>10545.419672131147</v>
      </c>
      <c r="K1622">
        <f>IFERROR(tblMoeHistory[[#This Row],[ESD State and Local Amount]]/tblMoeHistory[[#This Row],[Child Count]],0)</f>
        <v>722.03942622950819</v>
      </c>
      <c r="L1622" s="1">
        <f>IFERROR(tblMoeHistory[[#This Row],[State and Local Total Amount]]/tblMoeHistory[[#This Row],[Child Count]],0)</f>
        <v>11267.459098360656</v>
      </c>
      <c r="M1622">
        <v>0</v>
      </c>
      <c r="N1622" t="s">
        <v>241</v>
      </c>
      <c r="O1622">
        <v>143209.91</v>
      </c>
      <c r="P1622">
        <v>1063.94</v>
      </c>
      <c r="Q1622">
        <f>tblMoeHistory[[#This Row],[Amount of IDEA Part B, Section 611 award]]+tblMoeHistory[[#This Row],[Amount of IDEA Part B, Section 619 award]]</f>
        <v>144273.85</v>
      </c>
      <c r="U16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2" t="str">
        <f>IF(OR(IFERROR(SEARCH("Met",tblMoeHistory[[#This Row],[State and Local Per Capita Result]]),0)&gt;0,IFERROR(SEARCH("Met",tblMoeHistory[[#This Row],[State and Local Total Result]]),0)&gt;0),"Met","Not Met")</f>
        <v>Met</v>
      </c>
    </row>
    <row r="1623" spans="1:22" x14ac:dyDescent="0.35">
      <c r="A1623" t="s">
        <v>67</v>
      </c>
      <c r="B1623">
        <v>2011</v>
      </c>
      <c r="C1623" t="s">
        <v>243</v>
      </c>
      <c r="D1623">
        <v>7</v>
      </c>
      <c r="E1623">
        <v>4412.34</v>
      </c>
      <c r="F1623">
        <v>70745.98</v>
      </c>
      <c r="G1623">
        <f>tblMoeHistory[[#This Row],[LEA State and Local Amount]]+tblMoeHistory[[#This Row],[ESD State and Local Amount]]</f>
        <v>75158.319999999992</v>
      </c>
      <c r="H1623">
        <v>0</v>
      </c>
      <c r="I1623" t="s">
        <v>241</v>
      </c>
      <c r="J1623" s="44">
        <f>IFERROR(tblMoeHistory[[#This Row],[LEA State and Local Amount]]/tblMoeHistory[[#This Row],[Child Count]],0)</f>
        <v>630.33428571428578</v>
      </c>
      <c r="K1623">
        <f>IFERROR(tblMoeHistory[[#This Row],[ESD State and Local Amount]]/tblMoeHistory[[#This Row],[Child Count]],0)</f>
        <v>10106.56857142857</v>
      </c>
      <c r="L1623" s="1">
        <f>IFERROR(tblMoeHistory[[#This Row],[State and Local Total Amount]]/tblMoeHistory[[#This Row],[Child Count]],0)</f>
        <v>10736.902857142855</v>
      </c>
      <c r="M1623">
        <v>185163</v>
      </c>
      <c r="N1623" t="s">
        <v>240</v>
      </c>
      <c r="O1623">
        <v>6878.58</v>
      </c>
      <c r="P1623">
        <v>0</v>
      </c>
      <c r="Q1623">
        <f>tblMoeHistory[[#This Row],[Amount of IDEA Part B, Section 611 award]]+tblMoeHistory[[#This Row],[Amount of IDEA Part B, Section 619 award]]</f>
        <v>6878.58</v>
      </c>
      <c r="S1623">
        <v>0</v>
      </c>
      <c r="T1623">
        <v>0</v>
      </c>
      <c r="U16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3" t="str">
        <f>IF(OR(IFERROR(SEARCH("Met",tblMoeHistory[[#This Row],[State and Local Per Capita Result]]),0)&gt;0,IFERROR(SEARCH("Met",tblMoeHistory[[#This Row],[State and Local Total Result]]),0)&gt;0),"Met","Not Met")</f>
        <v>Met</v>
      </c>
    </row>
    <row r="1624" spans="1:22" x14ac:dyDescent="0.35">
      <c r="A1624" t="s">
        <v>68</v>
      </c>
      <c r="B1624">
        <v>2017</v>
      </c>
      <c r="C1624" t="s">
        <v>243</v>
      </c>
      <c r="D1624">
        <v>2</v>
      </c>
      <c r="E1624">
        <v>0</v>
      </c>
      <c r="F1624">
        <v>3560</v>
      </c>
      <c r="G1624">
        <f>tblMoeHistory[[#This Row],[LEA State and Local Amount]]+tblMoeHistory[[#This Row],[ESD State and Local Amount]]</f>
        <v>3560</v>
      </c>
      <c r="H1624">
        <v>0</v>
      </c>
      <c r="I1624" t="s">
        <v>240</v>
      </c>
      <c r="J1624" s="44">
        <f>IFERROR(tblMoeHistory[[#This Row],[LEA State and Local Amount]]/tblMoeHistory[[#This Row],[Child Count]],0)</f>
        <v>0</v>
      </c>
      <c r="K1624">
        <f>IFERROR(tblMoeHistory[[#This Row],[ESD State and Local Amount]]/tblMoeHistory[[#This Row],[Child Count]],0)</f>
        <v>1780</v>
      </c>
      <c r="L1624" s="1">
        <f>IFERROR(tblMoeHistory[[#This Row],[State and Local Total Amount]]/tblMoeHistory[[#This Row],[Child Count]],0)</f>
        <v>1780</v>
      </c>
      <c r="M1624">
        <v>0</v>
      </c>
      <c r="N1624" t="s">
        <v>241</v>
      </c>
      <c r="O1624">
        <v>0</v>
      </c>
      <c r="P1624">
        <v>0</v>
      </c>
      <c r="Q1624">
        <f>tblMoeHistory[[#This Row],[Amount of IDEA Part B, Section 611 award]]+tblMoeHistory[[#This Row],[Amount of IDEA Part B, Section 619 award]]</f>
        <v>0</v>
      </c>
      <c r="S1624">
        <v>0</v>
      </c>
      <c r="U16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4" t="str">
        <f>IF(OR(IFERROR(SEARCH("Met",tblMoeHistory[[#This Row],[State and Local Per Capita Result]]),0)&gt;0,IFERROR(SEARCH("Met",tblMoeHistory[[#This Row],[State and Local Total Result]]),0)&gt;0),"Met","Not Met")</f>
        <v>Met</v>
      </c>
    </row>
    <row r="1625" spans="1:22" x14ac:dyDescent="0.35">
      <c r="A1625" t="s">
        <v>69</v>
      </c>
      <c r="B1625">
        <v>2021</v>
      </c>
      <c r="C1625" t="s">
        <v>243</v>
      </c>
      <c r="D1625">
        <v>0</v>
      </c>
      <c r="E1625">
        <v>7200</v>
      </c>
      <c r="F1625">
        <v>3302</v>
      </c>
      <c r="G1625">
        <f>tblMoeHistory[[#This Row],[LEA State and Local Amount]]+tblMoeHistory[[#This Row],[ESD State and Local Amount]]</f>
        <v>10502</v>
      </c>
      <c r="H1625">
        <v>0</v>
      </c>
      <c r="I1625" t="s">
        <v>241</v>
      </c>
      <c r="J1625" s="44">
        <f>IFERROR(tblMoeHistory[[#This Row],[LEA State and Local Amount]]/tblMoeHistory[[#This Row],[Child Count]],0)</f>
        <v>0</v>
      </c>
      <c r="K1625">
        <f>IFERROR(tblMoeHistory[[#This Row],[ESD State and Local Amount]]/tblMoeHistory[[#This Row],[Child Count]],0)</f>
        <v>0</v>
      </c>
      <c r="L1625" s="1">
        <f>IFERROR(tblMoeHistory[[#This Row],[State and Local Total Amount]]/tblMoeHistory[[#This Row],[Child Count]],0)</f>
        <v>0</v>
      </c>
      <c r="M1625">
        <v>0</v>
      </c>
      <c r="N1625" t="s">
        <v>241</v>
      </c>
      <c r="O1625">
        <v>0</v>
      </c>
      <c r="P1625">
        <v>0</v>
      </c>
      <c r="Q1625">
        <f>tblMoeHistory[[#This Row],[Amount of IDEA Part B, Section 611 award]]+tblMoeHistory[[#This Row],[Amount of IDEA Part B, Section 619 award]]</f>
        <v>0</v>
      </c>
      <c r="U16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5" t="str">
        <f>IF(OR(IFERROR(SEARCH("Met",tblMoeHistory[[#This Row],[State and Local Per Capita Result]]),0)&gt;0,IFERROR(SEARCH("Met",tblMoeHistory[[#This Row],[State and Local Total Result]]),0)&gt;0),"Met","Not Met")</f>
        <v>Met</v>
      </c>
    </row>
    <row r="1626" spans="1:22" x14ac:dyDescent="0.35">
      <c r="A1626" t="s">
        <v>70</v>
      </c>
      <c r="B1626">
        <v>1993</v>
      </c>
      <c r="C1626" t="s">
        <v>243</v>
      </c>
      <c r="D1626">
        <v>25</v>
      </c>
      <c r="E1626">
        <v>178820.84</v>
      </c>
      <c r="F1626">
        <v>49168.52</v>
      </c>
      <c r="G1626">
        <f>tblMoeHistory[[#This Row],[LEA State and Local Amount]]+tblMoeHistory[[#This Row],[ESD State and Local Amount]]</f>
        <v>227989.36</v>
      </c>
      <c r="H1626">
        <v>8118.5200000000186</v>
      </c>
      <c r="I1626" t="s">
        <v>240</v>
      </c>
      <c r="J1626" s="44">
        <f>IFERROR(tblMoeHistory[[#This Row],[LEA State and Local Amount]]/tblMoeHistory[[#This Row],[Child Count]],0)</f>
        <v>7152.8335999999999</v>
      </c>
      <c r="K1626">
        <f>IFERROR(tblMoeHistory[[#This Row],[ESD State and Local Amount]]/tblMoeHistory[[#This Row],[Child Count]],0)</f>
        <v>1966.7407999999998</v>
      </c>
      <c r="L1626" s="1">
        <f>IFERROR(tblMoeHistory[[#This Row],[State and Local Total Amount]]/tblMoeHistory[[#This Row],[Child Count]],0)</f>
        <v>9119.5743999999995</v>
      </c>
      <c r="M1626">
        <v>40315.049090909997</v>
      </c>
      <c r="N1626" t="s">
        <v>240</v>
      </c>
      <c r="O1626">
        <v>32598.959999999999</v>
      </c>
      <c r="P1626">
        <v>0</v>
      </c>
      <c r="Q1626">
        <f>tblMoeHistory[[#This Row],[Amount of IDEA Part B, Section 611 award]]+tblMoeHistory[[#This Row],[Amount of IDEA Part B, Section 619 award]]</f>
        <v>32598.959999999999</v>
      </c>
      <c r="S1626">
        <v>0</v>
      </c>
      <c r="T1626">
        <v>0</v>
      </c>
      <c r="U16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8118.5200000000186</v>
      </c>
      <c r="V1626" t="str">
        <f>IF(OR(IFERROR(SEARCH("Met",tblMoeHistory[[#This Row],[State and Local Per Capita Result]]),0)&gt;0,IFERROR(SEARCH("Met",tblMoeHistory[[#This Row],[State and Local Total Result]]),0)&gt;0),"Met","Not Met")</f>
        <v>Not Met</v>
      </c>
    </row>
    <row r="1627" spans="1:22" x14ac:dyDescent="0.35">
      <c r="A1627" t="s">
        <v>71</v>
      </c>
      <c r="B1627">
        <v>1991</v>
      </c>
      <c r="C1627" t="s">
        <v>243</v>
      </c>
      <c r="D1627">
        <v>726</v>
      </c>
      <c r="E1627">
        <v>6238849.8200000003</v>
      </c>
      <c r="F1627">
        <v>1566049.58</v>
      </c>
      <c r="G1627">
        <f>tblMoeHistory[[#This Row],[LEA State and Local Amount]]+tblMoeHistory[[#This Row],[ESD State and Local Amount]]</f>
        <v>7804899.4000000004</v>
      </c>
      <c r="H1627">
        <v>0</v>
      </c>
      <c r="I1627" t="s">
        <v>241</v>
      </c>
      <c r="J1627" s="44">
        <f>IFERROR(tblMoeHistory[[#This Row],[LEA State and Local Amount]]/tblMoeHistory[[#This Row],[Child Count]],0)</f>
        <v>8593.4570523415987</v>
      </c>
      <c r="K1627">
        <f>IFERROR(tblMoeHistory[[#This Row],[ESD State and Local Amount]]/tblMoeHistory[[#This Row],[Child Count]],0)</f>
        <v>2157.0930853994491</v>
      </c>
      <c r="L1627" s="1">
        <f>IFERROR(tblMoeHistory[[#This Row],[State and Local Total Amount]]/tblMoeHistory[[#This Row],[Child Count]],0)</f>
        <v>10750.550137741047</v>
      </c>
      <c r="M1627">
        <v>585122.06321425363</v>
      </c>
      <c r="N1627" t="s">
        <v>240</v>
      </c>
      <c r="O1627">
        <v>971627.61</v>
      </c>
      <c r="P1627">
        <v>11179.63</v>
      </c>
      <c r="Q1627">
        <f>tblMoeHistory[[#This Row],[Amount of IDEA Part B, Section 611 award]]+tblMoeHistory[[#This Row],[Amount of IDEA Part B, Section 619 award]]</f>
        <v>982807.24</v>
      </c>
      <c r="T1627">
        <v>0</v>
      </c>
      <c r="U16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7" t="str">
        <f>IF(OR(IFERROR(SEARCH("Met",tblMoeHistory[[#This Row],[State and Local Per Capita Result]]),0)&gt;0,IFERROR(SEARCH("Met",tblMoeHistory[[#This Row],[State and Local Total Result]]),0)&gt;0),"Met","Not Met")</f>
        <v>Met</v>
      </c>
    </row>
    <row r="1628" spans="1:22" x14ac:dyDescent="0.35">
      <c r="A1628" t="s">
        <v>72</v>
      </c>
      <c r="B1628">
        <v>2019</v>
      </c>
      <c r="C1628" t="s">
        <v>243</v>
      </c>
      <c r="D1628">
        <v>0</v>
      </c>
      <c r="E1628">
        <v>9000</v>
      </c>
      <c r="F1628">
        <v>3737</v>
      </c>
      <c r="G1628">
        <f>tblMoeHistory[[#This Row],[LEA State and Local Amount]]+tblMoeHistory[[#This Row],[ESD State and Local Amount]]</f>
        <v>12737</v>
      </c>
      <c r="H1628">
        <v>0</v>
      </c>
      <c r="I1628" t="s">
        <v>241</v>
      </c>
      <c r="J1628" s="44">
        <f>IFERROR(tblMoeHistory[[#This Row],[LEA State and Local Amount]]/tblMoeHistory[[#This Row],[Child Count]],0)</f>
        <v>0</v>
      </c>
      <c r="K1628">
        <f>IFERROR(tblMoeHistory[[#This Row],[ESD State and Local Amount]]/tblMoeHistory[[#This Row],[Child Count]],0)</f>
        <v>0</v>
      </c>
      <c r="L1628" s="1">
        <f>IFERROR(tblMoeHistory[[#This Row],[State and Local Total Amount]]/tblMoeHistory[[#This Row],[Child Count]],0)</f>
        <v>0</v>
      </c>
      <c r="M1628">
        <v>0</v>
      </c>
      <c r="N1628" t="s">
        <v>240</v>
      </c>
      <c r="O1628">
        <v>0</v>
      </c>
      <c r="P1628">
        <v>0</v>
      </c>
      <c r="Q1628">
        <f>tblMoeHistory[[#This Row],[Amount of IDEA Part B, Section 611 award]]+tblMoeHistory[[#This Row],[Amount of IDEA Part B, Section 619 award]]</f>
        <v>0</v>
      </c>
      <c r="T1628">
        <v>8997.18</v>
      </c>
      <c r="U16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8" t="str">
        <f>IF(OR(IFERROR(SEARCH("Met",tblMoeHistory[[#This Row],[State and Local Per Capita Result]]),0)&gt;0,IFERROR(SEARCH("Met",tblMoeHistory[[#This Row],[State and Local Total Result]]),0)&gt;0),"Met","Not Met")</f>
        <v>Met</v>
      </c>
    </row>
    <row r="1629" spans="1:22" x14ac:dyDescent="0.35">
      <c r="A1629" t="s">
        <v>73</v>
      </c>
      <c r="B1629">
        <v>2229</v>
      </c>
      <c r="C1629" t="s">
        <v>243</v>
      </c>
      <c r="D1629">
        <v>39</v>
      </c>
      <c r="E1629">
        <v>236941.02</v>
      </c>
      <c r="F1629">
        <v>0</v>
      </c>
      <c r="G1629">
        <f>tblMoeHistory[[#This Row],[LEA State and Local Amount]]+tblMoeHistory[[#This Row],[ESD State and Local Amount]]</f>
        <v>236941.02</v>
      </c>
      <c r="H1629">
        <v>0</v>
      </c>
      <c r="I1629" t="s">
        <v>241</v>
      </c>
      <c r="J1629" s="44">
        <f>IFERROR(tblMoeHistory[[#This Row],[LEA State and Local Amount]]/tblMoeHistory[[#This Row],[Child Count]],0)</f>
        <v>6075.4107692307689</v>
      </c>
      <c r="K1629">
        <f>IFERROR(tblMoeHistory[[#This Row],[ESD State and Local Amount]]/tblMoeHistory[[#This Row],[Child Count]],0)</f>
        <v>0</v>
      </c>
      <c r="L1629" s="1">
        <f>IFERROR(tblMoeHistory[[#This Row],[State and Local Total Amount]]/tblMoeHistory[[#This Row],[Child Count]],0)</f>
        <v>6075.4107692307689</v>
      </c>
      <c r="M1629">
        <v>31484.0620588237</v>
      </c>
      <c r="N1629" t="s">
        <v>240</v>
      </c>
      <c r="O1629">
        <v>50787.519999999997</v>
      </c>
      <c r="P1629">
        <v>602.9</v>
      </c>
      <c r="Q1629">
        <f>tblMoeHistory[[#This Row],[Amount of IDEA Part B, Section 611 award]]+tblMoeHistory[[#This Row],[Amount of IDEA Part B, Section 619 award]]</f>
        <v>51390.42</v>
      </c>
      <c r="T1629">
        <v>0</v>
      </c>
      <c r="U16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9" t="str">
        <f>IF(OR(IFERROR(SEARCH("Met",tblMoeHistory[[#This Row],[State and Local Per Capita Result]]),0)&gt;0,IFERROR(SEARCH("Met",tblMoeHistory[[#This Row],[State and Local Total Result]]),0)&gt;0),"Met","Not Met")</f>
        <v>Met</v>
      </c>
    </row>
    <row r="1630" spans="1:22" x14ac:dyDescent="0.35">
      <c r="A1630" t="s">
        <v>74</v>
      </c>
      <c r="B1630">
        <v>2043</v>
      </c>
      <c r="C1630" t="s">
        <v>243</v>
      </c>
      <c r="D1630">
        <v>541</v>
      </c>
      <c r="E1630">
        <v>3920412.75</v>
      </c>
      <c r="F1630">
        <v>198475.98</v>
      </c>
      <c r="G1630">
        <f>tblMoeHistory[[#This Row],[LEA State and Local Amount]]+tblMoeHistory[[#This Row],[ESD State and Local Amount]]</f>
        <v>4118888.73</v>
      </c>
      <c r="H1630">
        <v>0</v>
      </c>
      <c r="I1630" t="s">
        <v>241</v>
      </c>
      <c r="J1630" s="44">
        <f>IFERROR(tblMoeHistory[[#This Row],[LEA State and Local Amount]]/tblMoeHistory[[#This Row],[Child Count]],0)</f>
        <v>7246.6039741219965</v>
      </c>
      <c r="K1630">
        <f>IFERROR(tblMoeHistory[[#This Row],[ESD State and Local Amount]]/tblMoeHistory[[#This Row],[Child Count]],0)</f>
        <v>366.86872458410352</v>
      </c>
      <c r="L1630" s="1">
        <f>IFERROR(tblMoeHistory[[#This Row],[State and Local Total Amount]]/tblMoeHistory[[#This Row],[Child Count]],0)</f>
        <v>7613.4726987060994</v>
      </c>
      <c r="M1630">
        <v>3928.5480733044324</v>
      </c>
      <c r="N1630" t="s">
        <v>242</v>
      </c>
      <c r="O1630">
        <v>652132.51</v>
      </c>
      <c r="P1630">
        <v>5853.41</v>
      </c>
      <c r="Q1630">
        <f>tblMoeHistory[[#This Row],[Amount of IDEA Part B, Section 611 award]]+tblMoeHistory[[#This Row],[Amount of IDEA Part B, Section 619 award]]</f>
        <v>657985.92000000004</v>
      </c>
      <c r="T1630">
        <v>305.02</v>
      </c>
      <c r="U16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0" t="str">
        <f>IF(OR(IFERROR(SEARCH("Met",tblMoeHistory[[#This Row],[State and Local Per Capita Result]]),0)&gt;0,IFERROR(SEARCH("Met",tblMoeHistory[[#This Row],[State and Local Total Result]]),0)&gt;0),"Met","Not Met")</f>
        <v>Met</v>
      </c>
    </row>
    <row r="1631" spans="1:22" x14ac:dyDescent="0.35">
      <c r="A1631" t="s">
        <v>75</v>
      </c>
      <c r="B1631">
        <v>2203</v>
      </c>
      <c r="C1631" t="s">
        <v>243</v>
      </c>
      <c r="D1631">
        <v>46</v>
      </c>
      <c r="E1631">
        <v>225356.4</v>
      </c>
      <c r="F1631">
        <v>78225.070000000007</v>
      </c>
      <c r="G1631">
        <f>tblMoeHistory[[#This Row],[LEA State and Local Amount]]+tblMoeHistory[[#This Row],[ESD State and Local Amount]]</f>
        <v>303581.46999999997</v>
      </c>
      <c r="H1631">
        <v>0</v>
      </c>
      <c r="I1631" t="s">
        <v>241</v>
      </c>
      <c r="J1631" s="44">
        <f>IFERROR(tblMoeHistory[[#This Row],[LEA State and Local Amount]]/tblMoeHistory[[#This Row],[Child Count]],0)</f>
        <v>4899.0521739130436</v>
      </c>
      <c r="K1631">
        <f>IFERROR(tblMoeHistory[[#This Row],[ESD State and Local Amount]]/tblMoeHistory[[#This Row],[Child Count]],0)</f>
        <v>1700.5450000000001</v>
      </c>
      <c r="L1631" s="1">
        <f>IFERROR(tblMoeHistory[[#This Row],[State and Local Total Amount]]/tblMoeHistory[[#This Row],[Child Count]],0)</f>
        <v>6599.5971739130428</v>
      </c>
      <c r="M1631">
        <v>0</v>
      </c>
      <c r="N1631" t="s">
        <v>241</v>
      </c>
      <c r="O1631">
        <v>44549.84</v>
      </c>
      <c r="P1631">
        <v>100.48</v>
      </c>
      <c r="Q1631">
        <f>tblMoeHistory[[#This Row],[Amount of IDEA Part B, Section 611 award]]+tblMoeHistory[[#This Row],[Amount of IDEA Part B, Section 619 award]]</f>
        <v>44650.32</v>
      </c>
      <c r="U16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1" t="str">
        <f>IF(OR(IFERROR(SEARCH("Met",tblMoeHistory[[#This Row],[State and Local Per Capita Result]]),0)&gt;0,IFERROR(SEARCH("Met",tblMoeHistory[[#This Row],[State and Local Total Result]]),0)&gt;0),"Met","Not Met")</f>
        <v>Met</v>
      </c>
    </row>
    <row r="1632" spans="1:22" x14ac:dyDescent="0.35">
      <c r="A1632" t="s">
        <v>76</v>
      </c>
      <c r="B1632">
        <v>2217</v>
      </c>
      <c r="C1632" t="s">
        <v>243</v>
      </c>
      <c r="D1632">
        <v>48</v>
      </c>
      <c r="E1632">
        <v>342885.02</v>
      </c>
      <c r="F1632">
        <v>81568.03</v>
      </c>
      <c r="G1632">
        <f>tblMoeHistory[[#This Row],[LEA State and Local Amount]]+tblMoeHistory[[#This Row],[ESD State and Local Amount]]</f>
        <v>424453.05000000005</v>
      </c>
      <c r="H1632">
        <v>0</v>
      </c>
      <c r="I1632" t="s">
        <v>241</v>
      </c>
      <c r="J1632" s="44">
        <f>IFERROR(tblMoeHistory[[#This Row],[LEA State and Local Amount]]/tblMoeHistory[[#This Row],[Child Count]],0)</f>
        <v>7143.4379166666668</v>
      </c>
      <c r="K1632">
        <f>IFERROR(tblMoeHistory[[#This Row],[ESD State and Local Amount]]/tblMoeHistory[[#This Row],[Child Count]],0)</f>
        <v>1699.3339583333334</v>
      </c>
      <c r="L1632" s="1">
        <f>IFERROR(tblMoeHistory[[#This Row],[State and Local Total Amount]]/tblMoeHistory[[#This Row],[Child Count]],0)</f>
        <v>8842.7718750000004</v>
      </c>
      <c r="M1632">
        <v>8996.1925531914749</v>
      </c>
      <c r="N1632" t="s">
        <v>240</v>
      </c>
      <c r="O1632">
        <v>64765.53</v>
      </c>
      <c r="P1632">
        <v>209.34</v>
      </c>
      <c r="Q1632">
        <f>tblMoeHistory[[#This Row],[Amount of IDEA Part B, Section 611 award]]+tblMoeHistory[[#This Row],[Amount of IDEA Part B, Section 619 award]]</f>
        <v>64974.869999999995</v>
      </c>
      <c r="T1632">
        <v>0</v>
      </c>
      <c r="U16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2" t="str">
        <f>IF(OR(IFERROR(SEARCH("Met",tblMoeHistory[[#This Row],[State and Local Per Capita Result]]),0)&gt;0,IFERROR(SEARCH("Met",tblMoeHistory[[#This Row],[State and Local Total Result]]),0)&gt;0),"Met","Not Met")</f>
        <v>Met</v>
      </c>
    </row>
    <row r="1633" spans="1:22" x14ac:dyDescent="0.35">
      <c r="A1633" t="s">
        <v>77</v>
      </c>
      <c r="B1633">
        <v>1998</v>
      </c>
      <c r="C1633" t="s">
        <v>243</v>
      </c>
      <c r="D1633">
        <v>25</v>
      </c>
      <c r="E1633">
        <v>199551.27</v>
      </c>
      <c r="F1633">
        <v>39949.43</v>
      </c>
      <c r="G1633">
        <f>tblMoeHistory[[#This Row],[LEA State and Local Amount]]+tblMoeHistory[[#This Row],[ESD State and Local Amount]]</f>
        <v>239500.69999999998</v>
      </c>
      <c r="H1633">
        <v>0</v>
      </c>
      <c r="I1633" t="s">
        <v>241</v>
      </c>
      <c r="J1633" s="44">
        <f>IFERROR(tblMoeHistory[[#This Row],[LEA State and Local Amount]]/tblMoeHistory[[#This Row],[Child Count]],0)</f>
        <v>7982.0508</v>
      </c>
      <c r="K1633">
        <f>IFERROR(tblMoeHistory[[#This Row],[ESD State and Local Amount]]/tblMoeHistory[[#This Row],[Child Count]],0)</f>
        <v>1597.9772</v>
      </c>
      <c r="L1633" s="1">
        <f>IFERROR(tblMoeHistory[[#This Row],[State and Local Total Amount]]/tblMoeHistory[[#This Row],[Child Count]],0)</f>
        <v>9580.0279999999984</v>
      </c>
      <c r="M1633">
        <v>0</v>
      </c>
      <c r="N1633" t="s">
        <v>241</v>
      </c>
      <c r="O1633">
        <v>42266.07</v>
      </c>
      <c r="P1633">
        <v>502.42</v>
      </c>
      <c r="Q1633">
        <f>tblMoeHistory[[#This Row],[Amount of IDEA Part B, Section 611 award]]+tblMoeHistory[[#This Row],[Amount of IDEA Part B, Section 619 award]]</f>
        <v>42768.49</v>
      </c>
      <c r="U16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3" t="str">
        <f>IF(OR(IFERROR(SEARCH("Met",tblMoeHistory[[#This Row],[State and Local Per Capita Result]]),0)&gt;0,IFERROR(SEARCH("Met",tblMoeHistory[[#This Row],[State and Local Total Result]]),0)&gt;0),"Met","Not Met")</f>
        <v>Met</v>
      </c>
    </row>
    <row r="1634" spans="1:22" x14ac:dyDescent="0.35">
      <c r="A1634" t="s">
        <v>78</v>
      </c>
      <c r="B1634">
        <v>2221</v>
      </c>
      <c r="C1634" t="s">
        <v>243</v>
      </c>
      <c r="D1634">
        <v>65</v>
      </c>
      <c r="E1634">
        <v>126350.68</v>
      </c>
      <c r="F1634">
        <v>351855.51</v>
      </c>
      <c r="G1634">
        <f>tblMoeHistory[[#This Row],[LEA State and Local Amount]]+tblMoeHistory[[#This Row],[ESD State and Local Amount]]</f>
        <v>478206.19</v>
      </c>
      <c r="H1634">
        <v>0</v>
      </c>
      <c r="I1634" t="s">
        <v>241</v>
      </c>
      <c r="J1634" s="44">
        <f>IFERROR(tblMoeHistory[[#This Row],[LEA State and Local Amount]]/tblMoeHistory[[#This Row],[Child Count]],0)</f>
        <v>1943.8566153846152</v>
      </c>
      <c r="K1634">
        <f>IFERROR(tblMoeHistory[[#This Row],[ESD State and Local Amount]]/tblMoeHistory[[#This Row],[Child Count]],0)</f>
        <v>5413.1616923076926</v>
      </c>
      <c r="L1634" s="1">
        <f>IFERROR(tblMoeHistory[[#This Row],[State and Local Total Amount]]/tblMoeHistory[[#This Row],[Child Count]],0)</f>
        <v>7357.0183076923076</v>
      </c>
      <c r="M1634">
        <v>0</v>
      </c>
      <c r="N1634" t="s">
        <v>241</v>
      </c>
      <c r="O1634">
        <v>92628.25</v>
      </c>
      <c r="P1634">
        <v>1507.25</v>
      </c>
      <c r="Q1634">
        <f>tblMoeHistory[[#This Row],[Amount of IDEA Part B, Section 611 award]]+tblMoeHistory[[#This Row],[Amount of IDEA Part B, Section 619 award]]</f>
        <v>94135.5</v>
      </c>
      <c r="U16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4" t="str">
        <f>IF(OR(IFERROR(SEARCH("Met",tblMoeHistory[[#This Row],[State and Local Per Capita Result]]),0)&gt;0,IFERROR(SEARCH("Met",tblMoeHistory[[#This Row],[State and Local Total Result]]),0)&gt;0),"Met","Not Met")</f>
        <v>Met</v>
      </c>
    </row>
    <row r="1635" spans="1:22" x14ac:dyDescent="0.35">
      <c r="A1635" t="s">
        <v>79</v>
      </c>
      <c r="B1635">
        <v>1930</v>
      </c>
      <c r="C1635" t="s">
        <v>243</v>
      </c>
      <c r="D1635">
        <v>322</v>
      </c>
      <c r="E1635">
        <v>2802116.78</v>
      </c>
      <c r="F1635">
        <v>249879</v>
      </c>
      <c r="G1635">
        <f>tblMoeHistory[[#This Row],[LEA State and Local Amount]]+tblMoeHistory[[#This Row],[ESD State and Local Amount]]</f>
        <v>3051995.78</v>
      </c>
      <c r="H1635">
        <v>0</v>
      </c>
      <c r="I1635" t="s">
        <v>241</v>
      </c>
      <c r="J1635" s="44">
        <f>IFERROR(tblMoeHistory[[#This Row],[LEA State and Local Amount]]/tblMoeHistory[[#This Row],[Child Count]],0)</f>
        <v>8702.2260248447201</v>
      </c>
      <c r="K1635">
        <f>IFERROR(tblMoeHistory[[#This Row],[ESD State and Local Amount]]/tblMoeHistory[[#This Row],[Child Count]],0)</f>
        <v>776.02173913043475</v>
      </c>
      <c r="L1635" s="1">
        <f>IFERROR(tblMoeHistory[[#This Row],[State and Local Total Amount]]/tblMoeHistory[[#This Row],[Child Count]],0)</f>
        <v>9478.2477639751542</v>
      </c>
      <c r="M1635">
        <v>158000.0043165329</v>
      </c>
      <c r="N1635" t="s">
        <v>240</v>
      </c>
      <c r="O1635">
        <v>422972.59</v>
      </c>
      <c r="P1635">
        <v>1842.2</v>
      </c>
      <c r="Q1635">
        <f>tblMoeHistory[[#This Row],[Amount of IDEA Part B, Section 611 award]]+tblMoeHistory[[#This Row],[Amount of IDEA Part B, Section 619 award]]</f>
        <v>424814.79000000004</v>
      </c>
      <c r="T1635">
        <v>1107.8499999999999</v>
      </c>
      <c r="U16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5" t="str">
        <f>IF(OR(IFERROR(SEARCH("Met",tblMoeHistory[[#This Row],[State and Local Per Capita Result]]),0)&gt;0,IFERROR(SEARCH("Met",tblMoeHistory[[#This Row],[State and Local Total Result]]),0)&gt;0),"Met","Not Met")</f>
        <v>Met</v>
      </c>
    </row>
    <row r="1636" spans="1:22" x14ac:dyDescent="0.35">
      <c r="A1636" t="s">
        <v>80</v>
      </c>
      <c r="B1636">
        <v>2082</v>
      </c>
      <c r="C1636" t="s">
        <v>243</v>
      </c>
      <c r="D1636">
        <v>2306</v>
      </c>
      <c r="E1636">
        <v>24317067.34</v>
      </c>
      <c r="F1636">
        <v>3289348</v>
      </c>
      <c r="G1636">
        <f>tblMoeHistory[[#This Row],[LEA State and Local Amount]]+tblMoeHistory[[#This Row],[ESD State and Local Amount]]</f>
        <v>27606415.34</v>
      </c>
      <c r="H1636">
        <v>0</v>
      </c>
      <c r="I1636" t="s">
        <v>241</v>
      </c>
      <c r="J1636" s="44">
        <f>IFERROR(tblMoeHistory[[#This Row],[LEA State and Local Amount]]/tblMoeHistory[[#This Row],[Child Count]],0)</f>
        <v>10545.12894189072</v>
      </c>
      <c r="K1636">
        <f>IFERROR(tblMoeHistory[[#This Row],[ESD State and Local Amount]]/tblMoeHistory[[#This Row],[Child Count]],0)</f>
        <v>1426.4301821335646</v>
      </c>
      <c r="L1636" s="1">
        <f>IFERROR(tblMoeHistory[[#This Row],[State and Local Total Amount]]/tblMoeHistory[[#This Row],[Child Count]],0)</f>
        <v>11971.559124024285</v>
      </c>
      <c r="M1636">
        <v>0</v>
      </c>
      <c r="N1636" t="s">
        <v>241</v>
      </c>
      <c r="O1636">
        <v>3192222.23</v>
      </c>
      <c r="P1636">
        <v>29300.74</v>
      </c>
      <c r="Q1636">
        <f>tblMoeHistory[[#This Row],[Amount of IDEA Part B, Section 611 award]]+tblMoeHistory[[#This Row],[Amount of IDEA Part B, Section 619 award]]</f>
        <v>3221522.97</v>
      </c>
      <c r="U16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6" t="str">
        <f>IF(OR(IFERROR(SEARCH("Met",tblMoeHistory[[#This Row],[State and Local Per Capita Result]]),0)&gt;0,IFERROR(SEARCH("Met",tblMoeHistory[[#This Row],[State and Local Total Result]]),0)&gt;0),"Met","Not Met")</f>
        <v>Met</v>
      </c>
    </row>
    <row r="1637" spans="1:22" x14ac:dyDescent="0.35">
      <c r="A1637" t="s">
        <v>81</v>
      </c>
      <c r="B1637">
        <v>2193</v>
      </c>
      <c r="C1637" t="s">
        <v>243</v>
      </c>
      <c r="D1637">
        <v>39</v>
      </c>
      <c r="E1637">
        <v>272057.34000000003</v>
      </c>
      <c r="F1637">
        <v>83505.2</v>
      </c>
      <c r="G1637">
        <f>tblMoeHistory[[#This Row],[LEA State and Local Amount]]+tblMoeHistory[[#This Row],[ESD State and Local Amount]]</f>
        <v>355562.54000000004</v>
      </c>
      <c r="H1637">
        <v>975.73299999999108</v>
      </c>
      <c r="I1637" t="s">
        <v>240</v>
      </c>
      <c r="J1637" s="44">
        <f>IFERROR(tblMoeHistory[[#This Row],[LEA State and Local Amount]]/tblMoeHistory[[#This Row],[Child Count]],0)</f>
        <v>6975.8292307692318</v>
      </c>
      <c r="K1637">
        <f>IFERROR(tblMoeHistory[[#This Row],[ESD State and Local Amount]]/tblMoeHistory[[#This Row],[Child Count]],0)</f>
        <v>2141.1589743589743</v>
      </c>
      <c r="L1637" s="1">
        <f>IFERROR(tblMoeHistory[[#This Row],[State and Local Total Amount]]/tblMoeHistory[[#This Row],[Child Count]],0)</f>
        <v>9116.9882051282057</v>
      </c>
      <c r="M1637">
        <v>33716.686088235714</v>
      </c>
      <c r="N1637" t="s">
        <v>240</v>
      </c>
      <c r="O1637">
        <v>51526.06</v>
      </c>
      <c r="P1637">
        <v>0</v>
      </c>
      <c r="Q1637">
        <f>tblMoeHistory[[#This Row],[Amount of IDEA Part B, Section 611 award]]+tblMoeHistory[[#This Row],[Amount of IDEA Part B, Section 619 award]]</f>
        <v>51526.06</v>
      </c>
      <c r="S1637">
        <v>9142.01</v>
      </c>
      <c r="T1637">
        <v>268.88</v>
      </c>
      <c r="U16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975.73299999999108</v>
      </c>
      <c r="V1637" t="str">
        <f>IF(OR(IFERROR(SEARCH("Met",tblMoeHistory[[#This Row],[State and Local Per Capita Result]]),0)&gt;0,IFERROR(SEARCH("Met",tblMoeHistory[[#This Row],[State and Local Total Result]]),0)&gt;0),"Met","Not Met")</f>
        <v>Not Met</v>
      </c>
    </row>
    <row r="1638" spans="1:22" x14ac:dyDescent="0.35">
      <c r="A1638" t="s">
        <v>82</v>
      </c>
      <c r="B1638">
        <v>2084</v>
      </c>
      <c r="C1638" t="s">
        <v>243</v>
      </c>
      <c r="D1638">
        <v>234</v>
      </c>
      <c r="E1638">
        <v>3027281.03</v>
      </c>
      <c r="F1638">
        <v>232757</v>
      </c>
      <c r="G1638">
        <f>tblMoeHistory[[#This Row],[LEA State and Local Amount]]+tblMoeHistory[[#This Row],[ESD State and Local Amount]]</f>
        <v>3260038.03</v>
      </c>
      <c r="H1638">
        <v>0</v>
      </c>
      <c r="I1638" t="s">
        <v>241</v>
      </c>
      <c r="J1638" s="44">
        <f>IFERROR(tblMoeHistory[[#This Row],[LEA State and Local Amount]]/tblMoeHistory[[#This Row],[Child Count]],0)</f>
        <v>12937.098418803418</v>
      </c>
      <c r="K1638">
        <f>IFERROR(tblMoeHistory[[#This Row],[ESD State and Local Amount]]/tblMoeHistory[[#This Row],[Child Count]],0)</f>
        <v>994.68803418803418</v>
      </c>
      <c r="L1638" s="1">
        <f>IFERROR(tblMoeHistory[[#This Row],[State and Local Total Amount]]/tblMoeHistory[[#This Row],[Child Count]],0)</f>
        <v>13931.786452991451</v>
      </c>
      <c r="M1638">
        <v>0</v>
      </c>
      <c r="N1638" t="s">
        <v>241</v>
      </c>
      <c r="O1638">
        <v>321054.83</v>
      </c>
      <c r="P1638">
        <v>243.11</v>
      </c>
      <c r="Q1638">
        <f>tblMoeHistory[[#This Row],[Amount of IDEA Part B, Section 611 award]]+tblMoeHistory[[#This Row],[Amount of IDEA Part B, Section 619 award]]</f>
        <v>321297.94</v>
      </c>
      <c r="U16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8" t="str">
        <f>IF(OR(IFERROR(SEARCH("Met",tblMoeHistory[[#This Row],[State and Local Per Capita Result]]),0)&gt;0,IFERROR(SEARCH("Met",tblMoeHistory[[#This Row],[State and Local Total Result]]),0)&gt;0),"Met","Not Met")</f>
        <v>Met</v>
      </c>
    </row>
    <row r="1639" spans="1:22" x14ac:dyDescent="0.35">
      <c r="A1639" t="s">
        <v>83</v>
      </c>
      <c r="B1639">
        <v>2241</v>
      </c>
      <c r="C1639" t="s">
        <v>243</v>
      </c>
      <c r="D1639">
        <v>919</v>
      </c>
      <c r="E1639">
        <v>12044662.25</v>
      </c>
      <c r="F1639">
        <v>333215</v>
      </c>
      <c r="G1639">
        <f>tblMoeHistory[[#This Row],[LEA State and Local Amount]]+tblMoeHistory[[#This Row],[ESD State and Local Amount]]</f>
        <v>12377877.25</v>
      </c>
      <c r="H1639">
        <v>0</v>
      </c>
      <c r="I1639" t="s">
        <v>241</v>
      </c>
      <c r="J1639" s="44">
        <f>IFERROR(tblMoeHistory[[#This Row],[LEA State and Local Amount]]/tblMoeHistory[[#This Row],[Child Count]],0)</f>
        <v>13106.270130576713</v>
      </c>
      <c r="K1639">
        <f>IFERROR(tblMoeHistory[[#This Row],[ESD State and Local Amount]]/tblMoeHistory[[#This Row],[Child Count]],0)</f>
        <v>362.58433079434167</v>
      </c>
      <c r="L1639" s="1">
        <f>IFERROR(tblMoeHistory[[#This Row],[State and Local Total Amount]]/tblMoeHistory[[#This Row],[Child Count]],0)</f>
        <v>13468.854461371055</v>
      </c>
      <c r="M1639">
        <v>278134.83584168897</v>
      </c>
      <c r="N1639" t="s">
        <v>240</v>
      </c>
      <c r="O1639">
        <v>875031.9</v>
      </c>
      <c r="P1639">
        <v>6301.16</v>
      </c>
      <c r="Q1639">
        <f>tblMoeHistory[[#This Row],[Amount of IDEA Part B, Section 611 award]]+tblMoeHistory[[#This Row],[Amount of IDEA Part B, Section 619 award]]</f>
        <v>881333.06</v>
      </c>
      <c r="T1639">
        <v>0</v>
      </c>
      <c r="U16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9" t="str">
        <f>IF(OR(IFERROR(SEARCH("Met",tblMoeHistory[[#This Row],[State and Local Per Capita Result]]),0)&gt;0,IFERROR(SEARCH("Met",tblMoeHistory[[#This Row],[State and Local Total Result]]),0)&gt;0),"Met","Not Met")</f>
        <v>Met</v>
      </c>
    </row>
    <row r="1640" spans="1:22" x14ac:dyDescent="0.35">
      <c r="A1640" t="s">
        <v>84</v>
      </c>
      <c r="B1640">
        <v>2248</v>
      </c>
      <c r="C1640" t="s">
        <v>243</v>
      </c>
      <c r="D1640">
        <v>46</v>
      </c>
      <c r="E1640">
        <v>205472.75</v>
      </c>
      <c r="F1640">
        <v>49345</v>
      </c>
      <c r="G1640">
        <f>tblMoeHistory[[#This Row],[LEA State and Local Amount]]+tblMoeHistory[[#This Row],[ESD State and Local Amount]]</f>
        <v>254817.75</v>
      </c>
      <c r="H1640">
        <v>0</v>
      </c>
      <c r="I1640" t="s">
        <v>241</v>
      </c>
      <c r="J1640" s="44">
        <f>IFERROR(tblMoeHistory[[#This Row],[LEA State and Local Amount]]/tblMoeHistory[[#This Row],[Child Count]],0)</f>
        <v>4466.798913043478</v>
      </c>
      <c r="K1640">
        <f>IFERROR(tblMoeHistory[[#This Row],[ESD State and Local Amount]]/tblMoeHistory[[#This Row],[Child Count]],0)</f>
        <v>1072.7173913043478</v>
      </c>
      <c r="L1640" s="1">
        <f>IFERROR(tblMoeHistory[[#This Row],[State and Local Total Amount]]/tblMoeHistory[[#This Row],[Child Count]],0)</f>
        <v>5539.516304347826</v>
      </c>
      <c r="M1640">
        <v>99719.559374999997</v>
      </c>
      <c r="N1640" t="s">
        <v>240</v>
      </c>
      <c r="O1640">
        <v>67629.990000000005</v>
      </c>
      <c r="P1640">
        <v>0</v>
      </c>
      <c r="Q1640">
        <f>tblMoeHistory[[#This Row],[Amount of IDEA Part B, Section 611 award]]+tblMoeHistory[[#This Row],[Amount of IDEA Part B, Section 619 award]]</f>
        <v>67629.990000000005</v>
      </c>
      <c r="T1640">
        <v>0</v>
      </c>
      <c r="U16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0" t="str">
        <f>IF(OR(IFERROR(SEARCH("Met",tblMoeHistory[[#This Row],[State and Local Per Capita Result]]),0)&gt;0,IFERROR(SEARCH("Met",tblMoeHistory[[#This Row],[State and Local Total Result]]),0)&gt;0),"Met","Not Met")</f>
        <v>Met</v>
      </c>
    </row>
    <row r="1641" spans="1:22" x14ac:dyDescent="0.35">
      <c r="A1641" t="s">
        <v>85</v>
      </c>
      <c r="B1641">
        <v>2020</v>
      </c>
      <c r="C1641" t="s">
        <v>243</v>
      </c>
      <c r="D1641">
        <v>25</v>
      </c>
      <c r="E1641">
        <v>279964.90999999997</v>
      </c>
      <c r="F1641">
        <v>54652</v>
      </c>
      <c r="G1641">
        <f>tblMoeHistory[[#This Row],[LEA State and Local Amount]]+tblMoeHistory[[#This Row],[ESD State and Local Amount]]</f>
        <v>334616.90999999997</v>
      </c>
      <c r="H1641">
        <v>0</v>
      </c>
      <c r="I1641" t="s">
        <v>241</v>
      </c>
      <c r="J1641" s="44">
        <f>IFERROR(tblMoeHistory[[#This Row],[LEA State and Local Amount]]/tblMoeHistory[[#This Row],[Child Count]],0)</f>
        <v>11198.596399999999</v>
      </c>
      <c r="K1641">
        <f>IFERROR(tblMoeHistory[[#This Row],[ESD State and Local Amount]]/tblMoeHistory[[#This Row],[Child Count]],0)</f>
        <v>2186.08</v>
      </c>
      <c r="L1641" s="1">
        <f>IFERROR(tblMoeHistory[[#This Row],[State and Local Total Amount]]/tblMoeHistory[[#This Row],[Child Count]],0)</f>
        <v>13384.676399999998</v>
      </c>
      <c r="M1641">
        <v>0</v>
      </c>
      <c r="N1641" t="s">
        <v>241</v>
      </c>
      <c r="O1641">
        <v>0</v>
      </c>
      <c r="P1641">
        <v>0</v>
      </c>
      <c r="Q1641">
        <f>tblMoeHistory[[#This Row],[Amount of IDEA Part B, Section 611 award]]+tblMoeHistory[[#This Row],[Amount of IDEA Part B, Section 619 award]]</f>
        <v>0</v>
      </c>
      <c r="U16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1" t="str">
        <f>IF(OR(IFERROR(SEARCH("Met",tblMoeHistory[[#This Row],[State and Local Per Capita Result]]),0)&gt;0,IFERROR(SEARCH("Met",tblMoeHistory[[#This Row],[State and Local Total Result]]),0)&gt;0),"Met","Not Met")</f>
        <v>Met</v>
      </c>
    </row>
    <row r="1642" spans="1:22" x14ac:dyDescent="0.35">
      <c r="A1642" t="s">
        <v>86</v>
      </c>
      <c r="B1642">
        <v>2245</v>
      </c>
      <c r="C1642" t="s">
        <v>243</v>
      </c>
      <c r="D1642">
        <v>98</v>
      </c>
      <c r="E1642">
        <v>882886.96</v>
      </c>
      <c r="F1642">
        <v>15655</v>
      </c>
      <c r="G1642">
        <f>tblMoeHistory[[#This Row],[LEA State and Local Amount]]+tblMoeHistory[[#This Row],[ESD State and Local Amount]]</f>
        <v>898541.96</v>
      </c>
      <c r="H1642">
        <v>0</v>
      </c>
      <c r="I1642" t="s">
        <v>241</v>
      </c>
      <c r="J1642" s="44">
        <f>IFERROR(tblMoeHistory[[#This Row],[LEA State and Local Amount]]/tblMoeHistory[[#This Row],[Child Count]],0)</f>
        <v>9009.0506122448969</v>
      </c>
      <c r="K1642">
        <f>IFERROR(tblMoeHistory[[#This Row],[ESD State and Local Amount]]/tblMoeHistory[[#This Row],[Child Count]],0)</f>
        <v>159.74489795918367</v>
      </c>
      <c r="L1642" s="1">
        <f>IFERROR(tblMoeHistory[[#This Row],[State and Local Total Amount]]/tblMoeHistory[[#This Row],[Child Count]],0)</f>
        <v>9168.7955102040814</v>
      </c>
      <c r="M1642">
        <v>121378.3286046483</v>
      </c>
      <c r="N1642" t="s">
        <v>240</v>
      </c>
      <c r="O1642">
        <v>99707.89</v>
      </c>
      <c r="P1642">
        <v>628.02</v>
      </c>
      <c r="Q1642">
        <f>tblMoeHistory[[#This Row],[Amount of IDEA Part B, Section 611 award]]+tblMoeHistory[[#This Row],[Amount of IDEA Part B, Section 619 award]]</f>
        <v>100335.91</v>
      </c>
      <c r="T1642">
        <v>0</v>
      </c>
      <c r="U16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2" t="str">
        <f>IF(OR(IFERROR(SEARCH("Met",tblMoeHistory[[#This Row],[State and Local Per Capita Result]]),0)&gt;0,IFERROR(SEARCH("Met",tblMoeHistory[[#This Row],[State and Local Total Result]]),0)&gt;0),"Met","Not Met")</f>
        <v>Met</v>
      </c>
    </row>
    <row r="1643" spans="1:22" x14ac:dyDescent="0.35">
      <c r="A1643" t="s">
        <v>87</v>
      </c>
      <c r="B1643">
        <v>2137</v>
      </c>
      <c r="C1643" t="s">
        <v>243</v>
      </c>
      <c r="D1643">
        <v>167</v>
      </c>
      <c r="E1643">
        <v>1258015.95</v>
      </c>
      <c r="F1643">
        <v>198361.34</v>
      </c>
      <c r="G1643">
        <f>tblMoeHistory[[#This Row],[LEA State and Local Amount]]+tblMoeHistory[[#This Row],[ESD State and Local Amount]]</f>
        <v>1456377.29</v>
      </c>
      <c r="H1643">
        <v>0</v>
      </c>
      <c r="I1643" t="s">
        <v>241</v>
      </c>
      <c r="J1643" s="44">
        <f>IFERROR(tblMoeHistory[[#This Row],[LEA State and Local Amount]]/tblMoeHistory[[#This Row],[Child Count]],0)</f>
        <v>7533.0296407185624</v>
      </c>
      <c r="K1643">
        <f>IFERROR(tblMoeHistory[[#This Row],[ESD State and Local Amount]]/tblMoeHistory[[#This Row],[Child Count]],0)</f>
        <v>1187.7924550898204</v>
      </c>
      <c r="L1643" s="1">
        <f>IFERROR(tblMoeHistory[[#This Row],[State and Local Total Amount]]/tblMoeHistory[[#This Row],[Child Count]],0)</f>
        <v>8720.8220958083839</v>
      </c>
      <c r="M1643">
        <v>360715.77007518918</v>
      </c>
      <c r="N1643" t="s">
        <v>240</v>
      </c>
      <c r="O1643">
        <v>209421.61</v>
      </c>
      <c r="P1643">
        <v>659.42</v>
      </c>
      <c r="Q1643">
        <f>tblMoeHistory[[#This Row],[Amount of IDEA Part B, Section 611 award]]+tblMoeHistory[[#This Row],[Amount of IDEA Part B, Section 619 award]]</f>
        <v>210081.03</v>
      </c>
      <c r="T1643">
        <v>0</v>
      </c>
      <c r="U16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3" t="str">
        <f>IF(OR(IFERROR(SEARCH("Met",tblMoeHistory[[#This Row],[State and Local Per Capita Result]]),0)&gt;0,IFERROR(SEARCH("Met",tblMoeHistory[[#This Row],[State and Local Total Result]]),0)&gt;0),"Met","Not Met")</f>
        <v>Met</v>
      </c>
    </row>
    <row r="1644" spans="1:22" x14ac:dyDescent="0.35">
      <c r="A1644" t="s">
        <v>88</v>
      </c>
      <c r="B1644">
        <v>1931</v>
      </c>
      <c r="C1644" t="s">
        <v>243</v>
      </c>
      <c r="D1644">
        <v>262</v>
      </c>
      <c r="E1644">
        <v>3167044</v>
      </c>
      <c r="F1644">
        <v>226656</v>
      </c>
      <c r="G1644">
        <f>tblMoeHistory[[#This Row],[LEA State and Local Amount]]+tblMoeHistory[[#This Row],[ESD State and Local Amount]]</f>
        <v>3393700</v>
      </c>
      <c r="H1644">
        <v>0</v>
      </c>
      <c r="I1644" t="s">
        <v>242</v>
      </c>
      <c r="J1644" s="44">
        <f>IFERROR(tblMoeHistory[[#This Row],[LEA State and Local Amount]]/tblMoeHistory[[#This Row],[Child Count]],0)</f>
        <v>12087.954198473282</v>
      </c>
      <c r="K1644">
        <f>IFERROR(tblMoeHistory[[#This Row],[ESD State and Local Amount]]/tblMoeHistory[[#This Row],[Child Count]],0)</f>
        <v>865.09923664122141</v>
      </c>
      <c r="L1644" s="1">
        <f>IFERROR(tblMoeHistory[[#This Row],[State and Local Total Amount]]/tblMoeHistory[[#This Row],[Child Count]],0)</f>
        <v>12953.053435114503</v>
      </c>
      <c r="M1644">
        <v>0</v>
      </c>
      <c r="N1644" t="s">
        <v>241</v>
      </c>
      <c r="O1644">
        <v>345620.19</v>
      </c>
      <c r="P1644">
        <v>1921.75</v>
      </c>
      <c r="Q1644">
        <f>tblMoeHistory[[#This Row],[Amount of IDEA Part B, Section 611 award]]+tblMoeHistory[[#This Row],[Amount of IDEA Part B, Section 619 award]]</f>
        <v>347541.94</v>
      </c>
      <c r="S1644">
        <v>228372.94</v>
      </c>
      <c r="U16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4" t="str">
        <f>IF(OR(IFERROR(SEARCH("Met",tblMoeHistory[[#This Row],[State and Local Per Capita Result]]),0)&gt;0,IFERROR(SEARCH("Met",tblMoeHistory[[#This Row],[State and Local Total Result]]),0)&gt;0),"Met","Not Met")</f>
        <v>Met</v>
      </c>
    </row>
    <row r="1645" spans="1:22" x14ac:dyDescent="0.35">
      <c r="A1645" t="s">
        <v>89</v>
      </c>
      <c r="B1645">
        <v>2000</v>
      </c>
      <c r="C1645" t="s">
        <v>243</v>
      </c>
      <c r="D1645">
        <v>56</v>
      </c>
      <c r="E1645">
        <v>530369.69999999995</v>
      </c>
      <c r="F1645">
        <v>107638.54</v>
      </c>
      <c r="G1645">
        <f>tblMoeHistory[[#This Row],[LEA State and Local Amount]]+tblMoeHistory[[#This Row],[ESD State and Local Amount]]</f>
        <v>638008.24</v>
      </c>
      <c r="H1645">
        <v>0</v>
      </c>
      <c r="I1645" t="s">
        <v>241</v>
      </c>
      <c r="J1645" s="44">
        <f>IFERROR(tblMoeHistory[[#This Row],[LEA State and Local Amount]]/tblMoeHistory[[#This Row],[Child Count]],0)</f>
        <v>9470.8874999999989</v>
      </c>
      <c r="K1645">
        <f>IFERROR(tblMoeHistory[[#This Row],[ESD State and Local Amount]]/tblMoeHistory[[#This Row],[Child Count]],0)</f>
        <v>1922.1167857142857</v>
      </c>
      <c r="L1645" s="1">
        <f>IFERROR(tblMoeHistory[[#This Row],[State and Local Total Amount]]/tblMoeHistory[[#This Row],[Child Count]],0)</f>
        <v>11393.004285714285</v>
      </c>
      <c r="M1645">
        <v>11625.530434784858</v>
      </c>
      <c r="N1645" t="s">
        <v>240</v>
      </c>
      <c r="O1645">
        <v>50771.81</v>
      </c>
      <c r="P1645">
        <v>100.48</v>
      </c>
      <c r="Q1645">
        <f>tblMoeHistory[[#This Row],[Amount of IDEA Part B, Section 611 award]]+tblMoeHistory[[#This Row],[Amount of IDEA Part B, Section 619 award]]</f>
        <v>50872.29</v>
      </c>
      <c r="T1645">
        <v>0</v>
      </c>
      <c r="U16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5" t="str">
        <f>IF(OR(IFERROR(SEARCH("Met",tblMoeHistory[[#This Row],[State and Local Per Capita Result]]),0)&gt;0,IFERROR(SEARCH("Met",tblMoeHistory[[#This Row],[State and Local Total Result]]),0)&gt;0),"Met","Not Met")</f>
        <v>Met</v>
      </c>
    </row>
    <row r="1646" spans="1:22" x14ac:dyDescent="0.35">
      <c r="A1646" t="s">
        <v>90</v>
      </c>
      <c r="B1646">
        <v>1992</v>
      </c>
      <c r="C1646" t="s">
        <v>243</v>
      </c>
      <c r="D1646">
        <v>87</v>
      </c>
      <c r="E1646">
        <v>675320.5</v>
      </c>
      <c r="F1646">
        <v>172003.7</v>
      </c>
      <c r="G1646">
        <f>tblMoeHistory[[#This Row],[LEA State and Local Amount]]+tblMoeHistory[[#This Row],[ESD State and Local Amount]]</f>
        <v>847324.2</v>
      </c>
      <c r="H1646">
        <v>0</v>
      </c>
      <c r="I1646" t="s">
        <v>241</v>
      </c>
      <c r="J1646" s="44">
        <f>IFERROR(tblMoeHistory[[#This Row],[LEA State and Local Amount]]/tblMoeHistory[[#This Row],[Child Count]],0)</f>
        <v>7762.3045977011498</v>
      </c>
      <c r="K1646">
        <f>IFERROR(tblMoeHistory[[#This Row],[ESD State and Local Amount]]/tblMoeHistory[[#This Row],[Child Count]],0)</f>
        <v>1977.0540229885059</v>
      </c>
      <c r="L1646" s="1">
        <f>IFERROR(tblMoeHistory[[#This Row],[State and Local Total Amount]]/tblMoeHistory[[#This Row],[Child Count]],0)</f>
        <v>9739.3586206896543</v>
      </c>
      <c r="M1646">
        <v>0</v>
      </c>
      <c r="N1646" t="s">
        <v>241</v>
      </c>
      <c r="O1646">
        <v>161474.69</v>
      </c>
      <c r="P1646">
        <v>2473.44</v>
      </c>
      <c r="Q1646">
        <f>tblMoeHistory[[#This Row],[Amount of IDEA Part B, Section 611 award]]+tblMoeHistory[[#This Row],[Amount of IDEA Part B, Section 619 award]]</f>
        <v>163948.13</v>
      </c>
      <c r="U16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6" t="str">
        <f>IF(OR(IFERROR(SEARCH("Met",tblMoeHistory[[#This Row],[State and Local Per Capita Result]]),0)&gt;0,IFERROR(SEARCH("Met",tblMoeHistory[[#This Row],[State and Local Total Result]]),0)&gt;0),"Met","Not Met")</f>
        <v>Met</v>
      </c>
    </row>
    <row r="1647" spans="1:22" x14ac:dyDescent="0.35">
      <c r="A1647" t="s">
        <v>91</v>
      </c>
      <c r="B1647">
        <v>2054</v>
      </c>
      <c r="C1647" t="s">
        <v>243</v>
      </c>
      <c r="D1647">
        <v>753</v>
      </c>
      <c r="E1647">
        <v>7807797.6399999997</v>
      </c>
      <c r="F1647">
        <v>0</v>
      </c>
      <c r="G1647">
        <f>tblMoeHistory[[#This Row],[LEA State and Local Amount]]+tblMoeHistory[[#This Row],[ESD State and Local Amount]]</f>
        <v>7807797.6399999997</v>
      </c>
      <c r="H1647">
        <v>0</v>
      </c>
      <c r="I1647" t="s">
        <v>241</v>
      </c>
      <c r="J1647" s="44">
        <f>IFERROR(tblMoeHistory[[#This Row],[LEA State and Local Amount]]/tblMoeHistory[[#This Row],[Child Count]],0)</f>
        <v>10368.921168658699</v>
      </c>
      <c r="K1647">
        <f>IFERROR(tblMoeHistory[[#This Row],[ESD State and Local Amount]]/tblMoeHistory[[#This Row],[Child Count]],0)</f>
        <v>0</v>
      </c>
      <c r="L1647" s="1">
        <f>IFERROR(tblMoeHistory[[#This Row],[State and Local Total Amount]]/tblMoeHistory[[#This Row],[Child Count]],0)</f>
        <v>10368.921168658699</v>
      </c>
      <c r="M1647">
        <v>0</v>
      </c>
      <c r="N1647" t="s">
        <v>241</v>
      </c>
      <c r="O1647">
        <v>853976.1</v>
      </c>
      <c r="P1647">
        <v>8690.4699999999993</v>
      </c>
      <c r="Q1647">
        <f>tblMoeHistory[[#This Row],[Amount of IDEA Part B, Section 611 award]]+tblMoeHistory[[#This Row],[Amount of IDEA Part B, Section 619 award]]</f>
        <v>862666.57</v>
      </c>
      <c r="U16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7" t="str">
        <f>IF(OR(IFERROR(SEARCH("Met",tblMoeHistory[[#This Row],[State and Local Per Capita Result]]),0)&gt;0,IFERROR(SEARCH("Met",tblMoeHistory[[#This Row],[State and Local Total Result]]),0)&gt;0),"Met","Not Met")</f>
        <v>Met</v>
      </c>
    </row>
    <row r="1648" spans="1:22" x14ac:dyDescent="0.35">
      <c r="A1648" t="s">
        <v>92</v>
      </c>
      <c r="B1648">
        <v>2100</v>
      </c>
      <c r="C1648" t="s">
        <v>243</v>
      </c>
      <c r="D1648">
        <v>1239</v>
      </c>
      <c r="E1648">
        <v>14747191.869999999</v>
      </c>
      <c r="F1648">
        <v>1313296</v>
      </c>
      <c r="G1648">
        <f>tblMoeHistory[[#This Row],[LEA State and Local Amount]]+tblMoeHistory[[#This Row],[ESD State and Local Amount]]</f>
        <v>16060487.869999999</v>
      </c>
      <c r="H1648">
        <v>0</v>
      </c>
      <c r="I1648" t="s">
        <v>241</v>
      </c>
      <c r="J1648" s="44">
        <f>IFERROR(tblMoeHistory[[#This Row],[LEA State and Local Amount]]/tblMoeHistory[[#This Row],[Child Count]],0)</f>
        <v>11902.495456012914</v>
      </c>
      <c r="K1648">
        <f>IFERROR(tblMoeHistory[[#This Row],[ESD State and Local Amount]]/tblMoeHistory[[#This Row],[Child Count]],0)</f>
        <v>1059.9644874899111</v>
      </c>
      <c r="L1648" s="1">
        <f>IFERROR(tblMoeHistory[[#This Row],[State and Local Total Amount]]/tblMoeHistory[[#This Row],[Child Count]],0)</f>
        <v>12962.459943502825</v>
      </c>
      <c r="M1648">
        <v>0</v>
      </c>
      <c r="N1648" t="s">
        <v>241</v>
      </c>
      <c r="O1648">
        <v>1471039.43</v>
      </c>
      <c r="P1648">
        <v>15089.48</v>
      </c>
      <c r="Q1648">
        <f>tblMoeHistory[[#This Row],[Amount of IDEA Part B, Section 611 award]]+tblMoeHistory[[#This Row],[Amount of IDEA Part B, Section 619 award]]</f>
        <v>1486128.91</v>
      </c>
      <c r="U16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8" t="str">
        <f>IF(OR(IFERROR(SEARCH("Met",tblMoeHistory[[#This Row],[State and Local Per Capita Result]]),0)&gt;0,IFERROR(SEARCH("Met",tblMoeHistory[[#This Row],[State and Local Total Result]]),0)&gt;0),"Met","Not Met")</f>
        <v>Met</v>
      </c>
    </row>
    <row r="1649" spans="1:22" x14ac:dyDescent="0.35">
      <c r="A1649" t="s">
        <v>93</v>
      </c>
      <c r="B1649">
        <v>2183</v>
      </c>
      <c r="C1649" t="s">
        <v>243</v>
      </c>
      <c r="D1649">
        <v>1478</v>
      </c>
      <c r="E1649">
        <v>17714994.629999999</v>
      </c>
      <c r="F1649">
        <v>1025845.83</v>
      </c>
      <c r="G1649">
        <f>tblMoeHistory[[#This Row],[LEA State and Local Amount]]+tblMoeHistory[[#This Row],[ESD State and Local Amount]]</f>
        <v>18740840.459999997</v>
      </c>
      <c r="H1649">
        <v>0</v>
      </c>
      <c r="I1649" t="s">
        <v>241</v>
      </c>
      <c r="J1649" s="44">
        <f>IFERROR(tblMoeHistory[[#This Row],[LEA State and Local Amount]]/tblMoeHistory[[#This Row],[Child Count]],0)</f>
        <v>11985.78797699594</v>
      </c>
      <c r="K1649">
        <f>IFERROR(tblMoeHistory[[#This Row],[ESD State and Local Amount]]/tblMoeHistory[[#This Row],[Child Count]],0)</f>
        <v>694.07701623815967</v>
      </c>
      <c r="L1649" s="1">
        <f>IFERROR(tblMoeHistory[[#This Row],[State and Local Total Amount]]/tblMoeHistory[[#This Row],[Child Count]],0)</f>
        <v>12679.864993234098</v>
      </c>
      <c r="M1649">
        <v>0</v>
      </c>
      <c r="N1649" t="s">
        <v>241</v>
      </c>
      <c r="O1649">
        <v>2130852</v>
      </c>
      <c r="P1649">
        <v>12081.86</v>
      </c>
      <c r="Q1649">
        <f>tblMoeHistory[[#This Row],[Amount of IDEA Part B, Section 611 award]]+tblMoeHistory[[#This Row],[Amount of IDEA Part B, Section 619 award]]</f>
        <v>2142933.86</v>
      </c>
      <c r="U16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9" t="str">
        <f>IF(OR(IFERROR(SEARCH("Met",tblMoeHistory[[#This Row],[State and Local Per Capita Result]]),0)&gt;0,IFERROR(SEARCH("Met",tblMoeHistory[[#This Row],[State and Local Total Result]]),0)&gt;0),"Met","Not Met")</f>
        <v>Met</v>
      </c>
    </row>
    <row r="1650" spans="1:22" x14ac:dyDescent="0.35">
      <c r="A1650" t="s">
        <v>94</v>
      </c>
      <c r="B1650">
        <v>2014</v>
      </c>
      <c r="C1650" t="s">
        <v>243</v>
      </c>
      <c r="D1650">
        <v>107</v>
      </c>
      <c r="E1650">
        <v>1306044.6499999999</v>
      </c>
      <c r="F1650">
        <v>123077</v>
      </c>
      <c r="G1650">
        <f>tblMoeHistory[[#This Row],[LEA State and Local Amount]]+tblMoeHistory[[#This Row],[ESD State and Local Amount]]</f>
        <v>1429121.65</v>
      </c>
      <c r="H1650">
        <v>0</v>
      </c>
      <c r="I1650" t="s">
        <v>241</v>
      </c>
      <c r="J1650" s="44">
        <f>IFERROR(tblMoeHistory[[#This Row],[LEA State and Local Amount]]/tblMoeHistory[[#This Row],[Child Count]],0)</f>
        <v>12206.02476635514</v>
      </c>
      <c r="K1650">
        <f>IFERROR(tblMoeHistory[[#This Row],[ESD State and Local Amount]]/tblMoeHistory[[#This Row],[Child Count]],0)</f>
        <v>1150.252336448598</v>
      </c>
      <c r="L1650" s="1">
        <f>IFERROR(tblMoeHistory[[#This Row],[State and Local Total Amount]]/tblMoeHistory[[#This Row],[Child Count]],0)</f>
        <v>13356.277102803737</v>
      </c>
      <c r="M1650">
        <v>0</v>
      </c>
      <c r="N1650" t="s">
        <v>241</v>
      </c>
      <c r="O1650">
        <v>171734.27</v>
      </c>
      <c r="P1650">
        <v>1909.19</v>
      </c>
      <c r="Q1650">
        <f>tblMoeHistory[[#This Row],[Amount of IDEA Part B, Section 611 award]]+tblMoeHistory[[#This Row],[Amount of IDEA Part B, Section 619 award]]</f>
        <v>173643.46</v>
      </c>
      <c r="U16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0" t="str">
        <f>IF(OR(IFERROR(SEARCH("Met",tblMoeHistory[[#This Row],[State and Local Per Capita Result]]),0)&gt;0,IFERROR(SEARCH("Met",tblMoeHistory[[#This Row],[State and Local Total Result]]),0)&gt;0),"Met","Not Met")</f>
        <v>Met</v>
      </c>
    </row>
    <row r="1651" spans="1:22" x14ac:dyDescent="0.35">
      <c r="A1651" t="s">
        <v>95</v>
      </c>
      <c r="B1651">
        <v>2015</v>
      </c>
      <c r="C1651" t="s">
        <v>243</v>
      </c>
      <c r="D1651">
        <v>35</v>
      </c>
      <c r="E1651">
        <v>213287.61</v>
      </c>
      <c r="F1651">
        <v>28556</v>
      </c>
      <c r="G1651">
        <f>tblMoeHistory[[#This Row],[LEA State and Local Amount]]+tblMoeHistory[[#This Row],[ESD State and Local Amount]]</f>
        <v>241843.61</v>
      </c>
      <c r="H1651">
        <v>0</v>
      </c>
      <c r="I1651" t="s">
        <v>241</v>
      </c>
      <c r="J1651" s="44">
        <f>IFERROR(tblMoeHistory[[#This Row],[LEA State and Local Amount]]/tblMoeHistory[[#This Row],[Child Count]],0)</f>
        <v>6093.9317142857135</v>
      </c>
      <c r="K1651">
        <f>IFERROR(tblMoeHistory[[#This Row],[ESD State and Local Amount]]/tblMoeHistory[[#This Row],[Child Count]],0)</f>
        <v>815.88571428571424</v>
      </c>
      <c r="L1651" s="1">
        <f>IFERROR(tblMoeHistory[[#This Row],[State and Local Total Amount]]/tblMoeHistory[[#This Row],[Child Count]],0)</f>
        <v>6909.8174285714285</v>
      </c>
      <c r="M1651">
        <v>363683.22333333455</v>
      </c>
      <c r="N1651" t="s">
        <v>240</v>
      </c>
      <c r="O1651">
        <v>15843.41</v>
      </c>
      <c r="P1651">
        <v>0</v>
      </c>
      <c r="Q1651">
        <f>tblMoeHistory[[#This Row],[Amount of IDEA Part B, Section 611 award]]+tblMoeHistory[[#This Row],[Amount of IDEA Part B, Section 619 award]]</f>
        <v>15843.41</v>
      </c>
      <c r="T1651">
        <v>1722.81</v>
      </c>
      <c r="U16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1" t="str">
        <f>IF(OR(IFERROR(SEARCH("Met",tblMoeHistory[[#This Row],[State and Local Per Capita Result]]),0)&gt;0,IFERROR(SEARCH("Met",tblMoeHistory[[#This Row],[State and Local Total Result]]),0)&gt;0),"Met","Not Met")</f>
        <v>Met</v>
      </c>
    </row>
    <row r="1652" spans="1:22" x14ac:dyDescent="0.35">
      <c r="A1652" t="s">
        <v>96</v>
      </c>
      <c r="B1652">
        <v>2023</v>
      </c>
      <c r="C1652" t="s">
        <v>243</v>
      </c>
      <c r="D1652">
        <v>6</v>
      </c>
      <c r="E1652">
        <v>22880.19</v>
      </c>
      <c r="F1652">
        <v>8227</v>
      </c>
      <c r="G1652">
        <f>tblMoeHistory[[#This Row],[LEA State and Local Amount]]+tblMoeHistory[[#This Row],[ESD State and Local Amount]]</f>
        <v>31107.19</v>
      </c>
      <c r="H1652">
        <v>0</v>
      </c>
      <c r="I1652" t="s">
        <v>241</v>
      </c>
      <c r="J1652" s="44">
        <f>IFERROR(tblMoeHistory[[#This Row],[LEA State and Local Amount]]/tblMoeHistory[[#This Row],[Child Count]],0)</f>
        <v>3813.3649999999998</v>
      </c>
      <c r="K1652">
        <f>IFERROR(tblMoeHistory[[#This Row],[ESD State and Local Amount]]/tblMoeHistory[[#This Row],[Child Count]],0)</f>
        <v>1371.1666666666667</v>
      </c>
      <c r="L1652" s="1">
        <f>IFERROR(tblMoeHistory[[#This Row],[State and Local Total Amount]]/tblMoeHistory[[#This Row],[Child Count]],0)</f>
        <v>5184.5316666666668</v>
      </c>
      <c r="M1652">
        <v>25623.489999999976</v>
      </c>
      <c r="N1652" t="s">
        <v>240</v>
      </c>
      <c r="O1652">
        <v>12086.79</v>
      </c>
      <c r="P1652">
        <v>0</v>
      </c>
      <c r="Q1652">
        <f>tblMoeHistory[[#This Row],[Amount of IDEA Part B, Section 611 award]]+tblMoeHistory[[#This Row],[Amount of IDEA Part B, Section 619 award]]</f>
        <v>12086.79</v>
      </c>
      <c r="T1652">
        <v>0</v>
      </c>
      <c r="U16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2" t="str">
        <f>IF(OR(IFERROR(SEARCH("Met",tblMoeHistory[[#This Row],[State and Local Per Capita Result]]),0)&gt;0,IFERROR(SEARCH("Met",tblMoeHistory[[#This Row],[State and Local Total Result]]),0)&gt;0),"Met","Not Met")</f>
        <v>Met</v>
      </c>
    </row>
    <row r="1653" spans="1:22" x14ac:dyDescent="0.35">
      <c r="A1653" t="s">
        <v>97</v>
      </c>
      <c r="B1653">
        <v>2114</v>
      </c>
      <c r="C1653" t="s">
        <v>243</v>
      </c>
      <c r="D1653">
        <v>13</v>
      </c>
      <c r="E1653">
        <v>86513.07</v>
      </c>
      <c r="F1653">
        <v>61116.87</v>
      </c>
      <c r="G1653">
        <f>tblMoeHistory[[#This Row],[LEA State and Local Amount]]+tblMoeHistory[[#This Row],[ESD State and Local Amount]]</f>
        <v>147629.94</v>
      </c>
      <c r="H1653">
        <v>0</v>
      </c>
      <c r="I1653" t="s">
        <v>241</v>
      </c>
      <c r="J1653" s="44">
        <f>IFERROR(tblMoeHistory[[#This Row],[LEA State and Local Amount]]/tblMoeHistory[[#This Row],[Child Count]],0)</f>
        <v>6654.8515384615393</v>
      </c>
      <c r="K1653">
        <f>IFERROR(tblMoeHistory[[#This Row],[ESD State and Local Amount]]/tblMoeHistory[[#This Row],[Child Count]],0)</f>
        <v>4701.2976923076922</v>
      </c>
      <c r="L1653" s="1">
        <f>IFERROR(tblMoeHistory[[#This Row],[State and Local Total Amount]]/tblMoeHistory[[#This Row],[Child Count]],0)</f>
        <v>11356.149230769232</v>
      </c>
      <c r="M1653">
        <v>0</v>
      </c>
      <c r="N1653" t="s">
        <v>241</v>
      </c>
      <c r="O1653">
        <v>17797.18</v>
      </c>
      <c r="P1653">
        <v>1004.84</v>
      </c>
      <c r="Q1653">
        <f>tblMoeHistory[[#This Row],[Amount of IDEA Part B, Section 611 award]]+tblMoeHistory[[#This Row],[Amount of IDEA Part B, Section 619 award]]</f>
        <v>18802.02</v>
      </c>
      <c r="U16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3" t="str">
        <f>IF(OR(IFERROR(SEARCH("Met",tblMoeHistory[[#This Row],[State and Local Per Capita Result]]),0)&gt;0,IFERROR(SEARCH("Met",tblMoeHistory[[#This Row],[State and Local Total Result]]),0)&gt;0),"Met","Not Met")</f>
        <v>Met</v>
      </c>
    </row>
    <row r="1654" spans="1:22" x14ac:dyDescent="0.35">
      <c r="A1654" t="s">
        <v>98</v>
      </c>
      <c r="B1654">
        <v>2099</v>
      </c>
      <c r="C1654" t="s">
        <v>243</v>
      </c>
      <c r="D1654">
        <v>123</v>
      </c>
      <c r="E1654">
        <v>1150951.83</v>
      </c>
      <c r="F1654">
        <v>124571</v>
      </c>
      <c r="G1654">
        <f>tblMoeHistory[[#This Row],[LEA State and Local Amount]]+tblMoeHistory[[#This Row],[ESD State and Local Amount]]</f>
        <v>1275522.83</v>
      </c>
      <c r="H1654">
        <v>0</v>
      </c>
      <c r="I1654" t="s">
        <v>242</v>
      </c>
      <c r="J1654" s="44">
        <f>IFERROR(tblMoeHistory[[#This Row],[LEA State and Local Amount]]/tblMoeHistory[[#This Row],[Child Count]],0)</f>
        <v>9357.3319512195121</v>
      </c>
      <c r="K1654">
        <f>IFERROR(tblMoeHistory[[#This Row],[ESD State and Local Amount]]/tblMoeHistory[[#This Row],[Child Count]],0)</f>
        <v>1012.7723577235772</v>
      </c>
      <c r="L1654" s="1">
        <f>IFERROR(tblMoeHistory[[#This Row],[State and Local Total Amount]]/tblMoeHistory[[#This Row],[Child Count]],0)</f>
        <v>10370.10430894309</v>
      </c>
      <c r="M1654">
        <v>0</v>
      </c>
      <c r="N1654" t="s">
        <v>242</v>
      </c>
      <c r="O1654">
        <v>128850.56</v>
      </c>
      <c r="P1654">
        <v>502.42</v>
      </c>
      <c r="Q1654">
        <f>tblMoeHistory[[#This Row],[Amount of IDEA Part B, Section 611 award]]+tblMoeHistory[[#This Row],[Amount of IDEA Part B, Section 619 award]]</f>
        <v>129352.98</v>
      </c>
      <c r="S1654">
        <v>157880.06</v>
      </c>
      <c r="T1654">
        <v>1273.23</v>
      </c>
      <c r="U16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4" t="str">
        <f>IF(OR(IFERROR(SEARCH("Met",tblMoeHistory[[#This Row],[State and Local Per Capita Result]]),0)&gt;0,IFERROR(SEARCH("Met",tblMoeHistory[[#This Row],[State and Local Total Result]]),0)&gt;0),"Met","Not Met")</f>
        <v>Met</v>
      </c>
    </row>
    <row r="1655" spans="1:22" x14ac:dyDescent="0.35">
      <c r="A1655" t="s">
        <v>99</v>
      </c>
      <c r="B1655">
        <v>2201</v>
      </c>
      <c r="C1655" t="s">
        <v>243</v>
      </c>
      <c r="D1655">
        <v>22</v>
      </c>
      <c r="E1655">
        <v>88351.25</v>
      </c>
      <c r="F1655">
        <v>37441.06</v>
      </c>
      <c r="G1655">
        <f>tblMoeHistory[[#This Row],[LEA State and Local Amount]]+tblMoeHistory[[#This Row],[ESD State and Local Amount]]</f>
        <v>125792.31</v>
      </c>
      <c r="H1655">
        <v>0</v>
      </c>
      <c r="I1655" t="s">
        <v>241</v>
      </c>
      <c r="J1655" s="44">
        <f>IFERROR(tblMoeHistory[[#This Row],[LEA State and Local Amount]]/tblMoeHistory[[#This Row],[Child Count]],0)</f>
        <v>4015.965909090909</v>
      </c>
      <c r="K1655">
        <f>IFERROR(tblMoeHistory[[#This Row],[ESD State and Local Amount]]/tblMoeHistory[[#This Row],[Child Count]],0)</f>
        <v>1701.8663636363635</v>
      </c>
      <c r="L1655" s="1">
        <f>IFERROR(tblMoeHistory[[#This Row],[State and Local Total Amount]]/tblMoeHistory[[#This Row],[Child Count]],0)</f>
        <v>5717.8322727272725</v>
      </c>
      <c r="M1655">
        <v>0</v>
      </c>
      <c r="N1655" t="s">
        <v>241</v>
      </c>
      <c r="O1655">
        <v>25845.87</v>
      </c>
      <c r="P1655">
        <v>0</v>
      </c>
      <c r="Q1655">
        <f>tblMoeHistory[[#This Row],[Amount of IDEA Part B, Section 611 award]]+tblMoeHistory[[#This Row],[Amount of IDEA Part B, Section 619 award]]</f>
        <v>25845.87</v>
      </c>
      <c r="U16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5" t="str">
        <f>IF(OR(IFERROR(SEARCH("Met",tblMoeHistory[[#This Row],[State and Local Per Capita Result]]),0)&gt;0,IFERROR(SEARCH("Met",tblMoeHistory[[#This Row],[State and Local Total Result]]),0)&gt;0),"Met","Not Met")</f>
        <v>Met</v>
      </c>
    </row>
    <row r="1656" spans="1:22" x14ac:dyDescent="0.35">
      <c r="A1656" t="s">
        <v>100</v>
      </c>
      <c r="B1656">
        <v>2206</v>
      </c>
      <c r="C1656" t="s">
        <v>243</v>
      </c>
      <c r="D1656">
        <v>702</v>
      </c>
      <c r="E1656">
        <v>5907178.0199999996</v>
      </c>
      <c r="F1656">
        <v>0</v>
      </c>
      <c r="G1656">
        <f>tblMoeHistory[[#This Row],[LEA State and Local Amount]]+tblMoeHistory[[#This Row],[ESD State and Local Amount]]</f>
        <v>5907178.0199999996</v>
      </c>
      <c r="H1656">
        <v>0</v>
      </c>
      <c r="I1656" t="s">
        <v>242</v>
      </c>
      <c r="J1656" s="44">
        <f>IFERROR(tblMoeHistory[[#This Row],[LEA State and Local Amount]]/tblMoeHistory[[#This Row],[Child Count]],0)</f>
        <v>8414.7835042735041</v>
      </c>
      <c r="K1656">
        <f>IFERROR(tblMoeHistory[[#This Row],[ESD State and Local Amount]]/tblMoeHistory[[#This Row],[Child Count]],0)</f>
        <v>0</v>
      </c>
      <c r="L1656" s="1">
        <f>IFERROR(tblMoeHistory[[#This Row],[State and Local Total Amount]]/tblMoeHistory[[#This Row],[Child Count]],0)</f>
        <v>8414.7835042735041</v>
      </c>
      <c r="M1656">
        <v>0</v>
      </c>
      <c r="N1656" t="s">
        <v>242</v>
      </c>
      <c r="O1656">
        <v>803243.09</v>
      </c>
      <c r="P1656">
        <v>6714.13</v>
      </c>
      <c r="Q1656">
        <f>tblMoeHistory[[#This Row],[Amount of IDEA Part B, Section 611 award]]+tblMoeHistory[[#This Row],[Amount of IDEA Part B, Section 619 award]]</f>
        <v>809957.22</v>
      </c>
      <c r="S1656">
        <v>174513.62</v>
      </c>
      <c r="T1656">
        <v>349.23</v>
      </c>
      <c r="U16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6" t="str">
        <f>IF(OR(IFERROR(SEARCH("Met",tblMoeHistory[[#This Row],[State and Local Per Capita Result]]),0)&gt;0,IFERROR(SEARCH("Met",tblMoeHistory[[#This Row],[State and Local Total Result]]),0)&gt;0),"Met","Not Met")</f>
        <v>Met</v>
      </c>
    </row>
    <row r="1657" spans="1:22" x14ac:dyDescent="0.35">
      <c r="A1657" t="s">
        <v>101</v>
      </c>
      <c r="B1657">
        <v>2239</v>
      </c>
      <c r="C1657" t="s">
        <v>243</v>
      </c>
      <c r="D1657">
        <v>3037</v>
      </c>
      <c r="E1657">
        <v>34544759.109999999</v>
      </c>
      <c r="F1657">
        <v>4085321</v>
      </c>
      <c r="G1657">
        <f>tblMoeHistory[[#This Row],[LEA State and Local Amount]]+tblMoeHistory[[#This Row],[ESD State and Local Amount]]</f>
        <v>38630080.109999999</v>
      </c>
      <c r="H1657">
        <v>0</v>
      </c>
      <c r="I1657" t="s">
        <v>241</v>
      </c>
      <c r="J1657" s="44">
        <f>IFERROR(tblMoeHistory[[#This Row],[LEA State and Local Amount]]/tblMoeHistory[[#This Row],[Child Count]],0)</f>
        <v>11374.632568324003</v>
      </c>
      <c r="K1657">
        <f>IFERROR(tblMoeHistory[[#This Row],[ESD State and Local Amount]]/tblMoeHistory[[#This Row],[Child Count]],0)</f>
        <v>1345.1830754033585</v>
      </c>
      <c r="L1657" s="1">
        <f>IFERROR(tblMoeHistory[[#This Row],[State and Local Total Amount]]/tblMoeHistory[[#This Row],[Child Count]],0)</f>
        <v>12719.815643727363</v>
      </c>
      <c r="M1657">
        <v>83472.942938273278</v>
      </c>
      <c r="N1657" t="s">
        <v>240</v>
      </c>
      <c r="O1657">
        <v>2801860.13</v>
      </c>
      <c r="P1657">
        <v>17527.73</v>
      </c>
      <c r="Q1657">
        <f>tblMoeHistory[[#This Row],[Amount of IDEA Part B, Section 611 award]]+tblMoeHistory[[#This Row],[Amount of IDEA Part B, Section 619 award]]</f>
        <v>2819387.86</v>
      </c>
      <c r="T1657">
        <v>0</v>
      </c>
      <c r="U16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7" t="str">
        <f>IF(OR(IFERROR(SEARCH("Met",tblMoeHistory[[#This Row],[State and Local Per Capita Result]]),0)&gt;0,IFERROR(SEARCH("Met",tblMoeHistory[[#This Row],[State and Local Total Result]]),0)&gt;0),"Met","Not Met")</f>
        <v>Met</v>
      </c>
    </row>
    <row r="1658" spans="1:22" x14ac:dyDescent="0.35">
      <c r="A1658" t="s">
        <v>102</v>
      </c>
      <c r="B1658">
        <v>2024</v>
      </c>
      <c r="C1658" t="s">
        <v>243</v>
      </c>
      <c r="D1658">
        <v>483</v>
      </c>
      <c r="E1658">
        <v>4482476.93</v>
      </c>
      <c r="F1658">
        <v>0</v>
      </c>
      <c r="G1658">
        <f>tblMoeHistory[[#This Row],[LEA State and Local Amount]]+tblMoeHistory[[#This Row],[ESD State and Local Amount]]</f>
        <v>4482476.93</v>
      </c>
      <c r="H1658">
        <v>0</v>
      </c>
      <c r="I1658" t="s">
        <v>241</v>
      </c>
      <c r="J1658" s="44">
        <f>IFERROR(tblMoeHistory[[#This Row],[LEA State and Local Amount]]/tblMoeHistory[[#This Row],[Child Count]],0)</f>
        <v>9280.490538302276</v>
      </c>
      <c r="K1658">
        <f>IFERROR(tblMoeHistory[[#This Row],[ESD State and Local Amount]]/tblMoeHistory[[#This Row],[Child Count]],0)</f>
        <v>0</v>
      </c>
      <c r="L1658" s="1">
        <f>IFERROR(tblMoeHistory[[#This Row],[State and Local Total Amount]]/tblMoeHistory[[#This Row],[Child Count]],0)</f>
        <v>9280.490538302276</v>
      </c>
      <c r="M1658">
        <v>0</v>
      </c>
      <c r="N1658" t="s">
        <v>241</v>
      </c>
      <c r="O1658">
        <v>624162.18999999994</v>
      </c>
      <c r="P1658">
        <v>6408.62</v>
      </c>
      <c r="Q1658">
        <f>tblMoeHistory[[#This Row],[Amount of IDEA Part B, Section 611 award]]+tblMoeHistory[[#This Row],[Amount of IDEA Part B, Section 619 award]]</f>
        <v>630570.80999999994</v>
      </c>
      <c r="U16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8" t="str">
        <f>IF(OR(IFERROR(SEARCH("Met",tblMoeHistory[[#This Row],[State and Local Per Capita Result]]),0)&gt;0,IFERROR(SEARCH("Met",tblMoeHistory[[#This Row],[State and Local Total Result]]),0)&gt;0),"Met","Not Met")</f>
        <v>Met</v>
      </c>
    </row>
    <row r="1659" spans="1:22" x14ac:dyDescent="0.35">
      <c r="A1659" t="s">
        <v>103</v>
      </c>
      <c r="B1659">
        <v>1895</v>
      </c>
      <c r="C1659" t="s">
        <v>243</v>
      </c>
      <c r="D1659">
        <v>10</v>
      </c>
      <c r="E1659">
        <v>59418.32</v>
      </c>
      <c r="F1659">
        <v>54443.87</v>
      </c>
      <c r="G1659">
        <f>tblMoeHistory[[#This Row],[LEA State and Local Amount]]+tblMoeHistory[[#This Row],[ESD State and Local Amount]]</f>
        <v>113862.19</v>
      </c>
      <c r="H1659">
        <v>0</v>
      </c>
      <c r="I1659" t="s">
        <v>241</v>
      </c>
      <c r="J1659" s="44">
        <f>IFERROR(tblMoeHistory[[#This Row],[LEA State and Local Amount]]/tblMoeHistory[[#This Row],[Child Count]],0)</f>
        <v>5941.8320000000003</v>
      </c>
      <c r="K1659">
        <f>IFERROR(tblMoeHistory[[#This Row],[ESD State and Local Amount]]/tblMoeHistory[[#This Row],[Child Count]],0)</f>
        <v>5444.3870000000006</v>
      </c>
      <c r="L1659" s="1">
        <f>IFERROR(tblMoeHistory[[#This Row],[State and Local Total Amount]]/tblMoeHistory[[#This Row],[Child Count]],0)</f>
        <v>11386.219000000001</v>
      </c>
      <c r="M1659">
        <v>26242.309999999998</v>
      </c>
      <c r="N1659" t="s">
        <v>240</v>
      </c>
      <c r="O1659">
        <v>17168.349999999999</v>
      </c>
      <c r="P1659">
        <v>502.42</v>
      </c>
      <c r="Q1659">
        <f>tblMoeHistory[[#This Row],[Amount of IDEA Part B, Section 611 award]]+tblMoeHistory[[#This Row],[Amount of IDEA Part B, Section 619 award]]</f>
        <v>17670.769999999997</v>
      </c>
      <c r="T1659">
        <v>0</v>
      </c>
      <c r="U16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9" t="str">
        <f>IF(OR(IFERROR(SEARCH("Met",tblMoeHistory[[#This Row],[State and Local Per Capita Result]]),0)&gt;0,IFERROR(SEARCH("Met",tblMoeHistory[[#This Row],[State and Local Total Result]]),0)&gt;0),"Met","Not Met")</f>
        <v>Met</v>
      </c>
    </row>
    <row r="1660" spans="1:22" x14ac:dyDescent="0.35">
      <c r="A1660" t="s">
        <v>104</v>
      </c>
      <c r="B1660">
        <v>2215</v>
      </c>
      <c r="C1660" t="s">
        <v>243</v>
      </c>
      <c r="D1660">
        <v>40</v>
      </c>
      <c r="E1660">
        <v>269093.57</v>
      </c>
      <c r="F1660">
        <v>67946.92</v>
      </c>
      <c r="G1660">
        <f>tblMoeHistory[[#This Row],[LEA State and Local Amount]]+tblMoeHistory[[#This Row],[ESD State and Local Amount]]</f>
        <v>337040.49</v>
      </c>
      <c r="H1660">
        <v>0</v>
      </c>
      <c r="I1660" t="s">
        <v>241</v>
      </c>
      <c r="J1660" s="44">
        <f>IFERROR(tblMoeHistory[[#This Row],[LEA State and Local Amount]]/tblMoeHistory[[#This Row],[Child Count]],0)</f>
        <v>6727.33925</v>
      </c>
      <c r="K1660">
        <f>IFERROR(tblMoeHistory[[#This Row],[ESD State and Local Amount]]/tblMoeHistory[[#This Row],[Child Count]],0)</f>
        <v>1698.673</v>
      </c>
      <c r="L1660" s="1">
        <f>IFERROR(tblMoeHistory[[#This Row],[State and Local Total Amount]]/tblMoeHistory[[#This Row],[Child Count]],0)</f>
        <v>8426.0122499999998</v>
      </c>
      <c r="M1660">
        <v>0</v>
      </c>
      <c r="N1660" t="s">
        <v>241</v>
      </c>
      <c r="O1660">
        <v>62929.84</v>
      </c>
      <c r="P1660">
        <v>334.95</v>
      </c>
      <c r="Q1660">
        <f>tblMoeHistory[[#This Row],[Amount of IDEA Part B, Section 611 award]]+tblMoeHistory[[#This Row],[Amount of IDEA Part B, Section 619 award]]</f>
        <v>63264.789999999994</v>
      </c>
      <c r="U16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0" t="str">
        <f>IF(OR(IFERROR(SEARCH("Met",tblMoeHistory[[#This Row],[State and Local Per Capita Result]]),0)&gt;0,IFERROR(SEARCH("Met",tblMoeHistory[[#This Row],[State and Local Total Result]]),0)&gt;0),"Met","Not Met")</f>
        <v>Met</v>
      </c>
    </row>
    <row r="1661" spans="1:22" x14ac:dyDescent="0.35">
      <c r="A1661" t="s">
        <v>105</v>
      </c>
      <c r="B1661">
        <v>3997</v>
      </c>
      <c r="C1661" t="s">
        <v>243</v>
      </c>
      <c r="D1661">
        <v>24</v>
      </c>
      <c r="E1661">
        <v>165321.99</v>
      </c>
      <c r="F1661">
        <v>45798.43</v>
      </c>
      <c r="G1661">
        <f>tblMoeHistory[[#This Row],[LEA State and Local Amount]]+tblMoeHistory[[#This Row],[ESD State and Local Amount]]</f>
        <v>211120.41999999998</v>
      </c>
      <c r="H1661">
        <v>0</v>
      </c>
      <c r="I1661" t="s">
        <v>242</v>
      </c>
      <c r="J1661" s="44">
        <f>IFERROR(tblMoeHistory[[#This Row],[LEA State and Local Amount]]/tblMoeHistory[[#This Row],[Child Count]],0)</f>
        <v>6888.4162499999993</v>
      </c>
      <c r="K1661">
        <f>IFERROR(tblMoeHistory[[#This Row],[ESD State and Local Amount]]/tblMoeHistory[[#This Row],[Child Count]],0)</f>
        <v>1908.2679166666667</v>
      </c>
      <c r="L1661" s="1">
        <f>IFERROR(tblMoeHistory[[#This Row],[State and Local Total Amount]]/tblMoeHistory[[#This Row],[Child Count]],0)</f>
        <v>8796.684166666666</v>
      </c>
      <c r="M1661">
        <v>0</v>
      </c>
      <c r="N1661" t="s">
        <v>241</v>
      </c>
      <c r="O1661">
        <v>22975.73</v>
      </c>
      <c r="P1661">
        <v>0</v>
      </c>
      <c r="Q1661">
        <f>tblMoeHistory[[#This Row],[Amount of IDEA Part B, Section 611 award]]+tblMoeHistory[[#This Row],[Amount of IDEA Part B, Section 619 award]]</f>
        <v>22975.73</v>
      </c>
      <c r="S1661">
        <v>31162.33</v>
      </c>
      <c r="U16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1" t="str">
        <f>IF(OR(IFERROR(SEARCH("Met",tblMoeHistory[[#This Row],[State and Local Per Capita Result]]),0)&gt;0,IFERROR(SEARCH("Met",tblMoeHistory[[#This Row],[State and Local Total Result]]),0)&gt;0),"Met","Not Met")</f>
        <v>Met</v>
      </c>
    </row>
    <row r="1662" spans="1:22" x14ac:dyDescent="0.35">
      <c r="A1662" t="s">
        <v>106</v>
      </c>
      <c r="B1662">
        <v>2053</v>
      </c>
      <c r="C1662" t="s">
        <v>243</v>
      </c>
      <c r="D1662">
        <v>491</v>
      </c>
      <c r="E1662">
        <v>4622395.99</v>
      </c>
      <c r="F1662">
        <v>1124748.98</v>
      </c>
      <c r="G1662">
        <f>tblMoeHistory[[#This Row],[LEA State and Local Amount]]+tblMoeHistory[[#This Row],[ESD State and Local Amount]]</f>
        <v>5747144.9700000007</v>
      </c>
      <c r="H1662">
        <v>0</v>
      </c>
      <c r="I1662" t="s">
        <v>241</v>
      </c>
      <c r="J1662" s="44">
        <f>IFERROR(tblMoeHistory[[#This Row],[LEA State and Local Amount]]/tblMoeHistory[[#This Row],[Child Count]],0)</f>
        <v>9414.248452138494</v>
      </c>
      <c r="K1662">
        <f>IFERROR(tblMoeHistory[[#This Row],[ESD State and Local Amount]]/tblMoeHistory[[#This Row],[Child Count]],0)</f>
        <v>2290.7311201629327</v>
      </c>
      <c r="L1662" s="1">
        <f>IFERROR(tblMoeHistory[[#This Row],[State and Local Total Amount]]/tblMoeHistory[[#This Row],[Child Count]],0)</f>
        <v>11704.979572301427</v>
      </c>
      <c r="M1662">
        <v>0</v>
      </c>
      <c r="N1662" t="s">
        <v>241</v>
      </c>
      <c r="O1662">
        <v>519855.88</v>
      </c>
      <c r="P1662">
        <v>11357.41</v>
      </c>
      <c r="Q1662">
        <f>tblMoeHistory[[#This Row],[Amount of IDEA Part B, Section 611 award]]+tblMoeHistory[[#This Row],[Amount of IDEA Part B, Section 619 award]]</f>
        <v>531213.29</v>
      </c>
      <c r="U16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2" t="str">
        <f>IF(OR(IFERROR(SEARCH("Met",tblMoeHistory[[#This Row],[State and Local Per Capita Result]]),0)&gt;0,IFERROR(SEARCH("Met",tblMoeHistory[[#This Row],[State and Local Total Result]]),0)&gt;0),"Met","Not Met")</f>
        <v>Met</v>
      </c>
    </row>
    <row r="1663" spans="1:22" x14ac:dyDescent="0.35">
      <c r="A1663" t="s">
        <v>107</v>
      </c>
      <c r="B1663">
        <v>2140</v>
      </c>
      <c r="C1663" t="s">
        <v>243</v>
      </c>
      <c r="D1663">
        <v>134</v>
      </c>
      <c r="E1663">
        <v>1191288.1299999999</v>
      </c>
      <c r="F1663">
        <v>153962.72</v>
      </c>
      <c r="G1663">
        <f>tblMoeHistory[[#This Row],[LEA State and Local Amount]]+tblMoeHistory[[#This Row],[ESD State and Local Amount]]</f>
        <v>1345250.8499999999</v>
      </c>
      <c r="H1663">
        <v>6799.1985294118458</v>
      </c>
      <c r="I1663" t="s">
        <v>240</v>
      </c>
      <c r="J1663" s="44">
        <f>IFERROR(tblMoeHistory[[#This Row],[LEA State and Local Amount]]/tblMoeHistory[[#This Row],[Child Count]],0)</f>
        <v>8890.209925373134</v>
      </c>
      <c r="K1663">
        <f>IFERROR(tblMoeHistory[[#This Row],[ESD State and Local Amount]]/tblMoeHistory[[#This Row],[Child Count]],0)</f>
        <v>1148.9755223880597</v>
      </c>
      <c r="L1663" s="1">
        <f>IFERROR(tblMoeHistory[[#This Row],[State and Local Total Amount]]/tblMoeHistory[[#This Row],[Child Count]],0)</f>
        <v>10039.185447761192</v>
      </c>
      <c r="M1663">
        <v>0</v>
      </c>
      <c r="N1663" t="s">
        <v>242</v>
      </c>
      <c r="O1663">
        <v>136738.88</v>
      </c>
      <c r="P1663">
        <v>502.42</v>
      </c>
      <c r="Q1663">
        <f>tblMoeHistory[[#This Row],[Amount of IDEA Part B, Section 611 award]]+tblMoeHistory[[#This Row],[Amount of IDEA Part B, Section 619 award]]</f>
        <v>137241.30000000002</v>
      </c>
      <c r="S1663">
        <v>20179.849999999999</v>
      </c>
      <c r="T1663">
        <v>148.38</v>
      </c>
      <c r="U16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3" t="str">
        <f>IF(OR(IFERROR(SEARCH("Met",tblMoeHistory[[#This Row],[State and Local Per Capita Result]]),0)&gt;0,IFERROR(SEARCH("Met",tblMoeHistory[[#This Row],[State and Local Total Result]]),0)&gt;0),"Met","Not Met")</f>
        <v>Met</v>
      </c>
    </row>
    <row r="1664" spans="1:22" x14ac:dyDescent="0.35">
      <c r="A1664" t="s">
        <v>108</v>
      </c>
      <c r="B1664">
        <v>1934</v>
      </c>
      <c r="C1664" t="s">
        <v>243</v>
      </c>
      <c r="D1664">
        <v>30</v>
      </c>
      <c r="E1664">
        <v>418488.81</v>
      </c>
      <c r="F1664">
        <v>736</v>
      </c>
      <c r="G1664">
        <f>tblMoeHistory[[#This Row],[LEA State and Local Amount]]+tblMoeHistory[[#This Row],[ESD State and Local Amount]]</f>
        <v>419224.81</v>
      </c>
      <c r="H1664">
        <v>0</v>
      </c>
      <c r="I1664" t="s">
        <v>241</v>
      </c>
      <c r="J1664" s="44">
        <f>IFERROR(tblMoeHistory[[#This Row],[LEA State and Local Amount]]/tblMoeHistory[[#This Row],[Child Count]],0)</f>
        <v>13949.627</v>
      </c>
      <c r="K1664">
        <f>IFERROR(tblMoeHistory[[#This Row],[ESD State and Local Amount]]/tblMoeHistory[[#This Row],[Child Count]],0)</f>
        <v>24.533333333333335</v>
      </c>
      <c r="L1664" s="1">
        <f>IFERROR(tblMoeHistory[[#This Row],[State and Local Total Amount]]/tblMoeHistory[[#This Row],[Child Count]],0)</f>
        <v>13974.160333333333</v>
      </c>
      <c r="M1664">
        <v>239269.27000000098</v>
      </c>
      <c r="N1664" t="s">
        <v>240</v>
      </c>
      <c r="O1664">
        <v>30734.2</v>
      </c>
      <c r="P1664">
        <v>669.89</v>
      </c>
      <c r="Q1664">
        <f>tblMoeHistory[[#This Row],[Amount of IDEA Part B, Section 611 award]]+tblMoeHistory[[#This Row],[Amount of IDEA Part B, Section 619 award]]</f>
        <v>31404.09</v>
      </c>
      <c r="T1664">
        <v>0</v>
      </c>
      <c r="U16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4" t="str">
        <f>IF(OR(IFERROR(SEARCH("Met",tblMoeHistory[[#This Row],[State and Local Per Capita Result]]),0)&gt;0,IFERROR(SEARCH("Met",tblMoeHistory[[#This Row],[State and Local Total Result]]),0)&gt;0),"Met","Not Met")</f>
        <v>Met</v>
      </c>
    </row>
    <row r="1665" spans="1:22" x14ac:dyDescent="0.35">
      <c r="A1665" t="s">
        <v>109</v>
      </c>
      <c r="B1665">
        <v>2008</v>
      </c>
      <c r="C1665" t="s">
        <v>243</v>
      </c>
      <c r="D1665">
        <v>83</v>
      </c>
      <c r="E1665">
        <v>937324.63</v>
      </c>
      <c r="F1665">
        <v>169557.61</v>
      </c>
      <c r="G1665">
        <f>tblMoeHistory[[#This Row],[LEA State and Local Amount]]+tblMoeHistory[[#This Row],[ESD State and Local Amount]]</f>
        <v>1106882.24</v>
      </c>
      <c r="H1665">
        <v>0</v>
      </c>
      <c r="I1665" t="s">
        <v>241</v>
      </c>
      <c r="J1665" s="44">
        <f>IFERROR(tblMoeHistory[[#This Row],[LEA State and Local Amount]]/tblMoeHistory[[#This Row],[Child Count]],0)</f>
        <v>11293.067831325301</v>
      </c>
      <c r="K1665">
        <f>IFERROR(tblMoeHistory[[#This Row],[ESD State and Local Amount]]/tblMoeHistory[[#This Row],[Child Count]],0)</f>
        <v>2042.8627710843373</v>
      </c>
      <c r="L1665" s="1">
        <f>IFERROR(tblMoeHistory[[#This Row],[State and Local Total Amount]]/tblMoeHistory[[#This Row],[Child Count]],0)</f>
        <v>13335.930602409639</v>
      </c>
      <c r="M1665">
        <v>0</v>
      </c>
      <c r="N1665" t="s">
        <v>241</v>
      </c>
      <c r="O1665">
        <v>139856.84</v>
      </c>
      <c r="P1665">
        <v>1579.03</v>
      </c>
      <c r="Q1665">
        <f>tblMoeHistory[[#This Row],[Amount of IDEA Part B, Section 611 award]]+tblMoeHistory[[#This Row],[Amount of IDEA Part B, Section 619 award]]</f>
        <v>141435.87</v>
      </c>
      <c r="U16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5" t="str">
        <f>IF(OR(IFERROR(SEARCH("Met",tblMoeHistory[[#This Row],[State and Local Per Capita Result]]),0)&gt;0,IFERROR(SEARCH("Met",tblMoeHistory[[#This Row],[State and Local Total Result]]),0)&gt;0),"Met","Not Met")</f>
        <v>Met</v>
      </c>
    </row>
    <row r="1666" spans="1:22" x14ac:dyDescent="0.35">
      <c r="A1666" t="s">
        <v>110</v>
      </c>
      <c r="B1666">
        <v>2107</v>
      </c>
      <c r="C1666" t="s">
        <v>243</v>
      </c>
      <c r="D1666">
        <v>6</v>
      </c>
      <c r="E1666">
        <v>27149.14</v>
      </c>
      <c r="F1666">
        <v>61558.19</v>
      </c>
      <c r="G1666">
        <f>tblMoeHistory[[#This Row],[LEA State and Local Amount]]+tblMoeHistory[[#This Row],[ESD State and Local Amount]]</f>
        <v>88707.33</v>
      </c>
      <c r="H1666">
        <v>0</v>
      </c>
      <c r="I1666" t="s">
        <v>242</v>
      </c>
      <c r="J1666" s="44">
        <f>IFERROR(tblMoeHistory[[#This Row],[LEA State and Local Amount]]/tblMoeHistory[[#This Row],[Child Count]],0)</f>
        <v>4524.8566666666666</v>
      </c>
      <c r="K1666">
        <f>IFERROR(tblMoeHistory[[#This Row],[ESD State and Local Amount]]/tblMoeHistory[[#This Row],[Child Count]],0)</f>
        <v>10259.698333333334</v>
      </c>
      <c r="L1666" s="1">
        <f>IFERROR(tblMoeHistory[[#This Row],[State and Local Total Amount]]/tblMoeHistory[[#This Row],[Child Count]],0)</f>
        <v>14784.555</v>
      </c>
      <c r="M1666">
        <v>0</v>
      </c>
      <c r="N1666" t="s">
        <v>241</v>
      </c>
      <c r="O1666">
        <v>17279.32</v>
      </c>
      <c r="P1666">
        <v>502.42</v>
      </c>
      <c r="Q1666">
        <f>tblMoeHistory[[#This Row],[Amount of IDEA Part B, Section 611 award]]+tblMoeHistory[[#This Row],[Amount of IDEA Part B, Section 619 award]]</f>
        <v>17781.739999999998</v>
      </c>
      <c r="S1666">
        <v>29499.14</v>
      </c>
      <c r="U16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6" t="str">
        <f>IF(OR(IFERROR(SEARCH("Met",tblMoeHistory[[#This Row],[State and Local Per Capita Result]]),0)&gt;0,IFERROR(SEARCH("Met",tblMoeHistory[[#This Row],[State and Local Total Result]]),0)&gt;0),"Met","Not Met")</f>
        <v>Met</v>
      </c>
    </row>
    <row r="1667" spans="1:22" x14ac:dyDescent="0.35">
      <c r="A1667" t="s">
        <v>111</v>
      </c>
      <c r="B1667">
        <v>2219</v>
      </c>
      <c r="C1667" t="s">
        <v>243</v>
      </c>
      <c r="D1667">
        <v>24</v>
      </c>
      <c r="E1667">
        <v>143838.14000000001</v>
      </c>
      <c r="F1667">
        <v>130454.27</v>
      </c>
      <c r="G1667">
        <f>tblMoeHistory[[#This Row],[LEA State and Local Amount]]+tblMoeHistory[[#This Row],[ESD State and Local Amount]]</f>
        <v>274292.41000000003</v>
      </c>
      <c r="H1667">
        <v>0</v>
      </c>
      <c r="I1667" t="s">
        <v>241</v>
      </c>
      <c r="J1667" s="44">
        <f>IFERROR(tblMoeHistory[[#This Row],[LEA State and Local Amount]]/tblMoeHistory[[#This Row],[Child Count]],0)</f>
        <v>5993.2558333333336</v>
      </c>
      <c r="K1667">
        <f>IFERROR(tblMoeHistory[[#This Row],[ESD State and Local Amount]]/tblMoeHistory[[#This Row],[Child Count]],0)</f>
        <v>5435.5945833333335</v>
      </c>
      <c r="L1667" s="1">
        <f>IFERROR(tblMoeHistory[[#This Row],[State and Local Total Amount]]/tblMoeHistory[[#This Row],[Child Count]],0)</f>
        <v>11428.850416666668</v>
      </c>
      <c r="M1667">
        <v>0</v>
      </c>
      <c r="N1667" t="s">
        <v>241</v>
      </c>
      <c r="O1667">
        <v>59937.18</v>
      </c>
      <c r="P1667">
        <v>2512.09</v>
      </c>
      <c r="Q1667">
        <f>tblMoeHistory[[#This Row],[Amount of IDEA Part B, Section 611 award]]+tblMoeHistory[[#This Row],[Amount of IDEA Part B, Section 619 award]]</f>
        <v>62449.270000000004</v>
      </c>
      <c r="U16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7" t="str">
        <f>IF(OR(IFERROR(SEARCH("Met",tblMoeHistory[[#This Row],[State and Local Per Capita Result]]),0)&gt;0,IFERROR(SEARCH("Met",tblMoeHistory[[#This Row],[State and Local Total Result]]),0)&gt;0),"Met","Not Met")</f>
        <v>Met</v>
      </c>
    </row>
    <row r="1668" spans="1:22" x14ac:dyDescent="0.35">
      <c r="A1668" t="s">
        <v>112</v>
      </c>
      <c r="B1668">
        <v>2091</v>
      </c>
      <c r="C1668" t="s">
        <v>243</v>
      </c>
      <c r="D1668">
        <v>247</v>
      </c>
      <c r="E1668">
        <v>1916516.84</v>
      </c>
      <c r="F1668">
        <v>506831</v>
      </c>
      <c r="G1668">
        <f>tblMoeHistory[[#This Row],[LEA State and Local Amount]]+tblMoeHistory[[#This Row],[ESD State and Local Amount]]</f>
        <v>2423347.84</v>
      </c>
      <c r="H1668">
        <v>0</v>
      </c>
      <c r="I1668" t="s">
        <v>241</v>
      </c>
      <c r="J1668" s="44">
        <f>IFERROR(tblMoeHistory[[#This Row],[LEA State and Local Amount]]/tblMoeHistory[[#This Row],[Child Count]],0)</f>
        <v>7759.1774898785425</v>
      </c>
      <c r="K1668">
        <f>IFERROR(tblMoeHistory[[#This Row],[ESD State and Local Amount]]/tblMoeHistory[[#This Row],[Child Count]],0)</f>
        <v>2051.9473684210525</v>
      </c>
      <c r="L1668" s="1">
        <f>IFERROR(tblMoeHistory[[#This Row],[State and Local Total Amount]]/tblMoeHistory[[#This Row],[Child Count]],0)</f>
        <v>9811.1248582995941</v>
      </c>
      <c r="M1668">
        <v>0</v>
      </c>
      <c r="N1668" t="s">
        <v>241</v>
      </c>
      <c r="O1668">
        <v>293870.95</v>
      </c>
      <c r="P1668">
        <v>1674.73</v>
      </c>
      <c r="Q1668">
        <f>tblMoeHistory[[#This Row],[Amount of IDEA Part B, Section 611 award]]+tblMoeHistory[[#This Row],[Amount of IDEA Part B, Section 619 award]]</f>
        <v>295545.68</v>
      </c>
      <c r="U16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8" t="str">
        <f>IF(OR(IFERROR(SEARCH("Met",tblMoeHistory[[#This Row],[State and Local Per Capita Result]]),0)&gt;0,IFERROR(SEARCH("Met",tblMoeHistory[[#This Row],[State and Local Total Result]]),0)&gt;0),"Met","Not Met")</f>
        <v>Met</v>
      </c>
    </row>
    <row r="1669" spans="1:22" x14ac:dyDescent="0.35">
      <c r="A1669" t="s">
        <v>113</v>
      </c>
      <c r="B1669">
        <v>2109</v>
      </c>
      <c r="C1669" t="s">
        <v>243</v>
      </c>
      <c r="D1669">
        <v>0</v>
      </c>
      <c r="E1669">
        <v>0</v>
      </c>
      <c r="F1669">
        <v>10424.790000000001</v>
      </c>
      <c r="G1669">
        <f>tblMoeHistory[[#This Row],[LEA State and Local Amount]]+tblMoeHistory[[#This Row],[ESD State and Local Amount]]</f>
        <v>10424.790000000001</v>
      </c>
      <c r="H1669">
        <v>0</v>
      </c>
      <c r="I1669" t="s">
        <v>241</v>
      </c>
      <c r="J1669" s="44">
        <f>IFERROR(tblMoeHistory[[#This Row],[LEA State and Local Amount]]/tblMoeHistory[[#This Row],[Child Count]],0)</f>
        <v>0</v>
      </c>
      <c r="K1669">
        <f>IFERROR(tblMoeHistory[[#This Row],[ESD State and Local Amount]]/tblMoeHistory[[#This Row],[Child Count]],0)</f>
        <v>0</v>
      </c>
      <c r="L1669" s="1">
        <f>IFERROR(tblMoeHistory[[#This Row],[State and Local Total Amount]]/tblMoeHistory[[#This Row],[Child Count]],0)</f>
        <v>0</v>
      </c>
      <c r="M1669">
        <v>0</v>
      </c>
      <c r="N1669" t="s">
        <v>241</v>
      </c>
      <c r="O1669">
        <v>219.95</v>
      </c>
      <c r="P1669">
        <v>0</v>
      </c>
      <c r="Q1669">
        <f>tblMoeHistory[[#This Row],[Amount of IDEA Part B, Section 611 award]]+tblMoeHistory[[#This Row],[Amount of IDEA Part B, Section 619 award]]</f>
        <v>219.95</v>
      </c>
      <c r="U16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9" t="str">
        <f>IF(OR(IFERROR(SEARCH("Met",tblMoeHistory[[#This Row],[State and Local Per Capita Result]]),0)&gt;0,IFERROR(SEARCH("Met",tblMoeHistory[[#This Row],[State and Local Total Result]]),0)&gt;0),"Met","Not Met")</f>
        <v>Met</v>
      </c>
    </row>
    <row r="1670" spans="1:22" x14ac:dyDescent="0.35">
      <c r="A1670" t="s">
        <v>114</v>
      </c>
      <c r="B1670">
        <v>2057</v>
      </c>
      <c r="C1670" t="s">
        <v>243</v>
      </c>
      <c r="D1670">
        <v>885</v>
      </c>
      <c r="E1670">
        <v>7320437.9699999997</v>
      </c>
      <c r="F1670">
        <v>233444.27</v>
      </c>
      <c r="G1670">
        <f>tblMoeHistory[[#This Row],[LEA State and Local Amount]]+tblMoeHistory[[#This Row],[ESD State and Local Amount]]</f>
        <v>7553882.2399999993</v>
      </c>
      <c r="H1670">
        <v>0</v>
      </c>
      <c r="I1670" t="s">
        <v>241</v>
      </c>
      <c r="J1670" s="44">
        <f>IFERROR(tblMoeHistory[[#This Row],[LEA State and Local Amount]]/tblMoeHistory[[#This Row],[Child Count]],0)</f>
        <v>8271.6813220338972</v>
      </c>
      <c r="K1670">
        <f>IFERROR(tblMoeHistory[[#This Row],[ESD State and Local Amount]]/tblMoeHistory[[#This Row],[Child Count]],0)</f>
        <v>263.77883615819206</v>
      </c>
      <c r="L1670" s="1">
        <f>IFERROR(tblMoeHistory[[#This Row],[State and Local Total Amount]]/tblMoeHistory[[#This Row],[Child Count]],0)</f>
        <v>8535.4601581920888</v>
      </c>
      <c r="M1670">
        <v>160279.09335336206</v>
      </c>
      <c r="N1670" t="s">
        <v>240</v>
      </c>
      <c r="O1670">
        <v>1272898.8899999999</v>
      </c>
      <c r="P1670">
        <v>12589.04</v>
      </c>
      <c r="Q1670">
        <f>tblMoeHistory[[#This Row],[Amount of IDEA Part B, Section 611 award]]+tblMoeHistory[[#This Row],[Amount of IDEA Part B, Section 619 award]]</f>
        <v>1285487.93</v>
      </c>
      <c r="T1670">
        <v>0</v>
      </c>
      <c r="U16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0" t="str">
        <f>IF(OR(IFERROR(SEARCH("Met",tblMoeHistory[[#This Row],[State and Local Per Capita Result]]),0)&gt;0,IFERROR(SEARCH("Met",tblMoeHistory[[#This Row],[State and Local Total Result]]),0)&gt;0),"Met","Not Met")</f>
        <v>Met</v>
      </c>
    </row>
    <row r="1671" spans="1:22" x14ac:dyDescent="0.35">
      <c r="A1671" t="s">
        <v>115</v>
      </c>
      <c r="B1671">
        <v>2056</v>
      </c>
      <c r="C1671" t="s">
        <v>243</v>
      </c>
      <c r="D1671">
        <v>407</v>
      </c>
      <c r="E1671">
        <v>3393954.46</v>
      </c>
      <c r="F1671">
        <v>113545.81</v>
      </c>
      <c r="G1671">
        <f>tblMoeHistory[[#This Row],[LEA State and Local Amount]]+tblMoeHistory[[#This Row],[ESD State and Local Amount]]</f>
        <v>3507500.27</v>
      </c>
      <c r="H1671">
        <v>0</v>
      </c>
      <c r="I1671" t="s">
        <v>241</v>
      </c>
      <c r="J1671" s="44">
        <f>IFERROR(tblMoeHistory[[#This Row],[LEA State and Local Amount]]/tblMoeHistory[[#This Row],[Child Count]],0)</f>
        <v>8338.9544471744466</v>
      </c>
      <c r="K1671">
        <f>IFERROR(tblMoeHistory[[#This Row],[ESD State and Local Amount]]/tblMoeHistory[[#This Row],[Child Count]],0)</f>
        <v>278.98233415233415</v>
      </c>
      <c r="L1671" s="1">
        <f>IFERROR(tblMoeHistory[[#This Row],[State and Local Total Amount]]/tblMoeHistory[[#This Row],[Child Count]],0)</f>
        <v>8617.9367813267818</v>
      </c>
      <c r="M1671">
        <v>0</v>
      </c>
      <c r="N1671" t="s">
        <v>241</v>
      </c>
      <c r="O1671">
        <v>637677.72</v>
      </c>
      <c r="P1671">
        <v>7993.01</v>
      </c>
      <c r="Q1671">
        <f>tblMoeHistory[[#This Row],[Amount of IDEA Part B, Section 611 award]]+tblMoeHistory[[#This Row],[Amount of IDEA Part B, Section 619 award]]</f>
        <v>645670.73</v>
      </c>
      <c r="U16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1" t="str">
        <f>IF(OR(IFERROR(SEARCH("Met",tblMoeHistory[[#This Row],[State and Local Per Capita Result]]),0)&gt;0,IFERROR(SEARCH("Met",tblMoeHistory[[#This Row],[State and Local Total Result]]),0)&gt;0),"Met","Not Met")</f>
        <v>Met</v>
      </c>
    </row>
    <row r="1672" spans="1:22" x14ac:dyDescent="0.35">
      <c r="A1672" t="s">
        <v>116</v>
      </c>
      <c r="B1672">
        <v>2262</v>
      </c>
      <c r="C1672" t="s">
        <v>243</v>
      </c>
      <c r="D1672">
        <v>96</v>
      </c>
      <c r="E1672">
        <v>650749.43999999994</v>
      </c>
      <c r="F1672">
        <v>149287</v>
      </c>
      <c r="G1672">
        <f>tblMoeHistory[[#This Row],[LEA State and Local Amount]]+tblMoeHistory[[#This Row],[ESD State and Local Amount]]</f>
        <v>800036.44</v>
      </c>
      <c r="H1672">
        <v>0</v>
      </c>
      <c r="I1672" t="s">
        <v>241</v>
      </c>
      <c r="J1672" s="44">
        <f>IFERROR(tblMoeHistory[[#This Row],[LEA State and Local Amount]]/tblMoeHistory[[#This Row],[Child Count]],0)</f>
        <v>6778.6399999999994</v>
      </c>
      <c r="K1672">
        <f>IFERROR(tblMoeHistory[[#This Row],[ESD State and Local Amount]]/tblMoeHistory[[#This Row],[Child Count]],0)</f>
        <v>1555.0729166666667</v>
      </c>
      <c r="L1672" s="1">
        <f>IFERROR(tblMoeHistory[[#This Row],[State and Local Total Amount]]/tblMoeHistory[[#This Row],[Child Count]],0)</f>
        <v>8333.7129166666655</v>
      </c>
      <c r="M1672">
        <v>79406.360000000044</v>
      </c>
      <c r="N1672" t="s">
        <v>240</v>
      </c>
      <c r="O1672">
        <v>77877.91</v>
      </c>
      <c r="P1672">
        <v>270.52999999999997</v>
      </c>
      <c r="Q1672">
        <f>tblMoeHistory[[#This Row],[Amount of IDEA Part B, Section 611 award]]+tblMoeHistory[[#This Row],[Amount of IDEA Part B, Section 619 award]]</f>
        <v>78148.44</v>
      </c>
      <c r="T1672">
        <v>0</v>
      </c>
      <c r="U16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2" t="str">
        <f>IF(OR(IFERROR(SEARCH("Met",tblMoeHistory[[#This Row],[State and Local Per Capita Result]]),0)&gt;0,IFERROR(SEARCH("Met",tblMoeHistory[[#This Row],[State and Local Total Result]]),0)&gt;0),"Met","Not Met")</f>
        <v>Met</v>
      </c>
    </row>
    <row r="1673" spans="1:22" x14ac:dyDescent="0.35">
      <c r="A1673" t="s">
        <v>117</v>
      </c>
      <c r="B1673">
        <v>2212</v>
      </c>
      <c r="C1673" t="s">
        <v>243</v>
      </c>
      <c r="D1673">
        <v>360</v>
      </c>
      <c r="E1673">
        <v>2901847.73</v>
      </c>
      <c r="F1673">
        <v>638415.07999999996</v>
      </c>
      <c r="G1673">
        <f>tblMoeHistory[[#This Row],[LEA State and Local Amount]]+tblMoeHistory[[#This Row],[ESD State and Local Amount]]</f>
        <v>3540262.81</v>
      </c>
      <c r="H1673">
        <v>0</v>
      </c>
      <c r="I1673" t="s">
        <v>241</v>
      </c>
      <c r="J1673" s="44">
        <f>IFERROR(tblMoeHistory[[#This Row],[LEA State and Local Amount]]/tblMoeHistory[[#This Row],[Child Count]],0)</f>
        <v>8060.6881388888887</v>
      </c>
      <c r="K1673">
        <f>IFERROR(tblMoeHistory[[#This Row],[ESD State and Local Amount]]/tblMoeHistory[[#This Row],[Child Count]],0)</f>
        <v>1773.3752222222222</v>
      </c>
      <c r="L1673" s="1">
        <f>IFERROR(tblMoeHistory[[#This Row],[State and Local Total Amount]]/tblMoeHistory[[#This Row],[Child Count]],0)</f>
        <v>9834.0633611111116</v>
      </c>
      <c r="M1673">
        <v>0</v>
      </c>
      <c r="N1673" t="s">
        <v>241</v>
      </c>
      <c r="O1673">
        <v>464395.42</v>
      </c>
      <c r="P1673">
        <v>3569.81</v>
      </c>
      <c r="Q1673">
        <f>tblMoeHistory[[#This Row],[Amount of IDEA Part B, Section 611 award]]+tblMoeHistory[[#This Row],[Amount of IDEA Part B, Section 619 award]]</f>
        <v>467965.23</v>
      </c>
      <c r="U16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3" t="str">
        <f>IF(OR(IFERROR(SEARCH("Met",tblMoeHistory[[#This Row],[State and Local Per Capita Result]]),0)&gt;0,IFERROR(SEARCH("Met",tblMoeHistory[[#This Row],[State and Local Total Result]]),0)&gt;0),"Met","Not Met")</f>
        <v>Met</v>
      </c>
    </row>
    <row r="1674" spans="1:22" x14ac:dyDescent="0.35">
      <c r="A1674" t="s">
        <v>118</v>
      </c>
      <c r="B1674">
        <v>2059</v>
      </c>
      <c r="C1674" t="s">
        <v>243</v>
      </c>
      <c r="D1674">
        <v>95</v>
      </c>
      <c r="E1674">
        <v>653847.49</v>
      </c>
      <c r="F1674">
        <v>253032.27</v>
      </c>
      <c r="G1674">
        <f>tblMoeHistory[[#This Row],[LEA State and Local Amount]]+tblMoeHistory[[#This Row],[ESD State and Local Amount]]</f>
        <v>906879.76</v>
      </c>
      <c r="H1674">
        <v>0</v>
      </c>
      <c r="I1674" t="s">
        <v>241</v>
      </c>
      <c r="J1674" s="44">
        <f>IFERROR(tblMoeHistory[[#This Row],[LEA State and Local Amount]]/tblMoeHistory[[#This Row],[Child Count]],0)</f>
        <v>6882.6051578947363</v>
      </c>
      <c r="K1674">
        <f>IFERROR(tblMoeHistory[[#This Row],[ESD State and Local Amount]]/tblMoeHistory[[#This Row],[Child Count]],0)</f>
        <v>2663.4975789473683</v>
      </c>
      <c r="L1674" s="1">
        <f>IFERROR(tblMoeHistory[[#This Row],[State and Local Total Amount]]/tblMoeHistory[[#This Row],[Child Count]],0)</f>
        <v>9546.1027368421055</v>
      </c>
      <c r="M1674">
        <v>0</v>
      </c>
      <c r="N1674" t="s">
        <v>241</v>
      </c>
      <c r="O1674">
        <v>143941.65</v>
      </c>
      <c r="P1674">
        <v>1205.8</v>
      </c>
      <c r="Q1674">
        <f>tblMoeHistory[[#This Row],[Amount of IDEA Part B, Section 611 award]]+tblMoeHistory[[#This Row],[Amount of IDEA Part B, Section 619 award]]</f>
        <v>145147.44999999998</v>
      </c>
      <c r="U16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4" t="str">
        <f>IF(OR(IFERROR(SEARCH("Met",tblMoeHistory[[#This Row],[State and Local Per Capita Result]]),0)&gt;0,IFERROR(SEARCH("Met",tblMoeHistory[[#This Row],[State and Local Total Result]]),0)&gt;0),"Met","Not Met")</f>
        <v>Met</v>
      </c>
    </row>
    <row r="1675" spans="1:22" x14ac:dyDescent="0.35">
      <c r="A1675" t="s">
        <v>119</v>
      </c>
      <c r="B1675">
        <v>1923</v>
      </c>
      <c r="C1675" t="s">
        <v>243</v>
      </c>
      <c r="D1675">
        <v>669</v>
      </c>
      <c r="E1675">
        <v>12842186.93</v>
      </c>
      <c r="F1675">
        <v>203424</v>
      </c>
      <c r="G1675">
        <f>tblMoeHistory[[#This Row],[LEA State and Local Amount]]+tblMoeHistory[[#This Row],[ESD State and Local Amount]]</f>
        <v>13045610.93</v>
      </c>
      <c r="H1675">
        <v>0</v>
      </c>
      <c r="I1675" t="s">
        <v>241</v>
      </c>
      <c r="J1675" s="44">
        <f>IFERROR(tblMoeHistory[[#This Row],[LEA State and Local Amount]]/tblMoeHistory[[#This Row],[Child Count]],0)</f>
        <v>19196.094065769805</v>
      </c>
      <c r="K1675">
        <f>IFERROR(tblMoeHistory[[#This Row],[ESD State and Local Amount]]/tblMoeHistory[[#This Row],[Child Count]],0)</f>
        <v>304.07174887892376</v>
      </c>
      <c r="L1675" s="1">
        <f>IFERROR(tblMoeHistory[[#This Row],[State and Local Total Amount]]/tblMoeHistory[[#This Row],[Child Count]],0)</f>
        <v>19500.165814648728</v>
      </c>
      <c r="M1675">
        <v>0</v>
      </c>
      <c r="N1675" t="s">
        <v>241</v>
      </c>
      <c r="O1675">
        <v>1034930.07</v>
      </c>
      <c r="P1675">
        <v>2966.66</v>
      </c>
      <c r="Q1675">
        <f>tblMoeHistory[[#This Row],[Amount of IDEA Part B, Section 611 award]]+tblMoeHistory[[#This Row],[Amount of IDEA Part B, Section 619 award]]</f>
        <v>1037896.73</v>
      </c>
      <c r="U16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5" t="str">
        <f>IF(OR(IFERROR(SEARCH("Met",tblMoeHistory[[#This Row],[State and Local Per Capita Result]]),0)&gt;0,IFERROR(SEARCH("Met",tblMoeHistory[[#This Row],[State and Local Total Result]]),0)&gt;0),"Met","Not Met")</f>
        <v>Met</v>
      </c>
    </row>
    <row r="1676" spans="1:22" x14ac:dyDescent="0.35">
      <c r="A1676" t="s">
        <v>120</v>
      </c>
      <c r="B1676">
        <v>2101</v>
      </c>
      <c r="C1676" t="s">
        <v>243</v>
      </c>
      <c r="D1676">
        <v>661</v>
      </c>
      <c r="E1676">
        <v>6158032.4699999997</v>
      </c>
      <c r="F1676">
        <v>784339</v>
      </c>
      <c r="G1676">
        <f>tblMoeHistory[[#This Row],[LEA State and Local Amount]]+tblMoeHistory[[#This Row],[ESD State and Local Amount]]</f>
        <v>6942371.4699999997</v>
      </c>
      <c r="H1676">
        <v>0</v>
      </c>
      <c r="I1676" t="s">
        <v>241</v>
      </c>
      <c r="J1676" s="44">
        <f>IFERROR(tblMoeHistory[[#This Row],[LEA State and Local Amount]]/tblMoeHistory[[#This Row],[Child Count]],0)</f>
        <v>9316.2367170953094</v>
      </c>
      <c r="K1676">
        <f>IFERROR(tblMoeHistory[[#This Row],[ESD State and Local Amount]]/tblMoeHistory[[#This Row],[Child Count]],0)</f>
        <v>1186.5945537065054</v>
      </c>
      <c r="L1676" s="1">
        <f>IFERROR(tblMoeHistory[[#This Row],[State and Local Total Amount]]/tblMoeHistory[[#This Row],[Child Count]],0)</f>
        <v>10502.831270801815</v>
      </c>
      <c r="M1676">
        <v>0</v>
      </c>
      <c r="N1676" t="s">
        <v>241</v>
      </c>
      <c r="O1676">
        <v>770984.49</v>
      </c>
      <c r="P1676">
        <v>5915.37</v>
      </c>
      <c r="Q1676">
        <f>tblMoeHistory[[#This Row],[Amount of IDEA Part B, Section 611 award]]+tblMoeHistory[[#This Row],[Amount of IDEA Part B, Section 619 award]]</f>
        <v>776899.86</v>
      </c>
      <c r="U16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6" t="str">
        <f>IF(OR(IFERROR(SEARCH("Met",tblMoeHistory[[#This Row],[State and Local Per Capita Result]]),0)&gt;0,IFERROR(SEARCH("Met",tblMoeHistory[[#This Row],[State and Local Total Result]]),0)&gt;0),"Met","Not Met")</f>
        <v>Met</v>
      </c>
    </row>
    <row r="1677" spans="1:22" x14ac:dyDescent="0.35">
      <c r="A1677" t="s">
        <v>121</v>
      </c>
      <c r="B1677">
        <v>2097</v>
      </c>
      <c r="C1677" t="s">
        <v>243</v>
      </c>
      <c r="D1677">
        <v>811</v>
      </c>
      <c r="E1677">
        <v>7404414.4100000001</v>
      </c>
      <c r="F1677">
        <v>809545</v>
      </c>
      <c r="G1677">
        <f>tblMoeHistory[[#This Row],[LEA State and Local Amount]]+tblMoeHistory[[#This Row],[ESD State and Local Amount]]</f>
        <v>8213959.4100000001</v>
      </c>
      <c r="H1677">
        <v>0</v>
      </c>
      <c r="I1677" t="s">
        <v>241</v>
      </c>
      <c r="J1677" s="44">
        <f>IFERROR(tblMoeHistory[[#This Row],[LEA State and Local Amount]]/tblMoeHistory[[#This Row],[Child Count]],0)</f>
        <v>9129.980776818742</v>
      </c>
      <c r="K1677">
        <f>IFERROR(tblMoeHistory[[#This Row],[ESD State and Local Amount]]/tblMoeHistory[[#This Row],[Child Count]],0)</f>
        <v>998.2059186189889</v>
      </c>
      <c r="L1677" s="1">
        <f>IFERROR(tblMoeHistory[[#This Row],[State and Local Total Amount]]/tblMoeHistory[[#This Row],[Child Count]],0)</f>
        <v>10128.186695437731</v>
      </c>
      <c r="M1677">
        <v>206510.98820257658</v>
      </c>
      <c r="N1677" t="s">
        <v>240</v>
      </c>
      <c r="O1677">
        <v>1000066.08</v>
      </c>
      <c r="P1677">
        <v>18191</v>
      </c>
      <c r="Q1677">
        <f>tblMoeHistory[[#This Row],[Amount of IDEA Part B, Section 611 award]]+tblMoeHistory[[#This Row],[Amount of IDEA Part B, Section 619 award]]</f>
        <v>1018257.08</v>
      </c>
      <c r="T1677">
        <v>0</v>
      </c>
      <c r="U16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7" t="str">
        <f>IF(OR(IFERROR(SEARCH("Met",tblMoeHistory[[#This Row],[State and Local Per Capita Result]]),0)&gt;0,IFERROR(SEARCH("Met",tblMoeHistory[[#This Row],[State and Local Total Result]]),0)&gt;0),"Met","Not Met")</f>
        <v>Met</v>
      </c>
    </row>
    <row r="1678" spans="1:22" x14ac:dyDescent="0.35">
      <c r="A1678" t="s">
        <v>122</v>
      </c>
      <c r="B1678">
        <v>2012</v>
      </c>
      <c r="C1678" t="s">
        <v>243</v>
      </c>
      <c r="D1678">
        <v>5</v>
      </c>
      <c r="E1678">
        <v>22729.9</v>
      </c>
      <c r="F1678">
        <v>53084.66</v>
      </c>
      <c r="G1678">
        <f>tblMoeHistory[[#This Row],[LEA State and Local Amount]]+tblMoeHistory[[#This Row],[ESD State and Local Amount]]</f>
        <v>75814.559999999998</v>
      </c>
      <c r="H1678">
        <v>0</v>
      </c>
      <c r="I1678" t="s">
        <v>241</v>
      </c>
      <c r="J1678" s="44">
        <f>IFERROR(tblMoeHistory[[#This Row],[LEA State and Local Amount]]/tblMoeHistory[[#This Row],[Child Count]],0)</f>
        <v>4545.9800000000005</v>
      </c>
      <c r="K1678">
        <f>IFERROR(tblMoeHistory[[#This Row],[ESD State and Local Amount]]/tblMoeHistory[[#This Row],[Child Count]],0)</f>
        <v>10616.932000000001</v>
      </c>
      <c r="L1678" s="1">
        <f>IFERROR(tblMoeHistory[[#This Row],[State and Local Total Amount]]/tblMoeHistory[[#This Row],[Child Count]],0)</f>
        <v>15162.912</v>
      </c>
      <c r="M1678">
        <v>62427.225499999993</v>
      </c>
      <c r="N1678" t="s">
        <v>240</v>
      </c>
      <c r="O1678">
        <v>4903.91</v>
      </c>
      <c r="P1678">
        <v>0</v>
      </c>
      <c r="Q1678">
        <f>tblMoeHistory[[#This Row],[Amount of IDEA Part B, Section 611 award]]+tblMoeHistory[[#This Row],[Amount of IDEA Part B, Section 619 award]]</f>
        <v>4903.91</v>
      </c>
      <c r="T1678">
        <v>12352.48</v>
      </c>
      <c r="U16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8" t="str">
        <f>IF(OR(IFERROR(SEARCH("Met",tblMoeHistory[[#This Row],[State and Local Per Capita Result]]),0)&gt;0,IFERROR(SEARCH("Met",tblMoeHistory[[#This Row],[State and Local Total Result]]),0)&gt;0),"Met","Not Met")</f>
        <v>Met</v>
      </c>
    </row>
    <row r="1679" spans="1:22" x14ac:dyDescent="0.35">
      <c r="A1679" t="s">
        <v>123</v>
      </c>
      <c r="B1679">
        <v>2092</v>
      </c>
      <c r="C1679" t="s">
        <v>243</v>
      </c>
      <c r="D1679">
        <v>94</v>
      </c>
      <c r="E1679">
        <v>620377.88</v>
      </c>
      <c r="F1679">
        <v>211907</v>
      </c>
      <c r="G1679">
        <f>tblMoeHistory[[#This Row],[LEA State and Local Amount]]+tblMoeHistory[[#This Row],[ESD State and Local Amount]]</f>
        <v>832284.88</v>
      </c>
      <c r="H1679">
        <v>0</v>
      </c>
      <c r="I1679" t="s">
        <v>241</v>
      </c>
      <c r="J1679" s="44">
        <f>IFERROR(tblMoeHistory[[#This Row],[LEA State and Local Amount]]/tblMoeHistory[[#This Row],[Child Count]],0)</f>
        <v>6599.7646808510635</v>
      </c>
      <c r="K1679">
        <f>IFERROR(tblMoeHistory[[#This Row],[ESD State and Local Amount]]/tblMoeHistory[[#This Row],[Child Count]],0)</f>
        <v>2254.3297872340427</v>
      </c>
      <c r="L1679" s="1">
        <f>IFERROR(tblMoeHistory[[#This Row],[State and Local Total Amount]]/tblMoeHistory[[#This Row],[Child Count]],0)</f>
        <v>8854.0944680851062</v>
      </c>
      <c r="M1679">
        <v>235265.12000000395</v>
      </c>
      <c r="N1679" t="s">
        <v>240</v>
      </c>
      <c r="O1679">
        <v>131742.21</v>
      </c>
      <c r="P1679">
        <v>1130.44</v>
      </c>
      <c r="Q1679">
        <f>tblMoeHistory[[#This Row],[Amount of IDEA Part B, Section 611 award]]+tblMoeHistory[[#This Row],[Amount of IDEA Part B, Section 619 award]]</f>
        <v>132872.65</v>
      </c>
      <c r="T1679">
        <v>148.26</v>
      </c>
      <c r="U16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9" t="str">
        <f>IF(OR(IFERROR(SEARCH("Met",tblMoeHistory[[#This Row],[State and Local Per Capita Result]]),0)&gt;0,IFERROR(SEARCH("Met",tblMoeHistory[[#This Row],[State and Local Total Result]]),0)&gt;0),"Met","Not Met")</f>
        <v>Met</v>
      </c>
    </row>
    <row r="1680" spans="1:22" x14ac:dyDescent="0.35">
      <c r="A1680" t="s">
        <v>124</v>
      </c>
      <c r="B1680">
        <v>2112</v>
      </c>
      <c r="C1680" t="s">
        <v>243</v>
      </c>
      <c r="D1680">
        <v>0</v>
      </c>
      <c r="E1680">
        <v>0</v>
      </c>
      <c r="F1680">
        <v>872.02</v>
      </c>
      <c r="G1680">
        <f>tblMoeHistory[[#This Row],[LEA State and Local Amount]]+tblMoeHistory[[#This Row],[ESD State and Local Amount]]</f>
        <v>872.02</v>
      </c>
      <c r="H1680">
        <v>1465.8899999999999</v>
      </c>
      <c r="I1680" t="s">
        <v>240</v>
      </c>
      <c r="J1680" s="44">
        <f>IFERROR(tblMoeHistory[[#This Row],[LEA State and Local Amount]]/tblMoeHistory[[#This Row],[Child Count]],0)</f>
        <v>0</v>
      </c>
      <c r="K1680">
        <f>IFERROR(tblMoeHistory[[#This Row],[ESD State and Local Amount]]/tblMoeHistory[[#This Row],[Child Count]],0)</f>
        <v>0</v>
      </c>
      <c r="L1680" s="1">
        <f>IFERROR(tblMoeHistory[[#This Row],[State and Local Total Amount]]/tblMoeHistory[[#This Row],[Child Count]],0)</f>
        <v>0</v>
      </c>
      <c r="M1680">
        <v>0</v>
      </c>
      <c r="N1680" t="s">
        <v>241</v>
      </c>
      <c r="O1680">
        <v>406.19</v>
      </c>
      <c r="P1680">
        <v>0</v>
      </c>
      <c r="Q1680">
        <f>tblMoeHistory[[#This Row],[Amount of IDEA Part B, Section 611 award]]+tblMoeHistory[[#This Row],[Amount of IDEA Part B, Section 619 award]]</f>
        <v>406.19</v>
      </c>
      <c r="S1680">
        <v>0</v>
      </c>
      <c r="U16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0" t="str">
        <f>IF(OR(IFERROR(SEARCH("Met",tblMoeHistory[[#This Row],[State and Local Per Capita Result]]),0)&gt;0,IFERROR(SEARCH("Met",tblMoeHistory[[#This Row],[State and Local Total Result]]),0)&gt;0),"Met","Not Met")</f>
        <v>Met</v>
      </c>
    </row>
    <row r="1681" spans="1:22" x14ac:dyDescent="0.35">
      <c r="A1681" t="s">
        <v>125</v>
      </c>
      <c r="B1681">
        <v>2085</v>
      </c>
      <c r="C1681" t="s">
        <v>243</v>
      </c>
      <c r="D1681">
        <v>28</v>
      </c>
      <c r="E1681">
        <v>204456.21</v>
      </c>
      <c r="F1681">
        <v>105386</v>
      </c>
      <c r="G1681">
        <f>tblMoeHistory[[#This Row],[LEA State and Local Amount]]+tblMoeHistory[[#This Row],[ESD State and Local Amount]]</f>
        <v>309842.20999999996</v>
      </c>
      <c r="H1681">
        <v>0</v>
      </c>
      <c r="I1681" t="s">
        <v>242</v>
      </c>
      <c r="J1681" s="44">
        <f>IFERROR(tblMoeHistory[[#This Row],[LEA State and Local Amount]]/tblMoeHistory[[#This Row],[Child Count]],0)</f>
        <v>7302.0074999999997</v>
      </c>
      <c r="K1681">
        <f>IFERROR(tblMoeHistory[[#This Row],[ESD State and Local Amount]]/tblMoeHistory[[#This Row],[Child Count]],0)</f>
        <v>3763.7857142857142</v>
      </c>
      <c r="L1681" s="1">
        <f>IFERROR(tblMoeHistory[[#This Row],[State and Local Total Amount]]/tblMoeHistory[[#This Row],[Child Count]],0)</f>
        <v>11065.793214285713</v>
      </c>
      <c r="M1681">
        <v>10583.48391304359</v>
      </c>
      <c r="N1681" t="s">
        <v>240</v>
      </c>
      <c r="O1681">
        <v>46098.28</v>
      </c>
      <c r="P1681">
        <v>251.21</v>
      </c>
      <c r="Q1681">
        <f>tblMoeHistory[[#This Row],[Amount of IDEA Part B, Section 611 award]]+tblMoeHistory[[#This Row],[Amount of IDEA Part B, Section 619 award]]</f>
        <v>46349.49</v>
      </c>
      <c r="S1681">
        <v>131092</v>
      </c>
      <c r="T1681">
        <v>6895.3</v>
      </c>
      <c r="U16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1" t="str">
        <f>IF(OR(IFERROR(SEARCH("Met",tblMoeHistory[[#This Row],[State and Local Per Capita Result]]),0)&gt;0,IFERROR(SEARCH("Met",tblMoeHistory[[#This Row],[State and Local Total Result]]),0)&gt;0),"Met","Not Met")</f>
        <v>Met</v>
      </c>
    </row>
    <row r="1682" spans="1:22" x14ac:dyDescent="0.35">
      <c r="A1682" t="s">
        <v>126</v>
      </c>
      <c r="B1682">
        <v>2094</v>
      </c>
      <c r="C1682" t="s">
        <v>243</v>
      </c>
      <c r="D1682">
        <v>56</v>
      </c>
      <c r="E1682">
        <v>542422.49</v>
      </c>
      <c r="F1682">
        <v>104041</v>
      </c>
      <c r="G1682">
        <f>tblMoeHistory[[#This Row],[LEA State and Local Amount]]+tblMoeHistory[[#This Row],[ESD State and Local Amount]]</f>
        <v>646463.49</v>
      </c>
      <c r="H1682">
        <v>0</v>
      </c>
      <c r="I1682" t="s">
        <v>241</v>
      </c>
      <c r="J1682" s="44">
        <f>IFERROR(tblMoeHistory[[#This Row],[LEA State and Local Amount]]/tblMoeHistory[[#This Row],[Child Count]],0)</f>
        <v>9686.1158928571422</v>
      </c>
      <c r="K1682">
        <f>IFERROR(tblMoeHistory[[#This Row],[ESD State and Local Amount]]/tblMoeHistory[[#This Row],[Child Count]],0)</f>
        <v>1857.875</v>
      </c>
      <c r="L1682" s="1">
        <f>IFERROR(tblMoeHistory[[#This Row],[State and Local Total Amount]]/tblMoeHistory[[#This Row],[Child Count]],0)</f>
        <v>11543.990892857142</v>
      </c>
      <c r="M1682">
        <v>0</v>
      </c>
      <c r="N1682" t="s">
        <v>241</v>
      </c>
      <c r="O1682">
        <v>53412.11</v>
      </c>
      <c r="P1682">
        <v>334.95</v>
      </c>
      <c r="Q1682">
        <f>tblMoeHistory[[#This Row],[Amount of IDEA Part B, Section 611 award]]+tblMoeHistory[[#This Row],[Amount of IDEA Part B, Section 619 award]]</f>
        <v>53747.06</v>
      </c>
      <c r="U16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2" t="str">
        <f>IF(OR(IFERROR(SEARCH("Met",tblMoeHistory[[#This Row],[State and Local Per Capita Result]]),0)&gt;0,IFERROR(SEARCH("Met",tblMoeHistory[[#This Row],[State and Local Total Result]]),0)&gt;0),"Met","Not Met")</f>
        <v>Met</v>
      </c>
    </row>
    <row r="1683" spans="1:22" x14ac:dyDescent="0.35">
      <c r="A1683" t="s">
        <v>127</v>
      </c>
      <c r="B1683">
        <v>2090</v>
      </c>
      <c r="C1683" t="s">
        <v>243</v>
      </c>
      <c r="D1683">
        <v>33</v>
      </c>
      <c r="E1683">
        <v>449937.88</v>
      </c>
      <c r="F1683">
        <v>48365</v>
      </c>
      <c r="G1683">
        <f>tblMoeHistory[[#This Row],[LEA State and Local Amount]]+tblMoeHistory[[#This Row],[ESD State and Local Amount]]</f>
        <v>498302.88</v>
      </c>
      <c r="H1683">
        <v>0</v>
      </c>
      <c r="I1683" t="s">
        <v>241</v>
      </c>
      <c r="J1683" s="44">
        <f>IFERROR(tblMoeHistory[[#This Row],[LEA State and Local Amount]]/tblMoeHistory[[#This Row],[Child Count]],0)</f>
        <v>13634.481212121213</v>
      </c>
      <c r="K1683">
        <f>IFERROR(tblMoeHistory[[#This Row],[ESD State and Local Amount]]/tblMoeHistory[[#This Row],[Child Count]],0)</f>
        <v>1465.6060606060605</v>
      </c>
      <c r="L1683" s="1">
        <f>IFERROR(tblMoeHistory[[#This Row],[State and Local Total Amount]]/tblMoeHistory[[#This Row],[Child Count]],0)</f>
        <v>15100.087272727273</v>
      </c>
      <c r="M1683">
        <v>2908.9368750000194</v>
      </c>
      <c r="N1683" t="s">
        <v>240</v>
      </c>
      <c r="O1683">
        <v>44758.93</v>
      </c>
      <c r="P1683">
        <v>167.47</v>
      </c>
      <c r="Q1683">
        <f>tblMoeHistory[[#This Row],[Amount of IDEA Part B, Section 611 award]]+tblMoeHistory[[#This Row],[Amount of IDEA Part B, Section 619 award]]</f>
        <v>44926.400000000001</v>
      </c>
      <c r="T1683">
        <v>0</v>
      </c>
      <c r="U16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3" t="str">
        <f>IF(OR(IFERROR(SEARCH("Met",tblMoeHistory[[#This Row],[State and Local Per Capita Result]]),0)&gt;0,IFERROR(SEARCH("Met",tblMoeHistory[[#This Row],[State and Local Total Result]]),0)&gt;0),"Met","Not Met")</f>
        <v>Met</v>
      </c>
    </row>
    <row r="1684" spans="1:22" x14ac:dyDescent="0.35">
      <c r="A1684" t="s">
        <v>128</v>
      </c>
      <c r="B1684">
        <v>2256</v>
      </c>
      <c r="C1684" t="s">
        <v>243</v>
      </c>
      <c r="D1684">
        <v>827</v>
      </c>
      <c r="E1684">
        <v>7610148.75</v>
      </c>
      <c r="F1684">
        <v>263142.65000000002</v>
      </c>
      <c r="G1684">
        <f>tblMoeHistory[[#This Row],[LEA State and Local Amount]]+tblMoeHistory[[#This Row],[ESD State and Local Amount]]</f>
        <v>7873291.4000000004</v>
      </c>
      <c r="H1684">
        <v>0</v>
      </c>
      <c r="I1684" t="s">
        <v>241</v>
      </c>
      <c r="J1684" s="44">
        <f>IFERROR(tblMoeHistory[[#This Row],[LEA State and Local Amount]]/tblMoeHistory[[#This Row],[Child Count]],0)</f>
        <v>9202.1145707376054</v>
      </c>
      <c r="K1684">
        <f>IFERROR(tblMoeHistory[[#This Row],[ESD State and Local Amount]]/tblMoeHistory[[#This Row],[Child Count]],0)</f>
        <v>318.18941958887547</v>
      </c>
      <c r="L1684" s="1">
        <f>IFERROR(tblMoeHistory[[#This Row],[State and Local Total Amount]]/tblMoeHistory[[#This Row],[Child Count]],0)</f>
        <v>9520.3039903264817</v>
      </c>
      <c r="M1684">
        <v>0</v>
      </c>
      <c r="N1684" t="s">
        <v>241</v>
      </c>
      <c r="O1684">
        <v>955112.43</v>
      </c>
      <c r="P1684">
        <v>9317.57</v>
      </c>
      <c r="Q1684">
        <f>tblMoeHistory[[#This Row],[Amount of IDEA Part B, Section 611 award]]+tblMoeHistory[[#This Row],[Amount of IDEA Part B, Section 619 award]]</f>
        <v>964430</v>
      </c>
      <c r="U16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4" t="str">
        <f>IF(OR(IFERROR(SEARCH("Met",tblMoeHistory[[#This Row],[State and Local Per Capita Result]]),0)&gt;0,IFERROR(SEARCH("Met",tblMoeHistory[[#This Row],[State and Local Total Result]]),0)&gt;0),"Met","Not Met")</f>
        <v>Met</v>
      </c>
    </row>
    <row r="1685" spans="1:22" x14ac:dyDescent="0.35">
      <c r="A1685" t="s">
        <v>129</v>
      </c>
      <c r="B1685">
        <v>2048</v>
      </c>
      <c r="C1685" t="s">
        <v>243</v>
      </c>
      <c r="D1685">
        <v>2150</v>
      </c>
      <c r="E1685">
        <v>17150211.899999999</v>
      </c>
      <c r="F1685">
        <v>1602491.21</v>
      </c>
      <c r="G1685">
        <f>tblMoeHistory[[#This Row],[LEA State and Local Amount]]+tblMoeHistory[[#This Row],[ESD State and Local Amount]]</f>
        <v>18752703.109999999</v>
      </c>
      <c r="H1685">
        <v>0</v>
      </c>
      <c r="I1685" t="s">
        <v>241</v>
      </c>
      <c r="J1685" s="44">
        <f>IFERROR(tblMoeHistory[[#This Row],[LEA State and Local Amount]]/tblMoeHistory[[#This Row],[Child Count]],0)</f>
        <v>7976.8427441860458</v>
      </c>
      <c r="K1685">
        <f>IFERROR(tblMoeHistory[[#This Row],[ESD State and Local Amount]]/tblMoeHistory[[#This Row],[Child Count]],0)</f>
        <v>745.34474883720929</v>
      </c>
      <c r="L1685" s="1">
        <f>IFERROR(tblMoeHistory[[#This Row],[State and Local Total Amount]]/tblMoeHistory[[#This Row],[Child Count]],0)</f>
        <v>8722.1874930232552</v>
      </c>
      <c r="M1685">
        <v>0</v>
      </c>
      <c r="N1685" t="s">
        <v>241</v>
      </c>
      <c r="O1685">
        <v>2182845.92</v>
      </c>
      <c r="P1685">
        <v>20531.439999999999</v>
      </c>
      <c r="Q1685">
        <f>tblMoeHistory[[#This Row],[Amount of IDEA Part B, Section 611 award]]+tblMoeHistory[[#This Row],[Amount of IDEA Part B, Section 619 award]]</f>
        <v>2203377.36</v>
      </c>
      <c r="U16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5" t="str">
        <f>IF(OR(IFERROR(SEARCH("Met",tblMoeHistory[[#This Row],[State and Local Per Capita Result]]),0)&gt;0,IFERROR(SEARCH("Met",tblMoeHistory[[#This Row],[State and Local Total Result]]),0)&gt;0),"Met","Not Met")</f>
        <v>Met</v>
      </c>
    </row>
    <row r="1686" spans="1:22" x14ac:dyDescent="0.35">
      <c r="A1686" t="s">
        <v>130</v>
      </c>
      <c r="B1686">
        <v>2205</v>
      </c>
      <c r="C1686" t="s">
        <v>243</v>
      </c>
      <c r="D1686">
        <v>206</v>
      </c>
      <c r="E1686">
        <v>1694637.8</v>
      </c>
      <c r="F1686">
        <v>350007.05</v>
      </c>
      <c r="G1686">
        <f>tblMoeHistory[[#This Row],[LEA State and Local Amount]]+tblMoeHistory[[#This Row],[ESD State and Local Amount]]</f>
        <v>2044644.85</v>
      </c>
      <c r="H1686">
        <v>0</v>
      </c>
      <c r="I1686" t="s">
        <v>241</v>
      </c>
      <c r="J1686" s="44">
        <f>IFERROR(tblMoeHistory[[#This Row],[LEA State and Local Amount]]/tblMoeHistory[[#This Row],[Child Count]],0)</f>
        <v>8226.3970873786402</v>
      </c>
      <c r="K1686">
        <f>IFERROR(tblMoeHistory[[#This Row],[ESD State and Local Amount]]/tblMoeHistory[[#This Row],[Child Count]],0)</f>
        <v>1699.063349514563</v>
      </c>
      <c r="L1686" s="1">
        <f>IFERROR(tblMoeHistory[[#This Row],[State and Local Total Amount]]/tblMoeHistory[[#This Row],[Child Count]],0)</f>
        <v>9925.460436893205</v>
      </c>
      <c r="M1686">
        <v>0</v>
      </c>
      <c r="N1686" t="s">
        <v>241</v>
      </c>
      <c r="O1686">
        <v>278286.01</v>
      </c>
      <c r="P1686">
        <v>2557.7600000000002</v>
      </c>
      <c r="Q1686">
        <f>tblMoeHistory[[#This Row],[Amount of IDEA Part B, Section 611 award]]+tblMoeHistory[[#This Row],[Amount of IDEA Part B, Section 619 award]]</f>
        <v>280843.77</v>
      </c>
      <c r="U16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6" t="str">
        <f>IF(OR(IFERROR(SEARCH("Met",tblMoeHistory[[#This Row],[State and Local Per Capita Result]]),0)&gt;0,IFERROR(SEARCH("Met",tblMoeHistory[[#This Row],[State and Local Total Result]]),0)&gt;0),"Met","Not Met")</f>
        <v>Met</v>
      </c>
    </row>
    <row r="1687" spans="1:22" x14ac:dyDescent="0.35">
      <c r="A1687" t="s">
        <v>131</v>
      </c>
      <c r="B1687">
        <v>2249</v>
      </c>
      <c r="C1687" t="s">
        <v>243</v>
      </c>
      <c r="D1687">
        <v>61</v>
      </c>
      <c r="E1687">
        <v>27097.02</v>
      </c>
      <c r="F1687">
        <v>66007</v>
      </c>
      <c r="G1687">
        <f>tblMoeHistory[[#This Row],[LEA State and Local Amount]]+tblMoeHistory[[#This Row],[ESD State and Local Amount]]</f>
        <v>93104.02</v>
      </c>
      <c r="H1687">
        <v>0</v>
      </c>
      <c r="I1687" t="s">
        <v>241</v>
      </c>
      <c r="J1687" s="44">
        <f>IFERROR(tblMoeHistory[[#This Row],[LEA State and Local Amount]]/tblMoeHistory[[#This Row],[Child Count]],0)</f>
        <v>444.21344262295082</v>
      </c>
      <c r="K1687">
        <f>IFERROR(tblMoeHistory[[#This Row],[ESD State and Local Amount]]/tblMoeHistory[[#This Row],[Child Count]],0)</f>
        <v>1082.0819672131147</v>
      </c>
      <c r="L1687" s="1">
        <f>IFERROR(tblMoeHistory[[#This Row],[State and Local Total Amount]]/tblMoeHistory[[#This Row],[Child Count]],0)</f>
        <v>1526.2954098360656</v>
      </c>
      <c r="M1687">
        <v>585341.27399999998</v>
      </c>
      <c r="N1687" t="s">
        <v>240</v>
      </c>
      <c r="O1687">
        <v>49625.279999999999</v>
      </c>
      <c r="P1687">
        <v>0</v>
      </c>
      <c r="Q1687">
        <f>tblMoeHistory[[#This Row],[Amount of IDEA Part B, Section 611 award]]+tblMoeHistory[[#This Row],[Amount of IDEA Part B, Section 619 award]]</f>
        <v>49625.279999999999</v>
      </c>
      <c r="T1687">
        <v>3175.75</v>
      </c>
      <c r="U16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7" t="str">
        <f>IF(OR(IFERROR(SEARCH("Met",tblMoeHistory[[#This Row],[State and Local Per Capita Result]]),0)&gt;0,IFERROR(SEARCH("Met",tblMoeHistory[[#This Row],[State and Local Total Result]]),0)&gt;0),"Met","Not Met")</f>
        <v>Met</v>
      </c>
    </row>
    <row r="1688" spans="1:22" x14ac:dyDescent="0.35">
      <c r="A1688" t="s">
        <v>132</v>
      </c>
      <c r="B1688">
        <v>1925</v>
      </c>
      <c r="C1688" t="s">
        <v>243</v>
      </c>
      <c r="D1688">
        <v>384</v>
      </c>
      <c r="E1688">
        <v>3959536.56</v>
      </c>
      <c r="F1688">
        <v>685449</v>
      </c>
      <c r="G1688">
        <f>tblMoeHistory[[#This Row],[LEA State and Local Amount]]+tblMoeHistory[[#This Row],[ESD State and Local Amount]]</f>
        <v>4644985.5600000005</v>
      </c>
      <c r="H1688">
        <v>0</v>
      </c>
      <c r="I1688" t="s">
        <v>241</v>
      </c>
      <c r="J1688" s="44">
        <f>IFERROR(tblMoeHistory[[#This Row],[LEA State and Local Amount]]/tblMoeHistory[[#This Row],[Child Count]],0)</f>
        <v>10311.293125</v>
      </c>
      <c r="K1688">
        <f>IFERROR(tblMoeHistory[[#This Row],[ESD State and Local Amount]]/tblMoeHistory[[#This Row],[Child Count]],0)</f>
        <v>1785.0234375</v>
      </c>
      <c r="L1688" s="1">
        <f>IFERROR(tblMoeHistory[[#This Row],[State and Local Total Amount]]/tblMoeHistory[[#This Row],[Child Count]],0)</f>
        <v>12096.316562500002</v>
      </c>
      <c r="M1688">
        <v>0</v>
      </c>
      <c r="N1688" t="s">
        <v>241</v>
      </c>
      <c r="O1688">
        <v>446075.85</v>
      </c>
      <c r="P1688">
        <v>3153.11</v>
      </c>
      <c r="Q1688">
        <f>tblMoeHistory[[#This Row],[Amount of IDEA Part B, Section 611 award]]+tblMoeHistory[[#This Row],[Amount of IDEA Part B, Section 619 award]]</f>
        <v>449228.95999999996</v>
      </c>
      <c r="U16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8" t="str">
        <f>IF(OR(IFERROR(SEARCH("Met",tblMoeHistory[[#This Row],[State and Local Per Capita Result]]),0)&gt;0,IFERROR(SEARCH("Met",tblMoeHistory[[#This Row],[State and Local Total Result]]),0)&gt;0),"Met","Not Met")</f>
        <v>Met</v>
      </c>
    </row>
    <row r="1689" spans="1:22" x14ac:dyDescent="0.35">
      <c r="A1689" t="s">
        <v>133</v>
      </c>
      <c r="B1689">
        <v>1898</v>
      </c>
      <c r="C1689" t="s">
        <v>243</v>
      </c>
      <c r="D1689">
        <v>59</v>
      </c>
      <c r="E1689">
        <v>580023.81999999995</v>
      </c>
      <c r="F1689">
        <v>87881</v>
      </c>
      <c r="G1689">
        <f>tblMoeHistory[[#This Row],[LEA State and Local Amount]]+tblMoeHistory[[#This Row],[ESD State and Local Amount]]</f>
        <v>667904.81999999995</v>
      </c>
      <c r="H1689">
        <v>12.800000000046566</v>
      </c>
      <c r="I1689" t="s">
        <v>240</v>
      </c>
      <c r="J1689" s="44">
        <f>IFERROR(tblMoeHistory[[#This Row],[LEA State and Local Amount]]/tblMoeHistory[[#This Row],[Child Count]],0)</f>
        <v>9830.9122033898293</v>
      </c>
      <c r="K1689">
        <f>IFERROR(tblMoeHistory[[#This Row],[ESD State and Local Amount]]/tblMoeHistory[[#This Row],[Child Count]],0)</f>
        <v>1489.5084745762713</v>
      </c>
      <c r="L1689" s="1">
        <f>IFERROR(tblMoeHistory[[#This Row],[State and Local Total Amount]]/tblMoeHistory[[#This Row],[Child Count]],0)</f>
        <v>11320.420677966102</v>
      </c>
      <c r="M1689">
        <v>11528.621034485324</v>
      </c>
      <c r="N1689" t="s">
        <v>240</v>
      </c>
      <c r="O1689">
        <v>82705.259999999995</v>
      </c>
      <c r="P1689">
        <v>1507.25</v>
      </c>
      <c r="Q1689">
        <f>tblMoeHistory[[#This Row],[Amount of IDEA Part B, Section 611 award]]+tblMoeHistory[[#This Row],[Amount of IDEA Part B, Section 619 award]]</f>
        <v>84212.51</v>
      </c>
      <c r="S1689">
        <v>0</v>
      </c>
      <c r="T1689">
        <v>0</v>
      </c>
      <c r="U16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12.800000000046566</v>
      </c>
      <c r="V1689" t="str">
        <f>IF(OR(IFERROR(SEARCH("Met",tblMoeHistory[[#This Row],[State and Local Per Capita Result]]),0)&gt;0,IFERROR(SEARCH("Met",tblMoeHistory[[#This Row],[State and Local Total Result]]),0)&gt;0),"Met","Not Met")</f>
        <v>Not Met</v>
      </c>
    </row>
    <row r="1690" spans="1:22" x14ac:dyDescent="0.35">
      <c r="A1690" t="s">
        <v>134</v>
      </c>
      <c r="B1690">
        <v>2010</v>
      </c>
      <c r="C1690" t="s">
        <v>243</v>
      </c>
      <c r="D1690">
        <v>8</v>
      </c>
      <c r="E1690">
        <v>0</v>
      </c>
      <c r="F1690">
        <v>88506.68</v>
      </c>
      <c r="G1690">
        <f>tblMoeHistory[[#This Row],[LEA State and Local Amount]]+tblMoeHistory[[#This Row],[ESD State and Local Amount]]</f>
        <v>88506.68</v>
      </c>
      <c r="H1690">
        <v>0</v>
      </c>
      <c r="I1690" t="s">
        <v>241</v>
      </c>
      <c r="J1690" s="44">
        <f>IFERROR(tblMoeHistory[[#This Row],[LEA State and Local Amount]]/tblMoeHistory[[#This Row],[Child Count]],0)</f>
        <v>0</v>
      </c>
      <c r="K1690">
        <f>IFERROR(tblMoeHistory[[#This Row],[ESD State and Local Amount]]/tblMoeHistory[[#This Row],[Child Count]],0)</f>
        <v>11063.334999999999</v>
      </c>
      <c r="L1690" s="1">
        <f>IFERROR(tblMoeHistory[[#This Row],[State and Local Total Amount]]/tblMoeHistory[[#This Row],[Child Count]],0)</f>
        <v>11063.334999999999</v>
      </c>
      <c r="M1690">
        <v>11665.4914285712</v>
      </c>
      <c r="N1690" t="s">
        <v>240</v>
      </c>
      <c r="O1690">
        <v>8800.61</v>
      </c>
      <c r="P1690">
        <v>1507.25</v>
      </c>
      <c r="Q1690">
        <f>tblMoeHistory[[#This Row],[Amount of IDEA Part B, Section 611 award]]+tblMoeHistory[[#This Row],[Amount of IDEA Part B, Section 619 award]]</f>
        <v>10307.86</v>
      </c>
      <c r="S1690">
        <v>0</v>
      </c>
      <c r="T1690">
        <v>0</v>
      </c>
      <c r="U16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0" t="str">
        <f>IF(OR(IFERROR(SEARCH("Met",tblMoeHistory[[#This Row],[State and Local Per Capita Result]]),0)&gt;0,IFERROR(SEARCH("Met",tblMoeHistory[[#This Row],[State and Local Total Result]]),0)&gt;0),"Met","Not Met")</f>
        <v>Met</v>
      </c>
    </row>
    <row r="1691" spans="1:22" x14ac:dyDescent="0.35">
      <c r="A1691" t="s">
        <v>135</v>
      </c>
      <c r="B1691">
        <v>2147</v>
      </c>
      <c r="C1691" t="s">
        <v>243</v>
      </c>
      <c r="D1691">
        <v>296</v>
      </c>
      <c r="E1691">
        <v>2152379.0299999998</v>
      </c>
      <c r="F1691">
        <v>502779.94</v>
      </c>
      <c r="G1691">
        <f>tblMoeHistory[[#This Row],[LEA State and Local Amount]]+tblMoeHistory[[#This Row],[ESD State and Local Amount]]</f>
        <v>2655158.9699999997</v>
      </c>
      <c r="H1691">
        <v>0</v>
      </c>
      <c r="I1691" t="s">
        <v>241</v>
      </c>
      <c r="J1691" s="44">
        <f>IFERROR(tblMoeHistory[[#This Row],[LEA State and Local Amount]]/tblMoeHistory[[#This Row],[Child Count]],0)</f>
        <v>7271.550777027026</v>
      </c>
      <c r="K1691">
        <f>IFERROR(tblMoeHistory[[#This Row],[ESD State and Local Amount]]/tblMoeHistory[[#This Row],[Child Count]],0)</f>
        <v>1698.5808783783784</v>
      </c>
      <c r="L1691" s="1">
        <f>IFERROR(tblMoeHistory[[#This Row],[State and Local Total Amount]]/tblMoeHistory[[#This Row],[Child Count]],0)</f>
        <v>8970.1316554054047</v>
      </c>
      <c r="M1691">
        <v>0</v>
      </c>
      <c r="N1691" t="s">
        <v>241</v>
      </c>
      <c r="O1691">
        <v>349014.87</v>
      </c>
      <c r="P1691">
        <v>2042.44</v>
      </c>
      <c r="Q1691">
        <f>tblMoeHistory[[#This Row],[Amount of IDEA Part B, Section 611 award]]+tblMoeHistory[[#This Row],[Amount of IDEA Part B, Section 619 award]]</f>
        <v>351057.31</v>
      </c>
      <c r="U16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1" t="str">
        <f>IF(OR(IFERROR(SEARCH("Met",tblMoeHistory[[#This Row],[State and Local Per Capita Result]]),0)&gt;0,IFERROR(SEARCH("Met",tblMoeHistory[[#This Row],[State and Local Total Result]]),0)&gt;0),"Met","Not Met")</f>
        <v>Met</v>
      </c>
    </row>
    <row r="1692" spans="1:22" x14ac:dyDescent="0.35">
      <c r="A1692" t="s">
        <v>136</v>
      </c>
      <c r="B1692">
        <v>2145</v>
      </c>
      <c r="C1692" t="s">
        <v>243</v>
      </c>
      <c r="D1692">
        <v>84</v>
      </c>
      <c r="E1692">
        <v>470495.66</v>
      </c>
      <c r="F1692">
        <v>111256.77</v>
      </c>
      <c r="G1692">
        <f>tblMoeHistory[[#This Row],[LEA State and Local Amount]]+tblMoeHistory[[#This Row],[ESD State and Local Amount]]</f>
        <v>581752.42999999993</v>
      </c>
      <c r="H1692">
        <v>0</v>
      </c>
      <c r="I1692" t="s">
        <v>241</v>
      </c>
      <c r="J1692" s="44">
        <f>IFERROR(tblMoeHistory[[#This Row],[LEA State and Local Amount]]/tblMoeHistory[[#This Row],[Child Count]],0)</f>
        <v>5601.138809523809</v>
      </c>
      <c r="K1692">
        <f>IFERROR(tblMoeHistory[[#This Row],[ESD State and Local Amount]]/tblMoeHistory[[#This Row],[Child Count]],0)</f>
        <v>1324.4853571428571</v>
      </c>
      <c r="L1692" s="1">
        <f>IFERROR(tblMoeHistory[[#This Row],[State and Local Total Amount]]/tblMoeHistory[[#This Row],[Child Count]],0)</f>
        <v>6925.6241666666656</v>
      </c>
      <c r="M1692">
        <v>52736.887239684176</v>
      </c>
      <c r="N1692" t="s">
        <v>240</v>
      </c>
      <c r="O1692">
        <v>126268.74</v>
      </c>
      <c r="P1692">
        <v>781.54</v>
      </c>
      <c r="Q1692">
        <f>tblMoeHistory[[#This Row],[Amount of IDEA Part B, Section 611 award]]+tblMoeHistory[[#This Row],[Amount of IDEA Part B, Section 619 award]]</f>
        <v>127050.28</v>
      </c>
      <c r="T1692">
        <v>91.97</v>
      </c>
      <c r="U16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2" t="str">
        <f>IF(OR(IFERROR(SEARCH("Met",tblMoeHistory[[#This Row],[State and Local Per Capita Result]]),0)&gt;0,IFERROR(SEARCH("Met",tblMoeHistory[[#This Row],[State and Local Total Result]]),0)&gt;0),"Met","Not Met")</f>
        <v>Met</v>
      </c>
    </row>
    <row r="1693" spans="1:22" x14ac:dyDescent="0.35">
      <c r="A1693" t="s">
        <v>137</v>
      </c>
      <c r="B1693">
        <v>1968</v>
      </c>
      <c r="C1693" t="s">
        <v>243</v>
      </c>
      <c r="D1693">
        <v>72</v>
      </c>
      <c r="E1693">
        <v>576129.41</v>
      </c>
      <c r="F1693">
        <v>182371.75</v>
      </c>
      <c r="G1693">
        <f>tblMoeHistory[[#This Row],[LEA State and Local Amount]]+tblMoeHistory[[#This Row],[ESD State and Local Amount]]</f>
        <v>758501.16</v>
      </c>
      <c r="H1693">
        <v>0</v>
      </c>
      <c r="I1693" t="s">
        <v>242</v>
      </c>
      <c r="J1693" s="44">
        <f>IFERROR(tblMoeHistory[[#This Row],[LEA State and Local Amount]]/tblMoeHistory[[#This Row],[Child Count]],0)</f>
        <v>8001.797361111112</v>
      </c>
      <c r="K1693">
        <f>IFERROR(tblMoeHistory[[#This Row],[ESD State and Local Amount]]/tblMoeHistory[[#This Row],[Child Count]],0)</f>
        <v>2532.9409722222222</v>
      </c>
      <c r="L1693" s="1">
        <f>IFERROR(tblMoeHistory[[#This Row],[State and Local Total Amount]]/tblMoeHistory[[#This Row],[Child Count]],0)</f>
        <v>10534.738333333335</v>
      </c>
      <c r="M1693">
        <v>19957.539130435158</v>
      </c>
      <c r="N1693" t="s">
        <v>240</v>
      </c>
      <c r="O1693">
        <v>121831.35</v>
      </c>
      <c r="P1693">
        <v>1507.25</v>
      </c>
      <c r="Q1693">
        <f>tblMoeHistory[[#This Row],[Amount of IDEA Part B, Section 611 award]]+tblMoeHistory[[#This Row],[Amount of IDEA Part B, Section 619 award]]</f>
        <v>123338.6</v>
      </c>
      <c r="S1693">
        <v>49044.5</v>
      </c>
      <c r="T1693">
        <v>710.79</v>
      </c>
      <c r="U16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3" t="str">
        <f>IF(OR(IFERROR(SEARCH("Met",tblMoeHistory[[#This Row],[State and Local Per Capita Result]]),0)&gt;0,IFERROR(SEARCH("Met",tblMoeHistory[[#This Row],[State and Local Total Result]]),0)&gt;0),"Met","Not Met")</f>
        <v>Met</v>
      </c>
    </row>
    <row r="1694" spans="1:22" x14ac:dyDescent="0.35">
      <c r="A1694" t="s">
        <v>138</v>
      </c>
      <c r="B1694">
        <v>2198</v>
      </c>
      <c r="C1694" t="s">
        <v>243</v>
      </c>
      <c r="D1694">
        <v>123</v>
      </c>
      <c r="E1694">
        <v>1857348.38</v>
      </c>
      <c r="F1694">
        <v>261889</v>
      </c>
      <c r="G1694">
        <f>tblMoeHistory[[#This Row],[LEA State and Local Amount]]+tblMoeHistory[[#This Row],[ESD State and Local Amount]]</f>
        <v>2119237.38</v>
      </c>
      <c r="H1694">
        <v>0</v>
      </c>
      <c r="I1694" t="s">
        <v>241</v>
      </c>
      <c r="J1694" s="44">
        <f>IFERROR(tblMoeHistory[[#This Row],[LEA State and Local Amount]]/tblMoeHistory[[#This Row],[Child Count]],0)</f>
        <v>15100.393333333332</v>
      </c>
      <c r="K1694">
        <f>IFERROR(tblMoeHistory[[#This Row],[ESD State and Local Amount]]/tblMoeHistory[[#This Row],[Child Count]],0)</f>
        <v>2129.1788617886177</v>
      </c>
      <c r="L1694" s="1">
        <f>IFERROR(tblMoeHistory[[#This Row],[State and Local Total Amount]]/tblMoeHistory[[#This Row],[Child Count]],0)</f>
        <v>17229.572195121949</v>
      </c>
      <c r="M1694">
        <v>0</v>
      </c>
      <c r="N1694" t="s">
        <v>241</v>
      </c>
      <c r="O1694">
        <v>129006.88</v>
      </c>
      <c r="P1694">
        <v>2153.2199999999998</v>
      </c>
      <c r="Q1694">
        <f>tblMoeHistory[[#This Row],[Amount of IDEA Part B, Section 611 award]]+tblMoeHistory[[#This Row],[Amount of IDEA Part B, Section 619 award]]</f>
        <v>131160.1</v>
      </c>
      <c r="U16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4" t="str">
        <f>IF(OR(IFERROR(SEARCH("Met",tblMoeHistory[[#This Row],[State and Local Per Capita Result]]),0)&gt;0,IFERROR(SEARCH("Met",tblMoeHistory[[#This Row],[State and Local Total Result]]),0)&gt;0),"Met","Not Met")</f>
        <v>Met</v>
      </c>
    </row>
    <row r="1695" spans="1:22" x14ac:dyDescent="0.35">
      <c r="A1695" t="s">
        <v>139</v>
      </c>
      <c r="B1695">
        <v>2199</v>
      </c>
      <c r="C1695" t="s">
        <v>243</v>
      </c>
      <c r="D1695">
        <v>71</v>
      </c>
      <c r="E1695">
        <v>865257.99</v>
      </c>
      <c r="F1695">
        <v>169222</v>
      </c>
      <c r="G1695">
        <f>tblMoeHistory[[#This Row],[LEA State and Local Amount]]+tblMoeHistory[[#This Row],[ESD State and Local Amount]]</f>
        <v>1034479.99</v>
      </c>
      <c r="H1695">
        <v>0</v>
      </c>
      <c r="I1695" t="s">
        <v>241</v>
      </c>
      <c r="J1695" s="44">
        <f>IFERROR(tblMoeHistory[[#This Row],[LEA State and Local Amount]]/tblMoeHistory[[#This Row],[Child Count]],0)</f>
        <v>12186.732253521126</v>
      </c>
      <c r="K1695">
        <f>IFERROR(tblMoeHistory[[#This Row],[ESD State and Local Amount]]/tblMoeHistory[[#This Row],[Child Count]],0)</f>
        <v>2383.4084507042253</v>
      </c>
      <c r="L1695" s="1">
        <f>IFERROR(tblMoeHistory[[#This Row],[State and Local Total Amount]]/tblMoeHistory[[#This Row],[Child Count]],0)</f>
        <v>14570.140704225352</v>
      </c>
      <c r="M1695">
        <v>0</v>
      </c>
      <c r="N1695" t="s">
        <v>241</v>
      </c>
      <c r="O1695">
        <v>105030.9</v>
      </c>
      <c r="P1695">
        <v>1607.74</v>
      </c>
      <c r="Q1695">
        <f>tblMoeHistory[[#This Row],[Amount of IDEA Part B, Section 611 award]]+tblMoeHistory[[#This Row],[Amount of IDEA Part B, Section 619 award]]</f>
        <v>106638.64</v>
      </c>
      <c r="U16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5" t="str">
        <f>IF(OR(IFERROR(SEARCH("Met",tblMoeHistory[[#This Row],[State and Local Per Capita Result]]),0)&gt;0,IFERROR(SEARCH("Met",tblMoeHistory[[#This Row],[State and Local Total Result]]),0)&gt;0),"Met","Not Met")</f>
        <v>Met</v>
      </c>
    </row>
    <row r="1696" spans="1:22" x14ac:dyDescent="0.35">
      <c r="A1696" t="s">
        <v>140</v>
      </c>
      <c r="B1696">
        <v>2254</v>
      </c>
      <c r="C1696" t="s">
        <v>243</v>
      </c>
      <c r="D1696">
        <v>657</v>
      </c>
      <c r="E1696">
        <v>6443057.8700000001</v>
      </c>
      <c r="F1696">
        <v>93819</v>
      </c>
      <c r="G1696">
        <f>tblMoeHistory[[#This Row],[LEA State and Local Amount]]+tblMoeHistory[[#This Row],[ESD State and Local Amount]]</f>
        <v>6536876.8700000001</v>
      </c>
      <c r="H1696">
        <v>0</v>
      </c>
      <c r="I1696" t="s">
        <v>241</v>
      </c>
      <c r="J1696" s="44">
        <f>IFERROR(tblMoeHistory[[#This Row],[LEA State and Local Amount]]/tblMoeHistory[[#This Row],[Child Count]],0)</f>
        <v>9806.7851902587518</v>
      </c>
      <c r="K1696">
        <f>IFERROR(tblMoeHistory[[#This Row],[ESD State and Local Amount]]/tblMoeHistory[[#This Row],[Child Count]],0)</f>
        <v>142.79908675799086</v>
      </c>
      <c r="L1696" s="1">
        <f>IFERROR(tblMoeHistory[[#This Row],[State and Local Total Amount]]/tblMoeHistory[[#This Row],[Child Count]],0)</f>
        <v>9949.5842770167437</v>
      </c>
      <c r="M1696">
        <v>0</v>
      </c>
      <c r="N1696" t="s">
        <v>241</v>
      </c>
      <c r="O1696">
        <v>760902.56</v>
      </c>
      <c r="P1696">
        <v>7423.79</v>
      </c>
      <c r="Q1696">
        <f>tblMoeHistory[[#This Row],[Amount of IDEA Part B, Section 611 award]]+tblMoeHistory[[#This Row],[Amount of IDEA Part B, Section 619 award]]</f>
        <v>768326.35000000009</v>
      </c>
      <c r="U16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6" t="str">
        <f>IF(OR(IFERROR(SEARCH("Met",tblMoeHistory[[#This Row],[State and Local Per Capita Result]]),0)&gt;0,IFERROR(SEARCH("Met",tblMoeHistory[[#This Row],[State and Local Total Result]]),0)&gt;0),"Met","Not Met")</f>
        <v>Met</v>
      </c>
    </row>
    <row r="1697" spans="1:22" x14ac:dyDescent="0.35">
      <c r="A1697" t="s">
        <v>141</v>
      </c>
      <c r="B1697">
        <v>1966</v>
      </c>
      <c r="C1697" t="s">
        <v>243</v>
      </c>
      <c r="D1697">
        <v>580</v>
      </c>
      <c r="E1697">
        <v>4282113.9400000004</v>
      </c>
      <c r="F1697">
        <v>837014.44</v>
      </c>
      <c r="G1697">
        <f>tblMoeHistory[[#This Row],[LEA State and Local Amount]]+tblMoeHistory[[#This Row],[ESD State and Local Amount]]</f>
        <v>5119128.3800000008</v>
      </c>
      <c r="H1697">
        <v>0</v>
      </c>
      <c r="I1697" t="s">
        <v>241</v>
      </c>
      <c r="J1697" s="44">
        <f>IFERROR(tblMoeHistory[[#This Row],[LEA State and Local Amount]]/tblMoeHistory[[#This Row],[Child Count]],0)</f>
        <v>7382.955068965518</v>
      </c>
      <c r="K1697">
        <f>IFERROR(tblMoeHistory[[#This Row],[ESD State and Local Amount]]/tblMoeHistory[[#This Row],[Child Count]],0)</f>
        <v>1443.128344827586</v>
      </c>
      <c r="L1697" s="1">
        <f>IFERROR(tblMoeHistory[[#This Row],[State and Local Total Amount]]/tblMoeHistory[[#This Row],[Child Count]],0)</f>
        <v>8826.0834137931051</v>
      </c>
      <c r="M1697">
        <v>1346105.5310266123</v>
      </c>
      <c r="N1697" t="s">
        <v>240</v>
      </c>
      <c r="O1697">
        <v>596162.79</v>
      </c>
      <c r="P1697">
        <v>4087.47</v>
      </c>
      <c r="Q1697">
        <f>tblMoeHistory[[#This Row],[Amount of IDEA Part B, Section 611 award]]+tblMoeHistory[[#This Row],[Amount of IDEA Part B, Section 619 award]]</f>
        <v>600250.26</v>
      </c>
      <c r="T1697">
        <v>1472.88</v>
      </c>
      <c r="U16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7" t="str">
        <f>IF(OR(IFERROR(SEARCH("Met",tblMoeHistory[[#This Row],[State and Local Per Capita Result]]),0)&gt;0,IFERROR(SEARCH("Met",tblMoeHistory[[#This Row],[State and Local Total Result]]),0)&gt;0),"Met","Not Met")</f>
        <v>Met</v>
      </c>
    </row>
    <row r="1698" spans="1:22" x14ac:dyDescent="0.35">
      <c r="A1698" t="s">
        <v>142</v>
      </c>
      <c r="B1698">
        <v>1924</v>
      </c>
      <c r="C1698" t="s">
        <v>243</v>
      </c>
      <c r="D1698">
        <v>2723</v>
      </c>
      <c r="E1698">
        <v>25905582.75</v>
      </c>
      <c r="F1698">
        <v>2984839</v>
      </c>
      <c r="G1698">
        <f>tblMoeHistory[[#This Row],[LEA State and Local Amount]]+tblMoeHistory[[#This Row],[ESD State and Local Amount]]</f>
        <v>28890421.75</v>
      </c>
      <c r="H1698">
        <v>0</v>
      </c>
      <c r="I1698" t="s">
        <v>241</v>
      </c>
      <c r="J1698" s="44">
        <f>IFERROR(tblMoeHistory[[#This Row],[LEA State and Local Amount]]/tblMoeHistory[[#This Row],[Child Count]],0)</f>
        <v>9513.6183437385243</v>
      </c>
      <c r="K1698">
        <f>IFERROR(tblMoeHistory[[#This Row],[ESD State and Local Amount]]/tblMoeHistory[[#This Row],[Child Count]],0)</f>
        <v>1096.1582813073815</v>
      </c>
      <c r="L1698" s="1">
        <f>IFERROR(tblMoeHistory[[#This Row],[State and Local Total Amount]]/tblMoeHistory[[#This Row],[Child Count]],0)</f>
        <v>10609.776625045904</v>
      </c>
      <c r="M1698">
        <v>0</v>
      </c>
      <c r="N1698" t="s">
        <v>241</v>
      </c>
      <c r="O1698">
        <v>2535684.2599999998</v>
      </c>
      <c r="P1698">
        <v>14116.19</v>
      </c>
      <c r="Q1698">
        <f>tblMoeHistory[[#This Row],[Amount of IDEA Part B, Section 611 award]]+tblMoeHistory[[#This Row],[Amount of IDEA Part B, Section 619 award]]</f>
        <v>2549800.4499999997</v>
      </c>
      <c r="U16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8" t="str">
        <f>IF(OR(IFERROR(SEARCH("Met",tblMoeHistory[[#This Row],[State and Local Per Capita Result]]),0)&gt;0,IFERROR(SEARCH("Met",tblMoeHistory[[#This Row],[State and Local Total Result]]),0)&gt;0),"Met","Not Met")</f>
        <v>Met</v>
      </c>
    </row>
    <row r="1699" spans="1:22" x14ac:dyDescent="0.35">
      <c r="A1699" t="s">
        <v>143</v>
      </c>
      <c r="B1699">
        <v>1996</v>
      </c>
      <c r="C1699" t="s">
        <v>243</v>
      </c>
      <c r="D1699">
        <v>47</v>
      </c>
      <c r="E1699">
        <v>303601.84000000003</v>
      </c>
      <c r="F1699">
        <v>49500.62</v>
      </c>
      <c r="G1699">
        <f>tblMoeHistory[[#This Row],[LEA State and Local Amount]]+tblMoeHistory[[#This Row],[ESD State and Local Amount]]</f>
        <v>353102.46</v>
      </c>
      <c r="H1699">
        <v>0</v>
      </c>
      <c r="I1699" t="s">
        <v>242</v>
      </c>
      <c r="J1699" s="44">
        <f>IFERROR(tblMoeHistory[[#This Row],[LEA State and Local Amount]]/tblMoeHistory[[#This Row],[Child Count]],0)</f>
        <v>6459.6136170212767</v>
      </c>
      <c r="K1699">
        <f>IFERROR(tblMoeHistory[[#This Row],[ESD State and Local Amount]]/tblMoeHistory[[#This Row],[Child Count]],0)</f>
        <v>1053.2046808510638</v>
      </c>
      <c r="L1699" s="1">
        <f>IFERROR(tblMoeHistory[[#This Row],[State and Local Total Amount]]/tblMoeHistory[[#This Row],[Child Count]],0)</f>
        <v>7512.8182978723407</v>
      </c>
      <c r="M1699">
        <v>126212.06146153997</v>
      </c>
      <c r="N1699" t="s">
        <v>240</v>
      </c>
      <c r="O1699">
        <v>59421.17</v>
      </c>
      <c r="P1699">
        <v>502.42</v>
      </c>
      <c r="Q1699">
        <f>tblMoeHistory[[#This Row],[Amount of IDEA Part B, Section 611 award]]+tblMoeHistory[[#This Row],[Amount of IDEA Part B, Section 619 award]]</f>
        <v>59923.59</v>
      </c>
      <c r="S1699">
        <v>36899.68</v>
      </c>
      <c r="T1699">
        <v>1229.99</v>
      </c>
      <c r="U16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9" t="str">
        <f>IF(OR(IFERROR(SEARCH("Met",tblMoeHistory[[#This Row],[State and Local Per Capita Result]]),0)&gt;0,IFERROR(SEARCH("Met",tblMoeHistory[[#This Row],[State and Local Total Result]]),0)&gt;0),"Met","Not Met")</f>
        <v>Met</v>
      </c>
    </row>
    <row r="1700" spans="1:22" x14ac:dyDescent="0.35">
      <c r="A1700" t="s">
        <v>144</v>
      </c>
      <c r="B1700">
        <v>2061</v>
      </c>
      <c r="C1700" t="s">
        <v>243</v>
      </c>
      <c r="D1700">
        <v>47</v>
      </c>
      <c r="E1700">
        <v>152426.87</v>
      </c>
      <c r="F1700">
        <v>120449.67</v>
      </c>
      <c r="G1700">
        <f>tblMoeHistory[[#This Row],[LEA State and Local Amount]]+tblMoeHistory[[#This Row],[ESD State and Local Amount]]</f>
        <v>272876.53999999998</v>
      </c>
      <c r="H1700">
        <v>0</v>
      </c>
      <c r="I1700" t="s">
        <v>241</v>
      </c>
      <c r="J1700" s="44">
        <f>IFERROR(tblMoeHistory[[#This Row],[LEA State and Local Amount]]/tblMoeHistory[[#This Row],[Child Count]],0)</f>
        <v>3243.1248936170214</v>
      </c>
      <c r="K1700">
        <f>IFERROR(tblMoeHistory[[#This Row],[ESD State and Local Amount]]/tblMoeHistory[[#This Row],[Child Count]],0)</f>
        <v>2562.7589361702126</v>
      </c>
      <c r="L1700" s="1">
        <f>IFERROR(tblMoeHistory[[#This Row],[State and Local Total Amount]]/tblMoeHistory[[#This Row],[Child Count]],0)</f>
        <v>5805.8838297872335</v>
      </c>
      <c r="M1700">
        <v>0</v>
      </c>
      <c r="N1700" t="s">
        <v>242</v>
      </c>
      <c r="O1700">
        <v>49641.54</v>
      </c>
      <c r="P1700">
        <v>837.36</v>
      </c>
      <c r="Q1700">
        <f>tblMoeHistory[[#This Row],[Amount of IDEA Part B, Section 611 award]]+tblMoeHistory[[#This Row],[Amount of IDEA Part B, Section 619 award]]</f>
        <v>50478.9</v>
      </c>
      <c r="T1700">
        <v>955.75</v>
      </c>
      <c r="U17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0" t="str">
        <f>IF(OR(IFERROR(SEARCH("Met",tblMoeHistory[[#This Row],[State and Local Per Capita Result]]),0)&gt;0,IFERROR(SEARCH("Met",tblMoeHistory[[#This Row],[State and Local Total Result]]),0)&gt;0),"Met","Not Met")</f>
        <v>Met</v>
      </c>
    </row>
    <row r="1701" spans="1:22" x14ac:dyDescent="0.35">
      <c r="A1701" t="s">
        <v>145</v>
      </c>
      <c r="B1701">
        <v>2141</v>
      </c>
      <c r="C1701" t="s">
        <v>243</v>
      </c>
      <c r="D1701">
        <v>299</v>
      </c>
      <c r="E1701">
        <v>2840471.81</v>
      </c>
      <c r="F1701">
        <v>368310.08</v>
      </c>
      <c r="G1701">
        <f>tblMoeHistory[[#This Row],[LEA State and Local Amount]]+tblMoeHistory[[#This Row],[ESD State and Local Amount]]</f>
        <v>3208781.89</v>
      </c>
      <c r="H1701">
        <v>0</v>
      </c>
      <c r="I1701" t="s">
        <v>241</v>
      </c>
      <c r="J1701" s="44">
        <f>IFERROR(tblMoeHistory[[#This Row],[LEA State and Local Amount]]/tblMoeHistory[[#This Row],[Child Count]],0)</f>
        <v>9499.9057190635449</v>
      </c>
      <c r="K1701">
        <f>IFERROR(tblMoeHistory[[#This Row],[ESD State and Local Amount]]/tblMoeHistory[[#This Row],[Child Count]],0)</f>
        <v>1231.806287625418</v>
      </c>
      <c r="L1701" s="1">
        <f>IFERROR(tblMoeHistory[[#This Row],[State and Local Total Amount]]/tblMoeHistory[[#This Row],[Child Count]],0)</f>
        <v>10731.712006688964</v>
      </c>
      <c r="M1701">
        <v>0</v>
      </c>
      <c r="N1701" t="s">
        <v>241</v>
      </c>
      <c r="O1701">
        <v>263231.31</v>
      </c>
      <c r="P1701">
        <v>2084.1</v>
      </c>
      <c r="Q1701">
        <f>tblMoeHistory[[#This Row],[Amount of IDEA Part B, Section 611 award]]+tblMoeHistory[[#This Row],[Amount of IDEA Part B, Section 619 award]]</f>
        <v>265315.40999999997</v>
      </c>
      <c r="U17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1" t="str">
        <f>IF(OR(IFERROR(SEARCH("Met",tblMoeHistory[[#This Row],[State and Local Per Capita Result]]),0)&gt;0,IFERROR(SEARCH("Met",tblMoeHistory[[#This Row],[State and Local Total Result]]),0)&gt;0),"Met","Not Met")</f>
        <v>Met</v>
      </c>
    </row>
    <row r="1702" spans="1:22" x14ac:dyDescent="0.35">
      <c r="A1702" t="s">
        <v>146</v>
      </c>
      <c r="B1702">
        <v>2214</v>
      </c>
      <c r="C1702" t="s">
        <v>243</v>
      </c>
      <c r="D1702">
        <v>40</v>
      </c>
      <c r="E1702">
        <v>170545.82</v>
      </c>
      <c r="F1702">
        <v>72876.350000000006</v>
      </c>
      <c r="G1702">
        <f>tblMoeHistory[[#This Row],[LEA State and Local Amount]]+tblMoeHistory[[#This Row],[ESD State and Local Amount]]</f>
        <v>243422.17</v>
      </c>
      <c r="H1702">
        <v>0</v>
      </c>
      <c r="I1702" t="s">
        <v>242</v>
      </c>
      <c r="J1702" s="44">
        <f>IFERROR(tblMoeHistory[[#This Row],[LEA State and Local Amount]]/tblMoeHistory[[#This Row],[Child Count]],0)</f>
        <v>4263.6455000000005</v>
      </c>
      <c r="K1702">
        <f>IFERROR(tblMoeHistory[[#This Row],[ESD State and Local Amount]]/tblMoeHistory[[#This Row],[Child Count]],0)</f>
        <v>1821.9087500000001</v>
      </c>
      <c r="L1702" s="1">
        <f>IFERROR(tblMoeHistory[[#This Row],[State and Local Total Amount]]/tblMoeHistory[[#This Row],[Child Count]],0)</f>
        <v>6085.5542500000001</v>
      </c>
      <c r="M1702">
        <v>0</v>
      </c>
      <c r="N1702" t="s">
        <v>242</v>
      </c>
      <c r="O1702">
        <v>46534.19</v>
      </c>
      <c r="P1702">
        <v>167.47</v>
      </c>
      <c r="Q1702">
        <f>tblMoeHistory[[#This Row],[Amount of IDEA Part B, Section 611 award]]+tblMoeHistory[[#This Row],[Amount of IDEA Part B, Section 619 award]]</f>
        <v>46701.66</v>
      </c>
      <c r="S1702">
        <v>64577.48</v>
      </c>
      <c r="T1702">
        <v>1956.89</v>
      </c>
      <c r="U17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2" t="str">
        <f>IF(OR(IFERROR(SEARCH("Met",tblMoeHistory[[#This Row],[State and Local Per Capita Result]]),0)&gt;0,IFERROR(SEARCH("Met",tblMoeHistory[[#This Row],[State and Local Total Result]]),0)&gt;0),"Met","Not Met")</f>
        <v>Met</v>
      </c>
    </row>
    <row r="1703" spans="1:22" x14ac:dyDescent="0.35">
      <c r="A1703" t="s">
        <v>147</v>
      </c>
      <c r="B1703">
        <v>2143</v>
      </c>
      <c r="C1703" t="s">
        <v>243</v>
      </c>
      <c r="D1703">
        <v>343</v>
      </c>
      <c r="E1703">
        <v>2879229.32</v>
      </c>
      <c r="F1703">
        <v>134778.79999999999</v>
      </c>
      <c r="G1703">
        <f>tblMoeHistory[[#This Row],[LEA State and Local Amount]]+tblMoeHistory[[#This Row],[ESD State and Local Amount]]</f>
        <v>3014008.1199999996</v>
      </c>
      <c r="H1703">
        <v>0</v>
      </c>
      <c r="I1703" t="s">
        <v>241</v>
      </c>
      <c r="J1703" s="44">
        <f>IFERROR(tblMoeHistory[[#This Row],[LEA State and Local Amount]]/tblMoeHistory[[#This Row],[Child Count]],0)</f>
        <v>8394.2545772594749</v>
      </c>
      <c r="K1703">
        <f>IFERROR(tblMoeHistory[[#This Row],[ESD State and Local Amount]]/tblMoeHistory[[#This Row],[Child Count]],0)</f>
        <v>392.94110787172008</v>
      </c>
      <c r="L1703" s="1">
        <f>IFERROR(tblMoeHistory[[#This Row],[State and Local Total Amount]]/tblMoeHistory[[#This Row],[Child Count]],0)</f>
        <v>8787.1956851311952</v>
      </c>
      <c r="M1703">
        <v>396823.93688623805</v>
      </c>
      <c r="N1703" t="s">
        <v>240</v>
      </c>
      <c r="O1703">
        <v>465177.35</v>
      </c>
      <c r="P1703">
        <v>3546.48</v>
      </c>
      <c r="Q1703">
        <f>tblMoeHistory[[#This Row],[Amount of IDEA Part B, Section 611 award]]+tblMoeHistory[[#This Row],[Amount of IDEA Part B, Section 619 award]]</f>
        <v>468723.82999999996</v>
      </c>
      <c r="T1703">
        <v>445.8</v>
      </c>
      <c r="U17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3" t="str">
        <f>IF(OR(IFERROR(SEARCH("Met",tblMoeHistory[[#This Row],[State and Local Per Capita Result]]),0)&gt;0,IFERROR(SEARCH("Met",tblMoeHistory[[#This Row],[State and Local Total Result]]),0)&gt;0),"Met","Not Met")</f>
        <v>Met</v>
      </c>
    </row>
    <row r="1704" spans="1:22" x14ac:dyDescent="0.35">
      <c r="A1704" t="s">
        <v>148</v>
      </c>
      <c r="B1704">
        <v>4131</v>
      </c>
      <c r="C1704" t="s">
        <v>243</v>
      </c>
      <c r="D1704">
        <v>445</v>
      </c>
      <c r="E1704">
        <v>4709401.53</v>
      </c>
      <c r="F1704">
        <v>0</v>
      </c>
      <c r="G1704">
        <f>tblMoeHistory[[#This Row],[LEA State and Local Amount]]+tblMoeHistory[[#This Row],[ESD State and Local Amount]]</f>
        <v>4709401.53</v>
      </c>
      <c r="H1704">
        <v>0</v>
      </c>
      <c r="I1704" t="s">
        <v>241</v>
      </c>
      <c r="J1704" s="44">
        <f>IFERROR(tblMoeHistory[[#This Row],[LEA State and Local Amount]]/tblMoeHistory[[#This Row],[Child Count]],0)</f>
        <v>10582.924786516855</v>
      </c>
      <c r="K1704">
        <f>IFERROR(tblMoeHistory[[#This Row],[ESD State and Local Amount]]/tblMoeHistory[[#This Row],[Child Count]],0)</f>
        <v>0</v>
      </c>
      <c r="L1704" s="1">
        <f>IFERROR(tblMoeHistory[[#This Row],[State and Local Total Amount]]/tblMoeHistory[[#This Row],[Child Count]],0)</f>
        <v>10582.924786516855</v>
      </c>
      <c r="M1704">
        <v>0</v>
      </c>
      <c r="N1704" t="s">
        <v>241</v>
      </c>
      <c r="O1704">
        <v>542756.01</v>
      </c>
      <c r="P1704">
        <v>5442.86</v>
      </c>
      <c r="Q1704">
        <f>tblMoeHistory[[#This Row],[Amount of IDEA Part B, Section 611 award]]+tblMoeHistory[[#This Row],[Amount of IDEA Part B, Section 619 award]]</f>
        <v>548198.87</v>
      </c>
      <c r="U17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4" t="str">
        <f>IF(OR(IFERROR(SEARCH("Met",tblMoeHistory[[#This Row],[State and Local Per Capita Result]]),0)&gt;0,IFERROR(SEARCH("Met",tblMoeHistory[[#This Row],[State and Local Total Result]]),0)&gt;0),"Met","Not Met")</f>
        <v>Met</v>
      </c>
    </row>
    <row r="1705" spans="1:22" x14ac:dyDescent="0.35">
      <c r="A1705" t="s">
        <v>149</v>
      </c>
      <c r="B1705">
        <v>2110</v>
      </c>
      <c r="C1705" t="s">
        <v>243</v>
      </c>
      <c r="D1705">
        <v>165</v>
      </c>
      <c r="E1705">
        <v>903252.29</v>
      </c>
      <c r="F1705">
        <v>442307.13</v>
      </c>
      <c r="G1705">
        <f>tblMoeHistory[[#This Row],[LEA State and Local Amount]]+tblMoeHistory[[#This Row],[ESD State and Local Amount]]</f>
        <v>1345559.42</v>
      </c>
      <c r="H1705">
        <v>0</v>
      </c>
      <c r="I1705" t="s">
        <v>241</v>
      </c>
      <c r="J1705" s="44">
        <f>IFERROR(tblMoeHistory[[#This Row],[LEA State and Local Amount]]/tblMoeHistory[[#This Row],[Child Count]],0)</f>
        <v>5474.2563030303036</v>
      </c>
      <c r="K1705">
        <f>IFERROR(tblMoeHistory[[#This Row],[ESD State and Local Amount]]/tblMoeHistory[[#This Row],[Child Count]],0)</f>
        <v>2680.6492727272725</v>
      </c>
      <c r="L1705" s="1">
        <f>IFERROR(tblMoeHistory[[#This Row],[State and Local Total Amount]]/tblMoeHistory[[#This Row],[Child Count]],0)</f>
        <v>8154.9055757575752</v>
      </c>
      <c r="M1705">
        <v>0</v>
      </c>
      <c r="N1705" t="s">
        <v>241</v>
      </c>
      <c r="O1705">
        <v>240679.39</v>
      </c>
      <c r="P1705">
        <v>1644.28</v>
      </c>
      <c r="Q1705">
        <f>tblMoeHistory[[#This Row],[Amount of IDEA Part B, Section 611 award]]+tblMoeHistory[[#This Row],[Amount of IDEA Part B, Section 619 award]]</f>
        <v>242323.67</v>
      </c>
      <c r="U17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5" t="str">
        <f>IF(OR(IFERROR(SEARCH("Met",tblMoeHistory[[#This Row],[State and Local Per Capita Result]]),0)&gt;0,IFERROR(SEARCH("Met",tblMoeHistory[[#This Row],[State and Local Total Result]]),0)&gt;0),"Met","Not Met")</f>
        <v>Met</v>
      </c>
    </row>
    <row r="1706" spans="1:22" x14ac:dyDescent="0.35">
      <c r="A1706" t="s">
        <v>150</v>
      </c>
      <c r="B1706">
        <v>1990</v>
      </c>
      <c r="C1706" t="s">
        <v>243</v>
      </c>
      <c r="D1706">
        <v>84</v>
      </c>
      <c r="E1706">
        <v>443703.14</v>
      </c>
      <c r="F1706">
        <v>86347.34</v>
      </c>
      <c r="G1706">
        <f>tblMoeHistory[[#This Row],[LEA State and Local Amount]]+tblMoeHistory[[#This Row],[ESD State and Local Amount]]</f>
        <v>530050.48</v>
      </c>
      <c r="H1706">
        <v>0</v>
      </c>
      <c r="I1706" t="s">
        <v>241</v>
      </c>
      <c r="J1706" s="44">
        <f>IFERROR(tblMoeHistory[[#This Row],[LEA State and Local Amount]]/tblMoeHistory[[#This Row],[Child Count]],0)</f>
        <v>5282.1802380952386</v>
      </c>
      <c r="K1706">
        <f>IFERROR(tblMoeHistory[[#This Row],[ESD State and Local Amount]]/tblMoeHistory[[#This Row],[Child Count]],0)</f>
        <v>1027.9445238095238</v>
      </c>
      <c r="L1706" s="1">
        <f>IFERROR(tblMoeHistory[[#This Row],[State and Local Total Amount]]/tblMoeHistory[[#This Row],[Child Count]],0)</f>
        <v>6310.1247619047617</v>
      </c>
      <c r="M1706">
        <v>141176.61499999993</v>
      </c>
      <c r="N1706" t="s">
        <v>240</v>
      </c>
      <c r="O1706">
        <v>105575.51</v>
      </c>
      <c r="P1706">
        <v>753.63</v>
      </c>
      <c r="Q1706">
        <f>tblMoeHistory[[#This Row],[Amount of IDEA Part B, Section 611 award]]+tblMoeHistory[[#This Row],[Amount of IDEA Part B, Section 619 award]]</f>
        <v>106329.14</v>
      </c>
      <c r="T1706">
        <v>0</v>
      </c>
      <c r="U17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6" t="str">
        <f>IF(OR(IFERROR(SEARCH("Met",tblMoeHistory[[#This Row],[State and Local Per Capita Result]]),0)&gt;0,IFERROR(SEARCH("Met",tblMoeHistory[[#This Row],[State and Local Total Result]]),0)&gt;0),"Met","Not Met")</f>
        <v>Met</v>
      </c>
    </row>
    <row r="1707" spans="1:22" x14ac:dyDescent="0.35">
      <c r="A1707" t="s">
        <v>151</v>
      </c>
      <c r="B1707">
        <v>2093</v>
      </c>
      <c r="C1707" t="s">
        <v>243</v>
      </c>
      <c r="D1707">
        <v>104</v>
      </c>
      <c r="E1707">
        <v>460499.77</v>
      </c>
      <c r="F1707">
        <v>158110</v>
      </c>
      <c r="G1707">
        <f>tblMoeHistory[[#This Row],[LEA State and Local Amount]]+tblMoeHistory[[#This Row],[ESD State and Local Amount]]</f>
        <v>618609.77</v>
      </c>
      <c r="H1707">
        <v>0</v>
      </c>
      <c r="I1707" t="s">
        <v>241</v>
      </c>
      <c r="J1707" s="44">
        <f>IFERROR(tblMoeHistory[[#This Row],[LEA State and Local Amount]]/tblMoeHistory[[#This Row],[Child Count]],0)</f>
        <v>4427.8824038461544</v>
      </c>
      <c r="K1707">
        <f>IFERROR(tblMoeHistory[[#This Row],[ESD State and Local Amount]]/tblMoeHistory[[#This Row],[Child Count]],0)</f>
        <v>1520.2884615384614</v>
      </c>
      <c r="L1707" s="1">
        <f>IFERROR(tblMoeHistory[[#This Row],[State and Local Total Amount]]/tblMoeHistory[[#This Row],[Child Count]],0)</f>
        <v>5948.1708653846154</v>
      </c>
      <c r="M1707">
        <v>98603.01453333364</v>
      </c>
      <c r="N1707" t="s">
        <v>240</v>
      </c>
      <c r="O1707">
        <v>135076.37</v>
      </c>
      <c r="P1707">
        <v>2637.69</v>
      </c>
      <c r="Q1707">
        <f>tblMoeHistory[[#This Row],[Amount of IDEA Part B, Section 611 award]]+tblMoeHistory[[#This Row],[Amount of IDEA Part B, Section 619 award]]</f>
        <v>137714.06</v>
      </c>
      <c r="T1707">
        <v>862.58</v>
      </c>
      <c r="U17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7" t="str">
        <f>IF(OR(IFERROR(SEARCH("Met",tblMoeHistory[[#This Row],[State and Local Per Capita Result]]),0)&gt;0,IFERROR(SEARCH("Met",tblMoeHistory[[#This Row],[State and Local Total Result]]),0)&gt;0),"Met","Not Met")</f>
        <v>Met</v>
      </c>
    </row>
    <row r="1708" spans="1:22" x14ac:dyDescent="0.35">
      <c r="A1708" t="s">
        <v>152</v>
      </c>
      <c r="B1708">
        <v>2108</v>
      </c>
      <c r="C1708" t="s">
        <v>243</v>
      </c>
      <c r="D1708">
        <v>323</v>
      </c>
      <c r="E1708">
        <v>2912178.93</v>
      </c>
      <c r="F1708">
        <v>107457.06</v>
      </c>
      <c r="G1708">
        <f>tblMoeHistory[[#This Row],[LEA State and Local Amount]]+tblMoeHistory[[#This Row],[ESD State and Local Amount]]</f>
        <v>3019635.99</v>
      </c>
      <c r="H1708">
        <v>0</v>
      </c>
      <c r="I1708" t="s">
        <v>241</v>
      </c>
      <c r="J1708" s="44">
        <f>IFERROR(tblMoeHistory[[#This Row],[LEA State and Local Amount]]/tblMoeHistory[[#This Row],[Child Count]],0)</f>
        <v>9016.0338390092893</v>
      </c>
      <c r="K1708">
        <f>IFERROR(tblMoeHistory[[#This Row],[ESD State and Local Amount]]/tblMoeHistory[[#This Row],[Child Count]],0)</f>
        <v>332.68439628482969</v>
      </c>
      <c r="L1708" s="1">
        <f>IFERROR(tblMoeHistory[[#This Row],[State and Local Total Amount]]/tblMoeHistory[[#This Row],[Child Count]],0)</f>
        <v>9348.7182352941181</v>
      </c>
      <c r="M1708">
        <v>12710.237351915854</v>
      </c>
      <c r="N1708" t="s">
        <v>240</v>
      </c>
      <c r="O1708">
        <v>507658.04</v>
      </c>
      <c r="P1708">
        <v>3623.5</v>
      </c>
      <c r="Q1708">
        <f>tblMoeHistory[[#This Row],[Amount of IDEA Part B, Section 611 award]]+tblMoeHistory[[#This Row],[Amount of IDEA Part B, Section 619 award]]</f>
        <v>511281.54</v>
      </c>
      <c r="T1708">
        <v>0</v>
      </c>
      <c r="U17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8" t="str">
        <f>IF(OR(IFERROR(SEARCH("Met",tblMoeHistory[[#This Row],[State and Local Per Capita Result]]),0)&gt;0,IFERROR(SEARCH("Met",tblMoeHistory[[#This Row],[State and Local Total Result]]),0)&gt;0),"Met","Not Met")</f>
        <v>Met</v>
      </c>
    </row>
    <row r="1709" spans="1:22" x14ac:dyDescent="0.35">
      <c r="A1709" t="s">
        <v>153</v>
      </c>
      <c r="B1709">
        <v>1928</v>
      </c>
      <c r="C1709" t="s">
        <v>243</v>
      </c>
      <c r="D1709">
        <v>1208</v>
      </c>
      <c r="E1709">
        <v>15421600.27</v>
      </c>
      <c r="F1709">
        <v>1962341</v>
      </c>
      <c r="G1709">
        <f>tblMoeHistory[[#This Row],[LEA State and Local Amount]]+tblMoeHistory[[#This Row],[ESD State and Local Amount]]</f>
        <v>17383941.27</v>
      </c>
      <c r="H1709">
        <v>0</v>
      </c>
      <c r="I1709" t="s">
        <v>241</v>
      </c>
      <c r="J1709" s="44">
        <f>IFERROR(tblMoeHistory[[#This Row],[LEA State and Local Amount]]/tblMoeHistory[[#This Row],[Child Count]],0)</f>
        <v>12766.225389072848</v>
      </c>
      <c r="K1709">
        <f>IFERROR(tblMoeHistory[[#This Row],[ESD State and Local Amount]]/tblMoeHistory[[#This Row],[Child Count]],0)</f>
        <v>1624.4544701986756</v>
      </c>
      <c r="L1709" s="1">
        <f>IFERROR(tblMoeHistory[[#This Row],[State and Local Total Amount]]/tblMoeHistory[[#This Row],[Child Count]],0)</f>
        <v>14390.679859271522</v>
      </c>
      <c r="M1709">
        <v>0</v>
      </c>
      <c r="N1709" t="s">
        <v>241</v>
      </c>
      <c r="O1709">
        <v>1298060.3500000001</v>
      </c>
      <c r="P1709">
        <v>11119.38</v>
      </c>
      <c r="Q1709">
        <f>tblMoeHistory[[#This Row],[Amount of IDEA Part B, Section 611 award]]+tblMoeHistory[[#This Row],[Amount of IDEA Part B, Section 619 award]]</f>
        <v>1309179.73</v>
      </c>
      <c r="U17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9" t="str">
        <f>IF(OR(IFERROR(SEARCH("Met",tblMoeHistory[[#This Row],[State and Local Per Capita Result]]),0)&gt;0,IFERROR(SEARCH("Met",tblMoeHistory[[#This Row],[State and Local Total Result]]),0)&gt;0),"Met","Not Met")</f>
        <v>Met</v>
      </c>
    </row>
    <row r="1710" spans="1:22" x14ac:dyDescent="0.35">
      <c r="A1710" t="s">
        <v>154</v>
      </c>
      <c r="B1710">
        <v>1926</v>
      </c>
      <c r="C1710" t="s">
        <v>243</v>
      </c>
      <c r="D1710">
        <v>543</v>
      </c>
      <c r="E1710">
        <v>6205175.21</v>
      </c>
      <c r="F1710">
        <v>1007312</v>
      </c>
      <c r="G1710">
        <f>tblMoeHistory[[#This Row],[LEA State and Local Amount]]+tblMoeHistory[[#This Row],[ESD State and Local Amount]]</f>
        <v>7212487.21</v>
      </c>
      <c r="H1710">
        <v>0</v>
      </c>
      <c r="I1710" t="s">
        <v>241</v>
      </c>
      <c r="J1710" s="44">
        <f>IFERROR(tblMoeHistory[[#This Row],[LEA State and Local Amount]]/tblMoeHistory[[#This Row],[Child Count]],0)</f>
        <v>11427.578655616942</v>
      </c>
      <c r="K1710">
        <f>IFERROR(tblMoeHistory[[#This Row],[ESD State and Local Amount]]/tblMoeHistory[[#This Row],[Child Count]],0)</f>
        <v>1855.0865561694291</v>
      </c>
      <c r="L1710" s="1">
        <f>IFERROR(tblMoeHistory[[#This Row],[State and Local Total Amount]]/tblMoeHistory[[#This Row],[Child Count]],0)</f>
        <v>13282.665211786372</v>
      </c>
      <c r="M1710">
        <v>0</v>
      </c>
      <c r="N1710" t="s">
        <v>241</v>
      </c>
      <c r="O1710">
        <v>643831.54</v>
      </c>
      <c r="P1710">
        <v>5961.27</v>
      </c>
      <c r="Q1710">
        <f>tblMoeHistory[[#This Row],[Amount of IDEA Part B, Section 611 award]]+tblMoeHistory[[#This Row],[Amount of IDEA Part B, Section 619 award]]</f>
        <v>649792.81000000006</v>
      </c>
      <c r="U17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0" t="str">
        <f>IF(OR(IFERROR(SEARCH("Met",tblMoeHistory[[#This Row],[State and Local Per Capita Result]]),0)&gt;0,IFERROR(SEARCH("Met",tblMoeHistory[[#This Row],[State and Local Total Result]]),0)&gt;0),"Met","Not Met")</f>
        <v>Met</v>
      </c>
    </row>
    <row r="1711" spans="1:22" x14ac:dyDescent="0.35">
      <c r="A1711" t="s">
        <v>155</v>
      </c>
      <c r="B1711">
        <v>2060</v>
      </c>
      <c r="C1711" t="s">
        <v>243</v>
      </c>
      <c r="D1711">
        <v>20</v>
      </c>
      <c r="E1711">
        <v>162443.45000000001</v>
      </c>
      <c r="F1711">
        <v>100478.72</v>
      </c>
      <c r="G1711">
        <f>tblMoeHistory[[#This Row],[LEA State and Local Amount]]+tblMoeHistory[[#This Row],[ESD State and Local Amount]]</f>
        <v>262922.17000000004</v>
      </c>
      <c r="H1711">
        <v>0</v>
      </c>
      <c r="I1711" t="s">
        <v>241</v>
      </c>
      <c r="J1711" s="44">
        <f>IFERROR(tblMoeHistory[[#This Row],[LEA State and Local Amount]]/tblMoeHistory[[#This Row],[Child Count]],0)</f>
        <v>8122.1725000000006</v>
      </c>
      <c r="K1711">
        <f>IFERROR(tblMoeHistory[[#This Row],[ESD State and Local Amount]]/tblMoeHistory[[#This Row],[Child Count]],0)</f>
        <v>5023.9359999999997</v>
      </c>
      <c r="L1711" s="1">
        <f>IFERROR(tblMoeHistory[[#This Row],[State and Local Total Amount]]/tblMoeHistory[[#This Row],[Child Count]],0)</f>
        <v>13146.108500000002</v>
      </c>
      <c r="M1711">
        <v>0</v>
      </c>
      <c r="N1711" t="s">
        <v>241</v>
      </c>
      <c r="O1711">
        <v>29102.66</v>
      </c>
      <c r="P1711">
        <v>251.21</v>
      </c>
      <c r="Q1711">
        <f>tblMoeHistory[[#This Row],[Amount of IDEA Part B, Section 611 award]]+tblMoeHistory[[#This Row],[Amount of IDEA Part B, Section 619 award]]</f>
        <v>29353.87</v>
      </c>
      <c r="U17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1" t="str">
        <f>IF(OR(IFERROR(SEARCH("Met",tblMoeHistory[[#This Row],[State and Local Per Capita Result]]),0)&gt;0,IFERROR(SEARCH("Met",tblMoeHistory[[#This Row],[State and Local Total Result]]),0)&gt;0),"Met","Not Met")</f>
        <v>Met</v>
      </c>
    </row>
    <row r="1712" spans="1:22" x14ac:dyDescent="0.35">
      <c r="A1712" t="s">
        <v>156</v>
      </c>
      <c r="B1712">
        <v>2181</v>
      </c>
      <c r="C1712" t="s">
        <v>243</v>
      </c>
      <c r="D1712">
        <v>509</v>
      </c>
      <c r="E1712">
        <v>7109548.3600000003</v>
      </c>
      <c r="F1712">
        <v>950019.92</v>
      </c>
      <c r="G1712">
        <f>tblMoeHistory[[#This Row],[LEA State and Local Amount]]+tblMoeHistory[[#This Row],[ESD State and Local Amount]]</f>
        <v>8059568.2800000003</v>
      </c>
      <c r="H1712">
        <v>0</v>
      </c>
      <c r="I1712" t="s">
        <v>241</v>
      </c>
      <c r="J1712" s="44">
        <f>IFERROR(tblMoeHistory[[#This Row],[LEA State and Local Amount]]/tblMoeHistory[[#This Row],[Child Count]],0)</f>
        <v>13967.678506876229</v>
      </c>
      <c r="K1712">
        <f>IFERROR(tblMoeHistory[[#This Row],[ESD State and Local Amount]]/tblMoeHistory[[#This Row],[Child Count]],0)</f>
        <v>1866.4438506876229</v>
      </c>
      <c r="L1712" s="1">
        <f>IFERROR(tblMoeHistory[[#This Row],[State and Local Total Amount]]/tblMoeHistory[[#This Row],[Child Count]],0)</f>
        <v>15834.122357563851</v>
      </c>
      <c r="M1712">
        <v>0</v>
      </c>
      <c r="N1712" t="s">
        <v>241</v>
      </c>
      <c r="O1712">
        <v>569516.02</v>
      </c>
      <c r="P1712">
        <v>5024.18</v>
      </c>
      <c r="Q1712">
        <f>tblMoeHistory[[#This Row],[Amount of IDEA Part B, Section 611 award]]+tblMoeHistory[[#This Row],[Amount of IDEA Part B, Section 619 award]]</f>
        <v>574540.20000000007</v>
      </c>
      <c r="U17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2" t="str">
        <f>IF(OR(IFERROR(SEARCH("Met",tblMoeHistory[[#This Row],[State and Local Per Capita Result]]),0)&gt;0,IFERROR(SEARCH("Met",tblMoeHistory[[#This Row],[State and Local Total Result]]),0)&gt;0),"Met","Not Met")</f>
        <v>Met</v>
      </c>
    </row>
    <row r="1713" spans="1:22" x14ac:dyDescent="0.35">
      <c r="A1713" t="s">
        <v>157</v>
      </c>
      <c r="B1713">
        <v>2207</v>
      </c>
      <c r="C1713" t="s">
        <v>243</v>
      </c>
      <c r="D1713">
        <v>450</v>
      </c>
      <c r="E1713">
        <v>4906801.9400000004</v>
      </c>
      <c r="F1713">
        <v>769213.2</v>
      </c>
      <c r="G1713">
        <f>tblMoeHistory[[#This Row],[LEA State and Local Amount]]+tblMoeHistory[[#This Row],[ESD State and Local Amount]]</f>
        <v>5676015.1400000006</v>
      </c>
      <c r="H1713">
        <v>0</v>
      </c>
      <c r="I1713" t="s">
        <v>241</v>
      </c>
      <c r="J1713" s="44">
        <f>IFERROR(tblMoeHistory[[#This Row],[LEA State and Local Amount]]/tblMoeHistory[[#This Row],[Child Count]],0)</f>
        <v>10904.004311111112</v>
      </c>
      <c r="K1713">
        <f>IFERROR(tblMoeHistory[[#This Row],[ESD State and Local Amount]]/tblMoeHistory[[#This Row],[Child Count]],0)</f>
        <v>1709.3626666666667</v>
      </c>
      <c r="L1713" s="1">
        <f>IFERROR(tblMoeHistory[[#This Row],[State and Local Total Amount]]/tblMoeHistory[[#This Row],[Child Count]],0)</f>
        <v>12613.36697777778</v>
      </c>
      <c r="M1713">
        <v>0</v>
      </c>
      <c r="N1713" t="s">
        <v>241</v>
      </c>
      <c r="O1713">
        <v>534027.31999999995</v>
      </c>
      <c r="P1713">
        <v>5364.8</v>
      </c>
      <c r="Q1713">
        <f>tblMoeHistory[[#This Row],[Amount of IDEA Part B, Section 611 award]]+tblMoeHistory[[#This Row],[Amount of IDEA Part B, Section 619 award]]</f>
        <v>539392.12</v>
      </c>
      <c r="U17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3" t="str">
        <f>IF(OR(IFERROR(SEARCH("Met",tblMoeHistory[[#This Row],[State and Local Per Capita Result]]),0)&gt;0,IFERROR(SEARCH("Met",tblMoeHistory[[#This Row],[State and Local Total Result]]),0)&gt;0),"Met","Not Met")</f>
        <v>Met</v>
      </c>
    </row>
    <row r="1714" spans="1:22" x14ac:dyDescent="0.35">
      <c r="A1714" t="s">
        <v>158</v>
      </c>
      <c r="B1714">
        <v>2192</v>
      </c>
      <c r="C1714" t="s">
        <v>243</v>
      </c>
      <c r="D1714">
        <v>33</v>
      </c>
      <c r="E1714">
        <v>416750.44</v>
      </c>
      <c r="F1714">
        <v>41438.589999999997</v>
      </c>
      <c r="G1714">
        <f>tblMoeHistory[[#This Row],[LEA State and Local Amount]]+tblMoeHistory[[#This Row],[ESD State and Local Amount]]</f>
        <v>458189.03</v>
      </c>
      <c r="H1714">
        <v>0</v>
      </c>
      <c r="I1714" t="s">
        <v>241</v>
      </c>
      <c r="J1714" s="44">
        <f>IFERROR(tblMoeHistory[[#This Row],[LEA State and Local Amount]]/tblMoeHistory[[#This Row],[Child Count]],0)</f>
        <v>12628.801212121212</v>
      </c>
      <c r="K1714">
        <f>IFERROR(tblMoeHistory[[#This Row],[ESD State and Local Amount]]/tblMoeHistory[[#This Row],[Child Count]],0)</f>
        <v>1255.7148484848483</v>
      </c>
      <c r="L1714" s="1">
        <f>IFERROR(tblMoeHistory[[#This Row],[State and Local Total Amount]]/tblMoeHistory[[#This Row],[Child Count]],0)</f>
        <v>13884.516060606062</v>
      </c>
      <c r="M1714">
        <v>113361.68141666571</v>
      </c>
      <c r="N1714" t="s">
        <v>240</v>
      </c>
      <c r="O1714">
        <v>35323.08</v>
      </c>
      <c r="P1714">
        <v>753.63</v>
      </c>
      <c r="Q1714">
        <f>tblMoeHistory[[#This Row],[Amount of IDEA Part B, Section 611 award]]+tblMoeHistory[[#This Row],[Amount of IDEA Part B, Section 619 award]]</f>
        <v>36076.71</v>
      </c>
      <c r="T1714">
        <v>10391.57</v>
      </c>
      <c r="U17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4" t="str">
        <f>IF(OR(IFERROR(SEARCH("Met",tblMoeHistory[[#This Row],[State and Local Per Capita Result]]),0)&gt;0,IFERROR(SEARCH("Met",tblMoeHistory[[#This Row],[State and Local Total Result]]),0)&gt;0),"Met","Not Met")</f>
        <v>Met</v>
      </c>
    </row>
    <row r="1715" spans="1:22" x14ac:dyDescent="0.35">
      <c r="A1715" t="s">
        <v>160</v>
      </c>
      <c r="B1715">
        <v>1900</v>
      </c>
      <c r="C1715" t="s">
        <v>243</v>
      </c>
      <c r="D1715">
        <v>172</v>
      </c>
      <c r="E1715">
        <v>2197750.37</v>
      </c>
      <c r="F1715">
        <v>176829</v>
      </c>
      <c r="G1715">
        <f>tblMoeHistory[[#This Row],[LEA State and Local Amount]]+tblMoeHistory[[#This Row],[ESD State and Local Amount]]</f>
        <v>2374579.37</v>
      </c>
      <c r="H1715">
        <v>0</v>
      </c>
      <c r="I1715" t="s">
        <v>241</v>
      </c>
      <c r="J1715" s="44">
        <f>IFERROR(tblMoeHistory[[#This Row],[LEA State and Local Amount]]/tblMoeHistory[[#This Row],[Child Count]],0)</f>
        <v>12777.618430232558</v>
      </c>
      <c r="K1715">
        <f>IFERROR(tblMoeHistory[[#This Row],[ESD State and Local Amount]]/tblMoeHistory[[#This Row],[Child Count]],0)</f>
        <v>1028.0755813953488</v>
      </c>
      <c r="L1715" s="1">
        <f>IFERROR(tblMoeHistory[[#This Row],[State and Local Total Amount]]/tblMoeHistory[[#This Row],[Child Count]],0)</f>
        <v>13805.694011627907</v>
      </c>
      <c r="M1715">
        <v>0</v>
      </c>
      <c r="N1715" t="s">
        <v>241</v>
      </c>
      <c r="O1715">
        <v>243402.15</v>
      </c>
      <c r="P1715">
        <v>5024.18</v>
      </c>
      <c r="Q1715">
        <f>tblMoeHistory[[#This Row],[Amount of IDEA Part B, Section 611 award]]+tblMoeHistory[[#This Row],[Amount of IDEA Part B, Section 619 award]]</f>
        <v>248426.33</v>
      </c>
      <c r="U17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5" t="str">
        <f>IF(OR(IFERROR(SEARCH("Met",tblMoeHistory[[#This Row],[State and Local Per Capita Result]]),0)&gt;0,IFERROR(SEARCH("Met",tblMoeHistory[[#This Row],[State and Local Total Result]]),0)&gt;0),"Met","Not Met")</f>
        <v>Met</v>
      </c>
    </row>
    <row r="1716" spans="1:22" x14ac:dyDescent="0.35">
      <c r="A1716" t="s">
        <v>161</v>
      </c>
      <c r="B1716">
        <v>2039</v>
      </c>
      <c r="C1716" t="s">
        <v>243</v>
      </c>
      <c r="D1716">
        <v>384</v>
      </c>
      <c r="E1716">
        <v>3111577.59</v>
      </c>
      <c r="F1716">
        <v>644693.34</v>
      </c>
      <c r="G1716">
        <f>tblMoeHistory[[#This Row],[LEA State and Local Amount]]+tblMoeHistory[[#This Row],[ESD State and Local Amount]]</f>
        <v>3756270.9299999997</v>
      </c>
      <c r="H1716">
        <v>0</v>
      </c>
      <c r="I1716" t="s">
        <v>241</v>
      </c>
      <c r="J1716" s="44">
        <f>IFERROR(tblMoeHistory[[#This Row],[LEA State and Local Amount]]/tblMoeHistory[[#This Row],[Child Count]],0)</f>
        <v>8103.0666406249993</v>
      </c>
      <c r="K1716">
        <f>IFERROR(tblMoeHistory[[#This Row],[ESD State and Local Amount]]/tblMoeHistory[[#This Row],[Child Count]],0)</f>
        <v>1678.88890625</v>
      </c>
      <c r="L1716" s="1">
        <f>IFERROR(tblMoeHistory[[#This Row],[State and Local Total Amount]]/tblMoeHistory[[#This Row],[Child Count]],0)</f>
        <v>9781.9555468749986</v>
      </c>
      <c r="M1716">
        <v>0</v>
      </c>
      <c r="N1716" t="s">
        <v>241</v>
      </c>
      <c r="O1716">
        <v>490938.29</v>
      </c>
      <c r="P1716">
        <v>7763.93</v>
      </c>
      <c r="Q1716">
        <f>tblMoeHistory[[#This Row],[Amount of IDEA Part B, Section 611 award]]+tblMoeHistory[[#This Row],[Amount of IDEA Part B, Section 619 award]]</f>
        <v>498702.22</v>
      </c>
      <c r="U17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6" t="str">
        <f>IF(OR(IFERROR(SEARCH("Met",tblMoeHistory[[#This Row],[State and Local Per Capita Result]]),0)&gt;0,IFERROR(SEARCH("Met",tblMoeHistory[[#This Row],[State and Local Total Result]]),0)&gt;0),"Met","Not Met")</f>
        <v>Met</v>
      </c>
    </row>
    <row r="1717" spans="1:22" x14ac:dyDescent="0.35">
      <c r="A1717" t="s">
        <v>162</v>
      </c>
      <c r="B1717">
        <v>2202</v>
      </c>
      <c r="C1717" t="s">
        <v>243</v>
      </c>
      <c r="D1717">
        <v>39</v>
      </c>
      <c r="E1717">
        <v>276831.49</v>
      </c>
      <c r="F1717">
        <v>66190.44</v>
      </c>
      <c r="G1717">
        <f>tblMoeHistory[[#This Row],[LEA State and Local Amount]]+tblMoeHistory[[#This Row],[ESD State and Local Amount]]</f>
        <v>343021.93</v>
      </c>
      <c r="H1717">
        <v>0</v>
      </c>
      <c r="I1717" t="s">
        <v>242</v>
      </c>
      <c r="J1717" s="44">
        <f>IFERROR(tblMoeHistory[[#This Row],[LEA State and Local Amount]]/tblMoeHistory[[#This Row],[Child Count]],0)</f>
        <v>7098.2433333333329</v>
      </c>
      <c r="K1717">
        <f>IFERROR(tblMoeHistory[[#This Row],[ESD State and Local Amount]]/tblMoeHistory[[#This Row],[Child Count]],0)</f>
        <v>1697.1907692307693</v>
      </c>
      <c r="L1717" s="1">
        <f>IFERROR(tblMoeHistory[[#This Row],[State and Local Total Amount]]/tblMoeHistory[[#This Row],[Child Count]],0)</f>
        <v>8795.4341025641024</v>
      </c>
      <c r="M1717">
        <v>382.87131578974413</v>
      </c>
      <c r="N1717" t="s">
        <v>240</v>
      </c>
      <c r="O1717">
        <v>70591.22</v>
      </c>
      <c r="P1717">
        <v>251.21</v>
      </c>
      <c r="Q1717">
        <f>tblMoeHistory[[#This Row],[Amount of IDEA Part B, Section 611 award]]+tblMoeHistory[[#This Row],[Amount of IDEA Part B, Section 619 award]]</f>
        <v>70842.430000000008</v>
      </c>
      <c r="S1717">
        <v>42401</v>
      </c>
      <c r="T1717">
        <v>1115.82</v>
      </c>
      <c r="U17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7" t="str">
        <f>IF(OR(IFERROR(SEARCH("Met",tblMoeHistory[[#This Row],[State and Local Per Capita Result]]),0)&gt;0,IFERROR(SEARCH("Met",tblMoeHistory[[#This Row],[State and Local Total Result]]),0)&gt;0),"Met","Not Met")</f>
        <v>Met</v>
      </c>
    </row>
    <row r="1718" spans="1:22" x14ac:dyDescent="0.35">
      <c r="A1718" t="s">
        <v>163</v>
      </c>
      <c r="B1718">
        <v>2016</v>
      </c>
      <c r="C1718" t="s">
        <v>243</v>
      </c>
      <c r="D1718">
        <v>0</v>
      </c>
      <c r="E1718">
        <v>9000</v>
      </c>
      <c r="F1718">
        <v>3740</v>
      </c>
      <c r="G1718">
        <f>tblMoeHistory[[#This Row],[LEA State and Local Amount]]+tblMoeHistory[[#This Row],[ESD State and Local Amount]]</f>
        <v>12740</v>
      </c>
      <c r="H1718">
        <v>0</v>
      </c>
      <c r="I1718" t="s">
        <v>241</v>
      </c>
      <c r="J1718" s="44">
        <f>IFERROR(tblMoeHistory[[#This Row],[LEA State and Local Amount]]/tblMoeHistory[[#This Row],[Child Count]],0)</f>
        <v>0</v>
      </c>
      <c r="K1718">
        <f>IFERROR(tblMoeHistory[[#This Row],[ESD State and Local Amount]]/tblMoeHistory[[#This Row],[Child Count]],0)</f>
        <v>0</v>
      </c>
      <c r="L1718" s="1">
        <f>IFERROR(tblMoeHistory[[#This Row],[State and Local Total Amount]]/tblMoeHistory[[#This Row],[Child Count]],0)</f>
        <v>0</v>
      </c>
      <c r="M1718">
        <v>0</v>
      </c>
      <c r="N1718" t="s">
        <v>241</v>
      </c>
      <c r="O1718">
        <v>0</v>
      </c>
      <c r="P1718">
        <v>0</v>
      </c>
      <c r="Q1718">
        <f>tblMoeHistory[[#This Row],[Amount of IDEA Part B, Section 611 award]]+tblMoeHistory[[#This Row],[Amount of IDEA Part B, Section 619 award]]</f>
        <v>0</v>
      </c>
      <c r="U17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8" t="str">
        <f>IF(OR(IFERROR(SEARCH("Met",tblMoeHistory[[#This Row],[State and Local Per Capita Result]]),0)&gt;0,IFERROR(SEARCH("Met",tblMoeHistory[[#This Row],[State and Local Total Result]]),0)&gt;0),"Met","Not Met")</f>
        <v>Met</v>
      </c>
    </row>
    <row r="1719" spans="1:22" x14ac:dyDescent="0.35">
      <c r="A1719" t="s">
        <v>164</v>
      </c>
      <c r="B1719">
        <v>1897</v>
      </c>
      <c r="C1719" t="s">
        <v>243</v>
      </c>
      <c r="D1719">
        <v>29</v>
      </c>
      <c r="E1719">
        <v>229090.44</v>
      </c>
      <c r="F1719">
        <v>0</v>
      </c>
      <c r="G1719">
        <f>tblMoeHistory[[#This Row],[LEA State and Local Amount]]+tblMoeHistory[[#This Row],[ESD State and Local Amount]]</f>
        <v>229090.44</v>
      </c>
      <c r="H1719">
        <v>0</v>
      </c>
      <c r="I1719" t="s">
        <v>241</v>
      </c>
      <c r="J1719" s="44">
        <f>IFERROR(tblMoeHistory[[#This Row],[LEA State and Local Amount]]/tblMoeHistory[[#This Row],[Child Count]],0)</f>
        <v>7899.6703448275866</v>
      </c>
      <c r="K1719">
        <f>IFERROR(tblMoeHistory[[#This Row],[ESD State and Local Amount]]/tblMoeHistory[[#This Row],[Child Count]],0)</f>
        <v>0</v>
      </c>
      <c r="L1719" s="1">
        <f>IFERROR(tblMoeHistory[[#This Row],[State and Local Total Amount]]/tblMoeHistory[[#This Row],[Child Count]],0)</f>
        <v>7899.6703448275866</v>
      </c>
      <c r="M1719">
        <v>0</v>
      </c>
      <c r="N1719" t="s">
        <v>241</v>
      </c>
      <c r="O1719">
        <v>35153.129999999997</v>
      </c>
      <c r="P1719">
        <v>0</v>
      </c>
      <c r="Q1719">
        <f>tblMoeHistory[[#This Row],[Amount of IDEA Part B, Section 611 award]]+tblMoeHistory[[#This Row],[Amount of IDEA Part B, Section 619 award]]</f>
        <v>35153.129999999997</v>
      </c>
      <c r="U17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9" t="str">
        <f>IF(OR(IFERROR(SEARCH("Met",tblMoeHistory[[#This Row],[State and Local Per Capita Result]]),0)&gt;0,IFERROR(SEARCH("Met",tblMoeHistory[[#This Row],[State and Local Total Result]]),0)&gt;0),"Met","Not Met")</f>
        <v>Met</v>
      </c>
    </row>
    <row r="1720" spans="1:22" x14ac:dyDescent="0.35">
      <c r="A1720" t="s">
        <v>165</v>
      </c>
      <c r="B1720">
        <v>2047</v>
      </c>
      <c r="C1720" t="s">
        <v>243</v>
      </c>
      <c r="D1720">
        <v>6</v>
      </c>
      <c r="E1720">
        <v>13295</v>
      </c>
      <c r="F1720">
        <v>10080.370000000001</v>
      </c>
      <c r="G1720">
        <f>tblMoeHistory[[#This Row],[LEA State and Local Amount]]+tblMoeHistory[[#This Row],[ESD State and Local Amount]]</f>
        <v>23375.370000000003</v>
      </c>
      <c r="H1720">
        <v>0</v>
      </c>
      <c r="I1720" t="s">
        <v>241</v>
      </c>
      <c r="J1720" s="44">
        <f>IFERROR(tblMoeHistory[[#This Row],[LEA State and Local Amount]]/tblMoeHistory[[#This Row],[Child Count]],0)</f>
        <v>2215.8333333333335</v>
      </c>
      <c r="K1720">
        <f>IFERROR(tblMoeHistory[[#This Row],[ESD State and Local Amount]]/tblMoeHistory[[#This Row],[Child Count]],0)</f>
        <v>1680.0616666666667</v>
      </c>
      <c r="L1720" s="1">
        <f>IFERROR(tblMoeHistory[[#This Row],[State and Local Total Amount]]/tblMoeHistory[[#This Row],[Child Count]],0)</f>
        <v>3895.8950000000004</v>
      </c>
      <c r="M1720">
        <v>22610.909999999996</v>
      </c>
      <c r="N1720" t="s">
        <v>240</v>
      </c>
      <c r="O1720">
        <v>7135.88</v>
      </c>
      <c r="P1720">
        <v>1004.84</v>
      </c>
      <c r="Q1720">
        <f>tblMoeHistory[[#This Row],[Amount of IDEA Part B, Section 611 award]]+tblMoeHistory[[#This Row],[Amount of IDEA Part B, Section 619 award]]</f>
        <v>8140.72</v>
      </c>
      <c r="T1720">
        <v>0</v>
      </c>
      <c r="U17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0" t="str">
        <f>IF(OR(IFERROR(SEARCH("Met",tblMoeHistory[[#This Row],[State and Local Per Capita Result]]),0)&gt;0,IFERROR(SEARCH("Met",tblMoeHistory[[#This Row],[State and Local Total Result]]),0)&gt;0),"Met","Not Met")</f>
        <v>Met</v>
      </c>
    </row>
    <row r="1721" spans="1:22" x14ac:dyDescent="0.35">
      <c r="A1721" t="s">
        <v>166</v>
      </c>
      <c r="B1721">
        <v>2081</v>
      </c>
      <c r="C1721" t="s">
        <v>243</v>
      </c>
      <c r="D1721">
        <v>145</v>
      </c>
      <c r="E1721">
        <v>1071022.0800000001</v>
      </c>
      <c r="F1721">
        <v>369654</v>
      </c>
      <c r="G1721">
        <f>tblMoeHistory[[#This Row],[LEA State and Local Amount]]+tblMoeHistory[[#This Row],[ESD State and Local Amount]]</f>
        <v>1440676.08</v>
      </c>
      <c r="H1721">
        <v>0</v>
      </c>
      <c r="I1721" t="s">
        <v>241</v>
      </c>
      <c r="J1721" s="44">
        <f>IFERROR(tblMoeHistory[[#This Row],[LEA State and Local Amount]]/tblMoeHistory[[#This Row],[Child Count]],0)</f>
        <v>7386.3591724137932</v>
      </c>
      <c r="K1721">
        <f>IFERROR(tblMoeHistory[[#This Row],[ESD State and Local Amount]]/tblMoeHistory[[#This Row],[Child Count]],0)</f>
        <v>2549.3379310344826</v>
      </c>
      <c r="L1721" s="1">
        <f>IFERROR(tblMoeHistory[[#This Row],[State and Local Total Amount]]/tblMoeHistory[[#This Row],[Child Count]],0)</f>
        <v>9935.6971034482758</v>
      </c>
      <c r="M1721">
        <v>276966.16086538357</v>
      </c>
      <c r="N1721" t="s">
        <v>240</v>
      </c>
      <c r="O1721">
        <v>194208.15</v>
      </c>
      <c r="P1721">
        <v>1722.58</v>
      </c>
      <c r="Q1721">
        <f>tblMoeHistory[[#This Row],[Amount of IDEA Part B, Section 611 award]]+tblMoeHistory[[#This Row],[Amount of IDEA Part B, Section 619 award]]</f>
        <v>195930.72999999998</v>
      </c>
      <c r="T1721">
        <v>515.01</v>
      </c>
      <c r="U17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1" t="str">
        <f>IF(OR(IFERROR(SEARCH("Met",tblMoeHistory[[#This Row],[State and Local Per Capita Result]]),0)&gt;0,IFERROR(SEARCH("Met",tblMoeHistory[[#This Row],[State and Local Total Result]]),0)&gt;0),"Met","Not Met")</f>
        <v>Met</v>
      </c>
    </row>
    <row r="1722" spans="1:22" x14ac:dyDescent="0.35">
      <c r="A1722" t="s">
        <v>167</v>
      </c>
      <c r="B1722">
        <v>2062</v>
      </c>
      <c r="C1722" t="s">
        <v>243</v>
      </c>
      <c r="D1722">
        <v>5</v>
      </c>
      <c r="E1722">
        <v>0</v>
      </c>
      <c r="F1722">
        <v>21835.13</v>
      </c>
      <c r="G1722">
        <f>tblMoeHistory[[#This Row],[LEA State and Local Amount]]+tblMoeHistory[[#This Row],[ESD State and Local Amount]]</f>
        <v>21835.13</v>
      </c>
      <c r="H1722">
        <v>0</v>
      </c>
      <c r="I1722" t="s">
        <v>241</v>
      </c>
      <c r="J1722" s="44">
        <f>IFERROR(tblMoeHistory[[#This Row],[LEA State and Local Amount]]/tblMoeHistory[[#This Row],[Child Count]],0)</f>
        <v>0</v>
      </c>
      <c r="K1722">
        <f>IFERROR(tblMoeHistory[[#This Row],[ESD State and Local Amount]]/tblMoeHistory[[#This Row],[Child Count]],0)</f>
        <v>4367.0259999999998</v>
      </c>
      <c r="L1722" s="1">
        <f>IFERROR(tblMoeHistory[[#This Row],[State and Local Total Amount]]/tblMoeHistory[[#This Row],[Child Count]],0)</f>
        <v>4367.0259999999998</v>
      </c>
      <c r="M1722">
        <v>0</v>
      </c>
      <c r="N1722" t="s">
        <v>241</v>
      </c>
      <c r="O1722">
        <v>2446.34</v>
      </c>
      <c r="P1722">
        <v>0</v>
      </c>
      <c r="Q1722">
        <f>tblMoeHistory[[#This Row],[Amount of IDEA Part B, Section 611 award]]+tblMoeHistory[[#This Row],[Amount of IDEA Part B, Section 619 award]]</f>
        <v>2446.34</v>
      </c>
      <c r="U17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2" t="str">
        <f>IF(OR(IFERROR(SEARCH("Met",tblMoeHistory[[#This Row],[State and Local Per Capita Result]]),0)&gt;0,IFERROR(SEARCH("Met",tblMoeHistory[[#This Row],[State and Local Total Result]]),0)&gt;0),"Met","Not Met")</f>
        <v>Met</v>
      </c>
    </row>
    <row r="1723" spans="1:22" x14ac:dyDescent="0.35">
      <c r="A1723" t="s">
        <v>168</v>
      </c>
      <c r="B1723">
        <v>1973</v>
      </c>
      <c r="C1723" t="s">
        <v>243</v>
      </c>
      <c r="D1723">
        <v>19</v>
      </c>
      <c r="E1723">
        <v>187523</v>
      </c>
      <c r="F1723">
        <v>127617.24</v>
      </c>
      <c r="G1723">
        <f>tblMoeHistory[[#This Row],[LEA State and Local Amount]]+tblMoeHistory[[#This Row],[ESD State and Local Amount]]</f>
        <v>315140.24</v>
      </c>
      <c r="H1723">
        <v>0</v>
      </c>
      <c r="I1723" t="s">
        <v>241</v>
      </c>
      <c r="J1723" s="44">
        <f>IFERROR(tblMoeHistory[[#This Row],[LEA State and Local Amount]]/tblMoeHistory[[#This Row],[Child Count]],0)</f>
        <v>9869.6315789473683</v>
      </c>
      <c r="K1723">
        <f>IFERROR(tblMoeHistory[[#This Row],[ESD State and Local Amount]]/tblMoeHistory[[#This Row],[Child Count]],0)</f>
        <v>6716.6968421052634</v>
      </c>
      <c r="L1723" s="1">
        <f>IFERROR(tblMoeHistory[[#This Row],[State and Local Total Amount]]/tblMoeHistory[[#This Row],[Child Count]],0)</f>
        <v>16586.328421052633</v>
      </c>
      <c r="M1723">
        <v>0</v>
      </c>
      <c r="N1723" t="s">
        <v>241</v>
      </c>
      <c r="O1723">
        <v>73212.639999999999</v>
      </c>
      <c r="P1723">
        <v>1256.04</v>
      </c>
      <c r="Q1723">
        <f>tblMoeHistory[[#This Row],[Amount of IDEA Part B, Section 611 award]]+tblMoeHistory[[#This Row],[Amount of IDEA Part B, Section 619 award]]</f>
        <v>74468.679999999993</v>
      </c>
      <c r="U17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3" t="str">
        <f>IF(OR(IFERROR(SEARCH("Met",tblMoeHistory[[#This Row],[State and Local Per Capita Result]]),0)&gt;0,IFERROR(SEARCH("Met",tblMoeHistory[[#This Row],[State and Local Total Result]]),0)&gt;0),"Met","Not Met")</f>
        <v>Met</v>
      </c>
    </row>
    <row r="1724" spans="1:22" x14ac:dyDescent="0.35">
      <c r="A1724" t="s">
        <v>169</v>
      </c>
      <c r="B1724">
        <v>2180</v>
      </c>
      <c r="C1724" t="s">
        <v>243</v>
      </c>
      <c r="D1724">
        <v>7241</v>
      </c>
      <c r="E1724">
        <v>94656752.879999995</v>
      </c>
      <c r="F1724">
        <v>1485897.77</v>
      </c>
      <c r="G1724">
        <f>tblMoeHistory[[#This Row],[LEA State and Local Amount]]+tblMoeHistory[[#This Row],[ESD State and Local Amount]]</f>
        <v>96142650.649999991</v>
      </c>
      <c r="H1724">
        <v>0</v>
      </c>
      <c r="I1724" t="s">
        <v>241</v>
      </c>
      <c r="J1724" s="44">
        <f>IFERROR(tblMoeHistory[[#This Row],[LEA State and Local Amount]]/tblMoeHistory[[#This Row],[Child Count]],0)</f>
        <v>13072.331567463058</v>
      </c>
      <c r="K1724">
        <f>IFERROR(tblMoeHistory[[#This Row],[ESD State and Local Amount]]/tblMoeHistory[[#This Row],[Child Count]],0)</f>
        <v>205.20615522717856</v>
      </c>
      <c r="L1724" s="1">
        <f>IFERROR(tblMoeHistory[[#This Row],[State and Local Total Amount]]/tblMoeHistory[[#This Row],[Child Count]],0)</f>
        <v>13277.537722690235</v>
      </c>
      <c r="M1724">
        <v>0</v>
      </c>
      <c r="N1724" t="s">
        <v>241</v>
      </c>
      <c r="O1724">
        <v>8100852.1100000003</v>
      </c>
      <c r="P1724">
        <v>85494.12</v>
      </c>
      <c r="Q1724">
        <f>tblMoeHistory[[#This Row],[Amount of IDEA Part B, Section 611 award]]+tblMoeHistory[[#This Row],[Amount of IDEA Part B, Section 619 award]]</f>
        <v>8186346.2300000004</v>
      </c>
      <c r="U17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4" t="str">
        <f>IF(OR(IFERROR(SEARCH("Met",tblMoeHistory[[#This Row],[State and Local Per Capita Result]]),0)&gt;0,IFERROR(SEARCH("Met",tblMoeHistory[[#This Row],[State and Local Total Result]]),0)&gt;0),"Met","Not Met")</f>
        <v>Met</v>
      </c>
    </row>
    <row r="1725" spans="1:22" x14ac:dyDescent="0.35">
      <c r="A1725" t="s">
        <v>170</v>
      </c>
      <c r="B1725">
        <v>1967</v>
      </c>
      <c r="C1725" t="s">
        <v>243</v>
      </c>
      <c r="D1725">
        <v>16</v>
      </c>
      <c r="E1725">
        <v>58475.44</v>
      </c>
      <c r="F1725">
        <v>30288.720000000001</v>
      </c>
      <c r="G1725">
        <f>tblMoeHistory[[#This Row],[LEA State and Local Amount]]+tblMoeHistory[[#This Row],[ESD State and Local Amount]]</f>
        <v>88764.160000000003</v>
      </c>
      <c r="H1725">
        <v>0</v>
      </c>
      <c r="I1725" t="s">
        <v>242</v>
      </c>
      <c r="J1725" s="44">
        <f>IFERROR(tblMoeHistory[[#This Row],[LEA State and Local Amount]]/tblMoeHistory[[#This Row],[Child Count]],0)</f>
        <v>3654.7150000000001</v>
      </c>
      <c r="K1725">
        <f>IFERROR(tblMoeHistory[[#This Row],[ESD State and Local Amount]]/tblMoeHistory[[#This Row],[Child Count]],0)</f>
        <v>1893.0450000000001</v>
      </c>
      <c r="L1725" s="1">
        <f>IFERROR(tblMoeHistory[[#This Row],[State and Local Total Amount]]/tblMoeHistory[[#This Row],[Child Count]],0)</f>
        <v>5547.76</v>
      </c>
      <c r="M1725">
        <v>3932.9599999999955</v>
      </c>
      <c r="N1725" t="s">
        <v>240</v>
      </c>
      <c r="O1725">
        <v>32548.6</v>
      </c>
      <c r="P1725">
        <v>0</v>
      </c>
      <c r="Q1725">
        <f>tblMoeHistory[[#This Row],[Amount of IDEA Part B, Section 611 award]]+tblMoeHistory[[#This Row],[Amount of IDEA Part B, Section 619 award]]</f>
        <v>32548.6</v>
      </c>
      <c r="S1725">
        <v>23912.71</v>
      </c>
      <c r="T1725">
        <v>1708.05</v>
      </c>
      <c r="U17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5" t="str">
        <f>IF(OR(IFERROR(SEARCH("Met",tblMoeHistory[[#This Row],[State and Local Per Capita Result]]),0)&gt;0,IFERROR(SEARCH("Met",tblMoeHistory[[#This Row],[State and Local Total Result]]),0)&gt;0),"Met","Not Met")</f>
        <v>Met</v>
      </c>
    </row>
    <row r="1726" spans="1:22" x14ac:dyDescent="0.35">
      <c r="A1726" t="s">
        <v>171</v>
      </c>
      <c r="B1726">
        <v>2009</v>
      </c>
      <c r="C1726" t="s">
        <v>243</v>
      </c>
      <c r="D1726">
        <v>20</v>
      </c>
      <c r="E1726">
        <v>192338.68</v>
      </c>
      <c r="F1726">
        <v>52580.88</v>
      </c>
      <c r="G1726">
        <f>tblMoeHistory[[#This Row],[LEA State and Local Amount]]+tblMoeHistory[[#This Row],[ESD State and Local Amount]]</f>
        <v>244919.56</v>
      </c>
      <c r="H1726">
        <v>0</v>
      </c>
      <c r="I1726" t="s">
        <v>242</v>
      </c>
      <c r="J1726" s="44">
        <f>IFERROR(tblMoeHistory[[#This Row],[LEA State and Local Amount]]/tblMoeHistory[[#This Row],[Child Count]],0)</f>
        <v>9616.9339999999993</v>
      </c>
      <c r="K1726">
        <f>IFERROR(tblMoeHistory[[#This Row],[ESD State and Local Amount]]/tblMoeHistory[[#This Row],[Child Count]],0)</f>
        <v>2629.0439999999999</v>
      </c>
      <c r="L1726" s="1">
        <f>IFERROR(tblMoeHistory[[#This Row],[State and Local Total Amount]]/tblMoeHistory[[#This Row],[Child Count]],0)</f>
        <v>12245.977999999999</v>
      </c>
      <c r="M1726">
        <v>0</v>
      </c>
      <c r="N1726" t="s">
        <v>242</v>
      </c>
      <c r="O1726">
        <v>33652.17</v>
      </c>
      <c r="P1726">
        <v>1004.84</v>
      </c>
      <c r="Q1726">
        <f>tblMoeHistory[[#This Row],[Amount of IDEA Part B, Section 611 award]]+tblMoeHistory[[#This Row],[Amount of IDEA Part B, Section 619 award]]</f>
        <v>34657.009999999995</v>
      </c>
      <c r="S1726">
        <v>48551.95</v>
      </c>
      <c r="T1726">
        <v>2697.33</v>
      </c>
      <c r="U17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6" t="str">
        <f>IF(OR(IFERROR(SEARCH("Met",tblMoeHistory[[#This Row],[State and Local Per Capita Result]]),0)&gt;0,IFERROR(SEARCH("Met",tblMoeHistory[[#This Row],[State and Local Total Result]]),0)&gt;0),"Met","Not Met")</f>
        <v>Met</v>
      </c>
    </row>
    <row r="1727" spans="1:22" x14ac:dyDescent="0.35">
      <c r="A1727" t="s">
        <v>172</v>
      </c>
      <c r="B1727">
        <v>2045</v>
      </c>
      <c r="C1727" t="s">
        <v>243</v>
      </c>
      <c r="D1727">
        <v>23</v>
      </c>
      <c r="E1727">
        <v>146255.04000000001</v>
      </c>
      <c r="F1727">
        <v>90023.83</v>
      </c>
      <c r="G1727">
        <f>tblMoeHistory[[#This Row],[LEA State and Local Amount]]+tblMoeHistory[[#This Row],[ESD State and Local Amount]]</f>
        <v>236278.87</v>
      </c>
      <c r="H1727">
        <v>0</v>
      </c>
      <c r="I1727" t="s">
        <v>242</v>
      </c>
      <c r="J1727" s="44">
        <f>IFERROR(tblMoeHistory[[#This Row],[LEA State and Local Amount]]/tblMoeHistory[[#This Row],[Child Count]],0)</f>
        <v>6358.9147826086964</v>
      </c>
      <c r="K1727">
        <f>IFERROR(tblMoeHistory[[#This Row],[ESD State and Local Amount]]/tblMoeHistory[[#This Row],[Child Count]],0)</f>
        <v>3914.0795652173915</v>
      </c>
      <c r="L1727" s="1">
        <f>IFERROR(tblMoeHistory[[#This Row],[State and Local Total Amount]]/tblMoeHistory[[#This Row],[Child Count]],0)</f>
        <v>10272.994347826087</v>
      </c>
      <c r="M1727">
        <v>11981.722008113258</v>
      </c>
      <c r="N1727" t="s">
        <v>240</v>
      </c>
      <c r="O1727">
        <v>34372.99</v>
      </c>
      <c r="P1727">
        <v>1004.84</v>
      </c>
      <c r="Q1727">
        <f>tblMoeHistory[[#This Row],[Amount of IDEA Part B, Section 611 award]]+tblMoeHistory[[#This Row],[Amount of IDEA Part B, Section 619 award]]</f>
        <v>35377.829999999994</v>
      </c>
      <c r="S1727">
        <v>61818.97</v>
      </c>
      <c r="T1727">
        <v>3636.41</v>
      </c>
      <c r="U17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7" t="str">
        <f>IF(OR(IFERROR(SEARCH("Met",tblMoeHistory[[#This Row],[State and Local Per Capita Result]]),0)&gt;0,IFERROR(SEARCH("Met",tblMoeHistory[[#This Row],[State and Local Total Result]]),0)&gt;0),"Met","Not Met")</f>
        <v>Met</v>
      </c>
    </row>
    <row r="1728" spans="1:22" x14ac:dyDescent="0.35">
      <c r="A1728" t="s">
        <v>173</v>
      </c>
      <c r="B1728">
        <v>1946</v>
      </c>
      <c r="C1728" t="s">
        <v>243</v>
      </c>
      <c r="D1728">
        <v>123</v>
      </c>
      <c r="E1728">
        <v>1507423.85</v>
      </c>
      <c r="F1728">
        <v>135429</v>
      </c>
      <c r="G1728">
        <f>tblMoeHistory[[#This Row],[LEA State and Local Amount]]+tblMoeHistory[[#This Row],[ESD State and Local Amount]]</f>
        <v>1642852.85</v>
      </c>
      <c r="H1728">
        <v>0</v>
      </c>
      <c r="I1728" t="s">
        <v>240</v>
      </c>
      <c r="J1728" s="44">
        <f>IFERROR(tblMoeHistory[[#This Row],[LEA State and Local Amount]]/tblMoeHistory[[#This Row],[Child Count]],0)</f>
        <v>12255.478455284554</v>
      </c>
      <c r="K1728">
        <f>IFERROR(tblMoeHistory[[#This Row],[ESD State and Local Amount]]/tblMoeHistory[[#This Row],[Child Count]],0)</f>
        <v>1101.0487804878048</v>
      </c>
      <c r="L1728" s="1">
        <f>IFERROR(tblMoeHistory[[#This Row],[State and Local Total Amount]]/tblMoeHistory[[#This Row],[Child Count]],0)</f>
        <v>13356.527235772359</v>
      </c>
      <c r="M1728">
        <v>100382.94894736529</v>
      </c>
      <c r="N1728" t="s">
        <v>240</v>
      </c>
      <c r="O1728">
        <v>203936.94</v>
      </c>
      <c r="P1728">
        <v>1477.7</v>
      </c>
      <c r="Q1728">
        <f>tblMoeHistory[[#This Row],[Amount of IDEA Part B, Section 611 award]]+tblMoeHistory[[#This Row],[Amount of IDEA Part B, Section 619 award]]</f>
        <v>205414.64</v>
      </c>
      <c r="S1728">
        <v>0</v>
      </c>
      <c r="T1728">
        <v>0</v>
      </c>
      <c r="U17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8" t="str">
        <f>IF(OR(IFERROR(SEARCH("Met",tblMoeHistory[[#This Row],[State and Local Per Capita Result]]),0)&gt;0,IFERROR(SEARCH("Met",tblMoeHistory[[#This Row],[State and Local Total Result]]),0)&gt;0),"Met","Not Met")</f>
        <v>Not Met</v>
      </c>
    </row>
    <row r="1729" spans="1:22" x14ac:dyDescent="0.35">
      <c r="A1729" t="s">
        <v>174</v>
      </c>
      <c r="B1729">
        <v>1977</v>
      </c>
      <c r="C1729" t="s">
        <v>243</v>
      </c>
      <c r="D1729">
        <v>981</v>
      </c>
      <c r="E1729">
        <v>10890241.98</v>
      </c>
      <c r="F1729">
        <v>1101409.03</v>
      </c>
      <c r="G1729">
        <f>tblMoeHistory[[#This Row],[LEA State and Local Amount]]+tblMoeHistory[[#This Row],[ESD State and Local Amount]]</f>
        <v>11991651.01</v>
      </c>
      <c r="H1729">
        <v>0</v>
      </c>
      <c r="I1729" t="s">
        <v>241</v>
      </c>
      <c r="J1729" s="44">
        <f>IFERROR(tblMoeHistory[[#This Row],[LEA State and Local Amount]]/tblMoeHistory[[#This Row],[Child Count]],0)</f>
        <v>11101.164097859328</v>
      </c>
      <c r="K1729">
        <f>IFERROR(tblMoeHistory[[#This Row],[ESD State and Local Amount]]/tblMoeHistory[[#This Row],[Child Count]],0)</f>
        <v>1122.7411111111112</v>
      </c>
      <c r="L1729" s="1">
        <f>IFERROR(tblMoeHistory[[#This Row],[State and Local Total Amount]]/tblMoeHistory[[#This Row],[Child Count]],0)</f>
        <v>12223.905208970438</v>
      </c>
      <c r="M1729">
        <v>0</v>
      </c>
      <c r="N1729" t="s">
        <v>241</v>
      </c>
      <c r="O1729">
        <v>1082040.02</v>
      </c>
      <c r="P1729">
        <v>4806.47</v>
      </c>
      <c r="Q1729">
        <f>tblMoeHistory[[#This Row],[Amount of IDEA Part B, Section 611 award]]+tblMoeHistory[[#This Row],[Amount of IDEA Part B, Section 619 award]]</f>
        <v>1086846.49</v>
      </c>
      <c r="U17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9" t="str">
        <f>IF(OR(IFERROR(SEARCH("Met",tblMoeHistory[[#This Row],[State and Local Per Capita Result]]),0)&gt;0,IFERROR(SEARCH("Met",tblMoeHistory[[#This Row],[State and Local Total Result]]),0)&gt;0),"Met","Not Met")</f>
        <v>Met</v>
      </c>
    </row>
    <row r="1730" spans="1:22" x14ac:dyDescent="0.35">
      <c r="A1730" t="s">
        <v>175</v>
      </c>
      <c r="B1730">
        <v>2001</v>
      </c>
      <c r="C1730" t="s">
        <v>243</v>
      </c>
      <c r="D1730">
        <v>120</v>
      </c>
      <c r="E1730">
        <v>1406789.13</v>
      </c>
      <c r="F1730">
        <v>231331.83</v>
      </c>
      <c r="G1730">
        <f>tblMoeHistory[[#This Row],[LEA State and Local Amount]]+tblMoeHistory[[#This Row],[ESD State and Local Amount]]</f>
        <v>1638120.96</v>
      </c>
      <c r="H1730">
        <v>0</v>
      </c>
      <c r="I1730" t="s">
        <v>241</v>
      </c>
      <c r="J1730" s="44">
        <f>IFERROR(tblMoeHistory[[#This Row],[LEA State and Local Amount]]/tblMoeHistory[[#This Row],[Child Count]],0)</f>
        <v>11723.242749999999</v>
      </c>
      <c r="K1730">
        <f>IFERROR(tblMoeHistory[[#This Row],[ESD State and Local Amount]]/tblMoeHistory[[#This Row],[Child Count]],0)</f>
        <v>1927.7652499999999</v>
      </c>
      <c r="L1730" s="1">
        <f>IFERROR(tblMoeHistory[[#This Row],[State and Local Total Amount]]/tblMoeHistory[[#This Row],[Child Count]],0)</f>
        <v>13651.008</v>
      </c>
      <c r="M1730">
        <v>3857.9686956480145</v>
      </c>
      <c r="N1730" t="s">
        <v>240</v>
      </c>
      <c r="O1730">
        <v>143738.67000000001</v>
      </c>
      <c r="P1730">
        <v>3977.48</v>
      </c>
      <c r="Q1730">
        <f>tblMoeHistory[[#This Row],[Amount of IDEA Part B, Section 611 award]]+tblMoeHistory[[#This Row],[Amount of IDEA Part B, Section 619 award]]</f>
        <v>147716.15000000002</v>
      </c>
      <c r="T1730">
        <v>0</v>
      </c>
      <c r="U17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0" t="str">
        <f>IF(OR(IFERROR(SEARCH("Met",tblMoeHistory[[#This Row],[State and Local Per Capita Result]]),0)&gt;0,IFERROR(SEARCH("Met",tblMoeHistory[[#This Row],[State and Local Total Result]]),0)&gt;0),"Met","Not Met")</f>
        <v>Met</v>
      </c>
    </row>
    <row r="1731" spans="1:22" x14ac:dyDescent="0.35">
      <c r="A1731" t="s">
        <v>176</v>
      </c>
      <c r="B1731">
        <v>2182</v>
      </c>
      <c r="C1731" t="s">
        <v>243</v>
      </c>
      <c r="D1731">
        <v>1764</v>
      </c>
      <c r="E1731">
        <v>20349908.170000002</v>
      </c>
      <c r="F1731">
        <v>3185901.57</v>
      </c>
      <c r="G1731">
        <f>tblMoeHistory[[#This Row],[LEA State and Local Amount]]+tblMoeHistory[[#This Row],[ESD State and Local Amount]]</f>
        <v>23535809.740000002</v>
      </c>
      <c r="H1731">
        <v>0</v>
      </c>
      <c r="I1731" t="s">
        <v>241</v>
      </c>
      <c r="J1731" s="44">
        <f>IFERROR(tblMoeHistory[[#This Row],[LEA State and Local Amount]]/tblMoeHistory[[#This Row],[Child Count]],0)</f>
        <v>11536.229121315193</v>
      </c>
      <c r="K1731">
        <f>IFERROR(tblMoeHistory[[#This Row],[ESD State and Local Amount]]/tblMoeHistory[[#This Row],[Child Count]],0)</f>
        <v>1806.0666496598637</v>
      </c>
      <c r="L1731" s="1">
        <f>IFERROR(tblMoeHistory[[#This Row],[State and Local Total Amount]]/tblMoeHistory[[#This Row],[Child Count]],0)</f>
        <v>13342.295770975057</v>
      </c>
      <c r="M1731">
        <v>0</v>
      </c>
      <c r="N1731" t="s">
        <v>241</v>
      </c>
      <c r="O1731">
        <v>1726613.87</v>
      </c>
      <c r="P1731">
        <v>11162.42</v>
      </c>
      <c r="Q1731">
        <f>tblMoeHistory[[#This Row],[Amount of IDEA Part B, Section 611 award]]+tblMoeHistory[[#This Row],[Amount of IDEA Part B, Section 619 award]]</f>
        <v>1737776.29</v>
      </c>
      <c r="U17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1" t="str">
        <f>IF(OR(IFERROR(SEARCH("Met",tblMoeHistory[[#This Row],[State and Local Per Capita Result]]),0)&gt;0,IFERROR(SEARCH("Met",tblMoeHistory[[#This Row],[State and Local Total Result]]),0)&gt;0),"Met","Not Met")</f>
        <v>Met</v>
      </c>
    </row>
    <row r="1732" spans="1:22" x14ac:dyDescent="0.35">
      <c r="A1732" t="s">
        <v>177</v>
      </c>
      <c r="B1732">
        <v>1999</v>
      </c>
      <c r="C1732" t="s">
        <v>243</v>
      </c>
      <c r="D1732">
        <v>61</v>
      </c>
      <c r="E1732">
        <v>400709.32</v>
      </c>
      <c r="F1732">
        <v>101590.08</v>
      </c>
      <c r="G1732">
        <f>tblMoeHistory[[#This Row],[LEA State and Local Amount]]+tblMoeHistory[[#This Row],[ESD State and Local Amount]]</f>
        <v>502299.4</v>
      </c>
      <c r="H1732">
        <v>52743.37876923076</v>
      </c>
      <c r="I1732" t="s">
        <v>240</v>
      </c>
      <c r="J1732" s="44">
        <f>IFERROR(tblMoeHistory[[#This Row],[LEA State and Local Amount]]/tblMoeHistory[[#This Row],[Child Count]],0)</f>
        <v>6569.0052459016397</v>
      </c>
      <c r="K1732">
        <f>IFERROR(tblMoeHistory[[#This Row],[ESD State and Local Amount]]/tblMoeHistory[[#This Row],[Child Count]],0)</f>
        <v>1665.4111475409836</v>
      </c>
      <c r="L1732" s="1">
        <f>IFERROR(tblMoeHistory[[#This Row],[State and Local Total Amount]]/tblMoeHistory[[#This Row],[Child Count]],0)</f>
        <v>8234.4163934426233</v>
      </c>
      <c r="M1732">
        <v>43791.075885855913</v>
      </c>
      <c r="N1732" t="s">
        <v>240</v>
      </c>
      <c r="O1732">
        <v>68678.67</v>
      </c>
      <c r="P1732">
        <v>111.65</v>
      </c>
      <c r="Q1732">
        <f>tblMoeHistory[[#This Row],[Amount of IDEA Part B, Section 611 award]]+tblMoeHistory[[#This Row],[Amount of IDEA Part B, Section 619 award]]</f>
        <v>68790.319999999992</v>
      </c>
      <c r="S1732">
        <v>33823.08</v>
      </c>
      <c r="T1732">
        <v>545.53</v>
      </c>
      <c r="U17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43791.075885855913</v>
      </c>
      <c r="V1732" t="str">
        <f>IF(OR(IFERROR(SEARCH("Met",tblMoeHistory[[#This Row],[State and Local Per Capita Result]]),0)&gt;0,IFERROR(SEARCH("Met",tblMoeHistory[[#This Row],[State and Local Total Result]]),0)&gt;0),"Met","Not Met")</f>
        <v>Not Met</v>
      </c>
    </row>
    <row r="1733" spans="1:22" x14ac:dyDescent="0.35">
      <c r="A1733" t="s">
        <v>178</v>
      </c>
      <c r="B1733">
        <v>2188</v>
      </c>
      <c r="C1733" t="s">
        <v>243</v>
      </c>
      <c r="D1733">
        <v>55</v>
      </c>
      <c r="E1733">
        <v>469045</v>
      </c>
      <c r="F1733">
        <v>280438.28999999998</v>
      </c>
      <c r="G1733">
        <f>tblMoeHistory[[#This Row],[LEA State and Local Amount]]+tblMoeHistory[[#This Row],[ESD State and Local Amount]]</f>
        <v>749483.29</v>
      </c>
      <c r="H1733">
        <v>0</v>
      </c>
      <c r="I1733" t="s">
        <v>241</v>
      </c>
      <c r="J1733" s="44">
        <f>IFERROR(tblMoeHistory[[#This Row],[LEA State and Local Amount]]/tblMoeHistory[[#This Row],[Child Count]],0)</f>
        <v>8528.0909090909099</v>
      </c>
      <c r="K1733">
        <f>IFERROR(tblMoeHistory[[#This Row],[ESD State and Local Amount]]/tblMoeHistory[[#This Row],[Child Count]],0)</f>
        <v>5098.8779999999997</v>
      </c>
      <c r="L1733" s="1">
        <f>IFERROR(tblMoeHistory[[#This Row],[State and Local Total Amount]]/tblMoeHistory[[#This Row],[Child Count]],0)</f>
        <v>13626.968909090911</v>
      </c>
      <c r="M1733">
        <v>0</v>
      </c>
      <c r="N1733" t="s">
        <v>241</v>
      </c>
      <c r="O1733">
        <v>82140.81</v>
      </c>
      <c r="P1733">
        <v>334.95</v>
      </c>
      <c r="Q1733">
        <f>tblMoeHistory[[#This Row],[Amount of IDEA Part B, Section 611 award]]+tblMoeHistory[[#This Row],[Amount of IDEA Part B, Section 619 award]]</f>
        <v>82475.759999999995</v>
      </c>
      <c r="U17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3" t="str">
        <f>IF(OR(IFERROR(SEARCH("Met",tblMoeHistory[[#This Row],[State and Local Per Capita Result]]),0)&gt;0,IFERROR(SEARCH("Met",tblMoeHistory[[#This Row],[State and Local Total Result]]),0)&gt;0),"Met","Not Met")</f>
        <v>Met</v>
      </c>
    </row>
    <row r="1734" spans="1:22" x14ac:dyDescent="0.35">
      <c r="A1734" t="s">
        <v>179</v>
      </c>
      <c r="B1734">
        <v>2044</v>
      </c>
      <c r="C1734" t="s">
        <v>243</v>
      </c>
      <c r="D1734">
        <v>170</v>
      </c>
      <c r="E1734">
        <v>1262937.6399999999</v>
      </c>
      <c r="F1734">
        <v>475063.02</v>
      </c>
      <c r="G1734">
        <f>tblMoeHistory[[#This Row],[LEA State and Local Amount]]+tblMoeHistory[[#This Row],[ESD State and Local Amount]]</f>
        <v>1738000.66</v>
      </c>
      <c r="H1734">
        <v>0</v>
      </c>
      <c r="I1734" t="s">
        <v>241</v>
      </c>
      <c r="J1734" s="44">
        <f>IFERROR(tblMoeHistory[[#This Row],[LEA State and Local Amount]]/tblMoeHistory[[#This Row],[Child Count]],0)</f>
        <v>7429.0449411764703</v>
      </c>
      <c r="K1734">
        <f>IFERROR(tblMoeHistory[[#This Row],[ESD State and Local Amount]]/tblMoeHistory[[#This Row],[Child Count]],0)</f>
        <v>2794.4883529411768</v>
      </c>
      <c r="L1734" s="1">
        <f>IFERROR(tblMoeHistory[[#This Row],[State and Local Total Amount]]/tblMoeHistory[[#This Row],[Child Count]],0)</f>
        <v>10223.533294117646</v>
      </c>
      <c r="M1734">
        <v>0</v>
      </c>
      <c r="N1734" t="s">
        <v>241</v>
      </c>
      <c r="O1734">
        <v>178252.18</v>
      </c>
      <c r="P1734">
        <v>893.19</v>
      </c>
      <c r="Q1734">
        <f>tblMoeHistory[[#This Row],[Amount of IDEA Part B, Section 611 award]]+tblMoeHistory[[#This Row],[Amount of IDEA Part B, Section 619 award]]</f>
        <v>179145.37</v>
      </c>
      <c r="U17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4" t="str">
        <f>IF(OR(IFERROR(SEARCH("Met",tblMoeHistory[[#This Row],[State and Local Per Capita Result]]),0)&gt;0,IFERROR(SEARCH("Met",tblMoeHistory[[#This Row],[State and Local Total Result]]),0)&gt;0),"Met","Not Met")</f>
        <v>Met</v>
      </c>
    </row>
    <row r="1735" spans="1:22" x14ac:dyDescent="0.35">
      <c r="A1735" t="s">
        <v>180</v>
      </c>
      <c r="B1735">
        <v>2142</v>
      </c>
      <c r="C1735" t="s">
        <v>243</v>
      </c>
      <c r="D1735">
        <v>6672</v>
      </c>
      <c r="E1735">
        <v>86026560.930000007</v>
      </c>
      <c r="F1735">
        <v>0</v>
      </c>
      <c r="G1735">
        <f>tblMoeHistory[[#This Row],[LEA State and Local Amount]]+tblMoeHistory[[#This Row],[ESD State and Local Amount]]</f>
        <v>86026560.930000007</v>
      </c>
      <c r="H1735">
        <v>0</v>
      </c>
      <c r="I1735" t="s">
        <v>241</v>
      </c>
      <c r="J1735" s="44">
        <f>IFERROR(tblMoeHistory[[#This Row],[LEA State and Local Amount]]/tblMoeHistory[[#This Row],[Child Count]],0)</f>
        <v>12893.669204136691</v>
      </c>
      <c r="K1735">
        <f>IFERROR(tblMoeHistory[[#This Row],[ESD State and Local Amount]]/tblMoeHistory[[#This Row],[Child Count]],0)</f>
        <v>0</v>
      </c>
      <c r="L1735" s="1">
        <f>IFERROR(tblMoeHistory[[#This Row],[State and Local Total Amount]]/tblMoeHistory[[#This Row],[Child Count]],0)</f>
        <v>12893.669204136691</v>
      </c>
      <c r="M1735">
        <v>0</v>
      </c>
      <c r="N1735" t="s">
        <v>241</v>
      </c>
      <c r="O1735">
        <v>7386821.3899999997</v>
      </c>
      <c r="P1735">
        <v>44373.58</v>
      </c>
      <c r="Q1735">
        <f>tblMoeHistory[[#This Row],[Amount of IDEA Part B, Section 611 award]]+tblMoeHistory[[#This Row],[Amount of IDEA Part B, Section 619 award]]</f>
        <v>7431194.9699999997</v>
      </c>
      <c r="U17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5" t="str">
        <f>IF(OR(IFERROR(SEARCH("Met",tblMoeHistory[[#This Row],[State and Local Per Capita Result]]),0)&gt;0,IFERROR(SEARCH("Met",tblMoeHistory[[#This Row],[State and Local Total Result]]),0)&gt;0),"Met","Not Met")</f>
        <v>Met</v>
      </c>
    </row>
    <row r="1736" spans="1:22" x14ac:dyDescent="0.35">
      <c r="A1736" t="s">
        <v>181</v>
      </c>
      <c r="B1736">
        <v>2104</v>
      </c>
      <c r="C1736" t="s">
        <v>243</v>
      </c>
      <c r="D1736">
        <v>735</v>
      </c>
      <c r="E1736">
        <v>4102887</v>
      </c>
      <c r="F1736">
        <v>912264</v>
      </c>
      <c r="G1736">
        <f>tblMoeHistory[[#This Row],[LEA State and Local Amount]]+tblMoeHistory[[#This Row],[ESD State and Local Amount]]</f>
        <v>5015151</v>
      </c>
      <c r="H1736">
        <v>0</v>
      </c>
      <c r="I1736" t="s">
        <v>241</v>
      </c>
      <c r="J1736" s="44">
        <f>IFERROR(tblMoeHistory[[#This Row],[LEA State and Local Amount]]/tblMoeHistory[[#This Row],[Child Count]],0)</f>
        <v>5582.1591836734697</v>
      </c>
      <c r="K1736">
        <f>IFERROR(tblMoeHistory[[#This Row],[ESD State and Local Amount]]/tblMoeHistory[[#This Row],[Child Count]],0)</f>
        <v>1241.1755102040815</v>
      </c>
      <c r="L1736" s="1">
        <f>IFERROR(tblMoeHistory[[#This Row],[State and Local Total Amount]]/tblMoeHistory[[#This Row],[Child Count]],0)</f>
        <v>6823.3346938775512</v>
      </c>
      <c r="M1736">
        <v>1892243.899999999</v>
      </c>
      <c r="N1736" t="s">
        <v>240</v>
      </c>
      <c r="O1736">
        <v>505714.19</v>
      </c>
      <c r="P1736">
        <v>2512.09</v>
      </c>
      <c r="Q1736">
        <f>tblMoeHistory[[#This Row],[Amount of IDEA Part B, Section 611 award]]+tblMoeHistory[[#This Row],[Amount of IDEA Part B, Section 619 award]]</f>
        <v>508226.28</v>
      </c>
      <c r="T1736">
        <v>0</v>
      </c>
      <c r="U17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6" t="str">
        <f>IF(OR(IFERROR(SEARCH("Met",tblMoeHistory[[#This Row],[State and Local Per Capita Result]]),0)&gt;0,IFERROR(SEARCH("Met",tblMoeHistory[[#This Row],[State and Local Total Result]]),0)&gt;0),"Met","Not Met")</f>
        <v>Met</v>
      </c>
    </row>
    <row r="1737" spans="1:22" x14ac:dyDescent="0.35">
      <c r="A1737" t="s">
        <v>182</v>
      </c>
      <c r="B1737">
        <v>1944</v>
      </c>
      <c r="C1737" t="s">
        <v>243</v>
      </c>
      <c r="D1737">
        <v>295</v>
      </c>
      <c r="E1737">
        <v>3452310.44</v>
      </c>
      <c r="F1737">
        <v>537905</v>
      </c>
      <c r="G1737">
        <f>tblMoeHistory[[#This Row],[LEA State and Local Amount]]+tblMoeHistory[[#This Row],[ESD State and Local Amount]]</f>
        <v>3990215.44</v>
      </c>
      <c r="H1737">
        <v>0</v>
      </c>
      <c r="I1737" t="s">
        <v>241</v>
      </c>
      <c r="J1737" s="44">
        <f>IFERROR(tblMoeHistory[[#This Row],[LEA State and Local Amount]]/tblMoeHistory[[#This Row],[Child Count]],0)</f>
        <v>11702.747254237287</v>
      </c>
      <c r="K1737">
        <f>IFERROR(tblMoeHistory[[#This Row],[ESD State and Local Amount]]/tblMoeHistory[[#This Row],[Child Count]],0)</f>
        <v>1823.406779661017</v>
      </c>
      <c r="L1737" s="1">
        <f>IFERROR(tblMoeHistory[[#This Row],[State and Local Total Amount]]/tblMoeHistory[[#This Row],[Child Count]],0)</f>
        <v>13526.154033898305</v>
      </c>
      <c r="M1737">
        <v>27488.988937010115</v>
      </c>
      <c r="N1737" t="s">
        <v>240</v>
      </c>
      <c r="O1737">
        <v>357031.07</v>
      </c>
      <c r="P1737">
        <v>1959.43</v>
      </c>
      <c r="Q1737">
        <f>tblMoeHistory[[#This Row],[Amount of IDEA Part B, Section 611 award]]+tblMoeHistory[[#This Row],[Amount of IDEA Part B, Section 619 award]]</f>
        <v>358990.5</v>
      </c>
      <c r="T1737">
        <v>0</v>
      </c>
      <c r="U17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7" t="str">
        <f>IF(OR(IFERROR(SEARCH("Met",tblMoeHistory[[#This Row],[State and Local Per Capita Result]]),0)&gt;0,IFERROR(SEARCH("Met",tblMoeHistory[[#This Row],[State and Local Total Result]]),0)&gt;0),"Met","Not Met")</f>
        <v>Met</v>
      </c>
    </row>
    <row r="1738" spans="1:22" x14ac:dyDescent="0.35">
      <c r="A1738" t="s">
        <v>183</v>
      </c>
      <c r="B1738">
        <v>2103</v>
      </c>
      <c r="C1738" t="s">
        <v>243</v>
      </c>
      <c r="D1738">
        <v>86</v>
      </c>
      <c r="E1738">
        <v>445385.34</v>
      </c>
      <c r="F1738">
        <v>176731</v>
      </c>
      <c r="G1738">
        <f>tblMoeHistory[[#This Row],[LEA State and Local Amount]]+tblMoeHistory[[#This Row],[ESD State and Local Amount]]</f>
        <v>622116.34000000008</v>
      </c>
      <c r="H1738">
        <v>0</v>
      </c>
      <c r="I1738" t="s">
        <v>241</v>
      </c>
      <c r="J1738" s="44">
        <f>IFERROR(tblMoeHistory[[#This Row],[LEA State and Local Amount]]/tblMoeHistory[[#This Row],[Child Count]],0)</f>
        <v>5178.8993023255816</v>
      </c>
      <c r="K1738">
        <f>IFERROR(tblMoeHistory[[#This Row],[ESD State and Local Amount]]/tblMoeHistory[[#This Row],[Child Count]],0)</f>
        <v>2055.0116279069766</v>
      </c>
      <c r="L1738" s="1">
        <f>IFERROR(tblMoeHistory[[#This Row],[State and Local Total Amount]]/tblMoeHistory[[#This Row],[Child Count]],0)</f>
        <v>7233.9109302325587</v>
      </c>
      <c r="M1738">
        <v>110786.91068493169</v>
      </c>
      <c r="N1738" t="s">
        <v>240</v>
      </c>
      <c r="O1738">
        <v>121877.85</v>
      </c>
      <c r="P1738">
        <v>401.93</v>
      </c>
      <c r="Q1738">
        <f>tblMoeHistory[[#This Row],[Amount of IDEA Part B, Section 611 award]]+tblMoeHistory[[#This Row],[Amount of IDEA Part B, Section 619 award]]</f>
        <v>122279.78</v>
      </c>
      <c r="T1738">
        <v>0</v>
      </c>
      <c r="U17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8" t="str">
        <f>IF(OR(IFERROR(SEARCH("Met",tblMoeHistory[[#This Row],[State and Local Per Capita Result]]),0)&gt;0,IFERROR(SEARCH("Met",tblMoeHistory[[#This Row],[State and Local Total Result]]),0)&gt;0),"Met","Not Met")</f>
        <v>Met</v>
      </c>
    </row>
    <row r="1739" spans="1:22" x14ac:dyDescent="0.35">
      <c r="A1739" t="s">
        <v>184</v>
      </c>
      <c r="B1739">
        <v>1935</v>
      </c>
      <c r="C1739" t="s">
        <v>243</v>
      </c>
      <c r="D1739">
        <v>249</v>
      </c>
      <c r="E1739">
        <v>2642068.46</v>
      </c>
      <c r="F1739">
        <v>438680</v>
      </c>
      <c r="G1739">
        <f>tblMoeHistory[[#This Row],[LEA State and Local Amount]]+tblMoeHistory[[#This Row],[ESD State and Local Amount]]</f>
        <v>3080748.46</v>
      </c>
      <c r="H1739">
        <v>0</v>
      </c>
      <c r="I1739" t="s">
        <v>241</v>
      </c>
      <c r="J1739" s="44">
        <f>IFERROR(tblMoeHistory[[#This Row],[LEA State and Local Amount]]/tblMoeHistory[[#This Row],[Child Count]],0)</f>
        <v>10610.716706827308</v>
      </c>
      <c r="K1739">
        <f>IFERROR(tblMoeHistory[[#This Row],[ESD State and Local Amount]]/tblMoeHistory[[#This Row],[Child Count]],0)</f>
        <v>1761.7670682730923</v>
      </c>
      <c r="L1739" s="1">
        <f>IFERROR(tblMoeHistory[[#This Row],[State and Local Total Amount]]/tblMoeHistory[[#This Row],[Child Count]],0)</f>
        <v>12372.483775100402</v>
      </c>
      <c r="M1739">
        <v>0</v>
      </c>
      <c r="N1739" t="s">
        <v>241</v>
      </c>
      <c r="O1739">
        <v>254648.68</v>
      </c>
      <c r="P1739">
        <v>2557.7600000000002</v>
      </c>
      <c r="Q1739">
        <f>tblMoeHistory[[#This Row],[Amount of IDEA Part B, Section 611 award]]+tblMoeHistory[[#This Row],[Amount of IDEA Part B, Section 619 award]]</f>
        <v>257206.44</v>
      </c>
      <c r="U17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9" t="str">
        <f>IF(OR(IFERROR(SEARCH("Met",tblMoeHistory[[#This Row],[State and Local Per Capita Result]]),0)&gt;0,IFERROR(SEARCH("Met",tblMoeHistory[[#This Row],[State and Local Total Result]]),0)&gt;0),"Met","Not Met")</f>
        <v>Met</v>
      </c>
    </row>
    <row r="1740" spans="1:22" x14ac:dyDescent="0.35">
      <c r="A1740" t="s">
        <v>185</v>
      </c>
      <c r="B1740">
        <v>2257</v>
      </c>
      <c r="C1740" t="s">
        <v>243</v>
      </c>
      <c r="D1740">
        <v>140</v>
      </c>
      <c r="E1740">
        <v>777679.15</v>
      </c>
      <c r="F1740">
        <v>226251.32</v>
      </c>
      <c r="G1740">
        <f>tblMoeHistory[[#This Row],[LEA State and Local Amount]]+tblMoeHistory[[#This Row],[ESD State and Local Amount]]</f>
        <v>1003930.47</v>
      </c>
      <c r="H1740">
        <v>0</v>
      </c>
      <c r="I1740" t="s">
        <v>242</v>
      </c>
      <c r="J1740" s="44">
        <f>IFERROR(tblMoeHistory[[#This Row],[LEA State and Local Amount]]/tblMoeHistory[[#This Row],[Child Count]],0)</f>
        <v>5554.8510714285712</v>
      </c>
      <c r="K1740">
        <f>IFERROR(tblMoeHistory[[#This Row],[ESD State and Local Amount]]/tblMoeHistory[[#This Row],[Child Count]],0)</f>
        <v>1616.0808571428572</v>
      </c>
      <c r="L1740" s="1">
        <f>IFERROR(tblMoeHistory[[#This Row],[State and Local Total Amount]]/tblMoeHistory[[#This Row],[Child Count]],0)</f>
        <v>7170.9319285714282</v>
      </c>
      <c r="M1740">
        <v>387219.20128712815</v>
      </c>
      <c r="N1740" t="s">
        <v>240</v>
      </c>
      <c r="O1740">
        <v>156783.69</v>
      </c>
      <c r="P1740">
        <v>502.42</v>
      </c>
      <c r="Q1740">
        <f>tblMoeHistory[[#This Row],[Amount of IDEA Part B, Section 611 award]]+tblMoeHistory[[#This Row],[Amount of IDEA Part B, Section 619 award]]</f>
        <v>157286.11000000002</v>
      </c>
      <c r="S1740">
        <v>62000</v>
      </c>
      <c r="T1740">
        <v>613.86</v>
      </c>
      <c r="U17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0" t="str">
        <f>IF(OR(IFERROR(SEARCH("Met",tblMoeHistory[[#This Row],[State and Local Per Capita Result]]),0)&gt;0,IFERROR(SEARCH("Met",tblMoeHistory[[#This Row],[State and Local Total Result]]),0)&gt;0),"Met","Not Met")</f>
        <v>Met</v>
      </c>
    </row>
    <row r="1741" spans="1:22" x14ac:dyDescent="0.35">
      <c r="A1741" t="s">
        <v>186</v>
      </c>
      <c r="B1741">
        <v>2195</v>
      </c>
      <c r="C1741" t="s">
        <v>243</v>
      </c>
      <c r="D1741">
        <v>42</v>
      </c>
      <c r="E1741">
        <v>105568.83</v>
      </c>
      <c r="F1741">
        <v>200618</v>
      </c>
      <c r="G1741">
        <f>tblMoeHistory[[#This Row],[LEA State and Local Amount]]+tblMoeHistory[[#This Row],[ESD State and Local Amount]]</f>
        <v>306186.83</v>
      </c>
      <c r="H1741">
        <v>0</v>
      </c>
      <c r="I1741" t="s">
        <v>241</v>
      </c>
      <c r="J1741" s="44">
        <f>IFERROR(tblMoeHistory[[#This Row],[LEA State and Local Amount]]/tblMoeHistory[[#This Row],[Child Count]],0)</f>
        <v>2513.5435714285713</v>
      </c>
      <c r="K1741">
        <f>IFERROR(tblMoeHistory[[#This Row],[ESD State and Local Amount]]/tblMoeHistory[[#This Row],[Child Count]],0)</f>
        <v>4776.6190476190477</v>
      </c>
      <c r="L1741" s="1">
        <f>IFERROR(tblMoeHistory[[#This Row],[State and Local Total Amount]]/tblMoeHistory[[#This Row],[Child Count]],0)</f>
        <v>7290.162619047619</v>
      </c>
      <c r="M1741">
        <v>29944.817894736829</v>
      </c>
      <c r="N1741" t="s">
        <v>240</v>
      </c>
      <c r="O1741">
        <v>54174.37</v>
      </c>
      <c r="P1741">
        <v>0</v>
      </c>
      <c r="Q1741">
        <f>tblMoeHistory[[#This Row],[Amount of IDEA Part B, Section 611 award]]+tblMoeHistory[[#This Row],[Amount of IDEA Part B, Section 619 award]]</f>
        <v>54174.37</v>
      </c>
      <c r="T1741">
        <v>0</v>
      </c>
      <c r="U17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1" t="str">
        <f>IF(OR(IFERROR(SEARCH("Met",tblMoeHistory[[#This Row],[State and Local Per Capita Result]]),0)&gt;0,IFERROR(SEARCH("Met",tblMoeHistory[[#This Row],[State and Local Total Result]]),0)&gt;0),"Met","Not Met")</f>
        <v>Met</v>
      </c>
    </row>
    <row r="1742" spans="1:22" x14ac:dyDescent="0.35">
      <c r="A1742" t="s">
        <v>187</v>
      </c>
      <c r="B1742">
        <v>2244</v>
      </c>
      <c r="C1742" t="s">
        <v>243</v>
      </c>
      <c r="D1742">
        <v>569</v>
      </c>
      <c r="E1742">
        <v>5434475.7000000002</v>
      </c>
      <c r="F1742">
        <v>967115</v>
      </c>
      <c r="G1742">
        <f>tblMoeHistory[[#This Row],[LEA State and Local Amount]]+tblMoeHistory[[#This Row],[ESD State and Local Amount]]</f>
        <v>6401590.7000000002</v>
      </c>
      <c r="H1742">
        <v>0</v>
      </c>
      <c r="I1742" t="s">
        <v>241</v>
      </c>
      <c r="J1742" s="44">
        <f>IFERROR(tblMoeHistory[[#This Row],[LEA State and Local Amount]]/tblMoeHistory[[#This Row],[Child Count]],0)</f>
        <v>9550.923901581722</v>
      </c>
      <c r="K1742">
        <f>IFERROR(tblMoeHistory[[#This Row],[ESD State and Local Amount]]/tblMoeHistory[[#This Row],[Child Count]],0)</f>
        <v>1699.6748681898066</v>
      </c>
      <c r="L1742" s="1">
        <f>IFERROR(tblMoeHistory[[#This Row],[State and Local Total Amount]]/tblMoeHistory[[#This Row],[Child Count]],0)</f>
        <v>11250.59876977153</v>
      </c>
      <c r="M1742">
        <v>0</v>
      </c>
      <c r="N1742" t="s">
        <v>241</v>
      </c>
      <c r="O1742">
        <v>648125.29</v>
      </c>
      <c r="P1742">
        <v>2159.65</v>
      </c>
      <c r="Q1742">
        <f>tblMoeHistory[[#This Row],[Amount of IDEA Part B, Section 611 award]]+tblMoeHistory[[#This Row],[Amount of IDEA Part B, Section 619 award]]</f>
        <v>650284.94000000006</v>
      </c>
      <c r="U17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2" t="str">
        <f>IF(OR(IFERROR(SEARCH("Met",tblMoeHistory[[#This Row],[State and Local Per Capita Result]]),0)&gt;0,IFERROR(SEARCH("Met",tblMoeHistory[[#This Row],[State and Local Total Result]]),0)&gt;0),"Met","Not Met")</f>
        <v>Met</v>
      </c>
    </row>
    <row r="1743" spans="1:22" x14ac:dyDescent="0.35">
      <c r="A1743" t="s">
        <v>188</v>
      </c>
      <c r="B1743">
        <v>2138</v>
      </c>
      <c r="C1743" t="s">
        <v>243</v>
      </c>
      <c r="D1743">
        <v>496</v>
      </c>
      <c r="E1743">
        <v>5326787.29</v>
      </c>
      <c r="F1743">
        <v>314210.34000000003</v>
      </c>
      <c r="G1743">
        <f>tblMoeHistory[[#This Row],[LEA State and Local Amount]]+tblMoeHistory[[#This Row],[ESD State and Local Amount]]</f>
        <v>5640997.6299999999</v>
      </c>
      <c r="H1743">
        <v>0</v>
      </c>
      <c r="I1743" t="s">
        <v>241</v>
      </c>
      <c r="J1743" s="44">
        <f>IFERROR(tblMoeHistory[[#This Row],[LEA State and Local Amount]]/tblMoeHistory[[#This Row],[Child Count]],0)</f>
        <v>10739.490504032257</v>
      </c>
      <c r="K1743">
        <f>IFERROR(tblMoeHistory[[#This Row],[ESD State and Local Amount]]/tblMoeHistory[[#This Row],[Child Count]],0)</f>
        <v>633.48858870967751</v>
      </c>
      <c r="L1743" s="1">
        <f>IFERROR(tblMoeHistory[[#This Row],[State and Local Total Amount]]/tblMoeHistory[[#This Row],[Child Count]],0)</f>
        <v>11372.979092741934</v>
      </c>
      <c r="M1743">
        <v>46204.935095564113</v>
      </c>
      <c r="N1743" t="s">
        <v>240</v>
      </c>
      <c r="O1743">
        <v>548886.53</v>
      </c>
      <c r="P1743">
        <v>4354.29</v>
      </c>
      <c r="Q1743">
        <f>tblMoeHistory[[#This Row],[Amount of IDEA Part B, Section 611 award]]+tblMoeHistory[[#This Row],[Amount of IDEA Part B, Section 619 award]]</f>
        <v>553240.82000000007</v>
      </c>
      <c r="T1743">
        <v>0</v>
      </c>
      <c r="U17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3" t="str">
        <f>IF(OR(IFERROR(SEARCH("Met",tblMoeHistory[[#This Row],[State and Local Per Capita Result]]),0)&gt;0,IFERROR(SEARCH("Met",tblMoeHistory[[#This Row],[State and Local Total Result]]),0)&gt;0),"Met","Not Met")</f>
        <v>Met</v>
      </c>
    </row>
    <row r="1744" spans="1:22" x14ac:dyDescent="0.35">
      <c r="A1744" t="s">
        <v>189</v>
      </c>
      <c r="B1744">
        <v>1978</v>
      </c>
      <c r="C1744" t="s">
        <v>243</v>
      </c>
      <c r="D1744">
        <v>103</v>
      </c>
      <c r="E1744">
        <v>889165.78</v>
      </c>
      <c r="F1744">
        <v>161458.23999999999</v>
      </c>
      <c r="G1744">
        <f>tblMoeHistory[[#This Row],[LEA State and Local Amount]]+tblMoeHistory[[#This Row],[ESD State and Local Amount]]</f>
        <v>1050624.02</v>
      </c>
      <c r="H1744">
        <v>0</v>
      </c>
      <c r="I1744" t="s">
        <v>241</v>
      </c>
      <c r="J1744" s="44">
        <f>IFERROR(tblMoeHistory[[#This Row],[LEA State and Local Amount]]/tblMoeHistory[[#This Row],[Child Count]],0)</f>
        <v>8632.6774757281564</v>
      </c>
      <c r="K1744">
        <f>IFERROR(tblMoeHistory[[#This Row],[ESD State and Local Amount]]/tblMoeHistory[[#This Row],[Child Count]],0)</f>
        <v>1567.5557281553397</v>
      </c>
      <c r="L1744" s="1">
        <f>IFERROR(tblMoeHistory[[#This Row],[State and Local Total Amount]]/tblMoeHistory[[#This Row],[Child Count]],0)</f>
        <v>10200.233203883496</v>
      </c>
      <c r="M1744">
        <v>0</v>
      </c>
      <c r="N1744" t="s">
        <v>241</v>
      </c>
      <c r="O1744">
        <v>163011.21</v>
      </c>
      <c r="P1744">
        <v>314.01</v>
      </c>
      <c r="Q1744">
        <f>tblMoeHistory[[#This Row],[Amount of IDEA Part B, Section 611 award]]+tblMoeHistory[[#This Row],[Amount of IDEA Part B, Section 619 award]]</f>
        <v>163325.22</v>
      </c>
      <c r="U17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4" t="str">
        <f>IF(OR(IFERROR(SEARCH("Met",tblMoeHistory[[#This Row],[State and Local Per Capita Result]]),0)&gt;0,IFERROR(SEARCH("Met",tblMoeHistory[[#This Row],[State and Local Total Result]]),0)&gt;0),"Met","Not Met")</f>
        <v>Met</v>
      </c>
    </row>
    <row r="1745" spans="1:22" x14ac:dyDescent="0.35">
      <c r="A1745" t="s">
        <v>190</v>
      </c>
      <c r="B1745">
        <v>2096</v>
      </c>
      <c r="C1745" t="s">
        <v>243</v>
      </c>
      <c r="D1745">
        <v>188</v>
      </c>
      <c r="E1745">
        <v>1574561.03</v>
      </c>
      <c r="F1745">
        <v>453130</v>
      </c>
      <c r="G1745">
        <f>tblMoeHistory[[#This Row],[LEA State and Local Amount]]+tblMoeHistory[[#This Row],[ESD State and Local Amount]]</f>
        <v>2027691.03</v>
      </c>
      <c r="H1745">
        <v>0</v>
      </c>
      <c r="I1745" t="s">
        <v>241</v>
      </c>
      <c r="J1745" s="44">
        <f>IFERROR(tblMoeHistory[[#This Row],[LEA State and Local Amount]]/tblMoeHistory[[#This Row],[Child Count]],0)</f>
        <v>8375.3246276595746</v>
      </c>
      <c r="K1745">
        <f>IFERROR(tblMoeHistory[[#This Row],[ESD State and Local Amount]]/tblMoeHistory[[#This Row],[Child Count]],0)</f>
        <v>2410.2659574468084</v>
      </c>
      <c r="L1745" s="1">
        <f>IFERROR(tblMoeHistory[[#This Row],[State and Local Total Amount]]/tblMoeHistory[[#This Row],[Child Count]],0)</f>
        <v>10785.590585106384</v>
      </c>
      <c r="M1745">
        <v>2088.5143786922822</v>
      </c>
      <c r="N1745" t="s">
        <v>242</v>
      </c>
      <c r="O1745">
        <v>239313.02</v>
      </c>
      <c r="P1745">
        <v>3048</v>
      </c>
      <c r="Q1745">
        <f>tblMoeHistory[[#This Row],[Amount of IDEA Part B, Section 611 award]]+tblMoeHistory[[#This Row],[Amount of IDEA Part B, Section 619 award]]</f>
        <v>242361.02</v>
      </c>
      <c r="T1745">
        <v>544.33000000000004</v>
      </c>
      <c r="U17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5" t="str">
        <f>IF(OR(IFERROR(SEARCH("Met",tblMoeHistory[[#This Row],[State and Local Per Capita Result]]),0)&gt;0,IFERROR(SEARCH("Met",tblMoeHistory[[#This Row],[State and Local Total Result]]),0)&gt;0),"Met","Not Met")</f>
        <v>Met</v>
      </c>
    </row>
    <row r="1746" spans="1:22" x14ac:dyDescent="0.35">
      <c r="A1746" t="s">
        <v>191</v>
      </c>
      <c r="B1746">
        <v>2022</v>
      </c>
      <c r="C1746" t="s">
        <v>243</v>
      </c>
      <c r="D1746">
        <v>2</v>
      </c>
      <c r="E1746">
        <v>10200</v>
      </c>
      <c r="F1746">
        <v>4721</v>
      </c>
      <c r="G1746">
        <f>tblMoeHistory[[#This Row],[LEA State and Local Amount]]+tblMoeHistory[[#This Row],[ESD State and Local Amount]]</f>
        <v>14921</v>
      </c>
      <c r="H1746">
        <v>0</v>
      </c>
      <c r="I1746" t="s">
        <v>242</v>
      </c>
      <c r="J1746" s="44">
        <f>IFERROR(tblMoeHistory[[#This Row],[LEA State and Local Amount]]/tblMoeHistory[[#This Row],[Child Count]],0)</f>
        <v>5100</v>
      </c>
      <c r="K1746">
        <f>IFERROR(tblMoeHistory[[#This Row],[ESD State and Local Amount]]/tblMoeHistory[[#This Row],[Child Count]],0)</f>
        <v>2360.5</v>
      </c>
      <c r="L1746" s="1">
        <f>IFERROR(tblMoeHistory[[#This Row],[State and Local Total Amount]]/tblMoeHistory[[#This Row],[Child Count]],0)</f>
        <v>7460.5</v>
      </c>
      <c r="M1746">
        <v>0</v>
      </c>
      <c r="N1746" t="s">
        <v>241</v>
      </c>
      <c r="O1746">
        <v>0</v>
      </c>
      <c r="P1746">
        <v>0</v>
      </c>
      <c r="Q1746">
        <f>tblMoeHistory[[#This Row],[Amount of IDEA Part B, Section 611 award]]+tblMoeHistory[[#This Row],[Amount of IDEA Part B, Section 619 award]]</f>
        <v>0</v>
      </c>
      <c r="S1746">
        <v>6911.16</v>
      </c>
      <c r="U17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6" t="str">
        <f>IF(OR(IFERROR(SEARCH("Met",tblMoeHistory[[#This Row],[State and Local Per Capita Result]]),0)&gt;0,IFERROR(SEARCH("Met",tblMoeHistory[[#This Row],[State and Local Total Result]]),0)&gt;0),"Met","Not Met")</f>
        <v>Met</v>
      </c>
    </row>
    <row r="1747" spans="1:22" x14ac:dyDescent="0.35">
      <c r="A1747" t="s">
        <v>192</v>
      </c>
      <c r="B1747">
        <v>2087</v>
      </c>
      <c r="C1747" t="s">
        <v>243</v>
      </c>
      <c r="D1747">
        <v>485</v>
      </c>
      <c r="E1747">
        <v>4898602.5999999996</v>
      </c>
      <c r="F1747">
        <v>778476</v>
      </c>
      <c r="G1747">
        <f>tblMoeHistory[[#This Row],[LEA State and Local Amount]]+tblMoeHistory[[#This Row],[ESD State and Local Amount]]</f>
        <v>5677078.5999999996</v>
      </c>
      <c r="H1747">
        <v>0</v>
      </c>
      <c r="I1747" t="s">
        <v>241</v>
      </c>
      <c r="J1747" s="44">
        <f>IFERROR(tblMoeHistory[[#This Row],[LEA State and Local Amount]]/tblMoeHistory[[#This Row],[Child Count]],0)</f>
        <v>10100.211546391753</v>
      </c>
      <c r="K1747">
        <f>IFERROR(tblMoeHistory[[#This Row],[ESD State and Local Amount]]/tblMoeHistory[[#This Row],[Child Count]],0)</f>
        <v>1605.1051546391752</v>
      </c>
      <c r="L1747" s="1">
        <f>IFERROR(tblMoeHistory[[#This Row],[State and Local Total Amount]]/tblMoeHistory[[#This Row],[Child Count]],0)</f>
        <v>11705.316701030926</v>
      </c>
      <c r="M1747">
        <v>0</v>
      </c>
      <c r="N1747" t="s">
        <v>241</v>
      </c>
      <c r="O1747">
        <v>514935.01</v>
      </c>
      <c r="P1747">
        <v>2865.27</v>
      </c>
      <c r="Q1747">
        <f>tblMoeHistory[[#This Row],[Amount of IDEA Part B, Section 611 award]]+tblMoeHistory[[#This Row],[Amount of IDEA Part B, Section 619 award]]</f>
        <v>517800.28</v>
      </c>
      <c r="U17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7" t="str">
        <f>IF(OR(IFERROR(SEARCH("Met",tblMoeHistory[[#This Row],[State and Local Per Capita Result]]),0)&gt;0,IFERROR(SEARCH("Met",tblMoeHistory[[#This Row],[State and Local Total Result]]),0)&gt;0),"Met","Not Met")</f>
        <v>Met</v>
      </c>
    </row>
    <row r="1748" spans="1:22" x14ac:dyDescent="0.35">
      <c r="A1748" t="s">
        <v>193</v>
      </c>
      <c r="B1748">
        <v>1994</v>
      </c>
      <c r="C1748" t="s">
        <v>243</v>
      </c>
      <c r="D1748">
        <v>264</v>
      </c>
      <c r="E1748">
        <v>1967510.54</v>
      </c>
      <c r="F1748">
        <v>342006.16</v>
      </c>
      <c r="G1748">
        <f>tblMoeHistory[[#This Row],[LEA State and Local Amount]]+tblMoeHistory[[#This Row],[ESD State and Local Amount]]</f>
        <v>2309516.7000000002</v>
      </c>
      <c r="H1748">
        <v>0</v>
      </c>
      <c r="I1748" t="s">
        <v>242</v>
      </c>
      <c r="J1748" s="44">
        <f>IFERROR(tblMoeHistory[[#This Row],[LEA State and Local Amount]]/tblMoeHistory[[#This Row],[Child Count]],0)</f>
        <v>7452.6914393939396</v>
      </c>
      <c r="K1748">
        <f>IFERROR(tblMoeHistory[[#This Row],[ESD State and Local Amount]]/tblMoeHistory[[#This Row],[Child Count]],0)</f>
        <v>1295.4778787878786</v>
      </c>
      <c r="L1748" s="1">
        <f>IFERROR(tblMoeHistory[[#This Row],[State and Local Total Amount]]/tblMoeHistory[[#This Row],[Child Count]],0)</f>
        <v>8748.1693181818191</v>
      </c>
      <c r="M1748">
        <v>180389.77024389591</v>
      </c>
      <c r="N1748" t="s">
        <v>240</v>
      </c>
      <c r="O1748">
        <v>336740.78</v>
      </c>
      <c r="P1748">
        <v>5275.39</v>
      </c>
      <c r="Q1748">
        <f>tblMoeHistory[[#This Row],[Amount of IDEA Part B, Section 611 award]]+tblMoeHistory[[#This Row],[Amount of IDEA Part B, Section 619 award]]</f>
        <v>342016.17000000004</v>
      </c>
      <c r="S1748">
        <v>172000.66</v>
      </c>
      <c r="T1748">
        <v>839.03</v>
      </c>
      <c r="U17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8" t="str">
        <f>IF(OR(IFERROR(SEARCH("Met",tblMoeHistory[[#This Row],[State and Local Per Capita Result]]),0)&gt;0,IFERROR(SEARCH("Met",tblMoeHistory[[#This Row],[State and Local Total Result]]),0)&gt;0),"Met","Not Met")</f>
        <v>Met</v>
      </c>
    </row>
    <row r="1749" spans="1:22" x14ac:dyDescent="0.35">
      <c r="A1749" t="s">
        <v>194</v>
      </c>
      <c r="B1749">
        <v>2225</v>
      </c>
      <c r="C1749" t="s">
        <v>243</v>
      </c>
      <c r="D1749">
        <v>35</v>
      </c>
      <c r="E1749">
        <v>268530.48</v>
      </c>
      <c r="F1749">
        <v>25000</v>
      </c>
      <c r="G1749">
        <f>tblMoeHistory[[#This Row],[LEA State and Local Amount]]+tblMoeHistory[[#This Row],[ESD State and Local Amount]]</f>
        <v>293530.48</v>
      </c>
      <c r="H1749">
        <v>0</v>
      </c>
      <c r="I1749" t="s">
        <v>241</v>
      </c>
      <c r="J1749" s="44">
        <f>IFERROR(tblMoeHistory[[#This Row],[LEA State and Local Amount]]/tblMoeHistory[[#This Row],[Child Count]],0)</f>
        <v>7672.2994285714276</v>
      </c>
      <c r="K1749">
        <f>IFERROR(tblMoeHistory[[#This Row],[ESD State and Local Amount]]/tblMoeHistory[[#This Row],[Child Count]],0)</f>
        <v>714.28571428571433</v>
      </c>
      <c r="L1749" s="1">
        <f>IFERROR(tblMoeHistory[[#This Row],[State and Local Total Amount]]/tblMoeHistory[[#This Row],[Child Count]],0)</f>
        <v>8386.5851428571423</v>
      </c>
      <c r="M1749">
        <v>67325.805999999997</v>
      </c>
      <c r="N1749" t="s">
        <v>240</v>
      </c>
      <c r="O1749">
        <v>53336.35</v>
      </c>
      <c r="P1749">
        <v>753.63</v>
      </c>
      <c r="Q1749">
        <f>tblMoeHistory[[#This Row],[Amount of IDEA Part B, Section 611 award]]+tblMoeHistory[[#This Row],[Amount of IDEA Part B, Section 619 award]]</f>
        <v>54089.979999999996</v>
      </c>
      <c r="T1749">
        <v>0</v>
      </c>
      <c r="U17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9" t="str">
        <f>IF(OR(IFERROR(SEARCH("Met",tblMoeHistory[[#This Row],[State and Local Per Capita Result]]),0)&gt;0,IFERROR(SEARCH("Met",tblMoeHistory[[#This Row],[State and Local Total Result]]),0)&gt;0),"Met","Not Met")</f>
        <v>Met</v>
      </c>
    </row>
    <row r="1750" spans="1:22" x14ac:dyDescent="0.35">
      <c r="A1750" t="s">
        <v>195</v>
      </c>
      <c r="B1750">
        <v>2247</v>
      </c>
      <c r="C1750" t="s">
        <v>243</v>
      </c>
      <c r="D1750">
        <v>3</v>
      </c>
      <c r="E1750">
        <v>13624.72</v>
      </c>
      <c r="F1750">
        <v>54890</v>
      </c>
      <c r="G1750">
        <f>tblMoeHistory[[#This Row],[LEA State and Local Amount]]+tblMoeHistory[[#This Row],[ESD State and Local Amount]]</f>
        <v>68514.720000000001</v>
      </c>
      <c r="H1750">
        <v>0</v>
      </c>
      <c r="I1750" t="s">
        <v>241</v>
      </c>
      <c r="J1750" s="44">
        <f>IFERROR(tblMoeHistory[[#This Row],[LEA State and Local Amount]]/tblMoeHistory[[#This Row],[Child Count]],0)</f>
        <v>4541.5733333333328</v>
      </c>
      <c r="K1750">
        <f>IFERROR(tblMoeHistory[[#This Row],[ESD State and Local Amount]]/tblMoeHistory[[#This Row],[Child Count]],0)</f>
        <v>18296.666666666668</v>
      </c>
      <c r="L1750" s="1">
        <f>IFERROR(tblMoeHistory[[#This Row],[State and Local Total Amount]]/tblMoeHistory[[#This Row],[Child Count]],0)</f>
        <v>22838.240000000002</v>
      </c>
      <c r="M1750">
        <v>0</v>
      </c>
      <c r="N1750" t="s">
        <v>241</v>
      </c>
      <c r="O1750">
        <v>7967.82</v>
      </c>
      <c r="P1750">
        <v>0</v>
      </c>
      <c r="Q1750">
        <f>tblMoeHistory[[#This Row],[Amount of IDEA Part B, Section 611 award]]+tblMoeHistory[[#This Row],[Amount of IDEA Part B, Section 619 award]]</f>
        <v>7967.82</v>
      </c>
      <c r="U17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0" t="str">
        <f>IF(OR(IFERROR(SEARCH("Met",tblMoeHistory[[#This Row],[State and Local Per Capita Result]]),0)&gt;0,IFERROR(SEARCH("Met",tblMoeHistory[[#This Row],[State and Local Total Result]]),0)&gt;0),"Met","Not Met")</f>
        <v>Met</v>
      </c>
    </row>
    <row r="1751" spans="1:22" x14ac:dyDescent="0.35">
      <c r="A1751" t="s">
        <v>196</v>
      </c>
      <c r="B1751">
        <v>2083</v>
      </c>
      <c r="C1751" t="s">
        <v>243</v>
      </c>
      <c r="D1751">
        <v>1664</v>
      </c>
      <c r="E1751">
        <v>19873320.399999999</v>
      </c>
      <c r="F1751">
        <v>2304695</v>
      </c>
      <c r="G1751">
        <f>tblMoeHistory[[#This Row],[LEA State and Local Amount]]+tblMoeHistory[[#This Row],[ESD State and Local Amount]]</f>
        <v>22178015.399999999</v>
      </c>
      <c r="H1751">
        <v>0</v>
      </c>
      <c r="I1751" t="s">
        <v>241</v>
      </c>
      <c r="J1751" s="44">
        <f>IFERROR(tblMoeHistory[[#This Row],[LEA State and Local Amount]]/tblMoeHistory[[#This Row],[Child Count]],0)</f>
        <v>11943.101201923077</v>
      </c>
      <c r="K1751">
        <f>IFERROR(tblMoeHistory[[#This Row],[ESD State and Local Amount]]/tblMoeHistory[[#This Row],[Child Count]],0)</f>
        <v>1385.0330528846155</v>
      </c>
      <c r="L1751" s="1">
        <f>IFERROR(tblMoeHistory[[#This Row],[State and Local Total Amount]]/tblMoeHistory[[#This Row],[Child Count]],0)</f>
        <v>13328.134254807692</v>
      </c>
      <c r="M1751">
        <v>0</v>
      </c>
      <c r="N1751" t="s">
        <v>241</v>
      </c>
      <c r="O1751">
        <v>1913604.07</v>
      </c>
      <c r="P1751">
        <v>17359.97</v>
      </c>
      <c r="Q1751">
        <f>tblMoeHistory[[#This Row],[Amount of IDEA Part B, Section 611 award]]+tblMoeHistory[[#This Row],[Amount of IDEA Part B, Section 619 award]]</f>
        <v>1930964.04</v>
      </c>
      <c r="U17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1" t="str">
        <f>IF(OR(IFERROR(SEARCH("Met",tblMoeHistory[[#This Row],[State and Local Per Capita Result]]),0)&gt;0,IFERROR(SEARCH("Met",tblMoeHistory[[#This Row],[State and Local Total Result]]),0)&gt;0),"Met","Not Met")</f>
        <v>Met</v>
      </c>
    </row>
    <row r="1752" spans="1:22" x14ac:dyDescent="0.35">
      <c r="A1752" t="s">
        <v>197</v>
      </c>
      <c r="B1752">
        <v>1948</v>
      </c>
      <c r="C1752" t="s">
        <v>243</v>
      </c>
      <c r="D1752">
        <v>451</v>
      </c>
      <c r="E1752">
        <v>4083396.27</v>
      </c>
      <c r="F1752">
        <v>797854</v>
      </c>
      <c r="G1752">
        <f>tblMoeHistory[[#This Row],[LEA State and Local Amount]]+tblMoeHistory[[#This Row],[ESD State and Local Amount]]</f>
        <v>4881250.2699999996</v>
      </c>
      <c r="H1752">
        <v>0</v>
      </c>
      <c r="I1752" t="s">
        <v>241</v>
      </c>
      <c r="J1752" s="44">
        <f>IFERROR(tblMoeHistory[[#This Row],[LEA State and Local Amount]]/tblMoeHistory[[#This Row],[Child Count]],0)</f>
        <v>9054.0937250554325</v>
      </c>
      <c r="K1752">
        <f>IFERROR(tblMoeHistory[[#This Row],[ESD State and Local Amount]]/tblMoeHistory[[#This Row],[Child Count]],0)</f>
        <v>1769.0776053215077</v>
      </c>
      <c r="L1752" s="1">
        <f>IFERROR(tblMoeHistory[[#This Row],[State and Local Total Amount]]/tblMoeHistory[[#This Row],[Child Count]],0)</f>
        <v>10823.171330376939</v>
      </c>
      <c r="M1752">
        <v>0</v>
      </c>
      <c r="N1752" t="s">
        <v>241</v>
      </c>
      <c r="O1752">
        <v>534860.34</v>
      </c>
      <c r="P1752">
        <v>4191.82</v>
      </c>
      <c r="Q1752">
        <f>tblMoeHistory[[#This Row],[Amount of IDEA Part B, Section 611 award]]+tblMoeHistory[[#This Row],[Amount of IDEA Part B, Section 619 award]]</f>
        <v>539052.15999999992</v>
      </c>
      <c r="U17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2" t="str">
        <f>IF(OR(IFERROR(SEARCH("Met",tblMoeHistory[[#This Row],[State and Local Per Capita Result]]),0)&gt;0,IFERROR(SEARCH("Met",tblMoeHistory[[#This Row],[State and Local Total Result]]),0)&gt;0),"Met","Not Met")</f>
        <v>Met</v>
      </c>
    </row>
    <row r="1753" spans="1:22" x14ac:dyDescent="0.35">
      <c r="A1753" t="s">
        <v>198</v>
      </c>
      <c r="B1753">
        <v>2144</v>
      </c>
      <c r="C1753" t="s">
        <v>243</v>
      </c>
      <c r="D1753">
        <v>21</v>
      </c>
      <c r="E1753">
        <v>201019.21</v>
      </c>
      <c r="F1753">
        <v>30779.45</v>
      </c>
      <c r="G1753">
        <f>tblMoeHistory[[#This Row],[LEA State and Local Amount]]+tblMoeHistory[[#This Row],[ESD State and Local Amount]]</f>
        <v>231798.66</v>
      </c>
      <c r="H1753">
        <v>0</v>
      </c>
      <c r="I1753" t="s">
        <v>242</v>
      </c>
      <c r="J1753" s="44">
        <f>IFERROR(tblMoeHistory[[#This Row],[LEA State and Local Amount]]/tblMoeHistory[[#This Row],[Child Count]],0)</f>
        <v>9572.3433333333323</v>
      </c>
      <c r="K1753">
        <f>IFERROR(tblMoeHistory[[#This Row],[ESD State and Local Amount]]/tblMoeHistory[[#This Row],[Child Count]],0)</f>
        <v>1465.6880952380952</v>
      </c>
      <c r="L1753" s="1">
        <f>IFERROR(tblMoeHistory[[#This Row],[State and Local Total Amount]]/tblMoeHistory[[#This Row],[Child Count]],0)</f>
        <v>11038.031428571428</v>
      </c>
      <c r="M1753">
        <v>0</v>
      </c>
      <c r="N1753" t="s">
        <v>242</v>
      </c>
      <c r="O1753">
        <v>35281.97</v>
      </c>
      <c r="P1753">
        <v>0</v>
      </c>
      <c r="Q1753">
        <f>tblMoeHistory[[#This Row],[Amount of IDEA Part B, Section 611 award]]+tblMoeHistory[[#This Row],[Amount of IDEA Part B, Section 619 award]]</f>
        <v>35281.97</v>
      </c>
      <c r="S1753">
        <v>190677.12</v>
      </c>
      <c r="T1753">
        <v>7627.09</v>
      </c>
      <c r="U17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3" t="str">
        <f>IF(OR(IFERROR(SEARCH("Met",tblMoeHistory[[#This Row],[State and Local Per Capita Result]]),0)&gt;0,IFERROR(SEARCH("Met",tblMoeHistory[[#This Row],[State and Local Total Result]]),0)&gt;0),"Met","Not Met")</f>
        <v>Met</v>
      </c>
    </row>
    <row r="1754" spans="1:22" x14ac:dyDescent="0.35">
      <c r="A1754" t="s">
        <v>199</v>
      </c>
      <c r="B1754">
        <v>2209</v>
      </c>
      <c r="C1754" t="s">
        <v>243</v>
      </c>
      <c r="D1754">
        <v>58</v>
      </c>
      <c r="E1754">
        <v>364262.72</v>
      </c>
      <c r="F1754">
        <v>98617.08</v>
      </c>
      <c r="G1754">
        <f>tblMoeHistory[[#This Row],[LEA State and Local Amount]]+tblMoeHistory[[#This Row],[ESD State and Local Amount]]</f>
        <v>462879.8</v>
      </c>
      <c r="H1754">
        <v>0</v>
      </c>
      <c r="I1754" t="s">
        <v>242</v>
      </c>
      <c r="J1754" s="44">
        <f>IFERROR(tblMoeHistory[[#This Row],[LEA State and Local Amount]]/tblMoeHistory[[#This Row],[Child Count]],0)</f>
        <v>6280.3917241379304</v>
      </c>
      <c r="K1754">
        <f>IFERROR(tblMoeHistory[[#This Row],[ESD State and Local Amount]]/tblMoeHistory[[#This Row],[Child Count]],0)</f>
        <v>1700.2944827586207</v>
      </c>
      <c r="L1754" s="1">
        <f>IFERROR(tblMoeHistory[[#This Row],[State and Local Total Amount]]/tblMoeHistory[[#This Row],[Child Count]],0)</f>
        <v>7980.6862068965511</v>
      </c>
      <c r="M1754">
        <v>52232.075384615397</v>
      </c>
      <c r="N1754" t="s">
        <v>240</v>
      </c>
      <c r="O1754">
        <v>80019.320000000007</v>
      </c>
      <c r="P1754">
        <v>1884.07</v>
      </c>
      <c r="Q1754">
        <f>tblMoeHistory[[#This Row],[Amount of IDEA Part B, Section 611 award]]+tblMoeHistory[[#This Row],[Amount of IDEA Part B, Section 619 award]]</f>
        <v>81903.390000000014</v>
      </c>
      <c r="S1754">
        <v>29414.05</v>
      </c>
      <c r="T1754">
        <v>565.65</v>
      </c>
      <c r="U17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4" t="str">
        <f>IF(OR(IFERROR(SEARCH("Met",tblMoeHistory[[#This Row],[State and Local Per Capita Result]]),0)&gt;0,IFERROR(SEARCH("Met",tblMoeHistory[[#This Row],[State and Local Total Result]]),0)&gt;0),"Met","Not Met")</f>
        <v>Met</v>
      </c>
    </row>
    <row r="1755" spans="1:22" x14ac:dyDescent="0.35">
      <c r="A1755" t="s">
        <v>200</v>
      </c>
      <c r="B1755">
        <v>2018</v>
      </c>
      <c r="C1755" t="s">
        <v>243</v>
      </c>
      <c r="D1755">
        <v>0</v>
      </c>
      <c r="E1755">
        <v>10200</v>
      </c>
      <c r="F1755">
        <v>4233</v>
      </c>
      <c r="G1755">
        <f>tblMoeHistory[[#This Row],[LEA State and Local Amount]]+tblMoeHistory[[#This Row],[ESD State and Local Amount]]</f>
        <v>14433</v>
      </c>
      <c r="H1755">
        <v>0</v>
      </c>
      <c r="I1755" t="s">
        <v>242</v>
      </c>
      <c r="J1755" s="44">
        <f>IFERROR(tblMoeHistory[[#This Row],[LEA State and Local Amount]]/tblMoeHistory[[#This Row],[Child Count]],0)</f>
        <v>0</v>
      </c>
      <c r="K1755">
        <f>IFERROR(tblMoeHistory[[#This Row],[ESD State and Local Amount]]/tblMoeHistory[[#This Row],[Child Count]],0)</f>
        <v>0</v>
      </c>
      <c r="L1755" s="1">
        <f>IFERROR(tblMoeHistory[[#This Row],[State and Local Total Amount]]/tblMoeHistory[[#This Row],[Child Count]],0)</f>
        <v>0</v>
      </c>
      <c r="M1755">
        <v>0</v>
      </c>
      <c r="N1755" t="s">
        <v>242</v>
      </c>
      <c r="O1755">
        <v>0</v>
      </c>
      <c r="P1755">
        <v>0</v>
      </c>
      <c r="Q1755">
        <f>tblMoeHistory[[#This Row],[Amount of IDEA Part B, Section 611 award]]+tblMoeHistory[[#This Row],[Amount of IDEA Part B, Section 619 award]]</f>
        <v>0</v>
      </c>
      <c r="S1755">
        <v>29932.75</v>
      </c>
      <c r="T1755">
        <v>29932.75</v>
      </c>
      <c r="U17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5" t="str">
        <f>IF(OR(IFERROR(SEARCH("Met",tblMoeHistory[[#This Row],[State and Local Per Capita Result]]),0)&gt;0,IFERROR(SEARCH("Met",tblMoeHistory[[#This Row],[State and Local Total Result]]),0)&gt;0),"Met","Not Met")</f>
        <v>Met</v>
      </c>
    </row>
    <row r="1756" spans="1:22" x14ac:dyDescent="0.35">
      <c r="A1756" t="s">
        <v>201</v>
      </c>
      <c r="B1756">
        <v>2003</v>
      </c>
      <c r="C1756" t="s">
        <v>243</v>
      </c>
      <c r="D1756">
        <v>178</v>
      </c>
      <c r="E1756">
        <v>1266363</v>
      </c>
      <c r="F1756">
        <v>323391.35999999999</v>
      </c>
      <c r="G1756">
        <f>tblMoeHistory[[#This Row],[LEA State and Local Amount]]+tblMoeHistory[[#This Row],[ESD State and Local Amount]]</f>
        <v>1589754.3599999999</v>
      </c>
      <c r="H1756">
        <v>0</v>
      </c>
      <c r="I1756" t="s">
        <v>241</v>
      </c>
      <c r="J1756" s="44">
        <f>IFERROR(tblMoeHistory[[#This Row],[LEA State and Local Amount]]/tblMoeHistory[[#This Row],[Child Count]],0)</f>
        <v>7114.3988764044943</v>
      </c>
      <c r="K1756">
        <f>IFERROR(tblMoeHistory[[#This Row],[ESD State and Local Amount]]/tblMoeHistory[[#This Row],[Child Count]],0)</f>
        <v>1816.8053932584269</v>
      </c>
      <c r="L1756" s="1">
        <f>IFERROR(tblMoeHistory[[#This Row],[State and Local Total Amount]]/tblMoeHistory[[#This Row],[Child Count]],0)</f>
        <v>8931.2042696629214</v>
      </c>
      <c r="M1756">
        <v>153041.53737499984</v>
      </c>
      <c r="N1756" t="s">
        <v>240</v>
      </c>
      <c r="O1756">
        <v>194266.32</v>
      </c>
      <c r="P1756">
        <v>1406.77</v>
      </c>
      <c r="Q1756">
        <f>tblMoeHistory[[#This Row],[Amount of IDEA Part B, Section 611 award]]+tblMoeHistory[[#This Row],[Amount of IDEA Part B, Section 619 award]]</f>
        <v>195673.09</v>
      </c>
      <c r="T1756">
        <v>0</v>
      </c>
      <c r="U17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6" t="str">
        <f>IF(OR(IFERROR(SEARCH("Met",tblMoeHistory[[#This Row],[State and Local Per Capita Result]]),0)&gt;0,IFERROR(SEARCH("Met",tblMoeHistory[[#This Row],[State and Local Total Result]]),0)&gt;0),"Met","Not Met")</f>
        <v>Met</v>
      </c>
    </row>
    <row r="1757" spans="1:22" x14ac:dyDescent="0.35">
      <c r="A1757" t="s">
        <v>202</v>
      </c>
      <c r="B1757">
        <v>2102</v>
      </c>
      <c r="C1757" t="s">
        <v>243</v>
      </c>
      <c r="D1757">
        <v>459</v>
      </c>
      <c r="E1757">
        <v>3002518.19</v>
      </c>
      <c r="F1757">
        <v>475236</v>
      </c>
      <c r="G1757">
        <f>tblMoeHistory[[#This Row],[LEA State and Local Amount]]+tblMoeHistory[[#This Row],[ESD State and Local Amount]]</f>
        <v>3477754.19</v>
      </c>
      <c r="H1757">
        <v>0</v>
      </c>
      <c r="I1757" t="s">
        <v>241</v>
      </c>
      <c r="J1757" s="44">
        <f>IFERROR(tblMoeHistory[[#This Row],[LEA State and Local Amount]]/tblMoeHistory[[#This Row],[Child Count]],0)</f>
        <v>6541.4339651416121</v>
      </c>
      <c r="K1757">
        <f>IFERROR(tblMoeHistory[[#This Row],[ESD State and Local Amount]]/tblMoeHistory[[#This Row],[Child Count]],0)</f>
        <v>1035.3725490196077</v>
      </c>
      <c r="L1757" s="1">
        <f>IFERROR(tblMoeHistory[[#This Row],[State and Local Total Amount]]/tblMoeHistory[[#This Row],[Child Count]],0)</f>
        <v>7576.8065141612196</v>
      </c>
      <c r="M1757">
        <v>0</v>
      </c>
      <c r="N1757" t="s">
        <v>241</v>
      </c>
      <c r="O1757">
        <v>441933.62</v>
      </c>
      <c r="P1757">
        <v>3747.77</v>
      </c>
      <c r="Q1757">
        <f>tblMoeHistory[[#This Row],[Amount of IDEA Part B, Section 611 award]]+tblMoeHistory[[#This Row],[Amount of IDEA Part B, Section 619 award]]</f>
        <v>445681.39</v>
      </c>
      <c r="U17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7" t="str">
        <f>IF(OR(IFERROR(SEARCH("Met",tblMoeHistory[[#This Row],[State and Local Per Capita Result]]),0)&gt;0,IFERROR(SEARCH("Met",tblMoeHistory[[#This Row],[State and Local Total Result]]),0)&gt;0),"Met","Not Met")</f>
        <v>Met</v>
      </c>
    </row>
    <row r="1758" spans="1:22" x14ac:dyDescent="0.35">
      <c r="A1758" t="s">
        <v>203</v>
      </c>
      <c r="B1758">
        <v>2055</v>
      </c>
      <c r="C1758" t="s">
        <v>243</v>
      </c>
      <c r="D1758">
        <v>560</v>
      </c>
      <c r="E1758">
        <v>8307034.2999999998</v>
      </c>
      <c r="F1758">
        <v>302160.81</v>
      </c>
      <c r="G1758">
        <f>tblMoeHistory[[#This Row],[LEA State and Local Amount]]+tblMoeHistory[[#This Row],[ESD State and Local Amount]]</f>
        <v>8609195.1099999994</v>
      </c>
      <c r="H1758">
        <v>0</v>
      </c>
      <c r="I1758" t="s">
        <v>241</v>
      </c>
      <c r="J1758" s="44">
        <f>IFERROR(tblMoeHistory[[#This Row],[LEA State and Local Amount]]/tblMoeHistory[[#This Row],[Child Count]],0)</f>
        <v>14833.989821428571</v>
      </c>
      <c r="K1758">
        <f>IFERROR(tblMoeHistory[[#This Row],[ESD State and Local Amount]]/tblMoeHistory[[#This Row],[Child Count]],0)</f>
        <v>539.57287499999995</v>
      </c>
      <c r="L1758" s="1">
        <f>IFERROR(tblMoeHistory[[#This Row],[State and Local Total Amount]]/tblMoeHistory[[#This Row],[Child Count]],0)</f>
        <v>15373.562696428571</v>
      </c>
      <c r="M1758">
        <v>0</v>
      </c>
      <c r="N1758" t="s">
        <v>241</v>
      </c>
      <c r="O1758">
        <v>879340.52</v>
      </c>
      <c r="P1758">
        <v>11127.63</v>
      </c>
      <c r="Q1758">
        <f>tblMoeHistory[[#This Row],[Amount of IDEA Part B, Section 611 award]]+tblMoeHistory[[#This Row],[Amount of IDEA Part B, Section 619 award]]</f>
        <v>890468.15</v>
      </c>
      <c r="U17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8" t="str">
        <f>IF(OR(IFERROR(SEARCH("Met",tblMoeHistory[[#This Row],[State and Local Per Capita Result]]),0)&gt;0,IFERROR(SEARCH("Met",tblMoeHistory[[#This Row],[State and Local Total Result]]),0)&gt;0),"Met","Not Met")</f>
        <v>Met</v>
      </c>
    </row>
    <row r="1759" spans="1:22" x14ac:dyDescent="0.35">
      <c r="A1759" t="s">
        <v>204</v>
      </c>
      <c r="B1759">
        <v>2242</v>
      </c>
      <c r="C1759" t="s">
        <v>243</v>
      </c>
      <c r="D1759">
        <v>1300</v>
      </c>
      <c r="E1759">
        <v>12990952.1</v>
      </c>
      <c r="F1759">
        <v>2365837</v>
      </c>
      <c r="G1759">
        <f>tblMoeHistory[[#This Row],[LEA State and Local Amount]]+tblMoeHistory[[#This Row],[ESD State and Local Amount]]</f>
        <v>15356789.1</v>
      </c>
      <c r="H1759">
        <v>0</v>
      </c>
      <c r="I1759" t="s">
        <v>241</v>
      </c>
      <c r="J1759" s="44">
        <f>IFERROR(tblMoeHistory[[#This Row],[LEA State and Local Amount]]/tblMoeHistory[[#This Row],[Child Count]],0)</f>
        <v>9993.0400769230764</v>
      </c>
      <c r="K1759">
        <f>IFERROR(tblMoeHistory[[#This Row],[ESD State and Local Amount]]/tblMoeHistory[[#This Row],[Child Count]],0)</f>
        <v>1819.8746153846155</v>
      </c>
      <c r="L1759" s="1">
        <f>IFERROR(tblMoeHistory[[#This Row],[State and Local Total Amount]]/tblMoeHistory[[#This Row],[Child Count]],0)</f>
        <v>11812.914692307691</v>
      </c>
      <c r="M1759">
        <v>0</v>
      </c>
      <c r="N1759" t="s">
        <v>241</v>
      </c>
      <c r="O1759">
        <v>1955825.68</v>
      </c>
      <c r="P1759">
        <v>10237.950000000001</v>
      </c>
      <c r="Q1759">
        <f>tblMoeHistory[[#This Row],[Amount of IDEA Part B, Section 611 award]]+tblMoeHistory[[#This Row],[Amount of IDEA Part B, Section 619 award]]</f>
        <v>1966063.63</v>
      </c>
      <c r="U17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9" t="str">
        <f>IF(OR(IFERROR(SEARCH("Met",tblMoeHistory[[#This Row],[State and Local Per Capita Result]]),0)&gt;0,IFERROR(SEARCH("Met",tblMoeHistory[[#This Row],[State and Local Total Result]]),0)&gt;0),"Met","Not Met")</f>
        <v>Met</v>
      </c>
    </row>
    <row r="1760" spans="1:22" x14ac:dyDescent="0.35">
      <c r="A1760" t="s">
        <v>205</v>
      </c>
      <c r="B1760">
        <v>2197</v>
      </c>
      <c r="C1760" t="s">
        <v>243</v>
      </c>
      <c r="D1760">
        <v>290</v>
      </c>
      <c r="E1760">
        <v>3515637.22</v>
      </c>
      <c r="F1760">
        <v>387428</v>
      </c>
      <c r="G1760">
        <f>tblMoeHistory[[#This Row],[LEA State and Local Amount]]+tblMoeHistory[[#This Row],[ESD State and Local Amount]]</f>
        <v>3903065.22</v>
      </c>
      <c r="H1760">
        <v>0</v>
      </c>
      <c r="I1760" t="s">
        <v>241</v>
      </c>
      <c r="J1760" s="44">
        <f>IFERROR(tblMoeHistory[[#This Row],[LEA State and Local Amount]]/tblMoeHistory[[#This Row],[Child Count]],0)</f>
        <v>12122.886965517242</v>
      </c>
      <c r="K1760">
        <f>IFERROR(tblMoeHistory[[#This Row],[ESD State and Local Amount]]/tblMoeHistory[[#This Row],[Child Count]],0)</f>
        <v>1335.9586206896552</v>
      </c>
      <c r="L1760" s="1">
        <f>IFERROR(tblMoeHistory[[#This Row],[State and Local Total Amount]]/tblMoeHistory[[#This Row],[Child Count]],0)</f>
        <v>13458.845586206897</v>
      </c>
      <c r="M1760">
        <v>0</v>
      </c>
      <c r="N1760" t="s">
        <v>241</v>
      </c>
      <c r="O1760">
        <v>389741.87</v>
      </c>
      <c r="P1760">
        <v>3684.4</v>
      </c>
      <c r="Q1760">
        <f>tblMoeHistory[[#This Row],[Amount of IDEA Part B, Section 611 award]]+tblMoeHistory[[#This Row],[Amount of IDEA Part B, Section 619 award]]</f>
        <v>393426.27</v>
      </c>
      <c r="U17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0" t="str">
        <f>IF(OR(IFERROR(SEARCH("Met",tblMoeHistory[[#This Row],[State and Local Per Capita Result]]),0)&gt;0,IFERROR(SEARCH("Met",tblMoeHistory[[#This Row],[State and Local Total Result]]),0)&gt;0),"Met","Not Met")</f>
        <v>Met</v>
      </c>
    </row>
    <row r="1761" spans="1:22" x14ac:dyDescent="0.35">
      <c r="A1761" t="s">
        <v>206</v>
      </c>
      <c r="B1761">
        <v>2222</v>
      </c>
      <c r="C1761" t="s">
        <v>243</v>
      </c>
      <c r="D1761">
        <v>0</v>
      </c>
      <c r="E1761">
        <v>0</v>
      </c>
      <c r="F1761">
        <v>3700</v>
      </c>
      <c r="G1761">
        <f>tblMoeHistory[[#This Row],[LEA State and Local Amount]]+tblMoeHistory[[#This Row],[ESD State and Local Amount]]</f>
        <v>3700</v>
      </c>
      <c r="H1761">
        <v>0</v>
      </c>
      <c r="I1761" t="s">
        <v>241</v>
      </c>
      <c r="J1761" s="44">
        <f>IFERROR(tblMoeHistory[[#This Row],[LEA State and Local Amount]]/tblMoeHistory[[#This Row],[Child Count]],0)</f>
        <v>0</v>
      </c>
      <c r="K1761">
        <f>IFERROR(tblMoeHistory[[#This Row],[ESD State and Local Amount]]/tblMoeHistory[[#This Row],[Child Count]],0)</f>
        <v>0</v>
      </c>
      <c r="L1761" s="1">
        <f>IFERROR(tblMoeHistory[[#This Row],[State and Local Total Amount]]/tblMoeHistory[[#This Row],[Child Count]],0)</f>
        <v>0</v>
      </c>
      <c r="M1761">
        <v>0</v>
      </c>
      <c r="N1761" t="s">
        <v>241</v>
      </c>
      <c r="O1761">
        <v>2088.0700000000002</v>
      </c>
      <c r="P1761">
        <v>0</v>
      </c>
      <c r="Q1761">
        <f>tblMoeHistory[[#This Row],[Amount of IDEA Part B, Section 611 award]]+tblMoeHistory[[#This Row],[Amount of IDEA Part B, Section 619 award]]</f>
        <v>2088.0700000000002</v>
      </c>
      <c r="U17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1" t="str">
        <f>IF(OR(IFERROR(SEARCH("Met",tblMoeHistory[[#This Row],[State and Local Per Capita Result]]),0)&gt;0,IFERROR(SEARCH("Met",tblMoeHistory[[#This Row],[State and Local Total Result]]),0)&gt;0),"Met","Not Met")</f>
        <v>Met</v>
      </c>
    </row>
    <row r="1762" spans="1:22" x14ac:dyDescent="0.35">
      <c r="A1762" t="s">
        <v>207</v>
      </c>
      <c r="B1762">
        <v>2210</v>
      </c>
      <c r="C1762" t="s">
        <v>243</v>
      </c>
      <c r="D1762">
        <v>4</v>
      </c>
      <c r="E1762">
        <v>4976.1499999999996</v>
      </c>
      <c r="F1762">
        <v>6795.9</v>
      </c>
      <c r="G1762">
        <f>tblMoeHistory[[#This Row],[LEA State and Local Amount]]+tblMoeHistory[[#This Row],[ESD State and Local Amount]]</f>
        <v>11772.05</v>
      </c>
      <c r="H1762">
        <v>0</v>
      </c>
      <c r="I1762" t="s">
        <v>241</v>
      </c>
      <c r="J1762" s="44">
        <f>IFERROR(tblMoeHistory[[#This Row],[LEA State and Local Amount]]/tblMoeHistory[[#This Row],[Child Count]],0)</f>
        <v>1244.0374999999999</v>
      </c>
      <c r="K1762">
        <f>IFERROR(tblMoeHistory[[#This Row],[ESD State and Local Amount]]/tblMoeHistory[[#This Row],[Child Count]],0)</f>
        <v>1698.9749999999999</v>
      </c>
      <c r="L1762" s="1">
        <f>IFERROR(tblMoeHistory[[#This Row],[State and Local Total Amount]]/tblMoeHistory[[#This Row],[Child Count]],0)</f>
        <v>2943.0124999999998</v>
      </c>
      <c r="M1762">
        <v>4247.2900000000009</v>
      </c>
      <c r="N1762" t="s">
        <v>240</v>
      </c>
      <c r="O1762">
        <v>6819.64</v>
      </c>
      <c r="P1762">
        <v>0</v>
      </c>
      <c r="Q1762">
        <f>tblMoeHistory[[#This Row],[Amount of IDEA Part B, Section 611 award]]+tblMoeHistory[[#This Row],[Amount of IDEA Part B, Section 619 award]]</f>
        <v>6819.64</v>
      </c>
      <c r="T1762">
        <v>0</v>
      </c>
      <c r="U17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2" t="str">
        <f>IF(OR(IFERROR(SEARCH("Met",tblMoeHistory[[#This Row],[State and Local Per Capita Result]]),0)&gt;0,IFERROR(SEARCH("Met",tblMoeHistory[[#This Row],[State and Local Total Result]]),0)&gt;0),"Met","Not Met")</f>
        <v>Met</v>
      </c>
    </row>
    <row r="1763" spans="1:22" x14ac:dyDescent="0.35">
      <c r="A1763" t="s">
        <v>208</v>
      </c>
      <c r="B1763">
        <v>2204</v>
      </c>
      <c r="C1763" t="s">
        <v>243</v>
      </c>
      <c r="D1763">
        <v>131</v>
      </c>
      <c r="E1763">
        <v>1415929.25</v>
      </c>
      <c r="F1763">
        <v>231332.26</v>
      </c>
      <c r="G1763">
        <f>tblMoeHistory[[#This Row],[LEA State and Local Amount]]+tblMoeHistory[[#This Row],[ESD State and Local Amount]]</f>
        <v>1647261.51</v>
      </c>
      <c r="H1763">
        <v>0</v>
      </c>
      <c r="I1763" t="s">
        <v>241</v>
      </c>
      <c r="J1763" s="44">
        <f>IFERROR(tblMoeHistory[[#This Row],[LEA State and Local Amount]]/tblMoeHistory[[#This Row],[Child Count]],0)</f>
        <v>10808.620229007634</v>
      </c>
      <c r="K1763">
        <f>IFERROR(tblMoeHistory[[#This Row],[ESD State and Local Amount]]/tblMoeHistory[[#This Row],[Child Count]],0)</f>
        <v>1765.8951145038168</v>
      </c>
      <c r="L1763" s="1">
        <f>IFERROR(tblMoeHistory[[#This Row],[State and Local Total Amount]]/tblMoeHistory[[#This Row],[Child Count]],0)</f>
        <v>12574.51534351145</v>
      </c>
      <c r="M1763">
        <v>0</v>
      </c>
      <c r="N1763" t="s">
        <v>241</v>
      </c>
      <c r="O1763">
        <v>191914.34</v>
      </c>
      <c r="P1763">
        <v>1674.73</v>
      </c>
      <c r="Q1763">
        <f>tblMoeHistory[[#This Row],[Amount of IDEA Part B, Section 611 award]]+tblMoeHistory[[#This Row],[Amount of IDEA Part B, Section 619 award]]</f>
        <v>193589.07</v>
      </c>
      <c r="U17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3" t="str">
        <f>IF(OR(IFERROR(SEARCH("Met",tblMoeHistory[[#This Row],[State and Local Per Capita Result]]),0)&gt;0,IFERROR(SEARCH("Met",tblMoeHistory[[#This Row],[State and Local Total Result]]),0)&gt;0),"Met","Not Met")</f>
        <v>Met</v>
      </c>
    </row>
    <row r="1764" spans="1:22" x14ac:dyDescent="0.35">
      <c r="A1764" t="s">
        <v>209</v>
      </c>
      <c r="B1764">
        <v>2213</v>
      </c>
      <c r="C1764" t="s">
        <v>243</v>
      </c>
      <c r="D1764">
        <v>39</v>
      </c>
      <c r="E1764">
        <v>400788.36</v>
      </c>
      <c r="F1764">
        <v>66248.44</v>
      </c>
      <c r="G1764">
        <f>tblMoeHistory[[#This Row],[LEA State and Local Amount]]+tblMoeHistory[[#This Row],[ESD State and Local Amount]]</f>
        <v>467036.8</v>
      </c>
      <c r="H1764">
        <v>0</v>
      </c>
      <c r="I1764" t="s">
        <v>241</v>
      </c>
      <c r="J1764" s="44">
        <f>IFERROR(tblMoeHistory[[#This Row],[LEA State and Local Amount]]/tblMoeHistory[[#This Row],[Child Count]],0)</f>
        <v>10276.624615384615</v>
      </c>
      <c r="K1764">
        <f>IFERROR(tblMoeHistory[[#This Row],[ESD State and Local Amount]]/tblMoeHistory[[#This Row],[Child Count]],0)</f>
        <v>1698.6779487179488</v>
      </c>
      <c r="L1764" s="1">
        <f>IFERROR(tblMoeHistory[[#This Row],[State and Local Total Amount]]/tblMoeHistory[[#This Row],[Child Count]],0)</f>
        <v>11975.302564102563</v>
      </c>
      <c r="M1764">
        <v>5184.2521052648153</v>
      </c>
      <c r="N1764" t="s">
        <v>240</v>
      </c>
      <c r="O1764">
        <v>59404.43</v>
      </c>
      <c r="P1764">
        <v>0</v>
      </c>
      <c r="Q1764">
        <f>tblMoeHistory[[#This Row],[Amount of IDEA Part B, Section 611 award]]+tblMoeHistory[[#This Row],[Amount of IDEA Part B, Section 619 award]]</f>
        <v>59404.43</v>
      </c>
      <c r="T1764">
        <v>0</v>
      </c>
      <c r="U17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4" t="str">
        <f>IF(OR(IFERROR(SEARCH("Met",tblMoeHistory[[#This Row],[State and Local Per Capita Result]]),0)&gt;0,IFERROR(SEARCH("Met",tblMoeHistory[[#This Row],[State and Local Total Result]]),0)&gt;0),"Met","Not Met")</f>
        <v>Met</v>
      </c>
    </row>
    <row r="1765" spans="1:22" x14ac:dyDescent="0.35">
      <c r="A1765" t="s">
        <v>210</v>
      </c>
      <c r="B1765">
        <v>2116</v>
      </c>
      <c r="C1765" t="s">
        <v>243</v>
      </c>
      <c r="D1765">
        <v>104</v>
      </c>
      <c r="E1765">
        <v>823023.94</v>
      </c>
      <c r="F1765">
        <v>323760.05</v>
      </c>
      <c r="G1765">
        <f>tblMoeHistory[[#This Row],[LEA State and Local Amount]]+tblMoeHistory[[#This Row],[ESD State and Local Amount]]</f>
        <v>1146783.99</v>
      </c>
      <c r="H1765">
        <v>0</v>
      </c>
      <c r="I1765" t="s">
        <v>241</v>
      </c>
      <c r="J1765" s="44">
        <f>IFERROR(tblMoeHistory[[#This Row],[LEA State and Local Amount]]/tblMoeHistory[[#This Row],[Child Count]],0)</f>
        <v>7913.6917307692302</v>
      </c>
      <c r="K1765">
        <f>IFERROR(tblMoeHistory[[#This Row],[ESD State and Local Amount]]/tblMoeHistory[[#This Row],[Child Count]],0)</f>
        <v>3113.0774038461536</v>
      </c>
      <c r="L1765" s="1">
        <f>IFERROR(tblMoeHistory[[#This Row],[State and Local Total Amount]]/tblMoeHistory[[#This Row],[Child Count]],0)</f>
        <v>11026.769134615384</v>
      </c>
      <c r="M1765">
        <v>0</v>
      </c>
      <c r="N1765" t="s">
        <v>241</v>
      </c>
      <c r="O1765">
        <v>179396.58</v>
      </c>
      <c r="P1765">
        <v>669.89</v>
      </c>
      <c r="Q1765">
        <f>tblMoeHistory[[#This Row],[Amount of IDEA Part B, Section 611 award]]+tblMoeHistory[[#This Row],[Amount of IDEA Part B, Section 619 award]]</f>
        <v>180066.47</v>
      </c>
      <c r="U17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5" t="str">
        <f>IF(OR(IFERROR(SEARCH("Met",tblMoeHistory[[#This Row],[State and Local Per Capita Result]]),0)&gt;0,IFERROR(SEARCH("Met",tblMoeHistory[[#This Row],[State and Local Total Result]]),0)&gt;0),"Met","Not Met")</f>
        <v>Met</v>
      </c>
    </row>
    <row r="1766" spans="1:22" x14ac:dyDescent="0.35">
      <c r="A1766" t="s">
        <v>211</v>
      </c>
      <c r="B1766">
        <v>1947</v>
      </c>
      <c r="C1766" t="s">
        <v>243</v>
      </c>
      <c r="D1766">
        <v>101</v>
      </c>
      <c r="E1766">
        <v>1217145.31</v>
      </c>
      <c r="F1766">
        <v>91880</v>
      </c>
      <c r="G1766">
        <f>tblMoeHistory[[#This Row],[LEA State and Local Amount]]+tblMoeHistory[[#This Row],[ESD State and Local Amount]]</f>
        <v>1309025.31</v>
      </c>
      <c r="H1766">
        <v>0</v>
      </c>
      <c r="I1766" t="s">
        <v>241</v>
      </c>
      <c r="J1766" s="44">
        <f>IFERROR(tblMoeHistory[[#This Row],[LEA State and Local Amount]]/tblMoeHistory[[#This Row],[Child Count]],0)</f>
        <v>12050.943663366337</v>
      </c>
      <c r="K1766">
        <f>IFERROR(tblMoeHistory[[#This Row],[ESD State and Local Amount]]/tblMoeHistory[[#This Row],[Child Count]],0)</f>
        <v>909.70297029702965</v>
      </c>
      <c r="L1766" s="1">
        <f>IFERROR(tblMoeHistory[[#This Row],[State and Local Total Amount]]/tblMoeHistory[[#This Row],[Child Count]],0)</f>
        <v>12960.646633663368</v>
      </c>
      <c r="M1766">
        <v>227312.39627907457</v>
      </c>
      <c r="N1766" t="s">
        <v>240</v>
      </c>
      <c r="O1766">
        <v>113569.77</v>
      </c>
      <c r="P1766">
        <v>2302.75</v>
      </c>
      <c r="Q1766">
        <f>tblMoeHistory[[#This Row],[Amount of IDEA Part B, Section 611 award]]+tblMoeHistory[[#This Row],[Amount of IDEA Part B, Section 619 award]]</f>
        <v>115872.52</v>
      </c>
      <c r="T1766">
        <v>0</v>
      </c>
      <c r="U17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6" t="str">
        <f>IF(OR(IFERROR(SEARCH("Met",tblMoeHistory[[#This Row],[State and Local Per Capita Result]]),0)&gt;0,IFERROR(SEARCH("Met",tblMoeHistory[[#This Row],[State and Local Total Result]]),0)&gt;0),"Met","Not Met")</f>
        <v>Met</v>
      </c>
    </row>
    <row r="1767" spans="1:22" x14ac:dyDescent="0.35">
      <c r="A1767" t="s">
        <v>212</v>
      </c>
      <c r="B1767">
        <v>2220</v>
      </c>
      <c r="C1767" t="s">
        <v>243</v>
      </c>
      <c r="D1767">
        <v>29</v>
      </c>
      <c r="E1767">
        <v>61107.31</v>
      </c>
      <c r="F1767">
        <v>156194.09</v>
      </c>
      <c r="G1767">
        <f>tblMoeHistory[[#This Row],[LEA State and Local Amount]]+tblMoeHistory[[#This Row],[ESD State and Local Amount]]</f>
        <v>217301.4</v>
      </c>
      <c r="H1767">
        <v>0</v>
      </c>
      <c r="I1767" t="s">
        <v>241</v>
      </c>
      <c r="J1767" s="44">
        <f>IFERROR(tblMoeHistory[[#This Row],[LEA State and Local Amount]]/tblMoeHistory[[#This Row],[Child Count]],0)</f>
        <v>2107.1486206896552</v>
      </c>
      <c r="K1767">
        <f>IFERROR(tblMoeHistory[[#This Row],[ESD State and Local Amount]]/tblMoeHistory[[#This Row],[Child Count]],0)</f>
        <v>5386.0031034482754</v>
      </c>
      <c r="L1767" s="1">
        <f>IFERROR(tblMoeHistory[[#This Row],[State and Local Total Amount]]/tblMoeHistory[[#This Row],[Child Count]],0)</f>
        <v>7493.1517241379306</v>
      </c>
      <c r="M1767">
        <v>0</v>
      </c>
      <c r="N1767" t="s">
        <v>241</v>
      </c>
      <c r="O1767">
        <v>50531</v>
      </c>
      <c r="P1767">
        <v>401.93</v>
      </c>
      <c r="Q1767">
        <f>tblMoeHistory[[#This Row],[Amount of IDEA Part B, Section 611 award]]+tblMoeHistory[[#This Row],[Amount of IDEA Part B, Section 619 award]]</f>
        <v>50932.93</v>
      </c>
      <c r="U17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7" t="str">
        <f>IF(OR(IFERROR(SEARCH("Met",tblMoeHistory[[#This Row],[State and Local Per Capita Result]]),0)&gt;0,IFERROR(SEARCH("Met",tblMoeHistory[[#This Row],[State and Local Total Result]]),0)&gt;0),"Met","Not Met")</f>
        <v>Met</v>
      </c>
    </row>
    <row r="1768" spans="1:22" x14ac:dyDescent="0.35">
      <c r="A1768" t="s">
        <v>213</v>
      </c>
      <c r="B1768">
        <v>1936</v>
      </c>
      <c r="C1768" t="s">
        <v>243</v>
      </c>
      <c r="D1768">
        <v>136</v>
      </c>
      <c r="E1768">
        <v>1509699.66</v>
      </c>
      <c r="F1768">
        <v>283212</v>
      </c>
      <c r="G1768">
        <f>tblMoeHistory[[#This Row],[LEA State and Local Amount]]+tblMoeHistory[[#This Row],[ESD State and Local Amount]]</f>
        <v>1792911.66</v>
      </c>
      <c r="H1768">
        <v>0</v>
      </c>
      <c r="I1768" t="s">
        <v>242</v>
      </c>
      <c r="J1768" s="44">
        <f>IFERROR(tblMoeHistory[[#This Row],[LEA State and Local Amount]]/tblMoeHistory[[#This Row],[Child Count]],0)</f>
        <v>11100.732794117646</v>
      </c>
      <c r="K1768">
        <f>IFERROR(tblMoeHistory[[#This Row],[ESD State and Local Amount]]/tblMoeHistory[[#This Row],[Child Count]],0)</f>
        <v>2082.4411764705883</v>
      </c>
      <c r="L1768" s="1">
        <f>IFERROR(tblMoeHistory[[#This Row],[State and Local Total Amount]]/tblMoeHistory[[#This Row],[Child Count]],0)</f>
        <v>13183.173970588236</v>
      </c>
      <c r="M1768">
        <v>0</v>
      </c>
      <c r="N1768" t="s">
        <v>241</v>
      </c>
      <c r="O1768">
        <v>161709.32999999999</v>
      </c>
      <c r="P1768">
        <v>1435.48</v>
      </c>
      <c r="Q1768">
        <f>tblMoeHistory[[#This Row],[Amount of IDEA Part B, Section 611 award]]+tblMoeHistory[[#This Row],[Amount of IDEA Part B, Section 619 award]]</f>
        <v>163144.81</v>
      </c>
      <c r="S1768">
        <v>199464.18</v>
      </c>
      <c r="U17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8" t="str">
        <f>IF(OR(IFERROR(SEARCH("Met",tblMoeHistory[[#This Row],[State and Local Per Capita Result]]),0)&gt;0,IFERROR(SEARCH("Met",tblMoeHistory[[#This Row],[State and Local Total Result]]),0)&gt;0),"Met","Not Met")</f>
        <v>Met</v>
      </c>
    </row>
    <row r="1769" spans="1:22" x14ac:dyDescent="0.35">
      <c r="A1769" t="s">
        <v>214</v>
      </c>
      <c r="B1769">
        <v>1922</v>
      </c>
      <c r="C1769" t="s">
        <v>243</v>
      </c>
      <c r="D1769">
        <v>1101</v>
      </c>
      <c r="E1769">
        <v>12582015.57</v>
      </c>
      <c r="F1769">
        <v>89638</v>
      </c>
      <c r="G1769">
        <f>tblMoeHistory[[#This Row],[LEA State and Local Amount]]+tblMoeHistory[[#This Row],[ESD State and Local Amount]]</f>
        <v>12671653.57</v>
      </c>
      <c r="H1769">
        <v>0</v>
      </c>
      <c r="I1769" t="s">
        <v>241</v>
      </c>
      <c r="J1769" s="44">
        <f>IFERROR(tblMoeHistory[[#This Row],[LEA State and Local Amount]]/tblMoeHistory[[#This Row],[Child Count]],0)</f>
        <v>11427.807057220709</v>
      </c>
      <c r="K1769">
        <f>IFERROR(tblMoeHistory[[#This Row],[ESD State and Local Amount]]/tblMoeHistory[[#This Row],[Child Count]],0)</f>
        <v>81.415077202543145</v>
      </c>
      <c r="L1769" s="1">
        <f>IFERROR(tblMoeHistory[[#This Row],[State and Local Total Amount]]/tblMoeHistory[[#This Row],[Child Count]],0)</f>
        <v>11509.222134423251</v>
      </c>
      <c r="M1769">
        <v>0</v>
      </c>
      <c r="N1769" t="s">
        <v>241</v>
      </c>
      <c r="O1769">
        <v>1306976.6399999999</v>
      </c>
      <c r="P1769">
        <v>7285.06</v>
      </c>
      <c r="Q1769">
        <f>tblMoeHistory[[#This Row],[Amount of IDEA Part B, Section 611 award]]+tblMoeHistory[[#This Row],[Amount of IDEA Part B, Section 619 award]]</f>
        <v>1314261.7</v>
      </c>
      <c r="U17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9" t="str">
        <f>IF(OR(IFERROR(SEARCH("Met",tblMoeHistory[[#This Row],[State and Local Per Capita Result]]),0)&gt;0,IFERROR(SEARCH("Met",tblMoeHistory[[#This Row],[State and Local Total Result]]),0)&gt;0),"Met","Not Met")</f>
        <v>Met</v>
      </c>
    </row>
    <row r="1770" spans="1:22" x14ac:dyDescent="0.35">
      <c r="A1770" t="s">
        <v>215</v>
      </c>
      <c r="B1770">
        <v>2255</v>
      </c>
      <c r="C1770" t="s">
        <v>243</v>
      </c>
      <c r="D1770">
        <v>152</v>
      </c>
      <c r="E1770">
        <v>1207886.8700000001</v>
      </c>
      <c r="F1770">
        <v>28981.13</v>
      </c>
      <c r="G1770">
        <f>tblMoeHistory[[#This Row],[LEA State and Local Amount]]+tblMoeHistory[[#This Row],[ESD State and Local Amount]]</f>
        <v>1236868</v>
      </c>
      <c r="H1770">
        <v>0</v>
      </c>
      <c r="I1770" t="s">
        <v>241</v>
      </c>
      <c r="J1770" s="44">
        <f>IFERROR(tblMoeHistory[[#This Row],[LEA State and Local Amount]]/tblMoeHistory[[#This Row],[Child Count]],0)</f>
        <v>7946.6241447368429</v>
      </c>
      <c r="K1770">
        <f>IFERROR(tblMoeHistory[[#This Row],[ESD State and Local Amount]]/tblMoeHistory[[#This Row],[Child Count]],0)</f>
        <v>190.66532894736844</v>
      </c>
      <c r="L1770" s="1">
        <f>IFERROR(tblMoeHistory[[#This Row],[State and Local Total Amount]]/tblMoeHistory[[#This Row],[Child Count]],0)</f>
        <v>8137.2894736842109</v>
      </c>
      <c r="M1770">
        <v>51171.225613497285</v>
      </c>
      <c r="N1770" t="s">
        <v>240</v>
      </c>
      <c r="O1770">
        <v>205826.26</v>
      </c>
      <c r="P1770">
        <v>1552.93</v>
      </c>
      <c r="Q1770">
        <f>tblMoeHistory[[#This Row],[Amount of IDEA Part B, Section 611 award]]+tblMoeHistory[[#This Row],[Amount of IDEA Part B, Section 619 award]]</f>
        <v>207379.19</v>
      </c>
      <c r="T1770">
        <v>633.66999999999996</v>
      </c>
      <c r="U17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0" t="str">
        <f>IF(OR(IFERROR(SEARCH("Met",tblMoeHistory[[#This Row],[State and Local Per Capita Result]]),0)&gt;0,IFERROR(SEARCH("Met",tblMoeHistory[[#This Row],[State and Local Total Result]]),0)&gt;0),"Met","Not Met")</f>
        <v>Met</v>
      </c>
    </row>
    <row r="1771" spans="1:22" x14ac:dyDescent="0.35">
      <c r="A1771" t="s">
        <v>216</v>
      </c>
      <c r="B1771">
        <v>2002</v>
      </c>
      <c r="C1771" t="s">
        <v>243</v>
      </c>
      <c r="D1771">
        <v>188</v>
      </c>
      <c r="E1771">
        <v>1400007.84</v>
      </c>
      <c r="F1771">
        <v>298213.64</v>
      </c>
      <c r="G1771">
        <f>tblMoeHistory[[#This Row],[LEA State and Local Amount]]+tblMoeHistory[[#This Row],[ESD State and Local Amount]]</f>
        <v>1698221.48</v>
      </c>
      <c r="H1771">
        <v>0</v>
      </c>
      <c r="I1771" t="s">
        <v>241</v>
      </c>
      <c r="J1771" s="44">
        <f>IFERROR(tblMoeHistory[[#This Row],[LEA State and Local Amount]]/tblMoeHistory[[#This Row],[Child Count]],0)</f>
        <v>7446.8502127659576</v>
      </c>
      <c r="K1771">
        <f>IFERROR(tblMoeHistory[[#This Row],[ESD State and Local Amount]]/tblMoeHistory[[#This Row],[Child Count]],0)</f>
        <v>1586.2427659574469</v>
      </c>
      <c r="L1771" s="1">
        <f>IFERROR(tblMoeHistory[[#This Row],[State and Local Total Amount]]/tblMoeHistory[[#This Row],[Child Count]],0)</f>
        <v>9033.0929787234036</v>
      </c>
      <c r="M1771">
        <v>36802.854207651195</v>
      </c>
      <c r="N1771" t="s">
        <v>240</v>
      </c>
      <c r="O1771">
        <v>259498.16</v>
      </c>
      <c r="P1771">
        <v>2877.48</v>
      </c>
      <c r="Q1771">
        <f>tblMoeHistory[[#This Row],[Amount of IDEA Part B, Section 611 award]]+tblMoeHistory[[#This Row],[Amount of IDEA Part B, Section 619 award]]</f>
        <v>262375.64</v>
      </c>
      <c r="T1771">
        <v>0</v>
      </c>
      <c r="U17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1" t="str">
        <f>IF(OR(IFERROR(SEARCH("Met",tblMoeHistory[[#This Row],[State and Local Per Capita Result]]),0)&gt;0,IFERROR(SEARCH("Met",tblMoeHistory[[#This Row],[State and Local Total Result]]),0)&gt;0),"Met","Not Met")</f>
        <v>Met</v>
      </c>
    </row>
    <row r="1772" spans="1:22" x14ac:dyDescent="0.35">
      <c r="A1772" t="s">
        <v>217</v>
      </c>
      <c r="B1772">
        <v>2146</v>
      </c>
      <c r="C1772" t="s">
        <v>243</v>
      </c>
      <c r="D1772">
        <v>830</v>
      </c>
      <c r="E1772">
        <v>7932918.9000000004</v>
      </c>
      <c r="F1772">
        <v>595620.09</v>
      </c>
      <c r="G1772">
        <f>tblMoeHistory[[#This Row],[LEA State and Local Amount]]+tblMoeHistory[[#This Row],[ESD State and Local Amount]]</f>
        <v>8528538.9900000002</v>
      </c>
      <c r="H1772">
        <v>0</v>
      </c>
      <c r="I1772" t="s">
        <v>241</v>
      </c>
      <c r="J1772" s="44">
        <f>IFERROR(tblMoeHistory[[#This Row],[LEA State and Local Amount]]/tblMoeHistory[[#This Row],[Child Count]],0)</f>
        <v>9557.7336144578312</v>
      </c>
      <c r="K1772">
        <f>IFERROR(tblMoeHistory[[#This Row],[ESD State and Local Amount]]/tblMoeHistory[[#This Row],[Child Count]],0)</f>
        <v>717.61456626506015</v>
      </c>
      <c r="L1772" s="1">
        <f>IFERROR(tblMoeHistory[[#This Row],[State and Local Total Amount]]/tblMoeHistory[[#This Row],[Child Count]],0)</f>
        <v>10275.348180722893</v>
      </c>
      <c r="M1772">
        <v>0</v>
      </c>
      <c r="N1772" t="s">
        <v>241</v>
      </c>
      <c r="O1772">
        <v>845956.8</v>
      </c>
      <c r="P1772">
        <v>3699.62</v>
      </c>
      <c r="Q1772">
        <f>tblMoeHistory[[#This Row],[Amount of IDEA Part B, Section 611 award]]+tblMoeHistory[[#This Row],[Amount of IDEA Part B, Section 619 award]]</f>
        <v>849656.42</v>
      </c>
      <c r="U17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2" t="str">
        <f>IF(OR(IFERROR(SEARCH("Met",tblMoeHistory[[#This Row],[State and Local Per Capita Result]]),0)&gt;0,IFERROR(SEARCH("Met",tblMoeHistory[[#This Row],[State and Local Total Result]]),0)&gt;0),"Met","Not Met")</f>
        <v>Met</v>
      </c>
    </row>
    <row r="1773" spans="1:22" x14ac:dyDescent="0.35">
      <c r="A1773" t="s">
        <v>218</v>
      </c>
      <c r="B1773">
        <v>2251</v>
      </c>
      <c r="C1773" t="s">
        <v>243</v>
      </c>
      <c r="D1773">
        <v>121</v>
      </c>
      <c r="E1773">
        <v>1625887.8</v>
      </c>
      <c r="F1773">
        <v>176712.14</v>
      </c>
      <c r="G1773">
        <f>tblMoeHistory[[#This Row],[LEA State and Local Amount]]+tblMoeHistory[[#This Row],[ESD State and Local Amount]]</f>
        <v>1802599.94</v>
      </c>
      <c r="H1773">
        <v>0</v>
      </c>
      <c r="I1773" t="s">
        <v>241</v>
      </c>
      <c r="J1773" s="44">
        <f>IFERROR(tblMoeHistory[[#This Row],[LEA State and Local Amount]]/tblMoeHistory[[#This Row],[Child Count]],0)</f>
        <v>13437.089256198347</v>
      </c>
      <c r="K1773">
        <f>IFERROR(tblMoeHistory[[#This Row],[ESD State and Local Amount]]/tblMoeHistory[[#This Row],[Child Count]],0)</f>
        <v>1460.4309090909092</v>
      </c>
      <c r="L1773" s="1">
        <f>IFERROR(tblMoeHistory[[#This Row],[State and Local Total Amount]]/tblMoeHistory[[#This Row],[Child Count]],0)</f>
        <v>14897.520165289256</v>
      </c>
      <c r="M1773">
        <v>0</v>
      </c>
      <c r="N1773" t="s">
        <v>241</v>
      </c>
      <c r="O1773">
        <v>185855.1</v>
      </c>
      <c r="P1773">
        <v>861.29</v>
      </c>
      <c r="Q1773">
        <f>tblMoeHistory[[#This Row],[Amount of IDEA Part B, Section 611 award]]+tblMoeHistory[[#This Row],[Amount of IDEA Part B, Section 619 award]]</f>
        <v>186716.39</v>
      </c>
      <c r="U17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3" t="str">
        <f>IF(OR(IFERROR(SEARCH("Met",tblMoeHistory[[#This Row],[State and Local Per Capita Result]]),0)&gt;0,IFERROR(SEARCH("Met",tblMoeHistory[[#This Row],[State and Local Total Result]]),0)&gt;0),"Met","Not Met")</f>
        <v>Met</v>
      </c>
    </row>
    <row r="1774" spans="1:22" x14ac:dyDescent="0.35">
      <c r="A1774" t="s">
        <v>219</v>
      </c>
      <c r="B1774">
        <v>1997</v>
      </c>
      <c r="C1774" t="s">
        <v>243</v>
      </c>
      <c r="D1774">
        <v>31</v>
      </c>
      <c r="E1774">
        <v>298526.98</v>
      </c>
      <c r="F1774">
        <v>62271.86</v>
      </c>
      <c r="G1774">
        <f>tblMoeHistory[[#This Row],[LEA State and Local Amount]]+tblMoeHistory[[#This Row],[ESD State and Local Amount]]</f>
        <v>360798.83999999997</v>
      </c>
      <c r="H1774">
        <v>0</v>
      </c>
      <c r="I1774" t="s">
        <v>241</v>
      </c>
      <c r="J1774" s="44">
        <f>IFERROR(tblMoeHistory[[#This Row],[LEA State and Local Amount]]/tblMoeHistory[[#This Row],[Child Count]],0)</f>
        <v>9629.9025806451609</v>
      </c>
      <c r="K1774">
        <f>IFERROR(tblMoeHistory[[#This Row],[ESD State and Local Amount]]/tblMoeHistory[[#This Row],[Child Count]],0)</f>
        <v>2008.7696774193548</v>
      </c>
      <c r="L1774" s="1">
        <f>IFERROR(tblMoeHistory[[#This Row],[State and Local Total Amount]]/tblMoeHistory[[#This Row],[Child Count]],0)</f>
        <v>11638.672258064515</v>
      </c>
      <c r="M1774">
        <v>0</v>
      </c>
      <c r="N1774" t="s">
        <v>241</v>
      </c>
      <c r="O1774">
        <v>48953.18</v>
      </c>
      <c r="P1774">
        <v>0</v>
      </c>
      <c r="Q1774">
        <f>tblMoeHistory[[#This Row],[Amount of IDEA Part B, Section 611 award]]+tblMoeHistory[[#This Row],[Amount of IDEA Part B, Section 619 award]]</f>
        <v>48953.18</v>
      </c>
      <c r="U17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4" t="str">
        <f>IF(OR(IFERROR(SEARCH("Met",tblMoeHistory[[#This Row],[State and Local Per Capita Result]]),0)&gt;0,IFERROR(SEARCH("Met",tblMoeHistory[[#This Row],[State and Local Total Result]]),0)&gt;0),"Met","Not Met")</f>
        <v>Met</v>
      </c>
    </row>
    <row r="1775" spans="1:22" x14ac:dyDescent="0.35">
      <c r="A1775" t="s">
        <v>14</v>
      </c>
      <c r="B1775">
        <v>2063</v>
      </c>
      <c r="C1775" t="s">
        <v>1537</v>
      </c>
      <c r="D1775">
        <v>3</v>
      </c>
      <c r="E1775">
        <v>4336.6899999999996</v>
      </c>
      <c r="F1775">
        <v>48399.99</v>
      </c>
      <c r="G1775">
        <f>tblMoeHistory[[#This Row],[LEA State and Local Amount]]+tblMoeHistory[[#This Row],[ESD State and Local Amount]]</f>
        <v>52736.68</v>
      </c>
      <c r="H1775">
        <v>0</v>
      </c>
      <c r="I1775" t="s">
        <v>241</v>
      </c>
      <c r="J1775" s="44">
        <f>IFERROR(tblMoeHistory[[#This Row],[LEA State and Local Amount]]/tblMoeHistory[[#This Row],[Child Count]],0)</f>
        <v>1445.5633333333333</v>
      </c>
      <c r="K1775">
        <f>IFERROR(tblMoeHistory[[#This Row],[ESD State and Local Amount]]/tblMoeHistory[[#This Row],[Child Count]],0)</f>
        <v>16133.33</v>
      </c>
      <c r="L1775" s="1">
        <f>IFERROR(tblMoeHistory[[#This Row],[State and Local Total Amount]]/tblMoeHistory[[#This Row],[Child Count]],0)</f>
        <v>17578.893333333333</v>
      </c>
      <c r="M1775">
        <v>-44496.56</v>
      </c>
      <c r="N1775" t="s">
        <v>240</v>
      </c>
      <c r="O1775">
        <v>2663.75</v>
      </c>
      <c r="P1775">
        <v>2.16</v>
      </c>
      <c r="Q1775">
        <f>tblMoeHistory[[#This Row],[Amount of IDEA Part B, Section 611 award]]+tblMoeHistory[[#This Row],[Amount of IDEA Part B, Section 619 award]]</f>
        <v>2665.91</v>
      </c>
      <c r="S1775">
        <v>0</v>
      </c>
      <c r="T1775">
        <v>0</v>
      </c>
      <c r="U17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5" t="str">
        <f>IF(OR(IFERROR(SEARCH("Met",tblMoeHistory[[#This Row],[State and Local Per Capita Result]]),0)&gt;0,IFERROR(SEARCH("Met",tblMoeHistory[[#This Row],[State and Local Total Result]]),0)&gt;0),"Met","Not Met")</f>
        <v>Met</v>
      </c>
    </row>
    <row r="1776" spans="1:22" x14ac:dyDescent="0.35">
      <c r="A1776" t="s">
        <v>17</v>
      </c>
      <c r="B1776">
        <v>2113</v>
      </c>
      <c r="C1776" t="s">
        <v>1537</v>
      </c>
      <c r="D1776">
        <v>51</v>
      </c>
      <c r="E1776">
        <v>238239.31</v>
      </c>
      <c r="F1776">
        <v>130464.51</v>
      </c>
      <c r="G1776">
        <f>tblMoeHistory[[#This Row],[LEA State and Local Amount]]+tblMoeHistory[[#This Row],[ESD State and Local Amount]]</f>
        <v>368703.82</v>
      </c>
      <c r="H1776">
        <v>0</v>
      </c>
      <c r="I1776" t="s">
        <v>241</v>
      </c>
      <c r="J1776" s="44">
        <f>IFERROR(tblMoeHistory[[#This Row],[LEA State and Local Amount]]/tblMoeHistory[[#This Row],[Child Count]],0)</f>
        <v>4671.359019607843</v>
      </c>
      <c r="K1776">
        <f>IFERROR(tblMoeHistory[[#This Row],[ESD State and Local Amount]]/tblMoeHistory[[#This Row],[Child Count]],0)</f>
        <v>2558.1276470588236</v>
      </c>
      <c r="L1776" s="1">
        <f>IFERROR(tblMoeHistory[[#This Row],[State and Local Total Amount]]/tblMoeHistory[[#This Row],[Child Count]],0)</f>
        <v>7229.4866666666667</v>
      </c>
      <c r="M1776">
        <v>-60675.732142857116</v>
      </c>
      <c r="N1776" t="s">
        <v>240</v>
      </c>
      <c r="O1776">
        <v>62030.63</v>
      </c>
      <c r="P1776">
        <v>82.36</v>
      </c>
      <c r="Q1776">
        <f>tblMoeHistory[[#This Row],[Amount of IDEA Part B, Section 611 award]]+tblMoeHistory[[#This Row],[Amount of IDEA Part B, Section 619 award]]</f>
        <v>62112.99</v>
      </c>
      <c r="S1776">
        <v>0</v>
      </c>
      <c r="T1776">
        <v>0</v>
      </c>
      <c r="U17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6" t="str">
        <f>IF(OR(IFERROR(SEARCH("Met",tblMoeHistory[[#This Row],[State and Local Per Capita Result]]),0)&gt;0,IFERROR(SEARCH("Met",tblMoeHistory[[#This Row],[State and Local Total Result]]),0)&gt;0),"Met","Not Met")</f>
        <v>Met</v>
      </c>
    </row>
    <row r="1777" spans="1:22" x14ac:dyDescent="0.35">
      <c r="A1777" t="s">
        <v>20</v>
      </c>
      <c r="B1777">
        <v>1899</v>
      </c>
      <c r="C1777" t="s">
        <v>1537</v>
      </c>
      <c r="D1777">
        <v>38</v>
      </c>
      <c r="E1777">
        <v>325731.68</v>
      </c>
      <c r="F1777">
        <v>51906</v>
      </c>
      <c r="G1777">
        <f>tblMoeHistory[[#This Row],[LEA State and Local Amount]]+tblMoeHistory[[#This Row],[ESD State and Local Amount]]</f>
        <v>377637.68</v>
      </c>
      <c r="H1777">
        <v>0</v>
      </c>
      <c r="I1777" t="s">
        <v>241</v>
      </c>
      <c r="J1777" s="44">
        <f>IFERROR(tblMoeHistory[[#This Row],[LEA State and Local Amount]]/tblMoeHistory[[#This Row],[Child Count]],0)</f>
        <v>8571.8863157894739</v>
      </c>
      <c r="K1777">
        <f>IFERROR(tblMoeHistory[[#This Row],[ESD State and Local Amount]]/tblMoeHistory[[#This Row],[Child Count]],0)</f>
        <v>1365.9473684210527</v>
      </c>
      <c r="L1777" s="1">
        <f>IFERROR(tblMoeHistory[[#This Row],[State and Local Total Amount]]/tblMoeHistory[[#This Row],[Child Count]],0)</f>
        <v>9937.8336842105255</v>
      </c>
      <c r="M1777">
        <v>-82657.400000000023</v>
      </c>
      <c r="N1777" t="s">
        <v>240</v>
      </c>
      <c r="O1777">
        <v>36210.449999999997</v>
      </c>
      <c r="P1777">
        <v>485.55</v>
      </c>
      <c r="Q1777">
        <f>tblMoeHistory[[#This Row],[Amount of IDEA Part B, Section 611 award]]+tblMoeHistory[[#This Row],[Amount of IDEA Part B, Section 619 award]]</f>
        <v>36696</v>
      </c>
      <c r="S1777">
        <v>0</v>
      </c>
      <c r="T1777">
        <v>0</v>
      </c>
      <c r="U17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7" t="str">
        <f>IF(OR(IFERROR(SEARCH("Met",tblMoeHistory[[#This Row],[State and Local Per Capita Result]]),0)&gt;0,IFERROR(SEARCH("Met",tblMoeHistory[[#This Row],[State and Local Total Result]]),0)&gt;0),"Met","Not Met")</f>
        <v>Met</v>
      </c>
    </row>
    <row r="1778" spans="1:22" x14ac:dyDescent="0.35">
      <c r="A1778" t="s">
        <v>21</v>
      </c>
      <c r="B1778">
        <v>2252</v>
      </c>
      <c r="C1778" t="s">
        <v>1537</v>
      </c>
      <c r="D1778">
        <v>140</v>
      </c>
      <c r="E1778">
        <v>747128.21</v>
      </c>
      <c r="F1778">
        <v>109518.19</v>
      </c>
      <c r="G1778">
        <f>tblMoeHistory[[#This Row],[LEA State and Local Amount]]+tblMoeHistory[[#This Row],[ESD State and Local Amount]]</f>
        <v>856646.39999999991</v>
      </c>
      <c r="H1778">
        <v>0</v>
      </c>
      <c r="I1778" t="s">
        <v>241</v>
      </c>
      <c r="J1778" s="44">
        <f>IFERROR(tblMoeHistory[[#This Row],[LEA State and Local Amount]]/tblMoeHistory[[#This Row],[Child Count]],0)</f>
        <v>5336.6300714285708</v>
      </c>
      <c r="K1778">
        <f>IFERROR(tblMoeHistory[[#This Row],[ESD State and Local Amount]]/tblMoeHistory[[#This Row],[Child Count]],0)</f>
        <v>782.27278571428576</v>
      </c>
      <c r="L1778" s="1">
        <f>IFERROR(tblMoeHistory[[#This Row],[State and Local Total Amount]]/tblMoeHistory[[#This Row],[Child Count]],0)</f>
        <v>6118.9028571428562</v>
      </c>
      <c r="M1778">
        <v>-195139.8233009711</v>
      </c>
      <c r="N1778" t="s">
        <v>240</v>
      </c>
      <c r="O1778">
        <v>153107.26</v>
      </c>
      <c r="P1778">
        <v>1520.81</v>
      </c>
      <c r="Q1778">
        <f>tblMoeHistory[[#This Row],[Amount of IDEA Part B, Section 611 award]]+tblMoeHistory[[#This Row],[Amount of IDEA Part B, Section 619 award]]</f>
        <v>154628.07</v>
      </c>
      <c r="S1778">
        <v>0</v>
      </c>
      <c r="T1778">
        <v>446</v>
      </c>
      <c r="U17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8" t="str">
        <f>IF(OR(IFERROR(SEARCH("Met",tblMoeHistory[[#This Row],[State and Local Per Capita Result]]),0)&gt;0,IFERROR(SEARCH("Met",tblMoeHistory[[#This Row],[State and Local Total Result]]),0)&gt;0),"Met","Not Met")</f>
        <v>Met</v>
      </c>
    </row>
    <row r="1779" spans="1:22" x14ac:dyDescent="0.35">
      <c r="A1779" t="s">
        <v>23</v>
      </c>
      <c r="B1779">
        <v>2111</v>
      </c>
      <c r="C1779" t="s">
        <v>1537</v>
      </c>
      <c r="D1779">
        <v>7</v>
      </c>
      <c r="E1779">
        <v>48062.79</v>
      </c>
      <c r="F1779">
        <v>36469.53</v>
      </c>
      <c r="G1779">
        <f>tblMoeHistory[[#This Row],[LEA State and Local Amount]]+tblMoeHistory[[#This Row],[ESD State and Local Amount]]</f>
        <v>84532.32</v>
      </c>
      <c r="H1779">
        <v>0</v>
      </c>
      <c r="I1779" t="s">
        <v>241</v>
      </c>
      <c r="J1779" s="44">
        <f>IFERROR(tblMoeHistory[[#This Row],[LEA State and Local Amount]]/tblMoeHistory[[#This Row],[Child Count]],0)</f>
        <v>6866.1128571428571</v>
      </c>
      <c r="K1779">
        <f>IFERROR(tblMoeHistory[[#This Row],[ESD State and Local Amount]]/tblMoeHistory[[#This Row],[Child Count]],0)</f>
        <v>5209.9328571428568</v>
      </c>
      <c r="L1779" s="1">
        <f>IFERROR(tblMoeHistory[[#This Row],[State and Local Total Amount]]/tblMoeHistory[[#This Row],[Child Count]],0)</f>
        <v>12076.045714285716</v>
      </c>
      <c r="M1779">
        <v>0</v>
      </c>
      <c r="N1779" t="s">
        <v>241</v>
      </c>
      <c r="O1779">
        <v>22521.83</v>
      </c>
      <c r="P1779">
        <v>26.66</v>
      </c>
      <c r="Q1779">
        <f>tblMoeHistory[[#This Row],[Amount of IDEA Part B, Section 611 award]]+tblMoeHistory[[#This Row],[Amount of IDEA Part B, Section 619 award]]</f>
        <v>22548.49</v>
      </c>
      <c r="S1779">
        <v>0</v>
      </c>
      <c r="T1779">
        <v>0</v>
      </c>
      <c r="U17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9" t="str">
        <f>IF(OR(IFERROR(SEARCH("Met",tblMoeHistory[[#This Row],[State and Local Per Capita Result]]),0)&gt;0,IFERROR(SEARCH("Met",tblMoeHistory[[#This Row],[State and Local Total Result]]),0)&gt;0),"Met","Not Met")</f>
        <v>Met</v>
      </c>
    </row>
    <row r="1780" spans="1:22" x14ac:dyDescent="0.35">
      <c r="A1780" t="s">
        <v>24</v>
      </c>
      <c r="B1780">
        <v>2005</v>
      </c>
      <c r="C1780" t="s">
        <v>1537</v>
      </c>
      <c r="D1780">
        <v>29</v>
      </c>
      <c r="E1780">
        <v>25800</v>
      </c>
      <c r="F1780">
        <v>160057</v>
      </c>
      <c r="G1780">
        <f>tblMoeHistory[[#This Row],[LEA State and Local Amount]]+tblMoeHistory[[#This Row],[ESD State and Local Amount]]</f>
        <v>185857</v>
      </c>
      <c r="H1780">
        <v>0</v>
      </c>
      <c r="I1780" t="s">
        <v>241</v>
      </c>
      <c r="J1780" s="44">
        <f>IFERROR(tblMoeHistory[[#This Row],[LEA State and Local Amount]]/tblMoeHistory[[#This Row],[Child Count]],0)</f>
        <v>889.65517241379314</v>
      </c>
      <c r="K1780">
        <f>IFERROR(tblMoeHistory[[#This Row],[ESD State and Local Amount]]/tblMoeHistory[[#This Row],[Child Count]],0)</f>
        <v>5519.2068965517237</v>
      </c>
      <c r="L1780" s="1">
        <f>IFERROR(tblMoeHistory[[#This Row],[State and Local Total Amount]]/tblMoeHistory[[#This Row],[Child Count]],0)</f>
        <v>6408.8620689655172</v>
      </c>
      <c r="M1780">
        <v>-58421.336363636365</v>
      </c>
      <c r="N1780" t="s">
        <v>240</v>
      </c>
      <c r="O1780">
        <v>24875.21</v>
      </c>
      <c r="P1780">
        <v>10.85</v>
      </c>
      <c r="Q1780">
        <f>tblMoeHistory[[#This Row],[Amount of IDEA Part B, Section 611 award]]+tblMoeHistory[[#This Row],[Amount of IDEA Part B, Section 619 award]]</f>
        <v>24886.059999999998</v>
      </c>
      <c r="S1780">
        <v>0</v>
      </c>
      <c r="T1780">
        <v>0</v>
      </c>
      <c r="U17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0" t="str">
        <f>IF(OR(IFERROR(SEARCH("Met",tblMoeHistory[[#This Row],[State and Local Per Capita Result]]),0)&gt;0,IFERROR(SEARCH("Met",tblMoeHistory[[#This Row],[State and Local Total Result]]),0)&gt;0),"Met","Not Met")</f>
        <v>Met</v>
      </c>
    </row>
    <row r="1781" spans="1:22" x14ac:dyDescent="0.35">
      <c r="A1781" t="s">
        <v>25</v>
      </c>
      <c r="B1781">
        <v>2115</v>
      </c>
      <c r="C1781" t="s">
        <v>1537</v>
      </c>
      <c r="D1781">
        <v>1</v>
      </c>
      <c r="E1781">
        <v>0</v>
      </c>
      <c r="F1781">
        <v>13099.28</v>
      </c>
      <c r="G1781">
        <f>tblMoeHistory[[#This Row],[LEA State and Local Amount]]+tblMoeHistory[[#This Row],[ESD State and Local Amount]]</f>
        <v>13099.28</v>
      </c>
      <c r="H1781">
        <v>0</v>
      </c>
      <c r="I1781" t="s">
        <v>241</v>
      </c>
      <c r="J1781" s="44">
        <f>IFERROR(tblMoeHistory[[#This Row],[LEA State and Local Amount]]/tblMoeHistory[[#This Row],[Child Count]],0)</f>
        <v>0</v>
      </c>
      <c r="K1781">
        <f>IFERROR(tblMoeHistory[[#This Row],[ESD State and Local Amount]]/tblMoeHistory[[#This Row],[Child Count]],0)</f>
        <v>13099.28</v>
      </c>
      <c r="L1781" s="1">
        <f>IFERROR(tblMoeHistory[[#This Row],[State and Local Total Amount]]/tblMoeHistory[[#This Row],[Child Count]],0)</f>
        <v>13099.28</v>
      </c>
      <c r="M1781">
        <v>0</v>
      </c>
      <c r="N1781" t="s">
        <v>241</v>
      </c>
      <c r="O1781">
        <v>4017.96</v>
      </c>
      <c r="P1781">
        <v>4.8</v>
      </c>
      <c r="Q1781">
        <f>tblMoeHistory[[#This Row],[Amount of IDEA Part B, Section 611 award]]+tblMoeHistory[[#This Row],[Amount of IDEA Part B, Section 619 award]]</f>
        <v>4022.76</v>
      </c>
      <c r="S1781">
        <v>0</v>
      </c>
      <c r="U17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1" t="str">
        <f>IF(OR(IFERROR(SEARCH("Met",tblMoeHistory[[#This Row],[State and Local Per Capita Result]]),0)&gt;0,IFERROR(SEARCH("Met",tblMoeHistory[[#This Row],[State and Local Total Result]]),0)&gt;0),"Met","Not Met")</f>
        <v>Met</v>
      </c>
    </row>
    <row r="1782" spans="1:22" x14ac:dyDescent="0.35">
      <c r="A1782" t="s">
        <v>26</v>
      </c>
      <c r="B1782">
        <v>2041</v>
      </c>
      <c r="C1782" t="s">
        <v>1537</v>
      </c>
      <c r="D1782">
        <v>338</v>
      </c>
      <c r="E1782">
        <v>3300196.47</v>
      </c>
      <c r="F1782">
        <v>460331.01</v>
      </c>
      <c r="G1782">
        <f>tblMoeHistory[[#This Row],[LEA State and Local Amount]]+tblMoeHistory[[#This Row],[ESD State and Local Amount]]</f>
        <v>3760527.4800000004</v>
      </c>
      <c r="H1782">
        <v>0</v>
      </c>
      <c r="I1782" t="s">
        <v>241</v>
      </c>
      <c r="J1782" s="44">
        <f>IFERROR(tblMoeHistory[[#This Row],[LEA State and Local Amount]]/tblMoeHistory[[#This Row],[Child Count]],0)</f>
        <v>9763.8948816568045</v>
      </c>
      <c r="K1782">
        <f>IFERROR(tblMoeHistory[[#This Row],[ESD State and Local Amount]]/tblMoeHistory[[#This Row],[Child Count]],0)</f>
        <v>1361.9260650887575</v>
      </c>
      <c r="L1782" s="1">
        <f>IFERROR(tblMoeHistory[[#This Row],[State and Local Total Amount]]/tblMoeHistory[[#This Row],[Child Count]],0)</f>
        <v>11125.820946745564</v>
      </c>
      <c r="M1782">
        <v>0</v>
      </c>
      <c r="N1782" t="s">
        <v>241</v>
      </c>
      <c r="O1782">
        <v>490153.94</v>
      </c>
      <c r="P1782">
        <v>5984.62</v>
      </c>
      <c r="Q1782">
        <f>tblMoeHistory[[#This Row],[Amount of IDEA Part B, Section 611 award]]+tblMoeHistory[[#This Row],[Amount of IDEA Part B, Section 619 award]]</f>
        <v>496138.56</v>
      </c>
      <c r="S1782">
        <v>0</v>
      </c>
      <c r="U17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2" t="str">
        <f>IF(OR(IFERROR(SEARCH("Met",tblMoeHistory[[#This Row],[State and Local Per Capita Result]]),0)&gt;0,IFERROR(SEARCH("Met",tblMoeHistory[[#This Row],[State and Local Total Result]]),0)&gt;0),"Met","Not Met")</f>
        <v>Met</v>
      </c>
    </row>
    <row r="1783" spans="1:22" x14ac:dyDescent="0.35">
      <c r="A1783" t="s">
        <v>27</v>
      </c>
      <c r="B1783">
        <v>2051</v>
      </c>
      <c r="C1783" t="s">
        <v>1537</v>
      </c>
      <c r="D1783">
        <v>0</v>
      </c>
      <c r="E1783">
        <v>0</v>
      </c>
      <c r="F1783">
        <v>8548.25</v>
      </c>
      <c r="G1783">
        <f>tblMoeHistory[[#This Row],[LEA State and Local Amount]]+tblMoeHistory[[#This Row],[ESD State and Local Amount]]</f>
        <v>8548.25</v>
      </c>
      <c r="H1783">
        <v>-376.18000000000029</v>
      </c>
      <c r="I1783" t="s">
        <v>240</v>
      </c>
      <c r="J1783" s="44">
        <f>IFERROR(tblMoeHistory[[#This Row],[LEA State and Local Amount]]/tblMoeHistory[[#This Row],[Child Count]],0)</f>
        <v>0</v>
      </c>
      <c r="K1783">
        <f>IFERROR(tblMoeHistory[[#This Row],[ESD State and Local Amount]]/tblMoeHistory[[#This Row],[Child Count]],0)</f>
        <v>0</v>
      </c>
      <c r="L1783" s="1">
        <f>IFERROR(tblMoeHistory[[#This Row],[State and Local Total Amount]]/tblMoeHistory[[#This Row],[Child Count]],0)</f>
        <v>0</v>
      </c>
      <c r="M1783">
        <v>0</v>
      </c>
      <c r="N1783" t="s">
        <v>241</v>
      </c>
      <c r="O1783">
        <v>1042.48</v>
      </c>
      <c r="P1783">
        <v>2.0299999999999998</v>
      </c>
      <c r="Q1783">
        <f>tblMoeHistory[[#This Row],[Amount of IDEA Part B, Section 611 award]]+tblMoeHistory[[#This Row],[Amount of IDEA Part B, Section 619 award]]</f>
        <v>1044.51</v>
      </c>
      <c r="S1783">
        <v>0</v>
      </c>
      <c r="U17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3" t="str">
        <f>IF(OR(IFERROR(SEARCH("Met",tblMoeHistory[[#This Row],[State and Local Per Capita Result]]),0)&gt;0,IFERROR(SEARCH("Met",tblMoeHistory[[#This Row],[State and Local Total Result]]),0)&gt;0),"Met","Not Met")</f>
        <v>Met</v>
      </c>
    </row>
    <row r="1784" spans="1:22" x14ac:dyDescent="0.35">
      <c r="A1784" t="s">
        <v>28</v>
      </c>
      <c r="B1784">
        <v>1933</v>
      </c>
      <c r="C1784" t="s">
        <v>1537</v>
      </c>
      <c r="D1784">
        <v>242</v>
      </c>
      <c r="E1784">
        <v>3101009.89</v>
      </c>
      <c r="F1784">
        <v>565702</v>
      </c>
      <c r="G1784">
        <f>tblMoeHistory[[#This Row],[LEA State and Local Amount]]+tblMoeHistory[[#This Row],[ESD State and Local Amount]]</f>
        <v>3666711.89</v>
      </c>
      <c r="H1784">
        <v>0</v>
      </c>
      <c r="I1784" t="s">
        <v>241</v>
      </c>
      <c r="J1784" s="44">
        <f>IFERROR(tblMoeHistory[[#This Row],[LEA State and Local Amount]]/tblMoeHistory[[#This Row],[Child Count]],0)</f>
        <v>12814.090454545456</v>
      </c>
      <c r="K1784">
        <f>IFERROR(tblMoeHistory[[#This Row],[ESD State and Local Amount]]/tblMoeHistory[[#This Row],[Child Count]],0)</f>
        <v>2337.6115702479337</v>
      </c>
      <c r="L1784" s="1">
        <f>IFERROR(tblMoeHistory[[#This Row],[State and Local Total Amount]]/tblMoeHistory[[#This Row],[Child Count]],0)</f>
        <v>15151.702024793389</v>
      </c>
      <c r="M1784">
        <v>0</v>
      </c>
      <c r="N1784" t="s">
        <v>241</v>
      </c>
      <c r="O1784">
        <v>288321.7</v>
      </c>
      <c r="P1784">
        <v>1557.17</v>
      </c>
      <c r="Q1784">
        <f>tblMoeHistory[[#This Row],[Amount of IDEA Part B, Section 611 award]]+tblMoeHistory[[#This Row],[Amount of IDEA Part B, Section 619 award]]</f>
        <v>289878.87</v>
      </c>
      <c r="S1784">
        <v>0</v>
      </c>
      <c r="U17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4" t="str">
        <f>IF(OR(IFERROR(SEARCH("Met",tblMoeHistory[[#This Row],[State and Local Per Capita Result]]),0)&gt;0,IFERROR(SEARCH("Met",tblMoeHistory[[#This Row],[State and Local Total Result]]),0)&gt;0),"Met","Not Met")</f>
        <v>Met</v>
      </c>
    </row>
    <row r="1785" spans="1:22" x14ac:dyDescent="0.35">
      <c r="A1785" t="s">
        <v>29</v>
      </c>
      <c r="B1785">
        <v>2208</v>
      </c>
      <c r="C1785" t="s">
        <v>1537</v>
      </c>
      <c r="D1785">
        <v>86</v>
      </c>
      <c r="E1785">
        <v>525190.38</v>
      </c>
      <c r="F1785">
        <v>145874.18</v>
      </c>
      <c r="G1785">
        <f>tblMoeHistory[[#This Row],[LEA State and Local Amount]]+tblMoeHistory[[#This Row],[ESD State and Local Amount]]</f>
        <v>671064.56000000006</v>
      </c>
      <c r="H1785">
        <v>0</v>
      </c>
      <c r="I1785" t="s">
        <v>241</v>
      </c>
      <c r="J1785" s="44">
        <f>IFERROR(tblMoeHistory[[#This Row],[LEA State and Local Amount]]/tblMoeHistory[[#This Row],[Child Count]],0)</f>
        <v>6106.8648837209303</v>
      </c>
      <c r="K1785">
        <f>IFERROR(tblMoeHistory[[#This Row],[ESD State and Local Amount]]/tblMoeHistory[[#This Row],[Child Count]],0)</f>
        <v>1696.2113953488372</v>
      </c>
      <c r="L1785" s="1">
        <f>IFERROR(tblMoeHistory[[#This Row],[State and Local Total Amount]]/tblMoeHistory[[#This Row],[Child Count]],0)</f>
        <v>7803.0762790697681</v>
      </c>
      <c r="M1785">
        <v>0</v>
      </c>
      <c r="N1785" t="s">
        <v>241</v>
      </c>
      <c r="O1785">
        <v>101526.28</v>
      </c>
      <c r="P1785">
        <v>2477.54</v>
      </c>
      <c r="Q1785">
        <f>tblMoeHistory[[#This Row],[Amount of IDEA Part B, Section 611 award]]+tblMoeHistory[[#This Row],[Amount of IDEA Part B, Section 619 award]]</f>
        <v>104003.81999999999</v>
      </c>
      <c r="S1785">
        <v>0</v>
      </c>
      <c r="U17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5" t="str">
        <f>IF(OR(IFERROR(SEARCH("Met",tblMoeHistory[[#This Row],[State and Local Per Capita Result]]),0)&gt;0,IFERROR(SEARCH("Met",tblMoeHistory[[#This Row],[State and Local Total Result]]),0)&gt;0),"Met","Not Met")</f>
        <v>Met</v>
      </c>
    </row>
    <row r="1786" spans="1:22" x14ac:dyDescent="0.35">
      <c r="A1786" t="s">
        <v>30</v>
      </c>
      <c r="B1786">
        <v>1894</v>
      </c>
      <c r="C1786" t="s">
        <v>1537</v>
      </c>
      <c r="D1786">
        <v>492</v>
      </c>
      <c r="E1786">
        <v>2866404.17</v>
      </c>
      <c r="F1786">
        <v>0</v>
      </c>
      <c r="G1786">
        <f>tblMoeHistory[[#This Row],[LEA State and Local Amount]]+tblMoeHistory[[#This Row],[ESD State and Local Amount]]</f>
        <v>2866404.17</v>
      </c>
      <c r="H1786">
        <v>0</v>
      </c>
      <c r="I1786" t="s">
        <v>241</v>
      </c>
      <c r="J1786" s="44">
        <f>IFERROR(tblMoeHistory[[#This Row],[LEA State and Local Amount]]/tblMoeHistory[[#This Row],[Child Count]],0)</f>
        <v>5826.0247357723574</v>
      </c>
      <c r="K1786">
        <f>IFERROR(tblMoeHistory[[#This Row],[ESD State and Local Amount]]/tblMoeHistory[[#This Row],[Child Count]],0)</f>
        <v>0</v>
      </c>
      <c r="L1786" s="1">
        <f>IFERROR(tblMoeHistory[[#This Row],[State and Local Total Amount]]/tblMoeHistory[[#This Row],[Child Count]],0)</f>
        <v>5826.0247357723574</v>
      </c>
      <c r="M1786">
        <v>-909259.59583629947</v>
      </c>
      <c r="N1786" t="s">
        <v>240</v>
      </c>
      <c r="O1786">
        <v>597051.71</v>
      </c>
      <c r="P1786">
        <v>2915.61</v>
      </c>
      <c r="Q1786">
        <f>tblMoeHistory[[#This Row],[Amount of IDEA Part B, Section 611 award]]+tblMoeHistory[[#This Row],[Amount of IDEA Part B, Section 619 award]]</f>
        <v>599967.31999999995</v>
      </c>
      <c r="S1786">
        <v>0</v>
      </c>
      <c r="T1786">
        <v>0</v>
      </c>
      <c r="U17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6" t="str">
        <f>IF(OR(IFERROR(SEARCH("Met",tblMoeHistory[[#This Row],[State and Local Per Capita Result]]),0)&gt;0,IFERROR(SEARCH("Met",tblMoeHistory[[#This Row],[State and Local Total Result]]),0)&gt;0),"Met","Not Met")</f>
        <v>Met</v>
      </c>
    </row>
    <row r="1787" spans="1:22" x14ac:dyDescent="0.35">
      <c r="A1787" t="s">
        <v>32</v>
      </c>
      <c r="B1787">
        <v>1969</v>
      </c>
      <c r="C1787" t="s">
        <v>1537</v>
      </c>
      <c r="D1787">
        <v>96</v>
      </c>
      <c r="E1787">
        <v>1315471.79</v>
      </c>
      <c r="F1787">
        <v>228108.2</v>
      </c>
      <c r="G1787">
        <f>tblMoeHistory[[#This Row],[LEA State and Local Amount]]+tblMoeHistory[[#This Row],[ESD State and Local Amount]]</f>
        <v>1543579.99</v>
      </c>
      <c r="H1787">
        <v>0</v>
      </c>
      <c r="I1787" t="s">
        <v>242</v>
      </c>
      <c r="J1787" s="44">
        <f>IFERROR(tblMoeHistory[[#This Row],[LEA State and Local Amount]]/tblMoeHistory[[#This Row],[Child Count]],0)</f>
        <v>13702.831145833334</v>
      </c>
      <c r="K1787">
        <f>IFERROR(tblMoeHistory[[#This Row],[ESD State and Local Amount]]/tblMoeHistory[[#This Row],[Child Count]],0)</f>
        <v>2376.1270833333333</v>
      </c>
      <c r="L1787" s="1">
        <f>IFERROR(tblMoeHistory[[#This Row],[State and Local Total Amount]]/tblMoeHistory[[#This Row],[Child Count]],0)</f>
        <v>16078.958229166667</v>
      </c>
      <c r="M1787">
        <v>0</v>
      </c>
      <c r="N1787" t="s">
        <v>242</v>
      </c>
      <c r="O1787">
        <v>137222.57</v>
      </c>
      <c r="P1787">
        <v>971.1</v>
      </c>
      <c r="Q1787">
        <f>tblMoeHistory[[#This Row],[Amount of IDEA Part B, Section 611 award]]+tblMoeHistory[[#This Row],[Amount of IDEA Part B, Section 619 award]]</f>
        <v>138193.67000000001</v>
      </c>
      <c r="S1787">
        <v>174649</v>
      </c>
      <c r="T1787">
        <v>0</v>
      </c>
      <c r="U17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7" t="str">
        <f>IF(OR(IFERROR(SEARCH("Met",tblMoeHistory[[#This Row],[State and Local Per Capita Result]]),0)&gt;0,IFERROR(SEARCH("Met",tblMoeHistory[[#This Row],[State and Local Total Result]]),0)&gt;0),"Met","Not Met")</f>
        <v>Met</v>
      </c>
    </row>
    <row r="1788" spans="1:22" x14ac:dyDescent="0.35">
      <c r="A1788" t="s">
        <v>33</v>
      </c>
      <c r="B1788">
        <v>2240</v>
      </c>
      <c r="C1788" t="s">
        <v>1537</v>
      </c>
      <c r="D1788">
        <v>153</v>
      </c>
      <c r="E1788">
        <v>1795708</v>
      </c>
      <c r="F1788">
        <v>233875</v>
      </c>
      <c r="G1788">
        <f>tblMoeHistory[[#This Row],[LEA State and Local Amount]]+tblMoeHistory[[#This Row],[ESD State and Local Amount]]</f>
        <v>2029583</v>
      </c>
      <c r="H1788">
        <v>0</v>
      </c>
      <c r="I1788" t="s">
        <v>241</v>
      </c>
      <c r="J1788" s="44">
        <f>IFERROR(tblMoeHistory[[#This Row],[LEA State and Local Amount]]/tblMoeHistory[[#This Row],[Child Count]],0)</f>
        <v>11736.653594771242</v>
      </c>
      <c r="K1788">
        <f>IFERROR(tblMoeHistory[[#This Row],[ESD State and Local Amount]]/tblMoeHistory[[#This Row],[Child Count]],0)</f>
        <v>1528.5947712418301</v>
      </c>
      <c r="L1788" s="1">
        <f>IFERROR(tblMoeHistory[[#This Row],[State and Local Total Amount]]/tblMoeHistory[[#This Row],[Child Count]],0)</f>
        <v>13265.248366013071</v>
      </c>
      <c r="M1788">
        <v>0</v>
      </c>
      <c r="N1788" t="s">
        <v>241</v>
      </c>
      <c r="O1788">
        <v>169300.09</v>
      </c>
      <c r="P1788">
        <v>569.34</v>
      </c>
      <c r="Q1788">
        <f>tblMoeHistory[[#This Row],[Amount of IDEA Part B, Section 611 award]]+tblMoeHistory[[#This Row],[Amount of IDEA Part B, Section 619 award]]</f>
        <v>169869.43</v>
      </c>
      <c r="S1788">
        <v>0</v>
      </c>
      <c r="T1788">
        <v>0</v>
      </c>
      <c r="U17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8" t="str">
        <f>IF(OR(IFERROR(SEARCH("Met",tblMoeHistory[[#This Row],[State and Local Per Capita Result]]),0)&gt;0,IFERROR(SEARCH("Met",tblMoeHistory[[#This Row],[State and Local Total Result]]),0)&gt;0),"Met","Not Met")</f>
        <v>Met</v>
      </c>
    </row>
    <row r="1789" spans="1:22" x14ac:dyDescent="0.35">
      <c r="A1789" t="s">
        <v>34</v>
      </c>
      <c r="B1789">
        <v>2243</v>
      </c>
      <c r="C1789" t="s">
        <v>1537</v>
      </c>
      <c r="D1789">
        <v>5072</v>
      </c>
      <c r="E1789">
        <v>59829429.590000004</v>
      </c>
      <c r="F1789">
        <v>5313537</v>
      </c>
      <c r="G1789">
        <f>tblMoeHistory[[#This Row],[LEA State and Local Amount]]+tblMoeHistory[[#This Row],[ESD State and Local Amount]]</f>
        <v>65142966.590000004</v>
      </c>
      <c r="H1789">
        <v>0</v>
      </c>
      <c r="I1789" t="s">
        <v>241</v>
      </c>
      <c r="J1789" s="44">
        <f>IFERROR(tblMoeHistory[[#This Row],[LEA State and Local Amount]]/tblMoeHistory[[#This Row],[Child Count]],0)</f>
        <v>11796.023184148265</v>
      </c>
      <c r="K1789">
        <f>IFERROR(tblMoeHistory[[#This Row],[ESD State and Local Amount]]/tblMoeHistory[[#This Row],[Child Count]],0)</f>
        <v>1047.6216482649843</v>
      </c>
      <c r="L1789" s="1">
        <f>IFERROR(tblMoeHistory[[#This Row],[State and Local Total Amount]]/tblMoeHistory[[#This Row],[Child Count]],0)</f>
        <v>12843.644832413251</v>
      </c>
      <c r="M1789">
        <v>0</v>
      </c>
      <c r="N1789" t="s">
        <v>241</v>
      </c>
      <c r="O1789">
        <v>6799947.9400000004</v>
      </c>
      <c r="P1789">
        <v>25138.080000000002</v>
      </c>
      <c r="Q1789">
        <f>tblMoeHistory[[#This Row],[Amount of IDEA Part B, Section 611 award]]+tblMoeHistory[[#This Row],[Amount of IDEA Part B, Section 619 award]]</f>
        <v>6825086.0200000005</v>
      </c>
      <c r="S1789">
        <v>0</v>
      </c>
      <c r="U17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9" t="str">
        <f>IF(OR(IFERROR(SEARCH("Met",tblMoeHistory[[#This Row],[State and Local Per Capita Result]]),0)&gt;0,IFERROR(SEARCH("Met",tblMoeHistory[[#This Row],[State and Local Total Result]]),0)&gt;0),"Met","Not Met")</f>
        <v>Met</v>
      </c>
    </row>
    <row r="1790" spans="1:22" x14ac:dyDescent="0.35">
      <c r="A1790" t="s">
        <v>35</v>
      </c>
      <c r="B1790">
        <v>1976</v>
      </c>
      <c r="C1790" t="s">
        <v>1537</v>
      </c>
      <c r="D1790">
        <v>1857</v>
      </c>
      <c r="E1790">
        <v>22254244.59</v>
      </c>
      <c r="F1790">
        <v>3171674.08</v>
      </c>
      <c r="G1790">
        <f>tblMoeHistory[[#This Row],[LEA State and Local Amount]]+tblMoeHistory[[#This Row],[ESD State and Local Amount]]</f>
        <v>25425918.670000002</v>
      </c>
      <c r="H1790">
        <v>0</v>
      </c>
      <c r="I1790" t="s">
        <v>241</v>
      </c>
      <c r="J1790" s="44">
        <f>IFERROR(tblMoeHistory[[#This Row],[LEA State and Local Amount]]/tblMoeHistory[[#This Row],[Child Count]],0)</f>
        <v>11983.97662358643</v>
      </c>
      <c r="K1790">
        <f>IFERROR(tblMoeHistory[[#This Row],[ESD State and Local Amount]]/tblMoeHistory[[#This Row],[Child Count]],0)</f>
        <v>1707.9558858373721</v>
      </c>
      <c r="L1790" s="1">
        <f>IFERROR(tblMoeHistory[[#This Row],[State and Local Total Amount]]/tblMoeHistory[[#This Row],[Child Count]],0)</f>
        <v>13691.932509423803</v>
      </c>
      <c r="M1790">
        <v>0</v>
      </c>
      <c r="N1790" t="s">
        <v>241</v>
      </c>
      <c r="O1790">
        <v>2775953.65</v>
      </c>
      <c r="P1790">
        <v>17940.93</v>
      </c>
      <c r="Q1790">
        <f>tblMoeHistory[[#This Row],[Amount of IDEA Part B, Section 611 award]]+tblMoeHistory[[#This Row],[Amount of IDEA Part B, Section 619 award]]</f>
        <v>2793894.58</v>
      </c>
      <c r="S1790">
        <v>0</v>
      </c>
      <c r="U17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0" t="str">
        <f>IF(OR(IFERROR(SEARCH("Met",tblMoeHistory[[#This Row],[State and Local Per Capita Result]]),0)&gt;0,IFERROR(SEARCH("Met",tblMoeHistory[[#This Row],[State and Local Total Result]]),0)&gt;0),"Met","Not Met")</f>
        <v>Met</v>
      </c>
    </row>
    <row r="1791" spans="1:22" x14ac:dyDescent="0.35">
      <c r="A1791" t="s">
        <v>36</v>
      </c>
      <c r="B1791">
        <v>2088</v>
      </c>
      <c r="C1791" t="s">
        <v>1537</v>
      </c>
      <c r="D1791">
        <v>1015</v>
      </c>
      <c r="E1791">
        <v>10982166.25</v>
      </c>
      <c r="F1791">
        <v>756351</v>
      </c>
      <c r="G1791">
        <f>tblMoeHistory[[#This Row],[LEA State and Local Amount]]+tblMoeHistory[[#This Row],[ESD State and Local Amount]]</f>
        <v>11738517.25</v>
      </c>
      <c r="H1791">
        <v>0</v>
      </c>
      <c r="I1791" t="s">
        <v>241</v>
      </c>
      <c r="J1791" s="44">
        <f>IFERROR(tblMoeHistory[[#This Row],[LEA State and Local Amount]]/tblMoeHistory[[#This Row],[Child Count]],0)</f>
        <v>10819.868226600986</v>
      </c>
      <c r="K1791">
        <f>IFERROR(tblMoeHistory[[#This Row],[ESD State and Local Amount]]/tblMoeHistory[[#This Row],[Child Count]],0)</f>
        <v>745.17339901477828</v>
      </c>
      <c r="L1791" s="1">
        <f>IFERROR(tblMoeHistory[[#This Row],[State and Local Total Amount]]/tblMoeHistory[[#This Row],[Child Count]],0)</f>
        <v>11565.041625615764</v>
      </c>
      <c r="M1791">
        <v>0</v>
      </c>
      <c r="N1791" t="s">
        <v>241</v>
      </c>
      <c r="O1791">
        <v>994047.37</v>
      </c>
      <c r="P1791">
        <v>9102.16</v>
      </c>
      <c r="Q1791">
        <f>tblMoeHistory[[#This Row],[Amount of IDEA Part B, Section 611 award]]+tblMoeHistory[[#This Row],[Amount of IDEA Part B, Section 619 award]]</f>
        <v>1003149.53</v>
      </c>
      <c r="S1791">
        <v>0</v>
      </c>
      <c r="U17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1" t="str">
        <f>IF(OR(IFERROR(SEARCH("Met",tblMoeHistory[[#This Row],[State and Local Per Capita Result]]),0)&gt;0,IFERROR(SEARCH("Met",tblMoeHistory[[#This Row],[State and Local Total Result]]),0)&gt;0),"Met","Not Met")</f>
        <v>Met</v>
      </c>
    </row>
    <row r="1792" spans="1:22" x14ac:dyDescent="0.35">
      <c r="A1792" t="s">
        <v>37</v>
      </c>
      <c r="B1792">
        <v>2095</v>
      </c>
      <c r="C1792" t="s">
        <v>1537</v>
      </c>
      <c r="D1792">
        <v>52</v>
      </c>
      <c r="E1792">
        <v>416787.82</v>
      </c>
      <c r="F1792">
        <v>40746</v>
      </c>
      <c r="G1792">
        <f>tblMoeHistory[[#This Row],[LEA State and Local Amount]]+tblMoeHistory[[#This Row],[ESD State and Local Amount]]</f>
        <v>457533.82</v>
      </c>
      <c r="H1792">
        <v>0</v>
      </c>
      <c r="I1792" t="s">
        <v>241</v>
      </c>
      <c r="J1792" s="44">
        <f>IFERROR(tblMoeHistory[[#This Row],[LEA State and Local Amount]]/tblMoeHistory[[#This Row],[Child Count]],0)</f>
        <v>8015.1503846153846</v>
      </c>
      <c r="K1792">
        <f>IFERROR(tblMoeHistory[[#This Row],[ESD State and Local Amount]]/tblMoeHistory[[#This Row],[Child Count]],0)</f>
        <v>783.57692307692309</v>
      </c>
      <c r="L1792" s="1">
        <f>IFERROR(tblMoeHistory[[#This Row],[State and Local Total Amount]]/tblMoeHistory[[#This Row],[Child Count]],0)</f>
        <v>8798.7273076923084</v>
      </c>
      <c r="M1792">
        <v>-36247.766537955191</v>
      </c>
      <c r="N1792" t="s">
        <v>240</v>
      </c>
      <c r="O1792">
        <v>46350.89</v>
      </c>
      <c r="P1792">
        <v>55.83</v>
      </c>
      <c r="Q1792">
        <f>tblMoeHistory[[#This Row],[Amount of IDEA Part B, Section 611 award]]+tblMoeHistory[[#This Row],[Amount of IDEA Part B, Section 619 award]]</f>
        <v>46406.720000000001</v>
      </c>
      <c r="S1792">
        <v>0</v>
      </c>
      <c r="T1792">
        <v>183.7</v>
      </c>
      <c r="U17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2" t="str">
        <f>IF(OR(IFERROR(SEARCH("Met",tblMoeHistory[[#This Row],[State and Local Per Capita Result]]),0)&gt;0,IFERROR(SEARCH("Met",tblMoeHistory[[#This Row],[State and Local Total Result]]),0)&gt;0),"Met","Not Met")</f>
        <v>Met</v>
      </c>
    </row>
    <row r="1793" spans="1:22" x14ac:dyDescent="0.35">
      <c r="A1793" t="s">
        <v>38</v>
      </c>
      <c r="B1793">
        <v>2052</v>
      </c>
      <c r="C1793" t="s">
        <v>1537</v>
      </c>
      <c r="D1793">
        <v>5</v>
      </c>
      <c r="E1793">
        <v>0</v>
      </c>
      <c r="F1793">
        <v>15938.74</v>
      </c>
      <c r="G1793">
        <f>tblMoeHistory[[#This Row],[LEA State and Local Amount]]+tblMoeHistory[[#This Row],[ESD State and Local Amount]]</f>
        <v>15938.74</v>
      </c>
      <c r="H1793">
        <v>-1839.6499999999996</v>
      </c>
      <c r="I1793" t="s">
        <v>240</v>
      </c>
      <c r="J1793" s="44">
        <f>IFERROR(tblMoeHistory[[#This Row],[LEA State and Local Amount]]/tblMoeHistory[[#This Row],[Child Count]],0)</f>
        <v>0</v>
      </c>
      <c r="K1793">
        <f>IFERROR(tblMoeHistory[[#This Row],[ESD State and Local Amount]]/tblMoeHistory[[#This Row],[Child Count]],0)</f>
        <v>3187.748</v>
      </c>
      <c r="L1793" s="1">
        <f>IFERROR(tblMoeHistory[[#This Row],[State and Local Total Amount]]/tblMoeHistory[[#This Row],[Child Count]],0)</f>
        <v>3187.748</v>
      </c>
      <c r="M1793">
        <v>-28507.235000000001</v>
      </c>
      <c r="N1793" t="s">
        <v>240</v>
      </c>
      <c r="O1793">
        <v>4020.89</v>
      </c>
      <c r="P1793">
        <v>7.82</v>
      </c>
      <c r="Q1793">
        <f>tblMoeHistory[[#This Row],[Amount of IDEA Part B, Section 611 award]]+tblMoeHistory[[#This Row],[Amount of IDEA Part B, Section 619 award]]</f>
        <v>4028.71</v>
      </c>
      <c r="S1793">
        <v>0</v>
      </c>
      <c r="T1793">
        <v>0</v>
      </c>
      <c r="U17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1839.6499999999996</v>
      </c>
      <c r="V1793" t="str">
        <f>IF(OR(IFERROR(SEARCH("Met",tblMoeHistory[[#This Row],[State and Local Per Capita Result]]),0)&gt;0,IFERROR(SEARCH("Met",tblMoeHistory[[#This Row],[State and Local Total Result]]),0)&gt;0),"Met","Not Met")</f>
        <v>Not Met</v>
      </c>
    </row>
    <row r="1794" spans="1:22" x14ac:dyDescent="0.35">
      <c r="A1794" t="s">
        <v>39</v>
      </c>
      <c r="B1794">
        <v>1974</v>
      </c>
      <c r="C1794" t="s">
        <v>1537</v>
      </c>
      <c r="D1794">
        <v>238</v>
      </c>
      <c r="E1794">
        <v>2350051.3199999998</v>
      </c>
      <c r="F1794">
        <v>15228.48</v>
      </c>
      <c r="G1794">
        <f>tblMoeHistory[[#This Row],[LEA State and Local Amount]]+tblMoeHistory[[#This Row],[ESD State and Local Amount]]</f>
        <v>2365279.7999999998</v>
      </c>
      <c r="H1794">
        <v>0</v>
      </c>
      <c r="I1794" t="s">
        <v>241</v>
      </c>
      <c r="J1794" s="44">
        <f>IFERROR(tblMoeHistory[[#This Row],[LEA State and Local Amount]]/tblMoeHistory[[#This Row],[Child Count]],0)</f>
        <v>9874.1652100840329</v>
      </c>
      <c r="K1794">
        <f>IFERROR(tblMoeHistory[[#This Row],[ESD State and Local Amount]]/tblMoeHistory[[#This Row],[Child Count]],0)</f>
        <v>63.985210084033611</v>
      </c>
      <c r="L1794" s="1">
        <f>IFERROR(tblMoeHistory[[#This Row],[State and Local Total Amount]]/tblMoeHistory[[#This Row],[Child Count]],0)</f>
        <v>9938.1504201680673</v>
      </c>
      <c r="M1794">
        <v>-199504.07525581421</v>
      </c>
      <c r="N1794" t="s">
        <v>240</v>
      </c>
      <c r="O1794">
        <v>326749.06</v>
      </c>
      <c r="P1794">
        <v>7436.96</v>
      </c>
      <c r="Q1794">
        <f>tblMoeHistory[[#This Row],[Amount of IDEA Part B, Section 611 award]]+tblMoeHistory[[#This Row],[Amount of IDEA Part B, Section 619 award]]</f>
        <v>334186.02</v>
      </c>
      <c r="S1794">
        <v>0</v>
      </c>
      <c r="T1794">
        <v>0</v>
      </c>
      <c r="U17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4" t="str">
        <f>IF(OR(IFERROR(SEARCH("Met",tblMoeHistory[[#This Row],[State and Local Per Capita Result]]),0)&gt;0,IFERROR(SEARCH("Met",tblMoeHistory[[#This Row],[State and Local Total Result]]),0)&gt;0),"Met","Not Met")</f>
        <v>Met</v>
      </c>
    </row>
    <row r="1795" spans="1:22" x14ac:dyDescent="0.35">
      <c r="A1795" t="s">
        <v>40</v>
      </c>
      <c r="B1795">
        <v>1896</v>
      </c>
      <c r="C1795" t="s">
        <v>1537</v>
      </c>
      <c r="D1795">
        <v>6</v>
      </c>
      <c r="E1795">
        <v>59442</v>
      </c>
      <c r="F1795">
        <v>15377.58</v>
      </c>
      <c r="G1795">
        <f>tblMoeHistory[[#This Row],[LEA State and Local Amount]]+tblMoeHistory[[#This Row],[ESD State and Local Amount]]</f>
        <v>74819.58</v>
      </c>
      <c r="H1795">
        <v>0</v>
      </c>
      <c r="I1795" t="s">
        <v>241</v>
      </c>
      <c r="J1795" s="44">
        <f>IFERROR(tblMoeHistory[[#This Row],[LEA State and Local Amount]]/tblMoeHistory[[#This Row],[Child Count]],0)</f>
        <v>9907</v>
      </c>
      <c r="K1795">
        <f>IFERROR(tblMoeHistory[[#This Row],[ESD State and Local Amount]]/tblMoeHistory[[#This Row],[Child Count]],0)</f>
        <v>2562.9299999999998</v>
      </c>
      <c r="L1795" s="1">
        <f>IFERROR(tblMoeHistory[[#This Row],[State and Local Total Amount]]/tblMoeHistory[[#This Row],[Child Count]],0)</f>
        <v>12469.93</v>
      </c>
      <c r="M1795">
        <v>-146770.63199999995</v>
      </c>
      <c r="N1795" t="s">
        <v>240</v>
      </c>
      <c r="O1795">
        <v>15470.22</v>
      </c>
      <c r="P1795">
        <v>10.93</v>
      </c>
      <c r="Q1795">
        <f>tblMoeHistory[[#This Row],[Amount of IDEA Part B, Section 611 award]]+tblMoeHistory[[#This Row],[Amount of IDEA Part B, Section 619 award]]</f>
        <v>15481.15</v>
      </c>
      <c r="S1795">
        <v>0</v>
      </c>
      <c r="T1795">
        <v>24217.03</v>
      </c>
      <c r="U17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5" t="str">
        <f>IF(OR(IFERROR(SEARCH("Met",tblMoeHistory[[#This Row],[State and Local Per Capita Result]]),0)&gt;0,IFERROR(SEARCH("Met",tblMoeHistory[[#This Row],[State and Local Total Result]]),0)&gt;0),"Met","Not Met")</f>
        <v>Met</v>
      </c>
    </row>
    <row r="1796" spans="1:22" x14ac:dyDescent="0.35">
      <c r="A1796" t="s">
        <v>42</v>
      </c>
      <c r="B1796">
        <v>2046</v>
      </c>
      <c r="C1796" t="s">
        <v>1537</v>
      </c>
      <c r="D1796">
        <v>53</v>
      </c>
      <c r="E1796">
        <v>291517.84000000003</v>
      </c>
      <c r="F1796">
        <v>126653.25</v>
      </c>
      <c r="G1796">
        <f>tblMoeHistory[[#This Row],[LEA State and Local Amount]]+tblMoeHistory[[#This Row],[ESD State and Local Amount]]</f>
        <v>418171.09</v>
      </c>
      <c r="H1796">
        <v>0</v>
      </c>
      <c r="I1796" t="s">
        <v>241</v>
      </c>
      <c r="J1796" s="44">
        <f>IFERROR(tblMoeHistory[[#This Row],[LEA State and Local Amount]]/tblMoeHistory[[#This Row],[Child Count]],0)</f>
        <v>5500.336603773585</v>
      </c>
      <c r="K1796">
        <f>IFERROR(tblMoeHistory[[#This Row],[ESD State and Local Amount]]/tblMoeHistory[[#This Row],[Child Count]],0)</f>
        <v>2389.683962264151</v>
      </c>
      <c r="L1796" s="1">
        <f>IFERROR(tblMoeHistory[[#This Row],[State and Local Total Amount]]/tblMoeHistory[[#This Row],[Child Count]],0)</f>
        <v>7890.020566037736</v>
      </c>
      <c r="M1796">
        <v>-88907.711126126102</v>
      </c>
      <c r="N1796" t="s">
        <v>240</v>
      </c>
      <c r="O1796">
        <v>41065.11</v>
      </c>
      <c r="P1796">
        <v>20.56</v>
      </c>
      <c r="Q1796">
        <f>tblMoeHistory[[#This Row],[Amount of IDEA Part B, Section 611 award]]+tblMoeHistory[[#This Row],[Amount of IDEA Part B, Section 619 award]]</f>
        <v>41085.67</v>
      </c>
      <c r="S1796">
        <v>0</v>
      </c>
      <c r="T1796">
        <v>201.57</v>
      </c>
      <c r="U17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6" t="str">
        <f>IF(OR(IFERROR(SEARCH("Met",tblMoeHistory[[#This Row],[State and Local Per Capita Result]]),0)&gt;0,IFERROR(SEARCH("Met",tblMoeHistory[[#This Row],[State and Local Total Result]]),0)&gt;0),"Met","Not Met")</f>
        <v>Met</v>
      </c>
    </row>
    <row r="1797" spans="1:22" x14ac:dyDescent="0.35">
      <c r="A1797" t="s">
        <v>43</v>
      </c>
      <c r="B1797">
        <v>1995</v>
      </c>
      <c r="C1797" t="s">
        <v>1537</v>
      </c>
      <c r="D1797">
        <v>35</v>
      </c>
      <c r="E1797">
        <v>245510.1</v>
      </c>
      <c r="F1797">
        <v>36345.550000000003</v>
      </c>
      <c r="G1797">
        <f>tblMoeHistory[[#This Row],[LEA State and Local Amount]]+tblMoeHistory[[#This Row],[ESD State and Local Amount]]</f>
        <v>281855.65000000002</v>
      </c>
      <c r="H1797">
        <v>0</v>
      </c>
      <c r="I1797" t="s">
        <v>241</v>
      </c>
      <c r="J1797" s="44">
        <f>IFERROR(tblMoeHistory[[#This Row],[LEA State and Local Amount]]/tblMoeHistory[[#This Row],[Child Count]],0)</f>
        <v>7014.5742857142859</v>
      </c>
      <c r="K1797">
        <f>IFERROR(tblMoeHistory[[#This Row],[ESD State and Local Amount]]/tblMoeHistory[[#This Row],[Child Count]],0)</f>
        <v>1038.4442857142858</v>
      </c>
      <c r="L1797" s="1">
        <f>IFERROR(tblMoeHistory[[#This Row],[State and Local Total Amount]]/tblMoeHistory[[#This Row],[Child Count]],0)</f>
        <v>8053.0185714285717</v>
      </c>
      <c r="M1797">
        <v>0</v>
      </c>
      <c r="N1797" t="s">
        <v>241</v>
      </c>
      <c r="O1797">
        <v>45390.92</v>
      </c>
      <c r="P1797">
        <v>56.12</v>
      </c>
      <c r="Q1797">
        <f>tblMoeHistory[[#This Row],[Amount of IDEA Part B, Section 611 award]]+tblMoeHistory[[#This Row],[Amount of IDEA Part B, Section 619 award]]</f>
        <v>45447.040000000001</v>
      </c>
      <c r="S1797">
        <v>0</v>
      </c>
      <c r="U17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7" t="str">
        <f>IF(OR(IFERROR(SEARCH("Met",tblMoeHistory[[#This Row],[State and Local Per Capita Result]]),0)&gt;0,IFERROR(SEARCH("Met",tblMoeHistory[[#This Row],[State and Local Total Result]]),0)&gt;0),"Met","Not Met")</f>
        <v>Met</v>
      </c>
    </row>
    <row r="1798" spans="1:22" x14ac:dyDescent="0.35">
      <c r="A1798" t="s">
        <v>44</v>
      </c>
      <c r="B1798">
        <v>1929</v>
      </c>
      <c r="C1798" t="s">
        <v>1537</v>
      </c>
      <c r="D1798">
        <v>599</v>
      </c>
      <c r="E1798">
        <v>7158153.6699999999</v>
      </c>
      <c r="F1798">
        <v>608137</v>
      </c>
      <c r="G1798">
        <f>tblMoeHistory[[#This Row],[LEA State and Local Amount]]+tblMoeHistory[[#This Row],[ESD State and Local Amount]]</f>
        <v>7766290.6699999999</v>
      </c>
      <c r="H1798">
        <v>0</v>
      </c>
      <c r="I1798" t="s">
        <v>241</v>
      </c>
      <c r="J1798" s="44">
        <f>IFERROR(tblMoeHistory[[#This Row],[LEA State and Local Amount]]/tblMoeHistory[[#This Row],[Child Count]],0)</f>
        <v>11950.17307178631</v>
      </c>
      <c r="K1798">
        <f>IFERROR(tblMoeHistory[[#This Row],[ESD State and Local Amount]]/tblMoeHistory[[#This Row],[Child Count]],0)</f>
        <v>1015.2537562604341</v>
      </c>
      <c r="L1798" s="1">
        <f>IFERROR(tblMoeHistory[[#This Row],[State and Local Total Amount]]/tblMoeHistory[[#This Row],[Child Count]],0)</f>
        <v>12965.426828046744</v>
      </c>
      <c r="M1798">
        <v>0</v>
      </c>
      <c r="N1798" t="s">
        <v>241</v>
      </c>
      <c r="O1798">
        <v>773488.79</v>
      </c>
      <c r="P1798">
        <v>4199.13</v>
      </c>
      <c r="Q1798">
        <f>tblMoeHistory[[#This Row],[Amount of IDEA Part B, Section 611 award]]+tblMoeHistory[[#This Row],[Amount of IDEA Part B, Section 619 award]]</f>
        <v>777687.92</v>
      </c>
      <c r="S1798">
        <v>0</v>
      </c>
      <c r="U17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8" t="str">
        <f>IF(OR(IFERROR(SEARCH("Met",tblMoeHistory[[#This Row],[State and Local Per Capita Result]]),0)&gt;0,IFERROR(SEARCH("Met",tblMoeHistory[[#This Row],[State and Local Total Result]]),0)&gt;0),"Met","Not Met")</f>
        <v>Met</v>
      </c>
    </row>
    <row r="1799" spans="1:22" x14ac:dyDescent="0.35">
      <c r="A1799" t="s">
        <v>45</v>
      </c>
      <c r="B1799">
        <v>2139</v>
      </c>
      <c r="C1799" t="s">
        <v>1537</v>
      </c>
      <c r="D1799">
        <v>370</v>
      </c>
      <c r="E1799">
        <v>4371758.55</v>
      </c>
      <c r="F1799">
        <v>300412.24</v>
      </c>
      <c r="G1799">
        <f>tblMoeHistory[[#This Row],[LEA State and Local Amount]]+tblMoeHistory[[#This Row],[ESD State and Local Amount]]</f>
        <v>4672170.79</v>
      </c>
      <c r="H1799">
        <v>0</v>
      </c>
      <c r="I1799" t="s">
        <v>241</v>
      </c>
      <c r="J1799" s="44">
        <f>IFERROR(tblMoeHistory[[#This Row],[LEA State and Local Amount]]/tblMoeHistory[[#This Row],[Child Count]],0)</f>
        <v>11815.563648648647</v>
      </c>
      <c r="K1799">
        <f>IFERROR(tblMoeHistory[[#This Row],[ESD State and Local Amount]]/tblMoeHistory[[#This Row],[Child Count]],0)</f>
        <v>811.92497297297291</v>
      </c>
      <c r="L1799" s="1">
        <f>IFERROR(tblMoeHistory[[#This Row],[State and Local Total Amount]]/tblMoeHistory[[#This Row],[Child Count]],0)</f>
        <v>12627.488621621622</v>
      </c>
      <c r="M1799">
        <v>0</v>
      </c>
      <c r="N1799" t="s">
        <v>241</v>
      </c>
      <c r="O1799">
        <v>425698.99</v>
      </c>
      <c r="P1799">
        <v>5058.51</v>
      </c>
      <c r="Q1799">
        <f>tblMoeHistory[[#This Row],[Amount of IDEA Part B, Section 611 award]]+tblMoeHistory[[#This Row],[Amount of IDEA Part B, Section 619 award]]</f>
        <v>430757.5</v>
      </c>
      <c r="S1799">
        <v>0</v>
      </c>
      <c r="U17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9" t="str">
        <f>IF(OR(IFERROR(SEARCH("Met",tblMoeHistory[[#This Row],[State and Local Per Capita Result]]),0)&gt;0,IFERROR(SEARCH("Met",tblMoeHistory[[#This Row],[State and Local Total Result]]),0)&gt;0),"Met","Not Met")</f>
        <v>Met</v>
      </c>
    </row>
    <row r="1800" spans="1:22" x14ac:dyDescent="0.35">
      <c r="A1800" t="s">
        <v>46</v>
      </c>
      <c r="B1800">
        <v>2185</v>
      </c>
      <c r="C1800" t="s">
        <v>1537</v>
      </c>
      <c r="D1800">
        <v>857</v>
      </c>
      <c r="E1800">
        <v>12644771.060000001</v>
      </c>
      <c r="F1800">
        <v>1561800.12</v>
      </c>
      <c r="G1800">
        <f>tblMoeHistory[[#This Row],[LEA State and Local Amount]]+tblMoeHistory[[#This Row],[ESD State and Local Amount]]</f>
        <v>14206571.18</v>
      </c>
      <c r="H1800">
        <v>0</v>
      </c>
      <c r="I1800" t="s">
        <v>241</v>
      </c>
      <c r="J1800" s="44">
        <f>IFERROR(tblMoeHistory[[#This Row],[LEA State and Local Amount]]/tblMoeHistory[[#This Row],[Child Count]],0)</f>
        <v>14754.692018669779</v>
      </c>
      <c r="K1800">
        <f>IFERROR(tblMoeHistory[[#This Row],[ESD State and Local Amount]]/tblMoeHistory[[#This Row],[Child Count]],0)</f>
        <v>1822.4038739789967</v>
      </c>
      <c r="L1800" s="1">
        <f>IFERROR(tblMoeHistory[[#This Row],[State and Local Total Amount]]/tblMoeHistory[[#This Row],[Child Count]],0)</f>
        <v>16577.095892648773</v>
      </c>
      <c r="M1800">
        <v>0</v>
      </c>
      <c r="N1800" t="s">
        <v>241</v>
      </c>
      <c r="O1800">
        <v>1001372.88</v>
      </c>
      <c r="P1800">
        <v>9543.35</v>
      </c>
      <c r="Q1800">
        <f>tblMoeHistory[[#This Row],[Amount of IDEA Part B, Section 611 award]]+tblMoeHistory[[#This Row],[Amount of IDEA Part B, Section 619 award]]</f>
        <v>1010916.23</v>
      </c>
      <c r="S1800">
        <v>0</v>
      </c>
      <c r="T1800">
        <v>256.85000000000002</v>
      </c>
      <c r="U18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0" t="str">
        <f>IF(OR(IFERROR(SEARCH("Met",tblMoeHistory[[#This Row],[State and Local Per Capita Result]]),0)&gt;0,IFERROR(SEARCH("Met",tblMoeHistory[[#This Row],[State and Local Total Result]]),0)&gt;0),"Met","Not Met")</f>
        <v>Met</v>
      </c>
    </row>
    <row r="1801" spans="1:22" x14ac:dyDescent="0.35">
      <c r="A1801" t="s">
        <v>47</v>
      </c>
      <c r="B1801">
        <v>1972</v>
      </c>
      <c r="C1801" t="s">
        <v>1537</v>
      </c>
      <c r="D1801">
        <v>60</v>
      </c>
      <c r="E1801">
        <v>282749.34999999998</v>
      </c>
      <c r="F1801">
        <v>223135.89</v>
      </c>
      <c r="G1801">
        <f>tblMoeHistory[[#This Row],[LEA State and Local Amount]]+tblMoeHistory[[#This Row],[ESD State and Local Amount]]</f>
        <v>505885.24</v>
      </c>
      <c r="H1801">
        <v>0</v>
      </c>
      <c r="I1801" t="s">
        <v>242</v>
      </c>
      <c r="J1801" s="44">
        <f>IFERROR(tblMoeHistory[[#This Row],[LEA State and Local Amount]]/tblMoeHistory[[#This Row],[Child Count]],0)</f>
        <v>4712.4891666666663</v>
      </c>
      <c r="K1801">
        <f>IFERROR(tblMoeHistory[[#This Row],[ESD State and Local Amount]]/tblMoeHistory[[#This Row],[Child Count]],0)</f>
        <v>3718.9315000000001</v>
      </c>
      <c r="L1801" s="1">
        <f>IFERROR(tblMoeHistory[[#This Row],[State and Local Total Amount]]/tblMoeHistory[[#This Row],[Child Count]],0)</f>
        <v>8431.4206666666669</v>
      </c>
      <c r="M1801">
        <v>-33147.218823529394</v>
      </c>
      <c r="N1801" t="s">
        <v>240</v>
      </c>
      <c r="O1801">
        <v>112322.88</v>
      </c>
      <c r="P1801">
        <v>506.5</v>
      </c>
      <c r="Q1801">
        <f>tblMoeHistory[[#This Row],[Amount of IDEA Part B, Section 611 award]]+tblMoeHistory[[#This Row],[Amount of IDEA Part B, Section 619 award]]</f>
        <v>112829.38</v>
      </c>
      <c r="S1801">
        <v>164380.18</v>
      </c>
      <c r="T1801">
        <v>1679.73</v>
      </c>
      <c r="U18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1" t="str">
        <f>IF(OR(IFERROR(SEARCH("Met",tblMoeHistory[[#This Row],[State and Local Per Capita Result]]),0)&gt;0,IFERROR(SEARCH("Met",tblMoeHistory[[#This Row],[State and Local Total Result]]),0)&gt;0),"Met","Not Met")</f>
        <v>Met</v>
      </c>
    </row>
    <row r="1802" spans="1:22" x14ac:dyDescent="0.35">
      <c r="A1802" t="s">
        <v>48</v>
      </c>
      <c r="B1802">
        <v>2105</v>
      </c>
      <c r="C1802" t="s">
        <v>1537</v>
      </c>
      <c r="D1802">
        <v>96</v>
      </c>
      <c r="E1802">
        <v>652864.28</v>
      </c>
      <c r="F1802">
        <v>127725</v>
      </c>
      <c r="G1802">
        <f>tblMoeHistory[[#This Row],[LEA State and Local Amount]]+tblMoeHistory[[#This Row],[ESD State and Local Amount]]</f>
        <v>780589.28</v>
      </c>
      <c r="H1802">
        <v>0</v>
      </c>
      <c r="I1802" t="s">
        <v>241</v>
      </c>
      <c r="J1802" s="44">
        <f>IFERROR(tblMoeHistory[[#This Row],[LEA State and Local Amount]]/tblMoeHistory[[#This Row],[Child Count]],0)</f>
        <v>6800.6695833333333</v>
      </c>
      <c r="K1802">
        <f>IFERROR(tblMoeHistory[[#This Row],[ESD State and Local Amount]]/tblMoeHistory[[#This Row],[Child Count]],0)</f>
        <v>1330.46875</v>
      </c>
      <c r="L1802" s="1">
        <f>IFERROR(tblMoeHistory[[#This Row],[State and Local Total Amount]]/tblMoeHistory[[#This Row],[Child Count]],0)</f>
        <v>8131.1383333333333</v>
      </c>
      <c r="M1802">
        <v>0</v>
      </c>
      <c r="N1802" t="s">
        <v>242</v>
      </c>
      <c r="O1802">
        <v>113948.84</v>
      </c>
      <c r="P1802">
        <v>1006.43</v>
      </c>
      <c r="Q1802">
        <f>tblMoeHistory[[#This Row],[Amount of IDEA Part B, Section 611 award]]+tblMoeHistory[[#This Row],[Amount of IDEA Part B, Section 619 award]]</f>
        <v>114955.26999999999</v>
      </c>
      <c r="S1802">
        <v>0</v>
      </c>
      <c r="T1802">
        <v>411.01</v>
      </c>
      <c r="U18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2" t="str">
        <f>IF(OR(IFERROR(SEARCH("Met",tblMoeHistory[[#This Row],[State and Local Per Capita Result]]),0)&gt;0,IFERROR(SEARCH("Met",tblMoeHistory[[#This Row],[State and Local Total Result]]),0)&gt;0),"Met","Not Met")</f>
        <v>Met</v>
      </c>
    </row>
    <row r="1803" spans="1:22" x14ac:dyDescent="0.35">
      <c r="A1803" t="s">
        <v>49</v>
      </c>
      <c r="B1803">
        <v>2042</v>
      </c>
      <c r="C1803" t="s">
        <v>1537</v>
      </c>
      <c r="D1803">
        <v>679</v>
      </c>
      <c r="E1803">
        <v>3534463.98</v>
      </c>
      <c r="F1803">
        <v>970345.37</v>
      </c>
      <c r="G1803">
        <f>tblMoeHistory[[#This Row],[LEA State and Local Amount]]+tblMoeHistory[[#This Row],[ESD State and Local Amount]]</f>
        <v>4504809.3499999996</v>
      </c>
      <c r="H1803">
        <v>0</v>
      </c>
      <c r="I1803" t="s">
        <v>241</v>
      </c>
      <c r="J1803" s="44">
        <f>IFERROR(tblMoeHistory[[#This Row],[LEA State and Local Amount]]/tblMoeHistory[[#This Row],[Child Count]],0)</f>
        <v>5205.396141384389</v>
      </c>
      <c r="K1803">
        <f>IFERROR(tblMoeHistory[[#This Row],[ESD State and Local Amount]]/tblMoeHistory[[#This Row],[Child Count]],0)</f>
        <v>1429.0800736377025</v>
      </c>
      <c r="L1803" s="1">
        <f>IFERROR(tblMoeHistory[[#This Row],[State and Local Total Amount]]/tblMoeHistory[[#This Row],[Child Count]],0)</f>
        <v>6634.4762150220904</v>
      </c>
      <c r="M1803">
        <v>-424968.24593219784</v>
      </c>
      <c r="N1803" t="s">
        <v>240</v>
      </c>
      <c r="O1803">
        <v>646064.43000000005</v>
      </c>
      <c r="P1803">
        <v>10969.49</v>
      </c>
      <c r="Q1803">
        <f>tblMoeHistory[[#This Row],[Amount of IDEA Part B, Section 611 award]]+tblMoeHistory[[#This Row],[Amount of IDEA Part B, Section 619 award]]</f>
        <v>657033.92000000004</v>
      </c>
      <c r="S1803">
        <v>0</v>
      </c>
      <c r="T1803">
        <v>161.54</v>
      </c>
      <c r="U18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3" t="str">
        <f>IF(OR(IFERROR(SEARCH("Met",tblMoeHistory[[#This Row],[State and Local Per Capita Result]]),0)&gt;0,IFERROR(SEARCH("Met",tblMoeHistory[[#This Row],[State and Local Total Result]]),0)&gt;0),"Met","Not Met")</f>
        <v>Met</v>
      </c>
    </row>
    <row r="1804" spans="1:22" x14ac:dyDescent="0.35">
      <c r="A1804" t="s">
        <v>50</v>
      </c>
      <c r="B1804">
        <v>2191</v>
      </c>
      <c r="C1804" t="s">
        <v>1537</v>
      </c>
      <c r="D1804">
        <v>354</v>
      </c>
      <c r="E1804">
        <v>6503321.1299999999</v>
      </c>
      <c r="F1804">
        <v>253911.1</v>
      </c>
      <c r="G1804">
        <f>tblMoeHistory[[#This Row],[LEA State and Local Amount]]+tblMoeHistory[[#This Row],[ESD State and Local Amount]]</f>
        <v>6757232.2299999995</v>
      </c>
      <c r="H1804">
        <v>0</v>
      </c>
      <c r="I1804" t="s">
        <v>241</v>
      </c>
      <c r="J1804" s="44">
        <f>IFERROR(tblMoeHistory[[#This Row],[LEA State and Local Amount]]/tblMoeHistory[[#This Row],[Child Count]],0)</f>
        <v>18370.963644067797</v>
      </c>
      <c r="K1804">
        <f>IFERROR(tblMoeHistory[[#This Row],[ESD State and Local Amount]]/tblMoeHistory[[#This Row],[Child Count]],0)</f>
        <v>717.2629943502825</v>
      </c>
      <c r="L1804" s="1">
        <f>IFERROR(tblMoeHistory[[#This Row],[State and Local Total Amount]]/tblMoeHistory[[#This Row],[Child Count]],0)</f>
        <v>19088.226638418077</v>
      </c>
      <c r="M1804">
        <v>0</v>
      </c>
      <c r="N1804" t="s">
        <v>241</v>
      </c>
      <c r="O1804">
        <v>499177.79</v>
      </c>
      <c r="P1804">
        <v>3632.48</v>
      </c>
      <c r="Q1804">
        <f>tblMoeHistory[[#This Row],[Amount of IDEA Part B, Section 611 award]]+tblMoeHistory[[#This Row],[Amount of IDEA Part B, Section 619 award]]</f>
        <v>502810.26999999996</v>
      </c>
      <c r="S1804">
        <v>0</v>
      </c>
      <c r="U18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4" t="str">
        <f>IF(OR(IFERROR(SEARCH("Met",tblMoeHistory[[#This Row],[State and Local Per Capita Result]]),0)&gt;0,IFERROR(SEARCH("Met",tblMoeHistory[[#This Row],[State and Local Total Result]]),0)&gt;0),"Met","Not Met")</f>
        <v>Met</v>
      </c>
    </row>
    <row r="1805" spans="1:22" x14ac:dyDescent="0.35">
      <c r="A1805" t="s">
        <v>51</v>
      </c>
      <c r="B1805">
        <v>1945</v>
      </c>
      <c r="C1805" t="s">
        <v>1537</v>
      </c>
      <c r="D1805">
        <v>131</v>
      </c>
      <c r="E1805">
        <v>1796061.94</v>
      </c>
      <c r="F1805">
        <v>82323</v>
      </c>
      <c r="G1805">
        <f>tblMoeHistory[[#This Row],[LEA State and Local Amount]]+tblMoeHistory[[#This Row],[ESD State and Local Amount]]</f>
        <v>1878384.94</v>
      </c>
      <c r="H1805">
        <v>0</v>
      </c>
      <c r="I1805" t="s">
        <v>241</v>
      </c>
      <c r="J1805" s="44">
        <f>IFERROR(tblMoeHistory[[#This Row],[LEA State and Local Amount]]/tblMoeHistory[[#This Row],[Child Count]],0)</f>
        <v>13710.396488549617</v>
      </c>
      <c r="K1805">
        <f>IFERROR(tblMoeHistory[[#This Row],[ESD State and Local Amount]]/tblMoeHistory[[#This Row],[Child Count]],0)</f>
        <v>628.41984732824426</v>
      </c>
      <c r="L1805" s="1">
        <f>IFERROR(tblMoeHistory[[#This Row],[State and Local Total Amount]]/tblMoeHistory[[#This Row],[Child Count]],0)</f>
        <v>14338.816335877862</v>
      </c>
      <c r="M1805">
        <v>0</v>
      </c>
      <c r="N1805" t="s">
        <v>242</v>
      </c>
      <c r="O1805">
        <v>123951.02</v>
      </c>
      <c r="P1805">
        <v>1988.53</v>
      </c>
      <c r="Q1805">
        <f>tblMoeHistory[[#This Row],[Amount of IDEA Part B, Section 611 award]]+tblMoeHistory[[#This Row],[Amount of IDEA Part B, Section 619 award]]</f>
        <v>125939.55</v>
      </c>
      <c r="S1805">
        <v>0</v>
      </c>
      <c r="T1805">
        <v>761.89</v>
      </c>
      <c r="U18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5" t="str">
        <f>IF(OR(IFERROR(SEARCH("Met",tblMoeHistory[[#This Row],[State and Local Per Capita Result]]),0)&gt;0,IFERROR(SEARCH("Met",tblMoeHistory[[#This Row],[State and Local Total Result]]),0)&gt;0),"Met","Not Met")</f>
        <v>Met</v>
      </c>
    </row>
    <row r="1806" spans="1:22" x14ac:dyDescent="0.35">
      <c r="A1806" t="s">
        <v>52</v>
      </c>
      <c r="B1806">
        <v>1927</v>
      </c>
      <c r="C1806" t="s">
        <v>1537</v>
      </c>
      <c r="D1806">
        <v>81</v>
      </c>
      <c r="E1806">
        <v>941620.34</v>
      </c>
      <c r="F1806">
        <v>10000</v>
      </c>
      <c r="G1806">
        <f>tblMoeHistory[[#This Row],[LEA State and Local Amount]]+tblMoeHistory[[#This Row],[ESD State and Local Amount]]</f>
        <v>951620.34</v>
      </c>
      <c r="H1806">
        <v>0</v>
      </c>
      <c r="I1806" t="s">
        <v>241</v>
      </c>
      <c r="J1806" s="44">
        <f>IFERROR(tblMoeHistory[[#This Row],[LEA State and Local Amount]]/tblMoeHistory[[#This Row],[Child Count]],0)</f>
        <v>11624.942469135802</v>
      </c>
      <c r="K1806">
        <f>IFERROR(tblMoeHistory[[#This Row],[ESD State and Local Amount]]/tblMoeHistory[[#This Row],[Child Count]],0)</f>
        <v>123.45679012345678</v>
      </c>
      <c r="L1806" s="1">
        <f>IFERROR(tblMoeHistory[[#This Row],[State and Local Total Amount]]/tblMoeHistory[[#This Row],[Child Count]],0)</f>
        <v>11748.399259259259</v>
      </c>
      <c r="M1806">
        <v>0</v>
      </c>
      <c r="N1806" t="s">
        <v>241</v>
      </c>
      <c r="O1806">
        <v>118100.18</v>
      </c>
      <c r="P1806">
        <v>1485.55</v>
      </c>
      <c r="Q1806">
        <f>tblMoeHistory[[#This Row],[Amount of IDEA Part B, Section 611 award]]+tblMoeHistory[[#This Row],[Amount of IDEA Part B, Section 619 award]]</f>
        <v>119585.73</v>
      </c>
      <c r="S1806">
        <v>0</v>
      </c>
      <c r="U18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6" t="str">
        <f>IF(OR(IFERROR(SEARCH("Met",tblMoeHistory[[#This Row],[State and Local Per Capita Result]]),0)&gt;0,IFERROR(SEARCH("Met",tblMoeHistory[[#This Row],[State and Local Total Result]]),0)&gt;0),"Met","Not Met")</f>
        <v>Met</v>
      </c>
    </row>
    <row r="1807" spans="1:22" x14ac:dyDescent="0.35">
      <c r="A1807" t="s">
        <v>53</v>
      </c>
      <c r="B1807">
        <v>2006</v>
      </c>
      <c r="C1807" t="s">
        <v>1537</v>
      </c>
      <c r="D1807">
        <v>21</v>
      </c>
      <c r="E1807">
        <v>4078.6</v>
      </c>
      <c r="F1807">
        <v>149856</v>
      </c>
      <c r="G1807">
        <f>tblMoeHistory[[#This Row],[LEA State and Local Amount]]+tblMoeHistory[[#This Row],[ESD State and Local Amount]]</f>
        <v>153934.6</v>
      </c>
      <c r="H1807">
        <v>0</v>
      </c>
      <c r="I1807" t="s">
        <v>241</v>
      </c>
      <c r="J1807" s="44">
        <f>IFERROR(tblMoeHistory[[#This Row],[LEA State and Local Amount]]/tblMoeHistory[[#This Row],[Child Count]],0)</f>
        <v>194.21904761904761</v>
      </c>
      <c r="K1807">
        <f>IFERROR(tblMoeHistory[[#This Row],[ESD State and Local Amount]]/tblMoeHistory[[#This Row],[Child Count]],0)</f>
        <v>7136</v>
      </c>
      <c r="L1807" s="1">
        <f>IFERROR(tblMoeHistory[[#This Row],[State and Local Total Amount]]/tblMoeHistory[[#This Row],[Child Count]],0)</f>
        <v>7330.2190476190481</v>
      </c>
      <c r="M1807">
        <v>0</v>
      </c>
      <c r="N1807" t="s">
        <v>241</v>
      </c>
      <c r="O1807">
        <v>27283.5</v>
      </c>
      <c r="P1807">
        <v>16.23</v>
      </c>
      <c r="Q1807">
        <f>tblMoeHistory[[#This Row],[Amount of IDEA Part B, Section 611 award]]+tblMoeHistory[[#This Row],[Amount of IDEA Part B, Section 619 award]]</f>
        <v>27299.73</v>
      </c>
      <c r="S1807">
        <v>0</v>
      </c>
      <c r="U18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7" t="str">
        <f>IF(OR(IFERROR(SEARCH("Met",tblMoeHistory[[#This Row],[State and Local Per Capita Result]]),0)&gt;0,IFERROR(SEARCH("Met",tblMoeHistory[[#This Row],[State and Local Total Result]]),0)&gt;0),"Met","Not Met")</f>
        <v>Met</v>
      </c>
    </row>
    <row r="1808" spans="1:22" x14ac:dyDescent="0.35">
      <c r="A1808" t="s">
        <v>54</v>
      </c>
      <c r="B1808">
        <v>1965</v>
      </c>
      <c r="C1808" t="s">
        <v>1537</v>
      </c>
      <c r="D1808">
        <v>508</v>
      </c>
      <c r="E1808">
        <v>5476323.29</v>
      </c>
      <c r="F1808">
        <v>1387344.15</v>
      </c>
      <c r="G1808">
        <f>tblMoeHistory[[#This Row],[LEA State and Local Amount]]+tblMoeHistory[[#This Row],[ESD State and Local Amount]]</f>
        <v>6863667.4399999995</v>
      </c>
      <c r="H1808">
        <v>0</v>
      </c>
      <c r="I1808" t="s">
        <v>241</v>
      </c>
      <c r="J1808" s="44">
        <f>IFERROR(tblMoeHistory[[#This Row],[LEA State and Local Amount]]/tblMoeHistory[[#This Row],[Child Count]],0)</f>
        <v>10780.163956692913</v>
      </c>
      <c r="K1808">
        <f>IFERROR(tblMoeHistory[[#This Row],[ESD State and Local Amount]]/tblMoeHistory[[#This Row],[Child Count]],0)</f>
        <v>2730.9924212598426</v>
      </c>
      <c r="L1808" s="1">
        <f>IFERROR(tblMoeHistory[[#This Row],[State and Local Total Amount]]/tblMoeHistory[[#This Row],[Child Count]],0)</f>
        <v>13511.156377952755</v>
      </c>
      <c r="M1808">
        <v>0</v>
      </c>
      <c r="N1808" t="s">
        <v>241</v>
      </c>
      <c r="O1808">
        <v>722880.15</v>
      </c>
      <c r="P1808">
        <v>6987.97</v>
      </c>
      <c r="Q1808">
        <f>tblMoeHistory[[#This Row],[Amount of IDEA Part B, Section 611 award]]+tblMoeHistory[[#This Row],[Amount of IDEA Part B, Section 619 award]]</f>
        <v>729868.12</v>
      </c>
      <c r="S1808">
        <v>0</v>
      </c>
      <c r="U18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8" t="str">
        <f>IF(OR(IFERROR(SEARCH("Met",tblMoeHistory[[#This Row],[State and Local Per Capita Result]]),0)&gt;0,IFERROR(SEARCH("Met",tblMoeHistory[[#This Row],[State and Local Total Result]]),0)&gt;0),"Met","Not Met")</f>
        <v>Met</v>
      </c>
    </row>
    <row r="1809" spans="1:22" x14ac:dyDescent="0.35">
      <c r="A1809" t="s">
        <v>55</v>
      </c>
      <c r="B1809">
        <v>1964</v>
      </c>
      <c r="C1809" t="s">
        <v>1537</v>
      </c>
      <c r="D1809">
        <v>188</v>
      </c>
      <c r="E1809">
        <v>1114503.81</v>
      </c>
      <c r="F1809">
        <v>220179.76</v>
      </c>
      <c r="G1809">
        <f>tblMoeHistory[[#This Row],[LEA State and Local Amount]]+tblMoeHistory[[#This Row],[ESD State and Local Amount]]</f>
        <v>1334683.57</v>
      </c>
      <c r="H1809">
        <v>0</v>
      </c>
      <c r="I1809" t="s">
        <v>241</v>
      </c>
      <c r="J1809" s="44">
        <f>IFERROR(tblMoeHistory[[#This Row],[LEA State and Local Amount]]/tblMoeHistory[[#This Row],[Child Count]],0)</f>
        <v>5928.2117553191492</v>
      </c>
      <c r="K1809">
        <f>IFERROR(tblMoeHistory[[#This Row],[ESD State and Local Amount]]/tblMoeHistory[[#This Row],[Child Count]],0)</f>
        <v>1171.1689361702129</v>
      </c>
      <c r="L1809" s="1">
        <f>IFERROR(tblMoeHistory[[#This Row],[State and Local Total Amount]]/tblMoeHistory[[#This Row],[Child Count]],0)</f>
        <v>7099.3806914893621</v>
      </c>
      <c r="M1809">
        <v>-888449.67000000016</v>
      </c>
      <c r="N1809" t="s">
        <v>240</v>
      </c>
      <c r="O1809">
        <v>195985.87</v>
      </c>
      <c r="P1809">
        <v>1039.25</v>
      </c>
      <c r="Q1809">
        <f>tblMoeHistory[[#This Row],[Amount of IDEA Part B, Section 611 award]]+tblMoeHistory[[#This Row],[Amount of IDEA Part B, Section 619 award]]</f>
        <v>197025.12</v>
      </c>
      <c r="S1809">
        <v>0</v>
      </c>
      <c r="T1809">
        <v>0</v>
      </c>
      <c r="U18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9" t="str">
        <f>IF(OR(IFERROR(SEARCH("Met",tblMoeHistory[[#This Row],[State and Local Per Capita Result]]),0)&gt;0,IFERROR(SEARCH("Met",tblMoeHistory[[#This Row],[State and Local Total Result]]),0)&gt;0),"Met","Not Met")</f>
        <v>Met</v>
      </c>
    </row>
    <row r="1810" spans="1:22" x14ac:dyDescent="0.35">
      <c r="A1810" t="s">
        <v>56</v>
      </c>
      <c r="B1810">
        <v>2186</v>
      </c>
      <c r="C1810" t="s">
        <v>1537</v>
      </c>
      <c r="D1810">
        <v>169</v>
      </c>
      <c r="E1810">
        <v>1390931.97</v>
      </c>
      <c r="F1810">
        <v>443780.52</v>
      </c>
      <c r="G1810">
        <f>tblMoeHistory[[#This Row],[LEA State and Local Amount]]+tblMoeHistory[[#This Row],[ESD State and Local Amount]]</f>
        <v>1834712.49</v>
      </c>
      <c r="H1810">
        <v>0</v>
      </c>
      <c r="I1810" t="s">
        <v>241</v>
      </c>
      <c r="J1810" s="44">
        <f>IFERROR(tblMoeHistory[[#This Row],[LEA State and Local Amount]]/tblMoeHistory[[#This Row],[Child Count]],0)</f>
        <v>8230.3666863905328</v>
      </c>
      <c r="K1810">
        <f>IFERROR(tblMoeHistory[[#This Row],[ESD State and Local Amount]]/tblMoeHistory[[#This Row],[Child Count]],0)</f>
        <v>2625.9202366863906</v>
      </c>
      <c r="L1810" s="1">
        <f>IFERROR(tblMoeHistory[[#This Row],[State and Local Total Amount]]/tblMoeHistory[[#This Row],[Child Count]],0)</f>
        <v>10856.286923076923</v>
      </c>
      <c r="M1810">
        <v>-669436.55999999982</v>
      </c>
      <c r="N1810" t="s">
        <v>240</v>
      </c>
      <c r="O1810">
        <v>156261.18</v>
      </c>
      <c r="P1810">
        <v>1545.39</v>
      </c>
      <c r="Q1810">
        <f>tblMoeHistory[[#This Row],[Amount of IDEA Part B, Section 611 award]]+tblMoeHistory[[#This Row],[Amount of IDEA Part B, Section 619 award]]</f>
        <v>157806.57</v>
      </c>
      <c r="S1810">
        <v>0</v>
      </c>
      <c r="T1810">
        <v>158.46</v>
      </c>
      <c r="U18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0" t="str">
        <f>IF(OR(IFERROR(SEARCH("Met",tblMoeHistory[[#This Row],[State and Local Per Capita Result]]),0)&gt;0,IFERROR(SEARCH("Met",tblMoeHistory[[#This Row],[State and Local Total Result]]),0)&gt;0),"Met","Not Met")</f>
        <v>Met</v>
      </c>
    </row>
    <row r="1811" spans="1:22" x14ac:dyDescent="0.35">
      <c r="A1811" t="s">
        <v>58</v>
      </c>
      <c r="B1811">
        <v>1901</v>
      </c>
      <c r="C1811" t="s">
        <v>1537</v>
      </c>
      <c r="D1811">
        <v>679</v>
      </c>
      <c r="E1811">
        <v>9087623.8699999992</v>
      </c>
      <c r="F1811">
        <v>914585</v>
      </c>
      <c r="G1811">
        <f>tblMoeHistory[[#This Row],[LEA State and Local Amount]]+tblMoeHistory[[#This Row],[ESD State and Local Amount]]</f>
        <v>10002208.869999999</v>
      </c>
      <c r="H1811">
        <v>0</v>
      </c>
      <c r="I1811" t="s">
        <v>241</v>
      </c>
      <c r="J1811" s="44">
        <f>IFERROR(tblMoeHistory[[#This Row],[LEA State and Local Amount]]/tblMoeHistory[[#This Row],[Child Count]],0)</f>
        <v>13383.834860088364</v>
      </c>
      <c r="K1811">
        <f>IFERROR(tblMoeHistory[[#This Row],[ESD State and Local Amount]]/tblMoeHistory[[#This Row],[Child Count]],0)</f>
        <v>1346.9587628865979</v>
      </c>
      <c r="L1811" s="1">
        <f>IFERROR(tblMoeHistory[[#This Row],[State and Local Total Amount]]/tblMoeHistory[[#This Row],[Child Count]],0)</f>
        <v>14730.793622974961</v>
      </c>
      <c r="M1811">
        <v>0</v>
      </c>
      <c r="N1811" t="s">
        <v>241</v>
      </c>
      <c r="O1811">
        <v>1006763.88</v>
      </c>
      <c r="P1811">
        <v>8539.9599999999991</v>
      </c>
      <c r="Q1811">
        <f>tblMoeHistory[[#This Row],[Amount of IDEA Part B, Section 611 award]]+tblMoeHistory[[#This Row],[Amount of IDEA Part B, Section 619 award]]</f>
        <v>1015303.84</v>
      </c>
      <c r="S1811">
        <v>0</v>
      </c>
      <c r="U18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1" t="str">
        <f>IF(OR(IFERROR(SEARCH("Met",tblMoeHistory[[#This Row],[State and Local Per Capita Result]]),0)&gt;0,IFERROR(SEARCH("Met",tblMoeHistory[[#This Row],[State and Local Total Result]]),0)&gt;0),"Met","Not Met")</f>
        <v>Met</v>
      </c>
    </row>
    <row r="1812" spans="1:22" x14ac:dyDescent="0.35">
      <c r="A1812" t="s">
        <v>59</v>
      </c>
      <c r="B1812">
        <v>2216</v>
      </c>
      <c r="C1812" t="s">
        <v>1537</v>
      </c>
      <c r="D1812">
        <v>39</v>
      </c>
      <c r="E1812">
        <v>148900.81</v>
      </c>
      <c r="F1812">
        <v>73107.100000000006</v>
      </c>
      <c r="G1812">
        <f>tblMoeHistory[[#This Row],[LEA State and Local Amount]]+tblMoeHistory[[#This Row],[ESD State and Local Amount]]</f>
        <v>222007.91</v>
      </c>
      <c r="H1812">
        <v>0</v>
      </c>
      <c r="I1812" t="s">
        <v>241</v>
      </c>
      <c r="J1812" s="44">
        <f>IFERROR(tblMoeHistory[[#This Row],[LEA State and Local Amount]]/tblMoeHistory[[#This Row],[Child Count]],0)</f>
        <v>3817.9694871794873</v>
      </c>
      <c r="K1812">
        <f>IFERROR(tblMoeHistory[[#This Row],[ESD State and Local Amount]]/tblMoeHistory[[#This Row],[Child Count]],0)</f>
        <v>1874.5410256410257</v>
      </c>
      <c r="L1812" s="1">
        <f>IFERROR(tblMoeHistory[[#This Row],[State and Local Total Amount]]/tblMoeHistory[[#This Row],[Child Count]],0)</f>
        <v>5692.5105128205132</v>
      </c>
      <c r="M1812">
        <v>-19496.276418181806</v>
      </c>
      <c r="N1812" t="s">
        <v>240</v>
      </c>
      <c r="O1812">
        <v>46490.8</v>
      </c>
      <c r="P1812">
        <v>485.55</v>
      </c>
      <c r="Q1812">
        <f>tblMoeHistory[[#This Row],[Amount of IDEA Part B, Section 611 award]]+tblMoeHistory[[#This Row],[Amount of IDEA Part B, Section 619 award]]</f>
        <v>46976.350000000006</v>
      </c>
      <c r="S1812">
        <v>0</v>
      </c>
      <c r="T1812">
        <v>1004.66</v>
      </c>
      <c r="U18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2" t="str">
        <f>IF(OR(IFERROR(SEARCH("Met",tblMoeHistory[[#This Row],[State and Local Per Capita Result]]),0)&gt;0,IFERROR(SEARCH("Met",tblMoeHistory[[#This Row],[State and Local Total Result]]),0)&gt;0),"Met","Not Met")</f>
        <v>Met</v>
      </c>
    </row>
    <row r="1813" spans="1:22" x14ac:dyDescent="0.35">
      <c r="A1813" t="s">
        <v>60</v>
      </c>
      <c r="B1813">
        <v>2086</v>
      </c>
      <c r="C1813" t="s">
        <v>1537</v>
      </c>
      <c r="D1813">
        <v>223</v>
      </c>
      <c r="E1813">
        <v>3102165.01</v>
      </c>
      <c r="F1813">
        <v>490415</v>
      </c>
      <c r="G1813">
        <f>tblMoeHistory[[#This Row],[LEA State and Local Amount]]+tblMoeHistory[[#This Row],[ESD State and Local Amount]]</f>
        <v>3592580.01</v>
      </c>
      <c r="H1813">
        <v>0</v>
      </c>
      <c r="I1813" t="s">
        <v>241</v>
      </c>
      <c r="J1813" s="44">
        <f>IFERROR(tblMoeHistory[[#This Row],[LEA State and Local Amount]]/tblMoeHistory[[#This Row],[Child Count]],0)</f>
        <v>13911.053856502242</v>
      </c>
      <c r="K1813">
        <f>IFERROR(tblMoeHistory[[#This Row],[ESD State and Local Amount]]/tblMoeHistory[[#This Row],[Child Count]],0)</f>
        <v>2199.1704035874441</v>
      </c>
      <c r="L1813" s="1">
        <f>IFERROR(tblMoeHistory[[#This Row],[State and Local Total Amount]]/tblMoeHistory[[#This Row],[Child Count]],0)</f>
        <v>16110.224260089684</v>
      </c>
      <c r="M1813">
        <v>0</v>
      </c>
      <c r="N1813" t="s">
        <v>241</v>
      </c>
      <c r="O1813">
        <v>248996.57</v>
      </c>
      <c r="P1813">
        <v>2484.64</v>
      </c>
      <c r="Q1813">
        <f>tblMoeHistory[[#This Row],[Amount of IDEA Part B, Section 611 award]]+tblMoeHistory[[#This Row],[Amount of IDEA Part B, Section 619 award]]</f>
        <v>251481.21000000002</v>
      </c>
      <c r="S1813">
        <v>0</v>
      </c>
      <c r="U18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3" t="str">
        <f>IF(OR(IFERROR(SEARCH("Met",tblMoeHistory[[#This Row],[State and Local Per Capita Result]]),0)&gt;0,IFERROR(SEARCH("Met",tblMoeHistory[[#This Row],[State and Local Total Result]]),0)&gt;0),"Met","Not Met")</f>
        <v>Met</v>
      </c>
    </row>
    <row r="1814" spans="1:22" x14ac:dyDescent="0.35">
      <c r="A1814" t="s">
        <v>61</v>
      </c>
      <c r="B1814">
        <v>1970</v>
      </c>
      <c r="C1814" t="s">
        <v>1537</v>
      </c>
      <c r="D1814">
        <v>418</v>
      </c>
      <c r="E1814">
        <v>4069379.36</v>
      </c>
      <c r="F1814">
        <v>256665.88</v>
      </c>
      <c r="G1814">
        <f>tblMoeHistory[[#This Row],[LEA State and Local Amount]]+tblMoeHistory[[#This Row],[ESD State and Local Amount]]</f>
        <v>4326045.24</v>
      </c>
      <c r="H1814">
        <v>0</v>
      </c>
      <c r="I1814" t="s">
        <v>241</v>
      </c>
      <c r="J1814" s="44">
        <f>IFERROR(tblMoeHistory[[#This Row],[LEA State and Local Amount]]/tblMoeHistory[[#This Row],[Child Count]],0)</f>
        <v>9735.3573205741632</v>
      </c>
      <c r="K1814">
        <f>IFERROR(tblMoeHistory[[#This Row],[ESD State and Local Amount]]/tblMoeHistory[[#This Row],[Child Count]],0)</f>
        <v>614.03320574162683</v>
      </c>
      <c r="L1814" s="1">
        <f>IFERROR(tblMoeHistory[[#This Row],[State and Local Total Amount]]/tblMoeHistory[[#This Row],[Child Count]],0)</f>
        <v>10349.39052631579</v>
      </c>
      <c r="M1814">
        <v>-228004.69828571347</v>
      </c>
      <c r="N1814" t="s">
        <v>240</v>
      </c>
      <c r="O1814">
        <v>527564.4</v>
      </c>
      <c r="P1814">
        <v>5026.9399999999996</v>
      </c>
      <c r="Q1814">
        <f>tblMoeHistory[[#This Row],[Amount of IDEA Part B, Section 611 award]]+tblMoeHistory[[#This Row],[Amount of IDEA Part B, Section 619 award]]</f>
        <v>532591.34</v>
      </c>
      <c r="S1814">
        <v>0</v>
      </c>
      <c r="U18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4" t="str">
        <f>IF(OR(IFERROR(SEARCH("Met",tblMoeHistory[[#This Row],[State and Local Per Capita Result]]),0)&gt;0,IFERROR(SEARCH("Met",tblMoeHistory[[#This Row],[State and Local Total Result]]),0)&gt;0),"Met","Not Met")</f>
        <v>Met</v>
      </c>
    </row>
    <row r="1815" spans="1:22" x14ac:dyDescent="0.35">
      <c r="A1815" t="s">
        <v>62</v>
      </c>
      <c r="B1815">
        <v>2089</v>
      </c>
      <c r="C1815" t="s">
        <v>1537</v>
      </c>
      <c r="D1815">
        <v>35</v>
      </c>
      <c r="E1815">
        <v>350975.67</v>
      </c>
      <c r="F1815">
        <v>101594</v>
      </c>
      <c r="G1815">
        <f>tblMoeHistory[[#This Row],[LEA State and Local Amount]]+tblMoeHistory[[#This Row],[ESD State and Local Amount]]</f>
        <v>452569.67</v>
      </c>
      <c r="H1815">
        <v>-10576.072499999951</v>
      </c>
      <c r="I1815" t="s">
        <v>240</v>
      </c>
      <c r="J1815" s="44">
        <f>IFERROR(tblMoeHistory[[#This Row],[LEA State and Local Amount]]/tblMoeHistory[[#This Row],[Child Count]],0)</f>
        <v>10027.876285714285</v>
      </c>
      <c r="K1815">
        <f>IFERROR(tblMoeHistory[[#This Row],[ESD State and Local Amount]]/tblMoeHistory[[#This Row],[Child Count]],0)</f>
        <v>2902.6857142857143</v>
      </c>
      <c r="L1815" s="1">
        <f>IFERROR(tblMoeHistory[[#This Row],[State and Local Total Amount]]/tblMoeHistory[[#This Row],[Child Count]],0)</f>
        <v>12930.562</v>
      </c>
      <c r="M1815">
        <v>0</v>
      </c>
      <c r="N1815" t="s">
        <v>242</v>
      </c>
      <c r="O1815">
        <v>60592.18</v>
      </c>
      <c r="P1815">
        <v>0</v>
      </c>
      <c r="Q1815">
        <f>tblMoeHistory[[#This Row],[Amount of IDEA Part B, Section 611 award]]+tblMoeHistory[[#This Row],[Amount of IDEA Part B, Section 619 award]]</f>
        <v>60592.18</v>
      </c>
      <c r="S1815">
        <v>66163.677499999991</v>
      </c>
      <c r="T1815">
        <v>1654.09</v>
      </c>
      <c r="U18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5" t="str">
        <f>IF(OR(IFERROR(SEARCH("Met",tblMoeHistory[[#This Row],[State and Local Per Capita Result]]),0)&gt;0,IFERROR(SEARCH("Met",tblMoeHistory[[#This Row],[State and Local Total Result]]),0)&gt;0),"Met","Not Met")</f>
        <v>Met</v>
      </c>
    </row>
    <row r="1816" spans="1:22" x14ac:dyDescent="0.35">
      <c r="A1816" t="s">
        <v>63</v>
      </c>
      <c r="B1816">
        <v>2050</v>
      </c>
      <c r="C1816" t="s">
        <v>1537</v>
      </c>
      <c r="D1816">
        <v>103</v>
      </c>
      <c r="E1816">
        <v>739169.8</v>
      </c>
      <c r="F1816">
        <v>238247.9</v>
      </c>
      <c r="G1816">
        <f>tblMoeHistory[[#This Row],[LEA State and Local Amount]]+tblMoeHistory[[#This Row],[ESD State and Local Amount]]</f>
        <v>977417.70000000007</v>
      </c>
      <c r="H1816">
        <v>0</v>
      </c>
      <c r="I1816" t="s">
        <v>241</v>
      </c>
      <c r="J1816" s="44">
        <f>IFERROR(tblMoeHistory[[#This Row],[LEA State and Local Amount]]/tblMoeHistory[[#This Row],[Child Count]],0)</f>
        <v>7176.4058252427185</v>
      </c>
      <c r="K1816">
        <f>IFERROR(tblMoeHistory[[#This Row],[ESD State and Local Amount]]/tblMoeHistory[[#This Row],[Child Count]],0)</f>
        <v>2313.0864077669903</v>
      </c>
      <c r="L1816" s="1">
        <f>IFERROR(tblMoeHistory[[#This Row],[State and Local Total Amount]]/tblMoeHistory[[#This Row],[Child Count]],0)</f>
        <v>9489.4922330097088</v>
      </c>
      <c r="M1816">
        <v>-38505.480326087061</v>
      </c>
      <c r="N1816" t="s">
        <v>240</v>
      </c>
      <c r="O1816">
        <v>121372.12</v>
      </c>
      <c r="P1816">
        <v>2492.3000000000002</v>
      </c>
      <c r="Q1816">
        <f>tblMoeHistory[[#This Row],[Amount of IDEA Part B, Section 611 award]]+tblMoeHistory[[#This Row],[Amount of IDEA Part B, Section 619 award]]</f>
        <v>123864.42</v>
      </c>
      <c r="S1816">
        <v>0</v>
      </c>
      <c r="T1816">
        <v>0</v>
      </c>
      <c r="U18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6" t="str">
        <f>IF(OR(IFERROR(SEARCH("Met",tblMoeHistory[[#This Row],[State and Local Per Capita Result]]),0)&gt;0,IFERROR(SEARCH("Met",tblMoeHistory[[#This Row],[State and Local Total Result]]),0)&gt;0),"Met","Not Met")</f>
        <v>Met</v>
      </c>
    </row>
    <row r="1817" spans="1:22" x14ac:dyDescent="0.35">
      <c r="A1817" t="s">
        <v>64</v>
      </c>
      <c r="B1817">
        <v>2190</v>
      </c>
      <c r="C1817" t="s">
        <v>1537</v>
      </c>
      <c r="D1817">
        <v>525</v>
      </c>
      <c r="E1817">
        <v>5388158.0999999996</v>
      </c>
      <c r="F1817">
        <v>377547.05</v>
      </c>
      <c r="G1817">
        <f>tblMoeHistory[[#This Row],[LEA State and Local Amount]]+tblMoeHistory[[#This Row],[ESD State and Local Amount]]</f>
        <v>5765705.1499999994</v>
      </c>
      <c r="H1817">
        <v>0</v>
      </c>
      <c r="I1817" t="s">
        <v>241</v>
      </c>
      <c r="J1817" s="44">
        <f>IFERROR(tblMoeHistory[[#This Row],[LEA State and Local Amount]]/tblMoeHistory[[#This Row],[Child Count]],0)</f>
        <v>10263.158285714286</v>
      </c>
      <c r="K1817">
        <f>IFERROR(tblMoeHistory[[#This Row],[ESD State and Local Amount]]/tblMoeHistory[[#This Row],[Child Count]],0)</f>
        <v>719.1372380952381</v>
      </c>
      <c r="L1817" s="1">
        <f>IFERROR(tblMoeHistory[[#This Row],[State and Local Total Amount]]/tblMoeHistory[[#This Row],[Child Count]],0)</f>
        <v>10982.295523809522</v>
      </c>
      <c r="M1817">
        <v>0</v>
      </c>
      <c r="N1817" t="s">
        <v>241</v>
      </c>
      <c r="O1817">
        <v>548340.25</v>
      </c>
      <c r="P1817">
        <v>8476.93</v>
      </c>
      <c r="Q1817">
        <f>tblMoeHistory[[#This Row],[Amount of IDEA Part B, Section 611 award]]+tblMoeHistory[[#This Row],[Amount of IDEA Part B, Section 619 award]]</f>
        <v>556817.18000000005</v>
      </c>
      <c r="S1817">
        <v>0</v>
      </c>
      <c r="U18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7" t="str">
        <f>IF(OR(IFERROR(SEARCH("Met",tblMoeHistory[[#This Row],[State and Local Per Capita Result]]),0)&gt;0,IFERROR(SEARCH("Met",tblMoeHistory[[#This Row],[State and Local Total Result]]),0)&gt;0),"Met","Not Met")</f>
        <v>Met</v>
      </c>
    </row>
    <row r="1818" spans="1:22" x14ac:dyDescent="0.35">
      <c r="A1818" t="s">
        <v>65</v>
      </c>
      <c r="B1818">
        <v>2187</v>
      </c>
      <c r="C1818" t="s">
        <v>1537</v>
      </c>
      <c r="D1818">
        <v>1183</v>
      </c>
      <c r="E1818">
        <v>14775567.18</v>
      </c>
      <c r="F1818">
        <v>1589386.87</v>
      </c>
      <c r="G1818">
        <f>tblMoeHistory[[#This Row],[LEA State and Local Amount]]+tblMoeHistory[[#This Row],[ESD State and Local Amount]]</f>
        <v>16364954.050000001</v>
      </c>
      <c r="H1818">
        <v>0</v>
      </c>
      <c r="I1818" t="s">
        <v>241</v>
      </c>
      <c r="J1818" s="44">
        <f>IFERROR(tblMoeHistory[[#This Row],[LEA State and Local Amount]]/tblMoeHistory[[#This Row],[Child Count]],0)</f>
        <v>12489.913085376162</v>
      </c>
      <c r="K1818">
        <f>IFERROR(tblMoeHistory[[#This Row],[ESD State and Local Amount]]/tblMoeHistory[[#This Row],[Child Count]],0)</f>
        <v>1343.5222907861371</v>
      </c>
      <c r="L1818" s="1">
        <f>IFERROR(tblMoeHistory[[#This Row],[State and Local Total Amount]]/tblMoeHistory[[#This Row],[Child Count]],0)</f>
        <v>13833.435376162301</v>
      </c>
      <c r="M1818">
        <v>0</v>
      </c>
      <c r="N1818" t="s">
        <v>241</v>
      </c>
      <c r="O1818">
        <v>1524629.2</v>
      </c>
      <c r="P1818">
        <v>9506.25</v>
      </c>
      <c r="Q1818">
        <f>tblMoeHistory[[#This Row],[Amount of IDEA Part B, Section 611 award]]+tblMoeHistory[[#This Row],[Amount of IDEA Part B, Section 619 award]]</f>
        <v>1534135.45</v>
      </c>
      <c r="S1818">
        <v>0</v>
      </c>
      <c r="U18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8" t="str">
        <f>IF(OR(IFERROR(SEARCH("Met",tblMoeHistory[[#This Row],[State and Local Per Capita Result]]),0)&gt;0,IFERROR(SEARCH("Met",tblMoeHistory[[#This Row],[State and Local Total Result]]),0)&gt;0),"Met","Not Met")</f>
        <v>Met</v>
      </c>
    </row>
    <row r="1819" spans="1:22" x14ac:dyDescent="0.35">
      <c r="A1819" t="s">
        <v>66</v>
      </c>
      <c r="B1819">
        <v>2253</v>
      </c>
      <c r="C1819" t="s">
        <v>1537</v>
      </c>
      <c r="D1819">
        <v>126</v>
      </c>
      <c r="E1819">
        <v>1028450.13</v>
      </c>
      <c r="F1819">
        <v>99842.01</v>
      </c>
      <c r="G1819">
        <f>tblMoeHistory[[#This Row],[LEA State and Local Amount]]+tblMoeHistory[[#This Row],[ESD State and Local Amount]]</f>
        <v>1128292.1399999999</v>
      </c>
      <c r="H1819">
        <v>0</v>
      </c>
      <c r="I1819" t="s">
        <v>242</v>
      </c>
      <c r="J1819" s="44">
        <f>IFERROR(tblMoeHistory[[#This Row],[LEA State and Local Amount]]/tblMoeHistory[[#This Row],[Child Count]],0)</f>
        <v>8162.3026190476194</v>
      </c>
      <c r="K1819">
        <f>IFERROR(tblMoeHistory[[#This Row],[ESD State and Local Amount]]/tblMoeHistory[[#This Row],[Child Count]],0)</f>
        <v>792.39690476190469</v>
      </c>
      <c r="L1819" s="1">
        <f>IFERROR(tblMoeHistory[[#This Row],[State and Local Total Amount]]/tblMoeHistory[[#This Row],[Child Count]],0)</f>
        <v>8954.6995238095224</v>
      </c>
      <c r="M1819">
        <v>-11343.912295082162</v>
      </c>
      <c r="N1819" t="s">
        <v>240</v>
      </c>
      <c r="O1819">
        <v>148077.56</v>
      </c>
      <c r="P1819">
        <v>1005.04</v>
      </c>
      <c r="Q1819">
        <f>tblMoeHistory[[#This Row],[Amount of IDEA Part B, Section 611 award]]+tblMoeHistory[[#This Row],[Amount of IDEA Part B, Section 619 award]]</f>
        <v>149082.6</v>
      </c>
      <c r="S1819">
        <v>271172.88</v>
      </c>
      <c r="T1819">
        <v>0</v>
      </c>
      <c r="U18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9" t="str">
        <f>IF(OR(IFERROR(SEARCH("Met",tblMoeHistory[[#This Row],[State and Local Per Capita Result]]),0)&gt;0,IFERROR(SEARCH("Met",tblMoeHistory[[#This Row],[State and Local Total Result]]),0)&gt;0),"Met","Not Met")</f>
        <v>Met</v>
      </c>
    </row>
    <row r="1820" spans="1:22" x14ac:dyDescent="0.35">
      <c r="A1820" t="s">
        <v>67</v>
      </c>
      <c r="B1820">
        <v>2011</v>
      </c>
      <c r="C1820" t="s">
        <v>1537</v>
      </c>
      <c r="D1820">
        <v>9</v>
      </c>
      <c r="E1820">
        <v>6107.93</v>
      </c>
      <c r="F1820">
        <v>87396.39</v>
      </c>
      <c r="G1820">
        <f>tblMoeHistory[[#This Row],[LEA State and Local Amount]]+tblMoeHistory[[#This Row],[ESD State and Local Amount]]</f>
        <v>93504.320000000007</v>
      </c>
      <c r="H1820">
        <v>0</v>
      </c>
      <c r="I1820" t="s">
        <v>241</v>
      </c>
      <c r="J1820" s="44">
        <f>IFERROR(tblMoeHistory[[#This Row],[LEA State and Local Amount]]/tblMoeHistory[[#This Row],[Child Count]],0)</f>
        <v>678.6588888888889</v>
      </c>
      <c r="K1820">
        <f>IFERROR(tblMoeHistory[[#This Row],[ESD State and Local Amount]]/tblMoeHistory[[#This Row],[Child Count]],0)</f>
        <v>9710.7099999999991</v>
      </c>
      <c r="L1820" s="1">
        <f>IFERROR(tblMoeHistory[[#This Row],[State and Local Total Amount]]/tblMoeHistory[[#This Row],[Child Count]],0)</f>
        <v>10389.36888888889</v>
      </c>
      <c r="M1820">
        <v>-241194.51999999993</v>
      </c>
      <c r="N1820" t="s">
        <v>240</v>
      </c>
      <c r="O1820">
        <v>9217.15</v>
      </c>
      <c r="P1820">
        <v>978.33</v>
      </c>
      <c r="Q1820">
        <f>tblMoeHistory[[#This Row],[Amount of IDEA Part B, Section 611 award]]+tblMoeHistory[[#This Row],[Amount of IDEA Part B, Section 619 award]]</f>
        <v>10195.48</v>
      </c>
      <c r="S1820">
        <v>0</v>
      </c>
      <c r="T1820">
        <v>0</v>
      </c>
      <c r="U18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0" t="str">
        <f>IF(OR(IFERROR(SEARCH("Met",tblMoeHistory[[#This Row],[State and Local Per Capita Result]]),0)&gt;0,IFERROR(SEARCH("Met",tblMoeHistory[[#This Row],[State and Local Total Result]]),0)&gt;0),"Met","Not Met")</f>
        <v>Met</v>
      </c>
    </row>
    <row r="1821" spans="1:22" x14ac:dyDescent="0.35">
      <c r="A1821" t="s">
        <v>68</v>
      </c>
      <c r="B1821">
        <v>2017</v>
      </c>
      <c r="C1821" t="s">
        <v>1537</v>
      </c>
      <c r="D1821">
        <v>0</v>
      </c>
      <c r="E1821">
        <v>0</v>
      </c>
      <c r="F1821">
        <v>7420.04</v>
      </c>
      <c r="G1821">
        <f>tblMoeHistory[[#This Row],[LEA State and Local Amount]]+tblMoeHistory[[#This Row],[ESD State and Local Amount]]</f>
        <v>7420.04</v>
      </c>
      <c r="H1821">
        <v>0</v>
      </c>
      <c r="I1821" t="s">
        <v>241</v>
      </c>
      <c r="J1821" s="44">
        <f>IFERROR(tblMoeHistory[[#This Row],[LEA State and Local Amount]]/tblMoeHistory[[#This Row],[Child Count]],0)</f>
        <v>0</v>
      </c>
      <c r="K1821">
        <f>IFERROR(tblMoeHistory[[#This Row],[ESD State and Local Amount]]/tblMoeHistory[[#This Row],[Child Count]],0)</f>
        <v>0</v>
      </c>
      <c r="L1821" s="1">
        <f>IFERROR(tblMoeHistory[[#This Row],[State and Local Total Amount]]/tblMoeHistory[[#This Row],[Child Count]],0)</f>
        <v>0</v>
      </c>
      <c r="M1821">
        <v>0</v>
      </c>
      <c r="N1821" t="s">
        <v>242</v>
      </c>
      <c r="O1821">
        <v>1094.97</v>
      </c>
      <c r="P1821">
        <v>2.14</v>
      </c>
      <c r="Q1821">
        <f>tblMoeHistory[[#This Row],[Amount of IDEA Part B, Section 611 award]]+tblMoeHistory[[#This Row],[Amount of IDEA Part B, Section 619 award]]</f>
        <v>1097.1100000000001</v>
      </c>
      <c r="S1821">
        <v>0</v>
      </c>
      <c r="T1821">
        <v>1780</v>
      </c>
      <c r="U18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1" t="str">
        <f>IF(OR(IFERROR(SEARCH("Met",tblMoeHistory[[#This Row],[State and Local Per Capita Result]]),0)&gt;0,IFERROR(SEARCH("Met",tblMoeHistory[[#This Row],[State and Local Total Result]]),0)&gt;0),"Met","Not Met")</f>
        <v>Met</v>
      </c>
    </row>
    <row r="1822" spans="1:22" x14ac:dyDescent="0.35">
      <c r="A1822" t="s">
        <v>69</v>
      </c>
      <c r="B1822">
        <v>2021</v>
      </c>
      <c r="C1822" t="s">
        <v>1537</v>
      </c>
      <c r="D1822">
        <v>1</v>
      </c>
      <c r="E1822">
        <v>7372</v>
      </c>
      <c r="F1822">
        <v>7795.2</v>
      </c>
      <c r="G1822">
        <f>tblMoeHistory[[#This Row],[LEA State and Local Amount]]+tblMoeHistory[[#This Row],[ESD State and Local Amount]]</f>
        <v>15167.2</v>
      </c>
      <c r="H1822">
        <v>0</v>
      </c>
      <c r="I1822" t="s">
        <v>241</v>
      </c>
      <c r="J1822" s="44">
        <f>IFERROR(tblMoeHistory[[#This Row],[LEA State and Local Amount]]/tblMoeHistory[[#This Row],[Child Count]],0)</f>
        <v>7372</v>
      </c>
      <c r="K1822">
        <f>IFERROR(tblMoeHistory[[#This Row],[ESD State and Local Amount]]/tblMoeHistory[[#This Row],[Child Count]],0)</f>
        <v>7795.2</v>
      </c>
      <c r="L1822" s="1">
        <f>IFERROR(tblMoeHistory[[#This Row],[State and Local Total Amount]]/tblMoeHistory[[#This Row],[Child Count]],0)</f>
        <v>15167.2</v>
      </c>
      <c r="M1822">
        <v>0</v>
      </c>
      <c r="N1822" t="s">
        <v>241</v>
      </c>
      <c r="O1822">
        <v>1013.86</v>
      </c>
      <c r="P1822">
        <v>0.97</v>
      </c>
      <c r="Q1822">
        <f>tblMoeHistory[[#This Row],[Amount of IDEA Part B, Section 611 award]]+tblMoeHistory[[#This Row],[Amount of IDEA Part B, Section 619 award]]</f>
        <v>1014.83</v>
      </c>
      <c r="S1822">
        <v>0</v>
      </c>
      <c r="U18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2" t="str">
        <f>IF(OR(IFERROR(SEARCH("Met",tblMoeHistory[[#This Row],[State and Local Per Capita Result]]),0)&gt;0,IFERROR(SEARCH("Met",tblMoeHistory[[#This Row],[State and Local Total Result]]),0)&gt;0),"Met","Not Met")</f>
        <v>Met</v>
      </c>
    </row>
    <row r="1823" spans="1:22" x14ac:dyDescent="0.35">
      <c r="A1823" t="s">
        <v>70</v>
      </c>
      <c r="B1823">
        <v>1993</v>
      </c>
      <c r="C1823" t="s">
        <v>1537</v>
      </c>
      <c r="D1823">
        <v>33</v>
      </c>
      <c r="E1823">
        <v>197251.13</v>
      </c>
      <c r="F1823">
        <v>47250.23</v>
      </c>
      <c r="G1823">
        <f>tblMoeHistory[[#This Row],[LEA State and Local Amount]]+tblMoeHistory[[#This Row],[ESD State and Local Amount]]</f>
        <v>244501.36000000002</v>
      </c>
      <c r="H1823">
        <v>0</v>
      </c>
      <c r="I1823" t="s">
        <v>241</v>
      </c>
      <c r="J1823" s="44">
        <f>IFERROR(tblMoeHistory[[#This Row],[LEA State and Local Amount]]/tblMoeHistory[[#This Row],[Child Count]],0)</f>
        <v>5977.3069696969696</v>
      </c>
      <c r="K1823">
        <f>IFERROR(tblMoeHistory[[#This Row],[ESD State and Local Amount]]/tblMoeHistory[[#This Row],[Child Count]],0)</f>
        <v>1431.8251515151517</v>
      </c>
      <c r="L1823" s="1">
        <f>IFERROR(tblMoeHistory[[#This Row],[State and Local Total Amount]]/tblMoeHistory[[#This Row],[Child Count]],0)</f>
        <v>7409.132121212122</v>
      </c>
      <c r="M1823">
        <v>-109660.45999999995</v>
      </c>
      <c r="N1823" t="s">
        <v>240</v>
      </c>
      <c r="O1823">
        <v>32978.01</v>
      </c>
      <c r="P1823">
        <v>989</v>
      </c>
      <c r="Q1823">
        <f>tblMoeHistory[[#This Row],[Amount of IDEA Part B, Section 611 award]]+tblMoeHistory[[#This Row],[Amount of IDEA Part B, Section 619 award]]</f>
        <v>33967.01</v>
      </c>
      <c r="S1823">
        <v>0</v>
      </c>
      <c r="T1823">
        <v>0</v>
      </c>
      <c r="U18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3" t="str">
        <f>IF(OR(IFERROR(SEARCH("Met",tblMoeHistory[[#This Row],[State and Local Per Capita Result]]),0)&gt;0,IFERROR(SEARCH("Met",tblMoeHistory[[#This Row],[State and Local Total Result]]),0)&gt;0),"Met","Not Met")</f>
        <v>Met</v>
      </c>
    </row>
    <row r="1824" spans="1:22" x14ac:dyDescent="0.35">
      <c r="A1824" t="s">
        <v>71</v>
      </c>
      <c r="B1824">
        <v>1991</v>
      </c>
      <c r="C1824" t="s">
        <v>1537</v>
      </c>
      <c r="D1824">
        <v>733</v>
      </c>
      <c r="E1824">
        <v>6274819.4800000004</v>
      </c>
      <c r="F1824">
        <v>1736871.5</v>
      </c>
      <c r="G1824">
        <f>tblMoeHistory[[#This Row],[LEA State and Local Amount]]+tblMoeHistory[[#This Row],[ESD State and Local Amount]]</f>
        <v>8011690.9800000004</v>
      </c>
      <c r="H1824">
        <v>0</v>
      </c>
      <c r="I1824" t="s">
        <v>241</v>
      </c>
      <c r="J1824" s="44">
        <f>IFERROR(tblMoeHistory[[#This Row],[LEA State and Local Amount]]/tblMoeHistory[[#This Row],[Child Count]],0)</f>
        <v>8560.4631377899059</v>
      </c>
      <c r="K1824">
        <f>IFERROR(tblMoeHistory[[#This Row],[ESD State and Local Amount]]/tblMoeHistory[[#This Row],[Child Count]],0)</f>
        <v>2369.5381991814461</v>
      </c>
      <c r="L1824" s="1">
        <f>IFERROR(tblMoeHistory[[#This Row],[State and Local Total Amount]]/tblMoeHistory[[#This Row],[Child Count]],0)</f>
        <v>10930.001336971351</v>
      </c>
      <c r="M1824">
        <v>-459226.00696428574</v>
      </c>
      <c r="N1824" t="s">
        <v>240</v>
      </c>
      <c r="O1824">
        <v>966498.08</v>
      </c>
      <c r="P1824">
        <v>12607.93</v>
      </c>
      <c r="Q1824">
        <f>tblMoeHistory[[#This Row],[Amount of IDEA Part B, Section 611 award]]+tblMoeHistory[[#This Row],[Amount of IDEA Part B, Section 619 award]]</f>
        <v>979106.01</v>
      </c>
      <c r="S1824">
        <v>0</v>
      </c>
      <c r="T1824">
        <v>0</v>
      </c>
      <c r="U18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4" t="str">
        <f>IF(OR(IFERROR(SEARCH("Met",tblMoeHistory[[#This Row],[State and Local Per Capita Result]]),0)&gt;0,IFERROR(SEARCH("Met",tblMoeHistory[[#This Row],[State and Local Total Result]]),0)&gt;0),"Met","Not Met")</f>
        <v>Met</v>
      </c>
    </row>
    <row r="1825" spans="1:22" x14ac:dyDescent="0.35">
      <c r="A1825" t="s">
        <v>72</v>
      </c>
      <c r="B1825">
        <v>2019</v>
      </c>
      <c r="C1825" t="s">
        <v>1537</v>
      </c>
      <c r="D1825">
        <v>1</v>
      </c>
      <c r="E1825">
        <v>8295</v>
      </c>
      <c r="F1825">
        <v>7846.31</v>
      </c>
      <c r="G1825">
        <f>tblMoeHistory[[#This Row],[LEA State and Local Amount]]+tblMoeHistory[[#This Row],[ESD State and Local Amount]]</f>
        <v>16141.310000000001</v>
      </c>
      <c r="H1825">
        <v>0</v>
      </c>
      <c r="I1825" t="s">
        <v>241</v>
      </c>
      <c r="J1825" s="44">
        <f>IFERROR(tblMoeHistory[[#This Row],[LEA State and Local Amount]]/tblMoeHistory[[#This Row],[Child Count]],0)</f>
        <v>8295</v>
      </c>
      <c r="K1825">
        <f>IFERROR(tblMoeHistory[[#This Row],[ESD State and Local Amount]]/tblMoeHistory[[#This Row],[Child Count]],0)</f>
        <v>7846.31</v>
      </c>
      <c r="L1825" s="1">
        <f>IFERROR(tblMoeHistory[[#This Row],[State and Local Total Amount]]/tblMoeHistory[[#This Row],[Child Count]],0)</f>
        <v>16141.310000000001</v>
      </c>
      <c r="M1825">
        <v>0</v>
      </c>
      <c r="N1825" t="s">
        <v>241</v>
      </c>
      <c r="O1825">
        <v>2047.07</v>
      </c>
      <c r="P1825">
        <v>1.96</v>
      </c>
      <c r="Q1825">
        <f>tblMoeHistory[[#This Row],[Amount of IDEA Part B, Section 611 award]]+tblMoeHistory[[#This Row],[Amount of IDEA Part B, Section 619 award]]</f>
        <v>2049.0299999999997</v>
      </c>
      <c r="S1825">
        <v>0</v>
      </c>
      <c r="U18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5" t="str">
        <f>IF(OR(IFERROR(SEARCH("Met",tblMoeHistory[[#This Row],[State and Local Per Capita Result]]),0)&gt;0,IFERROR(SEARCH("Met",tblMoeHistory[[#This Row],[State and Local Total Result]]),0)&gt;0),"Met","Not Met")</f>
        <v>Met</v>
      </c>
    </row>
    <row r="1826" spans="1:22" x14ac:dyDescent="0.35">
      <c r="A1826" t="s">
        <v>73</v>
      </c>
      <c r="B1826">
        <v>2229</v>
      </c>
      <c r="C1826" t="s">
        <v>1537</v>
      </c>
      <c r="D1826">
        <v>49</v>
      </c>
      <c r="E1826">
        <v>239785.71</v>
      </c>
      <c r="F1826">
        <v>0</v>
      </c>
      <c r="G1826">
        <f>tblMoeHistory[[#This Row],[LEA State and Local Amount]]+tblMoeHistory[[#This Row],[ESD State and Local Amount]]</f>
        <v>239785.71</v>
      </c>
      <c r="H1826">
        <v>0</v>
      </c>
      <c r="I1826" t="s">
        <v>241</v>
      </c>
      <c r="J1826" s="44">
        <f>IFERROR(tblMoeHistory[[#This Row],[LEA State and Local Amount]]/tblMoeHistory[[#This Row],[Child Count]],0)</f>
        <v>4893.5859183673465</v>
      </c>
      <c r="K1826">
        <f>IFERROR(tblMoeHistory[[#This Row],[ESD State and Local Amount]]/tblMoeHistory[[#This Row],[Child Count]],0)</f>
        <v>0</v>
      </c>
      <c r="L1826" s="1">
        <f>IFERROR(tblMoeHistory[[#This Row],[State and Local Total Amount]]/tblMoeHistory[[#This Row],[Child Count]],0)</f>
        <v>4893.5859183673465</v>
      </c>
      <c r="M1826">
        <v>-97466.316176470587</v>
      </c>
      <c r="N1826" t="s">
        <v>240</v>
      </c>
      <c r="O1826">
        <v>47787.79</v>
      </c>
      <c r="P1826">
        <v>514.20000000000005</v>
      </c>
      <c r="Q1826">
        <f>tblMoeHistory[[#This Row],[Amount of IDEA Part B, Section 611 award]]+tblMoeHistory[[#This Row],[Amount of IDEA Part B, Section 619 award]]</f>
        <v>48301.99</v>
      </c>
      <c r="S1826">
        <v>0</v>
      </c>
      <c r="T1826">
        <v>0</v>
      </c>
      <c r="U18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6" t="str">
        <f>IF(OR(IFERROR(SEARCH("Met",tblMoeHistory[[#This Row],[State and Local Per Capita Result]]),0)&gt;0,IFERROR(SEARCH("Met",tblMoeHistory[[#This Row],[State and Local Total Result]]),0)&gt;0),"Met","Not Met")</f>
        <v>Met</v>
      </c>
    </row>
    <row r="1827" spans="1:22" x14ac:dyDescent="0.35">
      <c r="A1827" t="s">
        <v>74</v>
      </c>
      <c r="B1827">
        <v>2043</v>
      </c>
      <c r="C1827" t="s">
        <v>1537</v>
      </c>
      <c r="D1827">
        <v>568</v>
      </c>
      <c r="E1827">
        <v>3919873.96</v>
      </c>
      <c r="F1827">
        <v>336706.01</v>
      </c>
      <c r="G1827">
        <f>tblMoeHistory[[#This Row],[LEA State and Local Amount]]+tblMoeHistory[[#This Row],[ESD State and Local Amount]]</f>
        <v>4256579.97</v>
      </c>
      <c r="H1827">
        <v>0</v>
      </c>
      <c r="I1827" t="s">
        <v>241</v>
      </c>
      <c r="J1827" s="44">
        <f>IFERROR(tblMoeHistory[[#This Row],[LEA State and Local Amount]]/tblMoeHistory[[#This Row],[Child Count]],0)</f>
        <v>6901.186549295775</v>
      </c>
      <c r="K1827">
        <f>IFERROR(tblMoeHistory[[#This Row],[ESD State and Local Amount]]/tblMoeHistory[[#This Row],[Child Count]],0)</f>
        <v>592.79227112676062</v>
      </c>
      <c r="L1827" s="1">
        <f>IFERROR(tblMoeHistory[[#This Row],[State and Local Total Amount]]/tblMoeHistory[[#This Row],[Child Count]],0)</f>
        <v>7493.9788204225351</v>
      </c>
      <c r="M1827">
        <v>-67872.522865064529</v>
      </c>
      <c r="N1827" t="s">
        <v>240</v>
      </c>
      <c r="O1827">
        <v>672445.1</v>
      </c>
      <c r="P1827">
        <v>5637.68</v>
      </c>
      <c r="Q1827">
        <f>tblMoeHistory[[#This Row],[Amount of IDEA Part B, Section 611 award]]+tblMoeHistory[[#This Row],[Amount of IDEA Part B, Section 619 award]]</f>
        <v>678082.78</v>
      </c>
      <c r="S1827">
        <v>0</v>
      </c>
      <c r="T1827">
        <v>0</v>
      </c>
      <c r="U18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7" t="str">
        <f>IF(OR(IFERROR(SEARCH("Met",tblMoeHistory[[#This Row],[State and Local Per Capita Result]]),0)&gt;0,IFERROR(SEARCH("Met",tblMoeHistory[[#This Row],[State and Local Total Result]]),0)&gt;0),"Met","Not Met")</f>
        <v>Met</v>
      </c>
    </row>
    <row r="1828" spans="1:22" x14ac:dyDescent="0.35">
      <c r="A1828" t="s">
        <v>75</v>
      </c>
      <c r="B1828">
        <v>2203</v>
      </c>
      <c r="C1828" t="s">
        <v>1537</v>
      </c>
      <c r="D1828">
        <v>43</v>
      </c>
      <c r="E1828">
        <v>215842.06</v>
      </c>
      <c r="F1828">
        <v>78225.06</v>
      </c>
      <c r="G1828">
        <f>tblMoeHistory[[#This Row],[LEA State and Local Amount]]+tblMoeHistory[[#This Row],[ESD State and Local Amount]]</f>
        <v>294067.12</v>
      </c>
      <c r="H1828">
        <v>0</v>
      </c>
      <c r="I1828" t="s">
        <v>242</v>
      </c>
      <c r="J1828" s="44">
        <f>IFERROR(tblMoeHistory[[#This Row],[LEA State and Local Amount]]/tblMoeHistory[[#This Row],[Child Count]],0)</f>
        <v>5019.5827906976747</v>
      </c>
      <c r="K1828">
        <f>IFERROR(tblMoeHistory[[#This Row],[ESD State and Local Amount]]/tblMoeHistory[[#This Row],[Child Count]],0)</f>
        <v>1819.187441860465</v>
      </c>
      <c r="L1828" s="1">
        <f>IFERROR(tblMoeHistory[[#This Row],[State and Local Total Amount]]/tblMoeHistory[[#This Row],[Child Count]],0)</f>
        <v>6838.7702325581395</v>
      </c>
      <c r="M1828">
        <v>0</v>
      </c>
      <c r="N1828" t="s">
        <v>241</v>
      </c>
      <c r="O1828">
        <v>46123.77</v>
      </c>
      <c r="P1828">
        <v>485.55</v>
      </c>
      <c r="Q1828">
        <f>tblMoeHistory[[#This Row],[Amount of IDEA Part B, Section 611 award]]+tblMoeHistory[[#This Row],[Amount of IDEA Part B, Section 619 award]]</f>
        <v>46609.32</v>
      </c>
      <c r="S1828">
        <v>19798.791521739127</v>
      </c>
      <c r="U18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8" t="str">
        <f>IF(OR(IFERROR(SEARCH("Met",tblMoeHistory[[#This Row],[State and Local Per Capita Result]]),0)&gt;0,IFERROR(SEARCH("Met",tblMoeHistory[[#This Row],[State and Local Total Result]]),0)&gt;0),"Met","Not Met")</f>
        <v>Met</v>
      </c>
    </row>
    <row r="1829" spans="1:22" x14ac:dyDescent="0.35">
      <c r="A1829" t="s">
        <v>76</v>
      </c>
      <c r="B1829">
        <v>2217</v>
      </c>
      <c r="C1829" t="s">
        <v>1537</v>
      </c>
      <c r="D1829">
        <v>57</v>
      </c>
      <c r="E1829">
        <v>332849.63</v>
      </c>
      <c r="F1829">
        <v>91603.45</v>
      </c>
      <c r="G1829">
        <f>tblMoeHistory[[#This Row],[LEA State and Local Amount]]+tblMoeHistory[[#This Row],[ESD State and Local Amount]]</f>
        <v>424453.08</v>
      </c>
      <c r="H1829">
        <v>0</v>
      </c>
      <c r="I1829" t="s">
        <v>241</v>
      </c>
      <c r="J1829" s="44">
        <f>IFERROR(tblMoeHistory[[#This Row],[LEA State and Local Amount]]/tblMoeHistory[[#This Row],[Child Count]],0)</f>
        <v>5839.4671929824563</v>
      </c>
      <c r="K1829">
        <f>IFERROR(tblMoeHistory[[#This Row],[ESD State and Local Amount]]/tblMoeHistory[[#This Row],[Child Count]],0)</f>
        <v>1607.0780701754386</v>
      </c>
      <c r="L1829" s="1">
        <f>IFERROR(tblMoeHistory[[#This Row],[State and Local Total Amount]]/tblMoeHistory[[#This Row],[Child Count]],0)</f>
        <v>7446.5452631578946</v>
      </c>
      <c r="M1829">
        <v>-90267.89553191491</v>
      </c>
      <c r="N1829" t="s">
        <v>240</v>
      </c>
      <c r="O1829">
        <v>70565.259999999995</v>
      </c>
      <c r="P1829">
        <v>485.55</v>
      </c>
      <c r="Q1829">
        <f>tblMoeHistory[[#This Row],[Amount of IDEA Part B, Section 611 award]]+tblMoeHistory[[#This Row],[Amount of IDEA Part B, Section 619 award]]</f>
        <v>71050.81</v>
      </c>
      <c r="S1829">
        <v>0</v>
      </c>
      <c r="T1829">
        <v>0</v>
      </c>
      <c r="U18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9" t="str">
        <f>IF(OR(IFERROR(SEARCH("Met",tblMoeHistory[[#This Row],[State and Local Per Capita Result]]),0)&gt;0,IFERROR(SEARCH("Met",tblMoeHistory[[#This Row],[State and Local Total Result]]),0)&gt;0),"Met","Not Met")</f>
        <v>Met</v>
      </c>
    </row>
    <row r="1830" spans="1:22" x14ac:dyDescent="0.35">
      <c r="A1830" t="s">
        <v>77</v>
      </c>
      <c r="B1830">
        <v>1998</v>
      </c>
      <c r="C1830" t="s">
        <v>1537</v>
      </c>
      <c r="D1830">
        <v>22</v>
      </c>
      <c r="E1830">
        <v>224561.04</v>
      </c>
      <c r="F1830">
        <v>44459.199999999997</v>
      </c>
      <c r="G1830">
        <f>tblMoeHistory[[#This Row],[LEA State and Local Amount]]+tblMoeHistory[[#This Row],[ESD State and Local Amount]]</f>
        <v>269020.24</v>
      </c>
      <c r="H1830">
        <v>0</v>
      </c>
      <c r="I1830" t="s">
        <v>241</v>
      </c>
      <c r="J1830" s="44">
        <f>IFERROR(tblMoeHistory[[#This Row],[LEA State and Local Amount]]/tblMoeHistory[[#This Row],[Child Count]],0)</f>
        <v>10207.32</v>
      </c>
      <c r="K1830">
        <f>IFERROR(tblMoeHistory[[#This Row],[ESD State and Local Amount]]/tblMoeHistory[[#This Row],[Child Count]],0)</f>
        <v>2020.8727272727272</v>
      </c>
      <c r="L1830" s="1">
        <f>IFERROR(tblMoeHistory[[#This Row],[State and Local Total Amount]]/tblMoeHistory[[#This Row],[Child Count]],0)</f>
        <v>12228.192727272726</v>
      </c>
      <c r="M1830">
        <v>0</v>
      </c>
      <c r="N1830" t="s">
        <v>241</v>
      </c>
      <c r="O1830">
        <v>43291.29</v>
      </c>
      <c r="P1830">
        <v>548.53</v>
      </c>
      <c r="Q1830">
        <f>tblMoeHistory[[#This Row],[Amount of IDEA Part B, Section 611 award]]+tblMoeHistory[[#This Row],[Amount of IDEA Part B, Section 619 award]]</f>
        <v>43839.82</v>
      </c>
      <c r="S1830">
        <v>0</v>
      </c>
      <c r="U18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0" t="str">
        <f>IF(OR(IFERROR(SEARCH("Met",tblMoeHistory[[#This Row],[State and Local Per Capita Result]]),0)&gt;0,IFERROR(SEARCH("Met",tblMoeHistory[[#This Row],[State and Local Total Result]]),0)&gt;0),"Met","Not Met")</f>
        <v>Met</v>
      </c>
    </row>
    <row r="1831" spans="1:22" x14ac:dyDescent="0.35">
      <c r="A1831" t="s">
        <v>78</v>
      </c>
      <c r="B1831">
        <v>2221</v>
      </c>
      <c r="C1831" t="s">
        <v>1537</v>
      </c>
      <c r="D1831">
        <v>67</v>
      </c>
      <c r="E1831">
        <v>236108.29</v>
      </c>
      <c r="F1831">
        <v>335094.24</v>
      </c>
      <c r="G1831">
        <f>tblMoeHistory[[#This Row],[LEA State and Local Amount]]+tblMoeHistory[[#This Row],[ESD State and Local Amount]]</f>
        <v>571202.53</v>
      </c>
      <c r="H1831">
        <v>0</v>
      </c>
      <c r="I1831" t="s">
        <v>241</v>
      </c>
      <c r="J1831" s="44">
        <f>IFERROR(tblMoeHistory[[#This Row],[LEA State and Local Amount]]/tblMoeHistory[[#This Row],[Child Count]],0)</f>
        <v>3524.004328358209</v>
      </c>
      <c r="K1831">
        <f>IFERROR(tblMoeHistory[[#This Row],[ESD State and Local Amount]]/tblMoeHistory[[#This Row],[Child Count]],0)</f>
        <v>5001.4065671641793</v>
      </c>
      <c r="L1831" s="1">
        <f>IFERROR(tblMoeHistory[[#This Row],[State and Local Total Amount]]/tblMoeHistory[[#This Row],[Child Count]],0)</f>
        <v>8525.4108955223892</v>
      </c>
      <c r="M1831">
        <v>0</v>
      </c>
      <c r="N1831" t="s">
        <v>241</v>
      </c>
      <c r="O1831">
        <v>92708.09</v>
      </c>
      <c r="P1831">
        <v>1494.13</v>
      </c>
      <c r="Q1831">
        <f>tblMoeHistory[[#This Row],[Amount of IDEA Part B, Section 611 award]]+tblMoeHistory[[#This Row],[Amount of IDEA Part B, Section 619 award]]</f>
        <v>94202.22</v>
      </c>
      <c r="S1831">
        <v>0</v>
      </c>
      <c r="U18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1" t="str">
        <f>IF(OR(IFERROR(SEARCH("Met",tblMoeHistory[[#This Row],[State and Local Per Capita Result]]),0)&gt;0,IFERROR(SEARCH("Met",tblMoeHistory[[#This Row],[State and Local Total Result]]),0)&gt;0),"Met","Not Met")</f>
        <v>Met</v>
      </c>
    </row>
    <row r="1832" spans="1:22" x14ac:dyDescent="0.35">
      <c r="A1832" t="s">
        <v>79</v>
      </c>
      <c r="B1832">
        <v>1930</v>
      </c>
      <c r="C1832" t="s">
        <v>1537</v>
      </c>
      <c r="D1832">
        <v>322</v>
      </c>
      <c r="E1832">
        <v>2905659.59</v>
      </c>
      <c r="F1832">
        <v>155733</v>
      </c>
      <c r="G1832">
        <f>tblMoeHistory[[#This Row],[LEA State and Local Amount]]+tblMoeHistory[[#This Row],[ESD State and Local Amount]]</f>
        <v>3061392.59</v>
      </c>
      <c r="H1832">
        <v>0</v>
      </c>
      <c r="I1832" t="s">
        <v>241</v>
      </c>
      <c r="J1832" s="44">
        <f>IFERROR(tblMoeHistory[[#This Row],[LEA State and Local Amount]]/tblMoeHistory[[#This Row],[Child Count]],0)</f>
        <v>9023.7875465838497</v>
      </c>
      <c r="K1832">
        <f>IFERROR(tblMoeHistory[[#This Row],[ESD State and Local Amount]]/tblMoeHistory[[#This Row],[Child Count]],0)</f>
        <v>483.64285714285717</v>
      </c>
      <c r="L1832" s="1">
        <f>IFERROR(tblMoeHistory[[#This Row],[State and Local Total Amount]]/tblMoeHistory[[#This Row],[Child Count]],0)</f>
        <v>9507.4304037267084</v>
      </c>
      <c r="M1832">
        <v>-505330.89431654708</v>
      </c>
      <c r="N1832" t="s">
        <v>240</v>
      </c>
      <c r="O1832">
        <v>448519.52</v>
      </c>
      <c r="P1832">
        <v>2568.2199999999998</v>
      </c>
      <c r="Q1832">
        <f>tblMoeHistory[[#This Row],[Amount of IDEA Part B, Section 611 award]]+tblMoeHistory[[#This Row],[Amount of IDEA Part B, Section 619 award]]</f>
        <v>451087.74</v>
      </c>
      <c r="S1832">
        <v>0</v>
      </c>
      <c r="T1832">
        <v>1107.8499999999999</v>
      </c>
      <c r="U18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2" t="str">
        <f>IF(OR(IFERROR(SEARCH("Met",tblMoeHistory[[#This Row],[State and Local Per Capita Result]]),0)&gt;0,IFERROR(SEARCH("Met",tblMoeHistory[[#This Row],[State and Local Total Result]]),0)&gt;0),"Met","Not Met")</f>
        <v>Met</v>
      </c>
    </row>
    <row r="1833" spans="1:22" x14ac:dyDescent="0.35">
      <c r="A1833" t="s">
        <v>80</v>
      </c>
      <c r="B1833">
        <v>2082</v>
      </c>
      <c r="C1833" t="s">
        <v>1537</v>
      </c>
      <c r="D1833">
        <v>2270</v>
      </c>
      <c r="E1833">
        <v>25492886.949999999</v>
      </c>
      <c r="F1833">
        <v>3555106</v>
      </c>
      <c r="G1833">
        <f>tblMoeHistory[[#This Row],[LEA State and Local Amount]]+tblMoeHistory[[#This Row],[ESD State and Local Amount]]</f>
        <v>29047992.949999999</v>
      </c>
      <c r="H1833">
        <v>0</v>
      </c>
      <c r="I1833" t="s">
        <v>241</v>
      </c>
      <c r="J1833" s="44">
        <f>IFERROR(tblMoeHistory[[#This Row],[LEA State and Local Amount]]/tblMoeHistory[[#This Row],[Child Count]],0)</f>
        <v>11230.34667400881</v>
      </c>
      <c r="K1833">
        <f>IFERROR(tblMoeHistory[[#This Row],[ESD State and Local Amount]]/tblMoeHistory[[#This Row],[Child Count]],0)</f>
        <v>1566.1259911894274</v>
      </c>
      <c r="L1833" s="1">
        <f>IFERROR(tblMoeHistory[[#This Row],[State and Local Total Amount]]/tblMoeHistory[[#This Row],[Child Count]],0)</f>
        <v>12796.472665198238</v>
      </c>
      <c r="M1833">
        <v>0</v>
      </c>
      <c r="N1833" t="s">
        <v>241</v>
      </c>
      <c r="O1833">
        <v>3160597.37</v>
      </c>
      <c r="P1833">
        <v>21871.97</v>
      </c>
      <c r="Q1833">
        <f>tblMoeHistory[[#This Row],[Amount of IDEA Part B, Section 611 award]]+tblMoeHistory[[#This Row],[Amount of IDEA Part B, Section 619 award]]</f>
        <v>3182469.3400000003</v>
      </c>
      <c r="S1833">
        <v>0</v>
      </c>
      <c r="U18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3" t="str">
        <f>IF(OR(IFERROR(SEARCH("Met",tblMoeHistory[[#This Row],[State and Local Per Capita Result]]),0)&gt;0,IFERROR(SEARCH("Met",tblMoeHistory[[#This Row],[State and Local Total Result]]),0)&gt;0),"Met","Not Met")</f>
        <v>Met</v>
      </c>
    </row>
    <row r="1834" spans="1:22" x14ac:dyDescent="0.35">
      <c r="A1834" t="s">
        <v>81</v>
      </c>
      <c r="B1834">
        <v>2193</v>
      </c>
      <c r="C1834" t="s">
        <v>1537</v>
      </c>
      <c r="D1834">
        <v>33</v>
      </c>
      <c r="E1834">
        <v>225017.85</v>
      </c>
      <c r="F1834">
        <v>38908.82</v>
      </c>
      <c r="G1834">
        <f>tblMoeHistory[[#This Row],[LEA State and Local Amount]]+tblMoeHistory[[#This Row],[ESD State and Local Amount]]</f>
        <v>263926.67</v>
      </c>
      <c r="H1834">
        <v>-10440.320769230733</v>
      </c>
      <c r="I1834" t="s">
        <v>240</v>
      </c>
      <c r="J1834" s="44">
        <f>IFERROR(tblMoeHistory[[#This Row],[LEA State and Local Amount]]/tblMoeHistory[[#This Row],[Child Count]],0)</f>
        <v>6818.7227272727278</v>
      </c>
      <c r="K1834">
        <f>IFERROR(tblMoeHistory[[#This Row],[ESD State and Local Amount]]/tblMoeHistory[[#This Row],[Child Count]],0)</f>
        <v>1179.0551515151515</v>
      </c>
      <c r="L1834" s="1">
        <f>IFERROR(tblMoeHistory[[#This Row],[State and Local Total Amount]]/tblMoeHistory[[#This Row],[Child Count]],0)</f>
        <v>7997.7778787878779</v>
      </c>
      <c r="M1834">
        <v>0</v>
      </c>
      <c r="N1834" t="s">
        <v>242</v>
      </c>
      <c r="O1834">
        <v>53859.58</v>
      </c>
      <c r="P1834">
        <v>34.549999999999997</v>
      </c>
      <c r="Q1834">
        <f>tblMoeHistory[[#This Row],[Amount of IDEA Part B, Section 611 award]]+tblMoeHistory[[#This Row],[Amount of IDEA Part B, Section 619 award]]</f>
        <v>53894.130000000005</v>
      </c>
      <c r="S1834">
        <v>91313.289230769253</v>
      </c>
      <c r="T1834">
        <v>1877.76</v>
      </c>
      <c r="U18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4" t="str">
        <f>IF(OR(IFERROR(SEARCH("Met",tblMoeHistory[[#This Row],[State and Local Per Capita Result]]),0)&gt;0,IFERROR(SEARCH("Met",tblMoeHistory[[#This Row],[State and Local Total Result]]),0)&gt;0),"Met","Not Met")</f>
        <v>Met</v>
      </c>
    </row>
    <row r="1835" spans="1:22" x14ac:dyDescent="0.35">
      <c r="A1835" t="s">
        <v>82</v>
      </c>
      <c r="B1835">
        <v>2084</v>
      </c>
      <c r="C1835" t="s">
        <v>1537</v>
      </c>
      <c r="D1835">
        <v>256</v>
      </c>
      <c r="E1835">
        <v>3112242.83</v>
      </c>
      <c r="F1835">
        <v>338679</v>
      </c>
      <c r="G1835">
        <f>tblMoeHistory[[#This Row],[LEA State and Local Amount]]+tblMoeHistory[[#This Row],[ESD State and Local Amount]]</f>
        <v>3450921.83</v>
      </c>
      <c r="H1835">
        <v>0</v>
      </c>
      <c r="I1835" t="s">
        <v>241</v>
      </c>
      <c r="J1835" s="44">
        <f>IFERROR(tblMoeHistory[[#This Row],[LEA State and Local Amount]]/tblMoeHistory[[#This Row],[Child Count]],0)</f>
        <v>12157.1985546875</v>
      </c>
      <c r="K1835">
        <f>IFERROR(tblMoeHistory[[#This Row],[ESD State and Local Amount]]/tblMoeHistory[[#This Row],[Child Count]],0)</f>
        <v>1322.96484375</v>
      </c>
      <c r="L1835" s="1">
        <f>IFERROR(tblMoeHistory[[#This Row],[State and Local Total Amount]]/tblMoeHistory[[#This Row],[Child Count]],0)</f>
        <v>13480.1633984375</v>
      </c>
      <c r="M1835">
        <v>-115615.50196581148</v>
      </c>
      <c r="N1835" t="s">
        <v>240</v>
      </c>
      <c r="O1835">
        <v>319932.81</v>
      </c>
      <c r="P1835">
        <v>3011.12</v>
      </c>
      <c r="Q1835">
        <f>tblMoeHistory[[#This Row],[Amount of IDEA Part B, Section 611 award]]+tblMoeHistory[[#This Row],[Amount of IDEA Part B, Section 619 award]]</f>
        <v>322943.93</v>
      </c>
      <c r="S1835">
        <v>0</v>
      </c>
      <c r="T1835">
        <v>0</v>
      </c>
      <c r="U18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5" t="str">
        <f>IF(OR(IFERROR(SEARCH("Met",tblMoeHistory[[#This Row],[State and Local Per Capita Result]]),0)&gt;0,IFERROR(SEARCH("Met",tblMoeHistory[[#This Row],[State and Local Total Result]]),0)&gt;0),"Met","Not Met")</f>
        <v>Met</v>
      </c>
    </row>
    <row r="1836" spans="1:22" x14ac:dyDescent="0.35">
      <c r="A1836" t="s">
        <v>83</v>
      </c>
      <c r="B1836">
        <v>2241</v>
      </c>
      <c r="C1836" t="s">
        <v>1537</v>
      </c>
      <c r="D1836">
        <v>908</v>
      </c>
      <c r="E1836">
        <v>12145444.630000001</v>
      </c>
      <c r="F1836">
        <v>286904</v>
      </c>
      <c r="G1836">
        <f>tblMoeHistory[[#This Row],[LEA State and Local Amount]]+tblMoeHistory[[#This Row],[ESD State and Local Amount]]</f>
        <v>12432348.630000001</v>
      </c>
      <c r="H1836">
        <v>0</v>
      </c>
      <c r="I1836" t="s">
        <v>241</v>
      </c>
      <c r="J1836" s="44">
        <f>IFERROR(tblMoeHistory[[#This Row],[LEA State and Local Amount]]/tblMoeHistory[[#This Row],[Child Count]],0)</f>
        <v>13376.040341409693</v>
      </c>
      <c r="K1836">
        <f>IFERROR(tblMoeHistory[[#This Row],[ESD State and Local Amount]]/tblMoeHistory[[#This Row],[Child Count]],0)</f>
        <v>315.9735682819383</v>
      </c>
      <c r="L1836" s="1">
        <f>IFERROR(tblMoeHistory[[#This Row],[State and Local Total Amount]]/tblMoeHistory[[#This Row],[Child Count]],0)</f>
        <v>13692.01390969163</v>
      </c>
      <c r="M1836">
        <v>0</v>
      </c>
      <c r="N1836" t="s">
        <v>242</v>
      </c>
      <c r="O1836">
        <v>897637.35</v>
      </c>
      <c r="P1836">
        <v>3816.78</v>
      </c>
      <c r="Q1836">
        <f>tblMoeHistory[[#This Row],[Amount of IDEA Part B, Section 611 award]]+tblMoeHistory[[#This Row],[Amount of IDEA Part B, Section 619 award]]</f>
        <v>901454.13</v>
      </c>
      <c r="S1836">
        <v>0</v>
      </c>
      <c r="T1836">
        <v>165.17</v>
      </c>
      <c r="U18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6" t="str">
        <f>IF(OR(IFERROR(SEARCH("Met",tblMoeHistory[[#This Row],[State and Local Per Capita Result]]),0)&gt;0,IFERROR(SEARCH("Met",tblMoeHistory[[#This Row],[State and Local Total Result]]),0)&gt;0),"Met","Not Met")</f>
        <v>Met</v>
      </c>
    </row>
    <row r="1837" spans="1:22" x14ac:dyDescent="0.35">
      <c r="A1837" t="s">
        <v>84</v>
      </c>
      <c r="B1837">
        <v>2248</v>
      </c>
      <c r="C1837" t="s">
        <v>1537</v>
      </c>
      <c r="D1837">
        <v>63</v>
      </c>
      <c r="E1837">
        <v>306927.34000000003</v>
      </c>
      <c r="F1837">
        <v>67605</v>
      </c>
      <c r="G1837">
        <f>tblMoeHistory[[#This Row],[LEA State and Local Amount]]+tblMoeHistory[[#This Row],[ESD State and Local Amount]]</f>
        <v>374532.34</v>
      </c>
      <c r="H1837">
        <v>0</v>
      </c>
      <c r="I1837" t="s">
        <v>241</v>
      </c>
      <c r="J1837" s="44">
        <f>IFERROR(tblMoeHistory[[#This Row],[LEA State and Local Amount]]/tblMoeHistory[[#This Row],[Child Count]],0)</f>
        <v>4871.86253968254</v>
      </c>
      <c r="K1837">
        <f>IFERROR(tblMoeHistory[[#This Row],[ESD State and Local Amount]]/tblMoeHistory[[#This Row],[Child Count]],0)</f>
        <v>1073.0952380952381</v>
      </c>
      <c r="L1837" s="1">
        <f>IFERROR(tblMoeHistory[[#This Row],[State and Local Total Amount]]/tblMoeHistory[[#This Row],[Child Count]],0)</f>
        <v>5944.9577777777786</v>
      </c>
      <c r="M1837">
        <v>-111029.62718749994</v>
      </c>
      <c r="N1837" t="s">
        <v>240</v>
      </c>
      <c r="O1837">
        <v>75687.289999999994</v>
      </c>
      <c r="P1837">
        <v>72.23</v>
      </c>
      <c r="Q1837">
        <f>tblMoeHistory[[#This Row],[Amount of IDEA Part B, Section 611 award]]+tblMoeHistory[[#This Row],[Amount of IDEA Part B, Section 619 award]]</f>
        <v>75759.51999999999</v>
      </c>
      <c r="S1837">
        <v>0</v>
      </c>
      <c r="T1837">
        <v>0</v>
      </c>
      <c r="U18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7" t="str">
        <f>IF(OR(IFERROR(SEARCH("Met",tblMoeHistory[[#This Row],[State and Local Per Capita Result]]),0)&gt;0,IFERROR(SEARCH("Met",tblMoeHistory[[#This Row],[State and Local Total Result]]),0)&gt;0),"Met","Not Met")</f>
        <v>Met</v>
      </c>
    </row>
    <row r="1838" spans="1:22" x14ac:dyDescent="0.35">
      <c r="A1838" t="s">
        <v>85</v>
      </c>
      <c r="B1838">
        <v>2020</v>
      </c>
      <c r="C1838" t="s">
        <v>1537</v>
      </c>
      <c r="D1838">
        <v>1</v>
      </c>
      <c r="E1838">
        <v>6888</v>
      </c>
      <c r="F1838">
        <v>11884.21</v>
      </c>
      <c r="G1838">
        <f>tblMoeHistory[[#This Row],[LEA State and Local Amount]]+tblMoeHistory[[#This Row],[ESD State and Local Amount]]</f>
        <v>18772.21</v>
      </c>
      <c r="H1838">
        <v>0</v>
      </c>
      <c r="I1838" t="s">
        <v>242</v>
      </c>
      <c r="J1838" s="44">
        <f>IFERROR(tblMoeHistory[[#This Row],[LEA State and Local Amount]]/tblMoeHistory[[#This Row],[Child Count]],0)</f>
        <v>6888</v>
      </c>
      <c r="K1838">
        <f>IFERROR(tblMoeHistory[[#This Row],[ESD State and Local Amount]]/tblMoeHistory[[#This Row],[Child Count]],0)</f>
        <v>11884.21</v>
      </c>
      <c r="L1838" s="1">
        <f>IFERROR(tblMoeHistory[[#This Row],[State and Local Total Amount]]/tblMoeHistory[[#This Row],[Child Count]],0)</f>
        <v>18772.21</v>
      </c>
      <c r="M1838">
        <v>0</v>
      </c>
      <c r="N1838" t="s">
        <v>241</v>
      </c>
      <c r="O1838">
        <v>23264.23</v>
      </c>
      <c r="P1838">
        <v>59.4</v>
      </c>
      <c r="Q1838">
        <f>tblMoeHistory[[#This Row],[Amount of IDEA Part B, Section 611 award]]+tblMoeHistory[[#This Row],[Amount of IDEA Part B, Section 619 award]]</f>
        <v>23323.63</v>
      </c>
      <c r="S1838">
        <v>321232.23359999998</v>
      </c>
      <c r="U18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8" t="str">
        <f>IF(OR(IFERROR(SEARCH("Met",tblMoeHistory[[#This Row],[State and Local Per Capita Result]]),0)&gt;0,IFERROR(SEARCH("Met",tblMoeHistory[[#This Row],[State and Local Total Result]]),0)&gt;0),"Met","Not Met")</f>
        <v>Met</v>
      </c>
    </row>
    <row r="1839" spans="1:22" x14ac:dyDescent="0.35">
      <c r="A1839" t="s">
        <v>86</v>
      </c>
      <c r="B1839">
        <v>2245</v>
      </c>
      <c r="C1839" t="s">
        <v>1537</v>
      </c>
      <c r="D1839">
        <v>80</v>
      </c>
      <c r="E1839">
        <v>914129.54</v>
      </c>
      <c r="F1839">
        <v>716</v>
      </c>
      <c r="G1839">
        <f>tblMoeHistory[[#This Row],[LEA State and Local Amount]]+tblMoeHistory[[#This Row],[ESD State and Local Amount]]</f>
        <v>914845.54</v>
      </c>
      <c r="H1839">
        <v>0</v>
      </c>
      <c r="I1839" t="s">
        <v>241</v>
      </c>
      <c r="J1839" s="44">
        <f>IFERROR(tblMoeHistory[[#This Row],[LEA State and Local Amount]]/tblMoeHistory[[#This Row],[Child Count]],0)</f>
        <v>11426.61925</v>
      </c>
      <c r="K1839">
        <f>IFERROR(tblMoeHistory[[#This Row],[ESD State and Local Amount]]/tblMoeHistory[[#This Row],[Child Count]],0)</f>
        <v>8.9499999999999993</v>
      </c>
      <c r="L1839" s="1">
        <f>IFERROR(tblMoeHistory[[#This Row],[State and Local Total Amount]]/tblMoeHistory[[#This Row],[Child Count]],0)</f>
        <v>11435.56925</v>
      </c>
      <c r="M1839">
        <v>0</v>
      </c>
      <c r="N1839" t="s">
        <v>241</v>
      </c>
      <c r="O1839">
        <v>99569.95</v>
      </c>
      <c r="P1839">
        <v>26.18</v>
      </c>
      <c r="Q1839">
        <f>tblMoeHistory[[#This Row],[Amount of IDEA Part B, Section 611 award]]+tblMoeHistory[[#This Row],[Amount of IDEA Part B, Section 619 award]]</f>
        <v>99596.12999999999</v>
      </c>
      <c r="S1839">
        <v>0</v>
      </c>
      <c r="U18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9" t="str">
        <f>IF(OR(IFERROR(SEARCH("Met",tblMoeHistory[[#This Row],[State and Local Per Capita Result]]),0)&gt;0,IFERROR(SEARCH("Met",tblMoeHistory[[#This Row],[State and Local Total Result]]),0)&gt;0),"Met","Not Met")</f>
        <v>Met</v>
      </c>
    </row>
    <row r="1840" spans="1:22" x14ac:dyDescent="0.35">
      <c r="A1840" t="s">
        <v>87</v>
      </c>
      <c r="B1840">
        <v>2137</v>
      </c>
      <c r="C1840" t="s">
        <v>1537</v>
      </c>
      <c r="D1840">
        <v>176</v>
      </c>
      <c r="E1840">
        <v>1210280.76</v>
      </c>
      <c r="F1840">
        <v>255238.28</v>
      </c>
      <c r="G1840">
        <f>tblMoeHistory[[#This Row],[LEA State and Local Amount]]+tblMoeHistory[[#This Row],[ESD State and Local Amount]]</f>
        <v>1465519.04</v>
      </c>
      <c r="H1840">
        <v>0</v>
      </c>
      <c r="I1840" t="s">
        <v>241</v>
      </c>
      <c r="J1840" s="44">
        <f>IFERROR(tblMoeHistory[[#This Row],[LEA State and Local Amount]]/tblMoeHistory[[#This Row],[Child Count]],0)</f>
        <v>6876.5952272727272</v>
      </c>
      <c r="K1840">
        <f>IFERROR(tblMoeHistory[[#This Row],[ESD State and Local Amount]]/tblMoeHistory[[#This Row],[Child Count]],0)</f>
        <v>1450.2175</v>
      </c>
      <c r="L1840" s="1">
        <f>IFERROR(tblMoeHistory[[#This Row],[State and Local Total Amount]]/tblMoeHistory[[#This Row],[Child Count]],0)</f>
        <v>8326.812727272727</v>
      </c>
      <c r="M1840">
        <v>-449501.19097744382</v>
      </c>
      <c r="N1840" t="s">
        <v>240</v>
      </c>
      <c r="O1840">
        <v>233056.63</v>
      </c>
      <c r="P1840">
        <v>106.86</v>
      </c>
      <c r="Q1840">
        <f>tblMoeHistory[[#This Row],[Amount of IDEA Part B, Section 611 award]]+tblMoeHistory[[#This Row],[Amount of IDEA Part B, Section 619 award]]</f>
        <v>233163.49</v>
      </c>
      <c r="S1840">
        <v>0</v>
      </c>
      <c r="T1840">
        <v>0</v>
      </c>
      <c r="U18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0" t="str">
        <f>IF(OR(IFERROR(SEARCH("Met",tblMoeHistory[[#This Row],[State and Local Per Capita Result]]),0)&gt;0,IFERROR(SEARCH("Met",tblMoeHistory[[#This Row],[State and Local Total Result]]),0)&gt;0),"Met","Not Met")</f>
        <v>Met</v>
      </c>
    </row>
    <row r="1841" spans="1:22" x14ac:dyDescent="0.35">
      <c r="A1841" t="s">
        <v>88</v>
      </c>
      <c r="B1841">
        <v>1931</v>
      </c>
      <c r="C1841" t="s">
        <v>1537</v>
      </c>
      <c r="D1841">
        <v>273</v>
      </c>
      <c r="E1841">
        <v>3197361</v>
      </c>
      <c r="F1841">
        <v>173371</v>
      </c>
      <c r="G1841">
        <f>tblMoeHistory[[#This Row],[LEA State and Local Amount]]+tblMoeHistory[[#This Row],[ESD State and Local Amount]]</f>
        <v>3370732</v>
      </c>
      <c r="H1841">
        <v>0</v>
      </c>
      <c r="I1841" t="s">
        <v>242</v>
      </c>
      <c r="J1841" s="44">
        <f>IFERROR(tblMoeHistory[[#This Row],[LEA State and Local Amount]]/tblMoeHistory[[#This Row],[Child Count]],0)</f>
        <v>11711.945054945056</v>
      </c>
      <c r="K1841">
        <f>IFERROR(tblMoeHistory[[#This Row],[ESD State and Local Amount]]/tblMoeHistory[[#This Row],[Child Count]],0)</f>
        <v>635.05860805860812</v>
      </c>
      <c r="L1841" s="1">
        <f>IFERROR(tblMoeHistory[[#This Row],[State and Local Total Amount]]/tblMoeHistory[[#This Row],[Child Count]],0)</f>
        <v>12347.003663003663</v>
      </c>
      <c r="M1841">
        <v>0</v>
      </c>
      <c r="N1841" t="s">
        <v>242</v>
      </c>
      <c r="O1841">
        <v>342019.07</v>
      </c>
      <c r="P1841">
        <v>1130.97</v>
      </c>
      <c r="Q1841">
        <f>tblMoeHistory[[#This Row],[Amount of IDEA Part B, Section 611 award]]+tblMoeHistory[[#This Row],[Amount of IDEA Part B, Section 619 award]]</f>
        <v>343150.04</v>
      </c>
      <c r="S1841">
        <v>247945.76</v>
      </c>
      <c r="T1841">
        <v>0</v>
      </c>
      <c r="U18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1" t="str">
        <f>IF(OR(IFERROR(SEARCH("Met",tblMoeHistory[[#This Row],[State and Local Per Capita Result]]),0)&gt;0,IFERROR(SEARCH("Met",tblMoeHistory[[#This Row],[State and Local Total Result]]),0)&gt;0),"Met","Not Met")</f>
        <v>Met</v>
      </c>
    </row>
    <row r="1842" spans="1:22" x14ac:dyDescent="0.35">
      <c r="A1842" t="s">
        <v>89</v>
      </c>
      <c r="B1842">
        <v>2000</v>
      </c>
      <c r="C1842" t="s">
        <v>1537</v>
      </c>
      <c r="D1842">
        <v>56</v>
      </c>
      <c r="E1842">
        <v>479921.29</v>
      </c>
      <c r="F1842">
        <v>133667.82999999999</v>
      </c>
      <c r="G1842">
        <f>tblMoeHistory[[#This Row],[LEA State and Local Amount]]+tblMoeHistory[[#This Row],[ESD State and Local Amount]]</f>
        <v>613589.12</v>
      </c>
      <c r="H1842">
        <v>0</v>
      </c>
      <c r="I1842" t="s">
        <v>242</v>
      </c>
      <c r="J1842" s="44">
        <f>IFERROR(tblMoeHistory[[#This Row],[LEA State and Local Amount]]/tblMoeHistory[[#This Row],[Child Count]],0)</f>
        <v>8570.0230357142846</v>
      </c>
      <c r="K1842">
        <f>IFERROR(tblMoeHistory[[#This Row],[ESD State and Local Amount]]/tblMoeHistory[[#This Row],[Child Count]],0)</f>
        <v>2386.9255357142856</v>
      </c>
      <c r="L1842" s="1">
        <f>IFERROR(tblMoeHistory[[#This Row],[State and Local Total Amount]]/tblMoeHistory[[#This Row],[Child Count]],0)</f>
        <v>10956.948571428571</v>
      </c>
      <c r="M1842">
        <v>0</v>
      </c>
      <c r="N1842" t="s">
        <v>242</v>
      </c>
      <c r="O1842">
        <v>55950.400000000001</v>
      </c>
      <c r="P1842">
        <v>36.19</v>
      </c>
      <c r="Q1842">
        <f>tblMoeHistory[[#This Row],[Amount of IDEA Part B, Section 611 award]]+tblMoeHistory[[#This Row],[Amount of IDEA Part B, Section 619 award]]</f>
        <v>55986.590000000004</v>
      </c>
      <c r="S1842">
        <v>215025</v>
      </c>
      <c r="T1842">
        <v>0</v>
      </c>
      <c r="U18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2" t="str">
        <f>IF(OR(IFERROR(SEARCH("Met",tblMoeHistory[[#This Row],[State and Local Per Capita Result]]),0)&gt;0,IFERROR(SEARCH("Met",tblMoeHistory[[#This Row],[State and Local Total Result]]),0)&gt;0),"Met","Not Met")</f>
        <v>Met</v>
      </c>
    </row>
    <row r="1843" spans="1:22" x14ac:dyDescent="0.35">
      <c r="A1843" t="s">
        <v>90</v>
      </c>
      <c r="B1843">
        <v>1992</v>
      </c>
      <c r="C1843" t="s">
        <v>1537</v>
      </c>
      <c r="D1843">
        <v>101</v>
      </c>
      <c r="E1843">
        <v>794140.84</v>
      </c>
      <c r="F1843">
        <v>196025.95</v>
      </c>
      <c r="G1843">
        <f>tblMoeHistory[[#This Row],[LEA State and Local Amount]]+tblMoeHistory[[#This Row],[ESD State and Local Amount]]</f>
        <v>990166.79</v>
      </c>
      <c r="H1843">
        <v>0</v>
      </c>
      <c r="I1843" t="s">
        <v>241</v>
      </c>
      <c r="J1843" s="44">
        <f>IFERROR(tblMoeHistory[[#This Row],[LEA State and Local Amount]]/tblMoeHistory[[#This Row],[Child Count]],0)</f>
        <v>7862.7805940594053</v>
      </c>
      <c r="K1843">
        <f>IFERROR(tblMoeHistory[[#This Row],[ESD State and Local Amount]]/tblMoeHistory[[#This Row],[Child Count]],0)</f>
        <v>1940.85099009901</v>
      </c>
      <c r="L1843" s="1">
        <f>IFERROR(tblMoeHistory[[#This Row],[State and Local Total Amount]]/tblMoeHistory[[#This Row],[Child Count]],0)</f>
        <v>9803.6315841584164</v>
      </c>
      <c r="M1843">
        <v>0</v>
      </c>
      <c r="N1843" t="s">
        <v>241</v>
      </c>
      <c r="O1843">
        <v>150715.62</v>
      </c>
      <c r="P1843">
        <v>1017.04</v>
      </c>
      <c r="Q1843">
        <f>tblMoeHistory[[#This Row],[Amount of IDEA Part B, Section 611 award]]+tblMoeHistory[[#This Row],[Amount of IDEA Part B, Section 619 award]]</f>
        <v>151732.66</v>
      </c>
      <c r="S1843">
        <v>0</v>
      </c>
      <c r="U18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3" t="str">
        <f>IF(OR(IFERROR(SEARCH("Met",tblMoeHistory[[#This Row],[State and Local Per Capita Result]]),0)&gt;0,IFERROR(SEARCH("Met",tblMoeHistory[[#This Row],[State and Local Total Result]]),0)&gt;0),"Met","Not Met")</f>
        <v>Met</v>
      </c>
    </row>
    <row r="1844" spans="1:22" x14ac:dyDescent="0.35">
      <c r="A1844" t="s">
        <v>91</v>
      </c>
      <c r="B1844">
        <v>2054</v>
      </c>
      <c r="C1844" t="s">
        <v>1537</v>
      </c>
      <c r="D1844">
        <v>787</v>
      </c>
      <c r="E1844">
        <v>8075861.4199999999</v>
      </c>
      <c r="F1844">
        <v>324712.24</v>
      </c>
      <c r="G1844">
        <f>tblMoeHistory[[#This Row],[LEA State and Local Amount]]+tblMoeHistory[[#This Row],[ESD State and Local Amount]]</f>
        <v>8400573.6600000001</v>
      </c>
      <c r="H1844">
        <v>0</v>
      </c>
      <c r="I1844" t="s">
        <v>241</v>
      </c>
      <c r="J1844" s="44">
        <f>IFERROR(tblMoeHistory[[#This Row],[LEA State and Local Amount]]/tblMoeHistory[[#This Row],[Child Count]],0)</f>
        <v>10261.577407878018</v>
      </c>
      <c r="K1844">
        <f>IFERROR(tblMoeHistory[[#This Row],[ESD State and Local Amount]]/tblMoeHistory[[#This Row],[Child Count]],0)</f>
        <v>412.59496823379925</v>
      </c>
      <c r="L1844" s="1">
        <f>IFERROR(tblMoeHistory[[#This Row],[State and Local Total Amount]]/tblMoeHistory[[#This Row],[Child Count]],0)</f>
        <v>10674.172376111817</v>
      </c>
      <c r="M1844">
        <v>0</v>
      </c>
      <c r="N1844" t="s">
        <v>241</v>
      </c>
      <c r="O1844">
        <v>865166.54</v>
      </c>
      <c r="P1844">
        <v>6746.78</v>
      </c>
      <c r="Q1844">
        <f>tblMoeHistory[[#This Row],[Amount of IDEA Part B, Section 611 award]]+tblMoeHistory[[#This Row],[Amount of IDEA Part B, Section 619 award]]</f>
        <v>871913.32000000007</v>
      </c>
      <c r="S1844">
        <v>0</v>
      </c>
      <c r="U18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4" t="str">
        <f>IF(OR(IFERROR(SEARCH("Met",tblMoeHistory[[#This Row],[State and Local Per Capita Result]]),0)&gt;0,IFERROR(SEARCH("Met",tblMoeHistory[[#This Row],[State and Local Total Result]]),0)&gt;0),"Met","Not Met")</f>
        <v>Met</v>
      </c>
    </row>
    <row r="1845" spans="1:22" x14ac:dyDescent="0.35">
      <c r="A1845" t="s">
        <v>92</v>
      </c>
      <c r="B1845">
        <v>2100</v>
      </c>
      <c r="C1845" t="s">
        <v>1537</v>
      </c>
      <c r="D1845">
        <v>1305</v>
      </c>
      <c r="E1845">
        <v>15524910.390000001</v>
      </c>
      <c r="F1845">
        <v>1426886</v>
      </c>
      <c r="G1845">
        <f>tblMoeHistory[[#This Row],[LEA State and Local Amount]]+tblMoeHistory[[#This Row],[ESD State and Local Amount]]</f>
        <v>16951796.390000001</v>
      </c>
      <c r="H1845">
        <v>0</v>
      </c>
      <c r="I1845" t="s">
        <v>241</v>
      </c>
      <c r="J1845" s="44">
        <f>IFERROR(tblMoeHistory[[#This Row],[LEA State and Local Amount]]/tblMoeHistory[[#This Row],[Child Count]],0)</f>
        <v>11896.483057471265</v>
      </c>
      <c r="K1845">
        <f>IFERROR(tblMoeHistory[[#This Row],[ESD State and Local Amount]]/tblMoeHistory[[#This Row],[Child Count]],0)</f>
        <v>1093.399233716475</v>
      </c>
      <c r="L1845" s="1">
        <f>IFERROR(tblMoeHistory[[#This Row],[State and Local Total Amount]]/tblMoeHistory[[#This Row],[Child Count]],0)</f>
        <v>12989.88229118774</v>
      </c>
      <c r="M1845">
        <v>0</v>
      </c>
      <c r="N1845" t="s">
        <v>241</v>
      </c>
      <c r="O1845">
        <v>1434627.56</v>
      </c>
      <c r="P1845">
        <v>10650.35</v>
      </c>
      <c r="Q1845">
        <f>tblMoeHistory[[#This Row],[Amount of IDEA Part B, Section 611 award]]+tblMoeHistory[[#This Row],[Amount of IDEA Part B, Section 619 award]]</f>
        <v>1445277.9100000001</v>
      </c>
      <c r="S1845">
        <v>0</v>
      </c>
      <c r="U18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5" t="str">
        <f>IF(OR(IFERROR(SEARCH("Met",tblMoeHistory[[#This Row],[State and Local Per Capita Result]]),0)&gt;0,IFERROR(SEARCH("Met",tblMoeHistory[[#This Row],[State and Local Total Result]]),0)&gt;0),"Met","Not Met")</f>
        <v>Met</v>
      </c>
    </row>
    <row r="1846" spans="1:22" x14ac:dyDescent="0.35">
      <c r="A1846" t="s">
        <v>93</v>
      </c>
      <c r="B1846">
        <v>2183</v>
      </c>
      <c r="C1846" t="s">
        <v>1537</v>
      </c>
      <c r="D1846">
        <v>1467</v>
      </c>
      <c r="E1846">
        <v>18219236.370000001</v>
      </c>
      <c r="F1846">
        <v>1098139.1499999999</v>
      </c>
      <c r="G1846">
        <f>tblMoeHistory[[#This Row],[LEA State and Local Amount]]+tblMoeHistory[[#This Row],[ESD State and Local Amount]]</f>
        <v>19317375.52</v>
      </c>
      <c r="H1846">
        <v>0</v>
      </c>
      <c r="I1846" t="s">
        <v>241</v>
      </c>
      <c r="J1846" s="44">
        <f>IFERROR(tblMoeHistory[[#This Row],[LEA State and Local Amount]]/tblMoeHistory[[#This Row],[Child Count]],0)</f>
        <v>12419.384028629858</v>
      </c>
      <c r="K1846">
        <f>IFERROR(tblMoeHistory[[#This Row],[ESD State and Local Amount]]/tblMoeHistory[[#This Row],[Child Count]],0)</f>
        <v>748.56111111111102</v>
      </c>
      <c r="L1846" s="1">
        <f>IFERROR(tblMoeHistory[[#This Row],[State and Local Total Amount]]/tblMoeHistory[[#This Row],[Child Count]],0)</f>
        <v>13167.945139740968</v>
      </c>
      <c r="M1846">
        <v>0</v>
      </c>
      <c r="N1846" t="s">
        <v>241</v>
      </c>
      <c r="O1846">
        <v>1834879.87</v>
      </c>
      <c r="P1846">
        <v>14128.42</v>
      </c>
      <c r="Q1846">
        <f>tblMoeHistory[[#This Row],[Amount of IDEA Part B, Section 611 award]]+tblMoeHistory[[#This Row],[Amount of IDEA Part B, Section 619 award]]</f>
        <v>1849008.29</v>
      </c>
      <c r="S1846">
        <v>0</v>
      </c>
      <c r="U18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6" t="str">
        <f>IF(OR(IFERROR(SEARCH("Met",tblMoeHistory[[#This Row],[State and Local Per Capita Result]]),0)&gt;0,IFERROR(SEARCH("Met",tblMoeHistory[[#This Row],[State and Local Total Result]]),0)&gt;0),"Met","Not Met")</f>
        <v>Met</v>
      </c>
    </row>
    <row r="1847" spans="1:22" x14ac:dyDescent="0.35">
      <c r="A1847" t="s">
        <v>94</v>
      </c>
      <c r="B1847">
        <v>2014</v>
      </c>
      <c r="C1847" t="s">
        <v>1537</v>
      </c>
      <c r="D1847">
        <v>108</v>
      </c>
      <c r="E1847">
        <v>1439708.38</v>
      </c>
      <c r="F1847">
        <v>0</v>
      </c>
      <c r="G1847">
        <f>tblMoeHistory[[#This Row],[LEA State and Local Amount]]+tblMoeHistory[[#This Row],[ESD State and Local Amount]]</f>
        <v>1439708.38</v>
      </c>
      <c r="H1847">
        <v>0</v>
      </c>
      <c r="I1847" t="s">
        <v>241</v>
      </c>
      <c r="J1847" s="44">
        <f>IFERROR(tblMoeHistory[[#This Row],[LEA State and Local Amount]]/tblMoeHistory[[#This Row],[Child Count]],0)</f>
        <v>13330.633148148147</v>
      </c>
      <c r="K1847">
        <f>IFERROR(tblMoeHistory[[#This Row],[ESD State and Local Amount]]/tblMoeHistory[[#This Row],[Child Count]],0)</f>
        <v>0</v>
      </c>
      <c r="L1847" s="1">
        <f>IFERROR(tblMoeHistory[[#This Row],[State and Local Total Amount]]/tblMoeHistory[[#This Row],[Child Count]],0)</f>
        <v>13330.633148148147</v>
      </c>
      <c r="M1847">
        <v>-2769.54710280375</v>
      </c>
      <c r="N1847" t="s">
        <v>240</v>
      </c>
      <c r="O1847">
        <v>165629.84</v>
      </c>
      <c r="P1847">
        <v>1981.92</v>
      </c>
      <c r="Q1847">
        <f>tblMoeHistory[[#This Row],[Amount of IDEA Part B, Section 611 award]]+tblMoeHistory[[#This Row],[Amount of IDEA Part B, Section 619 award]]</f>
        <v>167611.76</v>
      </c>
      <c r="S1847">
        <v>0</v>
      </c>
      <c r="T1847">
        <v>0</v>
      </c>
      <c r="U18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7" t="str">
        <f>IF(OR(IFERROR(SEARCH("Met",tblMoeHistory[[#This Row],[State and Local Per Capita Result]]),0)&gt;0,IFERROR(SEARCH("Met",tblMoeHistory[[#This Row],[State and Local Total Result]]),0)&gt;0),"Met","Not Met")</f>
        <v>Met</v>
      </c>
    </row>
    <row r="1848" spans="1:22" x14ac:dyDescent="0.35">
      <c r="A1848" t="s">
        <v>95</v>
      </c>
      <c r="B1848">
        <v>2015</v>
      </c>
      <c r="C1848" t="s">
        <v>1537</v>
      </c>
      <c r="D1848">
        <v>54</v>
      </c>
      <c r="E1848">
        <v>345541.21</v>
      </c>
      <c r="F1848">
        <v>32198.81</v>
      </c>
      <c r="G1848">
        <f>tblMoeHistory[[#This Row],[LEA State and Local Amount]]+tblMoeHistory[[#This Row],[ESD State and Local Amount]]</f>
        <v>377740.02</v>
      </c>
      <c r="H1848">
        <v>0</v>
      </c>
      <c r="I1848" t="s">
        <v>241</v>
      </c>
      <c r="J1848" s="44">
        <f>IFERROR(tblMoeHistory[[#This Row],[LEA State and Local Amount]]/tblMoeHistory[[#This Row],[Child Count]],0)</f>
        <v>6398.9112962962963</v>
      </c>
      <c r="K1848">
        <f>IFERROR(tblMoeHistory[[#This Row],[ESD State and Local Amount]]/tblMoeHistory[[#This Row],[Child Count]],0)</f>
        <v>596.27425925925934</v>
      </c>
      <c r="L1848" s="1">
        <f>IFERROR(tblMoeHistory[[#This Row],[State and Local Total Amount]]/tblMoeHistory[[#This Row],[Child Count]],0)</f>
        <v>6995.1855555555558</v>
      </c>
      <c r="M1848">
        <v>-556501.38</v>
      </c>
      <c r="N1848" t="s">
        <v>240</v>
      </c>
      <c r="O1848">
        <v>17768.75</v>
      </c>
      <c r="P1848">
        <v>22.53</v>
      </c>
      <c r="Q1848">
        <f>tblMoeHistory[[#This Row],[Amount of IDEA Part B, Section 611 award]]+tblMoeHistory[[#This Row],[Amount of IDEA Part B, Section 619 award]]</f>
        <v>17791.28</v>
      </c>
      <c r="S1848">
        <v>0</v>
      </c>
      <c r="T1848">
        <v>1722.81</v>
      </c>
      <c r="U18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8" t="str">
        <f>IF(OR(IFERROR(SEARCH("Met",tblMoeHistory[[#This Row],[State and Local Per Capita Result]]),0)&gt;0,IFERROR(SEARCH("Met",tblMoeHistory[[#This Row],[State and Local Total Result]]),0)&gt;0),"Met","Not Met")</f>
        <v>Met</v>
      </c>
    </row>
    <row r="1849" spans="1:22" x14ac:dyDescent="0.35">
      <c r="A1849" t="s">
        <v>96</v>
      </c>
      <c r="B1849">
        <v>2023</v>
      </c>
      <c r="C1849" t="s">
        <v>1537</v>
      </c>
      <c r="D1849">
        <v>39</v>
      </c>
      <c r="E1849">
        <v>27663.23</v>
      </c>
      <c r="F1849">
        <v>33173.61</v>
      </c>
      <c r="G1849">
        <f>tblMoeHistory[[#This Row],[LEA State and Local Amount]]+tblMoeHistory[[#This Row],[ESD State and Local Amount]]</f>
        <v>60836.84</v>
      </c>
      <c r="H1849">
        <v>0</v>
      </c>
      <c r="I1849" t="s">
        <v>241</v>
      </c>
      <c r="J1849" s="44">
        <f>IFERROR(tblMoeHistory[[#This Row],[LEA State and Local Amount]]/tblMoeHistory[[#This Row],[Child Count]],0)</f>
        <v>709.31358974358977</v>
      </c>
      <c r="K1849">
        <f>IFERROR(tblMoeHistory[[#This Row],[ESD State and Local Amount]]/tblMoeHistory[[#This Row],[Child Count]],0)</f>
        <v>850.60538461538465</v>
      </c>
      <c r="L1849" s="1">
        <f>IFERROR(tblMoeHistory[[#This Row],[State and Local Total Amount]]/tblMoeHistory[[#This Row],[Child Count]],0)</f>
        <v>1559.9189743589743</v>
      </c>
      <c r="M1849">
        <v>-307912.58</v>
      </c>
      <c r="N1849" t="s">
        <v>240</v>
      </c>
      <c r="O1849">
        <v>12314.87</v>
      </c>
      <c r="P1849">
        <v>0</v>
      </c>
      <c r="Q1849">
        <f>tblMoeHistory[[#This Row],[Amount of IDEA Part B, Section 611 award]]+tblMoeHistory[[#This Row],[Amount of IDEA Part B, Section 619 award]]</f>
        <v>12314.87</v>
      </c>
      <c r="S1849">
        <v>0</v>
      </c>
      <c r="T1849">
        <v>0</v>
      </c>
      <c r="U18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9" t="str">
        <f>IF(OR(IFERROR(SEARCH("Met",tblMoeHistory[[#This Row],[State and Local Per Capita Result]]),0)&gt;0,IFERROR(SEARCH("Met",tblMoeHistory[[#This Row],[State and Local Total Result]]),0)&gt;0),"Met","Not Met")</f>
        <v>Met</v>
      </c>
    </row>
    <row r="1850" spans="1:22" x14ac:dyDescent="0.35">
      <c r="A1850" t="s">
        <v>97</v>
      </c>
      <c r="B1850">
        <v>2114</v>
      </c>
      <c r="C1850" t="s">
        <v>1537</v>
      </c>
      <c r="D1850">
        <v>18</v>
      </c>
      <c r="E1850">
        <v>85393.72</v>
      </c>
      <c r="F1850">
        <v>69696</v>
      </c>
      <c r="G1850">
        <f>tblMoeHistory[[#This Row],[LEA State and Local Amount]]+tblMoeHistory[[#This Row],[ESD State and Local Amount]]</f>
        <v>155089.72</v>
      </c>
      <c r="H1850">
        <v>0</v>
      </c>
      <c r="I1850" t="s">
        <v>241</v>
      </c>
      <c r="J1850" s="44">
        <f>IFERROR(tblMoeHistory[[#This Row],[LEA State and Local Amount]]/tblMoeHistory[[#This Row],[Child Count]],0)</f>
        <v>4744.0955555555556</v>
      </c>
      <c r="K1850">
        <f>IFERROR(tblMoeHistory[[#This Row],[ESD State and Local Amount]]/tblMoeHistory[[#This Row],[Child Count]],0)</f>
        <v>3872</v>
      </c>
      <c r="L1850" s="1">
        <f>IFERROR(tblMoeHistory[[#This Row],[State and Local Total Amount]]/tblMoeHistory[[#This Row],[Child Count]],0)</f>
        <v>8616.0955555555556</v>
      </c>
      <c r="M1850">
        <v>-49320.966153846166</v>
      </c>
      <c r="N1850" t="s">
        <v>240</v>
      </c>
      <c r="O1850">
        <v>18240.89</v>
      </c>
      <c r="P1850">
        <v>999.53</v>
      </c>
      <c r="Q1850">
        <f>tblMoeHistory[[#This Row],[Amount of IDEA Part B, Section 611 award]]+tblMoeHistory[[#This Row],[Amount of IDEA Part B, Section 619 award]]</f>
        <v>19240.419999999998</v>
      </c>
      <c r="S1850">
        <v>0</v>
      </c>
      <c r="T1850">
        <v>0</v>
      </c>
      <c r="U18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0" t="str">
        <f>IF(OR(IFERROR(SEARCH("Met",tblMoeHistory[[#This Row],[State and Local Per Capita Result]]),0)&gt;0,IFERROR(SEARCH("Met",tblMoeHistory[[#This Row],[State and Local Total Result]]),0)&gt;0),"Met","Not Met")</f>
        <v>Met</v>
      </c>
    </row>
    <row r="1851" spans="1:22" x14ac:dyDescent="0.35">
      <c r="A1851" t="s">
        <v>98</v>
      </c>
      <c r="B1851">
        <v>2099</v>
      </c>
      <c r="C1851" t="s">
        <v>1537</v>
      </c>
      <c r="D1851">
        <v>132</v>
      </c>
      <c r="E1851">
        <v>1279351.05</v>
      </c>
      <c r="F1851">
        <v>147072</v>
      </c>
      <c r="G1851">
        <f>tblMoeHistory[[#This Row],[LEA State and Local Amount]]+tblMoeHistory[[#This Row],[ESD State and Local Amount]]</f>
        <v>1426423.05</v>
      </c>
      <c r="H1851">
        <v>0</v>
      </c>
      <c r="I1851" t="s">
        <v>241</v>
      </c>
      <c r="J1851" s="44">
        <f>IFERROR(tblMoeHistory[[#This Row],[LEA State and Local Amount]]/tblMoeHistory[[#This Row],[Child Count]],0)</f>
        <v>9692.0534090909096</v>
      </c>
      <c r="K1851">
        <f>IFERROR(tblMoeHistory[[#This Row],[ESD State and Local Amount]]/tblMoeHistory[[#This Row],[Child Count]],0)</f>
        <v>1114.1818181818182</v>
      </c>
      <c r="L1851" s="1">
        <f>IFERROR(tblMoeHistory[[#This Row],[State and Local Total Amount]]/tblMoeHistory[[#This Row],[Child Count]],0)</f>
        <v>10806.235227272728</v>
      </c>
      <c r="M1851">
        <v>0</v>
      </c>
      <c r="N1851" t="s">
        <v>241</v>
      </c>
      <c r="O1851">
        <v>132837.21</v>
      </c>
      <c r="P1851">
        <v>1056.23</v>
      </c>
      <c r="Q1851">
        <f>tblMoeHistory[[#This Row],[Amount of IDEA Part B, Section 611 award]]+tblMoeHistory[[#This Row],[Amount of IDEA Part B, Section 619 award]]</f>
        <v>133893.44</v>
      </c>
      <c r="S1851">
        <v>0</v>
      </c>
      <c r="U18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1" t="str">
        <f>IF(OR(IFERROR(SEARCH("Met",tblMoeHistory[[#This Row],[State and Local Per Capita Result]]),0)&gt;0,IFERROR(SEARCH("Met",tblMoeHistory[[#This Row],[State and Local Total Result]]),0)&gt;0),"Met","Not Met")</f>
        <v>Met</v>
      </c>
    </row>
    <row r="1852" spans="1:22" x14ac:dyDescent="0.35">
      <c r="A1852" t="s">
        <v>99</v>
      </c>
      <c r="B1852">
        <v>2201</v>
      </c>
      <c r="C1852" t="s">
        <v>1537</v>
      </c>
      <c r="D1852">
        <v>21</v>
      </c>
      <c r="E1852">
        <v>121993.33</v>
      </c>
      <c r="F1852">
        <v>37441.06</v>
      </c>
      <c r="G1852">
        <f>tblMoeHistory[[#This Row],[LEA State and Local Amount]]+tblMoeHistory[[#This Row],[ESD State and Local Amount]]</f>
        <v>159434.39000000001</v>
      </c>
      <c r="H1852">
        <v>0</v>
      </c>
      <c r="I1852" t="s">
        <v>241</v>
      </c>
      <c r="J1852" s="44">
        <f>IFERROR(tblMoeHistory[[#This Row],[LEA State and Local Amount]]/tblMoeHistory[[#This Row],[Child Count]],0)</f>
        <v>5809.2061904761904</v>
      </c>
      <c r="K1852">
        <f>IFERROR(tblMoeHistory[[#This Row],[ESD State and Local Amount]]/tblMoeHistory[[#This Row],[Child Count]],0)</f>
        <v>1782.9076190476189</v>
      </c>
      <c r="L1852" s="1">
        <f>IFERROR(tblMoeHistory[[#This Row],[State and Local Total Amount]]/tblMoeHistory[[#This Row],[Child Count]],0)</f>
        <v>7592.1138095238102</v>
      </c>
      <c r="M1852">
        <v>0</v>
      </c>
      <c r="N1852" t="s">
        <v>241</v>
      </c>
      <c r="O1852">
        <v>25247.69</v>
      </c>
      <c r="P1852">
        <v>485.55</v>
      </c>
      <c r="Q1852">
        <f>tblMoeHistory[[#This Row],[Amount of IDEA Part B, Section 611 award]]+tblMoeHistory[[#This Row],[Amount of IDEA Part B, Section 619 award]]</f>
        <v>25733.239999999998</v>
      </c>
      <c r="S1852">
        <v>0</v>
      </c>
      <c r="U18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2" t="str">
        <f>IF(OR(IFERROR(SEARCH("Met",tblMoeHistory[[#This Row],[State and Local Per Capita Result]]),0)&gt;0,IFERROR(SEARCH("Met",tblMoeHistory[[#This Row],[State and Local Total Result]]),0)&gt;0),"Met","Not Met")</f>
        <v>Met</v>
      </c>
    </row>
    <row r="1853" spans="1:22" x14ac:dyDescent="0.35">
      <c r="A1853" t="s">
        <v>100</v>
      </c>
      <c r="B1853">
        <v>2206</v>
      </c>
      <c r="C1853" t="s">
        <v>1537</v>
      </c>
      <c r="D1853">
        <v>718</v>
      </c>
      <c r="E1853">
        <v>6247011</v>
      </c>
      <c r="F1853">
        <v>0</v>
      </c>
      <c r="G1853">
        <f>tblMoeHistory[[#This Row],[LEA State and Local Amount]]+tblMoeHistory[[#This Row],[ESD State and Local Amount]]</f>
        <v>6247011</v>
      </c>
      <c r="H1853">
        <v>0</v>
      </c>
      <c r="I1853" t="s">
        <v>241</v>
      </c>
      <c r="J1853" s="44">
        <f>IFERROR(tblMoeHistory[[#This Row],[LEA State and Local Amount]]/tblMoeHistory[[#This Row],[Child Count]],0)</f>
        <v>8700.5724233983292</v>
      </c>
      <c r="K1853">
        <f>IFERROR(tblMoeHistory[[#This Row],[ESD State and Local Amount]]/tblMoeHistory[[#This Row],[Child Count]],0)</f>
        <v>0</v>
      </c>
      <c r="L1853" s="1">
        <f>IFERROR(tblMoeHistory[[#This Row],[State and Local Total Amount]]/tblMoeHistory[[#This Row],[Child Count]],0)</f>
        <v>8700.5724233983292</v>
      </c>
      <c r="M1853">
        <v>0</v>
      </c>
      <c r="N1853" t="s">
        <v>241</v>
      </c>
      <c r="O1853">
        <v>824874.7</v>
      </c>
      <c r="P1853">
        <v>4825.6400000000003</v>
      </c>
      <c r="Q1853">
        <f>tblMoeHistory[[#This Row],[Amount of IDEA Part B, Section 611 award]]+tblMoeHistory[[#This Row],[Amount of IDEA Part B, Section 619 award]]</f>
        <v>829700.34</v>
      </c>
      <c r="S1853">
        <v>0</v>
      </c>
      <c r="U18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3" t="str">
        <f>IF(OR(IFERROR(SEARCH("Met",tblMoeHistory[[#This Row],[State and Local Per Capita Result]]),0)&gt;0,IFERROR(SEARCH("Met",tblMoeHistory[[#This Row],[State and Local Total Result]]),0)&gt;0),"Met","Not Met")</f>
        <v>Met</v>
      </c>
    </row>
    <row r="1854" spans="1:22" x14ac:dyDescent="0.35">
      <c r="A1854" t="s">
        <v>101</v>
      </c>
      <c r="B1854">
        <v>2239</v>
      </c>
      <c r="C1854" t="s">
        <v>1537</v>
      </c>
      <c r="D1854">
        <v>3185</v>
      </c>
      <c r="E1854">
        <v>36485717.390000001</v>
      </c>
      <c r="F1854">
        <v>4500713</v>
      </c>
      <c r="G1854">
        <f>tblMoeHistory[[#This Row],[LEA State and Local Amount]]+tblMoeHistory[[#This Row],[ESD State and Local Amount]]</f>
        <v>40986430.390000001</v>
      </c>
      <c r="H1854">
        <v>0</v>
      </c>
      <c r="I1854" t="s">
        <v>241</v>
      </c>
      <c r="J1854" s="44">
        <f>IFERROR(tblMoeHistory[[#This Row],[LEA State and Local Amount]]/tblMoeHistory[[#This Row],[Child Count]],0)</f>
        <v>11455.484266875981</v>
      </c>
      <c r="K1854">
        <f>IFERROR(tblMoeHistory[[#This Row],[ESD State and Local Amount]]/tblMoeHistory[[#This Row],[Child Count]],0)</f>
        <v>1413.0967032967033</v>
      </c>
      <c r="L1854" s="1">
        <f>IFERROR(tblMoeHistory[[#This Row],[State and Local Total Amount]]/tblMoeHistory[[#This Row],[Child Count]],0)</f>
        <v>12868.580970172685</v>
      </c>
      <c r="M1854">
        <v>0</v>
      </c>
      <c r="N1854" t="s">
        <v>241</v>
      </c>
      <c r="O1854">
        <v>2771275.58</v>
      </c>
      <c r="P1854">
        <v>13174.37</v>
      </c>
      <c r="Q1854">
        <f>tblMoeHistory[[#This Row],[Amount of IDEA Part B, Section 611 award]]+tblMoeHistory[[#This Row],[Amount of IDEA Part B, Section 619 award]]</f>
        <v>2784449.95</v>
      </c>
      <c r="S1854">
        <v>0</v>
      </c>
      <c r="U18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4" t="str">
        <f>IF(OR(IFERROR(SEARCH("Met",tblMoeHistory[[#This Row],[State and Local Per Capita Result]]),0)&gt;0,IFERROR(SEARCH("Met",tblMoeHistory[[#This Row],[State and Local Total Result]]),0)&gt;0),"Met","Not Met")</f>
        <v>Met</v>
      </c>
    </row>
    <row r="1855" spans="1:22" x14ac:dyDescent="0.35">
      <c r="A1855" t="s">
        <v>102</v>
      </c>
      <c r="B1855">
        <v>2024</v>
      </c>
      <c r="C1855" t="s">
        <v>1537</v>
      </c>
      <c r="D1855">
        <v>488</v>
      </c>
      <c r="E1855">
        <v>4800497.84</v>
      </c>
      <c r="F1855">
        <v>0</v>
      </c>
      <c r="G1855">
        <f>tblMoeHistory[[#This Row],[LEA State and Local Amount]]+tblMoeHistory[[#This Row],[ESD State and Local Amount]]</f>
        <v>4800497.84</v>
      </c>
      <c r="H1855">
        <v>0</v>
      </c>
      <c r="I1855" t="s">
        <v>241</v>
      </c>
      <c r="J1855" s="44">
        <f>IFERROR(tblMoeHistory[[#This Row],[LEA State and Local Amount]]/tblMoeHistory[[#This Row],[Child Count]],0)</f>
        <v>9837.0857377049178</v>
      </c>
      <c r="K1855">
        <f>IFERROR(tblMoeHistory[[#This Row],[ESD State and Local Amount]]/tblMoeHistory[[#This Row],[Child Count]],0)</f>
        <v>0</v>
      </c>
      <c r="L1855" s="1">
        <f>IFERROR(tblMoeHistory[[#This Row],[State and Local Total Amount]]/tblMoeHistory[[#This Row],[Child Count]],0)</f>
        <v>9837.0857377049178</v>
      </c>
      <c r="M1855">
        <v>0</v>
      </c>
      <c r="N1855" t="s">
        <v>241</v>
      </c>
      <c r="O1855">
        <v>621728.27</v>
      </c>
      <c r="P1855">
        <v>2682.55</v>
      </c>
      <c r="Q1855">
        <f>tblMoeHistory[[#This Row],[Amount of IDEA Part B, Section 611 award]]+tblMoeHistory[[#This Row],[Amount of IDEA Part B, Section 619 award]]</f>
        <v>624410.82000000007</v>
      </c>
      <c r="S1855">
        <v>0</v>
      </c>
      <c r="U18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5" t="str">
        <f>IF(OR(IFERROR(SEARCH("Met",tblMoeHistory[[#This Row],[State and Local Per Capita Result]]),0)&gt;0,IFERROR(SEARCH("Met",tblMoeHistory[[#This Row],[State and Local Total Result]]),0)&gt;0),"Met","Not Met")</f>
        <v>Met</v>
      </c>
    </row>
    <row r="1856" spans="1:22" x14ac:dyDescent="0.35">
      <c r="A1856" t="s">
        <v>103</v>
      </c>
      <c r="B1856">
        <v>1895</v>
      </c>
      <c r="C1856" t="s">
        <v>1537</v>
      </c>
      <c r="D1856">
        <v>5</v>
      </c>
      <c r="E1856">
        <v>66742.41</v>
      </c>
      <c r="F1856">
        <v>62490.53</v>
      </c>
      <c r="G1856">
        <f>tblMoeHistory[[#This Row],[LEA State and Local Amount]]+tblMoeHistory[[#This Row],[ESD State and Local Amount]]</f>
        <v>129232.94</v>
      </c>
      <c r="H1856">
        <v>0</v>
      </c>
      <c r="I1856" t="s">
        <v>241</v>
      </c>
      <c r="J1856" s="44">
        <f>IFERROR(tblMoeHistory[[#This Row],[LEA State and Local Amount]]/tblMoeHistory[[#This Row],[Child Count]],0)</f>
        <v>13348.482</v>
      </c>
      <c r="K1856">
        <f>IFERROR(tblMoeHistory[[#This Row],[ESD State and Local Amount]]/tblMoeHistory[[#This Row],[Child Count]],0)</f>
        <v>12498.106</v>
      </c>
      <c r="L1856" s="1">
        <f>IFERROR(tblMoeHistory[[#This Row],[State and Local Total Amount]]/tblMoeHistory[[#This Row],[Child Count]],0)</f>
        <v>25846.588</v>
      </c>
      <c r="M1856">
        <v>0</v>
      </c>
      <c r="N1856" t="s">
        <v>241</v>
      </c>
      <c r="O1856">
        <v>17513.02</v>
      </c>
      <c r="P1856">
        <v>971.1</v>
      </c>
      <c r="Q1856">
        <f>tblMoeHistory[[#This Row],[Amount of IDEA Part B, Section 611 award]]+tblMoeHistory[[#This Row],[Amount of IDEA Part B, Section 619 award]]</f>
        <v>18484.12</v>
      </c>
      <c r="S1856">
        <v>0</v>
      </c>
      <c r="U18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6" t="str">
        <f>IF(OR(IFERROR(SEARCH("Met",tblMoeHistory[[#This Row],[State and Local Per Capita Result]]),0)&gt;0,IFERROR(SEARCH("Met",tblMoeHistory[[#This Row],[State and Local Total Result]]),0)&gt;0),"Met","Not Met")</f>
        <v>Met</v>
      </c>
    </row>
    <row r="1857" spans="1:22" x14ac:dyDescent="0.35">
      <c r="A1857" t="s">
        <v>104</v>
      </c>
      <c r="B1857">
        <v>2215</v>
      </c>
      <c r="C1857" t="s">
        <v>1537</v>
      </c>
      <c r="D1857">
        <v>42</v>
      </c>
      <c r="E1857">
        <v>233731.33</v>
      </c>
      <c r="F1857">
        <v>71293.710000000006</v>
      </c>
      <c r="G1857">
        <f>tblMoeHistory[[#This Row],[LEA State and Local Amount]]+tblMoeHistory[[#This Row],[ESD State and Local Amount]]</f>
        <v>305025.03999999998</v>
      </c>
      <c r="H1857">
        <v>0</v>
      </c>
      <c r="I1857" t="s">
        <v>242</v>
      </c>
      <c r="J1857" s="44">
        <f>IFERROR(tblMoeHistory[[#This Row],[LEA State and Local Amount]]/tblMoeHistory[[#This Row],[Child Count]],0)</f>
        <v>5565.0316666666668</v>
      </c>
      <c r="K1857">
        <f>IFERROR(tblMoeHistory[[#This Row],[ESD State and Local Amount]]/tblMoeHistory[[#This Row],[Child Count]],0)</f>
        <v>1697.4692857142859</v>
      </c>
      <c r="L1857" s="1">
        <f>IFERROR(tblMoeHistory[[#This Row],[State and Local Total Amount]]/tblMoeHistory[[#This Row],[Child Count]],0)</f>
        <v>7262.5009523809522</v>
      </c>
      <c r="M1857">
        <v>-11297.277499999998</v>
      </c>
      <c r="N1857" t="s">
        <v>240</v>
      </c>
      <c r="O1857">
        <v>60421.88</v>
      </c>
      <c r="P1857">
        <v>0</v>
      </c>
      <c r="Q1857">
        <f>tblMoeHistory[[#This Row],[Amount of IDEA Part B, Section 611 award]]+tblMoeHistory[[#This Row],[Amount of IDEA Part B, Section 619 award]]</f>
        <v>60421.88</v>
      </c>
      <c r="S1857">
        <v>35781.14</v>
      </c>
      <c r="T1857">
        <v>0</v>
      </c>
      <c r="U18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7" t="str">
        <f>IF(OR(IFERROR(SEARCH("Met",tblMoeHistory[[#This Row],[State and Local Per Capita Result]]),0)&gt;0,IFERROR(SEARCH("Met",tblMoeHistory[[#This Row],[State and Local Total Result]]),0)&gt;0),"Met","Not Met")</f>
        <v>Met</v>
      </c>
    </row>
    <row r="1858" spans="1:22" x14ac:dyDescent="0.35">
      <c r="A1858" t="s">
        <v>105</v>
      </c>
      <c r="B1858">
        <v>3997</v>
      </c>
      <c r="C1858" t="s">
        <v>1537</v>
      </c>
      <c r="D1858">
        <v>27</v>
      </c>
      <c r="E1858">
        <v>183894.2</v>
      </c>
      <c r="F1858">
        <v>45798.43</v>
      </c>
      <c r="G1858">
        <f>tblMoeHistory[[#This Row],[LEA State and Local Amount]]+tblMoeHistory[[#This Row],[ESD State and Local Amount]]</f>
        <v>229692.63</v>
      </c>
      <c r="H1858">
        <v>0</v>
      </c>
      <c r="I1858" t="s">
        <v>241</v>
      </c>
      <c r="J1858" s="44">
        <f>IFERROR(tblMoeHistory[[#This Row],[LEA State and Local Amount]]/tblMoeHistory[[#This Row],[Child Count]],0)</f>
        <v>6810.8962962962969</v>
      </c>
      <c r="K1858">
        <f>IFERROR(tblMoeHistory[[#This Row],[ESD State and Local Amount]]/tblMoeHistory[[#This Row],[Child Count]],0)</f>
        <v>1696.2381481481482</v>
      </c>
      <c r="L1858" s="1">
        <f>IFERROR(tblMoeHistory[[#This Row],[State and Local Total Amount]]/tblMoeHistory[[#This Row],[Child Count]],0)</f>
        <v>8507.1344444444439</v>
      </c>
      <c r="M1858">
        <v>-7817.8424999999952</v>
      </c>
      <c r="N1858" t="s">
        <v>240</v>
      </c>
      <c r="O1858">
        <v>23575.51</v>
      </c>
      <c r="P1858">
        <v>506.98</v>
      </c>
      <c r="Q1858">
        <f>tblMoeHistory[[#This Row],[Amount of IDEA Part B, Section 611 award]]+tblMoeHistory[[#This Row],[Amount of IDEA Part B, Section 619 award]]</f>
        <v>24082.489999999998</v>
      </c>
      <c r="S1858">
        <v>0</v>
      </c>
      <c r="T1858">
        <v>0</v>
      </c>
      <c r="U18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8" t="str">
        <f>IF(OR(IFERROR(SEARCH("Met",tblMoeHistory[[#This Row],[State and Local Per Capita Result]]),0)&gt;0,IFERROR(SEARCH("Met",tblMoeHistory[[#This Row],[State and Local Total Result]]),0)&gt;0),"Met","Not Met")</f>
        <v>Met</v>
      </c>
    </row>
    <row r="1859" spans="1:22" x14ac:dyDescent="0.35">
      <c r="A1859" t="s">
        <v>106</v>
      </c>
      <c r="B1859">
        <v>2053</v>
      </c>
      <c r="C1859" t="s">
        <v>1537</v>
      </c>
      <c r="D1859">
        <v>509</v>
      </c>
      <c r="E1859">
        <v>4773190.04</v>
      </c>
      <c r="F1859">
        <v>1187726.33</v>
      </c>
      <c r="G1859">
        <f>tblMoeHistory[[#This Row],[LEA State and Local Amount]]+tblMoeHistory[[#This Row],[ESD State and Local Amount]]</f>
        <v>5960916.3700000001</v>
      </c>
      <c r="H1859">
        <v>0</v>
      </c>
      <c r="I1859" t="s">
        <v>241</v>
      </c>
      <c r="J1859" s="44">
        <f>IFERROR(tblMoeHistory[[#This Row],[LEA State and Local Amount]]/tblMoeHistory[[#This Row],[Child Count]],0)</f>
        <v>9377.5835756385077</v>
      </c>
      <c r="K1859">
        <f>IFERROR(tblMoeHistory[[#This Row],[ESD State and Local Amount]]/tblMoeHistory[[#This Row],[Child Count]],0)</f>
        <v>2333.4505500982318</v>
      </c>
      <c r="L1859" s="1">
        <f>IFERROR(tblMoeHistory[[#This Row],[State and Local Total Amount]]/tblMoeHistory[[#This Row],[Child Count]],0)</f>
        <v>11711.034125736738</v>
      </c>
      <c r="M1859">
        <v>0</v>
      </c>
      <c r="N1859" t="s">
        <v>241</v>
      </c>
      <c r="O1859">
        <v>526882.65</v>
      </c>
      <c r="P1859">
        <v>9978.9500000000007</v>
      </c>
      <c r="Q1859">
        <f>tblMoeHistory[[#This Row],[Amount of IDEA Part B, Section 611 award]]+tblMoeHistory[[#This Row],[Amount of IDEA Part B, Section 619 award]]</f>
        <v>536861.6</v>
      </c>
      <c r="S1859">
        <v>0</v>
      </c>
      <c r="U18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9" t="str">
        <f>IF(OR(IFERROR(SEARCH("Met",tblMoeHistory[[#This Row],[State and Local Per Capita Result]]),0)&gt;0,IFERROR(SEARCH("Met",tblMoeHistory[[#This Row],[State and Local Total Result]]),0)&gt;0),"Met","Not Met")</f>
        <v>Met</v>
      </c>
    </row>
    <row r="1860" spans="1:22" x14ac:dyDescent="0.35">
      <c r="A1860" t="s">
        <v>107</v>
      </c>
      <c r="B1860">
        <v>2140</v>
      </c>
      <c r="C1860" t="s">
        <v>1537</v>
      </c>
      <c r="D1860">
        <v>144</v>
      </c>
      <c r="E1860">
        <v>1203202.58</v>
      </c>
      <c r="F1860">
        <v>180101.05</v>
      </c>
      <c r="G1860">
        <f>tblMoeHistory[[#This Row],[LEA State and Local Amount]]+tblMoeHistory[[#This Row],[ESD State and Local Amount]]</f>
        <v>1383303.6300000001</v>
      </c>
      <c r="H1860">
        <v>0</v>
      </c>
      <c r="I1860" t="s">
        <v>241</v>
      </c>
      <c r="J1860" s="44">
        <f>IFERROR(tblMoeHistory[[#This Row],[LEA State and Local Amount]]/tblMoeHistory[[#This Row],[Child Count]],0)</f>
        <v>8355.5734722222223</v>
      </c>
      <c r="K1860">
        <f>IFERROR(tblMoeHistory[[#This Row],[ESD State and Local Amount]]/tblMoeHistory[[#This Row],[Child Count]],0)</f>
        <v>1250.7017361111111</v>
      </c>
      <c r="L1860" s="1">
        <f>IFERROR(tblMoeHistory[[#This Row],[State and Local Total Amount]]/tblMoeHistory[[#This Row],[Child Count]],0)</f>
        <v>9606.2752083333344</v>
      </c>
      <c r="M1860">
        <v>-62339.074477611546</v>
      </c>
      <c r="N1860" t="s">
        <v>240</v>
      </c>
      <c r="O1860">
        <v>139140.07</v>
      </c>
      <c r="P1860">
        <v>508.38</v>
      </c>
      <c r="Q1860">
        <f>tblMoeHistory[[#This Row],[Amount of IDEA Part B, Section 611 award]]+tblMoeHistory[[#This Row],[Amount of IDEA Part B, Section 619 award]]</f>
        <v>139648.45000000001</v>
      </c>
      <c r="S1860">
        <v>0</v>
      </c>
      <c r="T1860">
        <v>0</v>
      </c>
      <c r="U18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0" t="str">
        <f>IF(OR(IFERROR(SEARCH("Met",tblMoeHistory[[#This Row],[State and Local Per Capita Result]]),0)&gt;0,IFERROR(SEARCH("Met",tblMoeHistory[[#This Row],[State and Local Total Result]]),0)&gt;0),"Met","Not Met")</f>
        <v>Met</v>
      </c>
    </row>
    <row r="1861" spans="1:22" x14ac:dyDescent="0.35">
      <c r="A1861" t="s">
        <v>108</v>
      </c>
      <c r="B1861">
        <v>1934</v>
      </c>
      <c r="C1861" t="s">
        <v>1537</v>
      </c>
      <c r="D1861">
        <v>31</v>
      </c>
      <c r="E1861">
        <v>320778.52</v>
      </c>
      <c r="F1861">
        <v>99718</v>
      </c>
      <c r="G1861">
        <f>tblMoeHistory[[#This Row],[LEA State and Local Amount]]+tblMoeHistory[[#This Row],[ESD State and Local Amount]]</f>
        <v>420496.52</v>
      </c>
      <c r="H1861">
        <v>0</v>
      </c>
      <c r="I1861" t="s">
        <v>241</v>
      </c>
      <c r="J1861" s="44">
        <f>IFERROR(tblMoeHistory[[#This Row],[LEA State and Local Amount]]/tblMoeHistory[[#This Row],[Child Count]],0)</f>
        <v>10347.694193548388</v>
      </c>
      <c r="K1861">
        <f>IFERROR(tblMoeHistory[[#This Row],[ESD State and Local Amount]]/tblMoeHistory[[#This Row],[Child Count]],0)</f>
        <v>3216.7096774193546</v>
      </c>
      <c r="L1861" s="1">
        <f>IFERROR(tblMoeHistory[[#This Row],[State and Local Total Amount]]/tblMoeHistory[[#This Row],[Child Count]],0)</f>
        <v>13564.403870967742</v>
      </c>
      <c r="M1861">
        <v>-259947.36266666665</v>
      </c>
      <c r="N1861" t="s">
        <v>240</v>
      </c>
      <c r="O1861">
        <v>27920.89</v>
      </c>
      <c r="P1861">
        <v>485.55</v>
      </c>
      <c r="Q1861">
        <f>tblMoeHistory[[#This Row],[Amount of IDEA Part B, Section 611 award]]+tblMoeHistory[[#This Row],[Amount of IDEA Part B, Section 619 award]]</f>
        <v>28406.44</v>
      </c>
      <c r="S1861">
        <v>0</v>
      </c>
      <c r="T1861">
        <v>0</v>
      </c>
      <c r="U18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1" t="str">
        <f>IF(OR(IFERROR(SEARCH("Met",tblMoeHistory[[#This Row],[State and Local Per Capita Result]]),0)&gt;0,IFERROR(SEARCH("Met",tblMoeHistory[[#This Row],[State and Local Total Result]]),0)&gt;0),"Met","Not Met")</f>
        <v>Met</v>
      </c>
    </row>
    <row r="1862" spans="1:22" x14ac:dyDescent="0.35">
      <c r="A1862" t="s">
        <v>109</v>
      </c>
      <c r="B1862">
        <v>2008</v>
      </c>
      <c r="C1862" t="s">
        <v>1537</v>
      </c>
      <c r="D1862">
        <v>85</v>
      </c>
      <c r="E1862">
        <v>960845.71</v>
      </c>
      <c r="F1862">
        <v>157514.87</v>
      </c>
      <c r="G1862">
        <f>tblMoeHistory[[#This Row],[LEA State and Local Amount]]+tblMoeHistory[[#This Row],[ESD State and Local Amount]]</f>
        <v>1118360.58</v>
      </c>
      <c r="H1862">
        <v>0</v>
      </c>
      <c r="I1862" t="s">
        <v>241</v>
      </c>
      <c r="J1862" s="44">
        <f>IFERROR(tblMoeHistory[[#This Row],[LEA State and Local Amount]]/tblMoeHistory[[#This Row],[Child Count]],0)</f>
        <v>11304.067176470588</v>
      </c>
      <c r="K1862">
        <f>IFERROR(tblMoeHistory[[#This Row],[ESD State and Local Amount]]/tblMoeHistory[[#This Row],[Child Count]],0)</f>
        <v>1853.1161176470587</v>
      </c>
      <c r="L1862" s="1">
        <f>IFERROR(tblMoeHistory[[#This Row],[State and Local Total Amount]]/tblMoeHistory[[#This Row],[Child Count]],0)</f>
        <v>13157.183294117647</v>
      </c>
      <c r="M1862">
        <v>-15193.521204819272</v>
      </c>
      <c r="N1862" t="s">
        <v>240</v>
      </c>
      <c r="O1862">
        <v>139330.57999999999</v>
      </c>
      <c r="P1862">
        <v>3427.87</v>
      </c>
      <c r="Q1862">
        <f>tblMoeHistory[[#This Row],[Amount of IDEA Part B, Section 611 award]]+tblMoeHistory[[#This Row],[Amount of IDEA Part B, Section 619 award]]</f>
        <v>142758.44999999998</v>
      </c>
      <c r="S1862">
        <v>0</v>
      </c>
      <c r="T1862">
        <v>0</v>
      </c>
      <c r="U18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2" t="str">
        <f>IF(OR(IFERROR(SEARCH("Met",tblMoeHistory[[#This Row],[State and Local Per Capita Result]]),0)&gt;0,IFERROR(SEARCH("Met",tblMoeHistory[[#This Row],[State and Local Total Result]]),0)&gt;0),"Met","Not Met")</f>
        <v>Met</v>
      </c>
    </row>
    <row r="1863" spans="1:22" x14ac:dyDescent="0.35">
      <c r="A1863" t="s">
        <v>110</v>
      </c>
      <c r="B1863">
        <v>2107</v>
      </c>
      <c r="C1863" t="s">
        <v>1537</v>
      </c>
      <c r="D1863">
        <v>3</v>
      </c>
      <c r="E1863">
        <v>50192.35</v>
      </c>
      <c r="F1863">
        <v>65514.44</v>
      </c>
      <c r="G1863">
        <f>tblMoeHistory[[#This Row],[LEA State and Local Amount]]+tblMoeHistory[[#This Row],[ESD State and Local Amount]]</f>
        <v>115706.79000000001</v>
      </c>
      <c r="H1863">
        <v>0</v>
      </c>
      <c r="I1863" t="s">
        <v>241</v>
      </c>
      <c r="J1863" s="44">
        <f>IFERROR(tblMoeHistory[[#This Row],[LEA State and Local Amount]]/tblMoeHistory[[#This Row],[Child Count]],0)</f>
        <v>16730.783333333333</v>
      </c>
      <c r="K1863">
        <f>IFERROR(tblMoeHistory[[#This Row],[ESD State and Local Amount]]/tblMoeHistory[[#This Row],[Child Count]],0)</f>
        <v>21838.146666666667</v>
      </c>
      <c r="L1863" s="1">
        <f>IFERROR(tblMoeHistory[[#This Row],[State and Local Total Amount]]/tblMoeHistory[[#This Row],[Child Count]],0)</f>
        <v>38568.93</v>
      </c>
      <c r="M1863">
        <v>0</v>
      </c>
      <c r="N1863" t="s">
        <v>241</v>
      </c>
      <c r="O1863">
        <v>15029.46</v>
      </c>
      <c r="P1863">
        <v>8.5</v>
      </c>
      <c r="Q1863">
        <f>tblMoeHistory[[#This Row],[Amount of IDEA Part B, Section 611 award]]+tblMoeHistory[[#This Row],[Amount of IDEA Part B, Section 619 award]]</f>
        <v>15037.96</v>
      </c>
      <c r="S1863">
        <v>0</v>
      </c>
      <c r="U18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3" t="str">
        <f>IF(OR(IFERROR(SEARCH("Met",tblMoeHistory[[#This Row],[State and Local Per Capita Result]]),0)&gt;0,IFERROR(SEARCH("Met",tblMoeHistory[[#This Row],[State and Local Total Result]]),0)&gt;0),"Met","Not Met")</f>
        <v>Met</v>
      </c>
    </row>
    <row r="1864" spans="1:22" x14ac:dyDescent="0.35">
      <c r="A1864" t="s">
        <v>111</v>
      </c>
      <c r="B1864">
        <v>2219</v>
      </c>
      <c r="C1864" t="s">
        <v>1537</v>
      </c>
      <c r="D1864">
        <v>31</v>
      </c>
      <c r="E1864">
        <v>148765.32</v>
      </c>
      <c r="F1864">
        <v>153951.26999999999</v>
      </c>
      <c r="G1864">
        <f>tblMoeHistory[[#This Row],[LEA State and Local Amount]]+tblMoeHistory[[#This Row],[ESD State and Local Amount]]</f>
        <v>302716.58999999997</v>
      </c>
      <c r="H1864">
        <v>0</v>
      </c>
      <c r="I1864" t="s">
        <v>241</v>
      </c>
      <c r="J1864" s="44">
        <f>IFERROR(tblMoeHistory[[#This Row],[LEA State and Local Amount]]/tblMoeHistory[[#This Row],[Child Count]],0)</f>
        <v>4798.8812903225808</v>
      </c>
      <c r="K1864">
        <f>IFERROR(tblMoeHistory[[#This Row],[ESD State and Local Amount]]/tblMoeHistory[[#This Row],[Child Count]],0)</f>
        <v>4966.17</v>
      </c>
      <c r="L1864" s="1">
        <f>IFERROR(tblMoeHistory[[#This Row],[State and Local Total Amount]]/tblMoeHistory[[#This Row],[Child Count]],0)</f>
        <v>9765.051290322579</v>
      </c>
      <c r="M1864">
        <v>-51577.772916666756</v>
      </c>
      <c r="N1864" t="s">
        <v>240</v>
      </c>
      <c r="O1864">
        <v>59141.68</v>
      </c>
      <c r="P1864">
        <v>971.1</v>
      </c>
      <c r="Q1864">
        <f>tblMoeHistory[[#This Row],[Amount of IDEA Part B, Section 611 award]]+tblMoeHistory[[#This Row],[Amount of IDEA Part B, Section 619 award]]</f>
        <v>60112.78</v>
      </c>
      <c r="S1864">
        <v>0</v>
      </c>
      <c r="T1864">
        <v>0</v>
      </c>
      <c r="U18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4" t="str">
        <f>IF(OR(IFERROR(SEARCH("Met",tblMoeHistory[[#This Row],[State and Local Per Capita Result]]),0)&gt;0,IFERROR(SEARCH("Met",tblMoeHistory[[#This Row],[State and Local Total Result]]),0)&gt;0),"Met","Not Met")</f>
        <v>Met</v>
      </c>
    </row>
    <row r="1865" spans="1:22" x14ac:dyDescent="0.35">
      <c r="A1865" t="s">
        <v>112</v>
      </c>
      <c r="B1865">
        <v>2091</v>
      </c>
      <c r="C1865" t="s">
        <v>1537</v>
      </c>
      <c r="D1865">
        <v>251</v>
      </c>
      <c r="E1865">
        <v>1926621.52</v>
      </c>
      <c r="F1865">
        <v>539735</v>
      </c>
      <c r="G1865">
        <f>tblMoeHistory[[#This Row],[LEA State and Local Amount]]+tblMoeHistory[[#This Row],[ESD State and Local Amount]]</f>
        <v>2466356.52</v>
      </c>
      <c r="H1865">
        <v>0</v>
      </c>
      <c r="I1865" t="s">
        <v>241</v>
      </c>
      <c r="J1865" s="44">
        <f>IFERROR(tblMoeHistory[[#This Row],[LEA State and Local Amount]]/tblMoeHistory[[#This Row],[Child Count]],0)</f>
        <v>7675.7829482071711</v>
      </c>
      <c r="K1865">
        <f>IFERROR(tblMoeHistory[[#This Row],[ESD State and Local Amount]]/tblMoeHistory[[#This Row],[Child Count]],0)</f>
        <v>2150.3386454183269</v>
      </c>
      <c r="L1865" s="1">
        <f>IFERROR(tblMoeHistory[[#This Row],[State and Local Total Amount]]/tblMoeHistory[[#This Row],[Child Count]],0)</f>
        <v>9826.1215936254976</v>
      </c>
      <c r="M1865">
        <v>0</v>
      </c>
      <c r="N1865" t="s">
        <v>241</v>
      </c>
      <c r="O1865">
        <v>284283.90999999997</v>
      </c>
      <c r="P1865">
        <v>8817.86</v>
      </c>
      <c r="Q1865">
        <f>tblMoeHistory[[#This Row],[Amount of IDEA Part B, Section 611 award]]+tblMoeHistory[[#This Row],[Amount of IDEA Part B, Section 619 award]]</f>
        <v>293101.76999999996</v>
      </c>
      <c r="S1865">
        <v>0</v>
      </c>
      <c r="U18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5" t="str">
        <f>IF(OR(IFERROR(SEARCH("Met",tblMoeHistory[[#This Row],[State and Local Per Capita Result]]),0)&gt;0,IFERROR(SEARCH("Met",tblMoeHistory[[#This Row],[State and Local Total Result]]),0)&gt;0),"Met","Not Met")</f>
        <v>Met</v>
      </c>
    </row>
    <row r="1866" spans="1:22" x14ac:dyDescent="0.35">
      <c r="A1866" t="s">
        <v>113</v>
      </c>
      <c r="B1866">
        <v>2109</v>
      </c>
      <c r="C1866" t="s">
        <v>1537</v>
      </c>
      <c r="D1866">
        <v>0</v>
      </c>
      <c r="E1866">
        <v>0</v>
      </c>
      <c r="F1866">
        <v>10981.25</v>
      </c>
      <c r="G1866">
        <f>tblMoeHistory[[#This Row],[LEA State and Local Amount]]+tblMoeHistory[[#This Row],[ESD State and Local Amount]]</f>
        <v>10981.25</v>
      </c>
      <c r="H1866">
        <v>0</v>
      </c>
      <c r="I1866" t="s">
        <v>241</v>
      </c>
      <c r="J1866" s="44">
        <f>IFERROR(tblMoeHistory[[#This Row],[LEA State and Local Amount]]/tblMoeHistory[[#This Row],[Child Count]],0)</f>
        <v>0</v>
      </c>
      <c r="K1866">
        <f>IFERROR(tblMoeHistory[[#This Row],[ESD State and Local Amount]]/tblMoeHistory[[#This Row],[Child Count]],0)</f>
        <v>0</v>
      </c>
      <c r="L1866" s="1">
        <f>IFERROR(tblMoeHistory[[#This Row],[State and Local Total Amount]]/tblMoeHistory[[#This Row],[Child Count]],0)</f>
        <v>0</v>
      </c>
      <c r="M1866">
        <v>0</v>
      </c>
      <c r="N1866" t="s">
        <v>241</v>
      </c>
      <c r="O1866">
        <v>226.29</v>
      </c>
      <c r="P1866">
        <v>0.44</v>
      </c>
      <c r="Q1866">
        <f>tblMoeHistory[[#This Row],[Amount of IDEA Part B, Section 611 award]]+tblMoeHistory[[#This Row],[Amount of IDEA Part B, Section 619 award]]</f>
        <v>226.73</v>
      </c>
      <c r="S1866">
        <v>0</v>
      </c>
      <c r="U18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6" t="str">
        <f>IF(OR(IFERROR(SEARCH("Met",tblMoeHistory[[#This Row],[State and Local Per Capita Result]]),0)&gt;0,IFERROR(SEARCH("Met",tblMoeHistory[[#This Row],[State and Local Total Result]]),0)&gt;0),"Met","Not Met")</f>
        <v>Met</v>
      </c>
    </row>
    <row r="1867" spans="1:22" x14ac:dyDescent="0.35">
      <c r="A1867" t="s">
        <v>114</v>
      </c>
      <c r="B1867">
        <v>2057</v>
      </c>
      <c r="C1867" t="s">
        <v>1537</v>
      </c>
      <c r="D1867">
        <v>934</v>
      </c>
      <c r="E1867">
        <v>8290182.4900000002</v>
      </c>
      <c r="F1867">
        <v>179445.34</v>
      </c>
      <c r="G1867">
        <f>tblMoeHistory[[#This Row],[LEA State and Local Amount]]+tblMoeHistory[[#This Row],[ESD State and Local Amount]]</f>
        <v>8469627.8300000001</v>
      </c>
      <c r="H1867">
        <v>0</v>
      </c>
      <c r="I1867" t="s">
        <v>241</v>
      </c>
      <c r="J1867" s="44">
        <f>IFERROR(tblMoeHistory[[#This Row],[LEA State and Local Amount]]/tblMoeHistory[[#This Row],[Child Count]],0)</f>
        <v>8875.998383297645</v>
      </c>
      <c r="K1867">
        <f>IFERROR(tblMoeHistory[[#This Row],[ESD State and Local Amount]]/tblMoeHistory[[#This Row],[Child Count]],0)</f>
        <v>192.12563169164881</v>
      </c>
      <c r="L1867" s="1">
        <f>IFERROR(tblMoeHistory[[#This Row],[State and Local Total Amount]]/tblMoeHistory[[#This Row],[Child Count]],0)</f>
        <v>9068.1240149892928</v>
      </c>
      <c r="M1867">
        <v>0</v>
      </c>
      <c r="N1867" t="s">
        <v>241</v>
      </c>
      <c r="O1867">
        <v>1293220.53</v>
      </c>
      <c r="P1867">
        <v>10334.36</v>
      </c>
      <c r="Q1867">
        <f>tblMoeHistory[[#This Row],[Amount of IDEA Part B, Section 611 award]]+tblMoeHistory[[#This Row],[Amount of IDEA Part B, Section 619 award]]</f>
        <v>1303554.8900000001</v>
      </c>
      <c r="S1867">
        <v>0</v>
      </c>
      <c r="U18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7" t="str">
        <f>IF(OR(IFERROR(SEARCH("Met",tblMoeHistory[[#This Row],[State and Local Per Capita Result]]),0)&gt;0,IFERROR(SEARCH("Met",tblMoeHistory[[#This Row],[State and Local Total Result]]),0)&gt;0),"Met","Not Met")</f>
        <v>Met</v>
      </c>
    </row>
    <row r="1868" spans="1:22" x14ac:dyDescent="0.35">
      <c r="A1868" t="s">
        <v>115</v>
      </c>
      <c r="B1868">
        <v>2056</v>
      </c>
      <c r="C1868" t="s">
        <v>1537</v>
      </c>
      <c r="D1868">
        <v>449</v>
      </c>
      <c r="E1868">
        <v>3312229.8</v>
      </c>
      <c r="F1868">
        <v>199494.52</v>
      </c>
      <c r="G1868">
        <f>tblMoeHistory[[#This Row],[LEA State and Local Amount]]+tblMoeHistory[[#This Row],[ESD State and Local Amount]]</f>
        <v>3511724.32</v>
      </c>
      <c r="H1868">
        <v>0</v>
      </c>
      <c r="I1868" t="s">
        <v>241</v>
      </c>
      <c r="J1868" s="44">
        <f>IFERROR(tblMoeHistory[[#This Row],[LEA State and Local Amount]]/tblMoeHistory[[#This Row],[Child Count]],0)</f>
        <v>7376.9037861915367</v>
      </c>
      <c r="K1868">
        <f>IFERROR(tblMoeHistory[[#This Row],[ESD State and Local Amount]]/tblMoeHistory[[#This Row],[Child Count]],0)</f>
        <v>444.30850779510018</v>
      </c>
      <c r="L1868" s="1">
        <f>IFERROR(tblMoeHistory[[#This Row],[State and Local Total Amount]]/tblMoeHistory[[#This Row],[Child Count]],0)</f>
        <v>7821.2122939866367</v>
      </c>
      <c r="M1868">
        <v>-357729.29481572512</v>
      </c>
      <c r="N1868" t="s">
        <v>240</v>
      </c>
      <c r="O1868">
        <v>605282.24</v>
      </c>
      <c r="P1868">
        <v>6986.85</v>
      </c>
      <c r="Q1868">
        <f>tblMoeHistory[[#This Row],[Amount of IDEA Part B, Section 611 award]]+tblMoeHistory[[#This Row],[Amount of IDEA Part B, Section 619 award]]</f>
        <v>612269.09</v>
      </c>
      <c r="S1868">
        <v>0</v>
      </c>
      <c r="T1868">
        <v>0</v>
      </c>
      <c r="U18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8" t="str">
        <f>IF(OR(IFERROR(SEARCH("Met",tblMoeHistory[[#This Row],[State and Local Per Capita Result]]),0)&gt;0,IFERROR(SEARCH("Met",tblMoeHistory[[#This Row],[State and Local Total Result]]),0)&gt;0),"Met","Not Met")</f>
        <v>Met</v>
      </c>
    </row>
    <row r="1869" spans="1:22" x14ac:dyDescent="0.35">
      <c r="A1869" t="s">
        <v>116</v>
      </c>
      <c r="B1869">
        <v>2262</v>
      </c>
      <c r="C1869" t="s">
        <v>1537</v>
      </c>
      <c r="D1869">
        <v>97</v>
      </c>
      <c r="E1869">
        <v>815702.27</v>
      </c>
      <c r="F1869">
        <v>50859</v>
      </c>
      <c r="G1869">
        <f>tblMoeHistory[[#This Row],[LEA State and Local Amount]]+tblMoeHistory[[#This Row],[ESD State and Local Amount]]</f>
        <v>866561.27</v>
      </c>
      <c r="H1869">
        <v>0</v>
      </c>
      <c r="I1869" t="s">
        <v>241</v>
      </c>
      <c r="J1869" s="44">
        <f>IFERROR(tblMoeHistory[[#This Row],[LEA State and Local Amount]]/tblMoeHistory[[#This Row],[Child Count]],0)</f>
        <v>8409.3017525773193</v>
      </c>
      <c r="K1869">
        <f>IFERROR(tblMoeHistory[[#This Row],[ESD State and Local Amount]]/tblMoeHistory[[#This Row],[Child Count]],0)</f>
        <v>524.31958762886597</v>
      </c>
      <c r="L1869" s="1">
        <f>IFERROR(tblMoeHistory[[#This Row],[State and Local Total Amount]]/tblMoeHistory[[#This Row],[Child Count]],0)</f>
        <v>8933.6213402061858</v>
      </c>
      <c r="M1869">
        <v>-22042.392499999907</v>
      </c>
      <c r="N1869" t="s">
        <v>240</v>
      </c>
      <c r="O1869">
        <v>82624.44</v>
      </c>
      <c r="P1869">
        <v>2472.13</v>
      </c>
      <c r="Q1869">
        <f>tblMoeHistory[[#This Row],[Amount of IDEA Part B, Section 611 award]]+tblMoeHistory[[#This Row],[Amount of IDEA Part B, Section 619 award]]</f>
        <v>85096.57</v>
      </c>
      <c r="S1869">
        <v>0</v>
      </c>
      <c r="T1869">
        <v>0</v>
      </c>
      <c r="U18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9" t="str">
        <f>IF(OR(IFERROR(SEARCH("Met",tblMoeHistory[[#This Row],[State and Local Per Capita Result]]),0)&gt;0,IFERROR(SEARCH("Met",tblMoeHistory[[#This Row],[State and Local Total Result]]),0)&gt;0),"Met","Not Met")</f>
        <v>Met</v>
      </c>
    </row>
    <row r="1870" spans="1:22" x14ac:dyDescent="0.35">
      <c r="A1870" t="s">
        <v>117</v>
      </c>
      <c r="B1870">
        <v>2212</v>
      </c>
      <c r="C1870" t="s">
        <v>1537</v>
      </c>
      <c r="D1870">
        <v>375</v>
      </c>
      <c r="E1870">
        <v>3214849.1</v>
      </c>
      <c r="F1870">
        <v>666381</v>
      </c>
      <c r="G1870">
        <f>tblMoeHistory[[#This Row],[LEA State and Local Amount]]+tblMoeHistory[[#This Row],[ESD State and Local Amount]]</f>
        <v>3881230.1</v>
      </c>
      <c r="H1870">
        <v>0</v>
      </c>
      <c r="I1870" t="s">
        <v>241</v>
      </c>
      <c r="J1870" s="44">
        <f>IFERROR(tblMoeHistory[[#This Row],[LEA State and Local Amount]]/tblMoeHistory[[#This Row],[Child Count]],0)</f>
        <v>8572.9309333333331</v>
      </c>
      <c r="K1870">
        <f>IFERROR(tblMoeHistory[[#This Row],[ESD State and Local Amount]]/tblMoeHistory[[#This Row],[Child Count]],0)</f>
        <v>1777.0160000000001</v>
      </c>
      <c r="L1870" s="1">
        <f>IFERROR(tblMoeHistory[[#This Row],[State and Local Total Amount]]/tblMoeHistory[[#This Row],[Child Count]],0)</f>
        <v>10349.946933333333</v>
      </c>
      <c r="M1870">
        <v>0</v>
      </c>
      <c r="N1870" t="s">
        <v>241</v>
      </c>
      <c r="O1870">
        <v>455021.38</v>
      </c>
      <c r="P1870">
        <v>5007.34</v>
      </c>
      <c r="Q1870">
        <f>tblMoeHistory[[#This Row],[Amount of IDEA Part B, Section 611 award]]+tblMoeHistory[[#This Row],[Amount of IDEA Part B, Section 619 award]]</f>
        <v>460028.72000000003</v>
      </c>
      <c r="S1870">
        <v>0</v>
      </c>
      <c r="U18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0" t="str">
        <f>IF(OR(IFERROR(SEARCH("Met",tblMoeHistory[[#This Row],[State and Local Per Capita Result]]),0)&gt;0,IFERROR(SEARCH("Met",tblMoeHistory[[#This Row],[State and Local Total Result]]),0)&gt;0),"Met","Not Met")</f>
        <v>Met</v>
      </c>
    </row>
    <row r="1871" spans="1:22" x14ac:dyDescent="0.35">
      <c r="A1871" t="s">
        <v>118</v>
      </c>
      <c r="B1871">
        <v>2059</v>
      </c>
      <c r="C1871" t="s">
        <v>1537</v>
      </c>
      <c r="D1871">
        <v>92</v>
      </c>
      <c r="E1871">
        <v>805916.88</v>
      </c>
      <c r="F1871">
        <v>309927.07</v>
      </c>
      <c r="G1871">
        <f>tblMoeHistory[[#This Row],[LEA State and Local Amount]]+tblMoeHistory[[#This Row],[ESD State and Local Amount]]</f>
        <v>1115843.95</v>
      </c>
      <c r="H1871">
        <v>0</v>
      </c>
      <c r="I1871" t="s">
        <v>241</v>
      </c>
      <c r="J1871" s="44">
        <f>IFERROR(tblMoeHistory[[#This Row],[LEA State and Local Amount]]/tblMoeHistory[[#This Row],[Child Count]],0)</f>
        <v>8759.9660869565214</v>
      </c>
      <c r="K1871">
        <f>IFERROR(tblMoeHistory[[#This Row],[ESD State and Local Amount]]/tblMoeHistory[[#This Row],[Child Count]],0)</f>
        <v>3368.7725</v>
      </c>
      <c r="L1871" s="1">
        <f>IFERROR(tblMoeHistory[[#This Row],[State and Local Total Amount]]/tblMoeHistory[[#This Row],[Child Count]],0)</f>
        <v>12128.738586956521</v>
      </c>
      <c r="M1871">
        <v>0</v>
      </c>
      <c r="N1871" t="s">
        <v>241</v>
      </c>
      <c r="O1871">
        <v>142973.54999999999</v>
      </c>
      <c r="P1871">
        <v>1528.22</v>
      </c>
      <c r="Q1871">
        <f>tblMoeHistory[[#This Row],[Amount of IDEA Part B, Section 611 award]]+tblMoeHistory[[#This Row],[Amount of IDEA Part B, Section 619 award]]</f>
        <v>144501.76999999999</v>
      </c>
      <c r="S1871">
        <v>0</v>
      </c>
      <c r="U18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1" t="str">
        <f>IF(OR(IFERROR(SEARCH("Met",tblMoeHistory[[#This Row],[State and Local Per Capita Result]]),0)&gt;0,IFERROR(SEARCH("Met",tblMoeHistory[[#This Row],[State and Local Total Result]]),0)&gt;0),"Met","Not Met")</f>
        <v>Met</v>
      </c>
    </row>
    <row r="1872" spans="1:22" x14ac:dyDescent="0.35">
      <c r="A1872" t="s">
        <v>119</v>
      </c>
      <c r="B1872">
        <v>1923</v>
      </c>
      <c r="C1872" t="s">
        <v>1537</v>
      </c>
      <c r="D1872">
        <v>688</v>
      </c>
      <c r="E1872">
        <v>14714109.619999999</v>
      </c>
      <c r="F1872">
        <v>213207</v>
      </c>
      <c r="G1872">
        <f>tblMoeHistory[[#This Row],[LEA State and Local Amount]]+tblMoeHistory[[#This Row],[ESD State and Local Amount]]</f>
        <v>14927316.619999999</v>
      </c>
      <c r="H1872">
        <v>0</v>
      </c>
      <c r="I1872" t="s">
        <v>241</v>
      </c>
      <c r="J1872" s="44">
        <f>IFERROR(tblMoeHistory[[#This Row],[LEA State and Local Amount]]/tblMoeHistory[[#This Row],[Child Count]],0)</f>
        <v>21386.787238372093</v>
      </c>
      <c r="K1872">
        <f>IFERROR(tblMoeHistory[[#This Row],[ESD State and Local Amount]]/tblMoeHistory[[#This Row],[Child Count]],0)</f>
        <v>309.89389534883719</v>
      </c>
      <c r="L1872" s="1">
        <f>IFERROR(tblMoeHistory[[#This Row],[State and Local Total Amount]]/tblMoeHistory[[#This Row],[Child Count]],0)</f>
        <v>21696.681133720929</v>
      </c>
      <c r="M1872">
        <v>0</v>
      </c>
      <c r="N1872" t="s">
        <v>241</v>
      </c>
      <c r="O1872">
        <v>1068372.97</v>
      </c>
      <c r="P1872">
        <v>5096.0200000000004</v>
      </c>
      <c r="Q1872">
        <f>tblMoeHistory[[#This Row],[Amount of IDEA Part B, Section 611 award]]+tblMoeHistory[[#This Row],[Amount of IDEA Part B, Section 619 award]]</f>
        <v>1073468.99</v>
      </c>
      <c r="S1872">
        <v>0</v>
      </c>
      <c r="U18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2" t="str">
        <f>IF(OR(IFERROR(SEARCH("Met",tblMoeHistory[[#This Row],[State and Local Per Capita Result]]),0)&gt;0,IFERROR(SEARCH("Met",tblMoeHistory[[#This Row],[State and Local Total Result]]),0)&gt;0),"Met","Not Met")</f>
        <v>Met</v>
      </c>
    </row>
    <row r="1873" spans="1:22" x14ac:dyDescent="0.35">
      <c r="A1873" t="s">
        <v>120</v>
      </c>
      <c r="B1873">
        <v>2101</v>
      </c>
      <c r="C1873" t="s">
        <v>1537</v>
      </c>
      <c r="D1873">
        <v>678</v>
      </c>
      <c r="E1873">
        <v>6259305.4199999999</v>
      </c>
      <c r="F1873">
        <v>968958</v>
      </c>
      <c r="G1873">
        <f>tblMoeHistory[[#This Row],[LEA State and Local Amount]]+tblMoeHistory[[#This Row],[ESD State and Local Amount]]</f>
        <v>7228263.4199999999</v>
      </c>
      <c r="H1873">
        <v>0</v>
      </c>
      <c r="I1873" t="s">
        <v>241</v>
      </c>
      <c r="J1873" s="44">
        <f>IFERROR(tblMoeHistory[[#This Row],[LEA State and Local Amount]]/tblMoeHistory[[#This Row],[Child Count]],0)</f>
        <v>9232.0138938053096</v>
      </c>
      <c r="K1873">
        <f>IFERROR(tblMoeHistory[[#This Row],[ESD State and Local Amount]]/tblMoeHistory[[#This Row],[Child Count]],0)</f>
        <v>1429.141592920354</v>
      </c>
      <c r="L1873" s="1">
        <f>IFERROR(tblMoeHistory[[#This Row],[State and Local Total Amount]]/tblMoeHistory[[#This Row],[Child Count]],0)</f>
        <v>10661.155486725664</v>
      </c>
      <c r="M1873">
        <v>0</v>
      </c>
      <c r="N1873" t="s">
        <v>241</v>
      </c>
      <c r="O1873">
        <v>774988.41</v>
      </c>
      <c r="P1873">
        <v>2232.38</v>
      </c>
      <c r="Q1873">
        <f>tblMoeHistory[[#This Row],[Amount of IDEA Part B, Section 611 award]]+tblMoeHistory[[#This Row],[Amount of IDEA Part B, Section 619 award]]</f>
        <v>777220.79</v>
      </c>
      <c r="S1873">
        <v>0</v>
      </c>
      <c r="U18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3" t="str">
        <f>IF(OR(IFERROR(SEARCH("Met",tblMoeHistory[[#This Row],[State and Local Per Capita Result]]),0)&gt;0,IFERROR(SEARCH("Met",tblMoeHistory[[#This Row],[State and Local Total Result]]),0)&gt;0),"Met","Not Met")</f>
        <v>Met</v>
      </c>
    </row>
    <row r="1874" spans="1:22" x14ac:dyDescent="0.35">
      <c r="A1874" t="s">
        <v>121</v>
      </c>
      <c r="B1874">
        <v>2097</v>
      </c>
      <c r="C1874" t="s">
        <v>1537</v>
      </c>
      <c r="D1874">
        <v>847</v>
      </c>
      <c r="E1874">
        <v>7507771.96</v>
      </c>
      <c r="F1874">
        <v>1147938</v>
      </c>
      <c r="G1874">
        <f>tblMoeHistory[[#This Row],[LEA State and Local Amount]]+tblMoeHistory[[#This Row],[ESD State and Local Amount]]</f>
        <v>8655709.9600000009</v>
      </c>
      <c r="H1874">
        <v>0</v>
      </c>
      <c r="I1874" t="s">
        <v>241</v>
      </c>
      <c r="J1874" s="44">
        <f>IFERROR(tblMoeHistory[[#This Row],[LEA State and Local Amount]]/tblMoeHistory[[#This Row],[Child Count]],0)</f>
        <v>8863.9574498229049</v>
      </c>
      <c r="K1874">
        <f>IFERROR(tblMoeHistory[[#This Row],[ESD State and Local Amount]]/tblMoeHistory[[#This Row],[Child Count]],0)</f>
        <v>1355.2987012987012</v>
      </c>
      <c r="L1874" s="1">
        <f>IFERROR(tblMoeHistory[[#This Row],[State and Local Total Amount]]/tblMoeHistory[[#This Row],[Child Count]],0)</f>
        <v>10219.256151121606</v>
      </c>
      <c r="M1874">
        <v>-138542.10815977104</v>
      </c>
      <c r="N1874" t="s">
        <v>240</v>
      </c>
      <c r="O1874">
        <v>1006523.86</v>
      </c>
      <c r="P1874">
        <v>13524.84</v>
      </c>
      <c r="Q1874">
        <f>tblMoeHistory[[#This Row],[Amount of IDEA Part B, Section 611 award]]+tblMoeHistory[[#This Row],[Amount of IDEA Part B, Section 619 award]]</f>
        <v>1020048.7</v>
      </c>
      <c r="S1874">
        <v>0</v>
      </c>
      <c r="T1874">
        <v>0</v>
      </c>
      <c r="U18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4" t="str">
        <f>IF(OR(IFERROR(SEARCH("Met",tblMoeHistory[[#This Row],[State and Local Per Capita Result]]),0)&gt;0,IFERROR(SEARCH("Met",tblMoeHistory[[#This Row],[State and Local Total Result]]),0)&gt;0),"Met","Not Met")</f>
        <v>Met</v>
      </c>
    </row>
    <row r="1875" spans="1:22" x14ac:dyDescent="0.35">
      <c r="A1875" t="s">
        <v>122</v>
      </c>
      <c r="B1875">
        <v>2012</v>
      </c>
      <c r="C1875" t="s">
        <v>1537</v>
      </c>
      <c r="D1875">
        <v>3</v>
      </c>
      <c r="E1875">
        <v>16978.2</v>
      </c>
      <c r="F1875">
        <v>57665.23</v>
      </c>
      <c r="G1875">
        <f>tblMoeHistory[[#This Row],[LEA State and Local Amount]]+tblMoeHistory[[#This Row],[ESD State and Local Amount]]</f>
        <v>74643.430000000008</v>
      </c>
      <c r="H1875">
        <v>0</v>
      </c>
      <c r="I1875" t="s">
        <v>242</v>
      </c>
      <c r="J1875" s="44">
        <f>IFERROR(tblMoeHistory[[#This Row],[LEA State and Local Amount]]/tblMoeHistory[[#This Row],[Child Count]],0)</f>
        <v>5659.4000000000005</v>
      </c>
      <c r="K1875">
        <f>IFERROR(tblMoeHistory[[#This Row],[ESD State and Local Amount]]/tblMoeHistory[[#This Row],[Child Count]],0)</f>
        <v>19221.743333333336</v>
      </c>
      <c r="L1875" s="1">
        <f>IFERROR(tblMoeHistory[[#This Row],[State and Local Total Amount]]/tblMoeHistory[[#This Row],[Child Count]],0)</f>
        <v>24881.143333333337</v>
      </c>
      <c r="M1875">
        <v>0</v>
      </c>
      <c r="N1875" t="s">
        <v>242</v>
      </c>
      <c r="O1875">
        <v>5817.13</v>
      </c>
      <c r="P1875">
        <v>0</v>
      </c>
      <c r="Q1875">
        <f>tblMoeHistory[[#This Row],[Amount of IDEA Part B, Section 611 award]]+tblMoeHistory[[#This Row],[Amount of IDEA Part B, Section 619 award]]</f>
        <v>5817.13</v>
      </c>
      <c r="S1875">
        <v>30325.824000000001</v>
      </c>
      <c r="T1875">
        <v>27584.91</v>
      </c>
      <c r="U18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5" t="str">
        <f>IF(OR(IFERROR(SEARCH("Met",tblMoeHistory[[#This Row],[State and Local Per Capita Result]]),0)&gt;0,IFERROR(SEARCH("Met",tblMoeHistory[[#This Row],[State and Local Total Result]]),0)&gt;0),"Met","Not Met")</f>
        <v>Met</v>
      </c>
    </row>
    <row r="1876" spans="1:22" x14ac:dyDescent="0.35">
      <c r="A1876" t="s">
        <v>123</v>
      </c>
      <c r="B1876">
        <v>2092</v>
      </c>
      <c r="C1876" t="s">
        <v>1537</v>
      </c>
      <c r="D1876">
        <v>90</v>
      </c>
      <c r="E1876">
        <v>606796.39</v>
      </c>
      <c r="F1876">
        <v>232317</v>
      </c>
      <c r="G1876">
        <f>tblMoeHistory[[#This Row],[LEA State and Local Amount]]+tblMoeHistory[[#This Row],[ESD State and Local Amount]]</f>
        <v>839113.39</v>
      </c>
      <c r="H1876">
        <v>0</v>
      </c>
      <c r="I1876" t="s">
        <v>241</v>
      </c>
      <c r="J1876" s="44">
        <f>IFERROR(tblMoeHistory[[#This Row],[LEA State and Local Amount]]/tblMoeHistory[[#This Row],[Child Count]],0)</f>
        <v>6742.1821111111112</v>
      </c>
      <c r="K1876">
        <f>IFERROR(tblMoeHistory[[#This Row],[ESD State and Local Amount]]/tblMoeHistory[[#This Row],[Child Count]],0)</f>
        <v>2581.3000000000002</v>
      </c>
      <c r="L1876" s="1">
        <f>IFERROR(tblMoeHistory[[#This Row],[State and Local Total Amount]]/tblMoeHistory[[#This Row],[Child Count]],0)</f>
        <v>9323.4821111111105</v>
      </c>
      <c r="M1876">
        <v>-128533.33322317795</v>
      </c>
      <c r="N1876" t="s">
        <v>240</v>
      </c>
      <c r="O1876">
        <v>126348.6</v>
      </c>
      <c r="P1876">
        <v>522.65</v>
      </c>
      <c r="Q1876">
        <f>tblMoeHistory[[#This Row],[Amount of IDEA Part B, Section 611 award]]+tblMoeHistory[[#This Row],[Amount of IDEA Part B, Section 619 award]]</f>
        <v>126871.25</v>
      </c>
      <c r="S1876">
        <v>0</v>
      </c>
      <c r="T1876">
        <v>901.8</v>
      </c>
      <c r="U18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6" t="str">
        <f>IF(OR(IFERROR(SEARCH("Met",tblMoeHistory[[#This Row],[State and Local Per Capita Result]]),0)&gt;0,IFERROR(SEARCH("Met",tblMoeHistory[[#This Row],[State and Local Total Result]]),0)&gt;0),"Met","Not Met")</f>
        <v>Met</v>
      </c>
    </row>
    <row r="1877" spans="1:22" x14ac:dyDescent="0.35">
      <c r="A1877" t="s">
        <v>124</v>
      </c>
      <c r="B1877">
        <v>2112</v>
      </c>
      <c r="C1877" t="s">
        <v>1537</v>
      </c>
      <c r="D1877">
        <v>0</v>
      </c>
      <c r="E1877">
        <v>0</v>
      </c>
      <c r="F1877">
        <v>934.84</v>
      </c>
      <c r="G1877">
        <f>tblMoeHistory[[#This Row],[LEA State and Local Amount]]+tblMoeHistory[[#This Row],[ESD State and Local Amount]]</f>
        <v>934.84</v>
      </c>
      <c r="H1877">
        <v>-1403.0699999999997</v>
      </c>
      <c r="I1877" t="s">
        <v>240</v>
      </c>
      <c r="J1877" s="44">
        <f>IFERROR(tblMoeHistory[[#This Row],[LEA State and Local Amount]]/tblMoeHistory[[#This Row],[Child Count]],0)</f>
        <v>0</v>
      </c>
      <c r="K1877">
        <f>IFERROR(tblMoeHistory[[#This Row],[ESD State and Local Amount]]/tblMoeHistory[[#This Row],[Child Count]],0)</f>
        <v>0</v>
      </c>
      <c r="L1877" s="1">
        <f>IFERROR(tblMoeHistory[[#This Row],[State and Local Total Amount]]/tblMoeHistory[[#This Row],[Child Count]],0)</f>
        <v>0</v>
      </c>
      <c r="M1877">
        <v>0</v>
      </c>
      <c r="N1877" t="s">
        <v>241</v>
      </c>
      <c r="O1877">
        <v>417.89</v>
      </c>
      <c r="P1877">
        <v>0.82</v>
      </c>
      <c r="Q1877">
        <f>tblMoeHistory[[#This Row],[Amount of IDEA Part B, Section 611 award]]+tblMoeHistory[[#This Row],[Amount of IDEA Part B, Section 619 award]]</f>
        <v>418.71</v>
      </c>
      <c r="S1877">
        <v>0</v>
      </c>
      <c r="U18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7" t="str">
        <f>IF(OR(IFERROR(SEARCH("Met",tblMoeHistory[[#This Row],[State and Local Per Capita Result]]),0)&gt;0,IFERROR(SEARCH("Met",tblMoeHistory[[#This Row],[State and Local Total Result]]),0)&gt;0),"Met","Not Met")</f>
        <v>Met</v>
      </c>
    </row>
    <row r="1878" spans="1:22" x14ac:dyDescent="0.35">
      <c r="A1878" t="s">
        <v>125</v>
      </c>
      <c r="B1878">
        <v>2085</v>
      </c>
      <c r="C1878" t="s">
        <v>1537</v>
      </c>
      <c r="D1878">
        <v>28</v>
      </c>
      <c r="E1878">
        <v>252986.59</v>
      </c>
      <c r="F1878">
        <v>50554</v>
      </c>
      <c r="G1878">
        <f>tblMoeHistory[[#This Row],[LEA State and Local Amount]]+tblMoeHistory[[#This Row],[ESD State and Local Amount]]</f>
        <v>303540.58999999997</v>
      </c>
      <c r="H1878">
        <v>-6301.6199999999953</v>
      </c>
      <c r="I1878" t="s">
        <v>240</v>
      </c>
      <c r="J1878" s="44">
        <f>IFERROR(tblMoeHistory[[#This Row],[LEA State and Local Amount]]/tblMoeHistory[[#This Row],[Child Count]],0)</f>
        <v>9035.2353571428575</v>
      </c>
      <c r="K1878">
        <f>IFERROR(tblMoeHistory[[#This Row],[ESD State and Local Amount]]/tblMoeHistory[[#This Row],[Child Count]],0)</f>
        <v>1805.5</v>
      </c>
      <c r="L1878" s="1">
        <f>IFERROR(tblMoeHistory[[#This Row],[State and Local Total Amount]]/tblMoeHistory[[#This Row],[Child Count]],0)</f>
        <v>10840.735357142856</v>
      </c>
      <c r="M1878">
        <v>-209953.5039130435</v>
      </c>
      <c r="N1878" t="s">
        <v>240</v>
      </c>
      <c r="O1878">
        <v>53060.7</v>
      </c>
      <c r="P1878">
        <v>20.350000000000001</v>
      </c>
      <c r="Q1878">
        <f>tblMoeHistory[[#This Row],[Amount of IDEA Part B, Section 611 award]]+tblMoeHistory[[#This Row],[Amount of IDEA Part B, Section 619 award]]</f>
        <v>53081.049999999996</v>
      </c>
      <c r="S1878">
        <v>0</v>
      </c>
      <c r="T1878">
        <v>6895.3</v>
      </c>
      <c r="U18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6301.6199999999953</v>
      </c>
      <c r="V1878" t="str">
        <f>IF(OR(IFERROR(SEARCH("Met",tblMoeHistory[[#This Row],[State and Local Per Capita Result]]),0)&gt;0,IFERROR(SEARCH("Met",tblMoeHistory[[#This Row],[State and Local Total Result]]),0)&gt;0),"Met","Not Met")</f>
        <v>Not Met</v>
      </c>
    </row>
    <row r="1879" spans="1:22" x14ac:dyDescent="0.35">
      <c r="A1879" t="s">
        <v>126</v>
      </c>
      <c r="B1879">
        <v>2094</v>
      </c>
      <c r="C1879" t="s">
        <v>1537</v>
      </c>
      <c r="D1879">
        <v>53</v>
      </c>
      <c r="E1879">
        <v>531804.44999999995</v>
      </c>
      <c r="F1879">
        <v>111462</v>
      </c>
      <c r="G1879">
        <f>tblMoeHistory[[#This Row],[LEA State and Local Amount]]+tblMoeHistory[[#This Row],[ESD State and Local Amount]]</f>
        <v>643266.44999999995</v>
      </c>
      <c r="H1879">
        <v>0</v>
      </c>
      <c r="I1879" t="s">
        <v>242</v>
      </c>
      <c r="J1879" s="44">
        <f>IFERROR(tblMoeHistory[[#This Row],[LEA State and Local Amount]]/tblMoeHistory[[#This Row],[Child Count]],0)</f>
        <v>10034.046226415094</v>
      </c>
      <c r="K1879">
        <f>IFERROR(tblMoeHistory[[#This Row],[ESD State and Local Amount]]/tblMoeHistory[[#This Row],[Child Count]],0)</f>
        <v>2103.0566037735848</v>
      </c>
      <c r="L1879" s="1">
        <f>IFERROR(tblMoeHistory[[#This Row],[State and Local Total Amount]]/tblMoeHistory[[#This Row],[Child Count]],0)</f>
        <v>12137.102830188678</v>
      </c>
      <c r="M1879">
        <v>0</v>
      </c>
      <c r="N1879" t="s">
        <v>241</v>
      </c>
      <c r="O1879">
        <v>54582.71</v>
      </c>
      <c r="P1879">
        <v>508.42</v>
      </c>
      <c r="Q1879">
        <f>tblMoeHistory[[#This Row],[Amount of IDEA Part B, Section 611 award]]+tblMoeHistory[[#This Row],[Amount of IDEA Part B, Section 619 award]]</f>
        <v>55091.13</v>
      </c>
      <c r="S1879">
        <v>34631.972678571423</v>
      </c>
      <c r="U18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9" t="str">
        <f>IF(OR(IFERROR(SEARCH("Met",tblMoeHistory[[#This Row],[State and Local Per Capita Result]]),0)&gt;0,IFERROR(SEARCH("Met",tblMoeHistory[[#This Row],[State and Local Total Result]]),0)&gt;0),"Met","Not Met")</f>
        <v>Met</v>
      </c>
    </row>
    <row r="1880" spans="1:22" x14ac:dyDescent="0.35">
      <c r="A1880" t="s">
        <v>127</v>
      </c>
      <c r="B1880">
        <v>2090</v>
      </c>
      <c r="C1880" t="s">
        <v>1537</v>
      </c>
      <c r="D1880">
        <v>34</v>
      </c>
      <c r="E1880">
        <v>552878.15</v>
      </c>
      <c r="F1880">
        <v>106736</v>
      </c>
      <c r="G1880">
        <f>tblMoeHistory[[#This Row],[LEA State and Local Amount]]+tblMoeHistory[[#This Row],[ESD State and Local Amount]]</f>
        <v>659614.15</v>
      </c>
      <c r="H1880">
        <v>0</v>
      </c>
      <c r="I1880" t="s">
        <v>241</v>
      </c>
      <c r="J1880" s="44">
        <f>IFERROR(tblMoeHistory[[#This Row],[LEA State and Local Amount]]/tblMoeHistory[[#This Row],[Child Count]],0)</f>
        <v>16261.12205882353</v>
      </c>
      <c r="K1880">
        <f>IFERROR(tblMoeHistory[[#This Row],[ESD State and Local Amount]]/tblMoeHistory[[#This Row],[Child Count]],0)</f>
        <v>3139.294117647059</v>
      </c>
      <c r="L1880" s="1">
        <f>IFERROR(tblMoeHistory[[#This Row],[State and Local Total Amount]]/tblMoeHistory[[#This Row],[Child Count]],0)</f>
        <v>19400.41617647059</v>
      </c>
      <c r="M1880">
        <v>0</v>
      </c>
      <c r="N1880" t="s">
        <v>241</v>
      </c>
      <c r="O1880">
        <v>41059.35</v>
      </c>
      <c r="P1880">
        <v>8.15</v>
      </c>
      <c r="Q1880">
        <f>tblMoeHistory[[#This Row],[Amount of IDEA Part B, Section 611 award]]+tblMoeHistory[[#This Row],[Amount of IDEA Part B, Section 619 award]]</f>
        <v>41067.5</v>
      </c>
      <c r="S1880">
        <v>0</v>
      </c>
      <c r="U18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0" t="str">
        <f>IF(OR(IFERROR(SEARCH("Met",tblMoeHistory[[#This Row],[State and Local Per Capita Result]]),0)&gt;0,IFERROR(SEARCH("Met",tblMoeHistory[[#This Row],[State and Local Total Result]]),0)&gt;0),"Met","Not Met")</f>
        <v>Met</v>
      </c>
    </row>
    <row r="1881" spans="1:22" x14ac:dyDescent="0.35">
      <c r="A1881" t="s">
        <v>128</v>
      </c>
      <c r="B1881">
        <v>2256</v>
      </c>
      <c r="C1881" t="s">
        <v>1537</v>
      </c>
      <c r="D1881">
        <v>895</v>
      </c>
      <c r="E1881">
        <v>7815598.1399999997</v>
      </c>
      <c r="F1881">
        <v>501857.67</v>
      </c>
      <c r="G1881">
        <f>tblMoeHistory[[#This Row],[LEA State and Local Amount]]+tblMoeHistory[[#This Row],[ESD State and Local Amount]]</f>
        <v>8317455.8099999996</v>
      </c>
      <c r="H1881">
        <v>0</v>
      </c>
      <c r="I1881" t="s">
        <v>241</v>
      </c>
      <c r="J1881" s="44">
        <f>IFERROR(tblMoeHistory[[#This Row],[LEA State and Local Amount]]/tblMoeHistory[[#This Row],[Child Count]],0)</f>
        <v>8732.5118882681563</v>
      </c>
      <c r="K1881">
        <f>IFERROR(tblMoeHistory[[#This Row],[ESD State and Local Amount]]/tblMoeHistory[[#This Row],[Child Count]],0)</f>
        <v>560.73482681564246</v>
      </c>
      <c r="L1881" s="1">
        <f>IFERROR(tblMoeHistory[[#This Row],[State and Local Total Amount]]/tblMoeHistory[[#This Row],[Child Count]],0)</f>
        <v>9293.2467150837983</v>
      </c>
      <c r="M1881">
        <v>-203216.26134220156</v>
      </c>
      <c r="N1881" t="s">
        <v>240</v>
      </c>
      <c r="O1881">
        <v>991590.73</v>
      </c>
      <c r="P1881">
        <v>7730.35</v>
      </c>
      <c r="Q1881">
        <f>tblMoeHistory[[#This Row],[Amount of IDEA Part B, Section 611 award]]+tblMoeHistory[[#This Row],[Amount of IDEA Part B, Section 619 award]]</f>
        <v>999321.08</v>
      </c>
      <c r="S1881">
        <v>0</v>
      </c>
      <c r="T1881">
        <v>0</v>
      </c>
      <c r="U18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1" t="str">
        <f>IF(OR(IFERROR(SEARCH("Met",tblMoeHistory[[#This Row],[State and Local Per Capita Result]]),0)&gt;0,IFERROR(SEARCH("Met",tblMoeHistory[[#This Row],[State and Local Total Result]]),0)&gt;0),"Met","Not Met")</f>
        <v>Met</v>
      </c>
    </row>
    <row r="1882" spans="1:22" x14ac:dyDescent="0.35">
      <c r="A1882" t="s">
        <v>129</v>
      </c>
      <c r="B1882">
        <v>2048</v>
      </c>
      <c r="C1882" t="s">
        <v>1537</v>
      </c>
      <c r="D1882">
        <v>2192</v>
      </c>
      <c r="E1882">
        <v>17703238.199999999</v>
      </c>
      <c r="F1882">
        <v>1580269.55</v>
      </c>
      <c r="G1882">
        <f>tblMoeHistory[[#This Row],[LEA State and Local Amount]]+tblMoeHistory[[#This Row],[ESD State and Local Amount]]</f>
        <v>19283507.75</v>
      </c>
      <c r="H1882">
        <v>0</v>
      </c>
      <c r="I1882" t="s">
        <v>241</v>
      </c>
      <c r="J1882" s="44">
        <f>IFERROR(tblMoeHistory[[#This Row],[LEA State and Local Amount]]/tblMoeHistory[[#This Row],[Child Count]],0)</f>
        <v>8076.2947992700729</v>
      </c>
      <c r="K1882">
        <f>IFERROR(tblMoeHistory[[#This Row],[ESD State and Local Amount]]/tblMoeHistory[[#This Row],[Child Count]],0)</f>
        <v>720.92588959854015</v>
      </c>
      <c r="L1882" s="1">
        <f>IFERROR(tblMoeHistory[[#This Row],[State and Local Total Amount]]/tblMoeHistory[[#This Row],[Child Count]],0)</f>
        <v>8797.2206888686123</v>
      </c>
      <c r="M1882">
        <v>0</v>
      </c>
      <c r="N1882" t="s">
        <v>241</v>
      </c>
      <c r="O1882">
        <v>2151114.6800000002</v>
      </c>
      <c r="P1882">
        <v>24261.27</v>
      </c>
      <c r="Q1882">
        <f>tblMoeHistory[[#This Row],[Amount of IDEA Part B, Section 611 award]]+tblMoeHistory[[#This Row],[Amount of IDEA Part B, Section 619 award]]</f>
        <v>2175375.9500000002</v>
      </c>
      <c r="S1882">
        <v>0</v>
      </c>
      <c r="U18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2" t="str">
        <f>IF(OR(IFERROR(SEARCH("Met",tblMoeHistory[[#This Row],[State and Local Per Capita Result]]),0)&gt;0,IFERROR(SEARCH("Met",tblMoeHistory[[#This Row],[State and Local Total Result]]),0)&gt;0),"Met","Not Met")</f>
        <v>Met</v>
      </c>
    </row>
    <row r="1883" spans="1:22" x14ac:dyDescent="0.35">
      <c r="A1883" t="s">
        <v>130</v>
      </c>
      <c r="B1883">
        <v>2205</v>
      </c>
      <c r="C1883" t="s">
        <v>1537</v>
      </c>
      <c r="D1883">
        <v>211</v>
      </c>
      <c r="E1883">
        <v>1801463.1</v>
      </c>
      <c r="F1883">
        <v>350858.51</v>
      </c>
      <c r="G1883">
        <f>tblMoeHistory[[#This Row],[LEA State and Local Amount]]+tblMoeHistory[[#This Row],[ESD State and Local Amount]]</f>
        <v>2152321.6100000003</v>
      </c>
      <c r="H1883">
        <v>0</v>
      </c>
      <c r="I1883" t="s">
        <v>241</v>
      </c>
      <c r="J1883" s="44">
        <f>IFERROR(tblMoeHistory[[#This Row],[LEA State and Local Amount]]/tblMoeHistory[[#This Row],[Child Count]],0)</f>
        <v>8537.7398104265412</v>
      </c>
      <c r="K1883">
        <f>IFERROR(tblMoeHistory[[#This Row],[ESD State and Local Amount]]/tblMoeHistory[[#This Row],[Child Count]],0)</f>
        <v>1662.8365402843601</v>
      </c>
      <c r="L1883" s="1">
        <f>IFERROR(tblMoeHistory[[#This Row],[State and Local Total Amount]]/tblMoeHistory[[#This Row],[Child Count]],0)</f>
        <v>10200.576350710902</v>
      </c>
      <c r="M1883">
        <v>0</v>
      </c>
      <c r="N1883" t="s">
        <v>241</v>
      </c>
      <c r="O1883">
        <v>284130.25</v>
      </c>
      <c r="P1883">
        <v>3031.97</v>
      </c>
      <c r="Q1883">
        <f>tblMoeHistory[[#This Row],[Amount of IDEA Part B, Section 611 award]]+tblMoeHistory[[#This Row],[Amount of IDEA Part B, Section 619 award]]</f>
        <v>287162.21999999997</v>
      </c>
      <c r="S1883">
        <v>0</v>
      </c>
      <c r="U18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3" t="str">
        <f>IF(OR(IFERROR(SEARCH("Met",tblMoeHistory[[#This Row],[State and Local Per Capita Result]]),0)&gt;0,IFERROR(SEARCH("Met",tblMoeHistory[[#This Row],[State and Local Total Result]]),0)&gt;0),"Met","Not Met")</f>
        <v>Met</v>
      </c>
    </row>
    <row r="1884" spans="1:22" x14ac:dyDescent="0.35">
      <c r="A1884" t="s">
        <v>131</v>
      </c>
      <c r="B1884">
        <v>2249</v>
      </c>
      <c r="C1884" t="s">
        <v>1537</v>
      </c>
      <c r="D1884">
        <v>93</v>
      </c>
      <c r="E1884">
        <v>24290.97</v>
      </c>
      <c r="F1884">
        <v>69336</v>
      </c>
      <c r="G1884">
        <f>tblMoeHistory[[#This Row],[LEA State and Local Amount]]+tblMoeHistory[[#This Row],[ESD State and Local Amount]]</f>
        <v>93626.97</v>
      </c>
      <c r="H1884">
        <v>0</v>
      </c>
      <c r="I1884" t="s">
        <v>241</v>
      </c>
      <c r="J1884" s="44">
        <f>IFERROR(tblMoeHistory[[#This Row],[LEA State and Local Amount]]/tblMoeHistory[[#This Row],[Child Count]],0)</f>
        <v>261.19322580645161</v>
      </c>
      <c r="K1884">
        <f>IFERROR(tblMoeHistory[[#This Row],[ESD State and Local Amount]]/tblMoeHistory[[#This Row],[Child Count]],0)</f>
        <v>745.54838709677415</v>
      </c>
      <c r="L1884" s="1">
        <f>IFERROR(tblMoeHistory[[#This Row],[State and Local Total Amount]]/tblMoeHistory[[#This Row],[Child Count]],0)</f>
        <v>1006.7416129032258</v>
      </c>
      <c r="M1884">
        <v>-940724.05199999991</v>
      </c>
      <c r="N1884" t="s">
        <v>240</v>
      </c>
      <c r="O1884">
        <v>51921.3</v>
      </c>
      <c r="P1884">
        <v>103.78</v>
      </c>
      <c r="Q1884">
        <f>tblMoeHistory[[#This Row],[Amount of IDEA Part B, Section 611 award]]+tblMoeHistory[[#This Row],[Amount of IDEA Part B, Section 619 award]]</f>
        <v>52025.08</v>
      </c>
      <c r="S1884">
        <v>0</v>
      </c>
      <c r="T1884">
        <v>3175.75</v>
      </c>
      <c r="U18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4" t="str">
        <f>IF(OR(IFERROR(SEARCH("Met",tblMoeHistory[[#This Row],[State and Local Per Capita Result]]),0)&gt;0,IFERROR(SEARCH("Met",tblMoeHistory[[#This Row],[State and Local Total Result]]),0)&gt;0),"Met","Not Met")</f>
        <v>Met</v>
      </c>
    </row>
    <row r="1885" spans="1:22" x14ac:dyDescent="0.35">
      <c r="A1885" t="s">
        <v>132</v>
      </c>
      <c r="B1885">
        <v>1925</v>
      </c>
      <c r="C1885" t="s">
        <v>1537</v>
      </c>
      <c r="D1885">
        <v>426</v>
      </c>
      <c r="E1885">
        <v>4022105.75</v>
      </c>
      <c r="F1885">
        <v>621506</v>
      </c>
      <c r="G1885">
        <f>tblMoeHistory[[#This Row],[LEA State and Local Amount]]+tblMoeHistory[[#This Row],[ESD State and Local Amount]]</f>
        <v>4643611.75</v>
      </c>
      <c r="H1885">
        <v>0</v>
      </c>
      <c r="I1885" t="s">
        <v>242</v>
      </c>
      <c r="J1885" s="44">
        <f>IFERROR(tblMoeHistory[[#This Row],[LEA State and Local Amount]]/tblMoeHistory[[#This Row],[Child Count]],0)</f>
        <v>9441.5627934272306</v>
      </c>
      <c r="K1885">
        <f>IFERROR(tblMoeHistory[[#This Row],[ESD State and Local Amount]]/tblMoeHistory[[#This Row],[Child Count]],0)</f>
        <v>1458.9342723004695</v>
      </c>
      <c r="L1885" s="1">
        <f>IFERROR(tblMoeHistory[[#This Row],[State and Local Total Amount]]/tblMoeHistory[[#This Row],[Child Count]],0)</f>
        <v>10900.497065727699</v>
      </c>
      <c r="M1885">
        <v>-462270.66812500107</v>
      </c>
      <c r="N1885" t="s">
        <v>240</v>
      </c>
      <c r="O1885">
        <v>448862.71</v>
      </c>
      <c r="P1885">
        <v>2571.38</v>
      </c>
      <c r="Q1885">
        <f>tblMoeHistory[[#This Row],[Amount of IDEA Part B, Section 611 award]]+tblMoeHistory[[#This Row],[Amount of IDEA Part B, Section 619 award]]</f>
        <v>451434.09</v>
      </c>
      <c r="S1885">
        <v>42500</v>
      </c>
      <c r="T1885">
        <v>0</v>
      </c>
      <c r="U18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5" t="str">
        <f>IF(OR(IFERROR(SEARCH("Met",tblMoeHistory[[#This Row],[State and Local Per Capita Result]]),0)&gt;0,IFERROR(SEARCH("Met",tblMoeHistory[[#This Row],[State and Local Total Result]]),0)&gt;0),"Met","Not Met")</f>
        <v>Met</v>
      </c>
    </row>
    <row r="1886" spans="1:22" x14ac:dyDescent="0.35">
      <c r="A1886" t="s">
        <v>133</v>
      </c>
      <c r="B1886">
        <v>1898</v>
      </c>
      <c r="C1886" t="s">
        <v>1537</v>
      </c>
      <c r="D1886">
        <v>46</v>
      </c>
      <c r="E1886">
        <v>580117.28</v>
      </c>
      <c r="F1886">
        <v>48791</v>
      </c>
      <c r="G1886">
        <f>tblMoeHistory[[#This Row],[LEA State and Local Amount]]+tblMoeHistory[[#This Row],[ESD State and Local Amount]]</f>
        <v>628908.28</v>
      </c>
      <c r="H1886">
        <v>0</v>
      </c>
      <c r="I1886" t="s">
        <v>242</v>
      </c>
      <c r="J1886" s="44">
        <f>IFERROR(tblMoeHistory[[#This Row],[LEA State and Local Amount]]/tblMoeHistory[[#This Row],[Child Count]],0)</f>
        <v>12611.245217391304</v>
      </c>
      <c r="K1886">
        <f>IFERROR(tblMoeHistory[[#This Row],[ESD State and Local Amount]]/tblMoeHistory[[#This Row],[Child Count]],0)</f>
        <v>1060.6739130434783</v>
      </c>
      <c r="L1886" s="1">
        <f>IFERROR(tblMoeHistory[[#This Row],[State and Local Total Amount]]/tblMoeHistory[[#This Row],[Child Count]],0)</f>
        <v>13671.919130434782</v>
      </c>
      <c r="M1886">
        <v>0</v>
      </c>
      <c r="N1886" t="s">
        <v>241</v>
      </c>
      <c r="O1886">
        <v>86203.57</v>
      </c>
      <c r="P1886">
        <v>120.52</v>
      </c>
      <c r="Q1886">
        <f>tblMoeHistory[[#This Row],[Amount of IDEA Part B, Section 611 award]]+tblMoeHistory[[#This Row],[Amount of IDEA Part B, Section 619 award]]</f>
        <v>86324.090000000011</v>
      </c>
      <c r="S1886">
        <v>147165.4688135593</v>
      </c>
      <c r="U18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6" t="str">
        <f>IF(OR(IFERROR(SEARCH("Met",tblMoeHistory[[#This Row],[State and Local Per Capita Result]]),0)&gt;0,IFERROR(SEARCH("Met",tblMoeHistory[[#This Row],[State and Local Total Result]]),0)&gt;0),"Met","Not Met")</f>
        <v>Met</v>
      </c>
    </row>
    <row r="1887" spans="1:22" x14ac:dyDescent="0.35">
      <c r="A1887" t="s">
        <v>134</v>
      </c>
      <c r="B1887">
        <v>2010</v>
      </c>
      <c r="C1887" t="s">
        <v>1537</v>
      </c>
      <c r="D1887">
        <v>8</v>
      </c>
      <c r="E1887">
        <v>0</v>
      </c>
      <c r="F1887">
        <v>61235.54</v>
      </c>
      <c r="G1887">
        <f>tblMoeHistory[[#This Row],[LEA State and Local Amount]]+tblMoeHistory[[#This Row],[ESD State and Local Amount]]</f>
        <v>61235.54</v>
      </c>
      <c r="H1887">
        <v>0</v>
      </c>
      <c r="I1887" t="s">
        <v>242</v>
      </c>
      <c r="J1887" s="44">
        <f>IFERROR(tblMoeHistory[[#This Row],[LEA State and Local Amount]]/tblMoeHistory[[#This Row],[Child Count]],0)</f>
        <v>0</v>
      </c>
      <c r="K1887">
        <f>IFERROR(tblMoeHistory[[#This Row],[ESD State and Local Amount]]/tblMoeHistory[[#This Row],[Child Count]],0)</f>
        <v>7654.4425000000001</v>
      </c>
      <c r="L1887" s="1">
        <f>IFERROR(tblMoeHistory[[#This Row],[State and Local Total Amount]]/tblMoeHistory[[#This Row],[Child Count]],0)</f>
        <v>7654.4425000000001</v>
      </c>
      <c r="M1887">
        <v>-5205.7857142857101</v>
      </c>
      <c r="N1887" t="s">
        <v>240</v>
      </c>
      <c r="O1887">
        <v>8350.17</v>
      </c>
      <c r="P1887">
        <v>485.55</v>
      </c>
      <c r="Q1887">
        <f>tblMoeHistory[[#This Row],[Amount of IDEA Part B, Section 611 award]]+tblMoeHistory[[#This Row],[Amount of IDEA Part B, Section 619 award]]</f>
        <v>8835.7199999999993</v>
      </c>
      <c r="S1887">
        <v>29514.489999999998</v>
      </c>
      <c r="T1887">
        <v>0</v>
      </c>
      <c r="U18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7" t="str">
        <f>IF(OR(IFERROR(SEARCH("Met",tblMoeHistory[[#This Row],[State and Local Per Capita Result]]),0)&gt;0,IFERROR(SEARCH("Met",tblMoeHistory[[#This Row],[State and Local Total Result]]),0)&gt;0),"Met","Not Met")</f>
        <v>Met</v>
      </c>
    </row>
    <row r="1888" spans="1:22" x14ac:dyDescent="0.35">
      <c r="A1888" t="s">
        <v>135</v>
      </c>
      <c r="B1888">
        <v>2147</v>
      </c>
      <c r="C1888" t="s">
        <v>1537</v>
      </c>
      <c r="D1888">
        <v>325</v>
      </c>
      <c r="E1888">
        <v>2027212.49</v>
      </c>
      <c r="F1888">
        <v>540532.29</v>
      </c>
      <c r="G1888">
        <f>tblMoeHistory[[#This Row],[LEA State and Local Amount]]+tblMoeHistory[[#This Row],[ESD State and Local Amount]]</f>
        <v>2567744.7800000003</v>
      </c>
      <c r="H1888">
        <v>0</v>
      </c>
      <c r="I1888" t="s">
        <v>242</v>
      </c>
      <c r="J1888" s="44">
        <f>IFERROR(tblMoeHistory[[#This Row],[LEA State and Local Amount]]/tblMoeHistory[[#This Row],[Child Count]],0)</f>
        <v>6237.5768923076921</v>
      </c>
      <c r="K1888">
        <f>IFERROR(tblMoeHistory[[#This Row],[ESD State and Local Amount]]/tblMoeHistory[[#This Row],[Child Count]],0)</f>
        <v>1663.176276923077</v>
      </c>
      <c r="L1888" s="1">
        <f>IFERROR(tblMoeHistory[[#This Row],[State and Local Total Amount]]/tblMoeHistory[[#This Row],[Child Count]],0)</f>
        <v>7900.7531692307703</v>
      </c>
      <c r="M1888">
        <v>-197472.8568243238</v>
      </c>
      <c r="N1888" t="s">
        <v>240</v>
      </c>
      <c r="O1888">
        <v>342906.61</v>
      </c>
      <c r="P1888">
        <v>2042.02</v>
      </c>
      <c r="Q1888">
        <f>tblMoeHistory[[#This Row],[Amount of IDEA Part B, Section 611 award]]+tblMoeHistory[[#This Row],[Amount of IDEA Part B, Section 619 award]]</f>
        <v>344948.63</v>
      </c>
      <c r="S1888">
        <v>136683.82999999999</v>
      </c>
      <c r="T1888">
        <v>0</v>
      </c>
      <c r="U18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8" t="str">
        <f>IF(OR(IFERROR(SEARCH("Met",tblMoeHistory[[#This Row],[State and Local Per Capita Result]]),0)&gt;0,IFERROR(SEARCH("Met",tblMoeHistory[[#This Row],[State and Local Total Result]]),0)&gt;0),"Met","Not Met")</f>
        <v>Met</v>
      </c>
    </row>
    <row r="1889" spans="1:22" x14ac:dyDescent="0.35">
      <c r="A1889" t="s">
        <v>136</v>
      </c>
      <c r="B1889">
        <v>2145</v>
      </c>
      <c r="C1889" t="s">
        <v>1537</v>
      </c>
      <c r="D1889">
        <v>94</v>
      </c>
      <c r="E1889">
        <v>506863.64</v>
      </c>
      <c r="F1889">
        <v>129462</v>
      </c>
      <c r="G1889">
        <f>tblMoeHistory[[#This Row],[LEA State and Local Amount]]+tblMoeHistory[[#This Row],[ESD State and Local Amount]]</f>
        <v>636325.64</v>
      </c>
      <c r="H1889">
        <v>0</v>
      </c>
      <c r="I1889" t="s">
        <v>241</v>
      </c>
      <c r="J1889" s="44">
        <f>IFERROR(tblMoeHistory[[#This Row],[LEA State and Local Amount]]/tblMoeHistory[[#This Row],[Child Count]],0)</f>
        <v>5392.166382978724</v>
      </c>
      <c r="K1889">
        <f>IFERROR(tblMoeHistory[[#This Row],[ESD State and Local Amount]]/tblMoeHistory[[#This Row],[Child Count]],0)</f>
        <v>1377.2553191489362</v>
      </c>
      <c r="L1889" s="1">
        <f>IFERROR(tblMoeHistory[[#This Row],[State and Local Total Amount]]/tblMoeHistory[[#This Row],[Child Count]],0)</f>
        <v>6769.42170212766</v>
      </c>
      <c r="M1889">
        <v>-82342.871940298472</v>
      </c>
      <c r="N1889" t="s">
        <v>240</v>
      </c>
      <c r="O1889">
        <v>130025.60000000001</v>
      </c>
      <c r="P1889">
        <v>1491.82</v>
      </c>
      <c r="Q1889">
        <f>tblMoeHistory[[#This Row],[Amount of IDEA Part B, Section 611 award]]+tblMoeHistory[[#This Row],[Amount of IDEA Part B, Section 619 award]]</f>
        <v>131517.42000000001</v>
      </c>
      <c r="S1889">
        <v>0</v>
      </c>
      <c r="T1889">
        <v>91.97</v>
      </c>
      <c r="U18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9" t="str">
        <f>IF(OR(IFERROR(SEARCH("Met",tblMoeHistory[[#This Row],[State and Local Per Capita Result]]),0)&gt;0,IFERROR(SEARCH("Met",tblMoeHistory[[#This Row],[State and Local Total Result]]),0)&gt;0),"Met","Not Met")</f>
        <v>Met</v>
      </c>
    </row>
    <row r="1890" spans="1:22" x14ac:dyDescent="0.35">
      <c r="A1890" t="s">
        <v>137</v>
      </c>
      <c r="B1890">
        <v>1968</v>
      </c>
      <c r="C1890" t="s">
        <v>1537</v>
      </c>
      <c r="D1890">
        <v>78</v>
      </c>
      <c r="E1890">
        <v>581581.11</v>
      </c>
      <c r="F1890">
        <v>167984.76</v>
      </c>
      <c r="G1890">
        <f>tblMoeHistory[[#This Row],[LEA State and Local Amount]]+tblMoeHistory[[#This Row],[ESD State and Local Amount]]</f>
        <v>749565.87</v>
      </c>
      <c r="H1890">
        <v>0</v>
      </c>
      <c r="I1890" t="s">
        <v>242</v>
      </c>
      <c r="J1890" s="44">
        <f>IFERROR(tblMoeHistory[[#This Row],[LEA State and Local Amount]]/tblMoeHistory[[#This Row],[Child Count]],0)</f>
        <v>7456.168076923077</v>
      </c>
      <c r="K1890">
        <f>IFERROR(tblMoeHistory[[#This Row],[ESD State and Local Amount]]/tblMoeHistory[[#This Row],[Child Count]],0)</f>
        <v>2153.6507692307691</v>
      </c>
      <c r="L1890" s="1">
        <f>IFERROR(tblMoeHistory[[#This Row],[State and Local Total Amount]]/tblMoeHistory[[#This Row],[Child Count]],0)</f>
        <v>9609.8188461538466</v>
      </c>
      <c r="M1890">
        <v>-91166.863043478283</v>
      </c>
      <c r="N1890" t="s">
        <v>240</v>
      </c>
      <c r="O1890">
        <v>130346.93</v>
      </c>
      <c r="P1890">
        <v>519.55999999999995</v>
      </c>
      <c r="Q1890">
        <f>tblMoeHistory[[#This Row],[Amount of IDEA Part B, Section 611 award]]+tblMoeHistory[[#This Row],[Amount of IDEA Part B, Section 619 award]]</f>
        <v>130866.48999999999</v>
      </c>
      <c r="S1890">
        <v>51342.320000000007</v>
      </c>
      <c r="T1890">
        <v>710.79</v>
      </c>
      <c r="U18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0" t="str">
        <f>IF(OR(IFERROR(SEARCH("Met",tblMoeHistory[[#This Row],[State and Local Per Capita Result]]),0)&gt;0,IFERROR(SEARCH("Met",tblMoeHistory[[#This Row],[State and Local Total Result]]),0)&gt;0),"Met","Not Met")</f>
        <v>Met</v>
      </c>
    </row>
    <row r="1891" spans="1:22" x14ac:dyDescent="0.35">
      <c r="A1891" t="s">
        <v>138</v>
      </c>
      <c r="B1891">
        <v>2198</v>
      </c>
      <c r="C1891" t="s">
        <v>1537</v>
      </c>
      <c r="D1891">
        <v>124</v>
      </c>
      <c r="E1891">
        <v>1956580.18</v>
      </c>
      <c r="F1891">
        <v>283671</v>
      </c>
      <c r="G1891">
        <f>tblMoeHistory[[#This Row],[LEA State and Local Amount]]+tblMoeHistory[[#This Row],[ESD State and Local Amount]]</f>
        <v>2240251.1799999997</v>
      </c>
      <c r="H1891">
        <v>0</v>
      </c>
      <c r="I1891" t="s">
        <v>241</v>
      </c>
      <c r="J1891" s="44">
        <f>IFERROR(tblMoeHistory[[#This Row],[LEA State and Local Amount]]/tblMoeHistory[[#This Row],[Child Count]],0)</f>
        <v>15778.872419354839</v>
      </c>
      <c r="K1891">
        <f>IFERROR(tblMoeHistory[[#This Row],[ESD State and Local Amount]]/tblMoeHistory[[#This Row],[Child Count]],0)</f>
        <v>2287.6693548387098</v>
      </c>
      <c r="L1891" s="1">
        <f>IFERROR(tblMoeHistory[[#This Row],[State and Local Total Amount]]/tblMoeHistory[[#This Row],[Child Count]],0)</f>
        <v>18066.541774193545</v>
      </c>
      <c r="M1891">
        <v>0</v>
      </c>
      <c r="N1891" t="s">
        <v>241</v>
      </c>
      <c r="O1891">
        <v>124377.2</v>
      </c>
      <c r="P1891">
        <v>2495.4299999999998</v>
      </c>
      <c r="Q1891">
        <f>tblMoeHistory[[#This Row],[Amount of IDEA Part B, Section 611 award]]+tblMoeHistory[[#This Row],[Amount of IDEA Part B, Section 619 award]]</f>
        <v>126872.62999999999</v>
      </c>
      <c r="S1891">
        <v>0</v>
      </c>
      <c r="U18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1" t="str">
        <f>IF(OR(IFERROR(SEARCH("Met",tblMoeHistory[[#This Row],[State and Local Per Capita Result]]),0)&gt;0,IFERROR(SEARCH("Met",tblMoeHistory[[#This Row],[State and Local Total Result]]),0)&gt;0),"Met","Not Met")</f>
        <v>Met</v>
      </c>
    </row>
    <row r="1892" spans="1:22" x14ac:dyDescent="0.35">
      <c r="A1892" t="s">
        <v>139</v>
      </c>
      <c r="B1892">
        <v>2199</v>
      </c>
      <c r="C1892" t="s">
        <v>1537</v>
      </c>
      <c r="D1892">
        <v>79</v>
      </c>
      <c r="E1892">
        <v>870436.9</v>
      </c>
      <c r="F1892">
        <v>165307</v>
      </c>
      <c r="G1892">
        <f>tblMoeHistory[[#This Row],[LEA State and Local Amount]]+tblMoeHistory[[#This Row],[ESD State and Local Amount]]</f>
        <v>1035743.9</v>
      </c>
      <c r="H1892">
        <v>0</v>
      </c>
      <c r="I1892" t="s">
        <v>241</v>
      </c>
      <c r="J1892" s="44">
        <f>IFERROR(tblMoeHistory[[#This Row],[LEA State and Local Amount]]/tblMoeHistory[[#This Row],[Child Count]],0)</f>
        <v>11018.188607594937</v>
      </c>
      <c r="K1892">
        <f>IFERROR(tblMoeHistory[[#This Row],[ESD State and Local Amount]]/tblMoeHistory[[#This Row],[Child Count]],0)</f>
        <v>2092.493670886076</v>
      </c>
      <c r="L1892" s="1">
        <f>IFERROR(tblMoeHistory[[#This Row],[State and Local Total Amount]]/tblMoeHistory[[#This Row],[Child Count]],0)</f>
        <v>13110.682278481014</v>
      </c>
      <c r="M1892">
        <v>-115297.21563380274</v>
      </c>
      <c r="N1892" t="s">
        <v>240</v>
      </c>
      <c r="O1892">
        <v>103832.9</v>
      </c>
      <c r="P1892">
        <v>1510.76</v>
      </c>
      <c r="Q1892">
        <f>tblMoeHistory[[#This Row],[Amount of IDEA Part B, Section 611 award]]+tblMoeHistory[[#This Row],[Amount of IDEA Part B, Section 619 award]]</f>
        <v>105343.65999999999</v>
      </c>
      <c r="S1892">
        <v>0</v>
      </c>
      <c r="T1892">
        <v>0</v>
      </c>
      <c r="U18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2" t="str">
        <f>IF(OR(IFERROR(SEARCH("Met",tblMoeHistory[[#This Row],[State and Local Per Capita Result]]),0)&gt;0,IFERROR(SEARCH("Met",tblMoeHistory[[#This Row],[State and Local Total Result]]),0)&gt;0),"Met","Not Met")</f>
        <v>Met</v>
      </c>
    </row>
    <row r="1893" spans="1:22" x14ac:dyDescent="0.35">
      <c r="A1893" t="s">
        <v>140</v>
      </c>
      <c r="B1893">
        <v>2254</v>
      </c>
      <c r="C1893" t="s">
        <v>1537</v>
      </c>
      <c r="D1893">
        <v>673</v>
      </c>
      <c r="E1893">
        <v>7705365.9500000002</v>
      </c>
      <c r="F1893">
        <v>157320</v>
      </c>
      <c r="G1893">
        <f>tblMoeHistory[[#This Row],[LEA State and Local Amount]]+tblMoeHistory[[#This Row],[ESD State and Local Amount]]</f>
        <v>7862685.9500000002</v>
      </c>
      <c r="H1893">
        <v>0</v>
      </c>
      <c r="I1893" t="s">
        <v>241</v>
      </c>
      <c r="J1893" s="44">
        <f>IFERROR(tblMoeHistory[[#This Row],[LEA State and Local Amount]]/tblMoeHistory[[#This Row],[Child Count]],0)</f>
        <v>11449.280757800892</v>
      </c>
      <c r="K1893">
        <f>IFERROR(tblMoeHistory[[#This Row],[ESD State and Local Amount]]/tblMoeHistory[[#This Row],[Child Count]],0)</f>
        <v>233.75928677563149</v>
      </c>
      <c r="L1893" s="1">
        <f>IFERROR(tblMoeHistory[[#This Row],[State and Local Total Amount]]/tblMoeHistory[[#This Row],[Child Count]],0)</f>
        <v>11683.040044576523</v>
      </c>
      <c r="M1893">
        <v>0</v>
      </c>
      <c r="N1893" t="s">
        <v>241</v>
      </c>
      <c r="O1893">
        <v>769241.89</v>
      </c>
      <c r="P1893">
        <v>5717.96</v>
      </c>
      <c r="Q1893">
        <f>tblMoeHistory[[#This Row],[Amount of IDEA Part B, Section 611 award]]+tblMoeHistory[[#This Row],[Amount of IDEA Part B, Section 619 award]]</f>
        <v>774959.85</v>
      </c>
      <c r="S1893">
        <v>0</v>
      </c>
      <c r="U18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3" t="str">
        <f>IF(OR(IFERROR(SEARCH("Met",tblMoeHistory[[#This Row],[State and Local Per Capita Result]]),0)&gt;0,IFERROR(SEARCH("Met",tblMoeHistory[[#This Row],[State and Local Total Result]]),0)&gt;0),"Met","Not Met")</f>
        <v>Met</v>
      </c>
    </row>
    <row r="1894" spans="1:22" x14ac:dyDescent="0.35">
      <c r="A1894" t="s">
        <v>141</v>
      </c>
      <c r="B1894">
        <v>1966</v>
      </c>
      <c r="C1894" t="s">
        <v>1537</v>
      </c>
      <c r="D1894">
        <v>600</v>
      </c>
      <c r="E1894">
        <v>4103116.48</v>
      </c>
      <c r="F1894">
        <v>1041567.9</v>
      </c>
      <c r="G1894">
        <f>tblMoeHistory[[#This Row],[LEA State and Local Amount]]+tblMoeHistory[[#This Row],[ESD State and Local Amount]]</f>
        <v>5144684.38</v>
      </c>
      <c r="H1894">
        <v>0</v>
      </c>
      <c r="I1894" t="s">
        <v>241</v>
      </c>
      <c r="J1894" s="44">
        <f>IFERROR(tblMoeHistory[[#This Row],[LEA State and Local Amount]]/tblMoeHistory[[#This Row],[Child Count]],0)</f>
        <v>6838.5274666666664</v>
      </c>
      <c r="K1894">
        <f>IFERROR(tblMoeHistory[[#This Row],[ESD State and Local Amount]]/tblMoeHistory[[#This Row],[Child Count]],0)</f>
        <v>1735.9465</v>
      </c>
      <c r="L1894" s="1">
        <f>IFERROR(tblMoeHistory[[#This Row],[State and Local Total Amount]]/tblMoeHistory[[#This Row],[Child Count]],0)</f>
        <v>8574.4739666666665</v>
      </c>
      <c r="M1894">
        <v>-1543488.6314068437</v>
      </c>
      <c r="N1894" t="s">
        <v>240</v>
      </c>
      <c r="O1894">
        <v>615331.48</v>
      </c>
      <c r="P1894">
        <v>6252.44</v>
      </c>
      <c r="Q1894">
        <f>tblMoeHistory[[#This Row],[Amount of IDEA Part B, Section 611 award]]+tblMoeHistory[[#This Row],[Amount of IDEA Part B, Section 619 award]]</f>
        <v>621583.91999999993</v>
      </c>
      <c r="S1894">
        <v>0</v>
      </c>
      <c r="T1894">
        <v>1472.88</v>
      </c>
      <c r="U18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4" t="str">
        <f>IF(OR(IFERROR(SEARCH("Met",tblMoeHistory[[#This Row],[State and Local Per Capita Result]]),0)&gt;0,IFERROR(SEARCH("Met",tblMoeHistory[[#This Row],[State and Local Total Result]]),0)&gt;0),"Met","Not Met")</f>
        <v>Met</v>
      </c>
    </row>
    <row r="1895" spans="1:22" x14ac:dyDescent="0.35">
      <c r="A1895" t="s">
        <v>142</v>
      </c>
      <c r="B1895">
        <v>1924</v>
      </c>
      <c r="C1895" t="s">
        <v>1537</v>
      </c>
      <c r="D1895">
        <v>2796</v>
      </c>
      <c r="E1895">
        <v>30929296.600000001</v>
      </c>
      <c r="F1895">
        <v>3077706</v>
      </c>
      <c r="G1895">
        <f>tblMoeHistory[[#This Row],[LEA State and Local Amount]]+tblMoeHistory[[#This Row],[ESD State and Local Amount]]</f>
        <v>34007002.600000001</v>
      </c>
      <c r="H1895">
        <v>0</v>
      </c>
      <c r="I1895" t="s">
        <v>241</v>
      </c>
      <c r="J1895" s="44">
        <f>IFERROR(tblMoeHistory[[#This Row],[LEA State and Local Amount]]/tblMoeHistory[[#This Row],[Child Count]],0)</f>
        <v>11061.980185979972</v>
      </c>
      <c r="K1895">
        <f>IFERROR(tblMoeHistory[[#This Row],[ESD State and Local Amount]]/tblMoeHistory[[#This Row],[Child Count]],0)</f>
        <v>1100.7532188841201</v>
      </c>
      <c r="L1895" s="1">
        <f>IFERROR(tblMoeHistory[[#This Row],[State and Local Total Amount]]/tblMoeHistory[[#This Row],[Child Count]],0)</f>
        <v>12162.733404864091</v>
      </c>
      <c r="M1895">
        <v>0</v>
      </c>
      <c r="N1895" t="s">
        <v>241</v>
      </c>
      <c r="O1895">
        <v>2579896.56</v>
      </c>
      <c r="P1895">
        <v>18169</v>
      </c>
      <c r="Q1895">
        <f>tblMoeHistory[[#This Row],[Amount of IDEA Part B, Section 611 award]]+tblMoeHistory[[#This Row],[Amount of IDEA Part B, Section 619 award]]</f>
        <v>2598065.56</v>
      </c>
      <c r="S1895">
        <v>0</v>
      </c>
      <c r="U18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5" t="str">
        <f>IF(OR(IFERROR(SEARCH("Met",tblMoeHistory[[#This Row],[State and Local Per Capita Result]]),0)&gt;0,IFERROR(SEARCH("Met",tblMoeHistory[[#This Row],[State and Local Total Result]]),0)&gt;0),"Met","Not Met")</f>
        <v>Met</v>
      </c>
    </row>
    <row r="1896" spans="1:22" x14ac:dyDescent="0.35">
      <c r="A1896" t="s">
        <v>143</v>
      </c>
      <c r="B1896">
        <v>1996</v>
      </c>
      <c r="C1896" t="s">
        <v>1537</v>
      </c>
      <c r="D1896">
        <v>41</v>
      </c>
      <c r="E1896">
        <v>411479.43</v>
      </c>
      <c r="F1896">
        <v>54705.98</v>
      </c>
      <c r="G1896">
        <f>tblMoeHistory[[#This Row],[LEA State and Local Amount]]+tblMoeHistory[[#This Row],[ESD State and Local Amount]]</f>
        <v>466185.41</v>
      </c>
      <c r="H1896">
        <v>0</v>
      </c>
      <c r="I1896" t="s">
        <v>241</v>
      </c>
      <c r="J1896" s="44">
        <f>IFERROR(tblMoeHistory[[#This Row],[LEA State and Local Amount]]/tblMoeHistory[[#This Row],[Child Count]],0)</f>
        <v>10036.083658536585</v>
      </c>
      <c r="K1896">
        <f>IFERROR(tblMoeHistory[[#This Row],[ESD State and Local Amount]]/tblMoeHistory[[#This Row],[Child Count]],0)</f>
        <v>1334.2921951219514</v>
      </c>
      <c r="L1896" s="1">
        <f>IFERROR(tblMoeHistory[[#This Row],[State and Local Total Amount]]/tblMoeHistory[[#This Row],[Child Count]],0)</f>
        <v>11370.375853658536</v>
      </c>
      <c r="M1896">
        <v>0</v>
      </c>
      <c r="N1896" t="s">
        <v>242</v>
      </c>
      <c r="O1896">
        <v>59818.6</v>
      </c>
      <c r="P1896">
        <v>498.79</v>
      </c>
      <c r="Q1896">
        <f>tblMoeHistory[[#This Row],[Amount of IDEA Part B, Section 611 award]]+tblMoeHistory[[#This Row],[Amount of IDEA Part B, Section 619 award]]</f>
        <v>60317.39</v>
      </c>
      <c r="S1896">
        <v>0</v>
      </c>
      <c r="T1896">
        <v>2732.55</v>
      </c>
      <c r="U18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6" t="str">
        <f>IF(OR(IFERROR(SEARCH("Met",tblMoeHistory[[#This Row],[State and Local Per Capita Result]]),0)&gt;0,IFERROR(SEARCH("Met",tblMoeHistory[[#This Row],[State and Local Total Result]]),0)&gt;0),"Met","Not Met")</f>
        <v>Met</v>
      </c>
    </row>
    <row r="1897" spans="1:22" x14ac:dyDescent="0.35">
      <c r="A1897" t="s">
        <v>144</v>
      </c>
      <c r="B1897">
        <v>2061</v>
      </c>
      <c r="C1897" t="s">
        <v>1537</v>
      </c>
      <c r="D1897">
        <v>53</v>
      </c>
      <c r="E1897">
        <v>232673.48</v>
      </c>
      <c r="F1897">
        <v>122758.91</v>
      </c>
      <c r="G1897">
        <f>tblMoeHistory[[#This Row],[LEA State and Local Amount]]+tblMoeHistory[[#This Row],[ESD State and Local Amount]]</f>
        <v>355432.39</v>
      </c>
      <c r="H1897">
        <v>0</v>
      </c>
      <c r="I1897" t="s">
        <v>241</v>
      </c>
      <c r="J1897" s="44">
        <f>IFERROR(tblMoeHistory[[#This Row],[LEA State and Local Amount]]/tblMoeHistory[[#This Row],[Child Count]],0)</f>
        <v>4390.0656603773587</v>
      </c>
      <c r="K1897">
        <f>IFERROR(tblMoeHistory[[#This Row],[ESD State and Local Amount]]/tblMoeHistory[[#This Row],[Child Count]],0)</f>
        <v>2316.2058490566037</v>
      </c>
      <c r="L1897" s="1">
        <f>IFERROR(tblMoeHistory[[#This Row],[State and Local Total Amount]]/tblMoeHistory[[#This Row],[Child Count]],0)</f>
        <v>6706.2715094339628</v>
      </c>
      <c r="M1897">
        <v>0</v>
      </c>
      <c r="N1897" t="s">
        <v>241</v>
      </c>
      <c r="O1897">
        <v>45134.2</v>
      </c>
      <c r="P1897">
        <v>29.24</v>
      </c>
      <c r="Q1897">
        <f>tblMoeHistory[[#This Row],[Amount of IDEA Part B, Section 611 award]]+tblMoeHistory[[#This Row],[Amount of IDEA Part B, Section 619 award]]</f>
        <v>45163.439999999995</v>
      </c>
      <c r="S1897">
        <v>0</v>
      </c>
      <c r="U18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7" t="str">
        <f>IF(OR(IFERROR(SEARCH("Met",tblMoeHistory[[#This Row],[State and Local Per Capita Result]]),0)&gt;0,IFERROR(SEARCH("Met",tblMoeHistory[[#This Row],[State and Local Total Result]]),0)&gt;0),"Met","Not Met")</f>
        <v>Met</v>
      </c>
    </row>
    <row r="1898" spans="1:22" x14ac:dyDescent="0.35">
      <c r="A1898" t="s">
        <v>145</v>
      </c>
      <c r="B1898">
        <v>2141</v>
      </c>
      <c r="C1898" t="s">
        <v>1537</v>
      </c>
      <c r="D1898">
        <v>291</v>
      </c>
      <c r="E1898">
        <v>2880908.81</v>
      </c>
      <c r="F1898">
        <v>398061.39</v>
      </c>
      <c r="G1898">
        <f>tblMoeHistory[[#This Row],[LEA State and Local Amount]]+tblMoeHistory[[#This Row],[ESD State and Local Amount]]</f>
        <v>3278970.2</v>
      </c>
      <c r="H1898">
        <v>0</v>
      </c>
      <c r="I1898" t="s">
        <v>241</v>
      </c>
      <c r="J1898" s="44">
        <f>IFERROR(tblMoeHistory[[#This Row],[LEA State and Local Amount]]/tblMoeHistory[[#This Row],[Child Count]],0)</f>
        <v>9900.0302749140901</v>
      </c>
      <c r="K1898">
        <f>IFERROR(tblMoeHistory[[#This Row],[ESD State and Local Amount]]/tblMoeHistory[[#This Row],[Child Count]],0)</f>
        <v>1367.9085567010309</v>
      </c>
      <c r="L1898" s="1">
        <f>IFERROR(tblMoeHistory[[#This Row],[State and Local Total Amount]]/tblMoeHistory[[#This Row],[Child Count]],0)</f>
        <v>11267.938831615122</v>
      </c>
      <c r="M1898">
        <v>0</v>
      </c>
      <c r="N1898" t="s">
        <v>241</v>
      </c>
      <c r="O1898">
        <v>269414.88</v>
      </c>
      <c r="P1898">
        <v>3048.24</v>
      </c>
      <c r="Q1898">
        <f>tblMoeHistory[[#This Row],[Amount of IDEA Part B, Section 611 award]]+tblMoeHistory[[#This Row],[Amount of IDEA Part B, Section 619 award]]</f>
        <v>272463.12</v>
      </c>
      <c r="S1898">
        <v>0</v>
      </c>
      <c r="U18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8" t="str">
        <f>IF(OR(IFERROR(SEARCH("Met",tblMoeHistory[[#This Row],[State and Local Per Capita Result]]),0)&gt;0,IFERROR(SEARCH("Met",tblMoeHistory[[#This Row],[State and Local Total Result]]),0)&gt;0),"Met","Not Met")</f>
        <v>Met</v>
      </c>
    </row>
    <row r="1899" spans="1:22" x14ac:dyDescent="0.35">
      <c r="A1899" t="s">
        <v>146</v>
      </c>
      <c r="B1899">
        <v>2214</v>
      </c>
      <c r="C1899" t="s">
        <v>1537</v>
      </c>
      <c r="D1899">
        <v>39</v>
      </c>
      <c r="E1899">
        <v>197700.63</v>
      </c>
      <c r="F1899">
        <v>72937.09</v>
      </c>
      <c r="G1899">
        <f>tblMoeHistory[[#This Row],[LEA State and Local Amount]]+tblMoeHistory[[#This Row],[ESD State and Local Amount]]</f>
        <v>270637.71999999997</v>
      </c>
      <c r="H1899">
        <v>0</v>
      </c>
      <c r="I1899" t="s">
        <v>241</v>
      </c>
      <c r="J1899" s="44">
        <f>IFERROR(tblMoeHistory[[#This Row],[LEA State and Local Amount]]/tblMoeHistory[[#This Row],[Child Count]],0)</f>
        <v>5069.2469230769229</v>
      </c>
      <c r="K1899">
        <f>IFERROR(tblMoeHistory[[#This Row],[ESD State and Local Amount]]/tblMoeHistory[[#This Row],[Child Count]],0)</f>
        <v>1870.1817948717949</v>
      </c>
      <c r="L1899" s="1">
        <f>IFERROR(tblMoeHistory[[#This Row],[State and Local Total Amount]]/tblMoeHistory[[#This Row],[Child Count]],0)</f>
        <v>6939.4287179487173</v>
      </c>
      <c r="M1899">
        <v>0</v>
      </c>
      <c r="N1899" t="s">
        <v>241</v>
      </c>
      <c r="O1899">
        <v>46712.12</v>
      </c>
      <c r="P1899">
        <v>38.61</v>
      </c>
      <c r="Q1899">
        <f>tblMoeHistory[[#This Row],[Amount of IDEA Part B, Section 611 award]]+tblMoeHistory[[#This Row],[Amount of IDEA Part B, Section 619 award]]</f>
        <v>46750.73</v>
      </c>
      <c r="S1899">
        <v>0</v>
      </c>
      <c r="U18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9" t="str">
        <f>IF(OR(IFERROR(SEARCH("Met",tblMoeHistory[[#This Row],[State and Local Per Capita Result]]),0)&gt;0,IFERROR(SEARCH("Met",tblMoeHistory[[#This Row],[State and Local Total Result]]),0)&gt;0),"Met","Not Met")</f>
        <v>Met</v>
      </c>
    </row>
    <row r="1900" spans="1:22" x14ac:dyDescent="0.35">
      <c r="A1900" t="s">
        <v>147</v>
      </c>
      <c r="B1900">
        <v>2143</v>
      </c>
      <c r="C1900" t="s">
        <v>1537</v>
      </c>
      <c r="D1900">
        <v>372</v>
      </c>
      <c r="E1900">
        <v>2887187.73</v>
      </c>
      <c r="F1900">
        <v>217602.33</v>
      </c>
      <c r="G1900">
        <f>tblMoeHistory[[#This Row],[LEA State and Local Amount]]+tblMoeHistory[[#This Row],[ESD State and Local Amount]]</f>
        <v>3104790.06</v>
      </c>
      <c r="H1900">
        <v>0</v>
      </c>
      <c r="I1900" t="s">
        <v>241</v>
      </c>
      <c r="J1900" s="44">
        <f>IFERROR(tblMoeHistory[[#This Row],[LEA State and Local Amount]]/tblMoeHistory[[#This Row],[Child Count]],0)</f>
        <v>7761.2573387096772</v>
      </c>
      <c r="K1900">
        <f>IFERROR(tblMoeHistory[[#This Row],[ESD State and Local Amount]]/tblMoeHistory[[#This Row],[Child Count]],0)</f>
        <v>584.95249999999999</v>
      </c>
      <c r="L1900" s="1">
        <f>IFERROR(tblMoeHistory[[#This Row],[State and Local Total Amount]]/tblMoeHistory[[#This Row],[Child Count]],0)</f>
        <v>8346.2098387096776</v>
      </c>
      <c r="M1900">
        <v>-651652.69516483473</v>
      </c>
      <c r="N1900" t="s">
        <v>240</v>
      </c>
      <c r="O1900">
        <v>480123.97</v>
      </c>
      <c r="P1900">
        <v>2764.27</v>
      </c>
      <c r="Q1900">
        <f>tblMoeHistory[[#This Row],[Amount of IDEA Part B, Section 611 award]]+tblMoeHistory[[#This Row],[Amount of IDEA Part B, Section 619 award]]</f>
        <v>482888.24</v>
      </c>
      <c r="S1900">
        <v>0</v>
      </c>
      <c r="T1900">
        <v>445.8</v>
      </c>
      <c r="U19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0" t="str">
        <f>IF(OR(IFERROR(SEARCH("Met",tblMoeHistory[[#This Row],[State and Local Per Capita Result]]),0)&gt;0,IFERROR(SEARCH("Met",tblMoeHistory[[#This Row],[State and Local Total Result]]),0)&gt;0),"Met","Not Met")</f>
        <v>Met</v>
      </c>
    </row>
    <row r="1901" spans="1:22" x14ac:dyDescent="0.35">
      <c r="A1901" t="s">
        <v>148</v>
      </c>
      <c r="B1901">
        <v>4131</v>
      </c>
      <c r="C1901" t="s">
        <v>1537</v>
      </c>
      <c r="D1901">
        <v>453</v>
      </c>
      <c r="E1901">
        <v>4829453.4400000004</v>
      </c>
      <c r="F1901">
        <v>0</v>
      </c>
      <c r="G1901">
        <f>tblMoeHistory[[#This Row],[LEA State and Local Amount]]+tblMoeHistory[[#This Row],[ESD State and Local Amount]]</f>
        <v>4829453.4400000004</v>
      </c>
      <c r="H1901">
        <v>0</v>
      </c>
      <c r="I1901" t="s">
        <v>241</v>
      </c>
      <c r="J1901" s="44">
        <f>IFERROR(tblMoeHistory[[#This Row],[LEA State and Local Amount]]/tblMoeHistory[[#This Row],[Child Count]],0)</f>
        <v>10661.045121412804</v>
      </c>
      <c r="K1901">
        <f>IFERROR(tblMoeHistory[[#This Row],[ESD State and Local Amount]]/tblMoeHistory[[#This Row],[Child Count]],0)</f>
        <v>0</v>
      </c>
      <c r="L1901" s="1">
        <f>IFERROR(tblMoeHistory[[#This Row],[State and Local Total Amount]]/tblMoeHistory[[#This Row],[Child Count]],0)</f>
        <v>10661.045121412804</v>
      </c>
      <c r="M1901">
        <v>0</v>
      </c>
      <c r="N1901" t="s">
        <v>241</v>
      </c>
      <c r="O1901">
        <v>518381.7</v>
      </c>
      <c r="P1901">
        <v>5108.8599999999997</v>
      </c>
      <c r="Q1901">
        <f>tblMoeHistory[[#This Row],[Amount of IDEA Part B, Section 611 award]]+tblMoeHistory[[#This Row],[Amount of IDEA Part B, Section 619 award]]</f>
        <v>523490.56</v>
      </c>
      <c r="S1901">
        <v>0</v>
      </c>
      <c r="U19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1" t="str">
        <f>IF(OR(IFERROR(SEARCH("Met",tblMoeHistory[[#This Row],[State and Local Per Capita Result]]),0)&gt;0,IFERROR(SEARCH("Met",tblMoeHistory[[#This Row],[State and Local Total Result]]),0)&gt;0),"Met","Not Met")</f>
        <v>Met</v>
      </c>
    </row>
    <row r="1902" spans="1:22" x14ac:dyDescent="0.35">
      <c r="A1902" t="s">
        <v>149</v>
      </c>
      <c r="B1902">
        <v>2110</v>
      </c>
      <c r="C1902" t="s">
        <v>1537</v>
      </c>
      <c r="D1902">
        <v>182</v>
      </c>
      <c r="E1902">
        <v>947472.91</v>
      </c>
      <c r="F1902">
        <v>459087.5</v>
      </c>
      <c r="G1902">
        <f>tblMoeHistory[[#This Row],[LEA State and Local Amount]]+tblMoeHistory[[#This Row],[ESD State and Local Amount]]</f>
        <v>1406560.4100000001</v>
      </c>
      <c r="H1902">
        <v>0</v>
      </c>
      <c r="I1902" t="s">
        <v>241</v>
      </c>
      <c r="J1902" s="44">
        <f>IFERROR(tblMoeHistory[[#This Row],[LEA State and Local Amount]]/tblMoeHistory[[#This Row],[Child Count]],0)</f>
        <v>5205.8951098901098</v>
      </c>
      <c r="K1902">
        <f>IFERROR(tblMoeHistory[[#This Row],[ESD State and Local Amount]]/tblMoeHistory[[#This Row],[Child Count]],0)</f>
        <v>2522.4587912087914</v>
      </c>
      <c r="L1902" s="1">
        <f>IFERROR(tblMoeHistory[[#This Row],[State and Local Total Amount]]/tblMoeHistory[[#This Row],[Child Count]],0)</f>
        <v>7728.3539010989016</v>
      </c>
      <c r="M1902">
        <v>-77632.404787878593</v>
      </c>
      <c r="N1902" t="s">
        <v>240</v>
      </c>
      <c r="O1902">
        <v>245339.05</v>
      </c>
      <c r="P1902">
        <v>2064.16</v>
      </c>
      <c r="Q1902">
        <f>tblMoeHistory[[#This Row],[Amount of IDEA Part B, Section 611 award]]+tblMoeHistory[[#This Row],[Amount of IDEA Part B, Section 619 award]]</f>
        <v>247403.21</v>
      </c>
      <c r="S1902">
        <v>0</v>
      </c>
      <c r="T1902">
        <v>0</v>
      </c>
      <c r="U19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2" t="str">
        <f>IF(OR(IFERROR(SEARCH("Met",tblMoeHistory[[#This Row],[State and Local Per Capita Result]]),0)&gt;0,IFERROR(SEARCH("Met",tblMoeHistory[[#This Row],[State and Local Total Result]]),0)&gt;0),"Met","Not Met")</f>
        <v>Met</v>
      </c>
    </row>
    <row r="1903" spans="1:22" x14ac:dyDescent="0.35">
      <c r="A1903" t="s">
        <v>150</v>
      </c>
      <c r="B1903">
        <v>1990</v>
      </c>
      <c r="C1903" t="s">
        <v>1537</v>
      </c>
      <c r="D1903">
        <v>88</v>
      </c>
      <c r="E1903">
        <v>450639.35999999999</v>
      </c>
      <c r="F1903">
        <v>85230.68</v>
      </c>
      <c r="G1903">
        <f>tblMoeHistory[[#This Row],[LEA State and Local Amount]]+tblMoeHistory[[#This Row],[ESD State and Local Amount]]</f>
        <v>535870.04</v>
      </c>
      <c r="H1903">
        <v>0</v>
      </c>
      <c r="I1903" t="s">
        <v>241</v>
      </c>
      <c r="J1903" s="44">
        <f>IFERROR(tblMoeHistory[[#This Row],[LEA State and Local Amount]]/tblMoeHistory[[#This Row],[Child Count]],0)</f>
        <v>5120.9018181818183</v>
      </c>
      <c r="K1903">
        <f>IFERROR(tblMoeHistory[[#This Row],[ESD State and Local Amount]]/tblMoeHistory[[#This Row],[Child Count]],0)</f>
        <v>968.53045454545452</v>
      </c>
      <c r="L1903" s="1">
        <f>IFERROR(tblMoeHistory[[#This Row],[State and Local Total Amount]]/tblMoeHistory[[#This Row],[Child Count]],0)</f>
        <v>6089.4322727272729</v>
      </c>
      <c r="M1903">
        <v>-167320.24999999997</v>
      </c>
      <c r="N1903" t="s">
        <v>240</v>
      </c>
      <c r="O1903">
        <v>100737.64</v>
      </c>
      <c r="P1903">
        <v>997.41</v>
      </c>
      <c r="Q1903">
        <f>tblMoeHistory[[#This Row],[Amount of IDEA Part B, Section 611 award]]+tblMoeHistory[[#This Row],[Amount of IDEA Part B, Section 619 award]]</f>
        <v>101735.05</v>
      </c>
      <c r="S1903">
        <v>0</v>
      </c>
      <c r="T1903">
        <v>0</v>
      </c>
      <c r="U19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3" t="str">
        <f>IF(OR(IFERROR(SEARCH("Met",tblMoeHistory[[#This Row],[State and Local Per Capita Result]]),0)&gt;0,IFERROR(SEARCH("Met",tblMoeHistory[[#This Row],[State and Local Total Result]]),0)&gt;0),"Met","Not Met")</f>
        <v>Met</v>
      </c>
    </row>
    <row r="1904" spans="1:22" x14ac:dyDescent="0.35">
      <c r="A1904" t="s">
        <v>151</v>
      </c>
      <c r="B1904">
        <v>2093</v>
      </c>
      <c r="C1904" t="s">
        <v>1537</v>
      </c>
      <c r="D1904">
        <v>109</v>
      </c>
      <c r="E1904">
        <v>383663</v>
      </c>
      <c r="F1904">
        <v>235956</v>
      </c>
      <c r="G1904">
        <f>tblMoeHistory[[#This Row],[LEA State and Local Amount]]+tblMoeHistory[[#This Row],[ESD State and Local Amount]]</f>
        <v>619619</v>
      </c>
      <c r="H1904">
        <v>0</v>
      </c>
      <c r="I1904" t="s">
        <v>241</v>
      </c>
      <c r="J1904" s="44">
        <f>IFERROR(tblMoeHistory[[#This Row],[LEA State and Local Amount]]/tblMoeHistory[[#This Row],[Child Count]],0)</f>
        <v>3519.8440366972477</v>
      </c>
      <c r="K1904">
        <f>IFERROR(tblMoeHistory[[#This Row],[ESD State and Local Amount]]/tblMoeHistory[[#This Row],[Child Count]],0)</f>
        <v>2164.7339449541282</v>
      </c>
      <c r="L1904" s="1">
        <f>IFERROR(tblMoeHistory[[#This Row],[State and Local Total Amount]]/tblMoeHistory[[#This Row],[Child Count]],0)</f>
        <v>5684.5779816513759</v>
      </c>
      <c r="M1904">
        <v>-226096.37666666659</v>
      </c>
      <c r="N1904" t="s">
        <v>240</v>
      </c>
      <c r="O1904">
        <v>143658.23000000001</v>
      </c>
      <c r="P1904">
        <v>2974.79</v>
      </c>
      <c r="Q1904">
        <f>tblMoeHistory[[#This Row],[Amount of IDEA Part B, Section 611 award]]+tblMoeHistory[[#This Row],[Amount of IDEA Part B, Section 619 award]]</f>
        <v>146633.02000000002</v>
      </c>
      <c r="S1904">
        <v>0</v>
      </c>
      <c r="T1904">
        <v>862.58</v>
      </c>
      <c r="U19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4" t="str">
        <f>IF(OR(IFERROR(SEARCH("Met",tblMoeHistory[[#This Row],[State and Local Per Capita Result]]),0)&gt;0,IFERROR(SEARCH("Met",tblMoeHistory[[#This Row],[State and Local Total Result]]),0)&gt;0),"Met","Not Met")</f>
        <v>Met</v>
      </c>
    </row>
    <row r="1905" spans="1:22" x14ac:dyDescent="0.35">
      <c r="A1905" t="s">
        <v>152</v>
      </c>
      <c r="B1905">
        <v>2108</v>
      </c>
      <c r="C1905" t="s">
        <v>1537</v>
      </c>
      <c r="D1905">
        <v>319</v>
      </c>
      <c r="E1905">
        <v>3405919.43</v>
      </c>
      <c r="F1905">
        <v>50903.519999999997</v>
      </c>
      <c r="G1905">
        <f>tblMoeHistory[[#This Row],[LEA State and Local Amount]]+tblMoeHistory[[#This Row],[ESD State and Local Amount]]</f>
        <v>3456822.95</v>
      </c>
      <c r="H1905">
        <v>0</v>
      </c>
      <c r="I1905" t="s">
        <v>241</v>
      </c>
      <c r="J1905" s="44">
        <f>IFERROR(tblMoeHistory[[#This Row],[LEA State and Local Amount]]/tblMoeHistory[[#This Row],[Child Count]],0)</f>
        <v>10676.863416927899</v>
      </c>
      <c r="K1905">
        <f>IFERROR(tblMoeHistory[[#This Row],[ESD State and Local Amount]]/tblMoeHistory[[#This Row],[Child Count]],0)</f>
        <v>159.57216300940439</v>
      </c>
      <c r="L1905" s="1">
        <f>IFERROR(tblMoeHistory[[#This Row],[State and Local Total Amount]]/tblMoeHistory[[#This Row],[Child Count]],0)</f>
        <v>10836.435579937304</v>
      </c>
      <c r="M1905">
        <v>0</v>
      </c>
      <c r="N1905" t="s">
        <v>241</v>
      </c>
      <c r="O1905">
        <v>518721.97</v>
      </c>
      <c r="P1905">
        <v>2687.93</v>
      </c>
      <c r="Q1905">
        <f>tblMoeHistory[[#This Row],[Amount of IDEA Part B, Section 611 award]]+tblMoeHistory[[#This Row],[Amount of IDEA Part B, Section 619 award]]</f>
        <v>521409.89999999997</v>
      </c>
      <c r="S1905">
        <v>0</v>
      </c>
      <c r="U19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5" t="str">
        <f>IF(OR(IFERROR(SEARCH("Met",tblMoeHistory[[#This Row],[State and Local Per Capita Result]]),0)&gt;0,IFERROR(SEARCH("Met",tblMoeHistory[[#This Row],[State and Local Total Result]]),0)&gt;0),"Met","Not Met")</f>
        <v>Met</v>
      </c>
    </row>
    <row r="1906" spans="1:22" x14ac:dyDescent="0.35">
      <c r="A1906" t="s">
        <v>153</v>
      </c>
      <c r="B1906">
        <v>1928</v>
      </c>
      <c r="C1906" t="s">
        <v>1537</v>
      </c>
      <c r="D1906">
        <v>1248</v>
      </c>
      <c r="E1906">
        <v>16795978.920000002</v>
      </c>
      <c r="F1906">
        <v>1909197</v>
      </c>
      <c r="G1906">
        <f>tblMoeHistory[[#This Row],[LEA State and Local Amount]]+tblMoeHistory[[#This Row],[ESD State and Local Amount]]</f>
        <v>18705175.920000002</v>
      </c>
      <c r="H1906">
        <v>0</v>
      </c>
      <c r="I1906" t="s">
        <v>241</v>
      </c>
      <c r="J1906" s="44">
        <f>IFERROR(tblMoeHistory[[#This Row],[LEA State and Local Amount]]/tblMoeHistory[[#This Row],[Child Count]],0)</f>
        <v>13458.316442307694</v>
      </c>
      <c r="K1906">
        <f>IFERROR(tblMoeHistory[[#This Row],[ESD State and Local Amount]]/tblMoeHistory[[#This Row],[Child Count]],0)</f>
        <v>1529.8052884615386</v>
      </c>
      <c r="L1906" s="1">
        <f>IFERROR(tblMoeHistory[[#This Row],[State and Local Total Amount]]/tblMoeHistory[[#This Row],[Child Count]],0)</f>
        <v>14988.121730769231</v>
      </c>
      <c r="M1906">
        <v>0</v>
      </c>
      <c r="N1906" t="s">
        <v>241</v>
      </c>
      <c r="O1906">
        <v>1308601.82</v>
      </c>
      <c r="P1906">
        <v>11010.18</v>
      </c>
      <c r="Q1906">
        <f>tblMoeHistory[[#This Row],[Amount of IDEA Part B, Section 611 award]]+tblMoeHistory[[#This Row],[Amount of IDEA Part B, Section 619 award]]</f>
        <v>1319612</v>
      </c>
      <c r="S1906">
        <v>0</v>
      </c>
      <c r="U19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6" t="str">
        <f>IF(OR(IFERROR(SEARCH("Met",tblMoeHistory[[#This Row],[State and Local Per Capita Result]]),0)&gt;0,IFERROR(SEARCH("Met",tblMoeHistory[[#This Row],[State and Local Total Result]]),0)&gt;0),"Met","Not Met")</f>
        <v>Met</v>
      </c>
    </row>
    <row r="1907" spans="1:22" x14ac:dyDescent="0.35">
      <c r="A1907" t="s">
        <v>154</v>
      </c>
      <c r="B1907">
        <v>1926</v>
      </c>
      <c r="C1907" t="s">
        <v>1537</v>
      </c>
      <c r="D1907">
        <v>603</v>
      </c>
      <c r="E1907">
        <v>6799755.0899999999</v>
      </c>
      <c r="F1907">
        <v>1130241</v>
      </c>
      <c r="G1907">
        <f>tblMoeHistory[[#This Row],[LEA State and Local Amount]]+tblMoeHistory[[#This Row],[ESD State and Local Amount]]</f>
        <v>7929996.0899999999</v>
      </c>
      <c r="H1907">
        <v>0</v>
      </c>
      <c r="I1907" t="s">
        <v>241</v>
      </c>
      <c r="J1907" s="44">
        <f>IFERROR(tblMoeHistory[[#This Row],[LEA State and Local Amount]]/tblMoeHistory[[#This Row],[Child Count]],0)</f>
        <v>11276.542437810946</v>
      </c>
      <c r="K1907">
        <f>IFERROR(tblMoeHistory[[#This Row],[ESD State and Local Amount]]/tblMoeHistory[[#This Row],[Child Count]],0)</f>
        <v>1874.363184079602</v>
      </c>
      <c r="L1907" s="1">
        <f>IFERROR(tblMoeHistory[[#This Row],[State and Local Total Amount]]/tblMoeHistory[[#This Row],[Child Count]],0)</f>
        <v>13150.905621890546</v>
      </c>
      <c r="M1907">
        <v>-79451.032707183156</v>
      </c>
      <c r="N1907" t="s">
        <v>240</v>
      </c>
      <c r="O1907">
        <v>634723.44999999995</v>
      </c>
      <c r="P1907">
        <v>8514.2800000000007</v>
      </c>
      <c r="Q1907">
        <f>tblMoeHistory[[#This Row],[Amount of IDEA Part B, Section 611 award]]+tblMoeHistory[[#This Row],[Amount of IDEA Part B, Section 619 award]]</f>
        <v>643237.73</v>
      </c>
      <c r="S1907">
        <v>0</v>
      </c>
      <c r="T1907">
        <v>0</v>
      </c>
      <c r="U19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7" t="str">
        <f>IF(OR(IFERROR(SEARCH("Met",tblMoeHistory[[#This Row],[State and Local Per Capita Result]]),0)&gt;0,IFERROR(SEARCH("Met",tblMoeHistory[[#This Row],[State and Local Total Result]]),0)&gt;0),"Met","Not Met")</f>
        <v>Met</v>
      </c>
    </row>
    <row r="1908" spans="1:22" x14ac:dyDescent="0.35">
      <c r="A1908" t="s">
        <v>155</v>
      </c>
      <c r="B1908">
        <v>2060</v>
      </c>
      <c r="C1908" t="s">
        <v>1537</v>
      </c>
      <c r="D1908">
        <v>24</v>
      </c>
      <c r="E1908">
        <v>231954.18</v>
      </c>
      <c r="F1908">
        <v>74586.259999999995</v>
      </c>
      <c r="G1908">
        <f>tblMoeHistory[[#This Row],[LEA State and Local Amount]]+tblMoeHistory[[#This Row],[ESD State and Local Amount]]</f>
        <v>306540.44</v>
      </c>
      <c r="H1908">
        <v>0</v>
      </c>
      <c r="I1908" t="s">
        <v>241</v>
      </c>
      <c r="J1908" s="44">
        <f>IFERROR(tblMoeHistory[[#This Row],[LEA State and Local Amount]]/tblMoeHistory[[#This Row],[Child Count]],0)</f>
        <v>9664.7574999999997</v>
      </c>
      <c r="K1908">
        <f>IFERROR(tblMoeHistory[[#This Row],[ESD State and Local Amount]]/tblMoeHistory[[#This Row],[Child Count]],0)</f>
        <v>3107.7608333333333</v>
      </c>
      <c r="L1908" s="1">
        <f>IFERROR(tblMoeHistory[[#This Row],[State and Local Total Amount]]/tblMoeHistory[[#This Row],[Child Count]],0)</f>
        <v>12772.518333333333</v>
      </c>
      <c r="M1908">
        <v>-8966.164000000048</v>
      </c>
      <c r="N1908" t="s">
        <v>240</v>
      </c>
      <c r="O1908">
        <v>28983.7</v>
      </c>
      <c r="P1908">
        <v>0</v>
      </c>
      <c r="Q1908">
        <f>tblMoeHistory[[#This Row],[Amount of IDEA Part B, Section 611 award]]+tblMoeHistory[[#This Row],[Amount of IDEA Part B, Section 619 award]]</f>
        <v>28983.7</v>
      </c>
      <c r="S1908">
        <v>0</v>
      </c>
      <c r="T1908">
        <v>0</v>
      </c>
      <c r="U19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8" t="str">
        <f>IF(OR(IFERROR(SEARCH("Met",tblMoeHistory[[#This Row],[State and Local Per Capita Result]]),0)&gt;0,IFERROR(SEARCH("Met",tblMoeHistory[[#This Row],[State and Local Total Result]]),0)&gt;0),"Met","Not Met")</f>
        <v>Met</v>
      </c>
    </row>
    <row r="1909" spans="1:22" x14ac:dyDescent="0.35">
      <c r="A1909" t="s">
        <v>156</v>
      </c>
      <c r="B1909">
        <v>2181</v>
      </c>
      <c r="C1909" t="s">
        <v>1537</v>
      </c>
      <c r="D1909">
        <v>516</v>
      </c>
      <c r="E1909">
        <v>7163617.6600000001</v>
      </c>
      <c r="F1909">
        <v>902478.45</v>
      </c>
      <c r="G1909">
        <f>tblMoeHistory[[#This Row],[LEA State and Local Amount]]+tblMoeHistory[[#This Row],[ESD State and Local Amount]]</f>
        <v>8066096.1100000003</v>
      </c>
      <c r="H1909">
        <v>0</v>
      </c>
      <c r="I1909" t="s">
        <v>241</v>
      </c>
      <c r="J1909" s="44">
        <f>IFERROR(tblMoeHistory[[#This Row],[LEA State and Local Amount]]/tblMoeHistory[[#This Row],[Child Count]],0)</f>
        <v>13882.979961240311</v>
      </c>
      <c r="K1909">
        <f>IFERROR(tblMoeHistory[[#This Row],[ESD State and Local Amount]]/tblMoeHistory[[#This Row],[Child Count]],0)</f>
        <v>1748.9892441860463</v>
      </c>
      <c r="L1909" s="1">
        <f>IFERROR(tblMoeHistory[[#This Row],[State and Local Total Amount]]/tblMoeHistory[[#This Row],[Child Count]],0)</f>
        <v>15631.969205426358</v>
      </c>
      <c r="M1909">
        <v>-104311.02650294625</v>
      </c>
      <c r="N1909" t="s">
        <v>240</v>
      </c>
      <c r="O1909">
        <v>547462.47</v>
      </c>
      <c r="P1909">
        <v>1123.42</v>
      </c>
      <c r="Q1909">
        <f>tblMoeHistory[[#This Row],[Amount of IDEA Part B, Section 611 award]]+tblMoeHistory[[#This Row],[Amount of IDEA Part B, Section 619 award]]</f>
        <v>548585.89</v>
      </c>
      <c r="S1909">
        <v>0</v>
      </c>
      <c r="T1909">
        <v>0</v>
      </c>
      <c r="U19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9" t="str">
        <f>IF(OR(IFERROR(SEARCH("Met",tblMoeHistory[[#This Row],[State and Local Per Capita Result]]),0)&gt;0,IFERROR(SEARCH("Met",tblMoeHistory[[#This Row],[State and Local Total Result]]),0)&gt;0),"Met","Not Met")</f>
        <v>Met</v>
      </c>
    </row>
    <row r="1910" spans="1:22" x14ac:dyDescent="0.35">
      <c r="A1910" t="s">
        <v>157</v>
      </c>
      <c r="B1910">
        <v>2207</v>
      </c>
      <c r="C1910" t="s">
        <v>1537</v>
      </c>
      <c r="D1910">
        <v>455</v>
      </c>
      <c r="E1910">
        <v>4901594.13</v>
      </c>
      <c r="F1910">
        <v>786752.68</v>
      </c>
      <c r="G1910">
        <f>tblMoeHistory[[#This Row],[LEA State and Local Amount]]+tblMoeHistory[[#This Row],[ESD State and Local Amount]]</f>
        <v>5688346.8099999996</v>
      </c>
      <c r="H1910">
        <v>0</v>
      </c>
      <c r="I1910" t="s">
        <v>241</v>
      </c>
      <c r="J1910" s="44">
        <f>IFERROR(tblMoeHistory[[#This Row],[LEA State and Local Amount]]/tblMoeHistory[[#This Row],[Child Count]],0)</f>
        <v>10772.734351648351</v>
      </c>
      <c r="K1910">
        <f>IFERROR(tblMoeHistory[[#This Row],[ESD State and Local Amount]]/tblMoeHistory[[#This Row],[Child Count]],0)</f>
        <v>1729.1267692307692</v>
      </c>
      <c r="L1910" s="1">
        <f>IFERROR(tblMoeHistory[[#This Row],[State and Local Total Amount]]/tblMoeHistory[[#This Row],[Child Count]],0)</f>
        <v>12501.861120879121</v>
      </c>
      <c r="M1910">
        <v>-50735.164888889733</v>
      </c>
      <c r="N1910" t="s">
        <v>240</v>
      </c>
      <c r="O1910">
        <v>542645.78</v>
      </c>
      <c r="P1910">
        <v>3604.01</v>
      </c>
      <c r="Q1910">
        <f>tblMoeHistory[[#This Row],[Amount of IDEA Part B, Section 611 award]]+tblMoeHistory[[#This Row],[Amount of IDEA Part B, Section 619 award]]</f>
        <v>546249.79</v>
      </c>
      <c r="S1910">
        <v>0</v>
      </c>
      <c r="T1910">
        <v>0</v>
      </c>
      <c r="U19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0" t="str">
        <f>IF(OR(IFERROR(SEARCH("Met",tblMoeHistory[[#This Row],[State and Local Per Capita Result]]),0)&gt;0,IFERROR(SEARCH("Met",tblMoeHistory[[#This Row],[State and Local Total Result]]),0)&gt;0),"Met","Not Met")</f>
        <v>Met</v>
      </c>
    </row>
    <row r="1911" spans="1:22" x14ac:dyDescent="0.35">
      <c r="A1911" t="s">
        <v>158</v>
      </c>
      <c r="B1911">
        <v>2192</v>
      </c>
      <c r="C1911" t="s">
        <v>1537</v>
      </c>
      <c r="D1911">
        <v>43</v>
      </c>
      <c r="E1911">
        <v>476063.18</v>
      </c>
      <c r="F1911">
        <v>63466.99</v>
      </c>
      <c r="G1911">
        <f>tblMoeHistory[[#This Row],[LEA State and Local Amount]]+tblMoeHistory[[#This Row],[ESD State and Local Amount]]</f>
        <v>539530.17000000004</v>
      </c>
      <c r="H1911">
        <v>0</v>
      </c>
      <c r="I1911" t="s">
        <v>241</v>
      </c>
      <c r="J1911" s="44">
        <f>IFERROR(tblMoeHistory[[#This Row],[LEA State and Local Amount]]/tblMoeHistory[[#This Row],[Child Count]],0)</f>
        <v>11071.236744186046</v>
      </c>
      <c r="K1911">
        <f>IFERROR(tblMoeHistory[[#This Row],[ESD State and Local Amount]]/tblMoeHistory[[#This Row],[Child Count]],0)</f>
        <v>1475.976511627907</v>
      </c>
      <c r="L1911" s="1">
        <f>IFERROR(tblMoeHistory[[#This Row],[State and Local Total Amount]]/tblMoeHistory[[#This Row],[Child Count]],0)</f>
        <v>12547.213255813955</v>
      </c>
      <c r="M1911">
        <v>-568818.19333333336</v>
      </c>
      <c r="N1911" t="s">
        <v>240</v>
      </c>
      <c r="O1911">
        <v>32419.93</v>
      </c>
      <c r="P1911">
        <v>75.23</v>
      </c>
      <c r="Q1911">
        <f>tblMoeHistory[[#This Row],[Amount of IDEA Part B, Section 611 award]]+tblMoeHistory[[#This Row],[Amount of IDEA Part B, Section 619 award]]</f>
        <v>32495.16</v>
      </c>
      <c r="S1911">
        <v>0</v>
      </c>
      <c r="T1911">
        <v>10391.57</v>
      </c>
      <c r="U19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1" t="str">
        <f>IF(OR(IFERROR(SEARCH("Met",tblMoeHistory[[#This Row],[State and Local Per Capita Result]]),0)&gt;0,IFERROR(SEARCH("Met",tblMoeHistory[[#This Row],[State and Local Total Result]]),0)&gt;0),"Met","Not Met")</f>
        <v>Met</v>
      </c>
    </row>
    <row r="1912" spans="1:22" x14ac:dyDescent="0.35">
      <c r="A1912" t="s">
        <v>160</v>
      </c>
      <c r="B1912">
        <v>1900</v>
      </c>
      <c r="C1912" t="s">
        <v>1537</v>
      </c>
      <c r="D1912">
        <v>164</v>
      </c>
      <c r="E1912">
        <v>2226633.23</v>
      </c>
      <c r="F1912">
        <v>183031</v>
      </c>
      <c r="G1912">
        <f>tblMoeHistory[[#This Row],[LEA State and Local Amount]]+tblMoeHistory[[#This Row],[ESD State and Local Amount]]</f>
        <v>2409664.23</v>
      </c>
      <c r="H1912">
        <v>0</v>
      </c>
      <c r="I1912" t="s">
        <v>241</v>
      </c>
      <c r="J1912" s="44">
        <f>IFERROR(tblMoeHistory[[#This Row],[LEA State and Local Amount]]/tblMoeHistory[[#This Row],[Child Count]],0)</f>
        <v>13577.031890243903</v>
      </c>
      <c r="K1912">
        <f>IFERROR(tblMoeHistory[[#This Row],[ESD State and Local Amount]]/tblMoeHistory[[#This Row],[Child Count]],0)</f>
        <v>1116.0426829268292</v>
      </c>
      <c r="L1912" s="1">
        <f>IFERROR(tblMoeHistory[[#This Row],[State and Local Total Amount]]/tblMoeHistory[[#This Row],[Child Count]],0)</f>
        <v>14693.074573170732</v>
      </c>
      <c r="M1912">
        <v>0</v>
      </c>
      <c r="N1912" t="s">
        <v>241</v>
      </c>
      <c r="O1912">
        <v>239150.78</v>
      </c>
      <c r="P1912">
        <v>5386.58</v>
      </c>
      <c r="Q1912">
        <f>tblMoeHistory[[#This Row],[Amount of IDEA Part B, Section 611 award]]+tblMoeHistory[[#This Row],[Amount of IDEA Part B, Section 619 award]]</f>
        <v>244537.36</v>
      </c>
      <c r="S1912">
        <v>0</v>
      </c>
      <c r="U19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2" t="str">
        <f>IF(OR(IFERROR(SEARCH("Met",tblMoeHistory[[#This Row],[State and Local Per Capita Result]]),0)&gt;0,IFERROR(SEARCH("Met",tblMoeHistory[[#This Row],[State and Local Total Result]]),0)&gt;0),"Met","Not Met")</f>
        <v>Met</v>
      </c>
    </row>
    <row r="1913" spans="1:22" x14ac:dyDescent="0.35">
      <c r="A1913" t="s">
        <v>161</v>
      </c>
      <c r="B1913">
        <v>2039</v>
      </c>
      <c r="C1913" t="s">
        <v>1537</v>
      </c>
      <c r="D1913">
        <v>425</v>
      </c>
      <c r="E1913">
        <v>3575468.74</v>
      </c>
      <c r="F1913">
        <v>602662.86</v>
      </c>
      <c r="G1913">
        <f>tblMoeHistory[[#This Row],[LEA State and Local Amount]]+tblMoeHistory[[#This Row],[ESD State and Local Amount]]</f>
        <v>4178131.6</v>
      </c>
      <c r="H1913">
        <v>0</v>
      </c>
      <c r="I1913" t="s">
        <v>241</v>
      </c>
      <c r="J1913" s="44">
        <f>IFERROR(tblMoeHistory[[#This Row],[LEA State and Local Amount]]/tblMoeHistory[[#This Row],[Child Count]],0)</f>
        <v>8412.8676235294115</v>
      </c>
      <c r="K1913">
        <f>IFERROR(tblMoeHistory[[#This Row],[ESD State and Local Amount]]/tblMoeHistory[[#This Row],[Child Count]],0)</f>
        <v>1418.0302588235293</v>
      </c>
      <c r="L1913" s="1">
        <f>IFERROR(tblMoeHistory[[#This Row],[State and Local Total Amount]]/tblMoeHistory[[#This Row],[Child Count]],0)</f>
        <v>9830.8978823529415</v>
      </c>
      <c r="M1913">
        <v>0</v>
      </c>
      <c r="N1913" t="s">
        <v>241</v>
      </c>
      <c r="O1913">
        <v>504952.12</v>
      </c>
      <c r="P1913">
        <v>6588.3</v>
      </c>
      <c r="Q1913">
        <f>tblMoeHistory[[#This Row],[Amount of IDEA Part B, Section 611 award]]+tblMoeHistory[[#This Row],[Amount of IDEA Part B, Section 619 award]]</f>
        <v>511540.42</v>
      </c>
      <c r="S1913">
        <v>0</v>
      </c>
      <c r="U19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3" t="str">
        <f>IF(OR(IFERROR(SEARCH("Met",tblMoeHistory[[#This Row],[State and Local Per Capita Result]]),0)&gt;0,IFERROR(SEARCH("Met",tblMoeHistory[[#This Row],[State and Local Total Result]]),0)&gt;0),"Met","Not Met")</f>
        <v>Met</v>
      </c>
    </row>
    <row r="1914" spans="1:22" x14ac:dyDescent="0.35">
      <c r="A1914" t="s">
        <v>162</v>
      </c>
      <c r="B1914">
        <v>2202</v>
      </c>
      <c r="C1914" t="s">
        <v>1537</v>
      </c>
      <c r="D1914">
        <v>38</v>
      </c>
      <c r="E1914">
        <v>308954.23999999999</v>
      </c>
      <c r="F1914">
        <v>66190.45</v>
      </c>
      <c r="G1914">
        <f>tblMoeHistory[[#This Row],[LEA State and Local Amount]]+tblMoeHistory[[#This Row],[ESD State and Local Amount]]</f>
        <v>375144.69</v>
      </c>
      <c r="H1914">
        <v>0</v>
      </c>
      <c r="I1914" t="s">
        <v>241</v>
      </c>
      <c r="J1914" s="44">
        <f>IFERROR(tblMoeHistory[[#This Row],[LEA State and Local Amount]]/tblMoeHistory[[#This Row],[Child Count]],0)</f>
        <v>8130.3747368421054</v>
      </c>
      <c r="K1914">
        <f>IFERROR(tblMoeHistory[[#This Row],[ESD State and Local Amount]]/tblMoeHistory[[#This Row],[Child Count]],0)</f>
        <v>1741.8539473684209</v>
      </c>
      <c r="L1914" s="1">
        <f>IFERROR(tblMoeHistory[[#This Row],[State and Local Total Amount]]/tblMoeHistory[[#This Row],[Child Count]],0)</f>
        <v>9872.2286842105259</v>
      </c>
      <c r="M1914">
        <v>0</v>
      </c>
      <c r="N1914" t="s">
        <v>242</v>
      </c>
      <c r="O1914">
        <v>71767.05</v>
      </c>
      <c r="P1914">
        <v>517.64</v>
      </c>
      <c r="Q1914">
        <f>tblMoeHistory[[#This Row],[Amount of IDEA Part B, Section 611 award]]+tblMoeHistory[[#This Row],[Amount of IDEA Part B, Section 619 award]]</f>
        <v>72284.69</v>
      </c>
      <c r="S1914">
        <v>0</v>
      </c>
      <c r="T1914">
        <v>1347.27</v>
      </c>
      <c r="U19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4" t="str">
        <f>IF(OR(IFERROR(SEARCH("Met",tblMoeHistory[[#This Row],[State and Local Per Capita Result]]),0)&gt;0,IFERROR(SEARCH("Met",tblMoeHistory[[#This Row],[State and Local Total Result]]),0)&gt;0),"Met","Not Met")</f>
        <v>Met</v>
      </c>
    </row>
    <row r="1915" spans="1:22" x14ac:dyDescent="0.35">
      <c r="A1915" t="s">
        <v>163</v>
      </c>
      <c r="B1915">
        <v>2016</v>
      </c>
      <c r="C1915" t="s">
        <v>1537</v>
      </c>
      <c r="D1915">
        <v>0</v>
      </c>
      <c r="E1915">
        <v>8614</v>
      </c>
      <c r="F1915">
        <v>8085.9</v>
      </c>
      <c r="G1915">
        <f>tblMoeHistory[[#This Row],[LEA State and Local Amount]]+tblMoeHistory[[#This Row],[ESD State and Local Amount]]</f>
        <v>16699.900000000001</v>
      </c>
      <c r="H1915">
        <v>0</v>
      </c>
      <c r="I1915" t="s">
        <v>241</v>
      </c>
      <c r="J1915" s="44">
        <f>IFERROR(tblMoeHistory[[#This Row],[LEA State and Local Amount]]/tblMoeHistory[[#This Row],[Child Count]],0)</f>
        <v>0</v>
      </c>
      <c r="K1915">
        <f>IFERROR(tblMoeHistory[[#This Row],[ESD State and Local Amount]]/tblMoeHistory[[#This Row],[Child Count]],0)</f>
        <v>0</v>
      </c>
      <c r="L1915" s="1">
        <f>IFERROR(tblMoeHistory[[#This Row],[State and Local Total Amount]]/tblMoeHistory[[#This Row],[Child Count]],0)</f>
        <v>0</v>
      </c>
      <c r="M1915">
        <v>0</v>
      </c>
      <c r="N1915" t="s">
        <v>241</v>
      </c>
      <c r="O1915">
        <v>1250.47</v>
      </c>
      <c r="P1915">
        <v>2.44</v>
      </c>
      <c r="Q1915">
        <f>tblMoeHistory[[#This Row],[Amount of IDEA Part B, Section 611 award]]+tblMoeHistory[[#This Row],[Amount of IDEA Part B, Section 619 award]]</f>
        <v>1252.9100000000001</v>
      </c>
      <c r="S1915">
        <v>0</v>
      </c>
      <c r="U19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5" t="str">
        <f>IF(OR(IFERROR(SEARCH("Met",tblMoeHistory[[#This Row],[State and Local Per Capita Result]]),0)&gt;0,IFERROR(SEARCH("Met",tblMoeHistory[[#This Row],[State and Local Total Result]]),0)&gt;0),"Met","Not Met")</f>
        <v>Met</v>
      </c>
    </row>
    <row r="1916" spans="1:22" x14ac:dyDescent="0.35">
      <c r="A1916" t="s">
        <v>164</v>
      </c>
      <c r="B1916">
        <v>1897</v>
      </c>
      <c r="C1916" t="s">
        <v>1537</v>
      </c>
      <c r="D1916">
        <v>31</v>
      </c>
      <c r="E1916">
        <v>230507.84</v>
      </c>
      <c r="F1916">
        <v>0</v>
      </c>
      <c r="G1916">
        <f>tblMoeHistory[[#This Row],[LEA State and Local Amount]]+tblMoeHistory[[#This Row],[ESD State and Local Amount]]</f>
        <v>230507.84</v>
      </c>
      <c r="H1916">
        <v>0</v>
      </c>
      <c r="I1916" t="s">
        <v>241</v>
      </c>
      <c r="J1916" s="44">
        <f>IFERROR(tblMoeHistory[[#This Row],[LEA State and Local Amount]]/tblMoeHistory[[#This Row],[Child Count]],0)</f>
        <v>7435.7367741935486</v>
      </c>
      <c r="K1916">
        <f>IFERROR(tblMoeHistory[[#This Row],[ESD State and Local Amount]]/tblMoeHistory[[#This Row],[Child Count]],0)</f>
        <v>0</v>
      </c>
      <c r="L1916" s="1">
        <f>IFERROR(tblMoeHistory[[#This Row],[State and Local Total Amount]]/tblMoeHistory[[#This Row],[Child Count]],0)</f>
        <v>7435.7367741935486</v>
      </c>
      <c r="M1916">
        <v>-14381.940689655177</v>
      </c>
      <c r="N1916" t="s">
        <v>240</v>
      </c>
      <c r="O1916">
        <v>35295.120000000003</v>
      </c>
      <c r="P1916">
        <v>0</v>
      </c>
      <c r="Q1916">
        <f>tblMoeHistory[[#This Row],[Amount of IDEA Part B, Section 611 award]]+tblMoeHistory[[#This Row],[Amount of IDEA Part B, Section 619 award]]</f>
        <v>35295.120000000003</v>
      </c>
      <c r="S1916">
        <v>0</v>
      </c>
      <c r="T1916">
        <v>0</v>
      </c>
      <c r="U19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6" t="str">
        <f>IF(OR(IFERROR(SEARCH("Met",tblMoeHistory[[#This Row],[State and Local Per Capita Result]]),0)&gt;0,IFERROR(SEARCH("Met",tblMoeHistory[[#This Row],[State and Local Total Result]]),0)&gt;0),"Met","Not Met")</f>
        <v>Met</v>
      </c>
    </row>
    <row r="1917" spans="1:22" x14ac:dyDescent="0.35">
      <c r="A1917" t="s">
        <v>165</v>
      </c>
      <c r="B1917">
        <v>2047</v>
      </c>
      <c r="C1917" t="s">
        <v>1537</v>
      </c>
      <c r="D1917">
        <v>4</v>
      </c>
      <c r="E1917">
        <v>11347</v>
      </c>
      <c r="F1917">
        <v>12416.99</v>
      </c>
      <c r="G1917">
        <f>tblMoeHistory[[#This Row],[LEA State and Local Amount]]+tblMoeHistory[[#This Row],[ESD State and Local Amount]]</f>
        <v>23763.989999999998</v>
      </c>
      <c r="H1917">
        <v>0</v>
      </c>
      <c r="I1917" t="s">
        <v>241</v>
      </c>
      <c r="J1917" s="44">
        <f>IFERROR(tblMoeHistory[[#This Row],[LEA State and Local Amount]]/tblMoeHistory[[#This Row],[Child Count]],0)</f>
        <v>2836.75</v>
      </c>
      <c r="K1917">
        <f>IFERROR(tblMoeHistory[[#This Row],[ESD State and Local Amount]]/tblMoeHistory[[#This Row],[Child Count]],0)</f>
        <v>3104.2474999999999</v>
      </c>
      <c r="L1917" s="1">
        <f>IFERROR(tblMoeHistory[[#This Row],[State and Local Total Amount]]/tblMoeHistory[[#This Row],[Child Count]],0)</f>
        <v>5940.9974999999995</v>
      </c>
      <c r="M1917">
        <v>0</v>
      </c>
      <c r="N1917" t="s">
        <v>242</v>
      </c>
      <c r="O1917">
        <v>7228.7</v>
      </c>
      <c r="P1917">
        <v>6</v>
      </c>
      <c r="Q1917">
        <f>tblMoeHistory[[#This Row],[Amount of IDEA Part B, Section 611 award]]+tblMoeHistory[[#This Row],[Amount of IDEA Part B, Section 619 award]]</f>
        <v>7234.7</v>
      </c>
      <c r="S1917">
        <v>0</v>
      </c>
      <c r="T1917">
        <v>3895.9</v>
      </c>
      <c r="U19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7" t="str">
        <f>IF(OR(IFERROR(SEARCH("Met",tblMoeHistory[[#This Row],[State and Local Per Capita Result]]),0)&gt;0,IFERROR(SEARCH("Met",tblMoeHistory[[#This Row],[State and Local Total Result]]),0)&gt;0),"Met","Not Met")</f>
        <v>Met</v>
      </c>
    </row>
    <row r="1918" spans="1:22" x14ac:dyDescent="0.35">
      <c r="A1918" t="s">
        <v>166</v>
      </c>
      <c r="B1918">
        <v>2081</v>
      </c>
      <c r="C1918" t="s">
        <v>1537</v>
      </c>
      <c r="D1918">
        <v>148</v>
      </c>
      <c r="E1918">
        <v>1160789.1200000001</v>
      </c>
      <c r="F1918">
        <v>282031</v>
      </c>
      <c r="G1918">
        <f>tblMoeHistory[[#This Row],[LEA State and Local Amount]]+tblMoeHistory[[#This Row],[ESD State and Local Amount]]</f>
        <v>1442820.12</v>
      </c>
      <c r="H1918">
        <v>0</v>
      </c>
      <c r="I1918" t="s">
        <v>241</v>
      </c>
      <c r="J1918" s="44">
        <f>IFERROR(tblMoeHistory[[#This Row],[LEA State and Local Amount]]/tblMoeHistory[[#This Row],[Child Count]],0)</f>
        <v>7843.1697297297305</v>
      </c>
      <c r="K1918">
        <f>IFERROR(tblMoeHistory[[#This Row],[ESD State and Local Amount]]/tblMoeHistory[[#This Row],[Child Count]],0)</f>
        <v>1905.6148648648648</v>
      </c>
      <c r="L1918" s="1">
        <f>IFERROR(tblMoeHistory[[#This Row],[State and Local Total Amount]]/tblMoeHistory[[#This Row],[Child Count]],0)</f>
        <v>9748.7845945945955</v>
      </c>
      <c r="M1918">
        <v>-310359.54653846141</v>
      </c>
      <c r="N1918" t="s">
        <v>240</v>
      </c>
      <c r="O1918">
        <v>196451.27</v>
      </c>
      <c r="P1918">
        <v>1049.21</v>
      </c>
      <c r="Q1918">
        <f>tblMoeHistory[[#This Row],[Amount of IDEA Part B, Section 611 award]]+tblMoeHistory[[#This Row],[Amount of IDEA Part B, Section 619 award]]</f>
        <v>197500.47999999998</v>
      </c>
      <c r="S1918">
        <v>0</v>
      </c>
      <c r="T1918">
        <v>515.01</v>
      </c>
      <c r="U19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8" t="str">
        <f>IF(OR(IFERROR(SEARCH("Met",tblMoeHistory[[#This Row],[State and Local Per Capita Result]]),0)&gt;0,IFERROR(SEARCH("Met",tblMoeHistory[[#This Row],[State and Local Total Result]]),0)&gt;0),"Met","Not Met")</f>
        <v>Met</v>
      </c>
    </row>
    <row r="1919" spans="1:22" x14ac:dyDescent="0.35">
      <c r="A1919" t="s">
        <v>167</v>
      </c>
      <c r="B1919">
        <v>2062</v>
      </c>
      <c r="C1919" t="s">
        <v>1537</v>
      </c>
      <c r="D1919">
        <v>4</v>
      </c>
      <c r="E1919">
        <v>0</v>
      </c>
      <c r="F1919">
        <v>28738.02</v>
      </c>
      <c r="G1919">
        <f>tblMoeHistory[[#This Row],[LEA State and Local Amount]]+tblMoeHistory[[#This Row],[ESD State and Local Amount]]</f>
        <v>28738.02</v>
      </c>
      <c r="H1919">
        <v>0</v>
      </c>
      <c r="I1919" t="s">
        <v>241</v>
      </c>
      <c r="J1919" s="44">
        <f>IFERROR(tblMoeHistory[[#This Row],[LEA State and Local Amount]]/tblMoeHistory[[#This Row],[Child Count]],0)</f>
        <v>0</v>
      </c>
      <c r="K1919">
        <f>IFERROR(tblMoeHistory[[#This Row],[ESD State and Local Amount]]/tblMoeHistory[[#This Row],[Child Count]],0)</f>
        <v>7184.5050000000001</v>
      </c>
      <c r="L1919" s="1">
        <f>IFERROR(tblMoeHistory[[#This Row],[State and Local Total Amount]]/tblMoeHistory[[#This Row],[Child Count]],0)</f>
        <v>7184.5050000000001</v>
      </c>
      <c r="M1919">
        <v>0</v>
      </c>
      <c r="N1919" t="s">
        <v>241</v>
      </c>
      <c r="O1919">
        <v>2637.87</v>
      </c>
      <c r="P1919">
        <v>2.38</v>
      </c>
      <c r="Q1919">
        <f>tblMoeHistory[[#This Row],[Amount of IDEA Part B, Section 611 award]]+tblMoeHistory[[#This Row],[Amount of IDEA Part B, Section 619 award]]</f>
        <v>2640.25</v>
      </c>
      <c r="S1919">
        <v>0</v>
      </c>
      <c r="U19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9" t="str">
        <f>IF(OR(IFERROR(SEARCH("Met",tblMoeHistory[[#This Row],[State and Local Per Capita Result]]),0)&gt;0,IFERROR(SEARCH("Met",tblMoeHistory[[#This Row],[State and Local Total Result]]),0)&gt;0),"Met","Not Met")</f>
        <v>Met</v>
      </c>
    </row>
    <row r="1920" spans="1:22" x14ac:dyDescent="0.35">
      <c r="A1920" t="s">
        <v>168</v>
      </c>
      <c r="B1920">
        <v>1973</v>
      </c>
      <c r="C1920" t="s">
        <v>1537</v>
      </c>
      <c r="D1920">
        <v>25</v>
      </c>
      <c r="E1920">
        <v>186579</v>
      </c>
      <c r="F1920">
        <v>128859.97</v>
      </c>
      <c r="G1920">
        <f>tblMoeHistory[[#This Row],[LEA State and Local Amount]]+tblMoeHistory[[#This Row],[ESD State and Local Amount]]</f>
        <v>315438.96999999997</v>
      </c>
      <c r="H1920">
        <v>0</v>
      </c>
      <c r="I1920" t="s">
        <v>241</v>
      </c>
      <c r="J1920" s="44">
        <f>IFERROR(tblMoeHistory[[#This Row],[LEA State and Local Amount]]/tblMoeHistory[[#This Row],[Child Count]],0)</f>
        <v>7463.16</v>
      </c>
      <c r="K1920">
        <f>IFERROR(tblMoeHistory[[#This Row],[ESD State and Local Amount]]/tblMoeHistory[[#This Row],[Child Count]],0)</f>
        <v>5154.3987999999999</v>
      </c>
      <c r="L1920" s="1">
        <f>IFERROR(tblMoeHistory[[#This Row],[State and Local Total Amount]]/tblMoeHistory[[#This Row],[Child Count]],0)</f>
        <v>12617.558799999999</v>
      </c>
      <c r="M1920">
        <v>-99219.240526315843</v>
      </c>
      <c r="N1920" t="s">
        <v>240</v>
      </c>
      <c r="O1920">
        <v>66858.28</v>
      </c>
      <c r="P1920">
        <v>986.72</v>
      </c>
      <c r="Q1920">
        <f>tblMoeHistory[[#This Row],[Amount of IDEA Part B, Section 611 award]]+tblMoeHistory[[#This Row],[Amount of IDEA Part B, Section 619 award]]</f>
        <v>67845</v>
      </c>
      <c r="S1920">
        <v>0</v>
      </c>
      <c r="T1920">
        <v>0</v>
      </c>
      <c r="U19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0" t="str">
        <f>IF(OR(IFERROR(SEARCH("Met",tblMoeHistory[[#This Row],[State and Local Per Capita Result]]),0)&gt;0,IFERROR(SEARCH("Met",tblMoeHistory[[#This Row],[State and Local Total Result]]),0)&gt;0),"Met","Not Met")</f>
        <v>Met</v>
      </c>
    </row>
    <row r="1921" spans="1:22" x14ac:dyDescent="0.35">
      <c r="A1921" t="s">
        <v>169</v>
      </c>
      <c r="B1921">
        <v>2180</v>
      </c>
      <c r="C1921" t="s">
        <v>1537</v>
      </c>
      <c r="D1921">
        <v>7560</v>
      </c>
      <c r="E1921">
        <v>101818464.75</v>
      </c>
      <c r="F1921">
        <v>2301408.35</v>
      </c>
      <c r="G1921">
        <f>tblMoeHistory[[#This Row],[LEA State and Local Amount]]+tblMoeHistory[[#This Row],[ESD State and Local Amount]]</f>
        <v>104119873.09999999</v>
      </c>
      <c r="H1921">
        <v>0</v>
      </c>
      <c r="I1921" t="s">
        <v>241</v>
      </c>
      <c r="J1921" s="44">
        <f>IFERROR(tblMoeHistory[[#This Row],[LEA State and Local Amount]]/tblMoeHistory[[#This Row],[Child Count]],0)</f>
        <v>13468.050892857143</v>
      </c>
      <c r="K1921">
        <f>IFERROR(tblMoeHistory[[#This Row],[ESD State and Local Amount]]/tblMoeHistory[[#This Row],[Child Count]],0)</f>
        <v>304.41909391534392</v>
      </c>
      <c r="L1921" s="1">
        <f>IFERROR(tblMoeHistory[[#This Row],[State and Local Total Amount]]/tblMoeHistory[[#This Row],[Child Count]],0)</f>
        <v>13772.469986772487</v>
      </c>
      <c r="M1921">
        <v>0</v>
      </c>
      <c r="N1921" t="s">
        <v>241</v>
      </c>
      <c r="O1921">
        <v>8145381.4500000002</v>
      </c>
      <c r="P1921">
        <v>91718.86</v>
      </c>
      <c r="Q1921">
        <f>tblMoeHistory[[#This Row],[Amount of IDEA Part B, Section 611 award]]+tblMoeHistory[[#This Row],[Amount of IDEA Part B, Section 619 award]]</f>
        <v>8237100.3100000005</v>
      </c>
      <c r="S1921">
        <v>0</v>
      </c>
      <c r="U19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1" t="str">
        <f>IF(OR(IFERROR(SEARCH("Met",tblMoeHistory[[#This Row],[State and Local Per Capita Result]]),0)&gt;0,IFERROR(SEARCH("Met",tblMoeHistory[[#This Row],[State and Local Total Result]]),0)&gt;0),"Met","Not Met")</f>
        <v>Met</v>
      </c>
    </row>
    <row r="1922" spans="1:22" x14ac:dyDescent="0.35">
      <c r="A1922" t="s">
        <v>170</v>
      </c>
      <c r="B1922">
        <v>1967</v>
      </c>
      <c r="C1922" t="s">
        <v>1537</v>
      </c>
      <c r="D1922">
        <v>21</v>
      </c>
      <c r="E1922">
        <v>60347.08</v>
      </c>
      <c r="F1922">
        <v>31670.27</v>
      </c>
      <c r="G1922">
        <f>tblMoeHistory[[#This Row],[LEA State and Local Amount]]+tblMoeHistory[[#This Row],[ESD State and Local Amount]]</f>
        <v>92017.35</v>
      </c>
      <c r="H1922">
        <v>0</v>
      </c>
      <c r="I1922" t="s">
        <v>241</v>
      </c>
      <c r="J1922" s="44">
        <f>IFERROR(tblMoeHistory[[#This Row],[LEA State and Local Amount]]/tblMoeHistory[[#This Row],[Child Count]],0)</f>
        <v>2873.6704761904762</v>
      </c>
      <c r="K1922">
        <f>IFERROR(tblMoeHistory[[#This Row],[ESD State and Local Amount]]/tblMoeHistory[[#This Row],[Child Count]],0)</f>
        <v>1508.1080952380953</v>
      </c>
      <c r="L1922" s="1">
        <f>IFERROR(tblMoeHistory[[#This Row],[State and Local Total Amount]]/tblMoeHistory[[#This Row],[Child Count]],0)</f>
        <v>4381.7785714285719</v>
      </c>
      <c r="M1922">
        <v>-65516.57999999998</v>
      </c>
      <c r="N1922" t="s">
        <v>240</v>
      </c>
      <c r="O1922">
        <v>28975.51</v>
      </c>
      <c r="P1922">
        <v>40.35</v>
      </c>
      <c r="Q1922">
        <f>tblMoeHistory[[#This Row],[Amount of IDEA Part B, Section 611 award]]+tblMoeHistory[[#This Row],[Amount of IDEA Part B, Section 619 award]]</f>
        <v>29015.859999999997</v>
      </c>
      <c r="S1922">
        <v>0</v>
      </c>
      <c r="T1922">
        <v>1708.05</v>
      </c>
      <c r="U19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2" t="str">
        <f>IF(OR(IFERROR(SEARCH("Met",tblMoeHistory[[#This Row],[State and Local Per Capita Result]]),0)&gt;0,IFERROR(SEARCH("Met",tblMoeHistory[[#This Row],[State and Local Total Result]]),0)&gt;0),"Met","Not Met")</f>
        <v>Met</v>
      </c>
    </row>
    <row r="1923" spans="1:22" x14ac:dyDescent="0.35">
      <c r="A1923" t="s">
        <v>171</v>
      </c>
      <c r="B1923">
        <v>2009</v>
      </c>
      <c r="C1923" t="s">
        <v>1537</v>
      </c>
      <c r="D1923">
        <v>28</v>
      </c>
      <c r="E1923">
        <v>170412.43</v>
      </c>
      <c r="F1923">
        <v>92119.86</v>
      </c>
      <c r="G1923">
        <f>tblMoeHistory[[#This Row],[LEA State and Local Amount]]+tblMoeHistory[[#This Row],[ESD State and Local Amount]]</f>
        <v>262532.28999999998</v>
      </c>
      <c r="H1923">
        <v>0</v>
      </c>
      <c r="I1923" t="s">
        <v>241</v>
      </c>
      <c r="J1923" s="44">
        <f>IFERROR(tblMoeHistory[[#This Row],[LEA State and Local Amount]]/tblMoeHistory[[#This Row],[Child Count]],0)</f>
        <v>6086.1582142857142</v>
      </c>
      <c r="K1923">
        <f>IFERROR(tblMoeHistory[[#This Row],[ESD State and Local Amount]]/tblMoeHistory[[#This Row],[Child Count]],0)</f>
        <v>3289.9949999999999</v>
      </c>
      <c r="L1923" s="1">
        <f>IFERROR(tblMoeHistory[[#This Row],[State and Local Total Amount]]/tblMoeHistory[[#This Row],[Child Count]],0)</f>
        <v>9376.1532142857141</v>
      </c>
      <c r="M1923">
        <v>-80355.093999999983</v>
      </c>
      <c r="N1923" t="s">
        <v>240</v>
      </c>
      <c r="O1923">
        <v>31442.73</v>
      </c>
      <c r="P1923">
        <v>1456.64</v>
      </c>
      <c r="Q1923">
        <f>tblMoeHistory[[#This Row],[Amount of IDEA Part B, Section 611 award]]+tblMoeHistory[[#This Row],[Amount of IDEA Part B, Section 619 award]]</f>
        <v>32899.370000000003</v>
      </c>
      <c r="S1923">
        <v>0</v>
      </c>
      <c r="T1923">
        <v>0</v>
      </c>
      <c r="U19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3" t="str">
        <f>IF(OR(IFERROR(SEARCH("Met",tblMoeHistory[[#This Row],[State and Local Per Capita Result]]),0)&gt;0,IFERROR(SEARCH("Met",tblMoeHistory[[#This Row],[State and Local Total Result]]),0)&gt;0),"Met","Not Met")</f>
        <v>Met</v>
      </c>
    </row>
    <row r="1924" spans="1:22" x14ac:dyDescent="0.35">
      <c r="A1924" t="s">
        <v>172</v>
      </c>
      <c r="B1924">
        <v>2045</v>
      </c>
      <c r="C1924" t="s">
        <v>1537</v>
      </c>
      <c r="D1924">
        <v>25</v>
      </c>
      <c r="E1924">
        <v>189273.23</v>
      </c>
      <c r="F1924">
        <v>100232.86</v>
      </c>
      <c r="G1924">
        <f>tblMoeHistory[[#This Row],[LEA State and Local Amount]]+tblMoeHistory[[#This Row],[ESD State and Local Amount]]</f>
        <v>289506.09000000003</v>
      </c>
      <c r="H1924">
        <v>0</v>
      </c>
      <c r="I1924" t="s">
        <v>241</v>
      </c>
      <c r="J1924" s="44">
        <f>IFERROR(tblMoeHistory[[#This Row],[LEA State and Local Amount]]/tblMoeHistory[[#This Row],[Child Count]],0)</f>
        <v>7570.9292000000005</v>
      </c>
      <c r="K1924">
        <f>IFERROR(tblMoeHistory[[#This Row],[ESD State and Local Amount]]/tblMoeHistory[[#This Row],[Child Count]],0)</f>
        <v>4009.3144000000002</v>
      </c>
      <c r="L1924" s="1">
        <f>IFERROR(tblMoeHistory[[#This Row],[State and Local Total Amount]]/tblMoeHistory[[#This Row],[Child Count]],0)</f>
        <v>11580.243600000002</v>
      </c>
      <c r="M1924">
        <v>-71252.630588235246</v>
      </c>
      <c r="N1924" t="s">
        <v>240</v>
      </c>
      <c r="O1924">
        <v>37568.33</v>
      </c>
      <c r="P1924">
        <v>543.77</v>
      </c>
      <c r="Q1924">
        <f>tblMoeHistory[[#This Row],[Amount of IDEA Part B, Section 611 award]]+tblMoeHistory[[#This Row],[Amount of IDEA Part B, Section 619 award]]</f>
        <v>38112.1</v>
      </c>
      <c r="S1924">
        <v>0</v>
      </c>
      <c r="T1924">
        <v>3636.41</v>
      </c>
      <c r="U19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4" t="str">
        <f>IF(OR(IFERROR(SEARCH("Met",tblMoeHistory[[#This Row],[State and Local Per Capita Result]]),0)&gt;0,IFERROR(SEARCH("Met",tblMoeHistory[[#This Row],[State and Local Total Result]]),0)&gt;0),"Met","Not Met")</f>
        <v>Met</v>
      </c>
    </row>
    <row r="1925" spans="1:22" x14ac:dyDescent="0.35">
      <c r="A1925" t="s">
        <v>173</v>
      </c>
      <c r="B1925">
        <v>1946</v>
      </c>
      <c r="C1925" t="s">
        <v>1537</v>
      </c>
      <c r="D1925">
        <v>157</v>
      </c>
      <c r="E1925">
        <v>1570894.24</v>
      </c>
      <c r="F1925">
        <v>156304</v>
      </c>
      <c r="G1925">
        <f>tblMoeHistory[[#This Row],[LEA State and Local Amount]]+tblMoeHistory[[#This Row],[ESD State and Local Amount]]</f>
        <v>1727198.24</v>
      </c>
      <c r="H1925">
        <v>0</v>
      </c>
      <c r="I1925" t="s">
        <v>241</v>
      </c>
      <c r="J1925" s="44">
        <f>IFERROR(tblMoeHistory[[#This Row],[LEA State and Local Amount]]/tblMoeHistory[[#This Row],[Child Count]],0)</f>
        <v>10005.695796178345</v>
      </c>
      <c r="K1925">
        <f>IFERROR(tblMoeHistory[[#This Row],[ESD State and Local Amount]]/tblMoeHistory[[#This Row],[Child Count]],0)</f>
        <v>995.56687898089172</v>
      </c>
      <c r="L1925" s="1">
        <f>IFERROR(tblMoeHistory[[#This Row],[State and Local Total Amount]]/tblMoeHistory[[#This Row],[Child Count]],0)</f>
        <v>11001.262675159236</v>
      </c>
      <c r="M1925">
        <v>-497907.61719298229</v>
      </c>
      <c r="N1925" t="s">
        <v>240</v>
      </c>
      <c r="O1925">
        <v>198622.49</v>
      </c>
      <c r="P1925">
        <v>1977.03</v>
      </c>
      <c r="Q1925">
        <f>tblMoeHistory[[#This Row],[Amount of IDEA Part B, Section 611 award]]+tblMoeHistory[[#This Row],[Amount of IDEA Part B, Section 619 award]]</f>
        <v>200599.52</v>
      </c>
      <c r="S1925">
        <v>0</v>
      </c>
      <c r="T1925">
        <v>0</v>
      </c>
      <c r="U19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5" t="str">
        <f>IF(OR(IFERROR(SEARCH("Met",tblMoeHistory[[#This Row],[State and Local Per Capita Result]]),0)&gt;0,IFERROR(SEARCH("Met",tblMoeHistory[[#This Row],[State and Local Total Result]]),0)&gt;0),"Met","Not Met")</f>
        <v>Met</v>
      </c>
    </row>
    <row r="1926" spans="1:22" x14ac:dyDescent="0.35">
      <c r="A1926" t="s">
        <v>174</v>
      </c>
      <c r="B1926">
        <v>1977</v>
      </c>
      <c r="C1926" t="s">
        <v>1537</v>
      </c>
      <c r="D1926">
        <v>957</v>
      </c>
      <c r="E1926">
        <v>12245320.380000001</v>
      </c>
      <c r="F1926">
        <v>1249717.51</v>
      </c>
      <c r="G1926">
        <f>tblMoeHistory[[#This Row],[LEA State and Local Amount]]+tblMoeHistory[[#This Row],[ESD State and Local Amount]]</f>
        <v>13495037.890000001</v>
      </c>
      <c r="H1926">
        <v>0</v>
      </c>
      <c r="I1926" t="s">
        <v>241</v>
      </c>
      <c r="J1926" s="44">
        <f>IFERROR(tblMoeHistory[[#This Row],[LEA State and Local Amount]]/tblMoeHistory[[#This Row],[Child Count]],0)</f>
        <v>12795.528087774295</v>
      </c>
      <c r="K1926">
        <f>IFERROR(tblMoeHistory[[#This Row],[ESD State and Local Amount]]/tblMoeHistory[[#This Row],[Child Count]],0)</f>
        <v>1305.8699164054337</v>
      </c>
      <c r="L1926" s="1">
        <f>IFERROR(tblMoeHistory[[#This Row],[State and Local Total Amount]]/tblMoeHistory[[#This Row],[Child Count]],0)</f>
        <v>14101.398004179729</v>
      </c>
      <c r="M1926">
        <v>0</v>
      </c>
      <c r="N1926" t="s">
        <v>241</v>
      </c>
      <c r="O1926">
        <v>1094255.6100000001</v>
      </c>
      <c r="P1926">
        <v>10148.84</v>
      </c>
      <c r="Q1926">
        <f>tblMoeHistory[[#This Row],[Amount of IDEA Part B, Section 611 award]]+tblMoeHistory[[#This Row],[Amount of IDEA Part B, Section 619 award]]</f>
        <v>1104404.4500000002</v>
      </c>
      <c r="S1926">
        <v>0</v>
      </c>
      <c r="U19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6" t="str">
        <f>IF(OR(IFERROR(SEARCH("Met",tblMoeHistory[[#This Row],[State and Local Per Capita Result]]),0)&gt;0,IFERROR(SEARCH("Met",tblMoeHistory[[#This Row],[State and Local Total Result]]),0)&gt;0),"Met","Not Met")</f>
        <v>Met</v>
      </c>
    </row>
    <row r="1927" spans="1:22" x14ac:dyDescent="0.35">
      <c r="A1927" t="s">
        <v>175</v>
      </c>
      <c r="B1927">
        <v>2001</v>
      </c>
      <c r="C1927" t="s">
        <v>1537</v>
      </c>
      <c r="D1927">
        <v>116</v>
      </c>
      <c r="E1927">
        <v>1594255.29</v>
      </c>
      <c r="F1927">
        <v>276453.51</v>
      </c>
      <c r="G1927">
        <f>tblMoeHistory[[#This Row],[LEA State and Local Amount]]+tblMoeHistory[[#This Row],[ESD State and Local Amount]]</f>
        <v>1870708.8</v>
      </c>
      <c r="H1927">
        <v>0</v>
      </c>
      <c r="I1927" t="s">
        <v>241</v>
      </c>
      <c r="J1927" s="44">
        <f>IFERROR(tblMoeHistory[[#This Row],[LEA State and Local Amount]]/tblMoeHistory[[#This Row],[Child Count]],0)</f>
        <v>13743.580086206897</v>
      </c>
      <c r="K1927">
        <f>IFERROR(tblMoeHistory[[#This Row],[ESD State and Local Amount]]/tblMoeHistory[[#This Row],[Child Count]],0)</f>
        <v>2383.2199137931034</v>
      </c>
      <c r="L1927" s="1">
        <f>IFERROR(tblMoeHistory[[#This Row],[State and Local Total Amount]]/tblMoeHistory[[#This Row],[Child Count]],0)</f>
        <v>16126.800000000001</v>
      </c>
      <c r="M1927">
        <v>0</v>
      </c>
      <c r="N1927" t="s">
        <v>241</v>
      </c>
      <c r="O1927">
        <v>136795.96</v>
      </c>
      <c r="P1927">
        <v>2937.15</v>
      </c>
      <c r="Q1927">
        <f>tblMoeHistory[[#This Row],[Amount of IDEA Part B, Section 611 award]]+tblMoeHistory[[#This Row],[Amount of IDEA Part B, Section 619 award]]</f>
        <v>139733.10999999999</v>
      </c>
      <c r="S1927">
        <v>0</v>
      </c>
      <c r="U19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7" t="str">
        <f>IF(OR(IFERROR(SEARCH("Met",tblMoeHistory[[#This Row],[State and Local Per Capita Result]]),0)&gt;0,IFERROR(SEARCH("Met",tblMoeHistory[[#This Row],[State and Local Total Result]]),0)&gt;0),"Met","Not Met")</f>
        <v>Met</v>
      </c>
    </row>
    <row r="1928" spans="1:22" x14ac:dyDescent="0.35">
      <c r="A1928" t="s">
        <v>176</v>
      </c>
      <c r="B1928">
        <v>2182</v>
      </c>
      <c r="C1928" t="s">
        <v>1537</v>
      </c>
      <c r="D1928">
        <v>1782</v>
      </c>
      <c r="E1928">
        <v>21433872.739999998</v>
      </c>
      <c r="F1928">
        <v>2103937.34</v>
      </c>
      <c r="G1928">
        <f>tblMoeHistory[[#This Row],[LEA State and Local Amount]]+tblMoeHistory[[#This Row],[ESD State and Local Amount]]</f>
        <v>23537810.079999998</v>
      </c>
      <c r="H1928">
        <v>0</v>
      </c>
      <c r="I1928" t="s">
        <v>241</v>
      </c>
      <c r="J1928" s="44">
        <f>IFERROR(tblMoeHistory[[#This Row],[LEA State and Local Amount]]/tblMoeHistory[[#This Row],[Child Count]],0)</f>
        <v>12027.98694725028</v>
      </c>
      <c r="K1928">
        <f>IFERROR(tblMoeHistory[[#This Row],[ESD State and Local Amount]]/tblMoeHistory[[#This Row],[Child Count]],0)</f>
        <v>1180.6606846240179</v>
      </c>
      <c r="L1928" s="1">
        <f>IFERROR(tblMoeHistory[[#This Row],[State and Local Total Amount]]/tblMoeHistory[[#This Row],[Child Count]],0)</f>
        <v>13208.647631874297</v>
      </c>
      <c r="M1928">
        <v>-238160.98387755448</v>
      </c>
      <c r="N1928" t="s">
        <v>240</v>
      </c>
      <c r="O1928">
        <v>1719810.98</v>
      </c>
      <c r="P1928">
        <v>10750.31</v>
      </c>
      <c r="Q1928">
        <f>tblMoeHistory[[#This Row],[Amount of IDEA Part B, Section 611 award]]+tblMoeHistory[[#This Row],[Amount of IDEA Part B, Section 619 award]]</f>
        <v>1730561.29</v>
      </c>
      <c r="S1928">
        <v>0</v>
      </c>
      <c r="T1928">
        <v>0</v>
      </c>
      <c r="U19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8" t="str">
        <f>IF(OR(IFERROR(SEARCH("Met",tblMoeHistory[[#This Row],[State and Local Per Capita Result]]),0)&gt;0,IFERROR(SEARCH("Met",tblMoeHistory[[#This Row],[State and Local Total Result]]),0)&gt;0),"Met","Not Met")</f>
        <v>Met</v>
      </c>
    </row>
    <row r="1929" spans="1:22" x14ac:dyDescent="0.35">
      <c r="A1929" t="s">
        <v>177</v>
      </c>
      <c r="B1929">
        <v>1999</v>
      </c>
      <c r="C1929" t="s">
        <v>1537</v>
      </c>
      <c r="D1929">
        <v>63</v>
      </c>
      <c r="E1929">
        <v>479863.89</v>
      </c>
      <c r="F1929">
        <v>139972.07999999999</v>
      </c>
      <c r="G1929">
        <f>tblMoeHistory[[#This Row],[LEA State and Local Amount]]+tblMoeHistory[[#This Row],[ESD State and Local Amount]]</f>
        <v>619835.97</v>
      </c>
      <c r="H1929">
        <v>0</v>
      </c>
      <c r="I1929" t="s">
        <v>241</v>
      </c>
      <c r="J1929" s="44">
        <f>IFERROR(tblMoeHistory[[#This Row],[LEA State and Local Amount]]/tblMoeHistory[[#This Row],[Child Count]],0)</f>
        <v>7616.8871428571429</v>
      </c>
      <c r="K1929">
        <f>IFERROR(tblMoeHistory[[#This Row],[ESD State and Local Amount]]/tblMoeHistory[[#This Row],[Child Count]],0)</f>
        <v>2221.7790476190476</v>
      </c>
      <c r="L1929" s="1">
        <f>IFERROR(tblMoeHistory[[#This Row],[State and Local Total Amount]]/tblMoeHistory[[#This Row],[Child Count]],0)</f>
        <v>9838.6661904761895</v>
      </c>
      <c r="M1929">
        <v>0</v>
      </c>
      <c r="N1929" t="s">
        <v>241</v>
      </c>
      <c r="O1929">
        <v>68262.080000000002</v>
      </c>
      <c r="P1929">
        <v>23.85</v>
      </c>
      <c r="Q1929">
        <f>tblMoeHistory[[#This Row],[Amount of IDEA Part B, Section 611 award]]+tblMoeHistory[[#This Row],[Amount of IDEA Part B, Section 619 award]]</f>
        <v>68285.930000000008</v>
      </c>
      <c r="S1929">
        <v>0</v>
      </c>
      <c r="U19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9" t="str">
        <f>IF(OR(IFERROR(SEARCH("Met",tblMoeHistory[[#This Row],[State and Local Per Capita Result]]),0)&gt;0,IFERROR(SEARCH("Met",tblMoeHistory[[#This Row],[State and Local Total Result]]),0)&gt;0),"Met","Not Met")</f>
        <v>Met</v>
      </c>
    </row>
    <row r="1930" spans="1:22" x14ac:dyDescent="0.35">
      <c r="A1930" t="s">
        <v>178</v>
      </c>
      <c r="B1930">
        <v>2188</v>
      </c>
      <c r="C1930" t="s">
        <v>1537</v>
      </c>
      <c r="D1930">
        <v>53</v>
      </c>
      <c r="E1930">
        <v>449447.08</v>
      </c>
      <c r="F1930">
        <v>310032.65000000002</v>
      </c>
      <c r="G1930">
        <f>tblMoeHistory[[#This Row],[LEA State and Local Amount]]+tblMoeHistory[[#This Row],[ESD State and Local Amount]]</f>
        <v>759479.73</v>
      </c>
      <c r="H1930">
        <v>0</v>
      </c>
      <c r="I1930" t="s">
        <v>241</v>
      </c>
      <c r="J1930" s="44">
        <f>IFERROR(tblMoeHistory[[#This Row],[LEA State and Local Amount]]/tblMoeHistory[[#This Row],[Child Count]],0)</f>
        <v>8480.1335849056613</v>
      </c>
      <c r="K1930">
        <f>IFERROR(tblMoeHistory[[#This Row],[ESD State and Local Amount]]/tblMoeHistory[[#This Row],[Child Count]],0)</f>
        <v>5849.6726415094345</v>
      </c>
      <c r="L1930" s="1">
        <f>IFERROR(tblMoeHistory[[#This Row],[State and Local Total Amount]]/tblMoeHistory[[#This Row],[Child Count]],0)</f>
        <v>14329.806226415094</v>
      </c>
      <c r="M1930">
        <v>0</v>
      </c>
      <c r="N1930" t="s">
        <v>241</v>
      </c>
      <c r="O1930">
        <v>69870.070000000007</v>
      </c>
      <c r="P1930">
        <v>553.79999999999995</v>
      </c>
      <c r="Q1930">
        <f>tblMoeHistory[[#This Row],[Amount of IDEA Part B, Section 611 award]]+tblMoeHistory[[#This Row],[Amount of IDEA Part B, Section 619 award]]</f>
        <v>70423.87000000001</v>
      </c>
      <c r="S1930">
        <v>0</v>
      </c>
      <c r="U19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0" t="str">
        <f>IF(OR(IFERROR(SEARCH("Met",tblMoeHistory[[#This Row],[State and Local Per Capita Result]]),0)&gt;0,IFERROR(SEARCH("Met",tblMoeHistory[[#This Row],[State and Local Total Result]]),0)&gt;0),"Met","Not Met")</f>
        <v>Met</v>
      </c>
    </row>
    <row r="1931" spans="1:22" x14ac:dyDescent="0.35">
      <c r="A1931" t="s">
        <v>179</v>
      </c>
      <c r="B1931">
        <v>2044</v>
      </c>
      <c r="C1931" t="s">
        <v>1537</v>
      </c>
      <c r="D1931">
        <v>184</v>
      </c>
      <c r="E1931">
        <v>1273410.54</v>
      </c>
      <c r="F1931">
        <v>465985.37</v>
      </c>
      <c r="G1931">
        <f>tblMoeHistory[[#This Row],[LEA State and Local Amount]]+tblMoeHistory[[#This Row],[ESD State and Local Amount]]</f>
        <v>1739395.9100000001</v>
      </c>
      <c r="H1931">
        <v>0</v>
      </c>
      <c r="I1931" t="s">
        <v>241</v>
      </c>
      <c r="J1931" s="44">
        <f>IFERROR(tblMoeHistory[[#This Row],[LEA State and Local Amount]]/tblMoeHistory[[#This Row],[Child Count]],0)</f>
        <v>6920.7094565217394</v>
      </c>
      <c r="K1931">
        <f>IFERROR(tblMoeHistory[[#This Row],[ESD State and Local Amount]]/tblMoeHistory[[#This Row],[Child Count]],0)</f>
        <v>2532.5291847826088</v>
      </c>
      <c r="L1931" s="1">
        <f>IFERROR(tblMoeHistory[[#This Row],[State and Local Total Amount]]/tblMoeHistory[[#This Row],[Child Count]],0)</f>
        <v>9453.2386413043478</v>
      </c>
      <c r="M1931">
        <v>-141734.21611764684</v>
      </c>
      <c r="N1931" t="s">
        <v>240</v>
      </c>
      <c r="O1931">
        <v>175499.17</v>
      </c>
      <c r="P1931">
        <v>1518.34</v>
      </c>
      <c r="Q1931">
        <f>tblMoeHistory[[#This Row],[Amount of IDEA Part B, Section 611 award]]+tblMoeHistory[[#This Row],[Amount of IDEA Part B, Section 619 award]]</f>
        <v>177017.51</v>
      </c>
      <c r="S1931">
        <v>0</v>
      </c>
      <c r="T1931">
        <v>0</v>
      </c>
      <c r="U19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1" t="str">
        <f>IF(OR(IFERROR(SEARCH("Met",tblMoeHistory[[#This Row],[State and Local Per Capita Result]]),0)&gt;0,IFERROR(SEARCH("Met",tblMoeHistory[[#This Row],[State and Local Total Result]]),0)&gt;0),"Met","Not Met")</f>
        <v>Met</v>
      </c>
    </row>
    <row r="1932" spans="1:22" x14ac:dyDescent="0.35">
      <c r="A1932" t="s">
        <v>180</v>
      </c>
      <c r="B1932">
        <v>2142</v>
      </c>
      <c r="C1932" t="s">
        <v>1537</v>
      </c>
      <c r="D1932">
        <v>6706</v>
      </c>
      <c r="E1932">
        <v>88919728.859999999</v>
      </c>
      <c r="F1932">
        <v>0</v>
      </c>
      <c r="G1932">
        <f>tblMoeHistory[[#This Row],[LEA State and Local Amount]]+tblMoeHistory[[#This Row],[ESD State and Local Amount]]</f>
        <v>88919728.859999999</v>
      </c>
      <c r="H1932">
        <v>0</v>
      </c>
      <c r="I1932" t="s">
        <v>241</v>
      </c>
      <c r="J1932" s="44">
        <f>IFERROR(tblMoeHistory[[#This Row],[LEA State and Local Amount]]/tblMoeHistory[[#This Row],[Child Count]],0)</f>
        <v>13259.726940053682</v>
      </c>
      <c r="K1932">
        <f>IFERROR(tblMoeHistory[[#This Row],[ESD State and Local Amount]]/tblMoeHistory[[#This Row],[Child Count]],0)</f>
        <v>0</v>
      </c>
      <c r="L1932" s="1">
        <f>IFERROR(tblMoeHistory[[#This Row],[State and Local Total Amount]]/tblMoeHistory[[#This Row],[Child Count]],0)</f>
        <v>13259.726940053682</v>
      </c>
      <c r="M1932">
        <v>0</v>
      </c>
      <c r="N1932" t="s">
        <v>241</v>
      </c>
      <c r="O1932">
        <v>7380013.7699999996</v>
      </c>
      <c r="P1932">
        <v>37354.18</v>
      </c>
      <c r="Q1932">
        <f>tblMoeHistory[[#This Row],[Amount of IDEA Part B, Section 611 award]]+tblMoeHistory[[#This Row],[Amount of IDEA Part B, Section 619 award]]</f>
        <v>7417367.9499999993</v>
      </c>
      <c r="S1932">
        <v>0</v>
      </c>
      <c r="U19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2" t="str">
        <f>IF(OR(IFERROR(SEARCH("Met",tblMoeHistory[[#This Row],[State and Local Per Capita Result]]),0)&gt;0,IFERROR(SEARCH("Met",tblMoeHistory[[#This Row],[State and Local Total Result]]),0)&gt;0),"Met","Not Met")</f>
        <v>Met</v>
      </c>
    </row>
    <row r="1933" spans="1:22" x14ac:dyDescent="0.35">
      <c r="A1933" t="s">
        <v>181</v>
      </c>
      <c r="B1933">
        <v>2104</v>
      </c>
      <c r="C1933" t="s">
        <v>1537</v>
      </c>
      <c r="D1933">
        <v>695</v>
      </c>
      <c r="E1933">
        <v>5075152.78</v>
      </c>
      <c r="F1933">
        <v>812100</v>
      </c>
      <c r="G1933">
        <f>tblMoeHistory[[#This Row],[LEA State and Local Amount]]+tblMoeHistory[[#This Row],[ESD State and Local Amount]]</f>
        <v>5887252.7800000003</v>
      </c>
      <c r="H1933">
        <v>0</v>
      </c>
      <c r="I1933" t="s">
        <v>241</v>
      </c>
      <c r="J1933" s="44">
        <f>IFERROR(tblMoeHistory[[#This Row],[LEA State and Local Amount]]/tblMoeHistory[[#This Row],[Child Count]],0)</f>
        <v>7302.3781007194248</v>
      </c>
      <c r="K1933">
        <f>IFERROR(tblMoeHistory[[#This Row],[ESD State and Local Amount]]/tblMoeHistory[[#This Row],[Child Count]],0)</f>
        <v>1168.4892086330935</v>
      </c>
      <c r="L1933" s="1">
        <f>IFERROR(tblMoeHistory[[#This Row],[State and Local Total Amount]]/tblMoeHistory[[#This Row],[Child Count]],0)</f>
        <v>8470.8673093525176</v>
      </c>
      <c r="M1933">
        <v>0</v>
      </c>
      <c r="N1933" t="s">
        <v>242</v>
      </c>
      <c r="O1933">
        <v>509974.4</v>
      </c>
      <c r="P1933">
        <v>2295.33</v>
      </c>
      <c r="Q1933">
        <f>tblMoeHistory[[#This Row],[Amount of IDEA Part B, Section 611 award]]+tblMoeHistory[[#This Row],[Amount of IDEA Part B, Section 619 award]]</f>
        <v>512269.73000000004</v>
      </c>
      <c r="S1933">
        <v>0</v>
      </c>
      <c r="T1933">
        <v>5085.97</v>
      </c>
      <c r="U19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3" t="str">
        <f>IF(OR(IFERROR(SEARCH("Met",tblMoeHistory[[#This Row],[State and Local Per Capita Result]]),0)&gt;0,IFERROR(SEARCH("Met",tblMoeHistory[[#This Row],[State and Local Total Result]]),0)&gt;0),"Met","Not Met")</f>
        <v>Met</v>
      </c>
    </row>
    <row r="1934" spans="1:22" x14ac:dyDescent="0.35">
      <c r="A1934" t="s">
        <v>182</v>
      </c>
      <c r="B1934">
        <v>1944</v>
      </c>
      <c r="C1934" t="s">
        <v>1537</v>
      </c>
      <c r="D1934">
        <v>322</v>
      </c>
      <c r="E1934">
        <v>3369083.14</v>
      </c>
      <c r="F1934">
        <v>731539</v>
      </c>
      <c r="G1934">
        <f>tblMoeHistory[[#This Row],[LEA State and Local Amount]]+tblMoeHistory[[#This Row],[ESD State and Local Amount]]</f>
        <v>4100622.14</v>
      </c>
      <c r="H1934">
        <v>0</v>
      </c>
      <c r="I1934" t="s">
        <v>241</v>
      </c>
      <c r="J1934" s="44">
        <f>IFERROR(tblMoeHistory[[#This Row],[LEA State and Local Amount]]/tblMoeHistory[[#This Row],[Child Count]],0)</f>
        <v>10462.991118012424</v>
      </c>
      <c r="K1934">
        <f>IFERROR(tblMoeHistory[[#This Row],[ESD State and Local Amount]]/tblMoeHistory[[#This Row],[Child Count]],0)</f>
        <v>2271.8602484472049</v>
      </c>
      <c r="L1934" s="1">
        <f>IFERROR(tblMoeHistory[[#This Row],[State and Local Total Amount]]/tblMoeHistory[[#This Row],[Child Count]],0)</f>
        <v>12734.851366459628</v>
      </c>
      <c r="M1934">
        <v>-284804.38921259815</v>
      </c>
      <c r="N1934" t="s">
        <v>240</v>
      </c>
      <c r="O1934">
        <v>348081.91</v>
      </c>
      <c r="P1934">
        <v>4899.32</v>
      </c>
      <c r="Q1934">
        <f>tblMoeHistory[[#This Row],[Amount of IDEA Part B, Section 611 award]]+tblMoeHistory[[#This Row],[Amount of IDEA Part B, Section 619 award]]</f>
        <v>352981.23</v>
      </c>
      <c r="S1934">
        <v>0</v>
      </c>
      <c r="T1934">
        <v>0</v>
      </c>
      <c r="U19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4" t="str">
        <f>IF(OR(IFERROR(SEARCH("Met",tblMoeHistory[[#This Row],[State and Local Per Capita Result]]),0)&gt;0,IFERROR(SEARCH("Met",tblMoeHistory[[#This Row],[State and Local Total Result]]),0)&gt;0),"Met","Not Met")</f>
        <v>Met</v>
      </c>
    </row>
    <row r="1935" spans="1:22" x14ac:dyDescent="0.35">
      <c r="A1935" t="s">
        <v>183</v>
      </c>
      <c r="B1935">
        <v>2103</v>
      </c>
      <c r="C1935" t="s">
        <v>1537</v>
      </c>
      <c r="D1935">
        <v>97</v>
      </c>
      <c r="E1935">
        <v>515245.19</v>
      </c>
      <c r="F1935">
        <v>106912</v>
      </c>
      <c r="G1935">
        <f>tblMoeHistory[[#This Row],[LEA State and Local Amount]]+tblMoeHistory[[#This Row],[ESD State and Local Amount]]</f>
        <v>622157.18999999994</v>
      </c>
      <c r="H1935">
        <v>0</v>
      </c>
      <c r="I1935" t="s">
        <v>241</v>
      </c>
      <c r="J1935" s="44">
        <f>IFERROR(tblMoeHistory[[#This Row],[LEA State and Local Amount]]/tblMoeHistory[[#This Row],[Child Count]],0)</f>
        <v>5311.806082474227</v>
      </c>
      <c r="K1935">
        <f>IFERROR(tblMoeHistory[[#This Row],[ESD State and Local Amount]]/tblMoeHistory[[#This Row],[Child Count]],0)</f>
        <v>1102.1855670103093</v>
      </c>
      <c r="L1935" s="1">
        <f>IFERROR(tblMoeHistory[[#This Row],[State and Local Total Amount]]/tblMoeHistory[[#This Row],[Child Count]],0)</f>
        <v>6413.9916494845356</v>
      </c>
      <c r="M1935">
        <v>-204489.49972602742</v>
      </c>
      <c r="N1935" t="s">
        <v>240</v>
      </c>
      <c r="O1935">
        <v>130713.87</v>
      </c>
      <c r="P1935">
        <v>596.01</v>
      </c>
      <c r="Q1935">
        <f>tblMoeHistory[[#This Row],[Amount of IDEA Part B, Section 611 award]]+tblMoeHistory[[#This Row],[Amount of IDEA Part B, Section 619 award]]</f>
        <v>131309.88</v>
      </c>
      <c r="S1935">
        <v>0</v>
      </c>
      <c r="T1935">
        <v>0</v>
      </c>
      <c r="U19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5" t="str">
        <f>IF(OR(IFERROR(SEARCH("Met",tblMoeHistory[[#This Row],[State and Local Per Capita Result]]),0)&gt;0,IFERROR(SEARCH("Met",tblMoeHistory[[#This Row],[State and Local Total Result]]),0)&gt;0),"Met","Not Met")</f>
        <v>Met</v>
      </c>
    </row>
    <row r="1936" spans="1:22" x14ac:dyDescent="0.35">
      <c r="A1936" t="s">
        <v>184</v>
      </c>
      <c r="B1936">
        <v>1935</v>
      </c>
      <c r="C1936" t="s">
        <v>1537</v>
      </c>
      <c r="D1936">
        <v>253</v>
      </c>
      <c r="E1936">
        <v>2747846.82</v>
      </c>
      <c r="F1936">
        <v>486026</v>
      </c>
      <c r="G1936">
        <f>tblMoeHistory[[#This Row],[LEA State and Local Amount]]+tblMoeHistory[[#This Row],[ESD State and Local Amount]]</f>
        <v>3233872.82</v>
      </c>
      <c r="H1936">
        <v>0</v>
      </c>
      <c r="I1936" t="s">
        <v>241</v>
      </c>
      <c r="J1936" s="44">
        <f>IFERROR(tblMoeHistory[[#This Row],[LEA State and Local Amount]]/tblMoeHistory[[#This Row],[Child Count]],0)</f>
        <v>10861.054624505929</v>
      </c>
      <c r="K1936">
        <f>IFERROR(tblMoeHistory[[#This Row],[ESD State and Local Amount]]/tblMoeHistory[[#This Row],[Child Count]],0)</f>
        <v>1921.0513833992095</v>
      </c>
      <c r="L1936" s="1">
        <f>IFERROR(tblMoeHistory[[#This Row],[State and Local Total Amount]]/tblMoeHistory[[#This Row],[Child Count]],0)</f>
        <v>12782.106007905139</v>
      </c>
      <c r="M1936">
        <v>0</v>
      </c>
      <c r="N1936" t="s">
        <v>241</v>
      </c>
      <c r="O1936">
        <v>263649.53000000003</v>
      </c>
      <c r="P1936">
        <v>3030.24</v>
      </c>
      <c r="Q1936">
        <f>tblMoeHistory[[#This Row],[Amount of IDEA Part B, Section 611 award]]+tblMoeHistory[[#This Row],[Amount of IDEA Part B, Section 619 award]]</f>
        <v>266679.77</v>
      </c>
      <c r="S1936">
        <v>0</v>
      </c>
      <c r="U19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6" t="str">
        <f>IF(OR(IFERROR(SEARCH("Met",tblMoeHistory[[#This Row],[State and Local Per Capita Result]]),0)&gt;0,IFERROR(SEARCH("Met",tblMoeHistory[[#This Row],[State and Local Total Result]]),0)&gt;0),"Met","Not Met")</f>
        <v>Met</v>
      </c>
    </row>
    <row r="1937" spans="1:22" x14ac:dyDescent="0.35">
      <c r="A1937" t="s">
        <v>185</v>
      </c>
      <c r="B1937">
        <v>2257</v>
      </c>
      <c r="C1937" t="s">
        <v>1537</v>
      </c>
      <c r="D1937">
        <v>119</v>
      </c>
      <c r="E1937">
        <v>925815.3</v>
      </c>
      <c r="F1937">
        <v>213731.94</v>
      </c>
      <c r="G1937">
        <f>tblMoeHistory[[#This Row],[LEA State and Local Amount]]+tblMoeHistory[[#This Row],[ESD State and Local Amount]]</f>
        <v>1139547.24</v>
      </c>
      <c r="H1937">
        <v>0</v>
      </c>
      <c r="I1937" t="s">
        <v>241</v>
      </c>
      <c r="J1937" s="44">
        <f>IFERROR(tblMoeHistory[[#This Row],[LEA State and Local Amount]]/tblMoeHistory[[#This Row],[Child Count]],0)</f>
        <v>7779.960504201681</v>
      </c>
      <c r="K1937">
        <f>IFERROR(tblMoeHistory[[#This Row],[ESD State and Local Amount]]/tblMoeHistory[[#This Row],[Child Count]],0)</f>
        <v>1796.0667226890757</v>
      </c>
      <c r="L1937" s="1">
        <f>IFERROR(tblMoeHistory[[#This Row],[State and Local Total Amount]]/tblMoeHistory[[#This Row],[Child Count]],0)</f>
        <v>9576.0272268907556</v>
      </c>
      <c r="M1937">
        <v>0</v>
      </c>
      <c r="N1937" t="s">
        <v>242</v>
      </c>
      <c r="O1937">
        <v>157901.24</v>
      </c>
      <c r="P1937">
        <v>2445.71</v>
      </c>
      <c r="Q1937">
        <f>tblMoeHistory[[#This Row],[Amount of IDEA Part B, Section 611 award]]+tblMoeHistory[[#This Row],[Amount of IDEA Part B, Section 619 award]]</f>
        <v>160346.94999999998</v>
      </c>
      <c r="S1937">
        <v>0</v>
      </c>
      <c r="T1937">
        <v>2104.85</v>
      </c>
      <c r="U19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7" t="str">
        <f>IF(OR(IFERROR(SEARCH("Met",tblMoeHistory[[#This Row],[State and Local Per Capita Result]]),0)&gt;0,IFERROR(SEARCH("Met",tblMoeHistory[[#This Row],[State and Local Total Result]]),0)&gt;0),"Met","Not Met")</f>
        <v>Met</v>
      </c>
    </row>
    <row r="1938" spans="1:22" x14ac:dyDescent="0.35">
      <c r="A1938" t="s">
        <v>186</v>
      </c>
      <c r="B1938">
        <v>2195</v>
      </c>
      <c r="C1938" t="s">
        <v>1537</v>
      </c>
      <c r="D1938">
        <v>40</v>
      </c>
      <c r="E1938">
        <v>73519.820000000007</v>
      </c>
      <c r="F1938">
        <v>225354</v>
      </c>
      <c r="G1938">
        <f>tblMoeHistory[[#This Row],[LEA State and Local Amount]]+tblMoeHistory[[#This Row],[ESD State and Local Amount]]</f>
        <v>298873.82</v>
      </c>
      <c r="H1938">
        <v>0</v>
      </c>
      <c r="I1938" t="s">
        <v>242</v>
      </c>
      <c r="J1938" s="44">
        <f>IFERROR(tblMoeHistory[[#This Row],[LEA State and Local Amount]]/tblMoeHistory[[#This Row],[Child Count]],0)</f>
        <v>1837.9955000000002</v>
      </c>
      <c r="K1938">
        <f>IFERROR(tblMoeHistory[[#This Row],[ESD State and Local Amount]]/tblMoeHistory[[#This Row],[Child Count]],0)</f>
        <v>5633.85</v>
      </c>
      <c r="L1938" s="1">
        <f>IFERROR(tblMoeHistory[[#This Row],[State and Local Total Amount]]/tblMoeHistory[[#This Row],[Child Count]],0)</f>
        <v>7471.8455000000004</v>
      </c>
      <c r="M1938">
        <v>-5903.8481704260375</v>
      </c>
      <c r="N1938" t="s">
        <v>240</v>
      </c>
      <c r="O1938">
        <v>44609.35</v>
      </c>
      <c r="P1938">
        <v>495.28</v>
      </c>
      <c r="Q1938">
        <f>tblMoeHistory[[#This Row],[Amount of IDEA Part B, Section 611 award]]+tblMoeHistory[[#This Row],[Amount of IDEA Part B, Section 619 award]]</f>
        <v>45104.63</v>
      </c>
      <c r="S1938">
        <v>14580.325238095238</v>
      </c>
      <c r="T1938">
        <v>383.69</v>
      </c>
      <c r="U19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8" t="str">
        <f>IF(OR(IFERROR(SEARCH("Met",tblMoeHistory[[#This Row],[State and Local Per Capita Result]]),0)&gt;0,IFERROR(SEARCH("Met",tblMoeHistory[[#This Row],[State and Local Total Result]]),0)&gt;0),"Met","Not Met")</f>
        <v>Met</v>
      </c>
    </row>
    <row r="1939" spans="1:22" x14ac:dyDescent="0.35">
      <c r="A1939" t="s">
        <v>187</v>
      </c>
      <c r="B1939">
        <v>2244</v>
      </c>
      <c r="C1939" t="s">
        <v>1537</v>
      </c>
      <c r="D1939">
        <v>578</v>
      </c>
      <c r="E1939">
        <v>5974993.46</v>
      </c>
      <c r="F1939">
        <v>921595</v>
      </c>
      <c r="G1939">
        <f>tblMoeHistory[[#This Row],[LEA State and Local Amount]]+tblMoeHistory[[#This Row],[ESD State and Local Amount]]</f>
        <v>6896588.46</v>
      </c>
      <c r="H1939">
        <v>0</v>
      </c>
      <c r="I1939" t="s">
        <v>241</v>
      </c>
      <c r="J1939" s="44">
        <f>IFERROR(tblMoeHistory[[#This Row],[LEA State and Local Amount]]/tblMoeHistory[[#This Row],[Child Count]],0)</f>
        <v>10337.358927335639</v>
      </c>
      <c r="K1939">
        <f>IFERROR(tblMoeHistory[[#This Row],[ESD State and Local Amount]]/tblMoeHistory[[#This Row],[Child Count]],0)</f>
        <v>1594.455017301038</v>
      </c>
      <c r="L1939" s="1">
        <f>IFERROR(tblMoeHistory[[#This Row],[State and Local Total Amount]]/tblMoeHistory[[#This Row],[Child Count]],0)</f>
        <v>11931.813944636679</v>
      </c>
      <c r="M1939">
        <v>0</v>
      </c>
      <c r="N1939" t="s">
        <v>241</v>
      </c>
      <c r="O1939">
        <v>624049.1</v>
      </c>
      <c r="P1939">
        <v>2588.9299999999998</v>
      </c>
      <c r="Q1939">
        <f>tblMoeHistory[[#This Row],[Amount of IDEA Part B, Section 611 award]]+tblMoeHistory[[#This Row],[Amount of IDEA Part B, Section 619 award]]</f>
        <v>626638.03</v>
      </c>
      <c r="S1939">
        <v>0</v>
      </c>
      <c r="U19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9" t="str">
        <f>IF(OR(IFERROR(SEARCH("Met",tblMoeHistory[[#This Row],[State and Local Per Capita Result]]),0)&gt;0,IFERROR(SEARCH("Met",tblMoeHistory[[#This Row],[State and Local Total Result]]),0)&gt;0),"Met","Not Met")</f>
        <v>Met</v>
      </c>
    </row>
    <row r="1940" spans="1:22" x14ac:dyDescent="0.35">
      <c r="A1940" t="s">
        <v>188</v>
      </c>
      <c r="B1940">
        <v>2138</v>
      </c>
      <c r="C1940" t="s">
        <v>1537</v>
      </c>
      <c r="D1940">
        <v>519</v>
      </c>
      <c r="E1940">
        <v>6314796.5599999996</v>
      </c>
      <c r="F1940">
        <v>293222.8</v>
      </c>
      <c r="G1940">
        <f>tblMoeHistory[[#This Row],[LEA State and Local Amount]]+tblMoeHistory[[#This Row],[ESD State and Local Amount]]</f>
        <v>6608019.3599999994</v>
      </c>
      <c r="H1940">
        <v>0</v>
      </c>
      <c r="I1940" t="s">
        <v>241</v>
      </c>
      <c r="J1940" s="44">
        <f>IFERROR(tblMoeHistory[[#This Row],[LEA State and Local Amount]]/tblMoeHistory[[#This Row],[Child Count]],0)</f>
        <v>12167.238073217726</v>
      </c>
      <c r="K1940">
        <f>IFERROR(tblMoeHistory[[#This Row],[ESD State and Local Amount]]/tblMoeHistory[[#This Row],[Child Count]],0)</f>
        <v>564.97649325626207</v>
      </c>
      <c r="L1940" s="1">
        <f>IFERROR(tblMoeHistory[[#This Row],[State and Local Total Amount]]/tblMoeHistory[[#This Row],[Child Count]],0)</f>
        <v>12732.214566473987</v>
      </c>
      <c r="M1940">
        <v>0</v>
      </c>
      <c r="N1940" t="s">
        <v>241</v>
      </c>
      <c r="O1940">
        <v>574409.1</v>
      </c>
      <c r="P1940">
        <v>763.99</v>
      </c>
      <c r="Q1940">
        <f>tblMoeHistory[[#This Row],[Amount of IDEA Part B, Section 611 award]]+tblMoeHistory[[#This Row],[Amount of IDEA Part B, Section 619 award]]</f>
        <v>575173.09</v>
      </c>
      <c r="S1940">
        <v>0</v>
      </c>
      <c r="U19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0" t="str">
        <f>IF(OR(IFERROR(SEARCH("Met",tblMoeHistory[[#This Row],[State and Local Per Capita Result]]),0)&gt;0,IFERROR(SEARCH("Met",tblMoeHistory[[#This Row],[State and Local Total Result]]),0)&gt;0),"Met","Not Met")</f>
        <v>Met</v>
      </c>
    </row>
    <row r="1941" spans="1:22" x14ac:dyDescent="0.35">
      <c r="A1941" t="s">
        <v>189</v>
      </c>
      <c r="B1941">
        <v>1978</v>
      </c>
      <c r="C1941" t="s">
        <v>1537</v>
      </c>
      <c r="D1941">
        <v>112</v>
      </c>
      <c r="E1941">
        <v>958966.38</v>
      </c>
      <c r="F1941">
        <v>147702.60999999999</v>
      </c>
      <c r="G1941">
        <f>tblMoeHistory[[#This Row],[LEA State and Local Amount]]+tblMoeHistory[[#This Row],[ESD State and Local Amount]]</f>
        <v>1106668.99</v>
      </c>
      <c r="H1941">
        <v>0</v>
      </c>
      <c r="I1941" t="s">
        <v>241</v>
      </c>
      <c r="J1941" s="44">
        <f>IFERROR(tblMoeHistory[[#This Row],[LEA State and Local Amount]]/tblMoeHistory[[#This Row],[Child Count]],0)</f>
        <v>8562.1998214285722</v>
      </c>
      <c r="K1941">
        <f>IFERROR(tblMoeHistory[[#This Row],[ESD State and Local Amount]]/tblMoeHistory[[#This Row],[Child Count]],0)</f>
        <v>1318.7733035714284</v>
      </c>
      <c r="L1941" s="1">
        <f>IFERROR(tblMoeHistory[[#This Row],[State and Local Total Amount]]/tblMoeHistory[[#This Row],[Child Count]],0)</f>
        <v>9880.9731250000004</v>
      </c>
      <c r="M1941">
        <v>-35757.128834951465</v>
      </c>
      <c r="N1941" t="s">
        <v>240</v>
      </c>
      <c r="O1941">
        <v>169907.58</v>
      </c>
      <c r="P1941">
        <v>971.1</v>
      </c>
      <c r="Q1941">
        <f>tblMoeHistory[[#This Row],[Amount of IDEA Part B, Section 611 award]]+tblMoeHistory[[#This Row],[Amount of IDEA Part B, Section 619 award]]</f>
        <v>170878.68</v>
      </c>
      <c r="S1941">
        <v>0</v>
      </c>
      <c r="T1941">
        <v>0</v>
      </c>
      <c r="U19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1" t="str">
        <f>IF(OR(IFERROR(SEARCH("Met",tblMoeHistory[[#This Row],[State and Local Per Capita Result]]),0)&gt;0,IFERROR(SEARCH("Met",tblMoeHistory[[#This Row],[State and Local Total Result]]),0)&gt;0),"Met","Not Met")</f>
        <v>Met</v>
      </c>
    </row>
    <row r="1942" spans="1:22" x14ac:dyDescent="0.35">
      <c r="A1942" t="s">
        <v>190</v>
      </c>
      <c r="B1942">
        <v>2096</v>
      </c>
      <c r="C1942" t="s">
        <v>1537</v>
      </c>
      <c r="D1942">
        <v>199</v>
      </c>
      <c r="E1942">
        <v>1994318.5</v>
      </c>
      <c r="F1942">
        <v>204014</v>
      </c>
      <c r="G1942">
        <f>tblMoeHistory[[#This Row],[LEA State and Local Amount]]+tblMoeHistory[[#This Row],[ESD State and Local Amount]]</f>
        <v>2198332.5</v>
      </c>
      <c r="H1942">
        <v>0</v>
      </c>
      <c r="I1942" t="s">
        <v>241</v>
      </c>
      <c r="J1942" s="44">
        <f>IFERROR(tblMoeHistory[[#This Row],[LEA State and Local Amount]]/tblMoeHistory[[#This Row],[Child Count]],0)</f>
        <v>10021.701005025127</v>
      </c>
      <c r="K1942">
        <f>IFERROR(tblMoeHistory[[#This Row],[ESD State and Local Amount]]/tblMoeHistory[[#This Row],[Child Count]],0)</f>
        <v>1025.1959798994974</v>
      </c>
      <c r="L1942" s="1">
        <f>IFERROR(tblMoeHistory[[#This Row],[State and Local Total Amount]]/tblMoeHistory[[#This Row],[Child Count]],0)</f>
        <v>11046.896984924622</v>
      </c>
      <c r="M1942">
        <v>0</v>
      </c>
      <c r="N1942" t="s">
        <v>241</v>
      </c>
      <c r="O1942">
        <v>264171.07</v>
      </c>
      <c r="P1942">
        <v>583.71</v>
      </c>
      <c r="Q1942">
        <f>tblMoeHistory[[#This Row],[Amount of IDEA Part B, Section 611 award]]+tblMoeHistory[[#This Row],[Amount of IDEA Part B, Section 619 award]]</f>
        <v>264754.78000000003</v>
      </c>
      <c r="S1942">
        <v>0</v>
      </c>
      <c r="U19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2" t="str">
        <f>IF(OR(IFERROR(SEARCH("Met",tblMoeHistory[[#This Row],[State and Local Per Capita Result]]),0)&gt;0,IFERROR(SEARCH("Met",tblMoeHistory[[#This Row],[State and Local Total Result]]),0)&gt;0),"Met","Not Met")</f>
        <v>Met</v>
      </c>
    </row>
    <row r="1943" spans="1:22" x14ac:dyDescent="0.35">
      <c r="A1943" t="s">
        <v>191</v>
      </c>
      <c r="B1943">
        <v>2022</v>
      </c>
      <c r="C1943" t="s">
        <v>1537</v>
      </c>
      <c r="D1943">
        <v>3</v>
      </c>
      <c r="E1943">
        <v>10927</v>
      </c>
      <c r="F1943">
        <v>10108.9</v>
      </c>
      <c r="G1943">
        <f>tblMoeHistory[[#This Row],[LEA State and Local Amount]]+tblMoeHistory[[#This Row],[ESD State and Local Amount]]</f>
        <v>21035.9</v>
      </c>
      <c r="H1943">
        <v>0</v>
      </c>
      <c r="I1943" t="s">
        <v>241</v>
      </c>
      <c r="J1943" s="44">
        <f>IFERROR(tblMoeHistory[[#This Row],[LEA State and Local Amount]]/tblMoeHistory[[#This Row],[Child Count]],0)</f>
        <v>3642.3333333333335</v>
      </c>
      <c r="K1943">
        <f>IFERROR(tblMoeHistory[[#This Row],[ESD State and Local Amount]]/tblMoeHistory[[#This Row],[Child Count]],0)</f>
        <v>3369.6333333333332</v>
      </c>
      <c r="L1943" s="1">
        <f>IFERROR(tblMoeHistory[[#This Row],[State and Local Total Amount]]/tblMoeHistory[[#This Row],[Child Count]],0)</f>
        <v>7011.9666666666672</v>
      </c>
      <c r="M1943">
        <v>-1345.5999999999985</v>
      </c>
      <c r="N1943" t="s">
        <v>240</v>
      </c>
      <c r="O1943">
        <v>3347.16</v>
      </c>
      <c r="P1943">
        <v>3.48</v>
      </c>
      <c r="Q1943">
        <f>tblMoeHistory[[#This Row],[Amount of IDEA Part B, Section 611 award]]+tblMoeHistory[[#This Row],[Amount of IDEA Part B, Section 619 award]]</f>
        <v>3350.64</v>
      </c>
      <c r="S1943">
        <v>0</v>
      </c>
      <c r="T1943">
        <v>0</v>
      </c>
      <c r="U19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3" t="str">
        <f>IF(OR(IFERROR(SEARCH("Met",tblMoeHistory[[#This Row],[State and Local Per Capita Result]]),0)&gt;0,IFERROR(SEARCH("Met",tblMoeHistory[[#This Row],[State and Local Total Result]]),0)&gt;0),"Met","Not Met")</f>
        <v>Met</v>
      </c>
    </row>
    <row r="1944" spans="1:22" x14ac:dyDescent="0.35">
      <c r="A1944" t="s">
        <v>192</v>
      </c>
      <c r="B1944">
        <v>2087</v>
      </c>
      <c r="C1944" t="s">
        <v>1537</v>
      </c>
      <c r="D1944">
        <v>505</v>
      </c>
      <c r="E1944">
        <v>4966381.97</v>
      </c>
      <c r="F1944">
        <v>996501</v>
      </c>
      <c r="G1944">
        <f>tblMoeHistory[[#This Row],[LEA State and Local Amount]]+tblMoeHistory[[#This Row],[ESD State and Local Amount]]</f>
        <v>5962882.9699999997</v>
      </c>
      <c r="H1944">
        <v>0</v>
      </c>
      <c r="I1944" t="s">
        <v>241</v>
      </c>
      <c r="J1944" s="44">
        <f>IFERROR(tblMoeHistory[[#This Row],[LEA State and Local Amount]]/tblMoeHistory[[#This Row],[Child Count]],0)</f>
        <v>9834.4197425742568</v>
      </c>
      <c r="K1944">
        <f>IFERROR(tblMoeHistory[[#This Row],[ESD State and Local Amount]]/tblMoeHistory[[#This Row],[Child Count]],0)</f>
        <v>1973.2693069306931</v>
      </c>
      <c r="L1944" s="1">
        <f>IFERROR(tblMoeHistory[[#This Row],[State and Local Total Amount]]/tblMoeHistory[[#This Row],[Child Count]],0)</f>
        <v>11807.68904950495</v>
      </c>
      <c r="M1944">
        <v>0</v>
      </c>
      <c r="N1944" t="s">
        <v>241</v>
      </c>
      <c r="O1944">
        <v>526325.78</v>
      </c>
      <c r="P1944">
        <v>5504.61</v>
      </c>
      <c r="Q1944">
        <f>tblMoeHistory[[#This Row],[Amount of IDEA Part B, Section 611 award]]+tblMoeHistory[[#This Row],[Amount of IDEA Part B, Section 619 award]]</f>
        <v>531830.39</v>
      </c>
      <c r="S1944">
        <v>0</v>
      </c>
      <c r="U19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4" t="str">
        <f>IF(OR(IFERROR(SEARCH("Met",tblMoeHistory[[#This Row],[State and Local Per Capita Result]]),0)&gt;0,IFERROR(SEARCH("Met",tblMoeHistory[[#This Row],[State and Local Total Result]]),0)&gt;0),"Met","Not Met")</f>
        <v>Met</v>
      </c>
    </row>
    <row r="1945" spans="1:22" x14ac:dyDescent="0.35">
      <c r="A1945" t="s">
        <v>193</v>
      </c>
      <c r="B1945">
        <v>1994</v>
      </c>
      <c r="C1945" t="s">
        <v>1537</v>
      </c>
      <c r="D1945">
        <v>271</v>
      </c>
      <c r="E1945">
        <v>1950519</v>
      </c>
      <c r="F1945">
        <v>381690.58</v>
      </c>
      <c r="G1945">
        <f>tblMoeHistory[[#This Row],[LEA State and Local Amount]]+tblMoeHistory[[#This Row],[ESD State and Local Amount]]</f>
        <v>2332209.58</v>
      </c>
      <c r="H1945">
        <v>0</v>
      </c>
      <c r="I1945" t="s">
        <v>241</v>
      </c>
      <c r="J1945" s="44">
        <f>IFERROR(tblMoeHistory[[#This Row],[LEA State and Local Amount]]/tblMoeHistory[[#This Row],[Child Count]],0)</f>
        <v>7197.4870848708488</v>
      </c>
      <c r="K1945">
        <f>IFERROR(tblMoeHistory[[#This Row],[ESD State and Local Amount]]/tblMoeHistory[[#This Row],[Child Count]],0)</f>
        <v>1408.4523247232473</v>
      </c>
      <c r="L1945" s="1">
        <f>IFERROR(tblMoeHistory[[#This Row],[State and Local Total Amount]]/tblMoeHistory[[#This Row],[Child Count]],0)</f>
        <v>8605.939409594097</v>
      </c>
      <c r="M1945">
        <v>-451094.26756097528</v>
      </c>
      <c r="N1945" t="s">
        <v>240</v>
      </c>
      <c r="O1945">
        <v>324986.07</v>
      </c>
      <c r="P1945">
        <v>3500.04</v>
      </c>
      <c r="Q1945">
        <f>tblMoeHistory[[#This Row],[Amount of IDEA Part B, Section 611 award]]+tblMoeHistory[[#This Row],[Amount of IDEA Part B, Section 619 award]]</f>
        <v>328486.11</v>
      </c>
      <c r="S1945">
        <v>0</v>
      </c>
      <c r="T1945">
        <v>839.03</v>
      </c>
      <c r="U19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5" t="str">
        <f>IF(OR(IFERROR(SEARCH("Met",tblMoeHistory[[#This Row],[State and Local Per Capita Result]]),0)&gt;0,IFERROR(SEARCH("Met",tblMoeHistory[[#This Row],[State and Local Total Result]]),0)&gt;0),"Met","Not Met")</f>
        <v>Met</v>
      </c>
    </row>
    <row r="1946" spans="1:22" x14ac:dyDescent="0.35">
      <c r="A1946" t="s">
        <v>194</v>
      </c>
      <c r="B1946">
        <v>2225</v>
      </c>
      <c r="C1946" t="s">
        <v>1537</v>
      </c>
      <c r="D1946">
        <v>32</v>
      </c>
      <c r="E1946">
        <v>279762.01</v>
      </c>
      <c r="F1946">
        <v>28600</v>
      </c>
      <c r="G1946">
        <f>tblMoeHistory[[#This Row],[LEA State and Local Amount]]+tblMoeHistory[[#This Row],[ESD State and Local Amount]]</f>
        <v>308362.01</v>
      </c>
      <c r="H1946">
        <v>0</v>
      </c>
      <c r="I1946" t="s">
        <v>241</v>
      </c>
      <c r="J1946" s="44">
        <f>IFERROR(tblMoeHistory[[#This Row],[LEA State and Local Amount]]/tblMoeHistory[[#This Row],[Child Count]],0)</f>
        <v>8742.5628125000003</v>
      </c>
      <c r="K1946">
        <f>IFERROR(tblMoeHistory[[#This Row],[ESD State and Local Amount]]/tblMoeHistory[[#This Row],[Child Count]],0)</f>
        <v>893.75</v>
      </c>
      <c r="L1946" s="1">
        <f>IFERROR(tblMoeHistory[[#This Row],[State and Local Total Amount]]/tblMoeHistory[[#This Row],[Child Count]],0)</f>
        <v>9636.3128125000003</v>
      </c>
      <c r="M1946">
        <v>0</v>
      </c>
      <c r="N1946" t="s">
        <v>242</v>
      </c>
      <c r="O1946">
        <v>51686.400000000001</v>
      </c>
      <c r="P1946">
        <v>498.76</v>
      </c>
      <c r="Q1946">
        <f>tblMoeHistory[[#This Row],[Amount of IDEA Part B, Section 611 award]]+tblMoeHistory[[#This Row],[Amount of IDEA Part B, Section 619 award]]</f>
        <v>52185.16</v>
      </c>
      <c r="S1946">
        <v>0</v>
      </c>
      <c r="T1946">
        <v>1006.39</v>
      </c>
      <c r="U19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6" t="str">
        <f>IF(OR(IFERROR(SEARCH("Met",tblMoeHistory[[#This Row],[State and Local Per Capita Result]]),0)&gt;0,IFERROR(SEARCH("Met",tblMoeHistory[[#This Row],[State and Local Total Result]]),0)&gt;0),"Met","Not Met")</f>
        <v>Met</v>
      </c>
    </row>
    <row r="1947" spans="1:22" x14ac:dyDescent="0.35">
      <c r="A1947" t="s">
        <v>195</v>
      </c>
      <c r="B1947">
        <v>2247</v>
      </c>
      <c r="C1947" t="s">
        <v>1537</v>
      </c>
      <c r="D1947">
        <v>5</v>
      </c>
      <c r="E1947">
        <v>19232.61</v>
      </c>
      <c r="F1947">
        <v>50112</v>
      </c>
      <c r="G1947">
        <f>tblMoeHistory[[#This Row],[LEA State and Local Amount]]+tblMoeHistory[[#This Row],[ESD State and Local Amount]]</f>
        <v>69344.61</v>
      </c>
      <c r="H1947">
        <v>0</v>
      </c>
      <c r="I1947" t="s">
        <v>241</v>
      </c>
      <c r="J1947" s="44">
        <f>IFERROR(tblMoeHistory[[#This Row],[LEA State and Local Amount]]/tblMoeHistory[[#This Row],[Child Count]],0)</f>
        <v>3846.5219999999999</v>
      </c>
      <c r="K1947">
        <f>IFERROR(tblMoeHistory[[#This Row],[ESD State and Local Amount]]/tblMoeHistory[[#This Row],[Child Count]],0)</f>
        <v>10022.4</v>
      </c>
      <c r="L1947" s="1">
        <f>IFERROR(tblMoeHistory[[#This Row],[State and Local Total Amount]]/tblMoeHistory[[#This Row],[Child Count]],0)</f>
        <v>13868.922</v>
      </c>
      <c r="M1947">
        <v>-44846.590000000004</v>
      </c>
      <c r="N1947" t="s">
        <v>240</v>
      </c>
      <c r="O1947">
        <v>5096.78</v>
      </c>
      <c r="P1947">
        <v>0</v>
      </c>
      <c r="Q1947">
        <f>tblMoeHistory[[#This Row],[Amount of IDEA Part B, Section 611 award]]+tblMoeHistory[[#This Row],[Amount of IDEA Part B, Section 619 award]]</f>
        <v>5096.78</v>
      </c>
      <c r="S1947">
        <v>0</v>
      </c>
      <c r="T1947">
        <v>0</v>
      </c>
      <c r="U19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7" t="str">
        <f>IF(OR(IFERROR(SEARCH("Met",tblMoeHistory[[#This Row],[State and Local Per Capita Result]]),0)&gt;0,IFERROR(SEARCH("Met",tblMoeHistory[[#This Row],[State and Local Total Result]]),0)&gt;0),"Met","Not Met")</f>
        <v>Met</v>
      </c>
    </row>
    <row r="1948" spans="1:22" x14ac:dyDescent="0.35">
      <c r="A1948" t="s">
        <v>196</v>
      </c>
      <c r="B1948">
        <v>2083</v>
      </c>
      <c r="C1948" t="s">
        <v>1537</v>
      </c>
      <c r="D1948">
        <v>1690</v>
      </c>
      <c r="E1948">
        <v>19897208.309999999</v>
      </c>
      <c r="F1948">
        <v>2383274</v>
      </c>
      <c r="G1948">
        <f>tblMoeHistory[[#This Row],[LEA State and Local Amount]]+tblMoeHistory[[#This Row],[ESD State and Local Amount]]</f>
        <v>22280482.309999999</v>
      </c>
      <c r="H1948">
        <v>0</v>
      </c>
      <c r="I1948" t="s">
        <v>241</v>
      </c>
      <c r="J1948" s="44">
        <f>IFERROR(tblMoeHistory[[#This Row],[LEA State and Local Amount]]/tblMoeHistory[[#This Row],[Child Count]],0)</f>
        <v>11773.496041420118</v>
      </c>
      <c r="K1948">
        <f>IFERROR(tblMoeHistory[[#This Row],[ESD State and Local Amount]]/tblMoeHistory[[#This Row],[Child Count]],0)</f>
        <v>1410.2213017751478</v>
      </c>
      <c r="L1948" s="1">
        <f>IFERROR(tblMoeHistory[[#This Row],[State and Local Total Amount]]/tblMoeHistory[[#This Row],[Child Count]],0)</f>
        <v>13183.717343195265</v>
      </c>
      <c r="M1948">
        <v>-244064.58062500114</v>
      </c>
      <c r="N1948" t="s">
        <v>240</v>
      </c>
      <c r="O1948">
        <v>1926059.71</v>
      </c>
      <c r="P1948">
        <v>16286.68</v>
      </c>
      <c r="Q1948">
        <f>tblMoeHistory[[#This Row],[Amount of IDEA Part B, Section 611 award]]+tblMoeHistory[[#This Row],[Amount of IDEA Part B, Section 619 award]]</f>
        <v>1942346.39</v>
      </c>
      <c r="S1948">
        <v>0</v>
      </c>
      <c r="T1948">
        <v>0</v>
      </c>
      <c r="U19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8" t="str">
        <f>IF(OR(IFERROR(SEARCH("Met",tblMoeHistory[[#This Row],[State and Local Per Capita Result]]),0)&gt;0,IFERROR(SEARCH("Met",tblMoeHistory[[#This Row],[State and Local Total Result]]),0)&gt;0),"Met","Not Met")</f>
        <v>Met</v>
      </c>
    </row>
    <row r="1949" spans="1:22" x14ac:dyDescent="0.35">
      <c r="A1949" t="s">
        <v>197</v>
      </c>
      <c r="B1949">
        <v>1948</v>
      </c>
      <c r="C1949" t="s">
        <v>1537</v>
      </c>
      <c r="D1949">
        <v>443</v>
      </c>
      <c r="E1949">
        <v>4589961.32</v>
      </c>
      <c r="F1949">
        <v>856724</v>
      </c>
      <c r="G1949">
        <f>tblMoeHistory[[#This Row],[LEA State and Local Amount]]+tblMoeHistory[[#This Row],[ESD State and Local Amount]]</f>
        <v>5446685.3200000003</v>
      </c>
      <c r="H1949">
        <v>0</v>
      </c>
      <c r="I1949" t="s">
        <v>241</v>
      </c>
      <c r="J1949" s="44">
        <f>IFERROR(tblMoeHistory[[#This Row],[LEA State and Local Amount]]/tblMoeHistory[[#This Row],[Child Count]],0)</f>
        <v>10361.08650112867</v>
      </c>
      <c r="K1949">
        <f>IFERROR(tblMoeHistory[[#This Row],[ESD State and Local Amount]]/tblMoeHistory[[#This Row],[Child Count]],0)</f>
        <v>1933.9142212189615</v>
      </c>
      <c r="L1949" s="1">
        <f>IFERROR(tblMoeHistory[[#This Row],[State and Local Total Amount]]/tblMoeHistory[[#This Row],[Child Count]],0)</f>
        <v>12295.00072234763</v>
      </c>
      <c r="M1949">
        <v>0</v>
      </c>
      <c r="N1949" t="s">
        <v>241</v>
      </c>
      <c r="O1949">
        <v>527557.80000000005</v>
      </c>
      <c r="P1949">
        <v>8904.41</v>
      </c>
      <c r="Q1949">
        <f>tblMoeHistory[[#This Row],[Amount of IDEA Part B, Section 611 award]]+tblMoeHistory[[#This Row],[Amount of IDEA Part B, Section 619 award]]</f>
        <v>536462.21000000008</v>
      </c>
      <c r="S1949">
        <v>0</v>
      </c>
      <c r="U19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9" t="str">
        <f>IF(OR(IFERROR(SEARCH("Met",tblMoeHistory[[#This Row],[State and Local Per Capita Result]]),0)&gt;0,IFERROR(SEARCH("Met",tblMoeHistory[[#This Row],[State and Local Total Result]]),0)&gt;0),"Met","Not Met")</f>
        <v>Met</v>
      </c>
    </row>
    <row r="1950" spans="1:22" x14ac:dyDescent="0.35">
      <c r="A1950" t="s">
        <v>198</v>
      </c>
      <c r="B1950">
        <v>2144</v>
      </c>
      <c r="C1950" t="s">
        <v>1537</v>
      </c>
      <c r="D1950">
        <v>14</v>
      </c>
      <c r="E1950">
        <v>215348.54</v>
      </c>
      <c r="F1950">
        <v>30025.97</v>
      </c>
      <c r="G1950">
        <f>tblMoeHistory[[#This Row],[LEA State and Local Amount]]+tblMoeHistory[[#This Row],[ESD State and Local Amount]]</f>
        <v>245374.51</v>
      </c>
      <c r="H1950">
        <v>0</v>
      </c>
      <c r="I1950" t="s">
        <v>241</v>
      </c>
      <c r="J1950" s="44">
        <f>IFERROR(tblMoeHistory[[#This Row],[LEA State and Local Amount]]/tblMoeHistory[[#This Row],[Child Count]],0)</f>
        <v>15382.038571428571</v>
      </c>
      <c r="K1950">
        <f>IFERROR(tblMoeHistory[[#This Row],[ESD State and Local Amount]]/tblMoeHistory[[#This Row],[Child Count]],0)</f>
        <v>2144.7121428571431</v>
      </c>
      <c r="L1950" s="1">
        <f>IFERROR(tblMoeHistory[[#This Row],[State and Local Total Amount]]/tblMoeHistory[[#This Row],[Child Count]],0)</f>
        <v>17526.750714285714</v>
      </c>
      <c r="M1950">
        <v>0</v>
      </c>
      <c r="N1950" t="s">
        <v>241</v>
      </c>
      <c r="O1950">
        <v>41609.120000000003</v>
      </c>
      <c r="P1950">
        <v>992.13</v>
      </c>
      <c r="Q1950">
        <f>tblMoeHistory[[#This Row],[Amount of IDEA Part B, Section 611 award]]+tblMoeHistory[[#This Row],[Amount of IDEA Part B, Section 619 award]]</f>
        <v>42601.25</v>
      </c>
      <c r="S1950">
        <v>0</v>
      </c>
      <c r="U19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0" t="str">
        <f>IF(OR(IFERROR(SEARCH("Met",tblMoeHistory[[#This Row],[State and Local Per Capita Result]]),0)&gt;0,IFERROR(SEARCH("Met",tblMoeHistory[[#This Row],[State and Local Total Result]]),0)&gt;0),"Met","Not Met")</f>
        <v>Met</v>
      </c>
    </row>
    <row r="1951" spans="1:22" x14ac:dyDescent="0.35">
      <c r="A1951" t="s">
        <v>199</v>
      </c>
      <c r="B1951">
        <v>2209</v>
      </c>
      <c r="C1951" t="s">
        <v>1537</v>
      </c>
      <c r="D1951">
        <v>71</v>
      </c>
      <c r="E1951">
        <v>493158.41</v>
      </c>
      <c r="F1951">
        <v>109578.47</v>
      </c>
      <c r="G1951">
        <f>tblMoeHistory[[#This Row],[LEA State and Local Amount]]+tblMoeHistory[[#This Row],[ESD State and Local Amount]]</f>
        <v>602736.88</v>
      </c>
      <c r="H1951">
        <v>0</v>
      </c>
      <c r="I1951" t="s">
        <v>241</v>
      </c>
      <c r="J1951" s="44">
        <f>IFERROR(tblMoeHistory[[#This Row],[LEA State and Local Amount]]/tblMoeHistory[[#This Row],[Child Count]],0)</f>
        <v>6945.8930985915486</v>
      </c>
      <c r="K1951">
        <f>IFERROR(tblMoeHistory[[#This Row],[ESD State and Local Amount]]/tblMoeHistory[[#This Row],[Child Count]],0)</f>
        <v>1543.3587323943661</v>
      </c>
      <c r="L1951" s="1">
        <f>IFERROR(tblMoeHistory[[#This Row],[State and Local Total Amount]]/tblMoeHistory[[#This Row],[Child Count]],0)</f>
        <v>8489.2518309859151</v>
      </c>
      <c r="M1951">
        <v>-67992.596730769219</v>
      </c>
      <c r="N1951" t="s">
        <v>240</v>
      </c>
      <c r="O1951">
        <v>79109.86</v>
      </c>
      <c r="P1951">
        <v>0</v>
      </c>
      <c r="Q1951">
        <f>tblMoeHistory[[#This Row],[Amount of IDEA Part B, Section 611 award]]+tblMoeHistory[[#This Row],[Amount of IDEA Part B, Section 619 award]]</f>
        <v>79109.86</v>
      </c>
      <c r="S1951">
        <v>0</v>
      </c>
      <c r="T1951">
        <v>565.65</v>
      </c>
      <c r="U19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1" t="str">
        <f>IF(OR(IFERROR(SEARCH("Met",tblMoeHistory[[#This Row],[State and Local Per Capita Result]]),0)&gt;0,IFERROR(SEARCH("Met",tblMoeHistory[[#This Row],[State and Local Total Result]]),0)&gt;0),"Met","Not Met")</f>
        <v>Met</v>
      </c>
    </row>
    <row r="1952" spans="1:22" x14ac:dyDescent="0.35">
      <c r="A1952" t="s">
        <v>200</v>
      </c>
      <c r="B1952">
        <v>2018</v>
      </c>
      <c r="C1952" t="s">
        <v>1537</v>
      </c>
      <c r="D1952">
        <v>1</v>
      </c>
      <c r="E1952">
        <v>10003</v>
      </c>
      <c r="F1952">
        <v>7722.58</v>
      </c>
      <c r="G1952">
        <f>tblMoeHistory[[#This Row],[LEA State and Local Amount]]+tblMoeHistory[[#This Row],[ESD State and Local Amount]]</f>
        <v>17725.580000000002</v>
      </c>
      <c r="H1952">
        <v>0</v>
      </c>
      <c r="I1952" t="s">
        <v>241</v>
      </c>
      <c r="J1952" s="44">
        <f>IFERROR(tblMoeHistory[[#This Row],[LEA State and Local Amount]]/tblMoeHistory[[#This Row],[Child Count]],0)</f>
        <v>10003</v>
      </c>
      <c r="K1952">
        <f>IFERROR(tblMoeHistory[[#This Row],[ESD State and Local Amount]]/tblMoeHistory[[#This Row],[Child Count]],0)</f>
        <v>7722.58</v>
      </c>
      <c r="L1952" s="1">
        <f>IFERROR(tblMoeHistory[[#This Row],[State and Local Total Amount]]/tblMoeHistory[[#This Row],[Child Count]],0)</f>
        <v>17725.580000000002</v>
      </c>
      <c r="M1952">
        <v>0</v>
      </c>
      <c r="N1952" t="s">
        <v>241</v>
      </c>
      <c r="O1952">
        <v>2965.19</v>
      </c>
      <c r="P1952">
        <v>3.76</v>
      </c>
      <c r="Q1952">
        <f>tblMoeHistory[[#This Row],[Amount of IDEA Part B, Section 611 award]]+tblMoeHistory[[#This Row],[Amount of IDEA Part B, Section 619 award]]</f>
        <v>2968.9500000000003</v>
      </c>
      <c r="S1952">
        <v>0</v>
      </c>
      <c r="U19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2" t="str">
        <f>IF(OR(IFERROR(SEARCH("Met",tblMoeHistory[[#This Row],[State and Local Per Capita Result]]),0)&gt;0,IFERROR(SEARCH("Met",tblMoeHistory[[#This Row],[State and Local Total Result]]),0)&gt;0),"Met","Not Met")</f>
        <v>Met</v>
      </c>
    </row>
    <row r="1953" spans="1:22" x14ac:dyDescent="0.35">
      <c r="A1953" t="s">
        <v>201</v>
      </c>
      <c r="B1953">
        <v>2003</v>
      </c>
      <c r="C1953" t="s">
        <v>1537</v>
      </c>
      <c r="D1953">
        <v>193</v>
      </c>
      <c r="E1953">
        <v>1383545</v>
      </c>
      <c r="F1953">
        <v>309586.55</v>
      </c>
      <c r="G1953">
        <f>tblMoeHistory[[#This Row],[LEA State and Local Amount]]+tblMoeHistory[[#This Row],[ESD State and Local Amount]]</f>
        <v>1693131.55</v>
      </c>
      <c r="H1953">
        <v>0</v>
      </c>
      <c r="I1953" t="s">
        <v>241</v>
      </c>
      <c r="J1953" s="44">
        <f>IFERROR(tblMoeHistory[[#This Row],[LEA State and Local Amount]]/tblMoeHistory[[#This Row],[Child Count]],0)</f>
        <v>7168.6269430051816</v>
      </c>
      <c r="K1953">
        <f>IFERROR(tblMoeHistory[[#This Row],[ESD State and Local Amount]]/tblMoeHistory[[#This Row],[Child Count]],0)</f>
        <v>1604.0753886010361</v>
      </c>
      <c r="L1953" s="1">
        <f>IFERROR(tblMoeHistory[[#This Row],[State and Local Total Amount]]/tblMoeHistory[[#This Row],[Child Count]],0)</f>
        <v>8772.7023316062186</v>
      </c>
      <c r="M1953">
        <v>-196529.17018749964</v>
      </c>
      <c r="N1953" t="s">
        <v>240</v>
      </c>
      <c r="O1953">
        <v>205428.54</v>
      </c>
      <c r="P1953">
        <v>3014.41</v>
      </c>
      <c r="Q1953">
        <f>tblMoeHistory[[#This Row],[Amount of IDEA Part B, Section 611 award]]+tblMoeHistory[[#This Row],[Amount of IDEA Part B, Section 619 award]]</f>
        <v>208442.95</v>
      </c>
      <c r="S1953">
        <v>0</v>
      </c>
      <c r="T1953">
        <v>0</v>
      </c>
      <c r="U19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3" t="str">
        <f>IF(OR(IFERROR(SEARCH("Met",tblMoeHistory[[#This Row],[State and Local Per Capita Result]]),0)&gt;0,IFERROR(SEARCH("Met",tblMoeHistory[[#This Row],[State and Local Total Result]]),0)&gt;0),"Met","Not Met")</f>
        <v>Met</v>
      </c>
    </row>
    <row r="1954" spans="1:22" x14ac:dyDescent="0.35">
      <c r="A1954" t="s">
        <v>202</v>
      </c>
      <c r="B1954">
        <v>2102</v>
      </c>
      <c r="C1954" t="s">
        <v>1537</v>
      </c>
      <c r="D1954">
        <v>440</v>
      </c>
      <c r="E1954">
        <v>3213542.26</v>
      </c>
      <c r="F1954">
        <v>530593</v>
      </c>
      <c r="G1954">
        <f>tblMoeHistory[[#This Row],[LEA State and Local Amount]]+tblMoeHistory[[#This Row],[ESD State and Local Amount]]</f>
        <v>3744135.26</v>
      </c>
      <c r="H1954">
        <v>0</v>
      </c>
      <c r="I1954" t="s">
        <v>241</v>
      </c>
      <c r="J1954" s="44">
        <f>IFERROR(tblMoeHistory[[#This Row],[LEA State and Local Amount]]/tblMoeHistory[[#This Row],[Child Count]],0)</f>
        <v>7303.5051363636358</v>
      </c>
      <c r="K1954">
        <f>IFERROR(tblMoeHistory[[#This Row],[ESD State and Local Amount]]/tblMoeHistory[[#This Row],[Child Count]],0)</f>
        <v>1205.8931818181818</v>
      </c>
      <c r="L1954" s="1">
        <f>IFERROR(tblMoeHistory[[#This Row],[State and Local Total Amount]]/tblMoeHistory[[#This Row],[Child Count]],0)</f>
        <v>8509.3983181818185</v>
      </c>
      <c r="M1954">
        <v>0</v>
      </c>
      <c r="N1954" t="s">
        <v>241</v>
      </c>
      <c r="O1954">
        <v>432189.3</v>
      </c>
      <c r="P1954">
        <v>643.36</v>
      </c>
      <c r="Q1954">
        <f>tblMoeHistory[[#This Row],[Amount of IDEA Part B, Section 611 award]]+tblMoeHistory[[#This Row],[Amount of IDEA Part B, Section 619 award]]</f>
        <v>432832.66</v>
      </c>
      <c r="S1954">
        <v>0</v>
      </c>
      <c r="U19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4" t="str">
        <f>IF(OR(IFERROR(SEARCH("Met",tblMoeHistory[[#This Row],[State and Local Per Capita Result]]),0)&gt;0,IFERROR(SEARCH("Met",tblMoeHistory[[#This Row],[State and Local Total Result]]),0)&gt;0),"Met","Not Met")</f>
        <v>Met</v>
      </c>
    </row>
    <row r="1955" spans="1:22" x14ac:dyDescent="0.35">
      <c r="A1955" t="s">
        <v>203</v>
      </c>
      <c r="B1955">
        <v>2055</v>
      </c>
      <c r="C1955" t="s">
        <v>1537</v>
      </c>
      <c r="D1955">
        <v>577</v>
      </c>
      <c r="E1955">
        <v>8430029.7599999998</v>
      </c>
      <c r="F1955">
        <v>262691.63</v>
      </c>
      <c r="G1955">
        <f>tblMoeHistory[[#This Row],[LEA State and Local Amount]]+tblMoeHistory[[#This Row],[ESD State and Local Amount]]</f>
        <v>8692721.3900000006</v>
      </c>
      <c r="H1955">
        <v>0</v>
      </c>
      <c r="I1955" t="s">
        <v>241</v>
      </c>
      <c r="J1955" s="44">
        <f>IFERROR(tblMoeHistory[[#This Row],[LEA State and Local Amount]]/tblMoeHistory[[#This Row],[Child Count]],0)</f>
        <v>14610.10357019064</v>
      </c>
      <c r="K1955">
        <f>IFERROR(tblMoeHistory[[#This Row],[ESD State and Local Amount]]/tblMoeHistory[[#This Row],[Child Count]],0)</f>
        <v>455.27145580589257</v>
      </c>
      <c r="L1955" s="1">
        <f>IFERROR(tblMoeHistory[[#This Row],[State and Local Total Amount]]/tblMoeHistory[[#This Row],[Child Count]],0)</f>
        <v>15065.375025996535</v>
      </c>
      <c r="M1955">
        <v>-177824.28583928512</v>
      </c>
      <c r="N1955" t="s">
        <v>240</v>
      </c>
      <c r="O1955">
        <v>876853.37</v>
      </c>
      <c r="P1955">
        <v>11027.02</v>
      </c>
      <c r="Q1955">
        <f>tblMoeHistory[[#This Row],[Amount of IDEA Part B, Section 611 award]]+tblMoeHistory[[#This Row],[Amount of IDEA Part B, Section 619 award]]</f>
        <v>887880.39</v>
      </c>
      <c r="S1955">
        <v>0</v>
      </c>
      <c r="T1955">
        <v>0</v>
      </c>
      <c r="U19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5" t="str">
        <f>IF(OR(IFERROR(SEARCH("Met",tblMoeHistory[[#This Row],[State and Local Per Capita Result]]),0)&gt;0,IFERROR(SEARCH("Met",tblMoeHistory[[#This Row],[State and Local Total Result]]),0)&gt;0),"Met","Not Met")</f>
        <v>Met</v>
      </c>
    </row>
    <row r="1956" spans="1:22" x14ac:dyDescent="0.35">
      <c r="A1956" t="s">
        <v>204</v>
      </c>
      <c r="B1956">
        <v>2242</v>
      </c>
      <c r="C1956" t="s">
        <v>1537</v>
      </c>
      <c r="D1956">
        <v>1384</v>
      </c>
      <c r="E1956">
        <v>13607898.43</v>
      </c>
      <c r="F1956">
        <v>2778287</v>
      </c>
      <c r="G1956">
        <f>tblMoeHistory[[#This Row],[LEA State and Local Amount]]+tblMoeHistory[[#This Row],[ESD State and Local Amount]]</f>
        <v>16386185.43</v>
      </c>
      <c r="H1956">
        <v>0</v>
      </c>
      <c r="I1956" t="s">
        <v>241</v>
      </c>
      <c r="J1956" s="44">
        <f>IFERROR(tblMoeHistory[[#This Row],[LEA State and Local Amount]]/tblMoeHistory[[#This Row],[Child Count]],0)</f>
        <v>9832.296553468208</v>
      </c>
      <c r="K1956">
        <f>IFERROR(tblMoeHistory[[#This Row],[ESD State and Local Amount]]/tblMoeHistory[[#This Row],[Child Count]],0)</f>
        <v>2007.432803468208</v>
      </c>
      <c r="L1956" s="1">
        <f>IFERROR(tblMoeHistory[[#This Row],[State and Local Total Amount]]/tblMoeHistory[[#This Row],[Child Count]],0)</f>
        <v>11839.729356936416</v>
      </c>
      <c r="M1956">
        <v>0</v>
      </c>
      <c r="N1956" t="s">
        <v>241</v>
      </c>
      <c r="O1956">
        <v>1917153.99</v>
      </c>
      <c r="P1956">
        <v>10860.97</v>
      </c>
      <c r="Q1956">
        <f>tblMoeHistory[[#This Row],[Amount of IDEA Part B, Section 611 award]]+tblMoeHistory[[#This Row],[Amount of IDEA Part B, Section 619 award]]</f>
        <v>1928014.96</v>
      </c>
      <c r="S1956">
        <v>0</v>
      </c>
      <c r="U19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6" t="str">
        <f>IF(OR(IFERROR(SEARCH("Met",tblMoeHistory[[#This Row],[State and Local Per Capita Result]]),0)&gt;0,IFERROR(SEARCH("Met",tblMoeHistory[[#This Row],[State and Local Total Result]]),0)&gt;0),"Met","Not Met")</f>
        <v>Met</v>
      </c>
    </row>
    <row r="1957" spans="1:22" x14ac:dyDescent="0.35">
      <c r="A1957" t="s">
        <v>205</v>
      </c>
      <c r="B1957">
        <v>2197</v>
      </c>
      <c r="C1957" t="s">
        <v>1537</v>
      </c>
      <c r="D1957">
        <v>342</v>
      </c>
      <c r="E1957">
        <v>3504294.92</v>
      </c>
      <c r="F1957">
        <v>567368</v>
      </c>
      <c r="G1957">
        <f>tblMoeHistory[[#This Row],[LEA State and Local Amount]]+tblMoeHistory[[#This Row],[ESD State and Local Amount]]</f>
        <v>4071662.92</v>
      </c>
      <c r="H1957">
        <v>0</v>
      </c>
      <c r="I1957" t="s">
        <v>241</v>
      </c>
      <c r="J1957" s="44">
        <f>IFERROR(tblMoeHistory[[#This Row],[LEA State and Local Amount]]/tblMoeHistory[[#This Row],[Child Count]],0)</f>
        <v>10246.476374269005</v>
      </c>
      <c r="K1957">
        <f>IFERROR(tblMoeHistory[[#This Row],[ESD State and Local Amount]]/tblMoeHistory[[#This Row],[Child Count]],0)</f>
        <v>1658.9707602339181</v>
      </c>
      <c r="L1957" s="1">
        <f>IFERROR(tblMoeHistory[[#This Row],[State and Local Total Amount]]/tblMoeHistory[[#This Row],[Child Count]],0)</f>
        <v>11905.447134502923</v>
      </c>
      <c r="M1957">
        <v>-531262.27048275888</v>
      </c>
      <c r="N1957" t="s">
        <v>240</v>
      </c>
      <c r="O1957">
        <v>370010.63</v>
      </c>
      <c r="P1957">
        <v>4538.01</v>
      </c>
      <c r="Q1957">
        <f>tblMoeHistory[[#This Row],[Amount of IDEA Part B, Section 611 award]]+tblMoeHistory[[#This Row],[Amount of IDEA Part B, Section 619 award]]</f>
        <v>374548.64</v>
      </c>
      <c r="S1957">
        <v>0</v>
      </c>
      <c r="T1957">
        <v>0</v>
      </c>
      <c r="U19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7" t="str">
        <f>IF(OR(IFERROR(SEARCH("Met",tblMoeHistory[[#This Row],[State and Local Per Capita Result]]),0)&gt;0,IFERROR(SEARCH("Met",tblMoeHistory[[#This Row],[State and Local Total Result]]),0)&gt;0),"Met","Not Met")</f>
        <v>Met</v>
      </c>
    </row>
    <row r="1958" spans="1:22" x14ac:dyDescent="0.35">
      <c r="A1958" t="s">
        <v>206</v>
      </c>
      <c r="B1958">
        <v>2222</v>
      </c>
      <c r="C1958" t="s">
        <v>1537</v>
      </c>
      <c r="D1958">
        <v>0</v>
      </c>
      <c r="E1958">
        <v>0</v>
      </c>
      <c r="F1958">
        <v>3700</v>
      </c>
      <c r="G1958">
        <f>tblMoeHistory[[#This Row],[LEA State and Local Amount]]+tblMoeHistory[[#This Row],[ESD State and Local Amount]]</f>
        <v>3700</v>
      </c>
      <c r="H1958">
        <v>0</v>
      </c>
      <c r="I1958" t="s">
        <v>241</v>
      </c>
      <c r="J1958" s="44">
        <f>IFERROR(tblMoeHistory[[#This Row],[LEA State and Local Amount]]/tblMoeHistory[[#This Row],[Child Count]],0)</f>
        <v>0</v>
      </c>
      <c r="K1958">
        <f>IFERROR(tblMoeHistory[[#This Row],[ESD State and Local Amount]]/tblMoeHistory[[#This Row],[Child Count]],0)</f>
        <v>0</v>
      </c>
      <c r="L1958" s="1">
        <f>IFERROR(tblMoeHistory[[#This Row],[State and Local Total Amount]]/tblMoeHistory[[#This Row],[Child Count]],0)</f>
        <v>0</v>
      </c>
      <c r="M1958">
        <v>0</v>
      </c>
      <c r="N1958" t="s">
        <v>241</v>
      </c>
      <c r="O1958">
        <v>2088.5700000000002</v>
      </c>
      <c r="P1958">
        <v>0.03</v>
      </c>
      <c r="Q1958">
        <f>tblMoeHistory[[#This Row],[Amount of IDEA Part B, Section 611 award]]+tblMoeHistory[[#This Row],[Amount of IDEA Part B, Section 619 award]]</f>
        <v>2088.6000000000004</v>
      </c>
      <c r="S1958">
        <v>0</v>
      </c>
      <c r="U19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8" t="str">
        <f>IF(OR(IFERROR(SEARCH("Met",tblMoeHistory[[#This Row],[State and Local Per Capita Result]]),0)&gt;0,IFERROR(SEARCH("Met",tblMoeHistory[[#This Row],[State and Local Total Result]]),0)&gt;0),"Met","Not Met")</f>
        <v>Met</v>
      </c>
    </row>
    <row r="1959" spans="1:22" x14ac:dyDescent="0.35">
      <c r="A1959" t="s">
        <v>207</v>
      </c>
      <c r="B1959">
        <v>2210</v>
      </c>
      <c r="C1959" t="s">
        <v>1537</v>
      </c>
      <c r="D1959">
        <v>2</v>
      </c>
      <c r="E1959">
        <v>5243.88</v>
      </c>
      <c r="F1959">
        <v>7023.47</v>
      </c>
      <c r="G1959">
        <f>tblMoeHistory[[#This Row],[LEA State and Local Amount]]+tblMoeHistory[[#This Row],[ESD State and Local Amount]]</f>
        <v>12267.35</v>
      </c>
      <c r="H1959">
        <v>0</v>
      </c>
      <c r="I1959" t="s">
        <v>241</v>
      </c>
      <c r="J1959" s="44">
        <f>IFERROR(tblMoeHistory[[#This Row],[LEA State and Local Amount]]/tblMoeHistory[[#This Row],[Child Count]],0)</f>
        <v>2621.94</v>
      </c>
      <c r="K1959">
        <f>IFERROR(tblMoeHistory[[#This Row],[ESD State and Local Amount]]/tblMoeHistory[[#This Row],[Child Count]],0)</f>
        <v>3511.7350000000001</v>
      </c>
      <c r="L1959" s="1">
        <f>IFERROR(tblMoeHistory[[#This Row],[State and Local Total Amount]]/tblMoeHistory[[#This Row],[Child Count]],0)</f>
        <v>6133.6750000000002</v>
      </c>
      <c r="M1959">
        <v>0</v>
      </c>
      <c r="N1959" t="s">
        <v>241</v>
      </c>
      <c r="O1959">
        <v>6935.84</v>
      </c>
      <c r="P1959">
        <v>7.44</v>
      </c>
      <c r="Q1959">
        <f>tblMoeHistory[[#This Row],[Amount of IDEA Part B, Section 611 award]]+tblMoeHistory[[#This Row],[Amount of IDEA Part B, Section 619 award]]</f>
        <v>6943.28</v>
      </c>
      <c r="S1959">
        <v>0</v>
      </c>
      <c r="U19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9" t="str">
        <f>IF(OR(IFERROR(SEARCH("Met",tblMoeHistory[[#This Row],[State and Local Per Capita Result]]),0)&gt;0,IFERROR(SEARCH("Met",tblMoeHistory[[#This Row],[State and Local Total Result]]),0)&gt;0),"Met","Not Met")</f>
        <v>Met</v>
      </c>
    </row>
    <row r="1960" spans="1:22" x14ac:dyDescent="0.35">
      <c r="A1960" t="s">
        <v>208</v>
      </c>
      <c r="B1960">
        <v>2204</v>
      </c>
      <c r="C1960" t="s">
        <v>1537</v>
      </c>
      <c r="D1960">
        <v>134</v>
      </c>
      <c r="E1960">
        <v>1557478.38</v>
      </c>
      <c r="F1960">
        <v>231332.28</v>
      </c>
      <c r="G1960">
        <f>tblMoeHistory[[#This Row],[LEA State and Local Amount]]+tblMoeHistory[[#This Row],[ESD State and Local Amount]]</f>
        <v>1788810.66</v>
      </c>
      <c r="H1960">
        <v>0</v>
      </c>
      <c r="I1960" t="s">
        <v>241</v>
      </c>
      <c r="J1960" s="44">
        <f>IFERROR(tblMoeHistory[[#This Row],[LEA State and Local Amount]]/tblMoeHistory[[#This Row],[Child Count]],0)</f>
        <v>11622.972985074626</v>
      </c>
      <c r="K1960">
        <f>IFERROR(tblMoeHistory[[#This Row],[ESD State and Local Amount]]/tblMoeHistory[[#This Row],[Child Count]],0)</f>
        <v>1726.3602985074626</v>
      </c>
      <c r="L1960" s="1">
        <f>IFERROR(tblMoeHistory[[#This Row],[State and Local Total Amount]]/tblMoeHistory[[#This Row],[Child Count]],0)</f>
        <v>13349.333283582089</v>
      </c>
      <c r="M1960">
        <v>0</v>
      </c>
      <c r="N1960" t="s">
        <v>241</v>
      </c>
      <c r="O1960">
        <v>186337.61</v>
      </c>
      <c r="P1960">
        <v>1980.33</v>
      </c>
      <c r="Q1960">
        <f>tblMoeHistory[[#This Row],[Amount of IDEA Part B, Section 611 award]]+tblMoeHistory[[#This Row],[Amount of IDEA Part B, Section 619 award]]</f>
        <v>188317.93999999997</v>
      </c>
      <c r="S1960">
        <v>0</v>
      </c>
      <c r="U19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0" t="str">
        <f>IF(OR(IFERROR(SEARCH("Met",tblMoeHistory[[#This Row],[State and Local Per Capita Result]]),0)&gt;0,IFERROR(SEARCH("Met",tblMoeHistory[[#This Row],[State and Local Total Result]]),0)&gt;0),"Met","Not Met")</f>
        <v>Met</v>
      </c>
    </row>
    <row r="1961" spans="1:22" x14ac:dyDescent="0.35">
      <c r="A1961" t="s">
        <v>209</v>
      </c>
      <c r="B1961">
        <v>2213</v>
      </c>
      <c r="C1961" t="s">
        <v>1537</v>
      </c>
      <c r="D1961">
        <v>39</v>
      </c>
      <c r="E1961">
        <v>402427.56</v>
      </c>
      <c r="F1961">
        <v>66427.3</v>
      </c>
      <c r="G1961">
        <f>tblMoeHistory[[#This Row],[LEA State and Local Amount]]+tblMoeHistory[[#This Row],[ESD State and Local Amount]]</f>
        <v>468854.86</v>
      </c>
      <c r="H1961">
        <v>0</v>
      </c>
      <c r="I1961" t="s">
        <v>241</v>
      </c>
      <c r="J1961" s="44">
        <f>IFERROR(tblMoeHistory[[#This Row],[LEA State and Local Amount]]/tblMoeHistory[[#This Row],[Child Count]],0)</f>
        <v>10318.655384615384</v>
      </c>
      <c r="K1961">
        <f>IFERROR(tblMoeHistory[[#This Row],[ESD State and Local Amount]]/tblMoeHistory[[#This Row],[Child Count]],0)</f>
        <v>1703.2641025641026</v>
      </c>
      <c r="L1961" s="1">
        <f>IFERROR(tblMoeHistory[[#This Row],[State and Local Total Amount]]/tblMoeHistory[[#This Row],[Child Count]],0)</f>
        <v>12021.919487179486</v>
      </c>
      <c r="M1961">
        <v>-3366.1921052631933</v>
      </c>
      <c r="N1961" t="s">
        <v>240</v>
      </c>
      <c r="O1961">
        <v>66378.37</v>
      </c>
      <c r="P1961">
        <v>520.23</v>
      </c>
      <c r="Q1961">
        <f>tblMoeHistory[[#This Row],[Amount of IDEA Part B, Section 611 award]]+tblMoeHistory[[#This Row],[Amount of IDEA Part B, Section 619 award]]</f>
        <v>66898.599999999991</v>
      </c>
      <c r="S1961">
        <v>0</v>
      </c>
      <c r="T1961">
        <v>0</v>
      </c>
      <c r="U19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1" t="str">
        <f>IF(OR(IFERROR(SEARCH("Met",tblMoeHistory[[#This Row],[State and Local Per Capita Result]]),0)&gt;0,IFERROR(SEARCH("Met",tblMoeHistory[[#This Row],[State and Local Total Result]]),0)&gt;0),"Met","Not Met")</f>
        <v>Met</v>
      </c>
    </row>
    <row r="1962" spans="1:22" x14ac:dyDescent="0.35">
      <c r="A1962" t="s">
        <v>210</v>
      </c>
      <c r="B1962">
        <v>2116</v>
      </c>
      <c r="C1962" t="s">
        <v>1537</v>
      </c>
      <c r="D1962">
        <v>127</v>
      </c>
      <c r="E1962">
        <v>943895.41</v>
      </c>
      <c r="F1962">
        <v>352064.01</v>
      </c>
      <c r="G1962">
        <f>tblMoeHistory[[#This Row],[LEA State and Local Amount]]+tblMoeHistory[[#This Row],[ESD State and Local Amount]]</f>
        <v>1295959.42</v>
      </c>
      <c r="H1962">
        <v>0</v>
      </c>
      <c r="I1962" t="s">
        <v>241</v>
      </c>
      <c r="J1962" s="44">
        <f>IFERROR(tblMoeHistory[[#This Row],[LEA State and Local Amount]]/tblMoeHistory[[#This Row],[Child Count]],0)</f>
        <v>7432.2473228346462</v>
      </c>
      <c r="K1962">
        <f>IFERROR(tblMoeHistory[[#This Row],[ESD State and Local Amount]]/tblMoeHistory[[#This Row],[Child Count]],0)</f>
        <v>2772.1575590551183</v>
      </c>
      <c r="L1962" s="1">
        <f>IFERROR(tblMoeHistory[[#This Row],[State and Local Total Amount]]/tblMoeHistory[[#This Row],[Child Count]],0)</f>
        <v>10204.404881889763</v>
      </c>
      <c r="M1962">
        <v>-104440.26009615394</v>
      </c>
      <c r="N1962" t="s">
        <v>240</v>
      </c>
      <c r="O1962">
        <v>186004.34</v>
      </c>
      <c r="P1962">
        <v>45.48</v>
      </c>
      <c r="Q1962">
        <f>tblMoeHistory[[#This Row],[Amount of IDEA Part B, Section 611 award]]+tblMoeHistory[[#This Row],[Amount of IDEA Part B, Section 619 award]]</f>
        <v>186049.82</v>
      </c>
      <c r="S1962">
        <v>0</v>
      </c>
      <c r="T1962">
        <v>0</v>
      </c>
      <c r="U19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2" t="str">
        <f>IF(OR(IFERROR(SEARCH("Met",tblMoeHistory[[#This Row],[State and Local Per Capita Result]]),0)&gt;0,IFERROR(SEARCH("Met",tblMoeHistory[[#This Row],[State and Local Total Result]]),0)&gt;0),"Met","Not Met")</f>
        <v>Met</v>
      </c>
    </row>
    <row r="1963" spans="1:22" x14ac:dyDescent="0.35">
      <c r="A1963" t="s">
        <v>211</v>
      </c>
      <c r="B1963">
        <v>1947</v>
      </c>
      <c r="C1963" t="s">
        <v>1537</v>
      </c>
      <c r="D1963">
        <v>104</v>
      </c>
      <c r="E1963">
        <v>1202448.58</v>
      </c>
      <c r="F1963">
        <v>106671</v>
      </c>
      <c r="G1963">
        <f>tblMoeHistory[[#This Row],[LEA State and Local Amount]]+tblMoeHistory[[#This Row],[ESD State and Local Amount]]</f>
        <v>1309119.58</v>
      </c>
      <c r="H1963">
        <v>0</v>
      </c>
      <c r="I1963" t="s">
        <v>241</v>
      </c>
      <c r="J1963" s="44">
        <f>IFERROR(tblMoeHistory[[#This Row],[LEA State and Local Amount]]/tblMoeHistory[[#This Row],[Child Count]],0)</f>
        <v>11562.005576923078</v>
      </c>
      <c r="K1963">
        <f>IFERROR(tblMoeHistory[[#This Row],[ESD State and Local Amount]]/tblMoeHistory[[#This Row],[Child Count]],0)</f>
        <v>1025.6826923076924</v>
      </c>
      <c r="L1963" s="1">
        <f>IFERROR(tblMoeHistory[[#This Row],[State and Local Total Amount]]/tblMoeHistory[[#This Row],[Child Count]],0)</f>
        <v>12587.68826923077</v>
      </c>
      <c r="M1963">
        <v>-272851.91953488364</v>
      </c>
      <c r="N1963" t="s">
        <v>240</v>
      </c>
      <c r="O1963">
        <v>104064.99</v>
      </c>
      <c r="P1963">
        <v>988.84</v>
      </c>
      <c r="Q1963">
        <f>tblMoeHistory[[#This Row],[Amount of IDEA Part B, Section 611 award]]+tblMoeHistory[[#This Row],[Amount of IDEA Part B, Section 619 award]]</f>
        <v>105053.83</v>
      </c>
      <c r="S1963">
        <v>0</v>
      </c>
      <c r="T1963">
        <v>0</v>
      </c>
      <c r="U19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3" t="str">
        <f>IF(OR(IFERROR(SEARCH("Met",tblMoeHistory[[#This Row],[State and Local Per Capita Result]]),0)&gt;0,IFERROR(SEARCH("Met",tblMoeHistory[[#This Row],[State and Local Total Result]]),0)&gt;0),"Met","Not Met")</f>
        <v>Met</v>
      </c>
    </row>
    <row r="1964" spans="1:22" x14ac:dyDescent="0.35">
      <c r="A1964" t="s">
        <v>212</v>
      </c>
      <c r="B1964">
        <v>2220</v>
      </c>
      <c r="C1964" t="s">
        <v>1537</v>
      </c>
      <c r="D1964">
        <v>30</v>
      </c>
      <c r="E1964">
        <v>173058.11</v>
      </c>
      <c r="F1964">
        <v>149667.75</v>
      </c>
      <c r="G1964">
        <f>tblMoeHistory[[#This Row],[LEA State and Local Amount]]+tblMoeHistory[[#This Row],[ESD State and Local Amount]]</f>
        <v>322725.86</v>
      </c>
      <c r="H1964">
        <v>0</v>
      </c>
      <c r="I1964" t="s">
        <v>241</v>
      </c>
      <c r="J1964" s="44">
        <f>IFERROR(tblMoeHistory[[#This Row],[LEA State and Local Amount]]/tblMoeHistory[[#This Row],[Child Count]],0)</f>
        <v>5768.603666666666</v>
      </c>
      <c r="K1964">
        <f>IFERROR(tblMoeHistory[[#This Row],[ESD State and Local Amount]]/tblMoeHistory[[#This Row],[Child Count]],0)</f>
        <v>4988.9250000000002</v>
      </c>
      <c r="L1964" s="1">
        <f>IFERROR(tblMoeHistory[[#This Row],[State and Local Total Amount]]/tblMoeHistory[[#This Row],[Child Count]],0)</f>
        <v>10757.528666666667</v>
      </c>
      <c r="M1964">
        <v>0</v>
      </c>
      <c r="N1964" t="s">
        <v>241</v>
      </c>
      <c r="O1964">
        <v>56307.09</v>
      </c>
      <c r="P1964">
        <v>997.05</v>
      </c>
      <c r="Q1964">
        <f>tblMoeHistory[[#This Row],[Amount of IDEA Part B, Section 611 award]]+tblMoeHistory[[#This Row],[Amount of IDEA Part B, Section 619 award]]</f>
        <v>57304.14</v>
      </c>
      <c r="S1964">
        <v>0</v>
      </c>
      <c r="U19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4" t="str">
        <f>IF(OR(IFERROR(SEARCH("Met",tblMoeHistory[[#This Row],[State and Local Per Capita Result]]),0)&gt;0,IFERROR(SEARCH("Met",tblMoeHistory[[#This Row],[State and Local Total Result]]),0)&gt;0),"Met","Not Met")</f>
        <v>Met</v>
      </c>
    </row>
    <row r="1965" spans="1:22" x14ac:dyDescent="0.35">
      <c r="A1965" t="s">
        <v>213</v>
      </c>
      <c r="B1965">
        <v>1936</v>
      </c>
      <c r="C1965" t="s">
        <v>1537</v>
      </c>
      <c r="D1965">
        <v>158</v>
      </c>
      <c r="E1965">
        <v>1480448.33</v>
      </c>
      <c r="F1965">
        <v>300827</v>
      </c>
      <c r="G1965">
        <f>tblMoeHistory[[#This Row],[LEA State and Local Amount]]+tblMoeHistory[[#This Row],[ESD State and Local Amount]]</f>
        <v>1781275.33</v>
      </c>
      <c r="H1965">
        <v>0</v>
      </c>
      <c r="I1965" t="s">
        <v>242</v>
      </c>
      <c r="J1965" s="44">
        <f>IFERROR(tblMoeHistory[[#This Row],[LEA State and Local Amount]]/tblMoeHistory[[#This Row],[Child Count]],0)</f>
        <v>9369.926139240506</v>
      </c>
      <c r="K1965">
        <f>IFERROR(tblMoeHistory[[#This Row],[ESD State and Local Amount]]/tblMoeHistory[[#This Row],[Child Count]],0)</f>
        <v>1903.9683544303798</v>
      </c>
      <c r="L1965" s="1">
        <f>IFERROR(tblMoeHistory[[#This Row],[State and Local Total Amount]]/tblMoeHistory[[#This Row],[Child Count]],0)</f>
        <v>11273.894493670887</v>
      </c>
      <c r="M1965">
        <v>-258389.30676470583</v>
      </c>
      <c r="N1965" t="s">
        <v>240</v>
      </c>
      <c r="O1965">
        <v>157364.66</v>
      </c>
      <c r="P1965">
        <v>1018.5</v>
      </c>
      <c r="Q1965">
        <f>tblMoeHistory[[#This Row],[Amount of IDEA Part B, Section 611 award]]+tblMoeHistory[[#This Row],[Amount of IDEA Part B, Section 619 award]]</f>
        <v>158383.16</v>
      </c>
      <c r="S1965">
        <v>37250.959999999999</v>
      </c>
      <c r="T1965">
        <v>0</v>
      </c>
      <c r="U19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5" t="str">
        <f>IF(OR(IFERROR(SEARCH("Met",tblMoeHistory[[#This Row],[State and Local Per Capita Result]]),0)&gt;0,IFERROR(SEARCH("Met",tblMoeHistory[[#This Row],[State and Local Total Result]]),0)&gt;0),"Met","Not Met")</f>
        <v>Met</v>
      </c>
    </row>
    <row r="1966" spans="1:22" x14ac:dyDescent="0.35">
      <c r="A1966" t="s">
        <v>214</v>
      </c>
      <c r="B1966">
        <v>1922</v>
      </c>
      <c r="C1966" t="s">
        <v>1537</v>
      </c>
      <c r="D1966">
        <v>1128</v>
      </c>
      <c r="E1966">
        <v>13012723.439999999</v>
      </c>
      <c r="F1966">
        <v>59958</v>
      </c>
      <c r="G1966">
        <f>tblMoeHistory[[#This Row],[LEA State and Local Amount]]+tblMoeHistory[[#This Row],[ESD State and Local Amount]]</f>
        <v>13072681.439999999</v>
      </c>
      <c r="H1966">
        <v>0</v>
      </c>
      <c r="I1966" t="s">
        <v>241</v>
      </c>
      <c r="J1966" s="44">
        <f>IFERROR(tblMoeHistory[[#This Row],[LEA State and Local Amount]]/tblMoeHistory[[#This Row],[Child Count]],0)</f>
        <v>11536.102340425532</v>
      </c>
      <c r="K1966">
        <f>IFERROR(tblMoeHistory[[#This Row],[ESD State and Local Amount]]/tblMoeHistory[[#This Row],[Child Count]],0)</f>
        <v>53.154255319148938</v>
      </c>
      <c r="L1966" s="1">
        <f>IFERROR(tblMoeHistory[[#This Row],[State and Local Total Amount]]/tblMoeHistory[[#This Row],[Child Count]],0)</f>
        <v>11589.25659574468</v>
      </c>
      <c r="M1966">
        <v>0</v>
      </c>
      <c r="N1966" t="s">
        <v>241</v>
      </c>
      <c r="O1966">
        <v>1309146.1599999999</v>
      </c>
      <c r="P1966">
        <v>9754.67</v>
      </c>
      <c r="Q1966">
        <f>tblMoeHistory[[#This Row],[Amount of IDEA Part B, Section 611 award]]+tblMoeHistory[[#This Row],[Amount of IDEA Part B, Section 619 award]]</f>
        <v>1318900.8299999998</v>
      </c>
      <c r="S1966">
        <v>0</v>
      </c>
      <c r="U19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6" t="str">
        <f>IF(OR(IFERROR(SEARCH("Met",tblMoeHistory[[#This Row],[State and Local Per Capita Result]]),0)&gt;0,IFERROR(SEARCH("Met",tblMoeHistory[[#This Row],[State and Local Total Result]]),0)&gt;0),"Met","Not Met")</f>
        <v>Met</v>
      </c>
    </row>
    <row r="1967" spans="1:22" x14ac:dyDescent="0.35">
      <c r="A1967" t="s">
        <v>215</v>
      </c>
      <c r="B1967">
        <v>2255</v>
      </c>
      <c r="C1967" t="s">
        <v>1537</v>
      </c>
      <c r="D1967">
        <v>147</v>
      </c>
      <c r="E1967">
        <v>1168533.18</v>
      </c>
      <c r="F1967">
        <v>28636.05</v>
      </c>
      <c r="G1967">
        <f>tblMoeHistory[[#This Row],[LEA State and Local Amount]]+tblMoeHistory[[#This Row],[ESD State and Local Amount]]</f>
        <v>1197169.23</v>
      </c>
      <c r="H1967">
        <v>0</v>
      </c>
      <c r="I1967" t="s">
        <v>242</v>
      </c>
      <c r="J1967" s="44">
        <f>IFERROR(tblMoeHistory[[#This Row],[LEA State and Local Amount]]/tblMoeHistory[[#This Row],[Child Count]],0)</f>
        <v>7949.2053061224487</v>
      </c>
      <c r="K1967">
        <f>IFERROR(tblMoeHistory[[#This Row],[ESD State and Local Amount]]/tblMoeHistory[[#This Row],[Child Count]],0)</f>
        <v>194.8030612244898</v>
      </c>
      <c r="L1967" s="1">
        <f>IFERROR(tblMoeHistory[[#This Row],[State and Local Total Amount]]/tblMoeHistory[[#This Row],[Child Count]],0)</f>
        <v>8144.0083673469389</v>
      </c>
      <c r="M1967">
        <v>-88248.556578947391</v>
      </c>
      <c r="N1967" t="s">
        <v>240</v>
      </c>
      <c r="O1967">
        <v>196650.11</v>
      </c>
      <c r="P1967">
        <v>2498.64</v>
      </c>
      <c r="Q1967">
        <f>tblMoeHistory[[#This Row],[Amount of IDEA Part B, Section 611 award]]+tblMoeHistory[[#This Row],[Amount of IDEA Part B, Section 619 award]]</f>
        <v>199148.75</v>
      </c>
      <c r="S1967">
        <v>40686.447368421053</v>
      </c>
      <c r="T1967">
        <v>996.94</v>
      </c>
      <c r="U19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7" t="str">
        <f>IF(OR(IFERROR(SEARCH("Met",tblMoeHistory[[#This Row],[State and Local Per Capita Result]]),0)&gt;0,IFERROR(SEARCH("Met",tblMoeHistory[[#This Row],[State and Local Total Result]]),0)&gt;0),"Met","Not Met")</f>
        <v>Met</v>
      </c>
    </row>
    <row r="1968" spans="1:22" x14ac:dyDescent="0.35">
      <c r="A1968" t="s">
        <v>216</v>
      </c>
      <c r="B1968">
        <v>2002</v>
      </c>
      <c r="C1968" t="s">
        <v>1537</v>
      </c>
      <c r="D1968">
        <v>208</v>
      </c>
      <c r="E1968">
        <v>1597996.38</v>
      </c>
      <c r="F1968">
        <v>377066.25</v>
      </c>
      <c r="G1968">
        <f>tblMoeHistory[[#This Row],[LEA State and Local Amount]]+tblMoeHistory[[#This Row],[ESD State and Local Amount]]</f>
        <v>1975062.63</v>
      </c>
      <c r="H1968">
        <v>0</v>
      </c>
      <c r="I1968" t="s">
        <v>241</v>
      </c>
      <c r="J1968" s="44">
        <f>IFERROR(tblMoeHistory[[#This Row],[LEA State and Local Amount]]/tblMoeHistory[[#This Row],[Child Count]],0)</f>
        <v>7682.674903846153</v>
      </c>
      <c r="K1968">
        <f>IFERROR(tblMoeHistory[[#This Row],[ESD State and Local Amount]]/tblMoeHistory[[#This Row],[Child Count]],0)</f>
        <v>1812.8185096153845</v>
      </c>
      <c r="L1968" s="1">
        <f>IFERROR(tblMoeHistory[[#This Row],[State and Local Total Amount]]/tblMoeHistory[[#This Row],[Child Count]],0)</f>
        <v>9495.4934134615378</v>
      </c>
      <c r="M1968">
        <v>0</v>
      </c>
      <c r="N1968" t="s">
        <v>241</v>
      </c>
      <c r="O1968">
        <v>256804.13</v>
      </c>
      <c r="P1968">
        <v>3505.28</v>
      </c>
      <c r="Q1968">
        <f>tblMoeHistory[[#This Row],[Amount of IDEA Part B, Section 611 award]]+tblMoeHistory[[#This Row],[Amount of IDEA Part B, Section 619 award]]</f>
        <v>260309.41</v>
      </c>
      <c r="S1968">
        <v>0</v>
      </c>
      <c r="U19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8" t="str">
        <f>IF(OR(IFERROR(SEARCH("Met",tblMoeHistory[[#This Row],[State and Local Per Capita Result]]),0)&gt;0,IFERROR(SEARCH("Met",tblMoeHistory[[#This Row],[State and Local Total Result]]),0)&gt;0),"Met","Not Met")</f>
        <v>Met</v>
      </c>
    </row>
    <row r="1969" spans="1:22" x14ac:dyDescent="0.35">
      <c r="A1969" t="s">
        <v>217</v>
      </c>
      <c r="B1969">
        <v>2146</v>
      </c>
      <c r="C1969" t="s">
        <v>1537</v>
      </c>
      <c r="D1969">
        <v>845</v>
      </c>
      <c r="E1969">
        <v>8951078.1300000008</v>
      </c>
      <c r="F1969">
        <v>593570.86</v>
      </c>
      <c r="G1969">
        <f>tblMoeHistory[[#This Row],[LEA State and Local Amount]]+tblMoeHistory[[#This Row],[ESD State and Local Amount]]</f>
        <v>9544648.9900000002</v>
      </c>
      <c r="H1969">
        <v>0</v>
      </c>
      <c r="I1969" t="s">
        <v>241</v>
      </c>
      <c r="J1969" s="44">
        <f>IFERROR(tblMoeHistory[[#This Row],[LEA State and Local Amount]]/tblMoeHistory[[#This Row],[Child Count]],0)</f>
        <v>10592.991869822486</v>
      </c>
      <c r="K1969">
        <f>IFERROR(tblMoeHistory[[#This Row],[ESD State and Local Amount]]/tblMoeHistory[[#This Row],[Child Count]],0)</f>
        <v>702.45072189349116</v>
      </c>
      <c r="L1969" s="1">
        <f>IFERROR(tblMoeHistory[[#This Row],[State and Local Total Amount]]/tblMoeHistory[[#This Row],[Child Count]],0)</f>
        <v>11295.442591715977</v>
      </c>
      <c r="M1969">
        <v>0</v>
      </c>
      <c r="N1969" t="s">
        <v>241</v>
      </c>
      <c r="O1969">
        <v>858279.06</v>
      </c>
      <c r="P1969">
        <v>2826.37</v>
      </c>
      <c r="Q1969">
        <f>tblMoeHistory[[#This Row],[Amount of IDEA Part B, Section 611 award]]+tblMoeHistory[[#This Row],[Amount of IDEA Part B, Section 619 award]]</f>
        <v>861105.43</v>
      </c>
      <c r="S1969">
        <v>0</v>
      </c>
      <c r="U19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9" t="str">
        <f>IF(OR(IFERROR(SEARCH("Met",tblMoeHistory[[#This Row],[State and Local Per Capita Result]]),0)&gt;0,IFERROR(SEARCH("Met",tblMoeHistory[[#This Row],[State and Local Total Result]]),0)&gt;0),"Met","Not Met")</f>
        <v>Met</v>
      </c>
    </row>
    <row r="1970" spans="1:22" x14ac:dyDescent="0.35">
      <c r="A1970" t="s">
        <v>218</v>
      </c>
      <c r="B1970">
        <v>2251</v>
      </c>
      <c r="C1970" t="s">
        <v>1537</v>
      </c>
      <c r="D1970">
        <v>127</v>
      </c>
      <c r="E1970">
        <v>1510364.31</v>
      </c>
      <c r="F1970">
        <v>207861.99</v>
      </c>
      <c r="G1970">
        <f>tblMoeHistory[[#This Row],[LEA State and Local Amount]]+tblMoeHistory[[#This Row],[ESD State and Local Amount]]</f>
        <v>1718226.3</v>
      </c>
      <c r="H1970">
        <v>0</v>
      </c>
      <c r="I1970" t="s">
        <v>240</v>
      </c>
      <c r="J1970" s="44">
        <f>IFERROR(tblMoeHistory[[#This Row],[LEA State and Local Amount]]/tblMoeHistory[[#This Row],[Child Count]],0)</f>
        <v>11892.632362204726</v>
      </c>
      <c r="K1970">
        <f>IFERROR(tblMoeHistory[[#This Row],[ESD State and Local Amount]]/tblMoeHistory[[#This Row],[Child Count]],0)</f>
        <v>1636.7085826771652</v>
      </c>
      <c r="L1970" s="1">
        <f>IFERROR(tblMoeHistory[[#This Row],[State and Local Total Amount]]/tblMoeHistory[[#This Row],[Child Count]],0)</f>
        <v>13529.340944881889</v>
      </c>
      <c r="M1970">
        <v>-173758.76099173553</v>
      </c>
      <c r="N1970" t="s">
        <v>240</v>
      </c>
      <c r="O1970">
        <v>183338.78</v>
      </c>
      <c r="P1970">
        <v>990.52</v>
      </c>
      <c r="Q1970">
        <f>tblMoeHistory[[#This Row],[Amount of IDEA Part B, Section 611 award]]+tblMoeHistory[[#This Row],[Amount of IDEA Part B, Section 619 award]]</f>
        <v>184329.3</v>
      </c>
      <c r="S1970">
        <v>0</v>
      </c>
      <c r="T1970">
        <v>0</v>
      </c>
      <c r="U19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0" t="str">
        <f>IF(OR(IFERROR(SEARCH("Met",tblMoeHistory[[#This Row],[State and Local Per Capita Result]]),0)&gt;0,IFERROR(SEARCH("Met",tblMoeHistory[[#This Row],[State and Local Total Result]]),0)&gt;0),"Met","Not Met")</f>
        <v>Not Met</v>
      </c>
    </row>
    <row r="1971" spans="1:22" x14ac:dyDescent="0.35">
      <c r="A1971" t="s">
        <v>219</v>
      </c>
      <c r="B1971">
        <v>1997</v>
      </c>
      <c r="C1971" t="s">
        <v>1537</v>
      </c>
      <c r="D1971">
        <v>38</v>
      </c>
      <c r="E1971">
        <v>304434.65000000002</v>
      </c>
      <c r="F1971">
        <v>69247.94</v>
      </c>
      <c r="G1971">
        <f>tblMoeHistory[[#This Row],[LEA State and Local Amount]]+tblMoeHistory[[#This Row],[ESD State and Local Amount]]</f>
        <v>373682.59</v>
      </c>
      <c r="H1971">
        <v>0</v>
      </c>
      <c r="I1971" t="s">
        <v>241</v>
      </c>
      <c r="J1971" s="44">
        <f>IFERROR(tblMoeHistory[[#This Row],[LEA State and Local Amount]]/tblMoeHistory[[#This Row],[Child Count]],0)</f>
        <v>8011.4381578947377</v>
      </c>
      <c r="K1971">
        <f>IFERROR(tblMoeHistory[[#This Row],[ESD State and Local Amount]]/tblMoeHistory[[#This Row],[Child Count]],0)</f>
        <v>1822.3142105263159</v>
      </c>
      <c r="L1971" s="1">
        <f>IFERROR(tblMoeHistory[[#This Row],[State and Local Total Amount]]/tblMoeHistory[[#This Row],[Child Count]],0)</f>
        <v>9833.7523684210537</v>
      </c>
      <c r="M1971">
        <v>-68586.955806451515</v>
      </c>
      <c r="N1971" t="s">
        <v>240</v>
      </c>
      <c r="O1971">
        <v>52626.38</v>
      </c>
      <c r="P1971">
        <v>510.85</v>
      </c>
      <c r="Q1971">
        <f>tblMoeHistory[[#This Row],[Amount of IDEA Part B, Section 611 award]]+tblMoeHistory[[#This Row],[Amount of IDEA Part B, Section 619 award]]</f>
        <v>53137.229999999996</v>
      </c>
      <c r="S1971">
        <v>0</v>
      </c>
      <c r="T1971">
        <v>0</v>
      </c>
      <c r="U19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1" t="str">
        <f>IF(OR(IFERROR(SEARCH("Met",tblMoeHistory[[#This Row],[State and Local Per Capita Result]]),0)&gt;0,IFERROR(SEARCH("Met",tblMoeHistory[[#This Row],[State and Local Total Result]]),0)&gt;0),"Met","Not Met")</f>
        <v>Met</v>
      </c>
    </row>
    <row r="1972" spans="1:22" s="104" customFormat="1" x14ac:dyDescent="0.35">
      <c r="A1972" s="104" t="s">
        <v>14</v>
      </c>
      <c r="B1972" s="104">
        <v>2063</v>
      </c>
      <c r="C1972" s="104" t="s">
        <v>1534</v>
      </c>
      <c r="D1972" s="104">
        <v>5</v>
      </c>
      <c r="E1972" s="154">
        <v>4514.75</v>
      </c>
      <c r="F1972" s="154">
        <v>66689.84</v>
      </c>
      <c r="G1972" s="104">
        <f>tblMoeHistory[[#This Row],[LEA State and Local Amount]]+tblMoeHistory[[#This Row],[ESD State and Local Amount]]</f>
        <v>71204.59</v>
      </c>
      <c r="I1972" s="104" t="s">
        <v>241</v>
      </c>
      <c r="J1972" s="105">
        <f>IFERROR(tblMoeHistory[[#This Row],[LEA State and Local Amount]]/tblMoeHistory[[#This Row],[Child Count]],0)</f>
        <v>902.95</v>
      </c>
      <c r="K1972" s="104">
        <f>IFERROR(tblMoeHistory[[#This Row],[ESD State and Local Amount]]/tblMoeHistory[[#This Row],[Child Count]],0)</f>
        <v>13337.967999999999</v>
      </c>
      <c r="L1972" s="104">
        <f>IFERROR(tblMoeHistory[[#This Row],[State and Local Total Amount]]/tblMoeHistory[[#This Row],[Child Count]],0)</f>
        <v>14240.918</v>
      </c>
      <c r="N1972" s="103" t="s">
        <v>2140</v>
      </c>
      <c r="O1972" s="104">
        <v>2614.52</v>
      </c>
      <c r="P1972" s="104">
        <v>243.89</v>
      </c>
      <c r="Q1972" s="104">
        <f>tblMoeHistory[[#This Row],[Amount of IDEA Part B, Section 611 award]]+tblMoeHistory[[#This Row],[Amount of IDEA Part B, Section 619 award]]</f>
        <v>2858.41</v>
      </c>
      <c r="U1972" s="1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2" s="104" t="s">
        <v>241</v>
      </c>
    </row>
    <row r="1973" spans="1:22" x14ac:dyDescent="0.35">
      <c r="A1973" t="s">
        <v>17</v>
      </c>
      <c r="B1973">
        <v>2113</v>
      </c>
      <c r="C1973" t="s">
        <v>1534</v>
      </c>
      <c r="D1973">
        <v>43</v>
      </c>
      <c r="E1973" s="81">
        <v>275669.42</v>
      </c>
      <c r="F1973" s="81">
        <v>93756.959999999992</v>
      </c>
      <c r="G1973">
        <f>tblMoeHistory[[#This Row],[LEA State and Local Amount]]+tblMoeHistory[[#This Row],[ESD State and Local Amount]]</f>
        <v>369426.38</v>
      </c>
      <c r="I1973" t="s">
        <v>242</v>
      </c>
      <c r="J1973" s="44">
        <f>IFERROR(tblMoeHistory[[#This Row],[LEA State and Local Amount]]/tblMoeHistory[[#This Row],[Child Count]],0)</f>
        <v>6410.9167441860463</v>
      </c>
      <c r="K1973">
        <f>IFERROR(tblMoeHistory[[#This Row],[ESD State and Local Amount]]/tblMoeHistory[[#This Row],[Child Count]],0)</f>
        <v>2180.394418604651</v>
      </c>
      <c r="L1973">
        <f>IFERROR(tblMoeHistory[[#This Row],[State and Local Total Amount]]/tblMoeHistory[[#This Row],[Child Count]],0)</f>
        <v>8591.3111627906983</v>
      </c>
      <c r="N1973" s="103" t="s">
        <v>241</v>
      </c>
      <c r="O1973">
        <v>58373.280000000006</v>
      </c>
      <c r="P1973">
        <v>363</v>
      </c>
      <c r="Q1973">
        <f>tblMoeHistory[[#This Row],[Amount of IDEA Part B, Section 611 award]]+tblMoeHistory[[#This Row],[Amount of IDEA Part B, Section 619 award]]</f>
        <v>58736.280000000006</v>
      </c>
      <c r="U19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3" t="s">
        <v>242</v>
      </c>
    </row>
    <row r="1974" spans="1:22" x14ac:dyDescent="0.35">
      <c r="A1974" t="s">
        <v>20</v>
      </c>
      <c r="B1974">
        <v>1899</v>
      </c>
      <c r="C1974" t="s">
        <v>1534</v>
      </c>
      <c r="D1974">
        <v>98</v>
      </c>
      <c r="E1974" s="81">
        <v>757951.11</v>
      </c>
      <c r="F1974" s="81">
        <v>143484</v>
      </c>
      <c r="G1974">
        <f>tblMoeHistory[[#This Row],[LEA State and Local Amount]]+tblMoeHistory[[#This Row],[ESD State and Local Amount]]</f>
        <v>901435.11</v>
      </c>
      <c r="I1974" t="s">
        <v>241</v>
      </c>
      <c r="J1974" s="44">
        <f>IFERROR(tblMoeHistory[[#This Row],[LEA State and Local Amount]]/tblMoeHistory[[#This Row],[Child Count]],0)</f>
        <v>7734.1949999999997</v>
      </c>
      <c r="K1974">
        <f>IFERROR(tblMoeHistory[[#This Row],[ESD State and Local Amount]]/tblMoeHistory[[#This Row],[Child Count]],0)</f>
        <v>1464.1224489795918</v>
      </c>
      <c r="L1974">
        <f>IFERROR(tblMoeHistory[[#This Row],[State and Local Total Amount]]/tblMoeHistory[[#This Row],[Child Count]],0)</f>
        <v>9198.3174489795911</v>
      </c>
      <c r="N1974" s="103" t="s">
        <v>2140</v>
      </c>
      <c r="O1974">
        <v>48606.03</v>
      </c>
      <c r="P1974">
        <v>1533.57</v>
      </c>
      <c r="Q1974">
        <f>tblMoeHistory[[#This Row],[Amount of IDEA Part B, Section 611 award]]+tblMoeHistory[[#This Row],[Amount of IDEA Part B, Section 619 award]]</f>
        <v>50139.6</v>
      </c>
      <c r="U19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4" t="s">
        <v>241</v>
      </c>
    </row>
    <row r="1975" spans="1:22" x14ac:dyDescent="0.35">
      <c r="A1975" t="s">
        <v>21</v>
      </c>
      <c r="B1975">
        <v>2252</v>
      </c>
      <c r="C1975" t="s">
        <v>1534</v>
      </c>
      <c r="D1975">
        <v>125</v>
      </c>
      <c r="E1975" s="81">
        <v>676751.8</v>
      </c>
      <c r="F1975" s="81">
        <v>142426.82999999999</v>
      </c>
      <c r="G1975">
        <f>tblMoeHistory[[#This Row],[LEA State and Local Amount]]+tblMoeHistory[[#This Row],[ESD State and Local Amount]]</f>
        <v>819178.63</v>
      </c>
      <c r="I1975" t="s">
        <v>242</v>
      </c>
      <c r="J1975" s="44">
        <f>IFERROR(tblMoeHistory[[#This Row],[LEA State and Local Amount]]/tblMoeHistory[[#This Row],[Child Count]],0)</f>
        <v>5414.0144</v>
      </c>
      <c r="K1975">
        <f>IFERROR(tblMoeHistory[[#This Row],[ESD State and Local Amount]]/tblMoeHistory[[#This Row],[Child Count]],0)</f>
        <v>1139.41464</v>
      </c>
      <c r="L1975">
        <f>IFERROR(tblMoeHistory[[#This Row],[State and Local Total Amount]]/tblMoeHistory[[#This Row],[Child Count]],0)</f>
        <v>6553.42904</v>
      </c>
      <c r="N1975" s="103" t="s">
        <v>241</v>
      </c>
      <c r="O1975">
        <v>184023.94</v>
      </c>
      <c r="P1975">
        <v>8034.88</v>
      </c>
      <c r="Q1975">
        <f>tblMoeHistory[[#This Row],[Amount of IDEA Part B, Section 611 award]]+tblMoeHistory[[#This Row],[Amount of IDEA Part B, Section 619 award]]</f>
        <v>192058.82</v>
      </c>
      <c r="U19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5" t="s">
        <v>242</v>
      </c>
    </row>
    <row r="1976" spans="1:22" x14ac:dyDescent="0.35">
      <c r="A1976" t="s">
        <v>23</v>
      </c>
      <c r="B1976">
        <v>2111</v>
      </c>
      <c r="C1976" t="s">
        <v>1534</v>
      </c>
      <c r="D1976">
        <v>10</v>
      </c>
      <c r="E1976">
        <v>43439.82</v>
      </c>
      <c r="F1976" s="81">
        <v>41493</v>
      </c>
      <c r="G1976">
        <f>tblMoeHistory[[#This Row],[LEA State and Local Amount]]+tblMoeHistory[[#This Row],[ESD State and Local Amount]]</f>
        <v>84932.82</v>
      </c>
      <c r="I1976" t="s">
        <v>241</v>
      </c>
      <c r="J1976" s="44">
        <f>IFERROR(tblMoeHistory[[#This Row],[LEA State and Local Amount]]/tblMoeHistory[[#This Row],[Child Count]],0)</f>
        <v>4343.982</v>
      </c>
      <c r="K1976">
        <f>IFERROR(tblMoeHistory[[#This Row],[ESD State and Local Amount]]/tblMoeHistory[[#This Row],[Child Count]],0)</f>
        <v>4149.3</v>
      </c>
      <c r="L1976">
        <f>IFERROR(tblMoeHistory[[#This Row],[State and Local Total Amount]]/tblMoeHistory[[#This Row],[Child Count]],0)</f>
        <v>8493.2820000000011</v>
      </c>
      <c r="N1976" s="103" t="s">
        <v>2140</v>
      </c>
      <c r="O1976">
        <v>24524.48</v>
      </c>
      <c r="P1976">
        <v>846.63</v>
      </c>
      <c r="Q1976">
        <f>tblMoeHistory[[#This Row],[Amount of IDEA Part B, Section 611 award]]+tblMoeHistory[[#This Row],[Amount of IDEA Part B, Section 619 award]]</f>
        <v>25371.11</v>
      </c>
      <c r="U19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6" t="s">
        <v>241</v>
      </c>
    </row>
    <row r="1977" spans="1:22" x14ac:dyDescent="0.35">
      <c r="A1977" t="s">
        <v>24</v>
      </c>
      <c r="B1977">
        <v>2005</v>
      </c>
      <c r="C1977" t="s">
        <v>1534</v>
      </c>
      <c r="D1977">
        <v>24</v>
      </c>
      <c r="E1977" s="81">
        <v>28897.65</v>
      </c>
      <c r="F1977" s="81">
        <v>157487</v>
      </c>
      <c r="G1977">
        <f>tblMoeHistory[[#This Row],[LEA State and Local Amount]]+tblMoeHistory[[#This Row],[ESD State and Local Amount]]</f>
        <v>186384.65</v>
      </c>
      <c r="I1977" t="s">
        <v>241</v>
      </c>
      <c r="J1977" s="44">
        <f>IFERROR(tblMoeHistory[[#This Row],[LEA State and Local Amount]]/tblMoeHistory[[#This Row],[Child Count]],0)</f>
        <v>1204.0687500000001</v>
      </c>
      <c r="K1977">
        <f>IFERROR(tblMoeHistory[[#This Row],[ESD State and Local Amount]]/tblMoeHistory[[#This Row],[Child Count]],0)</f>
        <v>6561.958333333333</v>
      </c>
      <c r="L1977">
        <f>IFERROR(tblMoeHistory[[#This Row],[State and Local Total Amount]]/tblMoeHistory[[#This Row],[Child Count]],0)</f>
        <v>7766.0270833333334</v>
      </c>
      <c r="N1977" s="103" t="s">
        <v>241</v>
      </c>
      <c r="O1977">
        <v>33229.160000000003</v>
      </c>
      <c r="P1977">
        <v>613.46</v>
      </c>
      <c r="Q1977">
        <f>tblMoeHistory[[#This Row],[Amount of IDEA Part B, Section 611 award]]+tblMoeHistory[[#This Row],[Amount of IDEA Part B, Section 619 award]]</f>
        <v>33842.620000000003</v>
      </c>
      <c r="U19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7" t="s">
        <v>241</v>
      </c>
    </row>
    <row r="1978" spans="1:22" x14ac:dyDescent="0.35">
      <c r="A1978" t="s">
        <v>25</v>
      </c>
      <c r="B1978">
        <v>2115</v>
      </c>
      <c r="C1978" t="s">
        <v>1534</v>
      </c>
      <c r="D1978">
        <v>1</v>
      </c>
      <c r="E1978">
        <v>0</v>
      </c>
      <c r="F1978" s="81">
        <v>13099.999999999998</v>
      </c>
      <c r="G1978">
        <f>tblMoeHistory[[#This Row],[LEA State and Local Amount]]+tblMoeHistory[[#This Row],[ESD State and Local Amount]]</f>
        <v>13099.999999999998</v>
      </c>
      <c r="I1978" t="s">
        <v>241</v>
      </c>
      <c r="J1978" s="44">
        <f>IFERROR(tblMoeHistory[[#This Row],[LEA State and Local Amount]]/tblMoeHistory[[#This Row],[Child Count]],0)</f>
        <v>0</v>
      </c>
      <c r="K1978">
        <f>IFERROR(tblMoeHistory[[#This Row],[ESD State and Local Amount]]/tblMoeHistory[[#This Row],[Child Count]],0)</f>
        <v>13099.999999999998</v>
      </c>
      <c r="L1978">
        <f>IFERROR(tblMoeHistory[[#This Row],[State and Local Total Amount]]/tblMoeHistory[[#This Row],[Child Count]],0)</f>
        <v>13099.999999999998</v>
      </c>
      <c r="N1978" s="103" t="s">
        <v>241</v>
      </c>
      <c r="O1978">
        <v>4879.6499999999996</v>
      </c>
      <c r="P1978">
        <v>8.1</v>
      </c>
      <c r="Q1978">
        <f>tblMoeHistory[[#This Row],[Amount of IDEA Part B, Section 611 award]]+tblMoeHistory[[#This Row],[Amount of IDEA Part B, Section 619 award]]</f>
        <v>4887.75</v>
      </c>
      <c r="U19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8" t="s">
        <v>241</v>
      </c>
    </row>
    <row r="1979" spans="1:22" x14ac:dyDescent="0.35">
      <c r="A1979" t="s">
        <v>26</v>
      </c>
      <c r="B1979">
        <v>2041</v>
      </c>
      <c r="C1979" t="s">
        <v>1534</v>
      </c>
      <c r="D1979">
        <v>309</v>
      </c>
      <c r="E1979" s="81">
        <v>3311269.2600000002</v>
      </c>
      <c r="F1979" s="81">
        <v>568007.90999999992</v>
      </c>
      <c r="G1979">
        <f>tblMoeHistory[[#This Row],[LEA State and Local Amount]]+tblMoeHistory[[#This Row],[ESD State and Local Amount]]</f>
        <v>3879277.17</v>
      </c>
      <c r="I1979" t="s">
        <v>241</v>
      </c>
      <c r="J1979" s="44">
        <f>IFERROR(tblMoeHistory[[#This Row],[LEA State and Local Amount]]/tblMoeHistory[[#This Row],[Child Count]],0)</f>
        <v>10716.081747572816</v>
      </c>
      <c r="K1979">
        <f>IFERROR(tblMoeHistory[[#This Row],[ESD State and Local Amount]]/tblMoeHistory[[#This Row],[Child Count]],0)</f>
        <v>1838.2133009708734</v>
      </c>
      <c r="L1979">
        <f>IFERROR(tblMoeHistory[[#This Row],[State and Local Total Amount]]/tblMoeHistory[[#This Row],[Child Count]],0)</f>
        <v>12554.295048543689</v>
      </c>
      <c r="N1979" s="103" t="s">
        <v>241</v>
      </c>
      <c r="O1979">
        <v>662774.5</v>
      </c>
      <c r="P1979">
        <v>15732.5</v>
      </c>
      <c r="Q1979">
        <f>tblMoeHistory[[#This Row],[Amount of IDEA Part B, Section 611 award]]+tblMoeHistory[[#This Row],[Amount of IDEA Part B, Section 619 award]]</f>
        <v>678507</v>
      </c>
      <c r="U19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9" t="s">
        <v>241</v>
      </c>
    </row>
    <row r="1980" spans="1:22" x14ac:dyDescent="0.35">
      <c r="A1980" t="s">
        <v>27</v>
      </c>
      <c r="B1980">
        <v>2051</v>
      </c>
      <c r="C1980" t="s">
        <v>1534</v>
      </c>
      <c r="D1980">
        <v>0</v>
      </c>
      <c r="E1980">
        <v>0</v>
      </c>
      <c r="F1980" s="81">
        <v>8932.7100000000009</v>
      </c>
      <c r="G1980">
        <f>tblMoeHistory[[#This Row],[LEA State and Local Amount]]+tblMoeHistory[[#This Row],[ESD State and Local Amount]]</f>
        <v>8932.7100000000009</v>
      </c>
      <c r="I1980" t="s">
        <v>241</v>
      </c>
      <c r="J1980" s="44">
        <f>IFERROR(tblMoeHistory[[#This Row],[LEA State and Local Amount]]/tblMoeHistory[[#This Row],[Child Count]],0)</f>
        <v>0</v>
      </c>
      <c r="K1980">
        <f>IFERROR(tblMoeHistory[[#This Row],[ESD State and Local Amount]]/tblMoeHistory[[#This Row],[Child Count]],0)</f>
        <v>0</v>
      </c>
      <c r="L1980">
        <f>IFERROR(tblMoeHistory[[#This Row],[State and Local Total Amount]]/tblMoeHistory[[#This Row],[Child Count]],0)</f>
        <v>0</v>
      </c>
      <c r="N1980" s="103" t="s">
        <v>241</v>
      </c>
      <c r="O1980">
        <v>953.18</v>
      </c>
      <c r="P1980">
        <v>2.3199999999999998</v>
      </c>
      <c r="Q1980">
        <f>tblMoeHistory[[#This Row],[Amount of IDEA Part B, Section 611 award]]+tblMoeHistory[[#This Row],[Amount of IDEA Part B, Section 619 award]]</f>
        <v>955.5</v>
      </c>
      <c r="U19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0" t="s">
        <v>241</v>
      </c>
    </row>
    <row r="1981" spans="1:22" x14ac:dyDescent="0.35">
      <c r="A1981" t="s">
        <v>28</v>
      </c>
      <c r="B1981">
        <v>1933</v>
      </c>
      <c r="C1981" t="s">
        <v>1534</v>
      </c>
      <c r="D1981">
        <v>239</v>
      </c>
      <c r="E1981" s="81">
        <v>3090523.67</v>
      </c>
      <c r="F1981" s="81">
        <v>652145</v>
      </c>
      <c r="G1981">
        <f>tblMoeHistory[[#This Row],[LEA State and Local Amount]]+tblMoeHistory[[#This Row],[ESD State and Local Amount]]</f>
        <v>3742668.67</v>
      </c>
      <c r="I1981" t="s">
        <v>241</v>
      </c>
      <c r="J1981" s="44">
        <f>IFERROR(tblMoeHistory[[#This Row],[LEA State and Local Amount]]/tblMoeHistory[[#This Row],[Child Count]],0)</f>
        <v>12931.061380753137</v>
      </c>
      <c r="K1981">
        <f>IFERROR(tblMoeHistory[[#This Row],[ESD State and Local Amount]]/tblMoeHistory[[#This Row],[Child Count]],0)</f>
        <v>2728.6401673640166</v>
      </c>
      <c r="L1981">
        <f>IFERROR(tblMoeHistory[[#This Row],[State and Local Total Amount]]/tblMoeHistory[[#This Row],[Child Count]],0)</f>
        <v>15659.701548117155</v>
      </c>
      <c r="N1981" s="103" t="s">
        <v>241</v>
      </c>
      <c r="O1981">
        <v>385653.42000000004</v>
      </c>
      <c r="P1981">
        <v>8414.51</v>
      </c>
      <c r="Q1981">
        <f>tblMoeHistory[[#This Row],[Amount of IDEA Part B, Section 611 award]]+tblMoeHistory[[#This Row],[Amount of IDEA Part B, Section 619 award]]</f>
        <v>394067.93000000005</v>
      </c>
      <c r="U19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1" t="s">
        <v>241</v>
      </c>
    </row>
    <row r="1982" spans="1:22" x14ac:dyDescent="0.35">
      <c r="A1982" t="s">
        <v>29</v>
      </c>
      <c r="B1982">
        <v>2208</v>
      </c>
      <c r="C1982" t="s">
        <v>1534</v>
      </c>
      <c r="D1982">
        <v>88</v>
      </c>
      <c r="E1982" s="81">
        <v>530420.86</v>
      </c>
      <c r="F1982" s="81">
        <v>158478.79999999999</v>
      </c>
      <c r="G1982">
        <f>tblMoeHistory[[#This Row],[LEA State and Local Amount]]+tblMoeHistory[[#This Row],[ESD State and Local Amount]]</f>
        <v>688899.65999999992</v>
      </c>
      <c r="I1982" t="s">
        <v>241</v>
      </c>
      <c r="J1982" s="44">
        <f>IFERROR(tblMoeHistory[[#This Row],[LEA State and Local Amount]]/tblMoeHistory[[#This Row],[Child Count]],0)</f>
        <v>6027.5097727272723</v>
      </c>
      <c r="K1982">
        <f>IFERROR(tblMoeHistory[[#This Row],[ESD State and Local Amount]]/tblMoeHistory[[#This Row],[Child Count]],0)</f>
        <v>1800.8954545454544</v>
      </c>
      <c r="L1982">
        <f>IFERROR(tblMoeHistory[[#This Row],[State and Local Total Amount]]/tblMoeHistory[[#This Row],[Child Count]],0)</f>
        <v>7828.4052272727267</v>
      </c>
      <c r="N1982" s="103" t="s">
        <v>241</v>
      </c>
      <c r="O1982">
        <v>113221.54999999999</v>
      </c>
      <c r="P1982">
        <v>5016.59</v>
      </c>
      <c r="Q1982">
        <f>tblMoeHistory[[#This Row],[Amount of IDEA Part B, Section 611 award]]+tblMoeHistory[[#This Row],[Amount of IDEA Part B, Section 619 award]]</f>
        <v>118238.13999999998</v>
      </c>
      <c r="U19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2" t="s">
        <v>241</v>
      </c>
    </row>
    <row r="1983" spans="1:22" x14ac:dyDescent="0.35">
      <c r="A1983" t="s">
        <v>30</v>
      </c>
      <c r="B1983">
        <v>1894</v>
      </c>
      <c r="C1983" t="s">
        <v>1534</v>
      </c>
      <c r="D1983">
        <v>527</v>
      </c>
      <c r="E1983" s="81">
        <v>3052665.1100000013</v>
      </c>
      <c r="F1983">
        <v>0</v>
      </c>
      <c r="G1983">
        <f>tblMoeHistory[[#This Row],[LEA State and Local Amount]]+tblMoeHistory[[#This Row],[ESD State and Local Amount]]</f>
        <v>3052665.1100000013</v>
      </c>
      <c r="I1983" t="s">
        <v>241</v>
      </c>
      <c r="J1983" s="44">
        <f>IFERROR(tblMoeHistory[[#This Row],[LEA State and Local Amount]]/tblMoeHistory[[#This Row],[Child Count]],0)</f>
        <v>5792.5334155597748</v>
      </c>
      <c r="K1983">
        <f>IFERROR(tblMoeHistory[[#This Row],[ESD State and Local Amount]]/tblMoeHistory[[#This Row],[Child Count]],0)</f>
        <v>0</v>
      </c>
      <c r="L1983">
        <f>IFERROR(tblMoeHistory[[#This Row],[State and Local Total Amount]]/tblMoeHistory[[#This Row],[Child Count]],0)</f>
        <v>5792.5334155597748</v>
      </c>
      <c r="N1983" s="103" t="s">
        <v>2140</v>
      </c>
      <c r="O1983">
        <v>666267.1</v>
      </c>
      <c r="P1983">
        <v>8920.76</v>
      </c>
      <c r="Q1983">
        <f>tblMoeHistory[[#This Row],[Amount of IDEA Part B, Section 611 award]]+tblMoeHistory[[#This Row],[Amount of IDEA Part B, Section 619 award]]</f>
        <v>675187.86</v>
      </c>
      <c r="U19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3" t="s">
        <v>241</v>
      </c>
    </row>
    <row r="1984" spans="1:22" x14ac:dyDescent="0.35">
      <c r="A1984" t="s">
        <v>32</v>
      </c>
      <c r="B1984">
        <v>1969</v>
      </c>
      <c r="C1984" t="s">
        <v>1534</v>
      </c>
      <c r="D1984">
        <v>91</v>
      </c>
      <c r="E1984" s="81">
        <v>1030810.1799999996</v>
      </c>
      <c r="F1984" s="81">
        <v>392923.12</v>
      </c>
      <c r="G1984">
        <f>tblMoeHistory[[#This Row],[LEA State and Local Amount]]+tblMoeHistory[[#This Row],[ESD State and Local Amount]]</f>
        <v>1423733.2999999996</v>
      </c>
      <c r="I1984" t="s">
        <v>242</v>
      </c>
      <c r="J1984" s="44">
        <f>IFERROR(tblMoeHistory[[#This Row],[LEA State and Local Amount]]/tblMoeHistory[[#This Row],[Child Count]],0)</f>
        <v>11327.584395604392</v>
      </c>
      <c r="K1984">
        <f>IFERROR(tblMoeHistory[[#This Row],[ESD State and Local Amount]]/tblMoeHistory[[#This Row],[Child Count]],0)</f>
        <v>4317.8364835164839</v>
      </c>
      <c r="L1984">
        <f>IFERROR(tblMoeHistory[[#This Row],[State and Local Total Amount]]/tblMoeHistory[[#This Row],[Child Count]],0)</f>
        <v>15645.420879120875</v>
      </c>
      <c r="N1984" s="103" t="s">
        <v>242</v>
      </c>
      <c r="O1984">
        <v>166894.26999999999</v>
      </c>
      <c r="P1984">
        <v>5623.7300000000005</v>
      </c>
      <c r="Q1984">
        <f>tblMoeHistory[[#This Row],[Amount of IDEA Part B, Section 611 award]]+tblMoeHistory[[#This Row],[Amount of IDEA Part B, Section 619 award]]</f>
        <v>172518</v>
      </c>
      <c r="U19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4" t="s">
        <v>242</v>
      </c>
    </row>
    <row r="1985" spans="1:22" x14ac:dyDescent="0.35">
      <c r="A1985" t="s">
        <v>33</v>
      </c>
      <c r="B1985">
        <v>2240</v>
      </c>
      <c r="C1985" t="s">
        <v>1534</v>
      </c>
      <c r="D1985">
        <v>141</v>
      </c>
      <c r="E1985" s="81">
        <v>1500587.0200000003</v>
      </c>
      <c r="F1985" s="81">
        <v>288514</v>
      </c>
      <c r="G1985">
        <f>tblMoeHistory[[#This Row],[LEA State and Local Amount]]+tblMoeHistory[[#This Row],[ESD State and Local Amount]]</f>
        <v>1789101.0200000003</v>
      </c>
      <c r="I1985" t="s">
        <v>2140</v>
      </c>
      <c r="J1985" s="44">
        <f>IFERROR(tblMoeHistory[[#This Row],[LEA State and Local Amount]]/tblMoeHistory[[#This Row],[Child Count]],0)</f>
        <v>10642.461134751775</v>
      </c>
      <c r="K1985">
        <f>IFERROR(tblMoeHistory[[#This Row],[ESD State and Local Amount]]/tblMoeHistory[[#This Row],[Child Count]],0)</f>
        <v>2046.1985815602836</v>
      </c>
      <c r="L1985">
        <f>IFERROR(tblMoeHistory[[#This Row],[State and Local Total Amount]]/tblMoeHistory[[#This Row],[Child Count]],0)</f>
        <v>12688.659716312059</v>
      </c>
      <c r="N1985" s="103" t="s">
        <v>242</v>
      </c>
      <c r="O1985">
        <v>214429.47</v>
      </c>
      <c r="P1985">
        <v>1830.33</v>
      </c>
      <c r="Q1985">
        <f>tblMoeHistory[[#This Row],[Amount of IDEA Part B, Section 611 award]]+tblMoeHistory[[#This Row],[Amount of IDEA Part B, Section 619 award]]</f>
        <v>216259.8</v>
      </c>
      <c r="U19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5" t="s">
        <v>2138</v>
      </c>
    </row>
    <row r="1986" spans="1:22" x14ac:dyDescent="0.35">
      <c r="A1986" t="s">
        <v>34</v>
      </c>
      <c r="B1986">
        <v>2243</v>
      </c>
      <c r="C1986" t="s">
        <v>1534</v>
      </c>
      <c r="D1986">
        <v>4841</v>
      </c>
      <c r="E1986" s="81">
        <v>56342084.420000024</v>
      </c>
      <c r="F1986" s="81">
        <v>6015285</v>
      </c>
      <c r="G1986">
        <f>tblMoeHistory[[#This Row],[LEA State and Local Amount]]+tblMoeHistory[[#This Row],[ESD State and Local Amount]]</f>
        <v>62357369.420000024</v>
      </c>
      <c r="I1986" t="s">
        <v>242</v>
      </c>
      <c r="J1986" s="44">
        <f>IFERROR(tblMoeHistory[[#This Row],[LEA State and Local Amount]]/tblMoeHistory[[#This Row],[Child Count]],0)</f>
        <v>11638.52187977691</v>
      </c>
      <c r="K1986">
        <f>IFERROR(tblMoeHistory[[#This Row],[ESD State and Local Amount]]/tblMoeHistory[[#This Row],[Child Count]],0)</f>
        <v>1242.5707498450734</v>
      </c>
      <c r="L1986">
        <f>IFERROR(tblMoeHistory[[#This Row],[State and Local Total Amount]]/tblMoeHistory[[#This Row],[Child Count]],0)</f>
        <v>12881.092629621984</v>
      </c>
      <c r="N1986" s="103" t="s">
        <v>241</v>
      </c>
      <c r="O1986">
        <v>8018273.6799999988</v>
      </c>
      <c r="P1986">
        <v>124205.85</v>
      </c>
      <c r="Q1986">
        <f>tblMoeHistory[[#This Row],[Amount of IDEA Part B, Section 611 award]]+tblMoeHistory[[#This Row],[Amount of IDEA Part B, Section 619 award]]</f>
        <v>8142479.5299999984</v>
      </c>
      <c r="U19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6" t="s">
        <v>242</v>
      </c>
    </row>
    <row r="1987" spans="1:22" x14ac:dyDescent="0.35">
      <c r="A1987" t="s">
        <v>35</v>
      </c>
      <c r="B1987">
        <v>1976</v>
      </c>
      <c r="C1987" t="s">
        <v>1534</v>
      </c>
      <c r="D1987">
        <v>1791</v>
      </c>
      <c r="E1987" s="81">
        <v>22276469.34</v>
      </c>
      <c r="F1987" s="81">
        <v>3220356.0599999996</v>
      </c>
      <c r="G1987">
        <f>tblMoeHistory[[#This Row],[LEA State and Local Amount]]+tblMoeHistory[[#This Row],[ESD State and Local Amount]]</f>
        <v>25496825.399999999</v>
      </c>
      <c r="I1987" t="s">
        <v>241</v>
      </c>
      <c r="J1987" s="44">
        <f>IFERROR(tblMoeHistory[[#This Row],[LEA State and Local Amount]]/tblMoeHistory[[#This Row],[Child Count]],0)</f>
        <v>12438.006331658291</v>
      </c>
      <c r="K1987">
        <f>IFERROR(tblMoeHistory[[#This Row],[ESD State and Local Amount]]/tblMoeHistory[[#This Row],[Child Count]],0)</f>
        <v>1798.0770854271354</v>
      </c>
      <c r="L1987">
        <f>IFERROR(tblMoeHistory[[#This Row],[State and Local Total Amount]]/tblMoeHistory[[#This Row],[Child Count]],0)</f>
        <v>14236.083417085427</v>
      </c>
      <c r="N1987" s="103" t="s">
        <v>241</v>
      </c>
      <c r="O1987">
        <v>3553149.2300000004</v>
      </c>
      <c r="P1987">
        <v>67040.62</v>
      </c>
      <c r="Q1987">
        <f>tblMoeHistory[[#This Row],[Amount of IDEA Part B, Section 611 award]]+tblMoeHistory[[#This Row],[Amount of IDEA Part B, Section 619 award]]</f>
        <v>3620189.8500000006</v>
      </c>
      <c r="U19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7" t="s">
        <v>241</v>
      </c>
    </row>
    <row r="1988" spans="1:22" x14ac:dyDescent="0.35">
      <c r="A1988" t="s">
        <v>36</v>
      </c>
      <c r="B1988">
        <v>2088</v>
      </c>
      <c r="C1988" t="s">
        <v>1534</v>
      </c>
      <c r="D1988">
        <v>966</v>
      </c>
      <c r="E1988" s="81">
        <v>11026414.260000002</v>
      </c>
      <c r="F1988" s="81">
        <v>848617</v>
      </c>
      <c r="G1988">
        <f>tblMoeHistory[[#This Row],[LEA State and Local Amount]]+tblMoeHistory[[#This Row],[ESD State and Local Amount]]</f>
        <v>11875031.260000002</v>
      </c>
      <c r="I1988" t="s">
        <v>241</v>
      </c>
      <c r="J1988" s="44">
        <f>IFERROR(tblMoeHistory[[#This Row],[LEA State and Local Amount]]/tblMoeHistory[[#This Row],[Child Count]],0)</f>
        <v>11414.507515527952</v>
      </c>
      <c r="K1988">
        <f>IFERROR(tblMoeHistory[[#This Row],[ESD State and Local Amount]]/tblMoeHistory[[#This Row],[Child Count]],0)</f>
        <v>878.48550724637676</v>
      </c>
      <c r="L1988">
        <f>IFERROR(tblMoeHistory[[#This Row],[State and Local Total Amount]]/tblMoeHistory[[#This Row],[Child Count]],0)</f>
        <v>12292.993022774328</v>
      </c>
      <c r="N1988" s="103" t="s">
        <v>241</v>
      </c>
      <c r="O1988">
        <v>1193907.27</v>
      </c>
      <c r="P1988">
        <v>28779.11</v>
      </c>
      <c r="Q1988">
        <f>tblMoeHistory[[#This Row],[Amount of IDEA Part B, Section 611 award]]+tblMoeHistory[[#This Row],[Amount of IDEA Part B, Section 619 award]]</f>
        <v>1222686.3800000001</v>
      </c>
      <c r="U19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8" t="s">
        <v>241</v>
      </c>
    </row>
    <row r="1989" spans="1:22" x14ac:dyDescent="0.35">
      <c r="A1989" t="s">
        <v>37</v>
      </c>
      <c r="B1989">
        <v>2095</v>
      </c>
      <c r="C1989" t="s">
        <v>1534</v>
      </c>
      <c r="D1989">
        <v>41</v>
      </c>
      <c r="E1989" s="81">
        <v>378329.81999999995</v>
      </c>
      <c r="F1989" s="81">
        <v>41235</v>
      </c>
      <c r="G1989">
        <f>tblMoeHistory[[#This Row],[LEA State and Local Amount]]+tblMoeHistory[[#This Row],[ESD State and Local Amount]]</f>
        <v>419564.81999999995</v>
      </c>
      <c r="I1989" t="s">
        <v>242</v>
      </c>
      <c r="J1989" s="44">
        <f>IFERROR(tblMoeHistory[[#This Row],[LEA State and Local Amount]]/tblMoeHistory[[#This Row],[Child Count]],0)</f>
        <v>9227.5565853658518</v>
      </c>
      <c r="K1989">
        <f>IFERROR(tblMoeHistory[[#This Row],[ESD State and Local Amount]]/tblMoeHistory[[#This Row],[Child Count]],0)</f>
        <v>1005.7317073170732</v>
      </c>
      <c r="L1989">
        <f>IFERROR(tblMoeHistory[[#This Row],[State and Local Total Amount]]/tblMoeHistory[[#This Row],[Child Count]],0)</f>
        <v>10233.288292682926</v>
      </c>
      <c r="N1989" s="103" t="s">
        <v>241</v>
      </c>
      <c r="O1989">
        <v>55344.71</v>
      </c>
      <c r="P1989">
        <v>568.13</v>
      </c>
      <c r="Q1989">
        <f>tblMoeHistory[[#This Row],[Amount of IDEA Part B, Section 611 award]]+tblMoeHistory[[#This Row],[Amount of IDEA Part B, Section 619 award]]</f>
        <v>55912.84</v>
      </c>
      <c r="U19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9" t="s">
        <v>242</v>
      </c>
    </row>
    <row r="1990" spans="1:22" x14ac:dyDescent="0.35">
      <c r="A1990" t="s">
        <v>38</v>
      </c>
      <c r="B1990">
        <v>2052</v>
      </c>
      <c r="C1990" t="s">
        <v>1534</v>
      </c>
      <c r="D1990">
        <v>3</v>
      </c>
      <c r="E1990">
        <v>0</v>
      </c>
      <c r="F1990" s="81">
        <v>16655.57</v>
      </c>
      <c r="G1990">
        <f>tblMoeHistory[[#This Row],[LEA State and Local Amount]]+tblMoeHistory[[#This Row],[ESD State and Local Amount]]</f>
        <v>16655.57</v>
      </c>
      <c r="I1990" t="s">
        <v>241</v>
      </c>
      <c r="J1990" s="44">
        <f>IFERROR(tblMoeHistory[[#This Row],[LEA State and Local Amount]]/tblMoeHistory[[#This Row],[Child Count]],0)</f>
        <v>0</v>
      </c>
      <c r="K1990">
        <f>IFERROR(tblMoeHistory[[#This Row],[ESD State and Local Amount]]/tblMoeHistory[[#This Row],[Child Count]],0)</f>
        <v>5551.8566666666666</v>
      </c>
      <c r="L1990">
        <f>IFERROR(tblMoeHistory[[#This Row],[State and Local Total Amount]]/tblMoeHistory[[#This Row],[Child Count]],0)</f>
        <v>5551.8566666666666</v>
      </c>
      <c r="N1990" s="103" t="s">
        <v>2140</v>
      </c>
      <c r="O1990">
        <v>4311.9799999999996</v>
      </c>
      <c r="P1990">
        <v>0</v>
      </c>
      <c r="Q1990">
        <f>tblMoeHistory[[#This Row],[Amount of IDEA Part B, Section 611 award]]+tblMoeHistory[[#This Row],[Amount of IDEA Part B, Section 619 award]]</f>
        <v>4311.9799999999996</v>
      </c>
      <c r="U19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0" t="s">
        <v>241</v>
      </c>
    </row>
    <row r="1991" spans="1:22" x14ac:dyDescent="0.35">
      <c r="A1991" t="s">
        <v>39</v>
      </c>
      <c r="B1991">
        <v>1974</v>
      </c>
      <c r="C1991" t="s">
        <v>1534</v>
      </c>
      <c r="D1991">
        <v>225</v>
      </c>
      <c r="E1991" s="81">
        <v>2320698.1199999992</v>
      </c>
      <c r="F1991" s="81">
        <v>62579.49</v>
      </c>
      <c r="G1991">
        <f>tblMoeHistory[[#This Row],[LEA State and Local Amount]]+tblMoeHistory[[#This Row],[ESD State and Local Amount]]</f>
        <v>2383277.6099999994</v>
      </c>
      <c r="I1991" t="s">
        <v>241</v>
      </c>
      <c r="J1991" s="44">
        <f>IFERROR(tblMoeHistory[[#This Row],[LEA State and Local Amount]]/tblMoeHistory[[#This Row],[Child Count]],0)</f>
        <v>10314.213866666663</v>
      </c>
      <c r="K1991">
        <f>IFERROR(tblMoeHistory[[#This Row],[ESD State and Local Amount]]/tblMoeHistory[[#This Row],[Child Count]],0)</f>
        <v>278.13106666666664</v>
      </c>
      <c r="L1991">
        <f>IFERROR(tblMoeHistory[[#This Row],[State and Local Total Amount]]/tblMoeHistory[[#This Row],[Child Count]],0)</f>
        <v>10592.34493333333</v>
      </c>
      <c r="N1991" s="103" t="s">
        <v>241</v>
      </c>
      <c r="O1991">
        <v>356815.52</v>
      </c>
      <c r="P1991">
        <v>14937.560000000001</v>
      </c>
      <c r="Q1991">
        <f>tblMoeHistory[[#This Row],[Amount of IDEA Part B, Section 611 award]]+tblMoeHistory[[#This Row],[Amount of IDEA Part B, Section 619 award]]</f>
        <v>371753.08</v>
      </c>
      <c r="U19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1" t="s">
        <v>241</v>
      </c>
    </row>
    <row r="1992" spans="1:22" x14ac:dyDescent="0.35">
      <c r="A1992" t="s">
        <v>40</v>
      </c>
      <c r="B1992">
        <v>1896</v>
      </c>
      <c r="C1992" t="s">
        <v>1534</v>
      </c>
      <c r="D1992">
        <v>5</v>
      </c>
      <c r="E1992" s="81">
        <v>63948</v>
      </c>
      <c r="F1992" s="81">
        <v>18468.940000000002</v>
      </c>
      <c r="G1992">
        <f>tblMoeHistory[[#This Row],[LEA State and Local Amount]]+tblMoeHistory[[#This Row],[ESD State and Local Amount]]</f>
        <v>82416.94</v>
      </c>
      <c r="I1992" t="s">
        <v>241</v>
      </c>
      <c r="J1992" s="44">
        <f>IFERROR(tblMoeHistory[[#This Row],[LEA State and Local Amount]]/tblMoeHistory[[#This Row],[Child Count]],0)</f>
        <v>12789.6</v>
      </c>
      <c r="K1992">
        <f>IFERROR(tblMoeHistory[[#This Row],[ESD State and Local Amount]]/tblMoeHistory[[#This Row],[Child Count]],0)</f>
        <v>3693.7880000000005</v>
      </c>
      <c r="L1992">
        <f>IFERROR(tblMoeHistory[[#This Row],[State and Local Total Amount]]/tblMoeHistory[[#This Row],[Child Count]],0)</f>
        <v>16483.387999999999</v>
      </c>
      <c r="N1992" s="103" t="s">
        <v>241</v>
      </c>
      <c r="O1992">
        <v>17476.259999999998</v>
      </c>
      <c r="P1992">
        <v>302.08999999999997</v>
      </c>
      <c r="Q1992">
        <f>tblMoeHistory[[#This Row],[Amount of IDEA Part B, Section 611 award]]+tblMoeHistory[[#This Row],[Amount of IDEA Part B, Section 619 award]]</f>
        <v>17778.349999999999</v>
      </c>
      <c r="U19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2" t="s">
        <v>241</v>
      </c>
    </row>
    <row r="1993" spans="1:22" x14ac:dyDescent="0.35">
      <c r="A1993" t="s">
        <v>42</v>
      </c>
      <c r="B1993">
        <v>2046</v>
      </c>
      <c r="C1993" t="s">
        <v>1534</v>
      </c>
      <c r="D1993">
        <v>47</v>
      </c>
      <c r="E1993" s="81">
        <v>273769.73000000004</v>
      </c>
      <c r="F1993" s="81">
        <v>99488.41</v>
      </c>
      <c r="G1993">
        <f>tblMoeHistory[[#This Row],[LEA State and Local Amount]]+tblMoeHistory[[#This Row],[ESD State and Local Amount]]</f>
        <v>373258.14</v>
      </c>
      <c r="I1993" t="s">
        <v>242</v>
      </c>
      <c r="J1993" s="44">
        <f>IFERROR(tblMoeHistory[[#This Row],[LEA State and Local Amount]]/tblMoeHistory[[#This Row],[Child Count]],0)</f>
        <v>5824.8878723404259</v>
      </c>
      <c r="K1993">
        <f>IFERROR(tblMoeHistory[[#This Row],[ESD State and Local Amount]]/tblMoeHistory[[#This Row],[Child Count]],0)</f>
        <v>2116.7746808510637</v>
      </c>
      <c r="L1993">
        <f>IFERROR(tblMoeHistory[[#This Row],[State and Local Total Amount]]/tblMoeHistory[[#This Row],[Child Count]],0)</f>
        <v>7941.6625531914897</v>
      </c>
      <c r="N1993" s="103" t="s">
        <v>241</v>
      </c>
      <c r="O1993">
        <v>41980.47</v>
      </c>
      <c r="P1993">
        <v>570.87</v>
      </c>
      <c r="Q1993">
        <f>tblMoeHistory[[#This Row],[Amount of IDEA Part B, Section 611 award]]+tblMoeHistory[[#This Row],[Amount of IDEA Part B, Section 619 award]]</f>
        <v>42551.340000000004</v>
      </c>
      <c r="U19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3" t="s">
        <v>242</v>
      </c>
    </row>
    <row r="1994" spans="1:22" x14ac:dyDescent="0.35">
      <c r="A1994" t="s">
        <v>43</v>
      </c>
      <c r="B1994">
        <v>1995</v>
      </c>
      <c r="C1994" t="s">
        <v>1534</v>
      </c>
      <c r="D1994">
        <v>40</v>
      </c>
      <c r="E1994" s="81">
        <v>294406.66000000003</v>
      </c>
      <c r="F1994" s="81">
        <v>38184.799999999996</v>
      </c>
      <c r="G1994">
        <f>tblMoeHistory[[#This Row],[LEA State and Local Amount]]+tblMoeHistory[[#This Row],[ESD State and Local Amount]]</f>
        <v>332591.46000000002</v>
      </c>
      <c r="I1994" t="s">
        <v>241</v>
      </c>
      <c r="J1994" s="44">
        <f>IFERROR(tblMoeHistory[[#This Row],[LEA State and Local Amount]]/tblMoeHistory[[#This Row],[Child Count]],0)</f>
        <v>7360.1665000000012</v>
      </c>
      <c r="K1994">
        <f>IFERROR(tblMoeHistory[[#This Row],[ESD State and Local Amount]]/tblMoeHistory[[#This Row],[Child Count]],0)</f>
        <v>954.61999999999989</v>
      </c>
      <c r="L1994">
        <f>IFERROR(tblMoeHistory[[#This Row],[State and Local Total Amount]]/tblMoeHistory[[#This Row],[Child Count]],0)</f>
        <v>8314.7865000000002</v>
      </c>
      <c r="N1994" s="103" t="s">
        <v>241</v>
      </c>
      <c r="O1994">
        <v>50366.05</v>
      </c>
      <c r="P1994">
        <v>335.08</v>
      </c>
      <c r="Q1994">
        <f>tblMoeHistory[[#This Row],[Amount of IDEA Part B, Section 611 award]]+tblMoeHistory[[#This Row],[Amount of IDEA Part B, Section 619 award]]</f>
        <v>50701.130000000005</v>
      </c>
      <c r="U19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4" t="s">
        <v>241</v>
      </c>
    </row>
    <row r="1995" spans="1:22" x14ac:dyDescent="0.35">
      <c r="A1995" t="s">
        <v>44</v>
      </c>
      <c r="B1995">
        <v>1929</v>
      </c>
      <c r="C1995" t="s">
        <v>1534</v>
      </c>
      <c r="D1995">
        <v>570</v>
      </c>
      <c r="E1995" s="81">
        <v>6918693.4699999997</v>
      </c>
      <c r="F1995" s="81">
        <v>572619</v>
      </c>
      <c r="G1995">
        <f>tblMoeHistory[[#This Row],[LEA State and Local Amount]]+tblMoeHistory[[#This Row],[ESD State and Local Amount]]</f>
        <v>7491312.4699999997</v>
      </c>
      <c r="I1995" t="s">
        <v>242</v>
      </c>
      <c r="J1995" s="44">
        <f>IFERROR(tblMoeHistory[[#This Row],[LEA State and Local Amount]]/tblMoeHistory[[#This Row],[Child Count]],0)</f>
        <v>12138.058719298246</v>
      </c>
      <c r="K1995">
        <f>IFERROR(tblMoeHistory[[#This Row],[ESD State and Local Amount]]/tblMoeHistory[[#This Row],[Child Count]],0)</f>
        <v>1004.5947368421052</v>
      </c>
      <c r="L1995">
        <f>IFERROR(tblMoeHistory[[#This Row],[State and Local Total Amount]]/tblMoeHistory[[#This Row],[Child Count]],0)</f>
        <v>13142.65345614035</v>
      </c>
      <c r="N1995" s="103" t="s">
        <v>241</v>
      </c>
      <c r="O1995">
        <v>1013577.5800000001</v>
      </c>
      <c r="P1995">
        <v>16320.41</v>
      </c>
      <c r="Q1995">
        <f>tblMoeHistory[[#This Row],[Amount of IDEA Part B, Section 611 award]]+tblMoeHistory[[#This Row],[Amount of IDEA Part B, Section 619 award]]</f>
        <v>1029897.9900000001</v>
      </c>
      <c r="U19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5" t="s">
        <v>242</v>
      </c>
    </row>
    <row r="1996" spans="1:22" x14ac:dyDescent="0.35">
      <c r="A1996" t="s">
        <v>45</v>
      </c>
      <c r="B1996">
        <v>2139</v>
      </c>
      <c r="C1996" t="s">
        <v>1534</v>
      </c>
      <c r="D1996">
        <v>373</v>
      </c>
      <c r="E1996" s="81">
        <v>4084185.330000001</v>
      </c>
      <c r="F1996" s="81">
        <v>378518.9</v>
      </c>
      <c r="G1996">
        <f>tblMoeHistory[[#This Row],[LEA State and Local Amount]]+tblMoeHistory[[#This Row],[ESD State and Local Amount]]</f>
        <v>4462704.2300000014</v>
      </c>
      <c r="I1996" t="s">
        <v>242</v>
      </c>
      <c r="J1996" s="44">
        <f>IFERROR(tblMoeHistory[[#This Row],[LEA State and Local Amount]]/tblMoeHistory[[#This Row],[Child Count]],0)</f>
        <v>10949.558525469172</v>
      </c>
      <c r="K1996">
        <f>IFERROR(tblMoeHistory[[#This Row],[ESD State and Local Amount]]/tblMoeHistory[[#This Row],[Child Count]],0)</f>
        <v>1014.7959785522789</v>
      </c>
      <c r="L1996">
        <f>IFERROR(tblMoeHistory[[#This Row],[State and Local Total Amount]]/tblMoeHistory[[#This Row],[Child Count]],0)</f>
        <v>11964.354504021452</v>
      </c>
      <c r="N1996" s="103" t="s">
        <v>242</v>
      </c>
      <c r="O1996">
        <v>557823.12</v>
      </c>
      <c r="P1996">
        <v>12843.11</v>
      </c>
      <c r="Q1996">
        <f>tblMoeHistory[[#This Row],[Amount of IDEA Part B, Section 611 award]]+tblMoeHistory[[#This Row],[Amount of IDEA Part B, Section 619 award]]</f>
        <v>570666.23</v>
      </c>
      <c r="U19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6" t="s">
        <v>242</v>
      </c>
    </row>
    <row r="1997" spans="1:22" x14ac:dyDescent="0.35">
      <c r="A1997" t="s">
        <v>46</v>
      </c>
      <c r="B1997">
        <v>2185</v>
      </c>
      <c r="C1997" t="s">
        <v>1534</v>
      </c>
      <c r="D1997">
        <v>842</v>
      </c>
      <c r="E1997" s="81">
        <v>11598962.540000001</v>
      </c>
      <c r="F1997" s="81">
        <v>1720338.6700000002</v>
      </c>
      <c r="G1997">
        <f>tblMoeHistory[[#This Row],[LEA State and Local Amount]]+tblMoeHistory[[#This Row],[ESD State and Local Amount]]</f>
        <v>13319301.210000001</v>
      </c>
      <c r="I1997" t="s">
        <v>242</v>
      </c>
      <c r="J1997" s="44">
        <f>IFERROR(tblMoeHistory[[#This Row],[LEA State and Local Amount]]/tblMoeHistory[[#This Row],[Child Count]],0)</f>
        <v>13775.489952494063</v>
      </c>
      <c r="K1997">
        <f>IFERROR(tblMoeHistory[[#This Row],[ESD State and Local Amount]]/tblMoeHistory[[#This Row],[Child Count]],0)</f>
        <v>2043.1575653206653</v>
      </c>
      <c r="L1997">
        <f>IFERROR(tblMoeHistory[[#This Row],[State and Local Total Amount]]/tblMoeHistory[[#This Row],[Child Count]],0)</f>
        <v>15818.647517814728</v>
      </c>
      <c r="N1997" s="103" t="s">
        <v>242</v>
      </c>
      <c r="O1997">
        <v>1320264.05</v>
      </c>
      <c r="P1997">
        <v>33957.370000000003</v>
      </c>
      <c r="Q1997">
        <f>tblMoeHistory[[#This Row],[Amount of IDEA Part B, Section 611 award]]+tblMoeHistory[[#This Row],[Amount of IDEA Part B, Section 619 award]]</f>
        <v>1354221.4200000002</v>
      </c>
      <c r="U19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7" t="s">
        <v>242</v>
      </c>
    </row>
    <row r="1998" spans="1:22" x14ac:dyDescent="0.35">
      <c r="A1998" t="s">
        <v>47</v>
      </c>
      <c r="B1998">
        <v>1972</v>
      </c>
      <c r="C1998" t="s">
        <v>1534</v>
      </c>
      <c r="D1998">
        <v>55</v>
      </c>
      <c r="E1998" s="81">
        <v>306266.18999999994</v>
      </c>
      <c r="F1998" s="81">
        <v>207392.97</v>
      </c>
      <c r="G1998">
        <f>tblMoeHistory[[#This Row],[LEA State and Local Amount]]+tblMoeHistory[[#This Row],[ESD State and Local Amount]]</f>
        <v>513659.15999999992</v>
      </c>
      <c r="I1998" t="s">
        <v>241</v>
      </c>
      <c r="J1998" s="44">
        <f>IFERROR(tblMoeHistory[[#This Row],[LEA State and Local Amount]]/tblMoeHistory[[#This Row],[Child Count]],0)</f>
        <v>5568.4761818181805</v>
      </c>
      <c r="K1998">
        <f>IFERROR(tblMoeHistory[[#This Row],[ESD State and Local Amount]]/tblMoeHistory[[#This Row],[Child Count]],0)</f>
        <v>3770.7812727272726</v>
      </c>
      <c r="L1998">
        <f>IFERROR(tblMoeHistory[[#This Row],[State and Local Total Amount]]/tblMoeHistory[[#This Row],[Child Count]],0)</f>
        <v>9339.2574545454536</v>
      </c>
      <c r="N1998" s="103" t="s">
        <v>241</v>
      </c>
      <c r="O1998">
        <v>126221.48</v>
      </c>
      <c r="P1998">
        <v>3215.28</v>
      </c>
      <c r="Q1998">
        <f>tblMoeHistory[[#This Row],[Amount of IDEA Part B, Section 611 award]]+tblMoeHistory[[#This Row],[Amount of IDEA Part B, Section 619 award]]</f>
        <v>129436.76</v>
      </c>
      <c r="U19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8" t="s">
        <v>241</v>
      </c>
    </row>
    <row r="1999" spans="1:22" x14ac:dyDescent="0.35">
      <c r="A1999" t="s">
        <v>48</v>
      </c>
      <c r="B1999">
        <v>2105</v>
      </c>
      <c r="C1999" t="s">
        <v>1534</v>
      </c>
      <c r="D1999">
        <v>99</v>
      </c>
      <c r="E1999" s="81">
        <v>719654.11000000022</v>
      </c>
      <c r="F1999" s="81">
        <v>170440</v>
      </c>
      <c r="G1999">
        <f>tblMoeHistory[[#This Row],[LEA State and Local Amount]]+tblMoeHistory[[#This Row],[ESD State and Local Amount]]</f>
        <v>890094.11000000022</v>
      </c>
      <c r="I1999" t="s">
        <v>2139</v>
      </c>
      <c r="J1999" s="44">
        <f>IFERROR(tblMoeHistory[[#This Row],[LEA State and Local Amount]]/tblMoeHistory[[#This Row],[Child Count]],0)</f>
        <v>7269.2334343434368</v>
      </c>
      <c r="K1999">
        <f>IFERROR(tblMoeHistory[[#This Row],[ESD State and Local Amount]]/tblMoeHistory[[#This Row],[Child Count]],0)</f>
        <v>1721.6161616161617</v>
      </c>
      <c r="L1999">
        <f>IFERROR(tblMoeHistory[[#This Row],[State and Local Total Amount]]/tblMoeHistory[[#This Row],[Child Count]],0)</f>
        <v>8990.8495959595984</v>
      </c>
      <c r="N1999" s="103" t="s">
        <v>241</v>
      </c>
      <c r="O1999">
        <v>143500.01</v>
      </c>
      <c r="P1999">
        <v>4147.05</v>
      </c>
      <c r="Q1999">
        <f>tblMoeHistory[[#This Row],[Amount of IDEA Part B, Section 611 award]]+tblMoeHistory[[#This Row],[Amount of IDEA Part B, Section 619 award]]</f>
        <v>147647.06</v>
      </c>
      <c r="U19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9" t="s">
        <v>2139</v>
      </c>
    </row>
    <row r="2000" spans="1:22" x14ac:dyDescent="0.35">
      <c r="A2000" t="s">
        <v>49</v>
      </c>
      <c r="B2000">
        <v>2042</v>
      </c>
      <c r="C2000" t="s">
        <v>1534</v>
      </c>
      <c r="D2000">
        <v>673</v>
      </c>
      <c r="E2000" s="81">
        <v>3347688.7499999995</v>
      </c>
      <c r="F2000" s="81">
        <v>1167415.31</v>
      </c>
      <c r="G2000">
        <f>tblMoeHistory[[#This Row],[LEA State and Local Amount]]+tblMoeHistory[[#This Row],[ESD State and Local Amount]]</f>
        <v>4515104.0599999996</v>
      </c>
      <c r="I2000" t="s">
        <v>241</v>
      </c>
      <c r="J2000" s="44">
        <f>IFERROR(tblMoeHistory[[#This Row],[LEA State and Local Amount]]/tblMoeHistory[[#This Row],[Child Count]],0)</f>
        <v>4974.2774888558688</v>
      </c>
      <c r="K2000">
        <f>IFERROR(tblMoeHistory[[#This Row],[ESD State and Local Amount]]/tblMoeHistory[[#This Row],[Child Count]],0)</f>
        <v>1734.6438484398218</v>
      </c>
      <c r="L2000">
        <f>IFERROR(tblMoeHistory[[#This Row],[State and Local Total Amount]]/tblMoeHistory[[#This Row],[Child Count]],0)</f>
        <v>6708.9213372956901</v>
      </c>
      <c r="N2000" s="103" t="s">
        <v>241</v>
      </c>
      <c r="O2000">
        <v>914708.65</v>
      </c>
      <c r="P2000">
        <v>32046.989999999998</v>
      </c>
      <c r="Q2000">
        <f>tblMoeHistory[[#This Row],[Amount of IDEA Part B, Section 611 award]]+tblMoeHistory[[#This Row],[Amount of IDEA Part B, Section 619 award]]</f>
        <v>946755.64</v>
      </c>
      <c r="U20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0" t="s">
        <v>241</v>
      </c>
    </row>
    <row r="2001" spans="1:22" x14ac:dyDescent="0.35">
      <c r="A2001" t="s">
        <v>50</v>
      </c>
      <c r="B2001">
        <v>2191</v>
      </c>
      <c r="C2001" t="s">
        <v>1534</v>
      </c>
      <c r="D2001">
        <v>319</v>
      </c>
      <c r="E2001" s="81">
        <v>6087357.8999999985</v>
      </c>
      <c r="F2001" s="81">
        <v>391417.39999999997</v>
      </c>
      <c r="G2001">
        <f>tblMoeHistory[[#This Row],[LEA State and Local Amount]]+tblMoeHistory[[#This Row],[ESD State and Local Amount]]</f>
        <v>6478775.2999999989</v>
      </c>
      <c r="I2001" t="s">
        <v>242</v>
      </c>
      <c r="J2001" s="44">
        <f>IFERROR(tblMoeHistory[[#This Row],[LEA State and Local Amount]]/tblMoeHistory[[#This Row],[Child Count]],0)</f>
        <v>19082.626645768021</v>
      </c>
      <c r="K2001">
        <f>IFERROR(tblMoeHistory[[#This Row],[ESD State and Local Amount]]/tblMoeHistory[[#This Row],[Child Count]],0)</f>
        <v>1227.0137931034483</v>
      </c>
      <c r="L2001">
        <f>IFERROR(tblMoeHistory[[#This Row],[State and Local Total Amount]]/tblMoeHistory[[#This Row],[Child Count]],0)</f>
        <v>20309.640438871469</v>
      </c>
      <c r="N2001" s="103" t="s">
        <v>241</v>
      </c>
      <c r="O2001">
        <v>627929.39</v>
      </c>
      <c r="P2001">
        <v>15686.66</v>
      </c>
      <c r="Q2001">
        <f>tblMoeHistory[[#This Row],[Amount of IDEA Part B, Section 611 award]]+tblMoeHistory[[#This Row],[Amount of IDEA Part B, Section 619 award]]</f>
        <v>643616.05000000005</v>
      </c>
      <c r="U20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1" t="s">
        <v>242</v>
      </c>
    </row>
    <row r="2002" spans="1:22" x14ac:dyDescent="0.35">
      <c r="A2002" t="s">
        <v>51</v>
      </c>
      <c r="B2002">
        <v>1945</v>
      </c>
      <c r="C2002" t="s">
        <v>1534</v>
      </c>
      <c r="D2002">
        <v>144</v>
      </c>
      <c r="E2002" s="81">
        <v>2051229.9200000002</v>
      </c>
      <c r="F2002" s="81">
        <v>52542</v>
      </c>
      <c r="G2002">
        <f>tblMoeHistory[[#This Row],[LEA State and Local Amount]]+tblMoeHistory[[#This Row],[ESD State and Local Amount]]</f>
        <v>2103771.92</v>
      </c>
      <c r="I2002" t="s">
        <v>241</v>
      </c>
      <c r="J2002" s="44">
        <f>IFERROR(tblMoeHistory[[#This Row],[LEA State and Local Amount]]/tblMoeHistory[[#This Row],[Child Count]],0)</f>
        <v>14244.652222222223</v>
      </c>
      <c r="K2002">
        <f>IFERROR(tblMoeHistory[[#This Row],[ESD State and Local Amount]]/tblMoeHistory[[#This Row],[Child Count]],0)</f>
        <v>364.875</v>
      </c>
      <c r="L2002">
        <f>IFERROR(tblMoeHistory[[#This Row],[State and Local Total Amount]]/tblMoeHistory[[#This Row],[Child Count]],0)</f>
        <v>14609.527222222221</v>
      </c>
      <c r="N2002" s="103" t="s">
        <v>241</v>
      </c>
      <c r="O2002">
        <v>167625.03999999998</v>
      </c>
      <c r="P2002">
        <v>8073.99</v>
      </c>
      <c r="Q2002">
        <f>tblMoeHistory[[#This Row],[Amount of IDEA Part B, Section 611 award]]+tblMoeHistory[[#This Row],[Amount of IDEA Part B, Section 619 award]]</f>
        <v>175699.02999999997</v>
      </c>
      <c r="U20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2" t="s">
        <v>241</v>
      </c>
    </row>
    <row r="2003" spans="1:22" x14ac:dyDescent="0.35">
      <c r="A2003" t="s">
        <v>52</v>
      </c>
      <c r="B2003">
        <v>1927</v>
      </c>
      <c r="C2003" t="s">
        <v>1534</v>
      </c>
      <c r="D2003">
        <v>71</v>
      </c>
      <c r="E2003" s="81">
        <v>792142.32999999984</v>
      </c>
      <c r="F2003" s="81">
        <v>8600</v>
      </c>
      <c r="G2003">
        <f>tblMoeHistory[[#This Row],[LEA State and Local Amount]]+tblMoeHistory[[#This Row],[ESD State and Local Amount]]</f>
        <v>800742.32999999984</v>
      </c>
      <c r="I2003" t="s">
        <v>242</v>
      </c>
      <c r="J2003" s="44">
        <f>IFERROR(tblMoeHistory[[#This Row],[LEA State and Local Amount]]/tblMoeHistory[[#This Row],[Child Count]],0)</f>
        <v>11156.93422535211</v>
      </c>
      <c r="K2003">
        <f>IFERROR(tblMoeHistory[[#This Row],[ESD State and Local Amount]]/tblMoeHistory[[#This Row],[Child Count]],0)</f>
        <v>121.12676056338029</v>
      </c>
      <c r="L2003">
        <f>IFERROR(tblMoeHistory[[#This Row],[State and Local Total Amount]]/tblMoeHistory[[#This Row],[Child Count]],0)</f>
        <v>11278.06098591549</v>
      </c>
      <c r="N2003" s="103" t="s">
        <v>242</v>
      </c>
      <c r="O2003">
        <v>146389.11000000002</v>
      </c>
      <c r="P2003">
        <v>5578.5499999999993</v>
      </c>
      <c r="Q2003">
        <f>tblMoeHistory[[#This Row],[Amount of IDEA Part B, Section 611 award]]+tblMoeHistory[[#This Row],[Amount of IDEA Part B, Section 619 award]]</f>
        <v>151967.66</v>
      </c>
      <c r="U20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3" t="s">
        <v>242</v>
      </c>
    </row>
    <row r="2004" spans="1:22" x14ac:dyDescent="0.35">
      <c r="A2004" t="s">
        <v>53</v>
      </c>
      <c r="B2004">
        <v>2006</v>
      </c>
      <c r="C2004" t="s">
        <v>1534</v>
      </c>
      <c r="D2004">
        <v>17</v>
      </c>
      <c r="E2004" s="81">
        <v>8173.43</v>
      </c>
      <c r="F2004" s="81">
        <v>146131</v>
      </c>
      <c r="G2004">
        <f>tblMoeHistory[[#This Row],[LEA State and Local Amount]]+tblMoeHistory[[#This Row],[ESD State and Local Amount]]</f>
        <v>154304.43</v>
      </c>
      <c r="I2004" t="s">
        <v>241</v>
      </c>
      <c r="J2004" s="44">
        <f>IFERROR(tblMoeHistory[[#This Row],[LEA State and Local Amount]]/tblMoeHistory[[#This Row],[Child Count]],0)</f>
        <v>480.79</v>
      </c>
      <c r="K2004">
        <f>IFERROR(tblMoeHistory[[#This Row],[ESD State and Local Amount]]/tblMoeHistory[[#This Row],[Child Count]],0)</f>
        <v>8595.9411764705874</v>
      </c>
      <c r="L2004">
        <f>IFERROR(tblMoeHistory[[#This Row],[State and Local Total Amount]]/tblMoeHistory[[#This Row],[Child Count]],0)</f>
        <v>9076.7311764705883</v>
      </c>
      <c r="N2004" s="103" t="s">
        <v>241</v>
      </c>
      <c r="O2004">
        <v>29969.499999999996</v>
      </c>
      <c r="P2004">
        <v>862.25</v>
      </c>
      <c r="Q2004">
        <f>tblMoeHistory[[#This Row],[Amount of IDEA Part B, Section 611 award]]+tblMoeHistory[[#This Row],[Amount of IDEA Part B, Section 619 award]]</f>
        <v>30831.749999999996</v>
      </c>
      <c r="U20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4" t="s">
        <v>241</v>
      </c>
    </row>
    <row r="2005" spans="1:22" x14ac:dyDescent="0.35">
      <c r="A2005" t="s">
        <v>54</v>
      </c>
      <c r="B2005">
        <v>1965</v>
      </c>
      <c r="C2005" t="s">
        <v>1534</v>
      </c>
      <c r="D2005">
        <v>477</v>
      </c>
      <c r="E2005" s="81">
        <v>6025285.5699999994</v>
      </c>
      <c r="F2005" s="81">
        <v>1499203.78</v>
      </c>
      <c r="G2005">
        <f>tblMoeHistory[[#This Row],[LEA State and Local Amount]]+tblMoeHistory[[#This Row],[ESD State and Local Amount]]</f>
        <v>7524489.3499999996</v>
      </c>
      <c r="I2005" t="s">
        <v>241</v>
      </c>
      <c r="J2005" s="44">
        <f>IFERROR(tblMoeHistory[[#This Row],[LEA State and Local Amount]]/tblMoeHistory[[#This Row],[Child Count]],0)</f>
        <v>12631.625932914045</v>
      </c>
      <c r="K2005">
        <f>IFERROR(tblMoeHistory[[#This Row],[ESD State and Local Amount]]/tblMoeHistory[[#This Row],[Child Count]],0)</f>
        <v>3142.9848637316563</v>
      </c>
      <c r="L2005">
        <f>IFERROR(tblMoeHistory[[#This Row],[State and Local Total Amount]]/tblMoeHistory[[#This Row],[Child Count]],0)</f>
        <v>15774.610796645702</v>
      </c>
      <c r="N2005" s="103" t="s">
        <v>241</v>
      </c>
      <c r="O2005">
        <v>863655.49</v>
      </c>
      <c r="P2005">
        <v>28244.82</v>
      </c>
      <c r="Q2005">
        <f>tblMoeHistory[[#This Row],[Amount of IDEA Part B, Section 611 award]]+tblMoeHistory[[#This Row],[Amount of IDEA Part B, Section 619 award]]</f>
        <v>891900.30999999994</v>
      </c>
      <c r="U20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5" t="s">
        <v>241</v>
      </c>
    </row>
    <row r="2006" spans="1:22" x14ac:dyDescent="0.35">
      <c r="A2006" t="s">
        <v>55</v>
      </c>
      <c r="B2006">
        <v>1964</v>
      </c>
      <c r="C2006" t="s">
        <v>1534</v>
      </c>
      <c r="D2006">
        <v>198</v>
      </c>
      <c r="E2006" s="81">
        <v>1192806.4799999997</v>
      </c>
      <c r="F2006" s="81">
        <v>247731.52</v>
      </c>
      <c r="G2006">
        <f>tblMoeHistory[[#This Row],[LEA State and Local Amount]]+tblMoeHistory[[#This Row],[ESD State and Local Amount]]</f>
        <v>1440537.9999999998</v>
      </c>
      <c r="I2006" t="s">
        <v>241</v>
      </c>
      <c r="J2006" s="44">
        <f>IFERROR(tblMoeHistory[[#This Row],[LEA State and Local Amount]]/tblMoeHistory[[#This Row],[Child Count]],0)</f>
        <v>6024.2751515151504</v>
      </c>
      <c r="K2006">
        <f>IFERROR(tblMoeHistory[[#This Row],[ESD State and Local Amount]]/tblMoeHistory[[#This Row],[Child Count]],0)</f>
        <v>1251.1692929292929</v>
      </c>
      <c r="L2006">
        <f>IFERROR(tblMoeHistory[[#This Row],[State and Local Total Amount]]/tblMoeHistory[[#This Row],[Child Count]],0)</f>
        <v>7275.4444444444434</v>
      </c>
      <c r="N2006" s="103" t="s">
        <v>241</v>
      </c>
      <c r="O2006">
        <v>246827.33000000002</v>
      </c>
      <c r="P2006">
        <v>9290.5600000000013</v>
      </c>
      <c r="Q2006">
        <f>tblMoeHistory[[#This Row],[Amount of IDEA Part B, Section 611 award]]+tblMoeHistory[[#This Row],[Amount of IDEA Part B, Section 619 award]]</f>
        <v>256117.89</v>
      </c>
      <c r="U20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6" t="s">
        <v>241</v>
      </c>
    </row>
    <row r="2007" spans="1:22" x14ac:dyDescent="0.35">
      <c r="A2007" t="s">
        <v>56</v>
      </c>
      <c r="B2007">
        <v>2186</v>
      </c>
      <c r="C2007" t="s">
        <v>1534</v>
      </c>
      <c r="D2007">
        <v>151</v>
      </c>
      <c r="E2007" s="81">
        <v>1477787.9200000006</v>
      </c>
      <c r="F2007" s="81">
        <v>81843.61</v>
      </c>
      <c r="G2007">
        <f>tblMoeHistory[[#This Row],[LEA State and Local Amount]]+tblMoeHistory[[#This Row],[ESD State and Local Amount]]</f>
        <v>1559631.5300000007</v>
      </c>
      <c r="I2007" t="s">
        <v>2140</v>
      </c>
      <c r="J2007" s="44">
        <f>IFERROR(tblMoeHistory[[#This Row],[LEA State and Local Amount]]/tblMoeHistory[[#This Row],[Child Count]],0)</f>
        <v>9786.6749668874218</v>
      </c>
      <c r="K2007">
        <f>IFERROR(tblMoeHistory[[#This Row],[ESD State and Local Amount]]/tblMoeHistory[[#This Row],[Child Count]],0)</f>
        <v>542.01066225165562</v>
      </c>
      <c r="L2007">
        <f>IFERROR(tblMoeHistory[[#This Row],[State and Local Total Amount]]/tblMoeHistory[[#This Row],[Child Count]],0)</f>
        <v>10328.685629139078</v>
      </c>
      <c r="N2007" s="103" t="s">
        <v>242</v>
      </c>
      <c r="O2007">
        <v>189718.96</v>
      </c>
      <c r="P2007">
        <v>3763.77</v>
      </c>
      <c r="Q2007">
        <f>tblMoeHistory[[#This Row],[Amount of IDEA Part B, Section 611 award]]+tblMoeHistory[[#This Row],[Amount of IDEA Part B, Section 619 award]]</f>
        <v>193482.72999999998</v>
      </c>
      <c r="U20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7" t="s">
        <v>2138</v>
      </c>
    </row>
    <row r="2008" spans="1:22" x14ac:dyDescent="0.35">
      <c r="A2008" t="s">
        <v>58</v>
      </c>
      <c r="B2008">
        <v>1901</v>
      </c>
      <c r="C2008" t="s">
        <v>1534</v>
      </c>
      <c r="D2008">
        <v>689</v>
      </c>
      <c r="E2008" s="81">
        <v>9840214.1899999939</v>
      </c>
      <c r="F2008" s="81">
        <v>994981</v>
      </c>
      <c r="G2008">
        <f>tblMoeHistory[[#This Row],[LEA State and Local Amount]]+tblMoeHistory[[#This Row],[ESD State and Local Amount]]</f>
        <v>10835195.189999994</v>
      </c>
      <c r="I2008" t="s">
        <v>241</v>
      </c>
      <c r="J2008" s="44">
        <f>IFERROR(tblMoeHistory[[#This Row],[LEA State and Local Amount]]/tblMoeHistory[[#This Row],[Child Count]],0)</f>
        <v>14281.878359941937</v>
      </c>
      <c r="K2008">
        <f>IFERROR(tblMoeHistory[[#This Row],[ESD State and Local Amount]]/tblMoeHistory[[#This Row],[Child Count]],0)</f>
        <v>1444.0943396226414</v>
      </c>
      <c r="L2008">
        <f>IFERROR(tblMoeHistory[[#This Row],[State and Local Total Amount]]/tblMoeHistory[[#This Row],[Child Count]],0)</f>
        <v>15725.972699564578</v>
      </c>
      <c r="N2008" s="103" t="s">
        <v>241</v>
      </c>
      <c r="O2008">
        <v>1516610.48</v>
      </c>
      <c r="P2008">
        <v>38789.630000000005</v>
      </c>
      <c r="Q2008">
        <f>tblMoeHistory[[#This Row],[Amount of IDEA Part B, Section 611 award]]+tblMoeHistory[[#This Row],[Amount of IDEA Part B, Section 619 award]]</f>
        <v>1555400.1099999999</v>
      </c>
      <c r="U20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8" t="s">
        <v>241</v>
      </c>
    </row>
    <row r="2009" spans="1:22" x14ac:dyDescent="0.35">
      <c r="A2009" t="s">
        <v>59</v>
      </c>
      <c r="B2009">
        <v>2216</v>
      </c>
      <c r="C2009" t="s">
        <v>1534</v>
      </c>
      <c r="D2009">
        <v>35</v>
      </c>
      <c r="E2009" s="81">
        <v>151482.67000000001</v>
      </c>
      <c r="F2009" s="81">
        <v>76099.649999999994</v>
      </c>
      <c r="G2009">
        <f>tblMoeHistory[[#This Row],[LEA State and Local Amount]]+tblMoeHistory[[#This Row],[ESD State and Local Amount]]</f>
        <v>227582.32</v>
      </c>
      <c r="I2009" t="s">
        <v>241</v>
      </c>
      <c r="J2009" s="44">
        <f>IFERROR(tblMoeHistory[[#This Row],[LEA State and Local Amount]]/tblMoeHistory[[#This Row],[Child Count]],0)</f>
        <v>4328.0762857142863</v>
      </c>
      <c r="K2009">
        <f>IFERROR(tblMoeHistory[[#This Row],[ESD State and Local Amount]]/tblMoeHistory[[#This Row],[Child Count]],0)</f>
        <v>2174.275714285714</v>
      </c>
      <c r="L2009">
        <f>IFERROR(tblMoeHistory[[#This Row],[State and Local Total Amount]]/tblMoeHistory[[#This Row],[Child Count]],0)</f>
        <v>6502.3519999999999</v>
      </c>
      <c r="N2009" s="103" t="s">
        <v>241</v>
      </c>
      <c r="O2009">
        <v>58387.45</v>
      </c>
      <c r="P2009">
        <v>1620.83</v>
      </c>
      <c r="Q2009">
        <f>tblMoeHistory[[#This Row],[Amount of IDEA Part B, Section 611 award]]+tblMoeHistory[[#This Row],[Amount of IDEA Part B, Section 619 award]]</f>
        <v>60008.28</v>
      </c>
      <c r="U20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9" t="s">
        <v>241</v>
      </c>
    </row>
    <row r="2010" spans="1:22" x14ac:dyDescent="0.35">
      <c r="A2010" t="s">
        <v>60</v>
      </c>
      <c r="B2010">
        <v>2086</v>
      </c>
      <c r="C2010" t="s">
        <v>1534</v>
      </c>
      <c r="D2010">
        <v>192</v>
      </c>
      <c r="E2010" s="81">
        <v>2587774.96</v>
      </c>
      <c r="F2010" s="81">
        <v>502422</v>
      </c>
      <c r="G2010">
        <f>tblMoeHistory[[#This Row],[LEA State and Local Amount]]+tblMoeHistory[[#This Row],[ESD State and Local Amount]]</f>
        <v>3090196.96</v>
      </c>
      <c r="I2010" t="s">
        <v>2140</v>
      </c>
      <c r="J2010" s="44">
        <f>IFERROR(tblMoeHistory[[#This Row],[LEA State and Local Amount]]/tblMoeHistory[[#This Row],[Child Count]],0)</f>
        <v>13477.994583333333</v>
      </c>
      <c r="K2010">
        <f>IFERROR(tblMoeHistory[[#This Row],[ESD State and Local Amount]]/tblMoeHistory[[#This Row],[Child Count]],0)</f>
        <v>2616.78125</v>
      </c>
      <c r="L2010">
        <f>IFERROR(tblMoeHistory[[#This Row],[State and Local Total Amount]]/tblMoeHistory[[#This Row],[Child Count]],0)</f>
        <v>16094.775833333333</v>
      </c>
      <c r="N2010" s="103" t="s">
        <v>242</v>
      </c>
      <c r="O2010">
        <v>305247.84000000003</v>
      </c>
      <c r="P2010">
        <v>8819.5400000000009</v>
      </c>
      <c r="Q2010">
        <f>tblMoeHistory[[#This Row],[Amount of IDEA Part B, Section 611 award]]+tblMoeHistory[[#This Row],[Amount of IDEA Part B, Section 619 award]]</f>
        <v>314067.38</v>
      </c>
      <c r="U20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0" t="s">
        <v>2138</v>
      </c>
    </row>
    <row r="2011" spans="1:22" x14ac:dyDescent="0.35">
      <c r="A2011" t="s">
        <v>61</v>
      </c>
      <c r="B2011">
        <v>1970</v>
      </c>
      <c r="C2011" t="s">
        <v>1534</v>
      </c>
      <c r="D2011">
        <v>440</v>
      </c>
      <c r="E2011" s="81">
        <v>4056154.6500000018</v>
      </c>
      <c r="F2011" s="81">
        <v>324083.21999999997</v>
      </c>
      <c r="G2011">
        <f>tblMoeHistory[[#This Row],[LEA State and Local Amount]]+tblMoeHistory[[#This Row],[ESD State and Local Amount]]</f>
        <v>4380237.870000002</v>
      </c>
      <c r="I2011" t="s">
        <v>241</v>
      </c>
      <c r="J2011" s="44">
        <f>IFERROR(tblMoeHistory[[#This Row],[LEA State and Local Amount]]/tblMoeHistory[[#This Row],[Child Count]],0)</f>
        <v>9218.5332954545502</v>
      </c>
      <c r="K2011">
        <f>IFERROR(tblMoeHistory[[#This Row],[ESD State and Local Amount]]/tblMoeHistory[[#This Row],[Child Count]],0)</f>
        <v>736.55277272727267</v>
      </c>
      <c r="L2011">
        <f>IFERROR(tblMoeHistory[[#This Row],[State and Local Total Amount]]/tblMoeHistory[[#This Row],[Child Count]],0)</f>
        <v>9955.0860681818231</v>
      </c>
      <c r="N2011" s="103" t="s">
        <v>2140</v>
      </c>
      <c r="O2011">
        <v>650716.14</v>
      </c>
      <c r="P2011">
        <v>24923.089999999997</v>
      </c>
      <c r="Q2011">
        <f>tblMoeHistory[[#This Row],[Amount of IDEA Part B, Section 611 award]]+tblMoeHistory[[#This Row],[Amount of IDEA Part B, Section 619 award]]</f>
        <v>675639.23</v>
      </c>
      <c r="U20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1" t="s">
        <v>241</v>
      </c>
    </row>
    <row r="2012" spans="1:22" x14ac:dyDescent="0.35">
      <c r="A2012" t="s">
        <v>62</v>
      </c>
      <c r="B2012">
        <v>2089</v>
      </c>
      <c r="C2012" t="s">
        <v>1534</v>
      </c>
      <c r="D2012">
        <v>33</v>
      </c>
      <c r="E2012" s="81">
        <v>304790.31999999995</v>
      </c>
      <c r="F2012" s="81">
        <v>128821</v>
      </c>
      <c r="G2012">
        <f>tblMoeHistory[[#This Row],[LEA State and Local Amount]]+tblMoeHistory[[#This Row],[ESD State and Local Amount]]</f>
        <v>433611.31999999995</v>
      </c>
      <c r="I2012" t="s">
        <v>2140</v>
      </c>
      <c r="J2012" s="44">
        <f>IFERROR(tblMoeHistory[[#This Row],[LEA State and Local Amount]]/tblMoeHistory[[#This Row],[Child Count]],0)</f>
        <v>9236.0703030303011</v>
      </c>
      <c r="K2012">
        <f>IFERROR(tblMoeHistory[[#This Row],[ESD State and Local Amount]]/tblMoeHistory[[#This Row],[Child Count]],0)</f>
        <v>3903.6666666666665</v>
      </c>
      <c r="L2012">
        <f>IFERROR(tblMoeHistory[[#This Row],[State and Local Total Amount]]/tblMoeHistory[[#This Row],[Child Count]],0)</f>
        <v>13139.736969696969</v>
      </c>
      <c r="N2012" s="103" t="s">
        <v>241</v>
      </c>
      <c r="O2012">
        <v>70202.12</v>
      </c>
      <c r="P2012">
        <v>1145.3599999999999</v>
      </c>
      <c r="Q2012">
        <f>tblMoeHistory[[#This Row],[Amount of IDEA Part B, Section 611 award]]+tblMoeHistory[[#This Row],[Amount of IDEA Part B, Section 619 award]]</f>
        <v>71347.48</v>
      </c>
      <c r="U20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2" t="s">
        <v>2138</v>
      </c>
    </row>
    <row r="2013" spans="1:22" x14ac:dyDescent="0.35">
      <c r="A2013" t="s">
        <v>63</v>
      </c>
      <c r="B2013">
        <v>2050</v>
      </c>
      <c r="C2013" t="s">
        <v>1534</v>
      </c>
      <c r="D2013">
        <v>111</v>
      </c>
      <c r="E2013" s="81">
        <v>652736.61999999988</v>
      </c>
      <c r="F2013" s="81">
        <v>248962.76</v>
      </c>
      <c r="G2013">
        <f>tblMoeHistory[[#This Row],[LEA State and Local Amount]]+tblMoeHistory[[#This Row],[ESD State and Local Amount]]</f>
        <v>901699.37999999989</v>
      </c>
      <c r="I2013" t="s">
        <v>242</v>
      </c>
      <c r="J2013" s="44">
        <f>IFERROR(tblMoeHistory[[#This Row],[LEA State and Local Amount]]/tblMoeHistory[[#This Row],[Child Count]],0)</f>
        <v>5880.5100900900889</v>
      </c>
      <c r="K2013">
        <f>IFERROR(tblMoeHistory[[#This Row],[ESD State and Local Amount]]/tblMoeHistory[[#This Row],[Child Count]],0)</f>
        <v>2242.9077477477476</v>
      </c>
      <c r="L2013">
        <f>IFERROR(tblMoeHistory[[#This Row],[State and Local Total Amount]]/tblMoeHistory[[#This Row],[Child Count]],0)</f>
        <v>8123.4178378378365</v>
      </c>
      <c r="N2013" s="103" t="s">
        <v>2140</v>
      </c>
      <c r="O2013">
        <v>132217.56</v>
      </c>
      <c r="P2013">
        <v>4228.82</v>
      </c>
      <c r="Q2013">
        <f>tblMoeHistory[[#This Row],[Amount of IDEA Part B, Section 611 award]]+tblMoeHistory[[#This Row],[Amount of IDEA Part B, Section 619 award]]</f>
        <v>136446.38</v>
      </c>
      <c r="U20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3" t="s">
        <v>242</v>
      </c>
    </row>
    <row r="2014" spans="1:22" x14ac:dyDescent="0.35">
      <c r="A2014" t="s">
        <v>64</v>
      </c>
      <c r="B2014">
        <v>2190</v>
      </c>
      <c r="C2014" t="s">
        <v>1534</v>
      </c>
      <c r="D2014">
        <v>518</v>
      </c>
      <c r="E2014" s="81">
        <v>5344424.0999999996</v>
      </c>
      <c r="F2014" s="81">
        <v>473582.38</v>
      </c>
      <c r="G2014">
        <f>tblMoeHistory[[#This Row],[LEA State and Local Amount]]+tblMoeHistory[[#This Row],[ESD State and Local Amount]]</f>
        <v>5818006.4799999995</v>
      </c>
      <c r="I2014" t="s">
        <v>241</v>
      </c>
      <c r="J2014" s="44">
        <f>IFERROR(tblMoeHistory[[#This Row],[LEA State and Local Amount]]/tblMoeHistory[[#This Row],[Child Count]],0)</f>
        <v>10317.421042471042</v>
      </c>
      <c r="K2014">
        <f>IFERROR(tblMoeHistory[[#This Row],[ESD State and Local Amount]]/tblMoeHistory[[#This Row],[Child Count]],0)</f>
        <v>914.25169884169884</v>
      </c>
      <c r="L2014">
        <f>IFERROR(tblMoeHistory[[#This Row],[State and Local Total Amount]]/tblMoeHistory[[#This Row],[Child Count]],0)</f>
        <v>11231.672741312741</v>
      </c>
      <c r="N2014" s="103" t="s">
        <v>241</v>
      </c>
      <c r="O2014">
        <v>722729.94</v>
      </c>
      <c r="P2014">
        <v>24702.09</v>
      </c>
      <c r="Q2014">
        <f>tblMoeHistory[[#This Row],[Amount of IDEA Part B, Section 611 award]]+tblMoeHistory[[#This Row],[Amount of IDEA Part B, Section 619 award]]</f>
        <v>747432.02999999991</v>
      </c>
      <c r="U20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4" t="s">
        <v>241</v>
      </c>
    </row>
    <row r="2015" spans="1:22" x14ac:dyDescent="0.35">
      <c r="A2015" t="s">
        <v>65</v>
      </c>
      <c r="B2015">
        <v>2187</v>
      </c>
      <c r="C2015" t="s">
        <v>1534</v>
      </c>
      <c r="D2015">
        <v>1178</v>
      </c>
      <c r="E2015" s="81">
        <v>13975290.159999996</v>
      </c>
      <c r="F2015" s="81">
        <v>1853482.0100000002</v>
      </c>
      <c r="G2015">
        <f>tblMoeHistory[[#This Row],[LEA State and Local Amount]]+tblMoeHistory[[#This Row],[ESD State and Local Amount]]</f>
        <v>15828772.169999996</v>
      </c>
      <c r="I2015" t="s">
        <v>242</v>
      </c>
      <c r="J2015" s="44">
        <f>IFERROR(tblMoeHistory[[#This Row],[LEA State and Local Amount]]/tblMoeHistory[[#This Row],[Child Count]],0)</f>
        <v>11863.57398981324</v>
      </c>
      <c r="K2015">
        <f>IFERROR(tblMoeHistory[[#This Row],[ESD State and Local Amount]]/tblMoeHistory[[#This Row],[Child Count]],0)</f>
        <v>1573.4142699490665</v>
      </c>
      <c r="L2015">
        <f>IFERROR(tblMoeHistory[[#This Row],[State and Local Total Amount]]/tblMoeHistory[[#This Row],[Child Count]],0)</f>
        <v>13436.988259762305</v>
      </c>
      <c r="N2015" s="103" t="s">
        <v>242</v>
      </c>
      <c r="O2015">
        <v>2051135.95</v>
      </c>
      <c r="P2015">
        <v>49832.340000000004</v>
      </c>
      <c r="Q2015">
        <f>tblMoeHistory[[#This Row],[Amount of IDEA Part B, Section 611 award]]+tblMoeHistory[[#This Row],[Amount of IDEA Part B, Section 619 award]]</f>
        <v>2100968.29</v>
      </c>
      <c r="U20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5" t="s">
        <v>242</v>
      </c>
    </row>
    <row r="2016" spans="1:22" x14ac:dyDescent="0.35">
      <c r="A2016" t="s">
        <v>66</v>
      </c>
      <c r="B2016">
        <v>2253</v>
      </c>
      <c r="C2016" t="s">
        <v>1534</v>
      </c>
      <c r="D2016">
        <v>122</v>
      </c>
      <c r="E2016" s="81">
        <v>1190334.7900000003</v>
      </c>
      <c r="F2016" s="81">
        <v>99746.700000000012</v>
      </c>
      <c r="G2016">
        <f>tblMoeHistory[[#This Row],[LEA State and Local Amount]]+tblMoeHistory[[#This Row],[ESD State and Local Amount]]</f>
        <v>1290081.4900000002</v>
      </c>
      <c r="I2016" t="s">
        <v>241</v>
      </c>
      <c r="J2016" s="44">
        <f>IFERROR(tblMoeHistory[[#This Row],[LEA State and Local Amount]]/tblMoeHistory[[#This Row],[Child Count]],0)</f>
        <v>9756.8425409836091</v>
      </c>
      <c r="K2016">
        <f>IFERROR(tblMoeHistory[[#This Row],[ESD State and Local Amount]]/tblMoeHistory[[#This Row],[Child Count]],0)</f>
        <v>817.59590163934433</v>
      </c>
      <c r="L2016">
        <f>IFERROR(tblMoeHistory[[#This Row],[State and Local Total Amount]]/tblMoeHistory[[#This Row],[Child Count]],0)</f>
        <v>10574.438442622954</v>
      </c>
      <c r="N2016" s="103" t="s">
        <v>241</v>
      </c>
      <c r="O2016">
        <v>202442.86</v>
      </c>
      <c r="P2016">
        <v>4750.0200000000004</v>
      </c>
      <c r="Q2016">
        <f>tblMoeHistory[[#This Row],[Amount of IDEA Part B, Section 611 award]]+tblMoeHistory[[#This Row],[Amount of IDEA Part B, Section 619 award]]</f>
        <v>207192.87999999998</v>
      </c>
      <c r="U20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6" t="s">
        <v>241</v>
      </c>
    </row>
    <row r="2017" spans="1:22" x14ac:dyDescent="0.35">
      <c r="A2017" t="s">
        <v>67</v>
      </c>
      <c r="B2017">
        <v>2011</v>
      </c>
      <c r="C2017" t="s">
        <v>1534</v>
      </c>
      <c r="D2017">
        <v>8</v>
      </c>
      <c r="E2017" s="81">
        <v>74282</v>
      </c>
      <c r="F2017" s="81">
        <v>60062.77</v>
      </c>
      <c r="G2017">
        <f>tblMoeHistory[[#This Row],[LEA State and Local Amount]]+tblMoeHistory[[#This Row],[ESD State and Local Amount]]</f>
        <v>134344.76999999999</v>
      </c>
      <c r="I2017" t="s">
        <v>242</v>
      </c>
      <c r="J2017" s="44">
        <f>IFERROR(tblMoeHistory[[#This Row],[LEA State and Local Amount]]/tblMoeHistory[[#This Row],[Child Count]],0)</f>
        <v>9285.25</v>
      </c>
      <c r="K2017">
        <f>IFERROR(tblMoeHistory[[#This Row],[ESD State and Local Amount]]/tblMoeHistory[[#This Row],[Child Count]],0)</f>
        <v>7507.8462499999996</v>
      </c>
      <c r="L2017">
        <f>IFERROR(tblMoeHistory[[#This Row],[State and Local Total Amount]]/tblMoeHistory[[#This Row],[Child Count]],0)</f>
        <v>16793.096249999999</v>
      </c>
      <c r="N2017" s="103" t="s">
        <v>241</v>
      </c>
      <c r="O2017">
        <v>8716.48</v>
      </c>
      <c r="P2017">
        <v>2046.12</v>
      </c>
      <c r="Q2017">
        <f>tblMoeHistory[[#This Row],[Amount of IDEA Part B, Section 611 award]]+tblMoeHistory[[#This Row],[Amount of IDEA Part B, Section 619 award]]</f>
        <v>10762.599999999999</v>
      </c>
      <c r="U20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7" t="s">
        <v>242</v>
      </c>
    </row>
    <row r="2018" spans="1:22" x14ac:dyDescent="0.35">
      <c r="A2018" t="s">
        <v>68</v>
      </c>
      <c r="B2018">
        <v>2017</v>
      </c>
      <c r="C2018" t="s">
        <v>1534</v>
      </c>
      <c r="D2018">
        <v>0</v>
      </c>
      <c r="E2018">
        <v>0</v>
      </c>
      <c r="F2018" s="81">
        <v>16675.879999999997</v>
      </c>
      <c r="G2018">
        <f>tblMoeHistory[[#This Row],[LEA State and Local Amount]]+tblMoeHistory[[#This Row],[ESD State and Local Amount]]</f>
        <v>16675.879999999997</v>
      </c>
      <c r="I2018" t="s">
        <v>241</v>
      </c>
      <c r="J2018" s="44">
        <f>IFERROR(tblMoeHistory[[#This Row],[LEA State and Local Amount]]/tblMoeHistory[[#This Row],[Child Count]],0)</f>
        <v>0</v>
      </c>
      <c r="K2018">
        <f>IFERROR(tblMoeHistory[[#This Row],[ESD State and Local Amount]]/tblMoeHistory[[#This Row],[Child Count]],0)</f>
        <v>0</v>
      </c>
      <c r="L2018">
        <f>IFERROR(tblMoeHistory[[#This Row],[State and Local Total Amount]]/tblMoeHistory[[#This Row],[Child Count]],0)</f>
        <v>0</v>
      </c>
      <c r="N2018" s="103" t="s">
        <v>241</v>
      </c>
      <c r="O2018">
        <v>0</v>
      </c>
      <c r="P2018">
        <v>0</v>
      </c>
      <c r="Q2018">
        <f>tblMoeHistory[[#This Row],[Amount of IDEA Part B, Section 611 award]]+tblMoeHistory[[#This Row],[Amount of IDEA Part B, Section 619 award]]</f>
        <v>0</v>
      </c>
      <c r="U20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8" t="s">
        <v>241</v>
      </c>
    </row>
    <row r="2019" spans="1:22" x14ac:dyDescent="0.35">
      <c r="A2019" t="s">
        <v>69</v>
      </c>
      <c r="B2019">
        <v>2021</v>
      </c>
      <c r="C2019" t="s">
        <v>1534</v>
      </c>
      <c r="D2019">
        <v>1</v>
      </c>
      <c r="E2019">
        <v>0</v>
      </c>
      <c r="F2019" s="81">
        <v>18720.61</v>
      </c>
      <c r="G2019">
        <f>tblMoeHistory[[#This Row],[LEA State and Local Amount]]+tblMoeHistory[[#This Row],[ESD State and Local Amount]]</f>
        <v>18720.61</v>
      </c>
      <c r="I2019" t="s">
        <v>241</v>
      </c>
      <c r="J2019" s="44">
        <f>IFERROR(tblMoeHistory[[#This Row],[LEA State and Local Amount]]/tblMoeHistory[[#This Row],[Child Count]],0)</f>
        <v>0</v>
      </c>
      <c r="K2019">
        <f>IFERROR(tblMoeHistory[[#This Row],[ESD State and Local Amount]]/tblMoeHistory[[#This Row],[Child Count]],0)</f>
        <v>18720.61</v>
      </c>
      <c r="L2019">
        <f>IFERROR(tblMoeHistory[[#This Row],[State and Local Total Amount]]/tblMoeHistory[[#This Row],[Child Count]],0)</f>
        <v>18720.61</v>
      </c>
      <c r="N2019" s="103" t="s">
        <v>241</v>
      </c>
      <c r="O2019">
        <v>0</v>
      </c>
      <c r="P2019">
        <v>0</v>
      </c>
      <c r="Q2019">
        <f>tblMoeHistory[[#This Row],[Amount of IDEA Part B, Section 611 award]]+tblMoeHistory[[#This Row],[Amount of IDEA Part B, Section 619 award]]</f>
        <v>0</v>
      </c>
      <c r="U20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9" t="s">
        <v>241</v>
      </c>
    </row>
    <row r="2020" spans="1:22" x14ac:dyDescent="0.35">
      <c r="A2020" t="s">
        <v>70</v>
      </c>
      <c r="B2020">
        <v>1993</v>
      </c>
      <c r="C2020" t="s">
        <v>1534</v>
      </c>
      <c r="D2020">
        <v>39</v>
      </c>
      <c r="E2020" s="81">
        <v>129974.00999999998</v>
      </c>
      <c r="F2020" s="81">
        <v>49244.680000000008</v>
      </c>
      <c r="G2020">
        <f>tblMoeHistory[[#This Row],[LEA State and Local Amount]]+tblMoeHistory[[#This Row],[ESD State and Local Amount]]</f>
        <v>179218.69</v>
      </c>
      <c r="I2020" t="s">
        <v>242</v>
      </c>
      <c r="J2020" s="44">
        <f>IFERROR(tblMoeHistory[[#This Row],[LEA State and Local Amount]]/tblMoeHistory[[#This Row],[Child Count]],0)</f>
        <v>3332.6669230769226</v>
      </c>
      <c r="K2020">
        <f>IFERROR(tblMoeHistory[[#This Row],[ESD State and Local Amount]]/tblMoeHistory[[#This Row],[Child Count]],0)</f>
        <v>1262.6841025641027</v>
      </c>
      <c r="L2020">
        <f>IFERROR(tblMoeHistory[[#This Row],[State and Local Total Amount]]/tblMoeHistory[[#This Row],[Child Count]],0)</f>
        <v>4595.3510256410254</v>
      </c>
      <c r="N2020" s="103" t="s">
        <v>2140</v>
      </c>
      <c r="O2020">
        <v>59015.180000000008</v>
      </c>
      <c r="P2020">
        <v>1542.03</v>
      </c>
      <c r="Q2020">
        <f>tblMoeHistory[[#This Row],[Amount of IDEA Part B, Section 611 award]]+tblMoeHistory[[#This Row],[Amount of IDEA Part B, Section 619 award]]</f>
        <v>60557.210000000006</v>
      </c>
      <c r="U20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0" t="s">
        <v>242</v>
      </c>
    </row>
    <row r="2021" spans="1:22" x14ac:dyDescent="0.35">
      <c r="A2021" t="s">
        <v>71</v>
      </c>
      <c r="B2021">
        <v>1991</v>
      </c>
      <c r="C2021" t="s">
        <v>1534</v>
      </c>
      <c r="D2021">
        <v>682</v>
      </c>
      <c r="E2021" s="81">
        <v>6501877.7599999979</v>
      </c>
      <c r="F2021" s="81">
        <v>1844137.11</v>
      </c>
      <c r="G2021">
        <f>tblMoeHistory[[#This Row],[LEA State and Local Amount]]+tblMoeHistory[[#This Row],[ESD State and Local Amount]]</f>
        <v>8346014.8699999982</v>
      </c>
      <c r="I2021" t="s">
        <v>241</v>
      </c>
      <c r="J2021" s="44">
        <f>IFERROR(tblMoeHistory[[#This Row],[LEA State and Local Amount]]/tblMoeHistory[[#This Row],[Child Count]],0)</f>
        <v>9533.545102639293</v>
      </c>
      <c r="K2021">
        <f>IFERROR(tblMoeHistory[[#This Row],[ESD State and Local Amount]]/tblMoeHistory[[#This Row],[Child Count]],0)</f>
        <v>2704.0133577712613</v>
      </c>
      <c r="L2021">
        <f>IFERROR(tblMoeHistory[[#This Row],[State and Local Total Amount]]/tblMoeHistory[[#This Row],[Child Count]],0)</f>
        <v>12237.558460410555</v>
      </c>
      <c r="N2021" s="103" t="s">
        <v>241</v>
      </c>
      <c r="O2021">
        <v>1307614.55</v>
      </c>
      <c r="P2021">
        <v>43113.86</v>
      </c>
      <c r="Q2021">
        <f>tblMoeHistory[[#This Row],[Amount of IDEA Part B, Section 611 award]]+tblMoeHistory[[#This Row],[Amount of IDEA Part B, Section 619 award]]</f>
        <v>1350728.4100000001</v>
      </c>
      <c r="U20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1" t="s">
        <v>241</v>
      </c>
    </row>
    <row r="2022" spans="1:22" x14ac:dyDescent="0.35">
      <c r="A2022" t="s">
        <v>72</v>
      </c>
      <c r="B2022">
        <v>2019</v>
      </c>
      <c r="C2022" t="s">
        <v>1534</v>
      </c>
      <c r="D2022">
        <v>1</v>
      </c>
      <c r="E2022">
        <v>0</v>
      </c>
      <c r="F2022" s="81">
        <v>18964.830000000002</v>
      </c>
      <c r="G2022">
        <f>tblMoeHistory[[#This Row],[LEA State and Local Amount]]+tblMoeHistory[[#This Row],[ESD State and Local Amount]]</f>
        <v>18964.830000000002</v>
      </c>
      <c r="I2022" t="s">
        <v>241</v>
      </c>
      <c r="J2022" s="44">
        <f>IFERROR(tblMoeHistory[[#This Row],[LEA State and Local Amount]]/tblMoeHistory[[#This Row],[Child Count]],0)</f>
        <v>0</v>
      </c>
      <c r="K2022">
        <f>IFERROR(tblMoeHistory[[#This Row],[ESD State and Local Amount]]/tblMoeHistory[[#This Row],[Child Count]],0)</f>
        <v>18964.830000000002</v>
      </c>
      <c r="L2022">
        <f>IFERROR(tblMoeHistory[[#This Row],[State and Local Total Amount]]/tblMoeHistory[[#This Row],[Child Count]],0)</f>
        <v>18964.830000000002</v>
      </c>
      <c r="N2022" s="103" t="s">
        <v>241</v>
      </c>
      <c r="O2022">
        <v>0</v>
      </c>
      <c r="P2022">
        <v>0</v>
      </c>
      <c r="Q2022">
        <f>tblMoeHistory[[#This Row],[Amount of IDEA Part B, Section 611 award]]+tblMoeHistory[[#This Row],[Amount of IDEA Part B, Section 619 award]]</f>
        <v>0</v>
      </c>
      <c r="U20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row>
    <row r="2023" spans="1:22" x14ac:dyDescent="0.35">
      <c r="A2023" t="s">
        <v>73</v>
      </c>
      <c r="B2023">
        <v>2229</v>
      </c>
      <c r="C2023" t="s">
        <v>1534</v>
      </c>
      <c r="D2023">
        <v>56</v>
      </c>
      <c r="E2023" s="81">
        <v>301402.23</v>
      </c>
      <c r="F2023">
        <v>0</v>
      </c>
      <c r="G2023">
        <f>tblMoeHistory[[#This Row],[LEA State and Local Amount]]+tblMoeHistory[[#This Row],[ESD State and Local Amount]]</f>
        <v>301402.23</v>
      </c>
      <c r="I2023" t="s">
        <v>241</v>
      </c>
      <c r="J2023" s="44">
        <f>IFERROR(tblMoeHistory[[#This Row],[LEA State and Local Amount]]/tblMoeHistory[[#This Row],[Child Count]],0)</f>
        <v>5382.1826785714284</v>
      </c>
      <c r="K2023">
        <f>IFERROR(tblMoeHistory[[#This Row],[ESD State and Local Amount]]/tblMoeHistory[[#This Row],[Child Count]],0)</f>
        <v>0</v>
      </c>
      <c r="L2023">
        <f>IFERROR(tblMoeHistory[[#This Row],[State and Local Total Amount]]/tblMoeHistory[[#This Row],[Child Count]],0)</f>
        <v>5382.1826785714284</v>
      </c>
      <c r="N2023" s="103" t="s">
        <v>241</v>
      </c>
      <c r="O2023">
        <v>58197.229999999996</v>
      </c>
      <c r="P2023">
        <v>1593.4499999999998</v>
      </c>
      <c r="Q2023">
        <f>tblMoeHistory[[#This Row],[Amount of IDEA Part B, Section 611 award]]+tblMoeHistory[[#This Row],[Amount of IDEA Part B, Section 619 award]]</f>
        <v>59790.679999999993</v>
      </c>
      <c r="U20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3" t="s">
        <v>241</v>
      </c>
    </row>
    <row r="2024" spans="1:22" x14ac:dyDescent="0.35">
      <c r="A2024" t="s">
        <v>74</v>
      </c>
      <c r="B2024">
        <v>2043</v>
      </c>
      <c r="C2024" t="s">
        <v>1534</v>
      </c>
      <c r="D2024">
        <v>552</v>
      </c>
      <c r="E2024" s="81">
        <v>3896785.7300000009</v>
      </c>
      <c r="F2024" s="81">
        <v>549922.05000000005</v>
      </c>
      <c r="G2024">
        <f>tblMoeHistory[[#This Row],[LEA State and Local Amount]]+tblMoeHistory[[#This Row],[ESD State and Local Amount]]</f>
        <v>4446707.7800000012</v>
      </c>
      <c r="I2024" t="s">
        <v>241</v>
      </c>
      <c r="J2024" s="44">
        <f>IFERROR(tblMoeHistory[[#This Row],[LEA State and Local Amount]]/tblMoeHistory[[#This Row],[Child Count]],0)</f>
        <v>7059.3944384057986</v>
      </c>
      <c r="K2024">
        <f>IFERROR(tblMoeHistory[[#This Row],[ESD State and Local Amount]]/tblMoeHistory[[#This Row],[Child Count]],0)</f>
        <v>996.23559782608709</v>
      </c>
      <c r="L2024">
        <f>IFERROR(tblMoeHistory[[#This Row],[State and Local Total Amount]]/tblMoeHistory[[#This Row],[Child Count]],0)</f>
        <v>8055.6300362318862</v>
      </c>
      <c r="N2024" s="103" t="s">
        <v>241</v>
      </c>
      <c r="O2024">
        <v>892142.48</v>
      </c>
      <c r="P2024">
        <v>20949.93</v>
      </c>
      <c r="Q2024">
        <f>tblMoeHistory[[#This Row],[Amount of IDEA Part B, Section 611 award]]+tblMoeHistory[[#This Row],[Amount of IDEA Part B, Section 619 award]]</f>
        <v>913092.41</v>
      </c>
      <c r="U20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4" t="s">
        <v>241</v>
      </c>
    </row>
    <row r="2025" spans="1:22" x14ac:dyDescent="0.35">
      <c r="A2025" t="s">
        <v>75</v>
      </c>
      <c r="B2025">
        <v>2203</v>
      </c>
      <c r="C2025" t="s">
        <v>1534</v>
      </c>
      <c r="D2025">
        <v>36</v>
      </c>
      <c r="E2025" s="81">
        <v>190418.63999999998</v>
      </c>
      <c r="F2025" s="81">
        <v>82652.039999999994</v>
      </c>
      <c r="G2025">
        <f>tblMoeHistory[[#This Row],[LEA State and Local Amount]]+tblMoeHistory[[#This Row],[ESD State and Local Amount]]</f>
        <v>273070.68</v>
      </c>
      <c r="I2025" t="s">
        <v>242</v>
      </c>
      <c r="J2025" s="44">
        <f>IFERROR(tblMoeHistory[[#This Row],[LEA State and Local Amount]]/tblMoeHistory[[#This Row],[Child Count]],0)</f>
        <v>5289.4066666666658</v>
      </c>
      <c r="K2025">
        <f>IFERROR(tblMoeHistory[[#This Row],[ESD State and Local Amount]]/tblMoeHistory[[#This Row],[Child Count]],0)</f>
        <v>2295.89</v>
      </c>
      <c r="L2025">
        <f>IFERROR(tblMoeHistory[[#This Row],[State and Local Total Amount]]/tblMoeHistory[[#This Row],[Child Count]],0)</f>
        <v>7585.2966666666662</v>
      </c>
      <c r="N2025" s="103" t="s">
        <v>241</v>
      </c>
      <c r="O2025">
        <v>49721.509999999995</v>
      </c>
      <c r="P2025">
        <v>569.79</v>
      </c>
      <c r="Q2025">
        <f>tblMoeHistory[[#This Row],[Amount of IDEA Part B, Section 611 award]]+tblMoeHistory[[#This Row],[Amount of IDEA Part B, Section 619 award]]</f>
        <v>50291.299999999996</v>
      </c>
      <c r="U20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5" t="s">
        <v>242</v>
      </c>
    </row>
    <row r="2026" spans="1:22" x14ac:dyDescent="0.35">
      <c r="A2026" t="s">
        <v>76</v>
      </c>
      <c r="B2026">
        <v>2217</v>
      </c>
      <c r="C2026" t="s">
        <v>1534</v>
      </c>
      <c r="D2026">
        <v>53</v>
      </c>
      <c r="E2026" s="81">
        <v>322442.01999999996</v>
      </c>
      <c r="F2026" s="81">
        <v>102018.3</v>
      </c>
      <c r="G2026">
        <f>tblMoeHistory[[#This Row],[LEA State and Local Amount]]+tblMoeHistory[[#This Row],[ESD State and Local Amount]]</f>
        <v>424460.31999999995</v>
      </c>
      <c r="I2026" t="s">
        <v>241</v>
      </c>
      <c r="J2026" s="44">
        <f>IFERROR(tblMoeHistory[[#This Row],[LEA State and Local Amount]]/tblMoeHistory[[#This Row],[Child Count]],0)</f>
        <v>6083.8116981132071</v>
      </c>
      <c r="K2026">
        <f>IFERROR(tblMoeHistory[[#This Row],[ESD State and Local Amount]]/tblMoeHistory[[#This Row],[Child Count]],0)</f>
        <v>1924.8735849056604</v>
      </c>
      <c r="L2026">
        <f>IFERROR(tblMoeHistory[[#This Row],[State and Local Total Amount]]/tblMoeHistory[[#This Row],[Child Count]],0)</f>
        <v>8008.6852830188673</v>
      </c>
      <c r="N2026" s="103" t="s">
        <v>241</v>
      </c>
      <c r="O2026">
        <v>85215.459999999992</v>
      </c>
      <c r="P2026">
        <v>620.15</v>
      </c>
      <c r="Q2026">
        <f>tblMoeHistory[[#This Row],[Amount of IDEA Part B, Section 611 award]]+tblMoeHistory[[#This Row],[Amount of IDEA Part B, Section 619 award]]</f>
        <v>85835.609999999986</v>
      </c>
      <c r="U20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6" t="s">
        <v>241</v>
      </c>
    </row>
    <row r="2027" spans="1:22" x14ac:dyDescent="0.35">
      <c r="A2027" t="s">
        <v>77</v>
      </c>
      <c r="B2027">
        <v>1998</v>
      </c>
      <c r="C2027" t="s">
        <v>1534</v>
      </c>
      <c r="D2027">
        <v>19</v>
      </c>
      <c r="E2027" s="81">
        <v>196303.63999999998</v>
      </c>
      <c r="F2027" s="81">
        <v>51736.430000000008</v>
      </c>
      <c r="G2027">
        <f>tblMoeHistory[[#This Row],[LEA State and Local Amount]]+tblMoeHistory[[#This Row],[ESD State and Local Amount]]</f>
        <v>248040.07</v>
      </c>
      <c r="I2027" t="s">
        <v>242</v>
      </c>
      <c r="J2027" s="44">
        <f>IFERROR(tblMoeHistory[[#This Row],[LEA State and Local Amount]]/tblMoeHistory[[#This Row],[Child Count]],0)</f>
        <v>10331.77052631579</v>
      </c>
      <c r="K2027">
        <f>IFERROR(tblMoeHistory[[#This Row],[ESD State and Local Amount]]/tblMoeHistory[[#This Row],[Child Count]],0)</f>
        <v>2722.9700000000003</v>
      </c>
      <c r="L2027">
        <f>IFERROR(tblMoeHistory[[#This Row],[State and Local Total Amount]]/tblMoeHistory[[#This Row],[Child Count]],0)</f>
        <v>13054.740526315791</v>
      </c>
      <c r="N2027" s="103" t="s">
        <v>241</v>
      </c>
      <c r="O2027">
        <v>49351.08</v>
      </c>
      <c r="P2027">
        <v>0</v>
      </c>
      <c r="Q2027">
        <f>tblMoeHistory[[#This Row],[Amount of IDEA Part B, Section 611 award]]+tblMoeHistory[[#This Row],[Amount of IDEA Part B, Section 619 award]]</f>
        <v>49351.08</v>
      </c>
      <c r="U20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7" t="s">
        <v>242</v>
      </c>
    </row>
    <row r="2028" spans="1:22" x14ac:dyDescent="0.35">
      <c r="A2028" t="s">
        <v>78</v>
      </c>
      <c r="B2028">
        <v>2221</v>
      </c>
      <c r="C2028" t="s">
        <v>1534</v>
      </c>
      <c r="D2028">
        <v>61</v>
      </c>
      <c r="E2028" s="81">
        <v>222649.09999999998</v>
      </c>
      <c r="F2028" s="81">
        <v>337887.86</v>
      </c>
      <c r="G2028">
        <f>tblMoeHistory[[#This Row],[LEA State and Local Amount]]+tblMoeHistory[[#This Row],[ESD State and Local Amount]]</f>
        <v>560536.96</v>
      </c>
      <c r="I2028" t="s">
        <v>242</v>
      </c>
      <c r="J2028" s="44">
        <f>IFERROR(tblMoeHistory[[#This Row],[LEA State and Local Amount]]/tblMoeHistory[[#This Row],[Child Count]],0)</f>
        <v>3649.9852459016388</v>
      </c>
      <c r="K2028">
        <f>IFERROR(tblMoeHistory[[#This Row],[ESD State and Local Amount]]/tblMoeHistory[[#This Row],[Child Count]],0)</f>
        <v>5539.1452459016391</v>
      </c>
      <c r="L2028">
        <f>IFERROR(tblMoeHistory[[#This Row],[State and Local Total Amount]]/tblMoeHistory[[#This Row],[Child Count]],0)</f>
        <v>9189.1304918032783</v>
      </c>
      <c r="N2028" s="103" t="s">
        <v>241</v>
      </c>
      <c r="O2028">
        <v>106098.64</v>
      </c>
      <c r="P2028">
        <v>2595.42</v>
      </c>
      <c r="Q2028">
        <f>tblMoeHistory[[#This Row],[Amount of IDEA Part B, Section 611 award]]+tblMoeHistory[[#This Row],[Amount of IDEA Part B, Section 619 award]]</f>
        <v>108694.06</v>
      </c>
      <c r="U20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8" t="s">
        <v>242</v>
      </c>
    </row>
    <row r="2029" spans="1:22" x14ac:dyDescent="0.35">
      <c r="A2029" t="s">
        <v>79</v>
      </c>
      <c r="B2029">
        <v>1930</v>
      </c>
      <c r="C2029" t="s">
        <v>1534</v>
      </c>
      <c r="D2029">
        <v>335</v>
      </c>
      <c r="E2029" s="81">
        <v>2999431.7399999993</v>
      </c>
      <c r="F2029" s="81">
        <v>196959</v>
      </c>
      <c r="G2029">
        <f>tblMoeHistory[[#This Row],[LEA State and Local Amount]]+tblMoeHistory[[#This Row],[ESD State and Local Amount]]</f>
        <v>3196390.7399999993</v>
      </c>
      <c r="I2029" t="s">
        <v>241</v>
      </c>
      <c r="J2029" s="44">
        <f>IFERROR(tblMoeHistory[[#This Row],[LEA State and Local Amount]]/tblMoeHistory[[#This Row],[Child Count]],0)</f>
        <v>8953.5275820895495</v>
      </c>
      <c r="K2029">
        <f>IFERROR(tblMoeHistory[[#This Row],[ESD State and Local Amount]]/tblMoeHistory[[#This Row],[Child Count]],0)</f>
        <v>587.93731343283582</v>
      </c>
      <c r="L2029">
        <f>IFERROR(tblMoeHistory[[#This Row],[State and Local Total Amount]]/tblMoeHistory[[#This Row],[Child Count]],0)</f>
        <v>9541.4648955223856</v>
      </c>
      <c r="N2029" s="103" t="s">
        <v>241</v>
      </c>
      <c r="O2029">
        <v>556232.58000000007</v>
      </c>
      <c r="P2029">
        <v>11631.32</v>
      </c>
      <c r="Q2029">
        <f>tblMoeHistory[[#This Row],[Amount of IDEA Part B, Section 611 award]]+tblMoeHistory[[#This Row],[Amount of IDEA Part B, Section 619 award]]</f>
        <v>567863.9</v>
      </c>
      <c r="U20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9" t="s">
        <v>241</v>
      </c>
    </row>
    <row r="2030" spans="1:22" x14ac:dyDescent="0.35">
      <c r="A2030" t="s">
        <v>80</v>
      </c>
      <c r="B2030">
        <v>2082</v>
      </c>
      <c r="C2030" t="s">
        <v>1534</v>
      </c>
      <c r="D2030">
        <v>2283</v>
      </c>
      <c r="E2030" s="81">
        <v>25740524.879999992</v>
      </c>
      <c r="F2030" s="81">
        <v>3566530</v>
      </c>
      <c r="G2030">
        <f>tblMoeHistory[[#This Row],[LEA State and Local Amount]]+tblMoeHistory[[#This Row],[ESD State and Local Amount]]</f>
        <v>29307054.879999992</v>
      </c>
      <c r="I2030" t="s">
        <v>241</v>
      </c>
      <c r="J2030" s="44">
        <f>IFERROR(tblMoeHistory[[#This Row],[LEA State and Local Amount]]/tblMoeHistory[[#This Row],[Child Count]],0)</f>
        <v>11274.8685413929</v>
      </c>
      <c r="K2030">
        <f>IFERROR(tblMoeHistory[[#This Row],[ESD State and Local Amount]]/tblMoeHistory[[#This Row],[Child Count]],0)</f>
        <v>1562.2120017520806</v>
      </c>
      <c r="L2030">
        <f>IFERROR(tblMoeHistory[[#This Row],[State and Local Total Amount]]/tblMoeHistory[[#This Row],[Child Count]],0)</f>
        <v>12837.080543144981</v>
      </c>
      <c r="N2030" s="103" t="s">
        <v>241</v>
      </c>
      <c r="O2030">
        <v>3822231.2900000005</v>
      </c>
      <c r="P2030">
        <v>114730.05</v>
      </c>
      <c r="Q2030">
        <f>tblMoeHistory[[#This Row],[Amount of IDEA Part B, Section 611 award]]+tblMoeHistory[[#This Row],[Amount of IDEA Part B, Section 619 award]]</f>
        <v>3936961.3400000003</v>
      </c>
      <c r="U20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0" t="s">
        <v>241</v>
      </c>
    </row>
    <row r="2031" spans="1:22" x14ac:dyDescent="0.35">
      <c r="A2031" t="s">
        <v>81</v>
      </c>
      <c r="B2031">
        <v>2193</v>
      </c>
      <c r="C2031" t="s">
        <v>1534</v>
      </c>
      <c r="D2031">
        <v>34</v>
      </c>
      <c r="E2031" s="81">
        <v>259026.8</v>
      </c>
      <c r="F2031" s="81">
        <v>42278.400000000001</v>
      </c>
      <c r="G2031">
        <f>tblMoeHistory[[#This Row],[LEA State and Local Amount]]+tblMoeHistory[[#This Row],[ESD State and Local Amount]]</f>
        <v>301305.2</v>
      </c>
      <c r="I2031" t="s">
        <v>241</v>
      </c>
      <c r="J2031" s="44">
        <f>IFERROR(tblMoeHistory[[#This Row],[LEA State and Local Amount]]/tblMoeHistory[[#This Row],[Child Count]],0)</f>
        <v>7618.4352941176467</v>
      </c>
      <c r="K2031">
        <f>IFERROR(tblMoeHistory[[#This Row],[ESD State and Local Amount]]/tblMoeHistory[[#This Row],[Child Count]],0)</f>
        <v>1243.4823529411765</v>
      </c>
      <c r="L2031">
        <f>IFERROR(tblMoeHistory[[#This Row],[State and Local Total Amount]]/tblMoeHistory[[#This Row],[Child Count]],0)</f>
        <v>8861.9176470588245</v>
      </c>
      <c r="N2031" s="103" t="s">
        <v>241</v>
      </c>
      <c r="O2031">
        <v>56945.73</v>
      </c>
      <c r="P2031">
        <v>1057.9100000000001</v>
      </c>
      <c r="Q2031">
        <f>tblMoeHistory[[#This Row],[Amount of IDEA Part B, Section 611 award]]+tblMoeHistory[[#This Row],[Amount of IDEA Part B, Section 619 award]]</f>
        <v>58003.640000000007</v>
      </c>
      <c r="U20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row>
    <row r="2032" spans="1:22" x14ac:dyDescent="0.35">
      <c r="A2032" t="s">
        <v>82</v>
      </c>
      <c r="B2032">
        <v>2084</v>
      </c>
      <c r="C2032" t="s">
        <v>1534</v>
      </c>
      <c r="D2032">
        <v>249</v>
      </c>
      <c r="E2032" s="81">
        <v>3192921.4899999998</v>
      </c>
      <c r="F2032" s="81">
        <v>222697</v>
      </c>
      <c r="G2032">
        <f>tblMoeHistory[[#This Row],[LEA State and Local Amount]]+tblMoeHistory[[#This Row],[ESD State and Local Amount]]</f>
        <v>3415618.4899999998</v>
      </c>
      <c r="I2032" t="s">
        <v>242</v>
      </c>
      <c r="J2032" s="44">
        <f>IFERROR(tblMoeHistory[[#This Row],[LEA State and Local Amount]]/tblMoeHistory[[#This Row],[Child Count]],0)</f>
        <v>12822.977871485942</v>
      </c>
      <c r="K2032">
        <f>IFERROR(tblMoeHistory[[#This Row],[ESD State and Local Amount]]/tblMoeHistory[[#This Row],[Child Count]],0)</f>
        <v>894.36546184738961</v>
      </c>
      <c r="L2032">
        <f>IFERROR(tblMoeHistory[[#This Row],[State and Local Total Amount]]/tblMoeHistory[[#This Row],[Child Count]],0)</f>
        <v>13717.343333333332</v>
      </c>
      <c r="N2032" s="103" t="s">
        <v>241</v>
      </c>
      <c r="O2032">
        <v>396524.42</v>
      </c>
      <c r="P2032">
        <v>7923.08</v>
      </c>
      <c r="Q2032">
        <f>tblMoeHistory[[#This Row],[Amount of IDEA Part B, Section 611 award]]+tblMoeHistory[[#This Row],[Amount of IDEA Part B, Section 619 award]]</f>
        <v>404447.5</v>
      </c>
      <c r="U20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2" t="s">
        <v>242</v>
      </c>
    </row>
    <row r="2033" spans="1:22" x14ac:dyDescent="0.35">
      <c r="A2033" t="s">
        <v>83</v>
      </c>
      <c r="B2033">
        <v>2241</v>
      </c>
      <c r="C2033" t="s">
        <v>1534</v>
      </c>
      <c r="D2033">
        <v>858</v>
      </c>
      <c r="E2033" s="81">
        <v>11636765.320000002</v>
      </c>
      <c r="F2033" s="81">
        <v>313198</v>
      </c>
      <c r="G2033">
        <f>tblMoeHistory[[#This Row],[LEA State and Local Amount]]+tblMoeHistory[[#This Row],[ESD State and Local Amount]]</f>
        <v>11949963.320000002</v>
      </c>
      <c r="I2033" t="s">
        <v>242</v>
      </c>
      <c r="J2033" s="44">
        <f>IFERROR(tblMoeHistory[[#This Row],[LEA State and Local Amount]]/tblMoeHistory[[#This Row],[Child Count]],0)</f>
        <v>13562.663543123546</v>
      </c>
      <c r="K2033">
        <f>IFERROR(tblMoeHistory[[#This Row],[ESD State and Local Amount]]/tblMoeHistory[[#This Row],[Child Count]],0)</f>
        <v>365.03263403263401</v>
      </c>
      <c r="L2033">
        <f>IFERROR(tblMoeHistory[[#This Row],[State and Local Total Amount]]/tblMoeHistory[[#This Row],[Child Count]],0)</f>
        <v>13927.69617715618</v>
      </c>
      <c r="N2033" s="103" t="s">
        <v>241</v>
      </c>
      <c r="O2033">
        <v>1243395.8599999999</v>
      </c>
      <c r="P2033">
        <v>23100.43</v>
      </c>
      <c r="Q2033">
        <f>tblMoeHistory[[#This Row],[Amount of IDEA Part B, Section 611 award]]+tblMoeHistory[[#This Row],[Amount of IDEA Part B, Section 619 award]]</f>
        <v>1266496.2899999998</v>
      </c>
      <c r="U20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3" t="s">
        <v>242</v>
      </c>
    </row>
    <row r="2034" spans="1:22" x14ac:dyDescent="0.35">
      <c r="A2034" t="s">
        <v>84</v>
      </c>
      <c r="B2034">
        <v>2248</v>
      </c>
      <c r="C2034" t="s">
        <v>1534</v>
      </c>
      <c r="D2034">
        <v>96</v>
      </c>
      <c r="E2034" s="81">
        <v>487729.73</v>
      </c>
      <c r="F2034" s="81">
        <v>95006</v>
      </c>
      <c r="G2034">
        <f>tblMoeHistory[[#This Row],[LEA State and Local Amount]]+tblMoeHistory[[#This Row],[ESD State and Local Amount]]</f>
        <v>582735.73</v>
      </c>
      <c r="I2034" t="s">
        <v>241</v>
      </c>
      <c r="J2034" s="44">
        <f>IFERROR(tblMoeHistory[[#This Row],[LEA State and Local Amount]]/tblMoeHistory[[#This Row],[Child Count]],0)</f>
        <v>5080.5180208333331</v>
      </c>
      <c r="K2034">
        <f>IFERROR(tblMoeHistory[[#This Row],[ESD State and Local Amount]]/tblMoeHistory[[#This Row],[Child Count]],0)</f>
        <v>989.64583333333337</v>
      </c>
      <c r="L2034">
        <f>IFERROR(tblMoeHistory[[#This Row],[State and Local Total Amount]]/tblMoeHistory[[#This Row],[Child Count]],0)</f>
        <v>6070.1638541666662</v>
      </c>
      <c r="N2034" s="103" t="s">
        <v>241</v>
      </c>
      <c r="O2034">
        <v>95894</v>
      </c>
      <c r="P2034">
        <v>1050.76</v>
      </c>
      <c r="Q2034">
        <f>tblMoeHistory[[#This Row],[Amount of IDEA Part B, Section 611 award]]+tblMoeHistory[[#This Row],[Amount of IDEA Part B, Section 619 award]]</f>
        <v>96944.76</v>
      </c>
      <c r="U20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4" t="s">
        <v>241</v>
      </c>
    </row>
    <row r="2035" spans="1:22" x14ac:dyDescent="0.35">
      <c r="A2035" t="s">
        <v>85</v>
      </c>
      <c r="B2035">
        <v>2020</v>
      </c>
      <c r="C2035" t="s">
        <v>1534</v>
      </c>
      <c r="D2035">
        <v>1</v>
      </c>
      <c r="E2035">
        <v>0</v>
      </c>
      <c r="F2035" s="81">
        <v>21043.65</v>
      </c>
      <c r="G2035">
        <f>tblMoeHistory[[#This Row],[LEA State and Local Amount]]+tblMoeHistory[[#This Row],[ESD State and Local Amount]]</f>
        <v>21043.65</v>
      </c>
      <c r="I2035" t="s">
        <v>241</v>
      </c>
      <c r="J2035" s="44">
        <f>IFERROR(tblMoeHistory[[#This Row],[LEA State and Local Amount]]/tblMoeHistory[[#This Row],[Child Count]],0)</f>
        <v>0</v>
      </c>
      <c r="K2035">
        <f>IFERROR(tblMoeHistory[[#This Row],[ESD State and Local Amount]]/tblMoeHistory[[#This Row],[Child Count]],0)</f>
        <v>21043.65</v>
      </c>
      <c r="L2035">
        <f>IFERROR(tblMoeHistory[[#This Row],[State and Local Total Amount]]/tblMoeHistory[[#This Row],[Child Count]],0)</f>
        <v>21043.65</v>
      </c>
      <c r="N2035" s="103" t="s">
        <v>241</v>
      </c>
      <c r="O2035">
        <v>0</v>
      </c>
      <c r="P2035">
        <v>0</v>
      </c>
      <c r="Q2035">
        <f>tblMoeHistory[[#This Row],[Amount of IDEA Part B, Section 611 award]]+tblMoeHistory[[#This Row],[Amount of IDEA Part B, Section 619 award]]</f>
        <v>0</v>
      </c>
      <c r="U20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5" t="s">
        <v>241</v>
      </c>
    </row>
    <row r="2036" spans="1:22" x14ac:dyDescent="0.35">
      <c r="A2036" t="s">
        <v>86</v>
      </c>
      <c r="B2036">
        <v>2245</v>
      </c>
      <c r="C2036" t="s">
        <v>1534</v>
      </c>
      <c r="D2036">
        <v>79</v>
      </c>
      <c r="E2036" s="81">
        <v>805692.62</v>
      </c>
      <c r="F2036" s="81">
        <v>276044</v>
      </c>
      <c r="G2036">
        <f>tblMoeHistory[[#This Row],[LEA State and Local Amount]]+tblMoeHistory[[#This Row],[ESD State and Local Amount]]</f>
        <v>1081736.6200000001</v>
      </c>
      <c r="I2036" t="s">
        <v>241</v>
      </c>
      <c r="J2036" s="44">
        <f>IFERROR(tblMoeHistory[[#This Row],[LEA State and Local Amount]]/tblMoeHistory[[#This Row],[Child Count]],0)</f>
        <v>10198.64075949367</v>
      </c>
      <c r="K2036">
        <f>IFERROR(tblMoeHistory[[#This Row],[ESD State and Local Amount]]/tblMoeHistory[[#This Row],[Child Count]],0)</f>
        <v>3494.2278481012659</v>
      </c>
      <c r="L2036">
        <f>IFERROR(tblMoeHistory[[#This Row],[State and Local Total Amount]]/tblMoeHistory[[#This Row],[Child Count]],0)</f>
        <v>13692.868607594939</v>
      </c>
      <c r="N2036" s="103" t="s">
        <v>241</v>
      </c>
      <c r="O2036">
        <v>113829.28</v>
      </c>
      <c r="P2036">
        <v>2587.62</v>
      </c>
      <c r="Q2036">
        <f>tblMoeHistory[[#This Row],[Amount of IDEA Part B, Section 611 award]]+tblMoeHistory[[#This Row],[Amount of IDEA Part B, Section 619 award]]</f>
        <v>116416.9</v>
      </c>
      <c r="U20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6" t="s">
        <v>241</v>
      </c>
    </row>
    <row r="2037" spans="1:22" x14ac:dyDescent="0.35">
      <c r="A2037" t="s">
        <v>87</v>
      </c>
      <c r="B2037">
        <v>2137</v>
      </c>
      <c r="C2037" t="s">
        <v>1534</v>
      </c>
      <c r="D2037">
        <v>188</v>
      </c>
      <c r="E2037" s="81">
        <v>995093.48999999964</v>
      </c>
      <c r="F2037" s="81">
        <v>301051.5</v>
      </c>
      <c r="G2037">
        <f>tblMoeHistory[[#This Row],[LEA State and Local Amount]]+tblMoeHistory[[#This Row],[ESD State and Local Amount]]</f>
        <v>1296144.9899999998</v>
      </c>
      <c r="I2037" t="s">
        <v>242</v>
      </c>
      <c r="J2037" s="44">
        <f>IFERROR(tblMoeHistory[[#This Row],[LEA State and Local Amount]]/tblMoeHistory[[#This Row],[Child Count]],0)</f>
        <v>5293.0504787234022</v>
      </c>
      <c r="K2037">
        <f>IFERROR(tblMoeHistory[[#This Row],[ESD State and Local Amount]]/tblMoeHistory[[#This Row],[Child Count]],0)</f>
        <v>1601.3377659574469</v>
      </c>
      <c r="L2037">
        <f>IFERROR(tblMoeHistory[[#This Row],[State and Local Total Amount]]/tblMoeHistory[[#This Row],[Child Count]],0)</f>
        <v>6894.3882446808502</v>
      </c>
      <c r="N2037" s="103" t="s">
        <v>2140</v>
      </c>
      <c r="O2037">
        <v>288335.5</v>
      </c>
      <c r="P2037">
        <v>4003.2599999999998</v>
      </c>
      <c r="Q2037">
        <f>tblMoeHistory[[#This Row],[Amount of IDEA Part B, Section 611 award]]+tblMoeHistory[[#This Row],[Amount of IDEA Part B, Section 619 award]]</f>
        <v>292338.76</v>
      </c>
      <c r="U20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7" t="s">
        <v>242</v>
      </c>
    </row>
    <row r="2038" spans="1:22" x14ac:dyDescent="0.35">
      <c r="A2038" t="s">
        <v>88</v>
      </c>
      <c r="B2038">
        <v>1931</v>
      </c>
      <c r="C2038" t="s">
        <v>1534</v>
      </c>
      <c r="D2038">
        <v>267</v>
      </c>
      <c r="E2038" s="81">
        <v>2768526.55</v>
      </c>
      <c r="F2038" s="81">
        <v>193649</v>
      </c>
      <c r="G2038">
        <f>tblMoeHistory[[#This Row],[LEA State and Local Amount]]+tblMoeHistory[[#This Row],[ESD State and Local Amount]]</f>
        <v>2962175.55</v>
      </c>
      <c r="I2038" t="s">
        <v>242</v>
      </c>
      <c r="J2038" s="44">
        <f>IFERROR(tblMoeHistory[[#This Row],[LEA State and Local Amount]]/tblMoeHistory[[#This Row],[Child Count]],0)</f>
        <v>10369.01329588015</v>
      </c>
      <c r="K2038">
        <f>IFERROR(tblMoeHistory[[#This Row],[ESD State and Local Amount]]/tblMoeHistory[[#This Row],[Child Count]],0)</f>
        <v>725.27715355805242</v>
      </c>
      <c r="L2038">
        <f>IFERROR(tblMoeHistory[[#This Row],[State and Local Total Amount]]/tblMoeHistory[[#This Row],[Child Count]],0)</f>
        <v>11094.290449438202</v>
      </c>
      <c r="N2038" s="103" t="s">
        <v>242</v>
      </c>
      <c r="O2038">
        <v>436912.47</v>
      </c>
      <c r="P2038">
        <v>3587.75</v>
      </c>
      <c r="Q2038">
        <f>tblMoeHistory[[#This Row],[Amount of IDEA Part B, Section 611 award]]+tblMoeHistory[[#This Row],[Amount of IDEA Part B, Section 619 award]]</f>
        <v>440500.22</v>
      </c>
      <c r="U20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8" t="s">
        <v>242</v>
      </c>
    </row>
    <row r="2039" spans="1:22" x14ac:dyDescent="0.35">
      <c r="A2039" t="s">
        <v>89</v>
      </c>
      <c r="B2039">
        <v>2000</v>
      </c>
      <c r="C2039" t="s">
        <v>1534</v>
      </c>
      <c r="D2039">
        <v>49</v>
      </c>
      <c r="E2039" s="81">
        <v>367638.36000000004</v>
      </c>
      <c r="F2039" s="81">
        <v>135031.64000000001</v>
      </c>
      <c r="G2039">
        <f>tblMoeHistory[[#This Row],[LEA State and Local Amount]]+tblMoeHistory[[#This Row],[ESD State and Local Amount]]</f>
        <v>502670.00000000006</v>
      </c>
      <c r="I2039" t="s">
        <v>242</v>
      </c>
      <c r="J2039" s="44">
        <f>IFERROR(tblMoeHistory[[#This Row],[LEA State and Local Amount]]/tblMoeHistory[[#This Row],[Child Count]],0)</f>
        <v>7502.8236734693883</v>
      </c>
      <c r="K2039">
        <f>IFERROR(tblMoeHistory[[#This Row],[ESD State and Local Amount]]/tblMoeHistory[[#This Row],[Child Count]],0)</f>
        <v>2755.7477551020411</v>
      </c>
      <c r="L2039">
        <f>IFERROR(tblMoeHistory[[#This Row],[State and Local Total Amount]]/tblMoeHistory[[#This Row],[Child Count]],0)</f>
        <v>10258.571428571429</v>
      </c>
      <c r="N2039" s="103" t="s">
        <v>242</v>
      </c>
      <c r="O2039">
        <v>69845.16</v>
      </c>
      <c r="P2039">
        <v>592.09</v>
      </c>
      <c r="Q2039">
        <f>tblMoeHistory[[#This Row],[Amount of IDEA Part B, Section 611 award]]+tblMoeHistory[[#This Row],[Amount of IDEA Part B, Section 619 award]]</f>
        <v>70437.25</v>
      </c>
      <c r="U20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9" t="s">
        <v>242</v>
      </c>
    </row>
    <row r="2040" spans="1:22" x14ac:dyDescent="0.35">
      <c r="A2040" t="s">
        <v>90</v>
      </c>
      <c r="B2040">
        <v>1992</v>
      </c>
      <c r="C2040" t="s">
        <v>1534</v>
      </c>
      <c r="D2040">
        <v>101</v>
      </c>
      <c r="E2040" s="81">
        <v>857727.2300000001</v>
      </c>
      <c r="F2040" s="81">
        <v>200157.54</v>
      </c>
      <c r="G2040">
        <f>tblMoeHistory[[#This Row],[LEA State and Local Amount]]+tblMoeHistory[[#This Row],[ESD State and Local Amount]]</f>
        <v>1057884.77</v>
      </c>
      <c r="I2040" t="s">
        <v>241</v>
      </c>
      <c r="J2040" s="44">
        <f>IFERROR(tblMoeHistory[[#This Row],[LEA State and Local Amount]]/tblMoeHistory[[#This Row],[Child Count]],0)</f>
        <v>8492.3488118811892</v>
      </c>
      <c r="K2040">
        <f>IFERROR(tblMoeHistory[[#This Row],[ESD State and Local Amount]]/tblMoeHistory[[#This Row],[Child Count]],0)</f>
        <v>1981.7578217821783</v>
      </c>
      <c r="L2040">
        <f>IFERROR(tblMoeHistory[[#This Row],[State and Local Total Amount]]/tblMoeHistory[[#This Row],[Child Count]],0)</f>
        <v>10474.106633663367</v>
      </c>
      <c r="N2040" s="103" t="s">
        <v>241</v>
      </c>
      <c r="O2040">
        <v>188165.94999999998</v>
      </c>
      <c r="P2040">
        <v>4274.92</v>
      </c>
      <c r="Q2040">
        <f>tblMoeHistory[[#This Row],[Amount of IDEA Part B, Section 611 award]]+tblMoeHistory[[#This Row],[Amount of IDEA Part B, Section 619 award]]</f>
        <v>192440.87</v>
      </c>
      <c r="U20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0" t="s">
        <v>241</v>
      </c>
    </row>
    <row r="2041" spans="1:22" x14ac:dyDescent="0.35">
      <c r="A2041" t="s">
        <v>91</v>
      </c>
      <c r="B2041">
        <v>2054</v>
      </c>
      <c r="C2041" t="s">
        <v>1534</v>
      </c>
      <c r="D2041">
        <v>748</v>
      </c>
      <c r="E2041" s="81">
        <v>7679587.4900000021</v>
      </c>
      <c r="F2041" s="81">
        <v>400328.18</v>
      </c>
      <c r="G2041">
        <f>tblMoeHistory[[#This Row],[LEA State and Local Amount]]+tblMoeHistory[[#This Row],[ESD State and Local Amount]]</f>
        <v>8079915.6700000018</v>
      </c>
      <c r="I2041" t="s">
        <v>242</v>
      </c>
      <c r="J2041" s="44">
        <f>IFERROR(tblMoeHistory[[#This Row],[LEA State and Local Amount]]/tblMoeHistory[[#This Row],[Child Count]],0)</f>
        <v>10266.828195187169</v>
      </c>
      <c r="K2041">
        <f>IFERROR(tblMoeHistory[[#This Row],[ESD State and Local Amount]]/tblMoeHistory[[#This Row],[Child Count]],0)</f>
        <v>535.19810160427812</v>
      </c>
      <c r="L2041">
        <f>IFERROR(tblMoeHistory[[#This Row],[State and Local Total Amount]]/tblMoeHistory[[#This Row],[Child Count]],0)</f>
        <v>10802.026296791446</v>
      </c>
      <c r="N2041" s="103" t="s">
        <v>241</v>
      </c>
      <c r="O2041">
        <v>1198902.9600000002</v>
      </c>
      <c r="P2041">
        <v>31609.18</v>
      </c>
      <c r="Q2041">
        <f>tblMoeHistory[[#This Row],[Amount of IDEA Part B, Section 611 award]]+tblMoeHistory[[#This Row],[Amount of IDEA Part B, Section 619 award]]</f>
        <v>1230512.1400000001</v>
      </c>
      <c r="U20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1" t="s">
        <v>242</v>
      </c>
    </row>
    <row r="2042" spans="1:22" x14ac:dyDescent="0.35">
      <c r="A2042" t="s">
        <v>92</v>
      </c>
      <c r="B2042">
        <v>2100</v>
      </c>
      <c r="C2042" t="s">
        <v>1534</v>
      </c>
      <c r="D2042">
        <v>1299</v>
      </c>
      <c r="E2042" s="81">
        <v>15488051.599999998</v>
      </c>
      <c r="F2042" s="81">
        <v>1552723</v>
      </c>
      <c r="G2042">
        <f>tblMoeHistory[[#This Row],[LEA State and Local Amount]]+tblMoeHistory[[#This Row],[ESD State and Local Amount]]</f>
        <v>17040774.599999998</v>
      </c>
      <c r="I2042" t="s">
        <v>241</v>
      </c>
      <c r="J2042" s="44">
        <f>IFERROR(tblMoeHistory[[#This Row],[LEA State and Local Amount]]/tblMoeHistory[[#This Row],[Child Count]],0)</f>
        <v>11923.057428791377</v>
      </c>
      <c r="K2042">
        <f>IFERROR(tblMoeHistory[[#This Row],[ESD State and Local Amount]]/tblMoeHistory[[#This Row],[Child Count]],0)</f>
        <v>1195.3217859892225</v>
      </c>
      <c r="L2042">
        <f>IFERROR(tblMoeHistory[[#This Row],[State and Local Total Amount]]/tblMoeHistory[[#This Row],[Child Count]],0)</f>
        <v>13118.379214780598</v>
      </c>
      <c r="N2042" s="103" t="s">
        <v>241</v>
      </c>
      <c r="O2042">
        <v>1906289.14</v>
      </c>
      <c r="P2042">
        <v>51652.47</v>
      </c>
      <c r="Q2042">
        <f>tblMoeHistory[[#This Row],[Amount of IDEA Part B, Section 611 award]]+tblMoeHistory[[#This Row],[Amount of IDEA Part B, Section 619 award]]</f>
        <v>1957941.6099999999</v>
      </c>
      <c r="U20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2" t="s">
        <v>241</v>
      </c>
    </row>
    <row r="2043" spans="1:22" x14ac:dyDescent="0.35">
      <c r="A2043" t="s">
        <v>93</v>
      </c>
      <c r="B2043">
        <v>2183</v>
      </c>
      <c r="C2043" t="s">
        <v>1534</v>
      </c>
      <c r="D2043">
        <v>1510</v>
      </c>
      <c r="E2043" s="81">
        <v>18236461.250000004</v>
      </c>
      <c r="F2043" s="81">
        <v>1326932.3500000001</v>
      </c>
      <c r="G2043">
        <f>tblMoeHistory[[#This Row],[LEA State and Local Amount]]+tblMoeHistory[[#This Row],[ESD State and Local Amount]]</f>
        <v>19563393.600000005</v>
      </c>
      <c r="I2043" t="s">
        <v>241</v>
      </c>
      <c r="J2043" s="44">
        <f>IFERROR(tblMoeHistory[[#This Row],[LEA State and Local Amount]]/tblMoeHistory[[#This Row],[Child Count]],0)</f>
        <v>12077.126655629141</v>
      </c>
      <c r="K2043">
        <f>IFERROR(tblMoeHistory[[#This Row],[ESD State and Local Amount]]/tblMoeHistory[[#This Row],[Child Count]],0)</f>
        <v>878.7631456953643</v>
      </c>
      <c r="L2043">
        <f>IFERROR(tblMoeHistory[[#This Row],[State and Local Total Amount]]/tblMoeHistory[[#This Row],[Child Count]],0)</f>
        <v>12955.889801324507</v>
      </c>
      <c r="N2043" s="103" t="s">
        <v>2140</v>
      </c>
      <c r="O2043">
        <v>2454654.33</v>
      </c>
      <c r="P2043">
        <v>61279.87</v>
      </c>
      <c r="Q2043">
        <f>tblMoeHistory[[#This Row],[Amount of IDEA Part B, Section 611 award]]+tblMoeHistory[[#This Row],[Amount of IDEA Part B, Section 619 award]]</f>
        <v>2515934.2000000002</v>
      </c>
      <c r="U20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3" t="s">
        <v>241</v>
      </c>
    </row>
    <row r="2044" spans="1:22" x14ac:dyDescent="0.35">
      <c r="A2044" t="s">
        <v>94</v>
      </c>
      <c r="B2044">
        <v>2014</v>
      </c>
      <c r="C2044" t="s">
        <v>1534</v>
      </c>
      <c r="D2044">
        <v>106</v>
      </c>
      <c r="E2044" s="81">
        <v>1178669.6700000002</v>
      </c>
      <c r="F2044">
        <v>0</v>
      </c>
      <c r="G2044">
        <f>tblMoeHistory[[#This Row],[LEA State and Local Amount]]+tblMoeHistory[[#This Row],[ESD State and Local Amount]]</f>
        <v>1178669.6700000002</v>
      </c>
      <c r="I2044" t="s">
        <v>2140</v>
      </c>
      <c r="J2044" s="44">
        <f>IFERROR(tblMoeHistory[[#This Row],[LEA State and Local Amount]]/tblMoeHistory[[#This Row],[Child Count]],0)</f>
        <v>11119.525188679247</v>
      </c>
      <c r="K2044">
        <f>IFERROR(tblMoeHistory[[#This Row],[ESD State and Local Amount]]/tblMoeHistory[[#This Row],[Child Count]],0)</f>
        <v>0</v>
      </c>
      <c r="L2044">
        <f>IFERROR(tblMoeHistory[[#This Row],[State and Local Total Amount]]/tblMoeHistory[[#This Row],[Child Count]],0)</f>
        <v>11119.525188679247</v>
      </c>
      <c r="N2044" s="103" t="s">
        <v>242</v>
      </c>
      <c r="O2044">
        <v>228840.22000000003</v>
      </c>
      <c r="P2044">
        <v>8720.26</v>
      </c>
      <c r="Q2044">
        <f>tblMoeHistory[[#This Row],[Amount of IDEA Part B, Section 611 award]]+tblMoeHistory[[#This Row],[Amount of IDEA Part B, Section 619 award]]</f>
        <v>237560.48000000004</v>
      </c>
      <c r="U20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4" t="s">
        <v>2138</v>
      </c>
    </row>
    <row r="2045" spans="1:22" x14ac:dyDescent="0.35">
      <c r="A2045" t="s">
        <v>95</v>
      </c>
      <c r="B2045">
        <v>2015</v>
      </c>
      <c r="C2045" t="s">
        <v>1534</v>
      </c>
      <c r="D2045">
        <v>67</v>
      </c>
      <c r="E2045" s="81">
        <v>336096.03999999992</v>
      </c>
      <c r="F2045" s="81">
        <v>40652.92</v>
      </c>
      <c r="G2045">
        <f>tblMoeHistory[[#This Row],[LEA State and Local Amount]]+tblMoeHistory[[#This Row],[ESD State and Local Amount]]</f>
        <v>376748.9599999999</v>
      </c>
      <c r="I2045" t="s">
        <v>2140</v>
      </c>
      <c r="J2045" s="44">
        <f>IFERROR(tblMoeHistory[[#This Row],[LEA State and Local Amount]]/tblMoeHistory[[#This Row],[Child Count]],0)</f>
        <v>5016.3588059701478</v>
      </c>
      <c r="K2045">
        <f>IFERROR(tblMoeHistory[[#This Row],[ESD State and Local Amount]]/tblMoeHistory[[#This Row],[Child Count]],0)</f>
        <v>606.76</v>
      </c>
      <c r="L2045">
        <f>IFERROR(tblMoeHistory[[#This Row],[State and Local Total Amount]]/tblMoeHistory[[#This Row],[Child Count]],0)</f>
        <v>5623.1188059701481</v>
      </c>
      <c r="N2045" s="103" t="s">
        <v>241</v>
      </c>
      <c r="O2045">
        <v>52889.979999999996</v>
      </c>
      <c r="P2045">
        <v>0</v>
      </c>
      <c r="Q2045">
        <f>tblMoeHistory[[#This Row],[Amount of IDEA Part B, Section 611 award]]+tblMoeHistory[[#This Row],[Amount of IDEA Part B, Section 619 award]]</f>
        <v>52889.979999999996</v>
      </c>
      <c r="U20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5" t="s">
        <v>2138</v>
      </c>
    </row>
    <row r="2046" spans="1:22" x14ac:dyDescent="0.35">
      <c r="A2046" t="s">
        <v>96</v>
      </c>
      <c r="B2046">
        <v>2023</v>
      </c>
      <c r="C2046" t="s">
        <v>1534</v>
      </c>
      <c r="D2046">
        <v>77</v>
      </c>
      <c r="E2046" s="81">
        <v>265965.02</v>
      </c>
      <c r="F2046" s="81">
        <v>55923.74</v>
      </c>
      <c r="G2046">
        <f>tblMoeHistory[[#This Row],[LEA State and Local Amount]]+tblMoeHistory[[#This Row],[ESD State and Local Amount]]</f>
        <v>321888.76</v>
      </c>
      <c r="I2046" t="s">
        <v>241</v>
      </c>
      <c r="J2046" s="44">
        <f>IFERROR(tblMoeHistory[[#This Row],[LEA State and Local Amount]]/tblMoeHistory[[#This Row],[Child Count]],0)</f>
        <v>3454.0911688311689</v>
      </c>
      <c r="K2046">
        <f>IFERROR(tblMoeHistory[[#This Row],[ESD State and Local Amount]]/tblMoeHistory[[#This Row],[Child Count]],0)</f>
        <v>726.28233766233768</v>
      </c>
      <c r="L2046">
        <f>IFERROR(tblMoeHistory[[#This Row],[State and Local Total Amount]]/tblMoeHistory[[#This Row],[Child Count]],0)</f>
        <v>4180.3735064935063</v>
      </c>
      <c r="N2046" s="103" t="s">
        <v>241</v>
      </c>
      <c r="O2046">
        <v>14161.34</v>
      </c>
      <c r="P2046">
        <v>0</v>
      </c>
      <c r="Q2046">
        <f>tblMoeHistory[[#This Row],[Amount of IDEA Part B, Section 611 award]]+tblMoeHistory[[#This Row],[Amount of IDEA Part B, Section 619 award]]</f>
        <v>14161.34</v>
      </c>
      <c r="U20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6" t="s">
        <v>241</v>
      </c>
    </row>
    <row r="2047" spans="1:22" x14ac:dyDescent="0.35">
      <c r="A2047" t="s">
        <v>97</v>
      </c>
      <c r="B2047">
        <v>2114</v>
      </c>
      <c r="C2047" t="s">
        <v>1534</v>
      </c>
      <c r="D2047">
        <v>22</v>
      </c>
      <c r="E2047" s="81">
        <v>81896.790000000008</v>
      </c>
      <c r="F2047" s="81">
        <v>73681.64</v>
      </c>
      <c r="G2047">
        <f>tblMoeHistory[[#This Row],[LEA State and Local Amount]]+tblMoeHistory[[#This Row],[ESD State and Local Amount]]</f>
        <v>155578.43</v>
      </c>
      <c r="I2047" t="s">
        <v>241</v>
      </c>
      <c r="J2047" s="44">
        <f>IFERROR(tblMoeHistory[[#This Row],[LEA State and Local Amount]]/tblMoeHistory[[#This Row],[Child Count]],0)</f>
        <v>3722.5813636363641</v>
      </c>
      <c r="K2047">
        <f>IFERROR(tblMoeHistory[[#This Row],[ESD State and Local Amount]]/tblMoeHistory[[#This Row],[Child Count]],0)</f>
        <v>3349.1654545454544</v>
      </c>
      <c r="L2047">
        <f>IFERROR(tblMoeHistory[[#This Row],[State and Local Total Amount]]/tblMoeHistory[[#This Row],[Child Count]],0)</f>
        <v>7071.7468181818176</v>
      </c>
      <c r="N2047" s="103" t="s">
        <v>2140</v>
      </c>
      <c r="O2047">
        <v>22178.39</v>
      </c>
      <c r="P2047">
        <v>1003.35</v>
      </c>
      <c r="Q2047">
        <f>tblMoeHistory[[#This Row],[Amount of IDEA Part B, Section 611 award]]+tblMoeHistory[[#This Row],[Amount of IDEA Part B, Section 619 award]]</f>
        <v>23181.739999999998</v>
      </c>
      <c r="U20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7" t="s">
        <v>241</v>
      </c>
    </row>
    <row r="2048" spans="1:22" x14ac:dyDescent="0.35">
      <c r="A2048" t="s">
        <v>98</v>
      </c>
      <c r="B2048">
        <v>2099</v>
      </c>
      <c r="C2048" t="s">
        <v>1534</v>
      </c>
      <c r="D2048">
        <v>107</v>
      </c>
      <c r="E2048" s="81">
        <v>1182113.6300000004</v>
      </c>
      <c r="F2048" s="81">
        <v>128350</v>
      </c>
      <c r="G2048">
        <f>tblMoeHistory[[#This Row],[LEA State and Local Amount]]+tblMoeHistory[[#This Row],[ESD State and Local Amount]]</f>
        <v>1310463.6300000004</v>
      </c>
      <c r="I2048" t="s">
        <v>242</v>
      </c>
      <c r="J2048" s="44">
        <f>IFERROR(tblMoeHistory[[#This Row],[LEA State and Local Amount]]/tblMoeHistory[[#This Row],[Child Count]],0)</f>
        <v>11047.790934579443</v>
      </c>
      <c r="K2048">
        <f>IFERROR(tblMoeHistory[[#This Row],[ESD State and Local Amount]]/tblMoeHistory[[#This Row],[Child Count]],0)</f>
        <v>1199.5327102803737</v>
      </c>
      <c r="L2048">
        <f>IFERROR(tblMoeHistory[[#This Row],[State and Local Total Amount]]/tblMoeHistory[[#This Row],[Child Count]],0)</f>
        <v>12247.323644859816</v>
      </c>
      <c r="N2048" s="103" t="s">
        <v>241</v>
      </c>
      <c r="O2048">
        <v>164383.07</v>
      </c>
      <c r="P2048">
        <v>1746.71</v>
      </c>
      <c r="Q2048">
        <f>tblMoeHistory[[#This Row],[Amount of IDEA Part B, Section 611 award]]+tblMoeHistory[[#This Row],[Amount of IDEA Part B, Section 619 award]]</f>
        <v>166129.78</v>
      </c>
      <c r="U20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8" t="s">
        <v>242</v>
      </c>
    </row>
    <row r="2049" spans="1:22" x14ac:dyDescent="0.35">
      <c r="A2049" t="s">
        <v>99</v>
      </c>
      <c r="B2049">
        <v>2201</v>
      </c>
      <c r="C2049" t="s">
        <v>1534</v>
      </c>
      <c r="D2049">
        <v>17</v>
      </c>
      <c r="E2049" s="81">
        <v>121162.05</v>
      </c>
      <c r="F2049" s="81">
        <v>39825.380000000005</v>
      </c>
      <c r="G2049">
        <f>tblMoeHistory[[#This Row],[LEA State and Local Amount]]+tblMoeHistory[[#This Row],[ESD State and Local Amount]]</f>
        <v>160987.43</v>
      </c>
      <c r="I2049" t="s">
        <v>241</v>
      </c>
      <c r="J2049" s="44">
        <f>IFERROR(tblMoeHistory[[#This Row],[LEA State and Local Amount]]/tblMoeHistory[[#This Row],[Child Count]],0)</f>
        <v>7127.1794117647059</v>
      </c>
      <c r="K2049">
        <f>IFERROR(tblMoeHistory[[#This Row],[ESD State and Local Amount]]/tblMoeHistory[[#This Row],[Child Count]],0)</f>
        <v>2342.6694117647062</v>
      </c>
      <c r="L2049">
        <f>IFERROR(tblMoeHistory[[#This Row],[State and Local Total Amount]]/tblMoeHistory[[#This Row],[Child Count]],0)</f>
        <v>9469.8488235294117</v>
      </c>
      <c r="N2049" s="103" t="s">
        <v>241</v>
      </c>
      <c r="O2049">
        <v>27055.919999999998</v>
      </c>
      <c r="P2049">
        <v>1020.81</v>
      </c>
      <c r="Q2049">
        <f>tblMoeHistory[[#This Row],[Amount of IDEA Part B, Section 611 award]]+tblMoeHistory[[#This Row],[Amount of IDEA Part B, Section 619 award]]</f>
        <v>28076.73</v>
      </c>
      <c r="U20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9" t="s">
        <v>241</v>
      </c>
    </row>
    <row r="2050" spans="1:22" x14ac:dyDescent="0.35">
      <c r="A2050" t="s">
        <v>100</v>
      </c>
      <c r="B2050">
        <v>2206</v>
      </c>
      <c r="C2050" t="s">
        <v>1534</v>
      </c>
      <c r="D2050">
        <v>664</v>
      </c>
      <c r="E2050" s="81">
        <v>6080255.8299999973</v>
      </c>
      <c r="F2050">
        <v>0</v>
      </c>
      <c r="G2050">
        <f>tblMoeHistory[[#This Row],[LEA State and Local Amount]]+tblMoeHistory[[#This Row],[ESD State and Local Amount]]</f>
        <v>6080255.8299999973</v>
      </c>
      <c r="I2050" t="s">
        <v>242</v>
      </c>
      <c r="J2050" s="44">
        <f>IFERROR(tblMoeHistory[[#This Row],[LEA State and Local Amount]]/tblMoeHistory[[#This Row],[Child Count]],0)</f>
        <v>9157.0117921686706</v>
      </c>
      <c r="K2050">
        <f>IFERROR(tblMoeHistory[[#This Row],[ESD State and Local Amount]]/tblMoeHistory[[#This Row],[Child Count]],0)</f>
        <v>0</v>
      </c>
      <c r="L2050">
        <f>IFERROR(tblMoeHistory[[#This Row],[State and Local Total Amount]]/tblMoeHistory[[#This Row],[Child Count]],0)</f>
        <v>9157.0117921686706</v>
      </c>
      <c r="N2050" s="103" t="s">
        <v>241</v>
      </c>
      <c r="O2050">
        <v>1087862.01</v>
      </c>
      <c r="P2050">
        <v>25838.22</v>
      </c>
      <c r="Q2050">
        <f>tblMoeHistory[[#This Row],[Amount of IDEA Part B, Section 611 award]]+tblMoeHistory[[#This Row],[Amount of IDEA Part B, Section 619 award]]</f>
        <v>1113700.23</v>
      </c>
      <c r="U20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0" t="s">
        <v>242</v>
      </c>
    </row>
    <row r="2051" spans="1:22" x14ac:dyDescent="0.35">
      <c r="A2051" t="s">
        <v>101</v>
      </c>
      <c r="B2051">
        <v>2239</v>
      </c>
      <c r="C2051" t="s">
        <v>1534</v>
      </c>
      <c r="D2051">
        <v>3035</v>
      </c>
      <c r="E2051" s="81">
        <v>36072105.600000031</v>
      </c>
      <c r="F2051" s="81">
        <v>4314218</v>
      </c>
      <c r="G2051">
        <f>tblMoeHistory[[#This Row],[LEA State and Local Amount]]+tblMoeHistory[[#This Row],[ESD State and Local Amount]]</f>
        <v>40386323.600000031</v>
      </c>
      <c r="I2051" t="s">
        <v>242</v>
      </c>
      <c r="J2051" s="44">
        <f>IFERROR(tblMoeHistory[[#This Row],[LEA State and Local Amount]]/tblMoeHistory[[#This Row],[Child Count]],0)</f>
        <v>11885.372520593091</v>
      </c>
      <c r="K2051">
        <f>IFERROR(tblMoeHistory[[#This Row],[ESD State and Local Amount]]/tblMoeHistory[[#This Row],[Child Count]],0)</f>
        <v>1421.4886326194398</v>
      </c>
      <c r="L2051">
        <f>IFERROR(tblMoeHistory[[#This Row],[State and Local Total Amount]]/tblMoeHistory[[#This Row],[Child Count]],0)</f>
        <v>13306.861153212531</v>
      </c>
      <c r="N2051" s="103" t="s">
        <v>241</v>
      </c>
      <c r="O2051">
        <v>3889393.7899999996</v>
      </c>
      <c r="P2051">
        <v>69526.91</v>
      </c>
      <c r="Q2051">
        <f>tblMoeHistory[[#This Row],[Amount of IDEA Part B, Section 611 award]]+tblMoeHistory[[#This Row],[Amount of IDEA Part B, Section 619 award]]</f>
        <v>3958920.6999999997</v>
      </c>
      <c r="U20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1" t="s">
        <v>242</v>
      </c>
    </row>
    <row r="2052" spans="1:22" x14ac:dyDescent="0.35">
      <c r="A2052" t="s">
        <v>102</v>
      </c>
      <c r="B2052">
        <v>2024</v>
      </c>
      <c r="C2052" t="s">
        <v>1534</v>
      </c>
      <c r="D2052">
        <v>450</v>
      </c>
      <c r="E2052" s="81">
        <v>4967999.2899999954</v>
      </c>
      <c r="F2052">
        <v>0</v>
      </c>
      <c r="G2052">
        <f>tblMoeHistory[[#This Row],[LEA State and Local Amount]]+tblMoeHistory[[#This Row],[ESD State and Local Amount]]</f>
        <v>4967999.2899999954</v>
      </c>
      <c r="I2052" t="s">
        <v>241</v>
      </c>
      <c r="J2052" s="44">
        <f>IFERROR(tblMoeHistory[[#This Row],[LEA State and Local Amount]]/tblMoeHistory[[#This Row],[Child Count]],0)</f>
        <v>11039.998422222212</v>
      </c>
      <c r="K2052">
        <f>IFERROR(tblMoeHistory[[#This Row],[ESD State and Local Amount]]/tblMoeHistory[[#This Row],[Child Count]],0)</f>
        <v>0</v>
      </c>
      <c r="L2052">
        <f>IFERROR(tblMoeHistory[[#This Row],[State and Local Total Amount]]/tblMoeHistory[[#This Row],[Child Count]],0)</f>
        <v>11039.998422222212</v>
      </c>
      <c r="N2052" s="103" t="s">
        <v>241</v>
      </c>
      <c r="O2052">
        <v>802360.21</v>
      </c>
      <c r="P2052">
        <v>21517.23</v>
      </c>
      <c r="Q2052">
        <f>tblMoeHistory[[#This Row],[Amount of IDEA Part B, Section 611 award]]+tblMoeHistory[[#This Row],[Amount of IDEA Part B, Section 619 award]]</f>
        <v>823877.44</v>
      </c>
      <c r="U20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2" t="s">
        <v>241</v>
      </c>
    </row>
    <row r="2053" spans="1:22" x14ac:dyDescent="0.35">
      <c r="A2053" t="s">
        <v>103</v>
      </c>
      <c r="B2053">
        <v>1895</v>
      </c>
      <c r="C2053" t="s">
        <v>1534</v>
      </c>
      <c r="D2053">
        <v>4</v>
      </c>
      <c r="E2053" s="81">
        <v>75116.609999999986</v>
      </c>
      <c r="F2053" s="81">
        <v>54354.400000000001</v>
      </c>
      <c r="G2053">
        <f>tblMoeHistory[[#This Row],[LEA State and Local Amount]]+tblMoeHistory[[#This Row],[ESD State and Local Amount]]</f>
        <v>129471.00999999998</v>
      </c>
      <c r="I2053" t="s">
        <v>241</v>
      </c>
      <c r="J2053" s="44">
        <f>IFERROR(tblMoeHistory[[#This Row],[LEA State and Local Amount]]/tblMoeHistory[[#This Row],[Child Count]],0)</f>
        <v>18779.152499999997</v>
      </c>
      <c r="K2053">
        <f>IFERROR(tblMoeHistory[[#This Row],[ESD State and Local Amount]]/tblMoeHistory[[#This Row],[Child Count]],0)</f>
        <v>13588.6</v>
      </c>
      <c r="L2053">
        <f>IFERROR(tblMoeHistory[[#This Row],[State and Local Total Amount]]/tblMoeHistory[[#This Row],[Child Count]],0)</f>
        <v>32367.752499999995</v>
      </c>
      <c r="N2053" s="103" t="s">
        <v>241</v>
      </c>
      <c r="O2053">
        <v>20551.61</v>
      </c>
      <c r="P2053">
        <v>516.5</v>
      </c>
      <c r="Q2053">
        <f>tblMoeHistory[[#This Row],[Amount of IDEA Part B, Section 611 award]]+tblMoeHistory[[#This Row],[Amount of IDEA Part B, Section 619 award]]</f>
        <v>21068.11</v>
      </c>
      <c r="U20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3" t="s">
        <v>241</v>
      </c>
    </row>
    <row r="2054" spans="1:22" x14ac:dyDescent="0.35">
      <c r="A2054" t="s">
        <v>104</v>
      </c>
      <c r="B2054">
        <v>2215</v>
      </c>
      <c r="C2054" t="s">
        <v>1534</v>
      </c>
      <c r="D2054">
        <v>34</v>
      </c>
      <c r="E2054" s="81">
        <v>179952.71000000002</v>
      </c>
      <c r="F2054" s="81">
        <v>74457.119999999995</v>
      </c>
      <c r="G2054">
        <f>tblMoeHistory[[#This Row],[LEA State and Local Amount]]+tblMoeHistory[[#This Row],[ESD State and Local Amount]]</f>
        <v>254409.83000000002</v>
      </c>
      <c r="I2054" t="s">
        <v>242</v>
      </c>
      <c r="J2054" s="44">
        <f>IFERROR(tblMoeHistory[[#This Row],[LEA State and Local Amount]]/tblMoeHistory[[#This Row],[Child Count]],0)</f>
        <v>5292.7267647058834</v>
      </c>
      <c r="K2054">
        <f>IFERROR(tblMoeHistory[[#This Row],[ESD State and Local Amount]]/tblMoeHistory[[#This Row],[Child Count]],0)</f>
        <v>2189.9152941176471</v>
      </c>
      <c r="L2054">
        <f>IFERROR(tblMoeHistory[[#This Row],[State and Local Total Amount]]/tblMoeHistory[[#This Row],[Child Count]],0)</f>
        <v>7482.6420588235296</v>
      </c>
      <c r="N2054" s="103" t="s">
        <v>241</v>
      </c>
      <c r="O2054">
        <v>77933.91</v>
      </c>
      <c r="P2054">
        <v>583.61999999999989</v>
      </c>
      <c r="Q2054">
        <f>tblMoeHistory[[#This Row],[Amount of IDEA Part B, Section 611 award]]+tblMoeHistory[[#This Row],[Amount of IDEA Part B, Section 619 award]]</f>
        <v>78517.53</v>
      </c>
      <c r="U20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4" t="s">
        <v>242</v>
      </c>
    </row>
    <row r="2055" spans="1:22" x14ac:dyDescent="0.35">
      <c r="A2055" t="s">
        <v>105</v>
      </c>
      <c r="B2055">
        <v>3997</v>
      </c>
      <c r="C2055" t="s">
        <v>1534</v>
      </c>
      <c r="D2055">
        <v>28</v>
      </c>
      <c r="E2055" s="81">
        <v>188501.08</v>
      </c>
      <c r="F2055" s="81">
        <v>53904.38</v>
      </c>
      <c r="G2055">
        <f>tblMoeHistory[[#This Row],[LEA State and Local Amount]]+tblMoeHistory[[#This Row],[ESD State and Local Amount]]</f>
        <v>242405.46</v>
      </c>
      <c r="I2055" t="s">
        <v>241</v>
      </c>
      <c r="J2055" s="44">
        <f>IFERROR(tblMoeHistory[[#This Row],[LEA State and Local Amount]]/tblMoeHistory[[#This Row],[Child Count]],0)</f>
        <v>6732.1814285714281</v>
      </c>
      <c r="K2055">
        <f>IFERROR(tblMoeHistory[[#This Row],[ESD State and Local Amount]]/tblMoeHistory[[#This Row],[Child Count]],0)</f>
        <v>1925.1564285714285</v>
      </c>
      <c r="L2055">
        <f>IFERROR(tblMoeHistory[[#This Row],[State and Local Total Amount]]/tblMoeHistory[[#This Row],[Child Count]],0)</f>
        <v>8657.3378571428566</v>
      </c>
      <c r="N2055" s="103" t="s">
        <v>241</v>
      </c>
      <c r="O2055">
        <v>31549.280000000002</v>
      </c>
      <c r="P2055">
        <v>561.69000000000005</v>
      </c>
      <c r="Q2055">
        <f>tblMoeHistory[[#This Row],[Amount of IDEA Part B, Section 611 award]]+tblMoeHistory[[#This Row],[Amount of IDEA Part B, Section 619 award]]</f>
        <v>32110.97</v>
      </c>
      <c r="U20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5" t="s">
        <v>241</v>
      </c>
    </row>
    <row r="2056" spans="1:22" x14ac:dyDescent="0.35">
      <c r="A2056" t="s">
        <v>106</v>
      </c>
      <c r="B2056">
        <v>2053</v>
      </c>
      <c r="C2056" t="s">
        <v>1534</v>
      </c>
      <c r="D2056">
        <v>492</v>
      </c>
      <c r="E2056" s="81">
        <v>4664367</v>
      </c>
      <c r="F2056" s="81">
        <v>1249268.28</v>
      </c>
      <c r="G2056">
        <f>tblMoeHistory[[#This Row],[LEA State and Local Amount]]+tblMoeHistory[[#This Row],[ESD State and Local Amount]]</f>
        <v>5913635.2800000003</v>
      </c>
      <c r="I2056" t="s">
        <v>242</v>
      </c>
      <c r="J2056" s="44">
        <f>IFERROR(tblMoeHistory[[#This Row],[LEA State and Local Amount]]/tblMoeHistory[[#This Row],[Child Count]],0)</f>
        <v>9480.4207317073178</v>
      </c>
      <c r="K2056">
        <f>IFERROR(tblMoeHistory[[#This Row],[ESD State and Local Amount]]/tblMoeHistory[[#This Row],[Child Count]],0)</f>
        <v>2539.1631707317074</v>
      </c>
      <c r="L2056">
        <f>IFERROR(tblMoeHistory[[#This Row],[State and Local Total Amount]]/tblMoeHistory[[#This Row],[Child Count]],0)</f>
        <v>12019.583902439024</v>
      </c>
      <c r="N2056" s="103" t="s">
        <v>241</v>
      </c>
      <c r="O2056">
        <v>643499.07999999996</v>
      </c>
      <c r="P2056">
        <v>38772.93</v>
      </c>
      <c r="Q2056">
        <f>tblMoeHistory[[#This Row],[Amount of IDEA Part B, Section 611 award]]+tblMoeHistory[[#This Row],[Amount of IDEA Part B, Section 619 award]]</f>
        <v>682272.01</v>
      </c>
      <c r="U20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6" t="s">
        <v>242</v>
      </c>
    </row>
    <row r="2057" spans="1:22" x14ac:dyDescent="0.35">
      <c r="A2057" t="s">
        <v>107</v>
      </c>
      <c r="B2057">
        <v>2140</v>
      </c>
      <c r="C2057" t="s">
        <v>1534</v>
      </c>
      <c r="D2057">
        <v>122</v>
      </c>
      <c r="E2057" s="81">
        <v>1215932.8200000005</v>
      </c>
      <c r="F2057" s="81">
        <v>176718.16</v>
      </c>
      <c r="G2057">
        <f>tblMoeHistory[[#This Row],[LEA State and Local Amount]]+tblMoeHistory[[#This Row],[ESD State and Local Amount]]</f>
        <v>1392650.9800000004</v>
      </c>
      <c r="I2057" t="s">
        <v>241</v>
      </c>
      <c r="J2057" s="44">
        <f>IFERROR(tblMoeHistory[[#This Row],[LEA State and Local Amount]]/tblMoeHistory[[#This Row],[Child Count]],0)</f>
        <v>9966.6624590163974</v>
      </c>
      <c r="K2057">
        <f>IFERROR(tblMoeHistory[[#This Row],[ESD State and Local Amount]]/tblMoeHistory[[#This Row],[Child Count]],0)</f>
        <v>1448.5095081967213</v>
      </c>
      <c r="L2057">
        <f>IFERROR(tblMoeHistory[[#This Row],[State and Local Total Amount]]/tblMoeHistory[[#This Row],[Child Count]],0)</f>
        <v>11415.171967213118</v>
      </c>
      <c r="N2057" s="103" t="s">
        <v>241</v>
      </c>
      <c r="O2057">
        <v>176744.28</v>
      </c>
      <c r="P2057">
        <v>2709.95</v>
      </c>
      <c r="Q2057">
        <f>tblMoeHistory[[#This Row],[Amount of IDEA Part B, Section 611 award]]+tblMoeHistory[[#This Row],[Amount of IDEA Part B, Section 619 award]]</f>
        <v>179454.23</v>
      </c>
      <c r="U20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7" t="s">
        <v>241</v>
      </c>
    </row>
    <row r="2058" spans="1:22" x14ac:dyDescent="0.35">
      <c r="A2058" t="s">
        <v>108</v>
      </c>
      <c r="B2058">
        <v>1934</v>
      </c>
      <c r="C2058" t="s">
        <v>1534</v>
      </c>
      <c r="D2058">
        <v>21</v>
      </c>
      <c r="E2058" s="81">
        <v>372541.18000000005</v>
      </c>
      <c r="F2058" s="81">
        <v>63591</v>
      </c>
      <c r="G2058">
        <f>tblMoeHistory[[#This Row],[LEA State and Local Amount]]+tblMoeHistory[[#This Row],[ESD State and Local Amount]]</f>
        <v>436132.18000000005</v>
      </c>
      <c r="I2058" t="s">
        <v>241</v>
      </c>
      <c r="J2058" s="44">
        <f>IFERROR(tblMoeHistory[[#This Row],[LEA State and Local Amount]]/tblMoeHistory[[#This Row],[Child Count]],0)</f>
        <v>17740.056190476193</v>
      </c>
      <c r="K2058">
        <f>IFERROR(tblMoeHistory[[#This Row],[ESD State and Local Amount]]/tblMoeHistory[[#This Row],[Child Count]],0)</f>
        <v>3028.1428571428573</v>
      </c>
      <c r="L2058">
        <f>IFERROR(tblMoeHistory[[#This Row],[State and Local Total Amount]]/tblMoeHistory[[#This Row],[Child Count]],0)</f>
        <v>20768.199047619051</v>
      </c>
      <c r="N2058" s="103" t="s">
        <v>241</v>
      </c>
      <c r="O2058">
        <v>28676.120000000003</v>
      </c>
      <c r="P2058">
        <v>1032.8499999999999</v>
      </c>
      <c r="Q2058">
        <f>tblMoeHistory[[#This Row],[Amount of IDEA Part B, Section 611 award]]+tblMoeHistory[[#This Row],[Amount of IDEA Part B, Section 619 award]]</f>
        <v>29708.97</v>
      </c>
      <c r="U20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8" t="s">
        <v>241</v>
      </c>
    </row>
    <row r="2059" spans="1:22" x14ac:dyDescent="0.35">
      <c r="A2059" t="s">
        <v>109</v>
      </c>
      <c r="B2059">
        <v>2008</v>
      </c>
      <c r="C2059" t="s">
        <v>1534</v>
      </c>
      <c r="D2059">
        <v>89</v>
      </c>
      <c r="E2059" s="81">
        <v>934341.21999999974</v>
      </c>
      <c r="F2059" s="81">
        <v>185535.03</v>
      </c>
      <c r="G2059">
        <f>tblMoeHistory[[#This Row],[LEA State and Local Amount]]+tblMoeHistory[[#This Row],[ESD State and Local Amount]]</f>
        <v>1119876.2499999998</v>
      </c>
      <c r="I2059" t="s">
        <v>241</v>
      </c>
      <c r="J2059" s="44">
        <f>IFERROR(tblMoeHistory[[#This Row],[LEA State and Local Amount]]/tblMoeHistory[[#This Row],[Child Count]],0)</f>
        <v>10498.215955056177</v>
      </c>
      <c r="K2059">
        <f>IFERROR(tblMoeHistory[[#This Row],[ESD State and Local Amount]]/tblMoeHistory[[#This Row],[Child Count]],0)</f>
        <v>2084.6632584269664</v>
      </c>
      <c r="L2059">
        <f>IFERROR(tblMoeHistory[[#This Row],[State and Local Total Amount]]/tblMoeHistory[[#This Row],[Child Count]],0)</f>
        <v>12582.879213483144</v>
      </c>
      <c r="N2059" s="103" t="s">
        <v>2140</v>
      </c>
      <c r="O2059">
        <v>172038.63999999998</v>
      </c>
      <c r="P2059">
        <v>5540.83</v>
      </c>
      <c r="Q2059">
        <f>tblMoeHistory[[#This Row],[Amount of IDEA Part B, Section 611 award]]+tblMoeHistory[[#This Row],[Amount of IDEA Part B, Section 619 award]]</f>
        <v>177579.46999999997</v>
      </c>
      <c r="U20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9" t="s">
        <v>241</v>
      </c>
    </row>
    <row r="2060" spans="1:22" x14ac:dyDescent="0.35">
      <c r="A2060" t="s">
        <v>110</v>
      </c>
      <c r="B2060">
        <v>2107</v>
      </c>
      <c r="C2060" t="s">
        <v>1534</v>
      </c>
      <c r="D2060">
        <v>4</v>
      </c>
      <c r="E2060" s="81">
        <v>36825.4</v>
      </c>
      <c r="F2060" s="81">
        <v>79504.890000000014</v>
      </c>
      <c r="G2060">
        <f>tblMoeHistory[[#This Row],[LEA State and Local Amount]]+tblMoeHistory[[#This Row],[ESD State and Local Amount]]</f>
        <v>116330.29000000001</v>
      </c>
      <c r="I2060" t="s">
        <v>241</v>
      </c>
      <c r="J2060" s="44">
        <f>IFERROR(tblMoeHistory[[#This Row],[LEA State and Local Amount]]/tblMoeHistory[[#This Row],[Child Count]],0)</f>
        <v>9206.35</v>
      </c>
      <c r="K2060">
        <f>IFERROR(tblMoeHistory[[#This Row],[ESD State and Local Amount]]/tblMoeHistory[[#This Row],[Child Count]],0)</f>
        <v>19876.222500000003</v>
      </c>
      <c r="L2060">
        <f>IFERROR(tblMoeHistory[[#This Row],[State and Local Total Amount]]/tblMoeHistory[[#This Row],[Child Count]],0)</f>
        <v>29082.572500000002</v>
      </c>
      <c r="N2060" s="103" t="s">
        <v>2140</v>
      </c>
      <c r="O2060">
        <v>17261.41</v>
      </c>
      <c r="P2060">
        <v>504.05</v>
      </c>
      <c r="Q2060">
        <f>tblMoeHistory[[#This Row],[Amount of IDEA Part B, Section 611 award]]+tblMoeHistory[[#This Row],[Amount of IDEA Part B, Section 619 award]]</f>
        <v>17765.46</v>
      </c>
      <c r="U20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0" t="s">
        <v>241</v>
      </c>
    </row>
    <row r="2061" spans="1:22" x14ac:dyDescent="0.35">
      <c r="A2061" t="s">
        <v>111</v>
      </c>
      <c r="B2061">
        <v>2219</v>
      </c>
      <c r="C2061" t="s">
        <v>1534</v>
      </c>
      <c r="D2061">
        <v>31</v>
      </c>
      <c r="E2061" s="81">
        <v>103902.25</v>
      </c>
      <c r="F2061" s="81">
        <v>166173.84</v>
      </c>
      <c r="G2061">
        <f>tblMoeHistory[[#This Row],[LEA State and Local Amount]]+tblMoeHistory[[#This Row],[ESD State and Local Amount]]</f>
        <v>270076.08999999997</v>
      </c>
      <c r="I2061" t="s">
        <v>242</v>
      </c>
      <c r="J2061" s="44">
        <f>IFERROR(tblMoeHistory[[#This Row],[LEA State and Local Amount]]/tblMoeHistory[[#This Row],[Child Count]],0)</f>
        <v>3351.6854838709678</v>
      </c>
      <c r="K2061">
        <f>IFERROR(tblMoeHistory[[#This Row],[ESD State and Local Amount]]/tblMoeHistory[[#This Row],[Child Count]],0)</f>
        <v>5360.4464516129028</v>
      </c>
      <c r="L2061">
        <f>IFERROR(tblMoeHistory[[#This Row],[State and Local Total Amount]]/tblMoeHistory[[#This Row],[Child Count]],0)</f>
        <v>8712.1319354838706</v>
      </c>
      <c r="N2061" s="103" t="s">
        <v>242</v>
      </c>
      <c r="O2061">
        <v>69906.590000000011</v>
      </c>
      <c r="P2061">
        <v>2505.81</v>
      </c>
      <c r="Q2061">
        <f>tblMoeHistory[[#This Row],[Amount of IDEA Part B, Section 611 award]]+tblMoeHistory[[#This Row],[Amount of IDEA Part B, Section 619 award]]</f>
        <v>72412.400000000009</v>
      </c>
      <c r="U20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1" t="s">
        <v>242</v>
      </c>
    </row>
    <row r="2062" spans="1:22" x14ac:dyDescent="0.35">
      <c r="A2062" t="s">
        <v>112</v>
      </c>
      <c r="B2062">
        <v>2091</v>
      </c>
      <c r="C2062" t="s">
        <v>1534</v>
      </c>
      <c r="D2062">
        <v>246</v>
      </c>
      <c r="E2062" s="81">
        <v>1601513.6899999997</v>
      </c>
      <c r="F2062" s="81">
        <v>600741</v>
      </c>
      <c r="G2062">
        <f>tblMoeHistory[[#This Row],[LEA State and Local Amount]]+tblMoeHistory[[#This Row],[ESD State and Local Amount]]</f>
        <v>2202254.6899999995</v>
      </c>
      <c r="I2062" t="s">
        <v>242</v>
      </c>
      <c r="J2062" s="44">
        <f>IFERROR(tblMoeHistory[[#This Row],[LEA State and Local Amount]]/tblMoeHistory[[#This Row],[Child Count]],0)</f>
        <v>6510.2182520325196</v>
      </c>
      <c r="K2062">
        <f>IFERROR(tblMoeHistory[[#This Row],[ESD State and Local Amount]]/tblMoeHistory[[#This Row],[Child Count]],0)</f>
        <v>2442.0365853658536</v>
      </c>
      <c r="L2062">
        <f>IFERROR(tblMoeHistory[[#This Row],[State and Local Total Amount]]/tblMoeHistory[[#This Row],[Child Count]],0)</f>
        <v>8952.2548373983718</v>
      </c>
      <c r="N2062" s="103" t="s">
        <v>2140</v>
      </c>
      <c r="O2062">
        <v>396627.88</v>
      </c>
      <c r="P2062">
        <v>14252.45</v>
      </c>
      <c r="Q2062">
        <f>tblMoeHistory[[#This Row],[Amount of IDEA Part B, Section 611 award]]+tblMoeHistory[[#This Row],[Amount of IDEA Part B, Section 619 award]]</f>
        <v>410880.33</v>
      </c>
      <c r="U20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2" t="s">
        <v>242</v>
      </c>
    </row>
    <row r="2063" spans="1:22" x14ac:dyDescent="0.35">
      <c r="A2063" t="s">
        <v>113</v>
      </c>
      <c r="B2063">
        <v>2109</v>
      </c>
      <c r="C2063" t="s">
        <v>1534</v>
      </c>
      <c r="D2063">
        <v>2</v>
      </c>
      <c r="E2063">
        <v>0</v>
      </c>
      <c r="F2063" s="81">
        <v>10982</v>
      </c>
      <c r="G2063">
        <f>tblMoeHistory[[#This Row],[LEA State and Local Amount]]+tblMoeHistory[[#This Row],[ESD State and Local Amount]]</f>
        <v>10982</v>
      </c>
      <c r="I2063" t="s">
        <v>241</v>
      </c>
      <c r="J2063" s="44">
        <f>IFERROR(tblMoeHistory[[#This Row],[LEA State and Local Amount]]/tblMoeHistory[[#This Row],[Child Count]],0)</f>
        <v>0</v>
      </c>
      <c r="K2063">
        <f>IFERROR(tblMoeHistory[[#This Row],[ESD State and Local Amount]]/tblMoeHistory[[#This Row],[Child Count]],0)</f>
        <v>5491</v>
      </c>
      <c r="L2063">
        <f>IFERROR(tblMoeHistory[[#This Row],[State and Local Total Amount]]/tblMoeHistory[[#This Row],[Child Count]],0)</f>
        <v>5491</v>
      </c>
      <c r="N2063" s="103" t="s">
        <v>2140</v>
      </c>
      <c r="O2063">
        <v>1324.65</v>
      </c>
      <c r="P2063">
        <v>1.04</v>
      </c>
      <c r="Q2063">
        <f>tblMoeHistory[[#This Row],[Amount of IDEA Part B, Section 611 award]]+tblMoeHistory[[#This Row],[Amount of IDEA Part B, Section 619 award]]</f>
        <v>1325.69</v>
      </c>
      <c r="U20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3" t="s">
        <v>241</v>
      </c>
    </row>
    <row r="2064" spans="1:22" x14ac:dyDescent="0.35">
      <c r="A2064" t="s">
        <v>114</v>
      </c>
      <c r="B2064">
        <v>2057</v>
      </c>
      <c r="C2064" t="s">
        <v>1534</v>
      </c>
      <c r="D2064">
        <v>969</v>
      </c>
      <c r="E2064" s="81">
        <v>8568087.209999999</v>
      </c>
      <c r="F2064" s="81">
        <v>253298.42</v>
      </c>
      <c r="G2064">
        <f>tblMoeHistory[[#This Row],[LEA State and Local Amount]]+tblMoeHistory[[#This Row],[ESD State and Local Amount]]</f>
        <v>8821385.629999999</v>
      </c>
      <c r="I2064" t="s">
        <v>241</v>
      </c>
      <c r="J2064" s="44">
        <f>IFERROR(tblMoeHistory[[#This Row],[LEA State and Local Amount]]/tblMoeHistory[[#This Row],[Child Count]],0)</f>
        <v>8842.1952631578934</v>
      </c>
      <c r="K2064">
        <f>IFERROR(tblMoeHistory[[#This Row],[ESD State and Local Amount]]/tblMoeHistory[[#This Row],[Child Count]],0)</f>
        <v>261.40187822497421</v>
      </c>
      <c r="L2064">
        <f>IFERROR(tblMoeHistory[[#This Row],[State and Local Total Amount]]/tblMoeHistory[[#This Row],[Child Count]],0)</f>
        <v>9103.5971413828684</v>
      </c>
      <c r="N2064" s="103" t="s">
        <v>241</v>
      </c>
      <c r="O2064">
        <v>1574418.44</v>
      </c>
      <c r="P2064">
        <v>35546.97</v>
      </c>
      <c r="Q2064">
        <f>tblMoeHistory[[#This Row],[Amount of IDEA Part B, Section 611 award]]+tblMoeHistory[[#This Row],[Amount of IDEA Part B, Section 619 award]]</f>
        <v>1609965.41</v>
      </c>
      <c r="U20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4" t="s">
        <v>241</v>
      </c>
    </row>
    <row r="2065" spans="1:22" x14ac:dyDescent="0.35">
      <c r="A2065" t="s">
        <v>115</v>
      </c>
      <c r="B2065">
        <v>2056</v>
      </c>
      <c r="C2065" t="s">
        <v>1534</v>
      </c>
      <c r="D2065">
        <v>445</v>
      </c>
      <c r="E2065" s="81">
        <v>3361796.1</v>
      </c>
      <c r="F2065" s="81">
        <v>232617.83</v>
      </c>
      <c r="G2065">
        <f>tblMoeHistory[[#This Row],[LEA State and Local Amount]]+tblMoeHistory[[#This Row],[ESD State and Local Amount]]</f>
        <v>3594413.93</v>
      </c>
      <c r="I2065" t="s">
        <v>241</v>
      </c>
      <c r="J2065" s="44">
        <f>IFERROR(tblMoeHistory[[#This Row],[LEA State and Local Amount]]/tblMoeHistory[[#This Row],[Child Count]],0)</f>
        <v>7554.5979775280903</v>
      </c>
      <c r="K2065">
        <f>IFERROR(tblMoeHistory[[#This Row],[ESD State and Local Amount]]/tblMoeHistory[[#This Row],[Child Count]],0)</f>
        <v>522.7366966292135</v>
      </c>
      <c r="L2065">
        <f>IFERROR(tblMoeHistory[[#This Row],[State and Local Total Amount]]/tblMoeHistory[[#This Row],[Child Count]],0)</f>
        <v>8077.3346741573041</v>
      </c>
      <c r="N2065" s="103" t="s">
        <v>241</v>
      </c>
      <c r="O2065">
        <v>864116.52</v>
      </c>
      <c r="P2065">
        <v>25265.89</v>
      </c>
      <c r="Q2065">
        <f>tblMoeHistory[[#This Row],[Amount of IDEA Part B, Section 611 award]]+tblMoeHistory[[#This Row],[Amount of IDEA Part B, Section 619 award]]</f>
        <v>889382.41</v>
      </c>
      <c r="U20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5" t="s">
        <v>241</v>
      </c>
    </row>
    <row r="2066" spans="1:22" x14ac:dyDescent="0.35">
      <c r="A2066" t="s">
        <v>116</v>
      </c>
      <c r="B2066">
        <v>2262</v>
      </c>
      <c r="C2066" t="s">
        <v>1534</v>
      </c>
      <c r="D2066">
        <v>88</v>
      </c>
      <c r="E2066" s="81">
        <v>846464.69</v>
      </c>
      <c r="F2066" s="81">
        <v>69159</v>
      </c>
      <c r="G2066">
        <f>tblMoeHistory[[#This Row],[LEA State and Local Amount]]+tblMoeHistory[[#This Row],[ESD State and Local Amount]]</f>
        <v>915623.69</v>
      </c>
      <c r="I2066" t="s">
        <v>241</v>
      </c>
      <c r="J2066" s="44">
        <f>IFERROR(tblMoeHistory[[#This Row],[LEA State and Local Amount]]/tblMoeHistory[[#This Row],[Child Count]],0)</f>
        <v>9618.9169318181812</v>
      </c>
      <c r="K2066">
        <f>IFERROR(tblMoeHistory[[#This Row],[ESD State and Local Amount]]/tblMoeHistory[[#This Row],[Child Count]],0)</f>
        <v>785.89772727272725</v>
      </c>
      <c r="L2066">
        <f>IFERROR(tblMoeHistory[[#This Row],[State and Local Total Amount]]/tblMoeHistory[[#This Row],[Child Count]],0)</f>
        <v>10404.814659090909</v>
      </c>
      <c r="N2066" s="103" t="s">
        <v>241</v>
      </c>
      <c r="O2066">
        <v>97778.950000000012</v>
      </c>
      <c r="P2066">
        <v>3587.34</v>
      </c>
      <c r="Q2066">
        <f>tblMoeHistory[[#This Row],[Amount of IDEA Part B, Section 611 award]]+tblMoeHistory[[#This Row],[Amount of IDEA Part B, Section 619 award]]</f>
        <v>101366.29000000001</v>
      </c>
      <c r="U20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6" t="s">
        <v>241</v>
      </c>
    </row>
    <row r="2067" spans="1:22" x14ac:dyDescent="0.35">
      <c r="A2067" t="s">
        <v>117</v>
      </c>
      <c r="B2067">
        <v>2212</v>
      </c>
      <c r="C2067" t="s">
        <v>1534</v>
      </c>
      <c r="D2067">
        <v>382</v>
      </c>
      <c r="E2067" s="81">
        <v>3388490.9500000011</v>
      </c>
      <c r="F2067" s="81">
        <v>727333.47</v>
      </c>
      <c r="G2067">
        <f>tblMoeHistory[[#This Row],[LEA State and Local Amount]]+tblMoeHistory[[#This Row],[ESD State and Local Amount]]</f>
        <v>4115824.4200000009</v>
      </c>
      <c r="I2067" t="s">
        <v>241</v>
      </c>
      <c r="J2067" s="44">
        <f>IFERROR(tblMoeHistory[[#This Row],[LEA State and Local Amount]]/tblMoeHistory[[#This Row],[Child Count]],0)</f>
        <v>8870.3951570680656</v>
      </c>
      <c r="K2067">
        <f>IFERROR(tblMoeHistory[[#This Row],[ESD State and Local Amount]]/tblMoeHistory[[#This Row],[Child Count]],0)</f>
        <v>1904.0143193717277</v>
      </c>
      <c r="L2067">
        <f>IFERROR(tblMoeHistory[[#This Row],[State and Local Total Amount]]/tblMoeHistory[[#This Row],[Child Count]],0)</f>
        <v>10774.409476439792</v>
      </c>
      <c r="N2067" s="103" t="s">
        <v>241</v>
      </c>
      <c r="O2067">
        <v>579697.14</v>
      </c>
      <c r="P2067">
        <v>9605.5999999999985</v>
      </c>
      <c r="Q2067">
        <f>tblMoeHistory[[#This Row],[Amount of IDEA Part B, Section 611 award]]+tblMoeHistory[[#This Row],[Amount of IDEA Part B, Section 619 award]]</f>
        <v>589302.74</v>
      </c>
      <c r="U20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7" t="s">
        <v>241</v>
      </c>
    </row>
    <row r="2068" spans="1:22" x14ac:dyDescent="0.35">
      <c r="A2068" t="s">
        <v>118</v>
      </c>
      <c r="B2068">
        <v>2059</v>
      </c>
      <c r="C2068" t="s">
        <v>1534</v>
      </c>
      <c r="D2068">
        <v>100</v>
      </c>
      <c r="E2068" s="81">
        <v>774044.34000000043</v>
      </c>
      <c r="F2068" s="81">
        <v>290351.42</v>
      </c>
      <c r="G2068">
        <f>tblMoeHistory[[#This Row],[LEA State and Local Amount]]+tblMoeHistory[[#This Row],[ESD State and Local Amount]]</f>
        <v>1064395.7600000005</v>
      </c>
      <c r="I2068" t="s">
        <v>242</v>
      </c>
      <c r="J2068" s="44">
        <f>IFERROR(tblMoeHistory[[#This Row],[LEA State and Local Amount]]/tblMoeHistory[[#This Row],[Child Count]],0)</f>
        <v>7740.4434000000047</v>
      </c>
      <c r="K2068">
        <f>IFERROR(tblMoeHistory[[#This Row],[ESD State and Local Amount]]/tblMoeHistory[[#This Row],[Child Count]],0)</f>
        <v>2903.5141999999996</v>
      </c>
      <c r="L2068">
        <f>IFERROR(tblMoeHistory[[#This Row],[State and Local Total Amount]]/tblMoeHistory[[#This Row],[Child Count]],0)</f>
        <v>10643.957600000005</v>
      </c>
      <c r="N2068" s="103" t="s">
        <v>2140</v>
      </c>
      <c r="O2068">
        <v>160606.07000000004</v>
      </c>
      <c r="P2068">
        <v>6156.02</v>
      </c>
      <c r="Q2068">
        <f>tblMoeHistory[[#This Row],[Amount of IDEA Part B, Section 611 award]]+tblMoeHistory[[#This Row],[Amount of IDEA Part B, Section 619 award]]</f>
        <v>166762.09000000003</v>
      </c>
      <c r="U20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8" t="s">
        <v>242</v>
      </c>
    </row>
    <row r="2069" spans="1:22" x14ac:dyDescent="0.35">
      <c r="A2069" t="s">
        <v>119</v>
      </c>
      <c r="B2069">
        <v>1923</v>
      </c>
      <c r="C2069" t="s">
        <v>1534</v>
      </c>
      <c r="D2069">
        <v>692</v>
      </c>
      <c r="E2069" s="81">
        <v>13647680.549999995</v>
      </c>
      <c r="F2069" s="81">
        <v>214028</v>
      </c>
      <c r="G2069">
        <f>tblMoeHistory[[#This Row],[LEA State and Local Amount]]+tblMoeHistory[[#This Row],[ESD State and Local Amount]]</f>
        <v>13861708.549999995</v>
      </c>
      <c r="I2069" t="s">
        <v>242</v>
      </c>
      <c r="J2069" s="44">
        <f>IFERROR(tblMoeHistory[[#This Row],[LEA State and Local Amount]]/tblMoeHistory[[#This Row],[Child Count]],0)</f>
        <v>19722.081719653172</v>
      </c>
      <c r="K2069">
        <f>IFERROR(tblMoeHistory[[#This Row],[ESD State and Local Amount]]/tblMoeHistory[[#This Row],[Child Count]],0)</f>
        <v>309.28901734104045</v>
      </c>
      <c r="L2069">
        <f>IFERROR(tblMoeHistory[[#This Row],[State and Local Total Amount]]/tblMoeHistory[[#This Row],[Child Count]],0)</f>
        <v>20031.370736994213</v>
      </c>
      <c r="N2069" s="103" t="s">
        <v>242</v>
      </c>
      <c r="O2069">
        <v>1466023.53</v>
      </c>
      <c r="P2069">
        <v>17561.919999999998</v>
      </c>
      <c r="Q2069">
        <f>tblMoeHistory[[#This Row],[Amount of IDEA Part B, Section 611 award]]+tblMoeHistory[[#This Row],[Amount of IDEA Part B, Section 619 award]]</f>
        <v>1483585.45</v>
      </c>
      <c r="U20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9" t="s">
        <v>242</v>
      </c>
    </row>
    <row r="2070" spans="1:22" x14ac:dyDescent="0.35">
      <c r="A2070" t="s">
        <v>120</v>
      </c>
      <c r="B2070">
        <v>2101</v>
      </c>
      <c r="C2070" t="s">
        <v>1534</v>
      </c>
      <c r="D2070">
        <v>591</v>
      </c>
      <c r="E2070" s="81">
        <v>6279791.2799999984</v>
      </c>
      <c r="F2070" s="81">
        <v>824246</v>
      </c>
      <c r="G2070">
        <f>tblMoeHistory[[#This Row],[LEA State and Local Amount]]+tblMoeHistory[[#This Row],[ESD State and Local Amount]]</f>
        <v>7104037.2799999984</v>
      </c>
      <c r="I2070" t="s">
        <v>242</v>
      </c>
      <c r="J2070" s="44">
        <f>IFERROR(tblMoeHistory[[#This Row],[LEA State and Local Amount]]/tblMoeHistory[[#This Row],[Child Count]],0)</f>
        <v>10625.70436548223</v>
      </c>
      <c r="K2070">
        <f>IFERROR(tblMoeHistory[[#This Row],[ESD State and Local Amount]]/tblMoeHistory[[#This Row],[Child Count]],0)</f>
        <v>1394.6632825719121</v>
      </c>
      <c r="L2070">
        <f>IFERROR(tblMoeHistory[[#This Row],[State and Local Total Amount]]/tblMoeHistory[[#This Row],[Child Count]],0)</f>
        <v>12020.367648054144</v>
      </c>
      <c r="N2070" s="103" t="s">
        <v>241</v>
      </c>
      <c r="O2070">
        <v>958730.03</v>
      </c>
      <c r="P2070">
        <v>13558.98</v>
      </c>
      <c r="Q2070">
        <f>tblMoeHistory[[#This Row],[Amount of IDEA Part B, Section 611 award]]+tblMoeHistory[[#This Row],[Amount of IDEA Part B, Section 619 award]]</f>
        <v>972289.01</v>
      </c>
      <c r="U20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0" t="s">
        <v>242</v>
      </c>
    </row>
    <row r="2071" spans="1:22" x14ac:dyDescent="0.35">
      <c r="A2071" t="s">
        <v>121</v>
      </c>
      <c r="B2071">
        <v>2097</v>
      </c>
      <c r="C2071" t="s">
        <v>1534</v>
      </c>
      <c r="D2071">
        <v>752</v>
      </c>
      <c r="E2071" s="81">
        <v>7711711.2800000031</v>
      </c>
      <c r="F2071" s="81">
        <v>1102723</v>
      </c>
      <c r="G2071">
        <f>tblMoeHistory[[#This Row],[LEA State and Local Amount]]+tblMoeHistory[[#This Row],[ESD State and Local Amount]]</f>
        <v>8814434.2800000031</v>
      </c>
      <c r="I2071" t="s">
        <v>241</v>
      </c>
      <c r="J2071" s="44">
        <f>IFERROR(tblMoeHistory[[#This Row],[LEA State and Local Amount]]/tblMoeHistory[[#This Row],[Child Count]],0)</f>
        <v>10254.935212765962</v>
      </c>
      <c r="K2071">
        <f>IFERROR(tblMoeHistory[[#This Row],[ESD State and Local Amount]]/tblMoeHistory[[#This Row],[Child Count]],0)</f>
        <v>1466.3869680851064</v>
      </c>
      <c r="L2071">
        <f>IFERROR(tblMoeHistory[[#This Row],[State and Local Total Amount]]/tblMoeHistory[[#This Row],[Child Count]],0)</f>
        <v>11721.322180851068</v>
      </c>
      <c r="N2071" s="103" t="s">
        <v>241</v>
      </c>
      <c r="O2071">
        <v>1362976.96</v>
      </c>
      <c r="P2071">
        <v>53491.570000000007</v>
      </c>
      <c r="Q2071">
        <f>tblMoeHistory[[#This Row],[Amount of IDEA Part B, Section 611 award]]+tblMoeHistory[[#This Row],[Amount of IDEA Part B, Section 619 award]]</f>
        <v>1416468.53</v>
      </c>
      <c r="U20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1" t="s">
        <v>241</v>
      </c>
    </row>
    <row r="2072" spans="1:22" x14ac:dyDescent="0.35">
      <c r="A2072" t="s">
        <v>122</v>
      </c>
      <c r="B2072">
        <v>2012</v>
      </c>
      <c r="C2072" t="s">
        <v>1534</v>
      </c>
      <c r="D2072">
        <v>3</v>
      </c>
      <c r="E2072" s="81">
        <v>11240.8</v>
      </c>
      <c r="F2072" s="81">
        <v>63887.8</v>
      </c>
      <c r="G2072">
        <f>tblMoeHistory[[#This Row],[LEA State and Local Amount]]+tblMoeHistory[[#This Row],[ESD State and Local Amount]]</f>
        <v>75128.600000000006</v>
      </c>
      <c r="I2072" t="s">
        <v>241</v>
      </c>
      <c r="J2072" s="44">
        <f>IFERROR(tblMoeHistory[[#This Row],[LEA State and Local Amount]]/tblMoeHistory[[#This Row],[Child Count]],0)</f>
        <v>3746.9333333333329</v>
      </c>
      <c r="K2072">
        <f>IFERROR(tblMoeHistory[[#This Row],[ESD State and Local Amount]]/tblMoeHistory[[#This Row],[Child Count]],0)</f>
        <v>21295.933333333334</v>
      </c>
      <c r="L2072">
        <f>IFERROR(tblMoeHistory[[#This Row],[State and Local Total Amount]]/tblMoeHistory[[#This Row],[Child Count]],0)</f>
        <v>25042.866666666669</v>
      </c>
      <c r="N2072" s="103" t="s">
        <v>241</v>
      </c>
      <c r="O2072">
        <v>9954.93</v>
      </c>
      <c r="P2072">
        <v>521.91999999999996</v>
      </c>
      <c r="Q2072">
        <f>tblMoeHistory[[#This Row],[Amount of IDEA Part B, Section 611 award]]+tblMoeHistory[[#This Row],[Amount of IDEA Part B, Section 619 award]]</f>
        <v>10476.85</v>
      </c>
      <c r="U20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2" t="s">
        <v>241</v>
      </c>
    </row>
    <row r="2073" spans="1:22" x14ac:dyDescent="0.35">
      <c r="A2073" t="s">
        <v>123</v>
      </c>
      <c r="B2073">
        <v>2092</v>
      </c>
      <c r="C2073" t="s">
        <v>1534</v>
      </c>
      <c r="D2073">
        <v>130</v>
      </c>
      <c r="E2073" s="81">
        <v>503662.16999999993</v>
      </c>
      <c r="F2073" s="81">
        <v>215100</v>
      </c>
      <c r="G2073">
        <f>tblMoeHistory[[#This Row],[LEA State and Local Amount]]+tblMoeHistory[[#This Row],[ESD State and Local Amount]]</f>
        <v>718762.16999999993</v>
      </c>
      <c r="I2073" t="s">
        <v>242</v>
      </c>
      <c r="J2073" s="44">
        <f>IFERROR(tblMoeHistory[[#This Row],[LEA State and Local Amount]]/tblMoeHistory[[#This Row],[Child Count]],0)</f>
        <v>3874.3243846153841</v>
      </c>
      <c r="K2073">
        <f>IFERROR(tblMoeHistory[[#This Row],[ESD State and Local Amount]]/tblMoeHistory[[#This Row],[Child Count]],0)</f>
        <v>1654.6153846153845</v>
      </c>
      <c r="L2073">
        <f>IFERROR(tblMoeHistory[[#This Row],[State and Local Total Amount]]/tblMoeHistory[[#This Row],[Child Count]],0)</f>
        <v>5528.9397692307684</v>
      </c>
      <c r="N2073" s="103" t="s">
        <v>2140</v>
      </c>
      <c r="O2073">
        <v>144981.44</v>
      </c>
      <c r="P2073">
        <v>1748.49</v>
      </c>
      <c r="Q2073">
        <f>tblMoeHistory[[#This Row],[Amount of IDEA Part B, Section 611 award]]+tblMoeHistory[[#This Row],[Amount of IDEA Part B, Section 619 award]]</f>
        <v>146729.93</v>
      </c>
      <c r="U20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3" t="s">
        <v>242</v>
      </c>
    </row>
    <row r="2074" spans="1:22" x14ac:dyDescent="0.35">
      <c r="A2074" t="s">
        <v>124</v>
      </c>
      <c r="B2074">
        <v>2112</v>
      </c>
      <c r="C2074" t="s">
        <v>1534</v>
      </c>
      <c r="D2074">
        <v>0</v>
      </c>
      <c r="E2074">
        <v>0</v>
      </c>
      <c r="F2074">
        <v>936.01</v>
      </c>
      <c r="G2074">
        <f>tblMoeHistory[[#This Row],[LEA State and Local Amount]]+tblMoeHistory[[#This Row],[ESD State and Local Amount]]</f>
        <v>936.01</v>
      </c>
      <c r="I2074" t="s">
        <v>241</v>
      </c>
      <c r="J2074" s="44">
        <f>IFERROR(tblMoeHistory[[#This Row],[LEA State and Local Amount]]/tblMoeHistory[[#This Row],[Child Count]],0)</f>
        <v>0</v>
      </c>
      <c r="K2074">
        <f>IFERROR(tblMoeHistory[[#This Row],[ESD State and Local Amount]]/tblMoeHistory[[#This Row],[Child Count]],0)</f>
        <v>0</v>
      </c>
      <c r="L2074">
        <f>IFERROR(tblMoeHistory[[#This Row],[State and Local Total Amount]]/tblMoeHistory[[#This Row],[Child Count]],0)</f>
        <v>0</v>
      </c>
      <c r="N2074" s="103" t="s">
        <v>241</v>
      </c>
      <c r="O2074">
        <v>490.16</v>
      </c>
      <c r="P2074">
        <v>1.2</v>
      </c>
      <c r="Q2074">
        <f>tblMoeHistory[[#This Row],[Amount of IDEA Part B, Section 611 award]]+tblMoeHistory[[#This Row],[Amount of IDEA Part B, Section 619 award]]</f>
        <v>491.36</v>
      </c>
      <c r="U20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4" t="s">
        <v>241</v>
      </c>
    </row>
    <row r="2075" spans="1:22" x14ac:dyDescent="0.35">
      <c r="A2075" t="s">
        <v>125</v>
      </c>
      <c r="B2075">
        <v>2085</v>
      </c>
      <c r="C2075" t="s">
        <v>1534</v>
      </c>
      <c r="D2075">
        <v>26</v>
      </c>
      <c r="E2075" s="81">
        <v>263412.2</v>
      </c>
      <c r="F2075" s="81">
        <v>46587</v>
      </c>
      <c r="G2075">
        <f>tblMoeHistory[[#This Row],[LEA State and Local Amount]]+tblMoeHistory[[#This Row],[ESD State and Local Amount]]</f>
        <v>309999.2</v>
      </c>
      <c r="I2075" t="s">
        <v>241</v>
      </c>
      <c r="J2075" s="44">
        <f>IFERROR(tblMoeHistory[[#This Row],[LEA State and Local Amount]]/tblMoeHistory[[#This Row],[Child Count]],0)</f>
        <v>10131.238461538462</v>
      </c>
      <c r="K2075">
        <f>IFERROR(tblMoeHistory[[#This Row],[ESD State and Local Amount]]/tblMoeHistory[[#This Row],[Child Count]],0)</f>
        <v>1791.8076923076924</v>
      </c>
      <c r="L2075">
        <f>IFERROR(tblMoeHistory[[#This Row],[State and Local Total Amount]]/tblMoeHistory[[#This Row],[Child Count]],0)</f>
        <v>11923.046153846155</v>
      </c>
      <c r="N2075" s="103" t="s">
        <v>241</v>
      </c>
      <c r="O2075">
        <v>59540.04</v>
      </c>
      <c r="P2075">
        <v>1503.61</v>
      </c>
      <c r="Q2075">
        <f>tblMoeHistory[[#This Row],[Amount of IDEA Part B, Section 611 award]]+tblMoeHistory[[#This Row],[Amount of IDEA Part B, Section 619 award]]</f>
        <v>61043.65</v>
      </c>
      <c r="U20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5" t="s">
        <v>241</v>
      </c>
    </row>
    <row r="2076" spans="1:22" x14ac:dyDescent="0.35">
      <c r="A2076" t="s">
        <v>126</v>
      </c>
      <c r="B2076">
        <v>2094</v>
      </c>
      <c r="C2076" t="s">
        <v>1534</v>
      </c>
      <c r="D2076">
        <v>70</v>
      </c>
      <c r="E2076" s="81">
        <v>479919.23999999993</v>
      </c>
      <c r="F2076" s="81">
        <v>180488</v>
      </c>
      <c r="G2076">
        <f>tblMoeHistory[[#This Row],[LEA State and Local Amount]]+tblMoeHistory[[#This Row],[ESD State and Local Amount]]</f>
        <v>660407.24</v>
      </c>
      <c r="I2076" t="s">
        <v>241</v>
      </c>
      <c r="J2076" s="44">
        <f>IFERROR(tblMoeHistory[[#This Row],[LEA State and Local Amount]]/tblMoeHistory[[#This Row],[Child Count]],0)</f>
        <v>6855.9891428571418</v>
      </c>
      <c r="K2076">
        <f>IFERROR(tblMoeHistory[[#This Row],[ESD State and Local Amount]]/tblMoeHistory[[#This Row],[Child Count]],0)</f>
        <v>2578.4</v>
      </c>
      <c r="L2076">
        <f>IFERROR(tblMoeHistory[[#This Row],[State and Local Total Amount]]/tblMoeHistory[[#This Row],[Child Count]],0)</f>
        <v>9434.3891428571424</v>
      </c>
      <c r="N2076" s="103" t="s">
        <v>2140</v>
      </c>
      <c r="O2076">
        <v>94588.689999999988</v>
      </c>
      <c r="P2076">
        <v>1151.52</v>
      </c>
      <c r="Q2076">
        <f>tblMoeHistory[[#This Row],[Amount of IDEA Part B, Section 611 award]]+tblMoeHistory[[#This Row],[Amount of IDEA Part B, Section 619 award]]</f>
        <v>95740.209999999992</v>
      </c>
      <c r="U20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6" t="s">
        <v>241</v>
      </c>
    </row>
    <row r="2077" spans="1:22" x14ac:dyDescent="0.35">
      <c r="A2077" t="s">
        <v>127</v>
      </c>
      <c r="B2077">
        <v>2090</v>
      </c>
      <c r="C2077" t="s">
        <v>1534</v>
      </c>
      <c r="D2077">
        <v>34</v>
      </c>
      <c r="E2077" s="81">
        <v>422573.44</v>
      </c>
      <c r="F2077" s="81">
        <v>84331</v>
      </c>
      <c r="G2077">
        <f>tblMoeHistory[[#This Row],[LEA State and Local Amount]]+tblMoeHistory[[#This Row],[ESD State and Local Amount]]</f>
        <v>506904.44</v>
      </c>
      <c r="I2077" t="s">
        <v>242</v>
      </c>
      <c r="J2077" s="44">
        <f>IFERROR(tblMoeHistory[[#This Row],[LEA State and Local Amount]]/tblMoeHistory[[#This Row],[Child Count]],0)</f>
        <v>12428.630588235294</v>
      </c>
      <c r="K2077">
        <f>IFERROR(tblMoeHistory[[#This Row],[ESD State and Local Amount]]/tblMoeHistory[[#This Row],[Child Count]],0)</f>
        <v>2480.3235294117649</v>
      </c>
      <c r="L2077">
        <f>IFERROR(tblMoeHistory[[#This Row],[State and Local Total Amount]]/tblMoeHistory[[#This Row],[Child Count]],0)</f>
        <v>14908.954117647059</v>
      </c>
      <c r="N2077" s="103" t="s">
        <v>242</v>
      </c>
      <c r="O2077">
        <v>55430.579999999994</v>
      </c>
      <c r="P2077">
        <v>559.75</v>
      </c>
      <c r="Q2077">
        <f>tblMoeHistory[[#This Row],[Amount of IDEA Part B, Section 611 award]]+tblMoeHistory[[#This Row],[Amount of IDEA Part B, Section 619 award]]</f>
        <v>55990.329999999994</v>
      </c>
      <c r="U20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7" t="s">
        <v>242</v>
      </c>
    </row>
    <row r="2078" spans="1:22" x14ac:dyDescent="0.35">
      <c r="A2078" t="s">
        <v>128</v>
      </c>
      <c r="B2078">
        <v>2256</v>
      </c>
      <c r="C2078" t="s">
        <v>1534</v>
      </c>
      <c r="D2078">
        <v>848</v>
      </c>
      <c r="E2078" s="81">
        <v>8017492.3299999973</v>
      </c>
      <c r="F2078" s="81">
        <v>475524.6</v>
      </c>
      <c r="G2078">
        <f>tblMoeHistory[[#This Row],[LEA State and Local Amount]]+tblMoeHistory[[#This Row],[ESD State and Local Amount]]</f>
        <v>8493016.9299999978</v>
      </c>
      <c r="I2078" t="s">
        <v>241</v>
      </c>
      <c r="J2078" s="44">
        <f>IFERROR(tblMoeHistory[[#This Row],[LEA State and Local Amount]]/tblMoeHistory[[#This Row],[Child Count]],0)</f>
        <v>9454.5900117924502</v>
      </c>
      <c r="K2078">
        <f>IFERROR(tblMoeHistory[[#This Row],[ESD State and Local Amount]]/tblMoeHistory[[#This Row],[Child Count]],0)</f>
        <v>560.76014150943388</v>
      </c>
      <c r="L2078">
        <f>IFERROR(tblMoeHistory[[#This Row],[State and Local Total Amount]]/tblMoeHistory[[#This Row],[Child Count]],0)</f>
        <v>10015.350153301884</v>
      </c>
      <c r="N2078" s="103" t="s">
        <v>241</v>
      </c>
      <c r="O2078">
        <v>1259166.8400000001</v>
      </c>
      <c r="P2078">
        <v>37617.46</v>
      </c>
      <c r="Q2078">
        <f>tblMoeHistory[[#This Row],[Amount of IDEA Part B, Section 611 award]]+tblMoeHistory[[#This Row],[Amount of IDEA Part B, Section 619 award]]</f>
        <v>1296784.3</v>
      </c>
      <c r="U20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8" t="s">
        <v>241</v>
      </c>
    </row>
    <row r="2079" spans="1:22" x14ac:dyDescent="0.35">
      <c r="A2079" t="s">
        <v>129</v>
      </c>
      <c r="B2079">
        <v>2048</v>
      </c>
      <c r="C2079" t="s">
        <v>1534</v>
      </c>
      <c r="D2079">
        <v>2116</v>
      </c>
      <c r="E2079" s="81">
        <v>18166878.530000001</v>
      </c>
      <c r="F2079" s="81">
        <v>1470041.33</v>
      </c>
      <c r="G2079">
        <f>tblMoeHistory[[#This Row],[LEA State and Local Amount]]+tblMoeHistory[[#This Row],[ESD State and Local Amount]]</f>
        <v>19636919.859999999</v>
      </c>
      <c r="I2079" t="s">
        <v>241</v>
      </c>
      <c r="J2079" s="44">
        <f>IFERROR(tblMoeHistory[[#This Row],[LEA State and Local Amount]]/tblMoeHistory[[#This Row],[Child Count]],0)</f>
        <v>8585.4813468809079</v>
      </c>
      <c r="K2079">
        <f>IFERROR(tblMoeHistory[[#This Row],[ESD State and Local Amount]]/tblMoeHistory[[#This Row],[Child Count]],0)</f>
        <v>694.72652646502843</v>
      </c>
      <c r="L2079">
        <f>IFERROR(tblMoeHistory[[#This Row],[State and Local Total Amount]]/tblMoeHistory[[#This Row],[Child Count]],0)</f>
        <v>9280.2078733459348</v>
      </c>
      <c r="N2079" s="103" t="s">
        <v>241</v>
      </c>
      <c r="O2079">
        <v>2991709.25</v>
      </c>
      <c r="P2079">
        <v>89744.27</v>
      </c>
      <c r="Q2079">
        <f>tblMoeHistory[[#This Row],[Amount of IDEA Part B, Section 611 award]]+tblMoeHistory[[#This Row],[Amount of IDEA Part B, Section 619 award]]</f>
        <v>3081453.52</v>
      </c>
      <c r="U20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9" t="s">
        <v>241</v>
      </c>
    </row>
    <row r="2080" spans="1:22" x14ac:dyDescent="0.35">
      <c r="A2080" t="s">
        <v>130</v>
      </c>
      <c r="B2080">
        <v>2205</v>
      </c>
      <c r="C2080" t="s">
        <v>1534</v>
      </c>
      <c r="D2080">
        <v>217</v>
      </c>
      <c r="E2080" s="81">
        <v>2081749.8500000003</v>
      </c>
      <c r="F2080" s="81">
        <v>417418.35</v>
      </c>
      <c r="G2080">
        <f>tblMoeHistory[[#This Row],[LEA State and Local Amount]]+tblMoeHistory[[#This Row],[ESD State and Local Amount]]</f>
        <v>2499168.2000000002</v>
      </c>
      <c r="I2080" t="s">
        <v>241</v>
      </c>
      <c r="J2080" s="44">
        <f>IFERROR(tblMoeHistory[[#This Row],[LEA State and Local Amount]]/tblMoeHistory[[#This Row],[Child Count]],0)</f>
        <v>9593.3172811059922</v>
      </c>
      <c r="K2080">
        <f>IFERROR(tblMoeHistory[[#This Row],[ESD State and Local Amount]]/tblMoeHistory[[#This Row],[Child Count]],0)</f>
        <v>1923.586866359447</v>
      </c>
      <c r="L2080">
        <f>IFERROR(tblMoeHistory[[#This Row],[State and Local Total Amount]]/tblMoeHistory[[#This Row],[Child Count]],0)</f>
        <v>11516.904147465439</v>
      </c>
      <c r="N2080" s="103" t="s">
        <v>241</v>
      </c>
      <c r="O2080">
        <v>362149.27</v>
      </c>
      <c r="P2080">
        <v>14298.099999999999</v>
      </c>
      <c r="Q2080">
        <f>tblMoeHistory[[#This Row],[Amount of IDEA Part B, Section 611 award]]+tblMoeHistory[[#This Row],[Amount of IDEA Part B, Section 619 award]]</f>
        <v>376447.37</v>
      </c>
      <c r="U20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0" t="s">
        <v>241</v>
      </c>
    </row>
    <row r="2081" spans="1:22" x14ac:dyDescent="0.35">
      <c r="A2081" t="s">
        <v>131</v>
      </c>
      <c r="B2081">
        <v>2249</v>
      </c>
      <c r="C2081" t="s">
        <v>1534</v>
      </c>
      <c r="D2081">
        <v>208</v>
      </c>
      <c r="E2081" s="81">
        <v>42366.46</v>
      </c>
      <c r="F2081" s="81">
        <v>52022</v>
      </c>
      <c r="G2081">
        <f>tblMoeHistory[[#This Row],[LEA State and Local Amount]]+tblMoeHistory[[#This Row],[ESD State and Local Amount]]</f>
        <v>94388.459999999992</v>
      </c>
      <c r="I2081" t="s">
        <v>241</v>
      </c>
      <c r="J2081" s="44">
        <f>IFERROR(tblMoeHistory[[#This Row],[LEA State and Local Amount]]/tblMoeHistory[[#This Row],[Child Count]],0)</f>
        <v>203.68490384615384</v>
      </c>
      <c r="K2081">
        <f>IFERROR(tblMoeHistory[[#This Row],[ESD State and Local Amount]]/tblMoeHistory[[#This Row],[Child Count]],0)</f>
        <v>250.10576923076923</v>
      </c>
      <c r="L2081">
        <f>IFERROR(tblMoeHistory[[#This Row],[State and Local Total Amount]]/tblMoeHistory[[#This Row],[Child Count]],0)</f>
        <v>453.79067307692304</v>
      </c>
      <c r="N2081" s="103" t="s">
        <v>2140</v>
      </c>
      <c r="O2081">
        <v>72532.17</v>
      </c>
      <c r="P2081">
        <v>447.48</v>
      </c>
      <c r="Q2081">
        <f>tblMoeHistory[[#This Row],[Amount of IDEA Part B, Section 611 award]]+tblMoeHistory[[#This Row],[Amount of IDEA Part B, Section 619 award]]</f>
        <v>72979.649999999994</v>
      </c>
      <c r="U20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1" t="s">
        <v>241</v>
      </c>
    </row>
    <row r="2082" spans="1:22" x14ac:dyDescent="0.35">
      <c r="A2082" t="s">
        <v>132</v>
      </c>
      <c r="B2082">
        <v>1925</v>
      </c>
      <c r="C2082" t="s">
        <v>1534</v>
      </c>
      <c r="D2082">
        <v>387</v>
      </c>
      <c r="E2082" s="81">
        <v>3946221.2400000007</v>
      </c>
      <c r="F2082" s="81">
        <v>387748</v>
      </c>
      <c r="G2082">
        <f>tblMoeHistory[[#This Row],[LEA State and Local Amount]]+tblMoeHistory[[#This Row],[ESD State and Local Amount]]</f>
        <v>4333969.24</v>
      </c>
      <c r="I2082" t="s">
        <v>242</v>
      </c>
      <c r="J2082" s="44">
        <f>IFERROR(tblMoeHistory[[#This Row],[LEA State and Local Amount]]/tblMoeHistory[[#This Row],[Child Count]],0)</f>
        <v>10196.954108527134</v>
      </c>
      <c r="K2082">
        <f>IFERROR(tblMoeHistory[[#This Row],[ESD State and Local Amount]]/tblMoeHistory[[#This Row],[Child Count]],0)</f>
        <v>1001.9328165374677</v>
      </c>
      <c r="L2082">
        <f>IFERROR(tblMoeHistory[[#This Row],[State and Local Total Amount]]/tblMoeHistory[[#This Row],[Child Count]],0)</f>
        <v>11198.8869250646</v>
      </c>
      <c r="N2082" s="103" t="s">
        <v>241</v>
      </c>
      <c r="O2082">
        <v>568538.18000000005</v>
      </c>
      <c r="P2082">
        <v>13631.72</v>
      </c>
      <c r="Q2082">
        <f>tblMoeHistory[[#This Row],[Amount of IDEA Part B, Section 611 award]]+tblMoeHistory[[#This Row],[Amount of IDEA Part B, Section 619 award]]</f>
        <v>582169.9</v>
      </c>
      <c r="U20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2" t="s">
        <v>242</v>
      </c>
    </row>
    <row r="2083" spans="1:22" x14ac:dyDescent="0.35">
      <c r="A2083" t="s">
        <v>133</v>
      </c>
      <c r="B2083">
        <v>1898</v>
      </c>
      <c r="C2083" t="s">
        <v>1534</v>
      </c>
      <c r="D2083">
        <v>47</v>
      </c>
      <c r="E2083" s="81">
        <v>547479.36</v>
      </c>
      <c r="F2083" s="81">
        <v>66984</v>
      </c>
      <c r="G2083">
        <f>tblMoeHistory[[#This Row],[LEA State and Local Amount]]+tblMoeHistory[[#This Row],[ESD State and Local Amount]]</f>
        <v>614463.36</v>
      </c>
      <c r="I2083" t="s">
        <v>242</v>
      </c>
      <c r="J2083" s="44">
        <f>IFERROR(tblMoeHistory[[#This Row],[LEA State and Local Amount]]/tblMoeHistory[[#This Row],[Child Count]],0)</f>
        <v>11648.497021276595</v>
      </c>
      <c r="K2083">
        <f>IFERROR(tblMoeHistory[[#This Row],[ESD State and Local Amount]]/tblMoeHistory[[#This Row],[Child Count]],0)</f>
        <v>1425.1914893617022</v>
      </c>
      <c r="L2083">
        <f>IFERROR(tblMoeHistory[[#This Row],[State and Local Total Amount]]/tblMoeHistory[[#This Row],[Child Count]],0)</f>
        <v>13073.688510638298</v>
      </c>
      <c r="N2083" s="103" t="s">
        <v>242</v>
      </c>
      <c r="O2083">
        <v>86098.7</v>
      </c>
      <c r="P2083">
        <v>1566.76</v>
      </c>
      <c r="Q2083">
        <f>tblMoeHistory[[#This Row],[Amount of IDEA Part B, Section 611 award]]+tblMoeHistory[[#This Row],[Amount of IDEA Part B, Section 619 award]]</f>
        <v>87665.459999999992</v>
      </c>
      <c r="U20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3" t="s">
        <v>242</v>
      </c>
    </row>
    <row r="2084" spans="1:22" x14ac:dyDescent="0.35">
      <c r="A2084" t="s">
        <v>134</v>
      </c>
      <c r="B2084">
        <v>2010</v>
      </c>
      <c r="C2084" t="s">
        <v>1534</v>
      </c>
      <c r="D2084">
        <v>7</v>
      </c>
      <c r="E2084">
        <v>0</v>
      </c>
      <c r="F2084" s="81">
        <v>64390.759999999995</v>
      </c>
      <c r="G2084">
        <f>tblMoeHistory[[#This Row],[LEA State and Local Amount]]+tblMoeHistory[[#This Row],[ESD State and Local Amount]]</f>
        <v>64390.759999999995</v>
      </c>
      <c r="I2084" t="s">
        <v>241</v>
      </c>
      <c r="J2084" s="44">
        <f>IFERROR(tblMoeHistory[[#This Row],[LEA State and Local Amount]]/tblMoeHistory[[#This Row],[Child Count]],0)</f>
        <v>0</v>
      </c>
      <c r="K2084">
        <f>IFERROR(tblMoeHistory[[#This Row],[ESD State and Local Amount]]/tblMoeHistory[[#This Row],[Child Count]],0)</f>
        <v>9198.6799999999985</v>
      </c>
      <c r="L2084">
        <f>IFERROR(tblMoeHistory[[#This Row],[State and Local Total Amount]]/tblMoeHistory[[#This Row],[Child Count]],0)</f>
        <v>9198.6799999999985</v>
      </c>
      <c r="N2084" s="103" t="s">
        <v>241</v>
      </c>
      <c r="O2084">
        <v>12622.02</v>
      </c>
      <c r="P2084">
        <v>1469.31</v>
      </c>
      <c r="Q2084">
        <f>tblMoeHistory[[#This Row],[Amount of IDEA Part B, Section 611 award]]+tblMoeHistory[[#This Row],[Amount of IDEA Part B, Section 619 award]]</f>
        <v>14091.33</v>
      </c>
      <c r="U20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4" t="s">
        <v>241</v>
      </c>
    </row>
    <row r="2085" spans="1:22" x14ac:dyDescent="0.35">
      <c r="A2085" t="s">
        <v>135</v>
      </c>
      <c r="B2085">
        <v>2147</v>
      </c>
      <c r="C2085" t="s">
        <v>1534</v>
      </c>
      <c r="D2085">
        <v>345</v>
      </c>
      <c r="E2085" s="81">
        <v>1808507.0700000005</v>
      </c>
      <c r="F2085" s="81">
        <v>642857.5</v>
      </c>
      <c r="G2085">
        <f>tblMoeHistory[[#This Row],[LEA State and Local Amount]]+tblMoeHistory[[#This Row],[ESD State and Local Amount]]</f>
        <v>2451364.5700000003</v>
      </c>
      <c r="I2085" t="s">
        <v>242</v>
      </c>
      <c r="J2085" s="44">
        <f>IFERROR(tblMoeHistory[[#This Row],[LEA State and Local Amount]]/tblMoeHistory[[#This Row],[Child Count]],0)</f>
        <v>5242.0494782608712</v>
      </c>
      <c r="K2085">
        <f>IFERROR(tblMoeHistory[[#This Row],[ESD State and Local Amount]]/tblMoeHistory[[#This Row],[Child Count]],0)</f>
        <v>1863.355072463768</v>
      </c>
      <c r="L2085">
        <f>IFERROR(tblMoeHistory[[#This Row],[State and Local Total Amount]]/tblMoeHistory[[#This Row],[Child Count]],0)</f>
        <v>7105.4045507246383</v>
      </c>
      <c r="N2085" s="103" t="s">
        <v>2140</v>
      </c>
      <c r="O2085">
        <v>435821</v>
      </c>
      <c r="P2085">
        <v>6164.5599999999995</v>
      </c>
      <c r="Q2085">
        <f>tblMoeHistory[[#This Row],[Amount of IDEA Part B, Section 611 award]]+tblMoeHistory[[#This Row],[Amount of IDEA Part B, Section 619 award]]</f>
        <v>441985.56</v>
      </c>
      <c r="U20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5" t="s">
        <v>242</v>
      </c>
    </row>
    <row r="2086" spans="1:22" x14ac:dyDescent="0.35">
      <c r="A2086" t="s">
        <v>136</v>
      </c>
      <c r="B2086">
        <v>2145</v>
      </c>
      <c r="C2086" t="s">
        <v>1534</v>
      </c>
      <c r="D2086">
        <v>98</v>
      </c>
      <c r="E2086" s="81">
        <v>516488.62000000005</v>
      </c>
      <c r="F2086" s="81">
        <v>132234.79</v>
      </c>
      <c r="G2086">
        <f>tblMoeHistory[[#This Row],[LEA State and Local Amount]]+tblMoeHistory[[#This Row],[ESD State and Local Amount]]</f>
        <v>648723.41</v>
      </c>
      <c r="I2086" t="s">
        <v>241</v>
      </c>
      <c r="J2086" s="44">
        <f>IFERROR(tblMoeHistory[[#This Row],[LEA State and Local Amount]]/tblMoeHistory[[#This Row],[Child Count]],0)</f>
        <v>5270.2920408163272</v>
      </c>
      <c r="K2086">
        <f>IFERROR(tblMoeHistory[[#This Row],[ESD State and Local Amount]]/tblMoeHistory[[#This Row],[Child Count]],0)</f>
        <v>1349.3345918367347</v>
      </c>
      <c r="L2086">
        <f>IFERROR(tblMoeHistory[[#This Row],[State and Local Total Amount]]/tblMoeHistory[[#This Row],[Child Count]],0)</f>
        <v>6619.6266326530613</v>
      </c>
      <c r="N2086" s="103" t="s">
        <v>2140</v>
      </c>
      <c r="O2086">
        <v>157097.68</v>
      </c>
      <c r="P2086">
        <v>3683.11</v>
      </c>
      <c r="Q2086">
        <f>tblMoeHistory[[#This Row],[Amount of IDEA Part B, Section 611 award]]+tblMoeHistory[[#This Row],[Amount of IDEA Part B, Section 619 award]]</f>
        <v>160780.78999999998</v>
      </c>
      <c r="U20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6" t="s">
        <v>241</v>
      </c>
    </row>
    <row r="2087" spans="1:22" x14ac:dyDescent="0.35">
      <c r="A2087" t="s">
        <v>137</v>
      </c>
      <c r="B2087">
        <v>1968</v>
      </c>
      <c r="C2087" t="s">
        <v>1534</v>
      </c>
      <c r="D2087">
        <v>71</v>
      </c>
      <c r="E2087" s="81">
        <v>536516.1399999999</v>
      </c>
      <c r="F2087" s="81">
        <v>218923.17000000004</v>
      </c>
      <c r="G2087">
        <f>tblMoeHistory[[#This Row],[LEA State and Local Amount]]+tblMoeHistory[[#This Row],[ESD State and Local Amount]]</f>
        <v>755439.30999999994</v>
      </c>
      <c r="I2087" t="s">
        <v>241</v>
      </c>
      <c r="J2087" s="44">
        <f>IFERROR(tblMoeHistory[[#This Row],[LEA State and Local Amount]]/tblMoeHistory[[#This Row],[Child Count]],0)</f>
        <v>7556.5653521126742</v>
      </c>
      <c r="K2087">
        <f>IFERROR(tblMoeHistory[[#This Row],[ESD State and Local Amount]]/tblMoeHistory[[#This Row],[Child Count]],0)</f>
        <v>3083.4249295774653</v>
      </c>
      <c r="L2087">
        <f>IFERROR(tblMoeHistory[[#This Row],[State and Local Total Amount]]/tblMoeHistory[[#This Row],[Child Count]],0)</f>
        <v>10639.990281690139</v>
      </c>
      <c r="N2087" s="103" t="s">
        <v>241</v>
      </c>
      <c r="O2087">
        <v>158028.42000000001</v>
      </c>
      <c r="P2087">
        <v>5994.64</v>
      </c>
      <c r="Q2087">
        <f>tblMoeHistory[[#This Row],[Amount of IDEA Part B, Section 611 award]]+tblMoeHistory[[#This Row],[Amount of IDEA Part B, Section 619 award]]</f>
        <v>164023.06000000003</v>
      </c>
      <c r="U20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7" t="s">
        <v>241</v>
      </c>
    </row>
    <row r="2088" spans="1:22" x14ac:dyDescent="0.35">
      <c r="A2088" t="s">
        <v>138</v>
      </c>
      <c r="B2088">
        <v>2198</v>
      </c>
      <c r="C2088" t="s">
        <v>1534</v>
      </c>
      <c r="D2088">
        <v>102</v>
      </c>
      <c r="E2088" s="81">
        <v>1779992.2600000005</v>
      </c>
      <c r="F2088" s="81">
        <v>313377</v>
      </c>
      <c r="G2088">
        <f>tblMoeHistory[[#This Row],[LEA State and Local Amount]]+tblMoeHistory[[#This Row],[ESD State and Local Amount]]</f>
        <v>2093369.2600000005</v>
      </c>
      <c r="I2088" t="s">
        <v>242</v>
      </c>
      <c r="J2088" s="44">
        <f>IFERROR(tblMoeHistory[[#This Row],[LEA State and Local Amount]]/tblMoeHistory[[#This Row],[Child Count]],0)</f>
        <v>17450.904509803928</v>
      </c>
      <c r="K2088">
        <f>IFERROR(tblMoeHistory[[#This Row],[ESD State and Local Amount]]/tblMoeHistory[[#This Row],[Child Count]],0)</f>
        <v>3072.3235294117649</v>
      </c>
      <c r="L2088">
        <f>IFERROR(tblMoeHistory[[#This Row],[State and Local Total Amount]]/tblMoeHistory[[#This Row],[Child Count]],0)</f>
        <v>20523.22803921569</v>
      </c>
      <c r="N2088" s="103" t="s">
        <v>241</v>
      </c>
      <c r="O2088">
        <v>167960.48</v>
      </c>
      <c r="P2088">
        <v>6198.2800000000007</v>
      </c>
      <c r="Q2088">
        <f>tblMoeHistory[[#This Row],[Amount of IDEA Part B, Section 611 award]]+tblMoeHistory[[#This Row],[Amount of IDEA Part B, Section 619 award]]</f>
        <v>174158.76</v>
      </c>
      <c r="U20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8" t="s">
        <v>242</v>
      </c>
    </row>
    <row r="2089" spans="1:22" x14ac:dyDescent="0.35">
      <c r="A2089" t="s">
        <v>139</v>
      </c>
      <c r="B2089">
        <v>2199</v>
      </c>
      <c r="C2089" t="s">
        <v>1534</v>
      </c>
      <c r="D2089">
        <v>84</v>
      </c>
      <c r="E2089" s="81">
        <v>837100.92</v>
      </c>
      <c r="F2089" s="81">
        <v>198813</v>
      </c>
      <c r="G2089">
        <f>tblMoeHistory[[#This Row],[LEA State and Local Amount]]+tblMoeHistory[[#This Row],[ESD State and Local Amount]]</f>
        <v>1035913.92</v>
      </c>
      <c r="I2089" t="s">
        <v>241</v>
      </c>
      <c r="J2089" s="44">
        <f>IFERROR(tblMoeHistory[[#This Row],[LEA State and Local Amount]]/tblMoeHistory[[#This Row],[Child Count]],0)</f>
        <v>9965.4871428571441</v>
      </c>
      <c r="K2089">
        <f>IFERROR(tblMoeHistory[[#This Row],[ESD State and Local Amount]]/tblMoeHistory[[#This Row],[Child Count]],0)</f>
        <v>2366.8214285714284</v>
      </c>
      <c r="L2089">
        <f>IFERROR(tblMoeHistory[[#This Row],[State and Local Total Amount]]/tblMoeHistory[[#This Row],[Child Count]],0)</f>
        <v>12332.308571428572</v>
      </c>
      <c r="N2089" s="103" t="s">
        <v>2140</v>
      </c>
      <c r="O2089">
        <v>133618.23999999999</v>
      </c>
      <c r="P2089">
        <v>4133.3999999999996</v>
      </c>
      <c r="Q2089">
        <f>tblMoeHistory[[#This Row],[Amount of IDEA Part B, Section 611 award]]+tblMoeHistory[[#This Row],[Amount of IDEA Part B, Section 619 award]]</f>
        <v>137751.63999999998</v>
      </c>
      <c r="U20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9" t="s">
        <v>241</v>
      </c>
    </row>
    <row r="2090" spans="1:22" x14ac:dyDescent="0.35">
      <c r="A2090" t="s">
        <v>140</v>
      </c>
      <c r="B2090">
        <v>2254</v>
      </c>
      <c r="C2090" t="s">
        <v>1534</v>
      </c>
      <c r="D2090">
        <v>652</v>
      </c>
      <c r="E2090" s="81">
        <v>7784024.3800000018</v>
      </c>
      <c r="F2090" s="81">
        <v>194055</v>
      </c>
      <c r="G2090">
        <f>tblMoeHistory[[#This Row],[LEA State and Local Amount]]+tblMoeHistory[[#This Row],[ESD State and Local Amount]]</f>
        <v>7978079.3800000018</v>
      </c>
      <c r="I2090" t="s">
        <v>242</v>
      </c>
      <c r="J2090" s="44">
        <f>IFERROR(tblMoeHistory[[#This Row],[LEA State and Local Amount]]/tblMoeHistory[[#This Row],[Child Count]],0)</f>
        <v>11938.687699386506</v>
      </c>
      <c r="K2090">
        <f>IFERROR(tblMoeHistory[[#This Row],[ESD State and Local Amount]]/tblMoeHistory[[#This Row],[Child Count]],0)</f>
        <v>297.63036809815952</v>
      </c>
      <c r="L2090">
        <f>IFERROR(tblMoeHistory[[#This Row],[State and Local Total Amount]]/tblMoeHistory[[#This Row],[Child Count]],0)</f>
        <v>12236.318067484664</v>
      </c>
      <c r="N2090" s="103" t="s">
        <v>241</v>
      </c>
      <c r="O2090">
        <v>1018594.87</v>
      </c>
      <c r="P2090">
        <v>23659.61</v>
      </c>
      <c r="Q2090">
        <f>tblMoeHistory[[#This Row],[Amount of IDEA Part B, Section 611 award]]+tblMoeHistory[[#This Row],[Amount of IDEA Part B, Section 619 award]]</f>
        <v>1042254.48</v>
      </c>
      <c r="U20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0" t="s">
        <v>242</v>
      </c>
    </row>
    <row r="2091" spans="1:22" x14ac:dyDescent="0.35">
      <c r="A2091" t="s">
        <v>141</v>
      </c>
      <c r="B2091">
        <v>1966</v>
      </c>
      <c r="C2091" t="s">
        <v>1534</v>
      </c>
      <c r="D2091">
        <v>700</v>
      </c>
      <c r="E2091" s="81">
        <v>3874358.9100000006</v>
      </c>
      <c r="F2091" s="81">
        <v>939828.32</v>
      </c>
      <c r="G2091">
        <f>tblMoeHistory[[#This Row],[LEA State and Local Amount]]+tblMoeHistory[[#This Row],[ESD State and Local Amount]]</f>
        <v>4814187.2300000004</v>
      </c>
      <c r="I2091" t="s">
        <v>2140</v>
      </c>
      <c r="J2091" s="44">
        <f>IFERROR(tblMoeHistory[[#This Row],[LEA State and Local Amount]]/tblMoeHistory[[#This Row],[Child Count]],0)</f>
        <v>5534.7984428571435</v>
      </c>
      <c r="K2091">
        <f>IFERROR(tblMoeHistory[[#This Row],[ESD State and Local Amount]]/tblMoeHistory[[#This Row],[Child Count]],0)</f>
        <v>1342.6118857142856</v>
      </c>
      <c r="L2091">
        <f>IFERROR(tblMoeHistory[[#This Row],[State and Local Total Amount]]/tblMoeHistory[[#This Row],[Child Count]],0)</f>
        <v>6877.4103285714291</v>
      </c>
      <c r="N2091" s="103" t="s">
        <v>2140</v>
      </c>
      <c r="O2091">
        <v>783974.47000000009</v>
      </c>
      <c r="P2091">
        <v>16998.120000000003</v>
      </c>
      <c r="Q2091">
        <f>tblMoeHistory[[#This Row],[Amount of IDEA Part B, Section 611 award]]+tblMoeHistory[[#This Row],[Amount of IDEA Part B, Section 619 award]]</f>
        <v>800972.59000000008</v>
      </c>
      <c r="U20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1" t="s">
        <v>2138</v>
      </c>
    </row>
    <row r="2092" spans="1:22" x14ac:dyDescent="0.35">
      <c r="A2092" t="s">
        <v>142</v>
      </c>
      <c r="B2092">
        <v>1924</v>
      </c>
      <c r="C2092" t="s">
        <v>1534</v>
      </c>
      <c r="D2092">
        <v>2699</v>
      </c>
      <c r="E2092" s="81">
        <v>26508893.330000013</v>
      </c>
      <c r="F2092" s="81">
        <v>2336734</v>
      </c>
      <c r="G2092">
        <f>tblMoeHistory[[#This Row],[LEA State and Local Amount]]+tblMoeHistory[[#This Row],[ESD State and Local Amount]]</f>
        <v>28845627.330000013</v>
      </c>
      <c r="I2092" t="s">
        <v>2140</v>
      </c>
      <c r="J2092" s="44">
        <f>IFERROR(tblMoeHistory[[#This Row],[LEA State and Local Amount]]/tblMoeHistory[[#This Row],[Child Count]],0)</f>
        <v>9821.7463245646577</v>
      </c>
      <c r="K2092">
        <f>IFERROR(tblMoeHistory[[#This Row],[ESD State and Local Amount]]/tblMoeHistory[[#This Row],[Child Count]],0)</f>
        <v>865.77769544275657</v>
      </c>
      <c r="L2092">
        <f>IFERROR(tblMoeHistory[[#This Row],[State and Local Total Amount]]/tblMoeHistory[[#This Row],[Child Count]],0)</f>
        <v>10687.524020007415</v>
      </c>
      <c r="N2092" s="103" t="s">
        <v>242</v>
      </c>
      <c r="O2092">
        <v>3284968.9200000004</v>
      </c>
      <c r="P2092">
        <v>69854.8</v>
      </c>
      <c r="Q2092">
        <f>tblMoeHistory[[#This Row],[Amount of IDEA Part B, Section 611 award]]+tblMoeHistory[[#This Row],[Amount of IDEA Part B, Section 619 award]]</f>
        <v>3354823.72</v>
      </c>
      <c r="U20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2" t="s">
        <v>2140</v>
      </c>
    </row>
    <row r="2093" spans="1:22" x14ac:dyDescent="0.35">
      <c r="A2093" t="s">
        <v>143</v>
      </c>
      <c r="B2093">
        <v>1996</v>
      </c>
      <c r="C2093" t="s">
        <v>1534</v>
      </c>
      <c r="D2093">
        <v>39</v>
      </c>
      <c r="E2093" s="81">
        <v>394576.95999999996</v>
      </c>
      <c r="F2093" s="81">
        <v>58301.760000000002</v>
      </c>
      <c r="G2093">
        <f>tblMoeHistory[[#This Row],[LEA State and Local Amount]]+tblMoeHistory[[#This Row],[ESD State and Local Amount]]</f>
        <v>452878.72</v>
      </c>
      <c r="I2093" t="s">
        <v>2140</v>
      </c>
      <c r="J2093" s="44">
        <f>IFERROR(tblMoeHistory[[#This Row],[LEA State and Local Amount]]/tblMoeHistory[[#This Row],[Child Count]],0)</f>
        <v>10117.357948717949</v>
      </c>
      <c r="K2093">
        <f>IFERROR(tblMoeHistory[[#This Row],[ESD State and Local Amount]]/tblMoeHistory[[#This Row],[Child Count]],0)</f>
        <v>1494.9169230769232</v>
      </c>
      <c r="L2093">
        <f>IFERROR(tblMoeHistory[[#This Row],[State and Local Total Amount]]/tblMoeHistory[[#This Row],[Child Count]],0)</f>
        <v>11612.274871794871</v>
      </c>
      <c r="N2093" s="103" t="s">
        <v>242</v>
      </c>
      <c r="O2093">
        <v>66172.709999999992</v>
      </c>
      <c r="P2093">
        <v>1077.94</v>
      </c>
      <c r="Q2093">
        <f>tblMoeHistory[[#This Row],[Amount of IDEA Part B, Section 611 award]]+tblMoeHistory[[#This Row],[Amount of IDEA Part B, Section 619 award]]</f>
        <v>67250.649999999994</v>
      </c>
      <c r="U20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3" t="s">
        <v>2138</v>
      </c>
    </row>
    <row r="2094" spans="1:22" x14ac:dyDescent="0.35">
      <c r="A2094" t="s">
        <v>144</v>
      </c>
      <c r="B2094">
        <v>2061</v>
      </c>
      <c r="C2094" t="s">
        <v>1534</v>
      </c>
      <c r="D2094">
        <v>53</v>
      </c>
      <c r="E2094" s="81">
        <v>284731.45000000007</v>
      </c>
      <c r="F2094" s="81">
        <v>130610.31999999999</v>
      </c>
      <c r="G2094">
        <f>tblMoeHistory[[#This Row],[LEA State and Local Amount]]+tblMoeHistory[[#This Row],[ESD State and Local Amount]]</f>
        <v>415341.77000000008</v>
      </c>
      <c r="I2094" t="s">
        <v>241</v>
      </c>
      <c r="J2094" s="44">
        <f>IFERROR(tblMoeHistory[[#This Row],[LEA State and Local Amount]]/tblMoeHistory[[#This Row],[Child Count]],0)</f>
        <v>5372.2915094339633</v>
      </c>
      <c r="K2094">
        <f>IFERROR(tblMoeHistory[[#This Row],[ESD State and Local Amount]]/tblMoeHistory[[#This Row],[Child Count]],0)</f>
        <v>2464.3456603773584</v>
      </c>
      <c r="L2094">
        <f>IFERROR(tblMoeHistory[[#This Row],[State and Local Total Amount]]/tblMoeHistory[[#This Row],[Child Count]],0)</f>
        <v>7836.6371698113226</v>
      </c>
      <c r="N2094" s="103" t="s">
        <v>241</v>
      </c>
      <c r="O2094">
        <v>57079.23</v>
      </c>
      <c r="P2094">
        <v>2548.6</v>
      </c>
      <c r="Q2094">
        <f>tblMoeHistory[[#This Row],[Amount of IDEA Part B, Section 611 award]]+tblMoeHistory[[#This Row],[Amount of IDEA Part B, Section 619 award]]</f>
        <v>59627.83</v>
      </c>
      <c r="U20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4" t="s">
        <v>241</v>
      </c>
    </row>
    <row r="2095" spans="1:22" x14ac:dyDescent="0.35">
      <c r="A2095" t="s">
        <v>145</v>
      </c>
      <c r="B2095">
        <v>2141</v>
      </c>
      <c r="C2095" t="s">
        <v>1534</v>
      </c>
      <c r="D2095">
        <v>289</v>
      </c>
      <c r="E2095" s="81">
        <v>2806249.3300000005</v>
      </c>
      <c r="F2095" s="81">
        <v>504839.51</v>
      </c>
      <c r="G2095">
        <f>tblMoeHistory[[#This Row],[LEA State and Local Amount]]+tblMoeHistory[[#This Row],[ESD State and Local Amount]]</f>
        <v>3311088.8400000008</v>
      </c>
      <c r="I2095" t="s">
        <v>241</v>
      </c>
      <c r="J2095" s="44">
        <f>IFERROR(tblMoeHistory[[#This Row],[LEA State and Local Amount]]/tblMoeHistory[[#This Row],[Child Count]],0)</f>
        <v>9710.2052941176498</v>
      </c>
      <c r="K2095">
        <f>IFERROR(tblMoeHistory[[#This Row],[ESD State and Local Amount]]/tblMoeHistory[[#This Row],[Child Count]],0)</f>
        <v>1746.8495155709343</v>
      </c>
      <c r="L2095">
        <f>IFERROR(tblMoeHistory[[#This Row],[State and Local Total Amount]]/tblMoeHistory[[#This Row],[Child Count]],0)</f>
        <v>11457.054809688583</v>
      </c>
      <c r="N2095" s="103" t="s">
        <v>241</v>
      </c>
      <c r="O2095">
        <v>350336.44</v>
      </c>
      <c r="P2095">
        <v>8392.2799999999988</v>
      </c>
      <c r="Q2095">
        <f>tblMoeHistory[[#This Row],[Amount of IDEA Part B, Section 611 award]]+tblMoeHistory[[#This Row],[Amount of IDEA Part B, Section 619 award]]</f>
        <v>358728.72</v>
      </c>
      <c r="U20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5" t="s">
        <v>241</v>
      </c>
    </row>
    <row r="2096" spans="1:22" x14ac:dyDescent="0.35">
      <c r="A2096" t="s">
        <v>146</v>
      </c>
      <c r="B2096">
        <v>2214</v>
      </c>
      <c r="C2096" t="s">
        <v>1534</v>
      </c>
      <c r="D2096">
        <v>32</v>
      </c>
      <c r="E2096" s="81">
        <v>182901.96999999997</v>
      </c>
      <c r="F2096" s="81">
        <v>78655.33</v>
      </c>
      <c r="G2096">
        <f>tblMoeHistory[[#This Row],[LEA State and Local Amount]]+tblMoeHistory[[#This Row],[ESD State and Local Amount]]</f>
        <v>261557.3</v>
      </c>
      <c r="I2096" t="s">
        <v>242</v>
      </c>
      <c r="J2096" s="44">
        <f>IFERROR(tblMoeHistory[[#This Row],[LEA State and Local Amount]]/tblMoeHistory[[#This Row],[Child Count]],0)</f>
        <v>5715.6865624999991</v>
      </c>
      <c r="K2096">
        <f>IFERROR(tblMoeHistory[[#This Row],[ESD State and Local Amount]]/tblMoeHistory[[#This Row],[Child Count]],0)</f>
        <v>2457.9790625000001</v>
      </c>
      <c r="L2096">
        <f>IFERROR(tblMoeHistory[[#This Row],[State and Local Total Amount]]/tblMoeHistory[[#This Row],[Child Count]],0)</f>
        <v>8173.6656249999996</v>
      </c>
      <c r="N2096" s="103" t="s">
        <v>241</v>
      </c>
      <c r="O2096">
        <v>59807</v>
      </c>
      <c r="P2096">
        <v>581.02</v>
      </c>
      <c r="Q2096">
        <f>tblMoeHistory[[#This Row],[Amount of IDEA Part B, Section 611 award]]+tblMoeHistory[[#This Row],[Amount of IDEA Part B, Section 619 award]]</f>
        <v>60388.02</v>
      </c>
      <c r="U20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6" t="s">
        <v>242</v>
      </c>
    </row>
    <row r="2097" spans="1:22" x14ac:dyDescent="0.35">
      <c r="A2097" t="s">
        <v>147</v>
      </c>
      <c r="B2097">
        <v>2143</v>
      </c>
      <c r="C2097" t="s">
        <v>1534</v>
      </c>
      <c r="D2097">
        <v>342</v>
      </c>
      <c r="E2097" s="81">
        <v>2911033.6399999992</v>
      </c>
      <c r="F2097" s="81">
        <v>164295.79999999999</v>
      </c>
      <c r="G2097">
        <f>tblMoeHistory[[#This Row],[LEA State and Local Amount]]+tblMoeHistory[[#This Row],[ESD State and Local Amount]]</f>
        <v>3075329.439999999</v>
      </c>
      <c r="I2097" t="s">
        <v>242</v>
      </c>
      <c r="J2097" s="44">
        <f>IFERROR(tblMoeHistory[[#This Row],[LEA State and Local Amount]]/tblMoeHistory[[#This Row],[Child Count]],0)</f>
        <v>8511.7942690058462</v>
      </c>
      <c r="K2097">
        <f>IFERROR(tblMoeHistory[[#This Row],[ESD State and Local Amount]]/tblMoeHistory[[#This Row],[Child Count]],0)</f>
        <v>480.39707602339178</v>
      </c>
      <c r="L2097">
        <f>IFERROR(tblMoeHistory[[#This Row],[State and Local Total Amount]]/tblMoeHistory[[#This Row],[Child Count]],0)</f>
        <v>8992.1913450292377</v>
      </c>
      <c r="N2097" s="103" t="s">
        <v>241</v>
      </c>
      <c r="O2097">
        <v>558028.71000000008</v>
      </c>
      <c r="P2097">
        <v>8363.1200000000008</v>
      </c>
      <c r="Q2097">
        <f>tblMoeHistory[[#This Row],[Amount of IDEA Part B, Section 611 award]]+tblMoeHistory[[#This Row],[Amount of IDEA Part B, Section 619 award]]</f>
        <v>566391.83000000007</v>
      </c>
      <c r="U20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7" t="s">
        <v>242</v>
      </c>
    </row>
    <row r="2098" spans="1:22" x14ac:dyDescent="0.35">
      <c r="A2098" t="s">
        <v>148</v>
      </c>
      <c r="B2098">
        <v>4131</v>
      </c>
      <c r="C2098" t="s">
        <v>1534</v>
      </c>
      <c r="D2098">
        <v>449</v>
      </c>
      <c r="E2098" s="81">
        <v>4760602.5799999991</v>
      </c>
      <c r="F2098">
        <v>0</v>
      </c>
      <c r="G2098">
        <f>tblMoeHistory[[#This Row],[LEA State and Local Amount]]+tblMoeHistory[[#This Row],[ESD State and Local Amount]]</f>
        <v>4760602.5799999991</v>
      </c>
      <c r="I2098" t="s">
        <v>2140</v>
      </c>
      <c r="J2098" s="44">
        <f>IFERROR(tblMoeHistory[[#This Row],[LEA State and Local Amount]]/tblMoeHistory[[#This Row],[Child Count]],0)</f>
        <v>10602.678351893093</v>
      </c>
      <c r="K2098">
        <f>IFERROR(tblMoeHistory[[#This Row],[ESD State and Local Amount]]/tblMoeHistory[[#This Row],[Child Count]],0)</f>
        <v>0</v>
      </c>
      <c r="L2098">
        <f>IFERROR(tblMoeHistory[[#This Row],[State and Local Total Amount]]/tblMoeHistory[[#This Row],[Child Count]],0)</f>
        <v>10602.678351893093</v>
      </c>
      <c r="N2098" s="103" t="s">
        <v>242</v>
      </c>
      <c r="O2098">
        <v>708145.71000000008</v>
      </c>
      <c r="P2098">
        <v>26670.02</v>
      </c>
      <c r="Q2098">
        <f>tblMoeHistory[[#This Row],[Amount of IDEA Part B, Section 611 award]]+tblMoeHistory[[#This Row],[Amount of IDEA Part B, Section 619 award]]</f>
        <v>734815.7300000001</v>
      </c>
      <c r="U20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8" t="s">
        <v>2138</v>
      </c>
    </row>
    <row r="2099" spans="1:22" x14ac:dyDescent="0.35">
      <c r="A2099" t="s">
        <v>149</v>
      </c>
      <c r="B2099">
        <v>2110</v>
      </c>
      <c r="C2099" t="s">
        <v>1534</v>
      </c>
      <c r="D2099">
        <v>158</v>
      </c>
      <c r="E2099" s="81">
        <v>979818.39999999991</v>
      </c>
      <c r="F2099" s="81">
        <v>427172.16000000003</v>
      </c>
      <c r="G2099">
        <f>tblMoeHistory[[#This Row],[LEA State and Local Amount]]+tblMoeHistory[[#This Row],[ESD State and Local Amount]]</f>
        <v>1406990.56</v>
      </c>
      <c r="I2099" t="s">
        <v>241</v>
      </c>
      <c r="J2099" s="44">
        <f>IFERROR(tblMoeHistory[[#This Row],[LEA State and Local Amount]]/tblMoeHistory[[#This Row],[Child Count]],0)</f>
        <v>6201.3822784810118</v>
      </c>
      <c r="K2099">
        <f>IFERROR(tblMoeHistory[[#This Row],[ESD State and Local Amount]]/tblMoeHistory[[#This Row],[Child Count]],0)</f>
        <v>2703.6212658227851</v>
      </c>
      <c r="L2099">
        <f>IFERROR(tblMoeHistory[[#This Row],[State and Local Total Amount]]/tblMoeHistory[[#This Row],[Child Count]],0)</f>
        <v>8905.0035443037978</v>
      </c>
      <c r="N2099" s="103" t="s">
        <v>241</v>
      </c>
      <c r="O2099">
        <v>272781.33999999997</v>
      </c>
      <c r="P2099">
        <v>4818.18</v>
      </c>
      <c r="Q2099">
        <f>tblMoeHistory[[#This Row],[Amount of IDEA Part B, Section 611 award]]+tblMoeHistory[[#This Row],[Amount of IDEA Part B, Section 619 award]]</f>
        <v>277599.51999999996</v>
      </c>
      <c r="U20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9" t="s">
        <v>241</v>
      </c>
    </row>
    <row r="2100" spans="1:22" x14ac:dyDescent="0.35">
      <c r="A2100" t="s">
        <v>150</v>
      </c>
      <c r="B2100">
        <v>1990</v>
      </c>
      <c r="C2100" t="s">
        <v>1534</v>
      </c>
      <c r="D2100">
        <v>76</v>
      </c>
      <c r="E2100" s="81">
        <v>418752.07</v>
      </c>
      <c r="F2100" s="81">
        <v>99083.04</v>
      </c>
      <c r="G2100">
        <f>tblMoeHistory[[#This Row],[LEA State and Local Amount]]+tblMoeHistory[[#This Row],[ESD State and Local Amount]]</f>
        <v>517835.11</v>
      </c>
      <c r="I2100" t="s">
        <v>242</v>
      </c>
      <c r="J2100" s="44">
        <f>IFERROR(tblMoeHistory[[#This Row],[LEA State and Local Amount]]/tblMoeHistory[[#This Row],[Child Count]],0)</f>
        <v>5509.8956578947373</v>
      </c>
      <c r="K2100">
        <f>IFERROR(tblMoeHistory[[#This Row],[ESD State and Local Amount]]/tblMoeHistory[[#This Row],[Child Count]],0)</f>
        <v>1303.7242105263158</v>
      </c>
      <c r="L2100">
        <f>IFERROR(tblMoeHistory[[#This Row],[State and Local Total Amount]]/tblMoeHistory[[#This Row],[Child Count]],0)</f>
        <v>6813.6198684210522</v>
      </c>
      <c r="N2100" s="103" t="s">
        <v>241</v>
      </c>
      <c r="O2100">
        <v>127963.84999999999</v>
      </c>
      <c r="P2100">
        <v>4659.84</v>
      </c>
      <c r="Q2100">
        <f>tblMoeHistory[[#This Row],[Amount of IDEA Part B, Section 611 award]]+tblMoeHistory[[#This Row],[Amount of IDEA Part B, Section 619 award]]</f>
        <v>132623.69</v>
      </c>
      <c r="U21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0" t="s">
        <v>242</v>
      </c>
    </row>
    <row r="2101" spans="1:22" x14ac:dyDescent="0.35">
      <c r="A2101" t="s">
        <v>151</v>
      </c>
      <c r="B2101">
        <v>2093</v>
      </c>
      <c r="C2101" t="s">
        <v>1534</v>
      </c>
      <c r="D2101">
        <v>103</v>
      </c>
      <c r="E2101" s="81">
        <v>371214.71999999991</v>
      </c>
      <c r="F2101" s="81">
        <v>249404</v>
      </c>
      <c r="G2101">
        <f>tblMoeHistory[[#This Row],[LEA State and Local Amount]]+tblMoeHistory[[#This Row],[ESD State and Local Amount]]</f>
        <v>620618.72</v>
      </c>
      <c r="I2101" t="s">
        <v>241</v>
      </c>
      <c r="J2101" s="44">
        <f>IFERROR(tblMoeHistory[[#This Row],[LEA State and Local Amount]]/tblMoeHistory[[#This Row],[Child Count]],0)</f>
        <v>3604.0264077669895</v>
      </c>
      <c r="K2101">
        <f>IFERROR(tblMoeHistory[[#This Row],[ESD State and Local Amount]]/tblMoeHistory[[#This Row],[Child Count]],0)</f>
        <v>2421.3980582524273</v>
      </c>
      <c r="L2101">
        <f>IFERROR(tblMoeHistory[[#This Row],[State and Local Total Amount]]/tblMoeHistory[[#This Row],[Child Count]],0)</f>
        <v>6025.4244660194172</v>
      </c>
      <c r="N2101" s="103" t="s">
        <v>241</v>
      </c>
      <c r="O2101">
        <v>194588.87</v>
      </c>
      <c r="P2101">
        <v>10575.44</v>
      </c>
      <c r="Q2101">
        <f>tblMoeHistory[[#This Row],[Amount of IDEA Part B, Section 611 award]]+tblMoeHistory[[#This Row],[Amount of IDEA Part B, Section 619 award]]</f>
        <v>205164.31</v>
      </c>
      <c r="U21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1" t="s">
        <v>241</v>
      </c>
    </row>
    <row r="2102" spans="1:22" x14ac:dyDescent="0.35">
      <c r="A2102" t="s">
        <v>152</v>
      </c>
      <c r="B2102">
        <v>2108</v>
      </c>
      <c r="C2102" t="s">
        <v>1534</v>
      </c>
      <c r="D2102">
        <v>313</v>
      </c>
      <c r="E2102" s="81">
        <v>3600748.3699999987</v>
      </c>
      <c r="F2102" s="81">
        <v>71328.899999999994</v>
      </c>
      <c r="G2102">
        <f>tblMoeHistory[[#This Row],[LEA State and Local Amount]]+tblMoeHistory[[#This Row],[ESD State and Local Amount]]</f>
        <v>3672077.2699999986</v>
      </c>
      <c r="I2102" t="s">
        <v>241</v>
      </c>
      <c r="J2102" s="44">
        <f>IFERROR(tblMoeHistory[[#This Row],[LEA State and Local Amount]]/tblMoeHistory[[#This Row],[Child Count]],0)</f>
        <v>11503.988402555906</v>
      </c>
      <c r="K2102">
        <f>IFERROR(tblMoeHistory[[#This Row],[ESD State and Local Amount]]/tblMoeHistory[[#This Row],[Child Count]],0)</f>
        <v>227.88785942492012</v>
      </c>
      <c r="L2102">
        <f>IFERROR(tblMoeHistory[[#This Row],[State and Local Total Amount]]/tblMoeHistory[[#This Row],[Child Count]],0)</f>
        <v>11731.876261980826</v>
      </c>
      <c r="N2102" s="103" t="s">
        <v>241</v>
      </c>
      <c r="O2102">
        <v>606810.66</v>
      </c>
      <c r="P2102">
        <v>14475.779999999999</v>
      </c>
      <c r="Q2102">
        <f>tblMoeHistory[[#This Row],[Amount of IDEA Part B, Section 611 award]]+tblMoeHistory[[#This Row],[Amount of IDEA Part B, Section 619 award]]</f>
        <v>621286.44000000006</v>
      </c>
      <c r="U21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2" t="s">
        <v>241</v>
      </c>
    </row>
    <row r="2103" spans="1:22" x14ac:dyDescent="0.35">
      <c r="A2103" t="s">
        <v>153</v>
      </c>
      <c r="B2103">
        <v>1928</v>
      </c>
      <c r="C2103" t="s">
        <v>1534</v>
      </c>
      <c r="D2103">
        <v>1180</v>
      </c>
      <c r="E2103" s="81">
        <v>16477011.539999994</v>
      </c>
      <c r="F2103" s="81">
        <v>1392969</v>
      </c>
      <c r="G2103">
        <f>tblMoeHistory[[#This Row],[LEA State and Local Amount]]+tblMoeHistory[[#This Row],[ESD State and Local Amount]]</f>
        <v>17869980.539999992</v>
      </c>
      <c r="I2103" t="s">
        <v>242</v>
      </c>
      <c r="J2103" s="44">
        <f>IFERROR(tblMoeHistory[[#This Row],[LEA State and Local Amount]]/tblMoeHistory[[#This Row],[Child Count]],0)</f>
        <v>13963.569101694909</v>
      </c>
      <c r="K2103">
        <f>IFERROR(tblMoeHistory[[#This Row],[ESD State and Local Amount]]/tblMoeHistory[[#This Row],[Child Count]],0)</f>
        <v>1180.4822033898306</v>
      </c>
      <c r="L2103">
        <f>IFERROR(tblMoeHistory[[#This Row],[State and Local Total Amount]]/tblMoeHistory[[#This Row],[Child Count]],0)</f>
        <v>15144.051305084738</v>
      </c>
      <c r="N2103" s="103" t="s">
        <v>241</v>
      </c>
      <c r="O2103">
        <v>1638636.46</v>
      </c>
      <c r="P2103">
        <v>43743.69</v>
      </c>
      <c r="Q2103">
        <f>tblMoeHistory[[#This Row],[Amount of IDEA Part B, Section 611 award]]+tblMoeHistory[[#This Row],[Amount of IDEA Part B, Section 619 award]]</f>
        <v>1682380.15</v>
      </c>
      <c r="U21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3" t="s">
        <v>242</v>
      </c>
    </row>
    <row r="2104" spans="1:22" x14ac:dyDescent="0.35">
      <c r="A2104" t="s">
        <v>154</v>
      </c>
      <c r="B2104">
        <v>1926</v>
      </c>
      <c r="C2104" t="s">
        <v>1534</v>
      </c>
      <c r="D2104">
        <v>591</v>
      </c>
      <c r="E2104" s="81">
        <v>6365430.3600000013</v>
      </c>
      <c r="F2104" s="81">
        <v>708226</v>
      </c>
      <c r="G2104">
        <f>tblMoeHistory[[#This Row],[LEA State and Local Amount]]+tblMoeHistory[[#This Row],[ESD State and Local Amount]]</f>
        <v>7073656.3600000013</v>
      </c>
      <c r="I2104" t="s">
        <v>242</v>
      </c>
      <c r="J2104" s="44">
        <f>IFERROR(tblMoeHistory[[#This Row],[LEA State and Local Amount]]/tblMoeHistory[[#This Row],[Child Count]],0)</f>
        <v>10770.609746192895</v>
      </c>
      <c r="K2104">
        <f>IFERROR(tblMoeHistory[[#This Row],[ESD State and Local Amount]]/tblMoeHistory[[#This Row],[Child Count]],0)</f>
        <v>1198.351945854484</v>
      </c>
      <c r="L2104">
        <f>IFERROR(tblMoeHistory[[#This Row],[State and Local Total Amount]]/tblMoeHistory[[#This Row],[Child Count]],0)</f>
        <v>11968.96169204738</v>
      </c>
      <c r="N2104" s="103" t="s">
        <v>2140</v>
      </c>
      <c r="O2104">
        <v>866842.20000000007</v>
      </c>
      <c r="P2104">
        <v>23001.809999999998</v>
      </c>
      <c r="Q2104">
        <f>tblMoeHistory[[#This Row],[Amount of IDEA Part B, Section 611 award]]+tblMoeHistory[[#This Row],[Amount of IDEA Part B, Section 619 award]]</f>
        <v>889844.01</v>
      </c>
      <c r="U21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4" t="s">
        <v>242</v>
      </c>
    </row>
    <row r="2105" spans="1:22" x14ac:dyDescent="0.35">
      <c r="A2105" t="s">
        <v>155</v>
      </c>
      <c r="B2105">
        <v>2060</v>
      </c>
      <c r="C2105" t="s">
        <v>1534</v>
      </c>
      <c r="D2105">
        <v>28</v>
      </c>
      <c r="E2105" s="81">
        <v>199670.5</v>
      </c>
      <c r="F2105" s="81">
        <v>101832.86</v>
      </c>
      <c r="G2105">
        <f>tblMoeHistory[[#This Row],[LEA State and Local Amount]]+tblMoeHistory[[#This Row],[ESD State and Local Amount]]</f>
        <v>301503.35999999999</v>
      </c>
      <c r="I2105" t="s">
        <v>242</v>
      </c>
      <c r="J2105" s="44">
        <f>IFERROR(tblMoeHistory[[#This Row],[LEA State and Local Amount]]/tblMoeHistory[[#This Row],[Child Count]],0)</f>
        <v>7131.0892857142853</v>
      </c>
      <c r="K2105">
        <f>IFERROR(tblMoeHistory[[#This Row],[ESD State and Local Amount]]/tblMoeHistory[[#This Row],[Child Count]],0)</f>
        <v>3636.8878571428572</v>
      </c>
      <c r="L2105">
        <f>IFERROR(tblMoeHistory[[#This Row],[State and Local Total Amount]]/tblMoeHistory[[#This Row],[Child Count]],0)</f>
        <v>10767.977142857142</v>
      </c>
      <c r="N2105" s="103" t="s">
        <v>242</v>
      </c>
      <c r="O2105">
        <v>34993.980000000003</v>
      </c>
      <c r="P2105">
        <v>556.28</v>
      </c>
      <c r="Q2105">
        <f>tblMoeHistory[[#This Row],[Amount of IDEA Part B, Section 611 award]]+tblMoeHistory[[#This Row],[Amount of IDEA Part B, Section 619 award]]</f>
        <v>35550.26</v>
      </c>
      <c r="U21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5" t="s">
        <v>242</v>
      </c>
    </row>
    <row r="2106" spans="1:22" x14ac:dyDescent="0.35">
      <c r="A2106" t="s">
        <v>156</v>
      </c>
      <c r="B2106">
        <v>2181</v>
      </c>
      <c r="C2106" t="s">
        <v>1534</v>
      </c>
      <c r="D2106">
        <v>491</v>
      </c>
      <c r="E2106" s="81">
        <v>6202906.9100000029</v>
      </c>
      <c r="F2106" s="81">
        <v>734598.05</v>
      </c>
      <c r="G2106">
        <f>tblMoeHistory[[#This Row],[LEA State and Local Amount]]+tblMoeHistory[[#This Row],[ESD State and Local Amount]]</f>
        <v>6937504.9600000028</v>
      </c>
      <c r="I2106" t="s">
        <v>2140</v>
      </c>
      <c r="J2106" s="44">
        <f>IFERROR(tblMoeHistory[[#This Row],[LEA State and Local Amount]]/tblMoeHistory[[#This Row],[Child Count]],0)</f>
        <v>12633.211629327909</v>
      </c>
      <c r="K2106">
        <f>IFERROR(tblMoeHistory[[#This Row],[ESD State and Local Amount]]/tblMoeHistory[[#This Row],[Child Count]],0)</f>
        <v>1496.1263747454177</v>
      </c>
      <c r="L2106">
        <f>IFERROR(tblMoeHistory[[#This Row],[State and Local Total Amount]]/tblMoeHistory[[#This Row],[Child Count]],0)</f>
        <v>14129.338004073325</v>
      </c>
      <c r="N2106" s="103" t="s">
        <v>2140</v>
      </c>
      <c r="O2106">
        <v>699598.31</v>
      </c>
      <c r="P2106">
        <v>14824.5</v>
      </c>
      <c r="Q2106">
        <f>tblMoeHistory[[#This Row],[Amount of IDEA Part B, Section 611 award]]+tblMoeHistory[[#This Row],[Amount of IDEA Part B, Section 619 award]]</f>
        <v>714422.81</v>
      </c>
      <c r="U21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6" t="s">
        <v>2138</v>
      </c>
    </row>
    <row r="2107" spans="1:22" x14ac:dyDescent="0.35">
      <c r="A2107" t="s">
        <v>157</v>
      </c>
      <c r="B2107">
        <v>2207</v>
      </c>
      <c r="C2107" t="s">
        <v>1534</v>
      </c>
      <c r="D2107">
        <v>461</v>
      </c>
      <c r="E2107" s="81">
        <v>4914968.7500000019</v>
      </c>
      <c r="F2107" s="81">
        <v>878447.62</v>
      </c>
      <c r="G2107">
        <f>tblMoeHistory[[#This Row],[LEA State and Local Amount]]+tblMoeHistory[[#This Row],[ESD State and Local Amount]]</f>
        <v>5793416.370000002</v>
      </c>
      <c r="I2107" t="s">
        <v>241</v>
      </c>
      <c r="J2107" s="44">
        <f>IFERROR(tblMoeHistory[[#This Row],[LEA State and Local Amount]]/tblMoeHistory[[#This Row],[Child Count]],0)</f>
        <v>10661.537418655102</v>
      </c>
      <c r="K2107">
        <f>IFERROR(tblMoeHistory[[#This Row],[ESD State and Local Amount]]/tblMoeHistory[[#This Row],[Child Count]],0)</f>
        <v>1905.5262906724513</v>
      </c>
      <c r="L2107">
        <f>IFERROR(tblMoeHistory[[#This Row],[State and Local Total Amount]]/tblMoeHistory[[#This Row],[Child Count]],0)</f>
        <v>12567.063709327553</v>
      </c>
      <c r="N2107" s="103" t="s">
        <v>241</v>
      </c>
      <c r="O2107">
        <v>739047.18</v>
      </c>
      <c r="P2107">
        <v>23095.8</v>
      </c>
      <c r="Q2107">
        <f>tblMoeHistory[[#This Row],[Amount of IDEA Part B, Section 611 award]]+tblMoeHistory[[#This Row],[Amount of IDEA Part B, Section 619 award]]</f>
        <v>762142.9800000001</v>
      </c>
      <c r="U21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7" t="s">
        <v>241</v>
      </c>
    </row>
    <row r="2108" spans="1:22" x14ac:dyDescent="0.35">
      <c r="A2108" t="s">
        <v>158</v>
      </c>
      <c r="B2108">
        <v>2192</v>
      </c>
      <c r="C2108" t="s">
        <v>1534</v>
      </c>
      <c r="D2108">
        <v>35</v>
      </c>
      <c r="E2108" s="81">
        <v>475720.73</v>
      </c>
      <c r="F2108" s="81">
        <v>68342.2</v>
      </c>
      <c r="G2108">
        <f>tblMoeHistory[[#This Row],[LEA State and Local Amount]]+tblMoeHistory[[#This Row],[ESD State and Local Amount]]</f>
        <v>544062.92999999993</v>
      </c>
      <c r="I2108" t="s">
        <v>242</v>
      </c>
      <c r="J2108" s="44">
        <f>IFERROR(tblMoeHistory[[#This Row],[LEA State and Local Amount]]/tblMoeHistory[[#This Row],[Child Count]],0)</f>
        <v>13592.020857142857</v>
      </c>
      <c r="K2108">
        <f>IFERROR(tblMoeHistory[[#This Row],[ESD State and Local Amount]]/tblMoeHistory[[#This Row],[Child Count]],0)</f>
        <v>1952.6342857142856</v>
      </c>
      <c r="L2108">
        <f>IFERROR(tblMoeHistory[[#This Row],[State and Local Total Amount]]/tblMoeHistory[[#This Row],[Child Count]],0)</f>
        <v>15544.65514285714</v>
      </c>
      <c r="N2108" s="103" t="s">
        <v>241</v>
      </c>
      <c r="O2108">
        <v>44882.2</v>
      </c>
      <c r="P2108">
        <v>1054.96</v>
      </c>
      <c r="Q2108">
        <f>tblMoeHistory[[#This Row],[Amount of IDEA Part B, Section 611 award]]+tblMoeHistory[[#This Row],[Amount of IDEA Part B, Section 619 award]]</f>
        <v>45937.159999999996</v>
      </c>
      <c r="U21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8" t="s">
        <v>242</v>
      </c>
    </row>
    <row r="2109" spans="1:22" x14ac:dyDescent="0.35">
      <c r="A2109" t="s">
        <v>160</v>
      </c>
      <c r="B2109">
        <v>1900</v>
      </c>
      <c r="C2109" t="s">
        <v>1534</v>
      </c>
      <c r="D2109">
        <v>149</v>
      </c>
      <c r="E2109" s="81">
        <v>2220158.4999999991</v>
      </c>
      <c r="F2109" s="81">
        <v>179979</v>
      </c>
      <c r="G2109">
        <f>tblMoeHistory[[#This Row],[LEA State and Local Amount]]+tblMoeHistory[[#This Row],[ESD State and Local Amount]]</f>
        <v>2400137.4999999991</v>
      </c>
      <c r="I2109" t="s">
        <v>242</v>
      </c>
      <c r="J2109" s="44">
        <f>IFERROR(tblMoeHistory[[#This Row],[LEA State and Local Amount]]/tblMoeHistory[[#This Row],[Child Count]],0)</f>
        <v>14900.392617449657</v>
      </c>
      <c r="K2109">
        <f>IFERROR(tblMoeHistory[[#This Row],[ESD State and Local Amount]]/tblMoeHistory[[#This Row],[Child Count]],0)</f>
        <v>1207.9127516778524</v>
      </c>
      <c r="L2109">
        <f>IFERROR(tblMoeHistory[[#This Row],[State and Local Total Amount]]/tblMoeHistory[[#This Row],[Child Count]],0)</f>
        <v>16108.305369127511</v>
      </c>
      <c r="N2109" s="103" t="s">
        <v>241</v>
      </c>
      <c r="O2109">
        <v>315468.52999999997</v>
      </c>
      <c r="P2109">
        <v>13305.14</v>
      </c>
      <c r="Q2109">
        <f>tblMoeHistory[[#This Row],[Amount of IDEA Part B, Section 611 award]]+tblMoeHistory[[#This Row],[Amount of IDEA Part B, Section 619 award]]</f>
        <v>328773.67</v>
      </c>
      <c r="U21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9" t="s">
        <v>242</v>
      </c>
    </row>
    <row r="2110" spans="1:22" x14ac:dyDescent="0.35">
      <c r="A2110" t="s">
        <v>161</v>
      </c>
      <c r="B2110">
        <v>2039</v>
      </c>
      <c r="C2110" t="s">
        <v>1534</v>
      </c>
      <c r="D2110">
        <v>369</v>
      </c>
      <c r="E2110" s="81">
        <v>3902661.0099999988</v>
      </c>
      <c r="F2110" s="81">
        <v>416685.1</v>
      </c>
      <c r="G2110">
        <f>tblMoeHistory[[#This Row],[LEA State and Local Amount]]+tblMoeHistory[[#This Row],[ESD State and Local Amount]]</f>
        <v>4319346.1099999985</v>
      </c>
      <c r="I2110" t="s">
        <v>242</v>
      </c>
      <c r="J2110" s="44">
        <f>IFERROR(tblMoeHistory[[#This Row],[LEA State and Local Amount]]/tblMoeHistory[[#This Row],[Child Count]],0)</f>
        <v>10576.317100270999</v>
      </c>
      <c r="K2110">
        <f>IFERROR(tblMoeHistory[[#This Row],[ESD State and Local Amount]]/tblMoeHistory[[#This Row],[Child Count]],0)</f>
        <v>1129.2279132791327</v>
      </c>
      <c r="L2110">
        <f>IFERROR(tblMoeHistory[[#This Row],[State and Local Total Amount]]/tblMoeHistory[[#This Row],[Child Count]],0)</f>
        <v>11705.545013550131</v>
      </c>
      <c r="N2110" s="103" t="s">
        <v>241</v>
      </c>
      <c r="O2110">
        <v>632751</v>
      </c>
      <c r="P2110">
        <v>22292.02</v>
      </c>
      <c r="Q2110">
        <f>tblMoeHistory[[#This Row],[Amount of IDEA Part B, Section 611 award]]+tblMoeHistory[[#This Row],[Amount of IDEA Part B, Section 619 award]]</f>
        <v>655043.02</v>
      </c>
      <c r="U21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0" t="s">
        <v>242</v>
      </c>
    </row>
    <row r="2111" spans="1:22" x14ac:dyDescent="0.35">
      <c r="A2111" t="s">
        <v>162</v>
      </c>
      <c r="B2111">
        <v>2202</v>
      </c>
      <c r="C2111" t="s">
        <v>1534</v>
      </c>
      <c r="D2111">
        <v>34</v>
      </c>
      <c r="E2111" s="81">
        <v>333045.57000000007</v>
      </c>
      <c r="F2111" s="81">
        <v>66751.28</v>
      </c>
      <c r="G2111">
        <f>tblMoeHistory[[#This Row],[LEA State and Local Amount]]+tblMoeHistory[[#This Row],[ESD State and Local Amount]]</f>
        <v>399796.85000000009</v>
      </c>
      <c r="I2111" t="s">
        <v>241</v>
      </c>
      <c r="J2111" s="44">
        <f>IFERROR(tblMoeHistory[[#This Row],[LEA State and Local Amount]]/tblMoeHistory[[#This Row],[Child Count]],0)</f>
        <v>9795.4579411764716</v>
      </c>
      <c r="K2111">
        <f>IFERROR(tblMoeHistory[[#This Row],[ESD State and Local Amount]]/tblMoeHistory[[#This Row],[Child Count]],0)</f>
        <v>1963.2729411764706</v>
      </c>
      <c r="L2111">
        <f>IFERROR(tblMoeHistory[[#This Row],[State and Local Total Amount]]/tblMoeHistory[[#This Row],[Child Count]],0)</f>
        <v>11758.730882352944</v>
      </c>
      <c r="N2111" s="103" t="s">
        <v>241</v>
      </c>
      <c r="O2111">
        <v>81372.490000000005</v>
      </c>
      <c r="P2111">
        <v>1567.56</v>
      </c>
      <c r="Q2111">
        <f>tblMoeHistory[[#This Row],[Amount of IDEA Part B, Section 611 award]]+tblMoeHistory[[#This Row],[Amount of IDEA Part B, Section 619 award]]</f>
        <v>82940.05</v>
      </c>
      <c r="U21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1" t="s">
        <v>241</v>
      </c>
    </row>
    <row r="2112" spans="1:22" x14ac:dyDescent="0.35">
      <c r="A2112" t="s">
        <v>163</v>
      </c>
      <c r="B2112">
        <v>2016</v>
      </c>
      <c r="C2112" t="s">
        <v>1534</v>
      </c>
      <c r="D2112">
        <v>0</v>
      </c>
      <c r="E2112">
        <v>0</v>
      </c>
      <c r="F2112" s="81">
        <v>17096.25</v>
      </c>
      <c r="G2112">
        <f>tblMoeHistory[[#This Row],[LEA State and Local Amount]]+tblMoeHistory[[#This Row],[ESD State and Local Amount]]</f>
        <v>17096.25</v>
      </c>
      <c r="I2112" t="s">
        <v>241</v>
      </c>
      <c r="J2112" s="44">
        <f>IFERROR(tblMoeHistory[[#This Row],[LEA State and Local Amount]]/tblMoeHistory[[#This Row],[Child Count]],0)</f>
        <v>0</v>
      </c>
      <c r="K2112">
        <f>IFERROR(tblMoeHistory[[#This Row],[ESD State and Local Amount]]/tblMoeHistory[[#This Row],[Child Count]],0)</f>
        <v>0</v>
      </c>
      <c r="L2112">
        <f>IFERROR(tblMoeHistory[[#This Row],[State and Local Total Amount]]/tblMoeHistory[[#This Row],[Child Count]],0)</f>
        <v>0</v>
      </c>
      <c r="N2112" s="103" t="s">
        <v>241</v>
      </c>
      <c r="O2112">
        <v>0</v>
      </c>
      <c r="P2112">
        <v>0</v>
      </c>
      <c r="Q2112">
        <f>tblMoeHistory[[#This Row],[Amount of IDEA Part B, Section 611 award]]+tblMoeHistory[[#This Row],[Amount of IDEA Part B, Section 619 award]]</f>
        <v>0</v>
      </c>
      <c r="U21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2" t="s">
        <v>241</v>
      </c>
    </row>
    <row r="2113" spans="1:22" x14ac:dyDescent="0.35">
      <c r="A2113" t="s">
        <v>164</v>
      </c>
      <c r="B2113">
        <v>1897</v>
      </c>
      <c r="C2113" t="s">
        <v>1534</v>
      </c>
      <c r="D2113">
        <v>27</v>
      </c>
      <c r="E2113" s="81">
        <v>252270.99</v>
      </c>
      <c r="F2113">
        <v>0</v>
      </c>
      <c r="G2113">
        <f>tblMoeHistory[[#This Row],[LEA State and Local Amount]]+tblMoeHistory[[#This Row],[ESD State and Local Amount]]</f>
        <v>252270.99</v>
      </c>
      <c r="I2113" t="s">
        <v>241</v>
      </c>
      <c r="J2113" s="44">
        <f>IFERROR(tblMoeHistory[[#This Row],[LEA State and Local Amount]]/tblMoeHistory[[#This Row],[Child Count]],0)</f>
        <v>9343.369999999999</v>
      </c>
      <c r="K2113">
        <f>IFERROR(tblMoeHistory[[#This Row],[ESD State and Local Amount]]/tblMoeHistory[[#This Row],[Child Count]],0)</f>
        <v>0</v>
      </c>
      <c r="L2113">
        <f>IFERROR(tblMoeHistory[[#This Row],[State and Local Total Amount]]/tblMoeHistory[[#This Row],[Child Count]],0)</f>
        <v>9343.369999999999</v>
      </c>
      <c r="N2113" s="103" t="s">
        <v>241</v>
      </c>
      <c r="O2113">
        <v>44148.649999999994</v>
      </c>
      <c r="P2113">
        <v>204.67</v>
      </c>
      <c r="Q2113">
        <f>tblMoeHistory[[#This Row],[Amount of IDEA Part B, Section 611 award]]+tblMoeHistory[[#This Row],[Amount of IDEA Part B, Section 619 award]]</f>
        <v>44353.319999999992</v>
      </c>
      <c r="U21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3" t="s">
        <v>241</v>
      </c>
    </row>
    <row r="2114" spans="1:22" x14ac:dyDescent="0.35">
      <c r="A2114" t="s">
        <v>165</v>
      </c>
      <c r="B2114">
        <v>2047</v>
      </c>
      <c r="C2114" t="s">
        <v>1534</v>
      </c>
      <c r="D2114">
        <v>6</v>
      </c>
      <c r="E2114" s="81">
        <v>13806</v>
      </c>
      <c r="F2114" s="81">
        <v>10098.870000000001</v>
      </c>
      <c r="G2114">
        <f>tblMoeHistory[[#This Row],[LEA State and Local Amount]]+tblMoeHistory[[#This Row],[ESD State and Local Amount]]</f>
        <v>23904.870000000003</v>
      </c>
      <c r="I2114" t="s">
        <v>241</v>
      </c>
      <c r="J2114" s="44">
        <f>IFERROR(tblMoeHistory[[#This Row],[LEA State and Local Amount]]/tblMoeHistory[[#This Row],[Child Count]],0)</f>
        <v>2301</v>
      </c>
      <c r="K2114">
        <f>IFERROR(tblMoeHistory[[#This Row],[ESD State and Local Amount]]/tblMoeHistory[[#This Row],[Child Count]],0)</f>
        <v>1683.1450000000002</v>
      </c>
      <c r="L2114">
        <f>IFERROR(tblMoeHistory[[#This Row],[State and Local Total Amount]]/tblMoeHistory[[#This Row],[Child Count]],0)</f>
        <v>3984.1450000000004</v>
      </c>
      <c r="N2114" s="103" t="s">
        <v>242</v>
      </c>
      <c r="O2114">
        <v>6969.85</v>
      </c>
      <c r="P2114">
        <v>1023.1</v>
      </c>
      <c r="Q2114">
        <f>tblMoeHistory[[#This Row],[Amount of IDEA Part B, Section 611 award]]+tblMoeHistory[[#This Row],[Amount of IDEA Part B, Section 619 award]]</f>
        <v>7992.9500000000007</v>
      </c>
      <c r="U21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4" t="s">
        <v>241</v>
      </c>
    </row>
    <row r="2115" spans="1:22" x14ac:dyDescent="0.35">
      <c r="A2115" t="s">
        <v>166</v>
      </c>
      <c r="B2115">
        <v>2081</v>
      </c>
      <c r="C2115" t="s">
        <v>1534</v>
      </c>
      <c r="D2115">
        <v>155</v>
      </c>
      <c r="E2115" s="81">
        <v>1412536.3399999999</v>
      </c>
      <c r="F2115" s="81">
        <v>222620</v>
      </c>
      <c r="G2115">
        <f>tblMoeHistory[[#This Row],[LEA State and Local Amount]]+tblMoeHistory[[#This Row],[ESD State and Local Amount]]</f>
        <v>1635156.3399999999</v>
      </c>
      <c r="I2115" t="s">
        <v>2139</v>
      </c>
      <c r="J2115" s="44">
        <f>IFERROR(tblMoeHistory[[#This Row],[LEA State and Local Amount]]/tblMoeHistory[[#This Row],[Child Count]],0)</f>
        <v>9113.1376774193541</v>
      </c>
      <c r="K2115">
        <f>IFERROR(tblMoeHistory[[#This Row],[ESD State and Local Amount]]/tblMoeHistory[[#This Row],[Child Count]],0)</f>
        <v>1436.258064516129</v>
      </c>
      <c r="L2115">
        <f>IFERROR(tblMoeHistory[[#This Row],[State and Local Total Amount]]/tblMoeHistory[[#This Row],[Child Count]],0)</f>
        <v>10549.395741935483</v>
      </c>
      <c r="N2115" s="103" t="s">
        <v>241</v>
      </c>
      <c r="O2115">
        <v>232434.34</v>
      </c>
      <c r="P2115">
        <v>3305.48</v>
      </c>
      <c r="Q2115">
        <f>tblMoeHistory[[#This Row],[Amount of IDEA Part B, Section 611 award]]+tblMoeHistory[[#This Row],[Amount of IDEA Part B, Section 619 award]]</f>
        <v>235739.82</v>
      </c>
      <c r="U21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5" t="s">
        <v>2139</v>
      </c>
    </row>
    <row r="2116" spans="1:22" x14ac:dyDescent="0.35">
      <c r="A2116" t="s">
        <v>167</v>
      </c>
      <c r="B2116">
        <v>2062</v>
      </c>
      <c r="C2116" t="s">
        <v>1534</v>
      </c>
      <c r="D2116">
        <v>4</v>
      </c>
      <c r="E2116">
        <v>0</v>
      </c>
      <c r="F2116" s="81">
        <v>30885.46</v>
      </c>
      <c r="G2116">
        <f>tblMoeHistory[[#This Row],[LEA State and Local Amount]]+tblMoeHistory[[#This Row],[ESD State and Local Amount]]</f>
        <v>30885.46</v>
      </c>
      <c r="I2116" t="s">
        <v>241</v>
      </c>
      <c r="J2116" s="44">
        <f>IFERROR(tblMoeHistory[[#This Row],[LEA State and Local Amount]]/tblMoeHistory[[#This Row],[Child Count]],0)</f>
        <v>0</v>
      </c>
      <c r="K2116">
        <f>IFERROR(tblMoeHistory[[#This Row],[ESD State and Local Amount]]/tblMoeHistory[[#This Row],[Child Count]],0)</f>
        <v>7721.3649999999998</v>
      </c>
      <c r="L2116">
        <f>IFERROR(tblMoeHistory[[#This Row],[State and Local Total Amount]]/tblMoeHistory[[#This Row],[Child Count]],0)</f>
        <v>7721.3649999999998</v>
      </c>
      <c r="N2116" s="103" t="s">
        <v>241</v>
      </c>
      <c r="O2116">
        <v>3523.14</v>
      </c>
      <c r="P2116">
        <v>0</v>
      </c>
      <c r="Q2116">
        <f>tblMoeHistory[[#This Row],[Amount of IDEA Part B, Section 611 award]]+tblMoeHistory[[#This Row],[Amount of IDEA Part B, Section 619 award]]</f>
        <v>3523.14</v>
      </c>
      <c r="U21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6" t="s">
        <v>241</v>
      </c>
    </row>
    <row r="2117" spans="1:22" x14ac:dyDescent="0.35">
      <c r="A2117" t="s">
        <v>168</v>
      </c>
      <c r="B2117">
        <v>1973</v>
      </c>
      <c r="C2117" t="s">
        <v>1534</v>
      </c>
      <c r="D2117">
        <v>21</v>
      </c>
      <c r="E2117" s="81">
        <v>182820.76</v>
      </c>
      <c r="F2117" s="81">
        <v>135496.74</v>
      </c>
      <c r="G2117">
        <f>tblMoeHistory[[#This Row],[LEA State and Local Amount]]+tblMoeHistory[[#This Row],[ESD State and Local Amount]]</f>
        <v>318317.5</v>
      </c>
      <c r="I2117" t="s">
        <v>241</v>
      </c>
      <c r="J2117" s="44">
        <f>IFERROR(tblMoeHistory[[#This Row],[LEA State and Local Amount]]/tblMoeHistory[[#This Row],[Child Count]],0)</f>
        <v>8705.7504761904765</v>
      </c>
      <c r="K2117">
        <f>IFERROR(tblMoeHistory[[#This Row],[ESD State and Local Amount]]/tblMoeHistory[[#This Row],[Child Count]],0)</f>
        <v>6452.2257142857143</v>
      </c>
      <c r="L2117">
        <f>IFERROR(tblMoeHistory[[#This Row],[State and Local Total Amount]]/tblMoeHistory[[#This Row],[Child Count]],0)</f>
        <v>15157.976190476191</v>
      </c>
      <c r="N2117" s="103" t="s">
        <v>241</v>
      </c>
      <c r="O2117">
        <v>78150.899999999994</v>
      </c>
      <c r="P2117">
        <v>2543.6099999999997</v>
      </c>
      <c r="Q2117">
        <f>tblMoeHistory[[#This Row],[Amount of IDEA Part B, Section 611 award]]+tblMoeHistory[[#This Row],[Amount of IDEA Part B, Section 619 award]]</f>
        <v>80694.509999999995</v>
      </c>
      <c r="U21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7" t="s">
        <v>241</v>
      </c>
    </row>
    <row r="2118" spans="1:22" x14ac:dyDescent="0.35">
      <c r="A2118" t="s">
        <v>169</v>
      </c>
      <c r="B2118">
        <v>2180</v>
      </c>
      <c r="C2118" t="s">
        <v>1534</v>
      </c>
      <c r="D2118">
        <v>7004</v>
      </c>
      <c r="E2118" s="81">
        <v>105415082.29999994</v>
      </c>
      <c r="F2118" s="81">
        <v>3420079.63</v>
      </c>
      <c r="G2118">
        <f>tblMoeHistory[[#This Row],[LEA State and Local Amount]]+tblMoeHistory[[#This Row],[ESD State and Local Amount]]</f>
        <v>108835161.92999993</v>
      </c>
      <c r="I2118" t="s">
        <v>241</v>
      </c>
      <c r="J2118" s="44">
        <f>IFERROR(tblMoeHistory[[#This Row],[LEA State and Local Amount]]/tblMoeHistory[[#This Row],[Child Count]],0)</f>
        <v>15050.697073101077</v>
      </c>
      <c r="K2118">
        <f>IFERROR(tblMoeHistory[[#This Row],[ESD State and Local Amount]]/tblMoeHistory[[#This Row],[Child Count]],0)</f>
        <v>488.30377355796685</v>
      </c>
      <c r="L2118">
        <f>IFERROR(tblMoeHistory[[#This Row],[State and Local Total Amount]]/tblMoeHistory[[#This Row],[Child Count]],0)</f>
        <v>15539.000846659043</v>
      </c>
      <c r="N2118" s="103" t="s">
        <v>241</v>
      </c>
      <c r="O2118">
        <v>10640548.979999997</v>
      </c>
      <c r="P2118">
        <v>347406.25</v>
      </c>
      <c r="Q2118">
        <f>tblMoeHistory[[#This Row],[Amount of IDEA Part B, Section 611 award]]+tblMoeHistory[[#This Row],[Amount of IDEA Part B, Section 619 award]]</f>
        <v>10987955.229999997</v>
      </c>
      <c r="U21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8" t="s">
        <v>241</v>
      </c>
    </row>
    <row r="2119" spans="1:22" x14ac:dyDescent="0.35">
      <c r="A2119" t="s">
        <v>170</v>
      </c>
      <c r="B2119">
        <v>1967</v>
      </c>
      <c r="C2119" t="s">
        <v>1534</v>
      </c>
      <c r="D2119">
        <v>21</v>
      </c>
      <c r="E2119" s="81">
        <v>66329.81</v>
      </c>
      <c r="F2119" s="81">
        <v>35611.4</v>
      </c>
      <c r="G2119">
        <f>tblMoeHistory[[#This Row],[LEA State and Local Amount]]+tblMoeHistory[[#This Row],[ESD State and Local Amount]]</f>
        <v>101941.20999999999</v>
      </c>
      <c r="I2119" t="s">
        <v>241</v>
      </c>
      <c r="J2119" s="44">
        <f>IFERROR(tblMoeHistory[[#This Row],[LEA State and Local Amount]]/tblMoeHistory[[#This Row],[Child Count]],0)</f>
        <v>3158.5623809523809</v>
      </c>
      <c r="K2119">
        <f>IFERROR(tblMoeHistory[[#This Row],[ESD State and Local Amount]]/tblMoeHistory[[#This Row],[Child Count]],0)</f>
        <v>1695.7809523809524</v>
      </c>
      <c r="L2119">
        <f>IFERROR(tblMoeHistory[[#This Row],[State and Local Total Amount]]/tblMoeHistory[[#This Row],[Child Count]],0)</f>
        <v>4854.3433333333332</v>
      </c>
      <c r="N2119" s="103" t="s">
        <v>241</v>
      </c>
      <c r="O2119">
        <v>27827.1</v>
      </c>
      <c r="P2119">
        <v>183.28</v>
      </c>
      <c r="Q2119">
        <f>tblMoeHistory[[#This Row],[Amount of IDEA Part B, Section 611 award]]+tblMoeHistory[[#This Row],[Amount of IDEA Part B, Section 619 award]]</f>
        <v>28010.379999999997</v>
      </c>
      <c r="U21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9" t="s">
        <v>241</v>
      </c>
    </row>
    <row r="2120" spans="1:22" x14ac:dyDescent="0.35">
      <c r="A2120" t="s">
        <v>171</v>
      </c>
      <c r="B2120">
        <v>2009</v>
      </c>
      <c r="C2120" t="s">
        <v>1534</v>
      </c>
      <c r="D2120">
        <v>31</v>
      </c>
      <c r="E2120" s="81">
        <v>164810.21</v>
      </c>
      <c r="F2120" s="81">
        <v>74188.239999999991</v>
      </c>
      <c r="G2120">
        <f>tblMoeHistory[[#This Row],[LEA State and Local Amount]]+tblMoeHistory[[#This Row],[ESD State and Local Amount]]</f>
        <v>238998.44999999998</v>
      </c>
      <c r="I2120" t="s">
        <v>242</v>
      </c>
      <c r="J2120" s="44">
        <f>IFERROR(tblMoeHistory[[#This Row],[LEA State and Local Amount]]/tblMoeHistory[[#This Row],[Child Count]],0)</f>
        <v>5316.4583870967735</v>
      </c>
      <c r="K2120">
        <f>IFERROR(tblMoeHistory[[#This Row],[ESD State and Local Amount]]/tblMoeHistory[[#This Row],[Child Count]],0)</f>
        <v>2393.1690322580644</v>
      </c>
      <c r="L2120">
        <f>IFERROR(tblMoeHistory[[#This Row],[State and Local Total Amount]]/tblMoeHistory[[#This Row],[Child Count]],0)</f>
        <v>7709.6274193548379</v>
      </c>
      <c r="N2120" s="103" t="s">
        <v>2140</v>
      </c>
      <c r="O2120">
        <v>35899.189999999995</v>
      </c>
      <c r="P2120">
        <v>2022.19</v>
      </c>
      <c r="Q2120">
        <f>tblMoeHistory[[#This Row],[Amount of IDEA Part B, Section 611 award]]+tblMoeHistory[[#This Row],[Amount of IDEA Part B, Section 619 award]]</f>
        <v>37921.379999999997</v>
      </c>
      <c r="U21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0" t="s">
        <v>242</v>
      </c>
    </row>
    <row r="2121" spans="1:22" x14ac:dyDescent="0.35">
      <c r="A2121" t="s">
        <v>172</v>
      </c>
      <c r="B2121">
        <v>2045</v>
      </c>
      <c r="C2121" t="s">
        <v>1534</v>
      </c>
      <c r="D2121">
        <v>29</v>
      </c>
      <c r="E2121" s="81">
        <v>170609.75999999998</v>
      </c>
      <c r="F2121" s="81">
        <v>88642.639999999985</v>
      </c>
      <c r="G2121">
        <f>tblMoeHistory[[#This Row],[LEA State and Local Amount]]+tblMoeHistory[[#This Row],[ESD State and Local Amount]]</f>
        <v>259252.39999999997</v>
      </c>
      <c r="I2121" t="s">
        <v>242</v>
      </c>
      <c r="J2121" s="44">
        <f>IFERROR(tblMoeHistory[[#This Row],[LEA State and Local Amount]]/tblMoeHistory[[#This Row],[Child Count]],0)</f>
        <v>5883.0951724137922</v>
      </c>
      <c r="K2121">
        <f>IFERROR(tblMoeHistory[[#This Row],[ESD State and Local Amount]]/tblMoeHistory[[#This Row],[Child Count]],0)</f>
        <v>3056.6427586206892</v>
      </c>
      <c r="L2121">
        <f>IFERROR(tblMoeHistory[[#This Row],[State and Local Total Amount]]/tblMoeHistory[[#This Row],[Child Count]],0)</f>
        <v>8939.7379310344822</v>
      </c>
      <c r="N2121" s="103" t="s">
        <v>242</v>
      </c>
      <c r="O2121">
        <v>38489.61</v>
      </c>
      <c r="P2121">
        <v>1087.26</v>
      </c>
      <c r="Q2121">
        <f>tblMoeHistory[[#This Row],[Amount of IDEA Part B, Section 611 award]]+tblMoeHistory[[#This Row],[Amount of IDEA Part B, Section 619 award]]</f>
        <v>39576.870000000003</v>
      </c>
      <c r="U21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1" t="s">
        <v>242</v>
      </c>
    </row>
    <row r="2122" spans="1:22" x14ac:dyDescent="0.35">
      <c r="A2122" t="s">
        <v>173</v>
      </c>
      <c r="B2122">
        <v>1946</v>
      </c>
      <c r="C2122" t="s">
        <v>1534</v>
      </c>
      <c r="D2122">
        <v>143</v>
      </c>
      <c r="E2122" s="81">
        <v>1601449.2299999997</v>
      </c>
      <c r="F2122" s="81">
        <v>136644</v>
      </c>
      <c r="G2122">
        <f>tblMoeHistory[[#This Row],[LEA State and Local Amount]]+tblMoeHistory[[#This Row],[ESD State and Local Amount]]</f>
        <v>1738093.2299999997</v>
      </c>
      <c r="I2122" t="s">
        <v>241</v>
      </c>
      <c r="J2122" s="44">
        <f>IFERROR(tblMoeHistory[[#This Row],[LEA State and Local Amount]]/tblMoeHistory[[#This Row],[Child Count]],0)</f>
        <v>11198.945664335663</v>
      </c>
      <c r="K2122">
        <f>IFERROR(tblMoeHistory[[#This Row],[ESD State and Local Amount]]/tblMoeHistory[[#This Row],[Child Count]],0)</f>
        <v>955.55244755244757</v>
      </c>
      <c r="L2122">
        <f>IFERROR(tblMoeHistory[[#This Row],[State and Local Total Amount]]/tblMoeHistory[[#This Row],[Child Count]],0)</f>
        <v>12154.49811188811</v>
      </c>
      <c r="N2122" s="103" t="s">
        <v>241</v>
      </c>
      <c r="O2122">
        <v>223377.47000000003</v>
      </c>
      <c r="P2122">
        <v>5216.91</v>
      </c>
      <c r="Q2122">
        <f>tblMoeHistory[[#This Row],[Amount of IDEA Part B, Section 611 award]]+tblMoeHistory[[#This Row],[Amount of IDEA Part B, Section 619 award]]</f>
        <v>228594.38000000003</v>
      </c>
      <c r="U21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2" t="s">
        <v>241</v>
      </c>
    </row>
    <row r="2123" spans="1:22" x14ac:dyDescent="0.35">
      <c r="A2123" t="s">
        <v>174</v>
      </c>
      <c r="B2123">
        <v>1977</v>
      </c>
      <c r="C2123" t="s">
        <v>1534</v>
      </c>
      <c r="D2123">
        <v>897</v>
      </c>
      <c r="E2123" s="81">
        <v>11162510.069999991</v>
      </c>
      <c r="F2123" s="81">
        <v>1288446.8899999999</v>
      </c>
      <c r="G2123">
        <f>tblMoeHistory[[#This Row],[LEA State and Local Amount]]+tblMoeHistory[[#This Row],[ESD State and Local Amount]]</f>
        <v>12450956.959999992</v>
      </c>
      <c r="I2123" t="s">
        <v>2140</v>
      </c>
      <c r="J2123" s="44">
        <f>IFERROR(tblMoeHistory[[#This Row],[LEA State and Local Amount]]/tblMoeHistory[[#This Row],[Child Count]],0)</f>
        <v>12444.269866220726</v>
      </c>
      <c r="K2123">
        <f>IFERROR(tblMoeHistory[[#This Row],[ESD State and Local Amount]]/tblMoeHistory[[#This Row],[Child Count]],0)</f>
        <v>1436.395641025641</v>
      </c>
      <c r="L2123">
        <f>IFERROR(tblMoeHistory[[#This Row],[State and Local Total Amount]]/tblMoeHistory[[#This Row],[Child Count]],0)</f>
        <v>13880.665507246367</v>
      </c>
      <c r="N2123" s="103" t="s">
        <v>2140</v>
      </c>
      <c r="O2123">
        <v>1346516.8699999999</v>
      </c>
      <c r="P2123">
        <v>22528.3</v>
      </c>
      <c r="Q2123">
        <f>tblMoeHistory[[#This Row],[Amount of IDEA Part B, Section 611 award]]+tblMoeHistory[[#This Row],[Amount of IDEA Part B, Section 619 award]]</f>
        <v>1369045.17</v>
      </c>
      <c r="U21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3" t="s">
        <v>2138</v>
      </c>
    </row>
    <row r="2124" spans="1:22" x14ac:dyDescent="0.35">
      <c r="A2124" t="s">
        <v>175</v>
      </c>
      <c r="B2124">
        <v>2001</v>
      </c>
      <c r="C2124" t="s">
        <v>1534</v>
      </c>
      <c r="D2124">
        <v>103</v>
      </c>
      <c r="E2124" s="81">
        <v>1641713.1800000002</v>
      </c>
      <c r="F2124" s="81">
        <v>216710.56</v>
      </c>
      <c r="G2124">
        <f>tblMoeHistory[[#This Row],[LEA State and Local Amount]]+tblMoeHistory[[#This Row],[ESD State and Local Amount]]</f>
        <v>1858423.7400000002</v>
      </c>
      <c r="I2124" t="s">
        <v>242</v>
      </c>
      <c r="J2124" s="44">
        <f>IFERROR(tblMoeHistory[[#This Row],[LEA State and Local Amount]]/tblMoeHistory[[#This Row],[Child Count]],0)</f>
        <v>15938.96291262136</v>
      </c>
      <c r="K2124">
        <f>IFERROR(tblMoeHistory[[#This Row],[ESD State and Local Amount]]/tblMoeHistory[[#This Row],[Child Count]],0)</f>
        <v>2103.9860194174757</v>
      </c>
      <c r="L2124">
        <f>IFERROR(tblMoeHistory[[#This Row],[State and Local Total Amount]]/tblMoeHistory[[#This Row],[Child Count]],0)</f>
        <v>18042.948932038838</v>
      </c>
      <c r="N2124" s="103" t="s">
        <v>241</v>
      </c>
      <c r="O2124">
        <v>171781.86</v>
      </c>
      <c r="P2124">
        <v>7337.83</v>
      </c>
      <c r="Q2124">
        <f>tblMoeHistory[[#This Row],[Amount of IDEA Part B, Section 611 award]]+tblMoeHistory[[#This Row],[Amount of IDEA Part B, Section 619 award]]</f>
        <v>179119.68999999997</v>
      </c>
      <c r="U21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4" t="s">
        <v>242</v>
      </c>
    </row>
    <row r="2125" spans="1:22" x14ac:dyDescent="0.35">
      <c r="A2125" t="s">
        <v>176</v>
      </c>
      <c r="B2125">
        <v>2182</v>
      </c>
      <c r="C2125" t="s">
        <v>1534</v>
      </c>
      <c r="D2125">
        <v>1579</v>
      </c>
      <c r="E2125" s="81">
        <v>21590093.610000007</v>
      </c>
      <c r="F2125" s="81">
        <v>2518733.0099999998</v>
      </c>
      <c r="G2125">
        <f>tblMoeHistory[[#This Row],[LEA State and Local Amount]]+tblMoeHistory[[#This Row],[ESD State and Local Amount]]</f>
        <v>24108826.620000005</v>
      </c>
      <c r="I2125" t="s">
        <v>241</v>
      </c>
      <c r="J2125" s="44">
        <f>IFERROR(tblMoeHistory[[#This Row],[LEA State and Local Amount]]/tblMoeHistory[[#This Row],[Child Count]],0)</f>
        <v>13673.270177327428</v>
      </c>
      <c r="K2125">
        <f>IFERROR(tblMoeHistory[[#This Row],[ESD State and Local Amount]]/tblMoeHistory[[#This Row],[Child Count]],0)</f>
        <v>1595.1444015199493</v>
      </c>
      <c r="L2125">
        <f>IFERROR(tblMoeHistory[[#This Row],[State and Local Total Amount]]/tblMoeHistory[[#This Row],[Child Count]],0)</f>
        <v>15268.414578847374</v>
      </c>
      <c r="N2125" s="103" t="s">
        <v>241</v>
      </c>
      <c r="O2125">
        <v>2186103.38</v>
      </c>
      <c r="P2125">
        <v>44838.85</v>
      </c>
      <c r="Q2125">
        <f>tblMoeHistory[[#This Row],[Amount of IDEA Part B, Section 611 award]]+tblMoeHistory[[#This Row],[Amount of IDEA Part B, Section 619 award]]</f>
        <v>2230942.23</v>
      </c>
      <c r="U21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5" t="s">
        <v>241</v>
      </c>
    </row>
    <row r="2126" spans="1:22" x14ac:dyDescent="0.35">
      <c r="A2126" t="s">
        <v>177</v>
      </c>
      <c r="B2126">
        <v>1999</v>
      </c>
      <c r="C2126" t="s">
        <v>1534</v>
      </c>
      <c r="D2126">
        <v>71</v>
      </c>
      <c r="E2126" s="81">
        <v>480478.08000000007</v>
      </c>
      <c r="F2126" s="81">
        <v>141308.65</v>
      </c>
      <c r="G2126">
        <f>tblMoeHistory[[#This Row],[LEA State and Local Amount]]+tblMoeHistory[[#This Row],[ESD State and Local Amount]]</f>
        <v>621786.7300000001</v>
      </c>
      <c r="I2126" t="s">
        <v>241</v>
      </c>
      <c r="J2126" s="44">
        <f>IFERROR(tblMoeHistory[[#This Row],[LEA State and Local Amount]]/tblMoeHistory[[#This Row],[Child Count]],0)</f>
        <v>6767.296901408452</v>
      </c>
      <c r="K2126">
        <f>IFERROR(tblMoeHistory[[#This Row],[ESD State and Local Amount]]/tblMoeHistory[[#This Row],[Child Count]],0)</f>
        <v>1990.262676056338</v>
      </c>
      <c r="L2126">
        <f>IFERROR(tblMoeHistory[[#This Row],[State and Local Total Amount]]/tblMoeHistory[[#This Row],[Child Count]],0)</f>
        <v>8757.55957746479</v>
      </c>
      <c r="N2126" s="103" t="s">
        <v>2140</v>
      </c>
      <c r="O2126">
        <v>90102.030000000013</v>
      </c>
      <c r="P2126">
        <v>631.34999999999991</v>
      </c>
      <c r="Q2126">
        <f>tblMoeHistory[[#This Row],[Amount of IDEA Part B, Section 611 award]]+tblMoeHistory[[#This Row],[Amount of IDEA Part B, Section 619 award]]</f>
        <v>90733.380000000019</v>
      </c>
      <c r="U21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6" t="s">
        <v>241</v>
      </c>
    </row>
    <row r="2127" spans="1:22" x14ac:dyDescent="0.35">
      <c r="A2127" t="s">
        <v>178</v>
      </c>
      <c r="B2127">
        <v>2188</v>
      </c>
      <c r="C2127" t="s">
        <v>1534</v>
      </c>
      <c r="D2127">
        <v>57</v>
      </c>
      <c r="E2127" s="81">
        <v>460402.98000000004</v>
      </c>
      <c r="F2127" s="81">
        <v>309729</v>
      </c>
      <c r="G2127">
        <f>tblMoeHistory[[#This Row],[LEA State and Local Amount]]+tblMoeHistory[[#This Row],[ESD State and Local Amount]]</f>
        <v>770131.98</v>
      </c>
      <c r="I2127" t="s">
        <v>241</v>
      </c>
      <c r="J2127" s="44">
        <f>IFERROR(tblMoeHistory[[#This Row],[LEA State and Local Amount]]/tblMoeHistory[[#This Row],[Child Count]],0)</f>
        <v>8077.2452631578954</v>
      </c>
      <c r="K2127">
        <f>IFERROR(tblMoeHistory[[#This Row],[ESD State and Local Amount]]/tblMoeHistory[[#This Row],[Child Count]],0)</f>
        <v>5433.8421052631575</v>
      </c>
      <c r="L2127">
        <f>IFERROR(tblMoeHistory[[#This Row],[State and Local Total Amount]]/tblMoeHistory[[#This Row],[Child Count]],0)</f>
        <v>13511.087368421053</v>
      </c>
      <c r="N2127" s="103" t="s">
        <v>2140</v>
      </c>
      <c r="O2127">
        <v>88074.97</v>
      </c>
      <c r="P2127">
        <v>641.9</v>
      </c>
      <c r="Q2127">
        <f>tblMoeHistory[[#This Row],[Amount of IDEA Part B, Section 611 award]]+tblMoeHistory[[#This Row],[Amount of IDEA Part B, Section 619 award]]</f>
        <v>88716.87</v>
      </c>
      <c r="U21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7" t="s">
        <v>241</v>
      </c>
    </row>
    <row r="2128" spans="1:22" x14ac:dyDescent="0.35">
      <c r="A2128" t="s">
        <v>179</v>
      </c>
      <c r="B2128">
        <v>2044</v>
      </c>
      <c r="C2128" t="s">
        <v>1534</v>
      </c>
      <c r="D2128">
        <v>153</v>
      </c>
      <c r="E2128" s="81">
        <v>1214031.0399999998</v>
      </c>
      <c r="F2128" s="81">
        <v>379065.87999999995</v>
      </c>
      <c r="G2128">
        <f>tblMoeHistory[[#This Row],[LEA State and Local Amount]]+tblMoeHistory[[#This Row],[ESD State and Local Amount]]</f>
        <v>1593096.9199999997</v>
      </c>
      <c r="I2128" t="s">
        <v>242</v>
      </c>
      <c r="J2128" s="44">
        <f>IFERROR(tblMoeHistory[[#This Row],[LEA State and Local Amount]]/tblMoeHistory[[#This Row],[Child Count]],0)</f>
        <v>7934.8433986928094</v>
      </c>
      <c r="K2128">
        <f>IFERROR(tblMoeHistory[[#This Row],[ESD State and Local Amount]]/tblMoeHistory[[#This Row],[Child Count]],0)</f>
        <v>2477.5547712418297</v>
      </c>
      <c r="L2128">
        <f>IFERROR(tblMoeHistory[[#This Row],[State and Local Total Amount]]/tblMoeHistory[[#This Row],[Child Count]],0)</f>
        <v>10412.398169934639</v>
      </c>
      <c r="N2128" s="103" t="s">
        <v>241</v>
      </c>
      <c r="O2128">
        <v>228060.79999999999</v>
      </c>
      <c r="P2128">
        <v>5061.38</v>
      </c>
      <c r="Q2128">
        <f>tblMoeHistory[[#This Row],[Amount of IDEA Part B, Section 611 award]]+tblMoeHistory[[#This Row],[Amount of IDEA Part B, Section 619 award]]</f>
        <v>233122.18</v>
      </c>
      <c r="U21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8" t="s">
        <v>242</v>
      </c>
    </row>
    <row r="2129" spans="1:22" x14ac:dyDescent="0.35">
      <c r="A2129" t="s">
        <v>180</v>
      </c>
      <c r="B2129">
        <v>2142</v>
      </c>
      <c r="C2129" t="s">
        <v>1534</v>
      </c>
      <c r="D2129">
        <v>6609</v>
      </c>
      <c r="E2129" s="81">
        <v>88924096.170000032</v>
      </c>
      <c r="F2129">
        <v>0</v>
      </c>
      <c r="G2129">
        <f>tblMoeHistory[[#This Row],[LEA State and Local Amount]]+tblMoeHistory[[#This Row],[ESD State and Local Amount]]</f>
        <v>88924096.170000032</v>
      </c>
      <c r="I2129" t="s">
        <v>241</v>
      </c>
      <c r="J2129" s="44">
        <f>IFERROR(tblMoeHistory[[#This Row],[LEA State and Local Amount]]/tblMoeHistory[[#This Row],[Child Count]],0)</f>
        <v>13455.000177031327</v>
      </c>
      <c r="K2129">
        <f>IFERROR(tblMoeHistory[[#This Row],[ESD State and Local Amount]]/tblMoeHistory[[#This Row],[Child Count]],0)</f>
        <v>0</v>
      </c>
      <c r="L2129">
        <f>IFERROR(tblMoeHistory[[#This Row],[State and Local Total Amount]]/tblMoeHistory[[#This Row],[Child Count]],0)</f>
        <v>13455.000177031327</v>
      </c>
      <c r="N2129" s="103" t="s">
        <v>241</v>
      </c>
      <c r="O2129">
        <v>8213594.3500000015</v>
      </c>
      <c r="P2129">
        <v>153801.79999999999</v>
      </c>
      <c r="Q2129">
        <f>tblMoeHistory[[#This Row],[Amount of IDEA Part B, Section 611 award]]+tblMoeHistory[[#This Row],[Amount of IDEA Part B, Section 619 award]]</f>
        <v>8367396.1500000013</v>
      </c>
      <c r="U21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9" t="s">
        <v>241</v>
      </c>
    </row>
    <row r="2130" spans="1:22" x14ac:dyDescent="0.35">
      <c r="A2130" t="s">
        <v>181</v>
      </c>
      <c r="B2130">
        <v>2104</v>
      </c>
      <c r="C2130" t="s">
        <v>1534</v>
      </c>
      <c r="D2130">
        <v>741</v>
      </c>
      <c r="E2130" s="81">
        <v>5019500.5700000012</v>
      </c>
      <c r="F2130" s="81">
        <v>904965</v>
      </c>
      <c r="G2130">
        <f>tblMoeHistory[[#This Row],[LEA State and Local Amount]]+tblMoeHistory[[#This Row],[ESD State and Local Amount]]</f>
        <v>5924465.5700000012</v>
      </c>
      <c r="I2130" t="s">
        <v>241</v>
      </c>
      <c r="J2130" s="44">
        <f>IFERROR(tblMoeHistory[[#This Row],[LEA State and Local Amount]]/tblMoeHistory[[#This Row],[Child Count]],0)</f>
        <v>6773.9548852901498</v>
      </c>
      <c r="K2130">
        <f>IFERROR(tblMoeHistory[[#This Row],[ESD State and Local Amount]]/tblMoeHistory[[#This Row],[Child Count]],0)</f>
        <v>1221.2753036437248</v>
      </c>
      <c r="L2130">
        <f>IFERROR(tblMoeHistory[[#This Row],[State and Local Total Amount]]/tblMoeHistory[[#This Row],[Child Count]],0)</f>
        <v>7995.2301889338751</v>
      </c>
      <c r="N2130" s="103" t="s">
        <v>2140</v>
      </c>
      <c r="O2130">
        <v>643580.76</v>
      </c>
      <c r="P2130">
        <v>3789.8500000000004</v>
      </c>
      <c r="Q2130">
        <f>tblMoeHistory[[#This Row],[Amount of IDEA Part B, Section 611 award]]+tblMoeHistory[[#This Row],[Amount of IDEA Part B, Section 619 award]]</f>
        <v>647370.61</v>
      </c>
      <c r="U21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0" t="s">
        <v>241</v>
      </c>
    </row>
    <row r="2131" spans="1:22" x14ac:dyDescent="0.35">
      <c r="A2131" t="s">
        <v>182</v>
      </c>
      <c r="B2131">
        <v>1944</v>
      </c>
      <c r="C2131" t="s">
        <v>1534</v>
      </c>
      <c r="D2131">
        <v>307</v>
      </c>
      <c r="E2131" s="81">
        <v>2871007.9500000007</v>
      </c>
      <c r="F2131" s="81">
        <v>901437</v>
      </c>
      <c r="G2131">
        <f>tblMoeHistory[[#This Row],[LEA State and Local Amount]]+tblMoeHistory[[#This Row],[ESD State and Local Amount]]</f>
        <v>3772444.9500000007</v>
      </c>
      <c r="I2131" t="s">
        <v>242</v>
      </c>
      <c r="J2131" s="44">
        <f>IFERROR(tblMoeHistory[[#This Row],[LEA State and Local Amount]]/tblMoeHistory[[#This Row],[Child Count]],0)</f>
        <v>9351.8174267101003</v>
      </c>
      <c r="K2131">
        <f>IFERROR(tblMoeHistory[[#This Row],[ESD State and Local Amount]]/tblMoeHistory[[#This Row],[Child Count]],0)</f>
        <v>2936.2768729641693</v>
      </c>
      <c r="L2131">
        <f>IFERROR(tblMoeHistory[[#This Row],[State and Local Total Amount]]/tblMoeHistory[[#This Row],[Child Count]],0)</f>
        <v>12288.094299674269</v>
      </c>
      <c r="N2131" s="103" t="s">
        <v>242</v>
      </c>
      <c r="O2131">
        <v>440185.45999999996</v>
      </c>
      <c r="P2131">
        <v>7153.5</v>
      </c>
      <c r="Q2131">
        <f>tblMoeHistory[[#This Row],[Amount of IDEA Part B, Section 611 award]]+tblMoeHistory[[#This Row],[Amount of IDEA Part B, Section 619 award]]</f>
        <v>447338.95999999996</v>
      </c>
      <c r="U21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1" t="s">
        <v>242</v>
      </c>
    </row>
    <row r="2132" spans="1:22" x14ac:dyDescent="0.35">
      <c r="A2132" t="s">
        <v>183</v>
      </c>
      <c r="B2132">
        <v>2103</v>
      </c>
      <c r="C2132" t="s">
        <v>1534</v>
      </c>
      <c r="D2132">
        <v>267</v>
      </c>
      <c r="E2132" s="81">
        <v>1659072</v>
      </c>
      <c r="F2132" s="81">
        <v>292129</v>
      </c>
      <c r="G2132">
        <f>tblMoeHistory[[#This Row],[LEA State and Local Amount]]+tblMoeHistory[[#This Row],[ESD State and Local Amount]]</f>
        <v>1951201</v>
      </c>
      <c r="I2132" t="s">
        <v>241</v>
      </c>
      <c r="J2132" s="44">
        <f>IFERROR(tblMoeHistory[[#This Row],[LEA State and Local Amount]]/tblMoeHistory[[#This Row],[Child Count]],0)</f>
        <v>6213.7528089887637</v>
      </c>
      <c r="K2132">
        <f>IFERROR(tblMoeHistory[[#This Row],[ESD State and Local Amount]]/tblMoeHistory[[#This Row],[Child Count]],0)</f>
        <v>1094.1161048689139</v>
      </c>
      <c r="L2132">
        <f>IFERROR(tblMoeHistory[[#This Row],[State and Local Total Amount]]/tblMoeHistory[[#This Row],[Child Count]],0)</f>
        <v>7307.8689138576783</v>
      </c>
      <c r="N2132" s="103" t="s">
        <v>241</v>
      </c>
      <c r="O2132">
        <v>146596.72</v>
      </c>
      <c r="P2132">
        <v>2195.71</v>
      </c>
      <c r="Q2132">
        <f>tblMoeHistory[[#This Row],[Amount of IDEA Part B, Section 611 award]]+tblMoeHistory[[#This Row],[Amount of IDEA Part B, Section 619 award]]</f>
        <v>148792.43</v>
      </c>
      <c r="U21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2" t="s">
        <v>241</v>
      </c>
    </row>
    <row r="2133" spans="1:22" x14ac:dyDescent="0.35">
      <c r="A2133" t="s">
        <v>184</v>
      </c>
      <c r="B2133">
        <v>1935</v>
      </c>
      <c r="C2133" t="s">
        <v>1534</v>
      </c>
      <c r="D2133">
        <v>234</v>
      </c>
      <c r="E2133" s="81">
        <v>2727533.25</v>
      </c>
      <c r="F2133" s="81">
        <v>506509</v>
      </c>
      <c r="G2133">
        <f>tblMoeHistory[[#This Row],[LEA State and Local Amount]]+tblMoeHistory[[#This Row],[ESD State and Local Amount]]</f>
        <v>3234042.25</v>
      </c>
      <c r="I2133" t="s">
        <v>241</v>
      </c>
      <c r="J2133" s="44">
        <f>IFERROR(tblMoeHistory[[#This Row],[LEA State and Local Amount]]/tblMoeHistory[[#This Row],[Child Count]],0)</f>
        <v>11656.125</v>
      </c>
      <c r="K2133">
        <f>IFERROR(tblMoeHistory[[#This Row],[ESD State and Local Amount]]/tblMoeHistory[[#This Row],[Child Count]],0)</f>
        <v>2164.568376068376</v>
      </c>
      <c r="L2133">
        <f>IFERROR(tblMoeHistory[[#This Row],[State and Local Total Amount]]/tblMoeHistory[[#This Row],[Child Count]],0)</f>
        <v>13820.693376068377</v>
      </c>
      <c r="N2133" s="103" t="s">
        <v>241</v>
      </c>
      <c r="O2133">
        <v>340415.97000000003</v>
      </c>
      <c r="P2133">
        <v>10351.880000000001</v>
      </c>
      <c r="Q2133">
        <f>tblMoeHistory[[#This Row],[Amount of IDEA Part B, Section 611 award]]+tblMoeHistory[[#This Row],[Amount of IDEA Part B, Section 619 award]]</f>
        <v>350767.85000000003</v>
      </c>
      <c r="U21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3" t="s">
        <v>241</v>
      </c>
    </row>
    <row r="2134" spans="1:22" x14ac:dyDescent="0.35">
      <c r="A2134" t="s">
        <v>185</v>
      </c>
      <c r="B2134">
        <v>2257</v>
      </c>
      <c r="C2134" t="s">
        <v>1534</v>
      </c>
      <c r="D2134">
        <v>128</v>
      </c>
      <c r="E2134" s="81">
        <v>941460.19000000018</v>
      </c>
      <c r="F2134" s="81">
        <v>198087.05</v>
      </c>
      <c r="G2134">
        <f>tblMoeHistory[[#This Row],[LEA State and Local Amount]]+tblMoeHistory[[#This Row],[ESD State and Local Amount]]</f>
        <v>1139547.2400000002</v>
      </c>
      <c r="I2134" t="s">
        <v>241</v>
      </c>
      <c r="J2134" s="44">
        <f>IFERROR(tblMoeHistory[[#This Row],[LEA State and Local Amount]]/tblMoeHistory[[#This Row],[Child Count]],0)</f>
        <v>7355.1577343750014</v>
      </c>
      <c r="K2134">
        <f>IFERROR(tblMoeHistory[[#This Row],[ESD State and Local Amount]]/tblMoeHistory[[#This Row],[Child Count]],0)</f>
        <v>1547.5550781249999</v>
      </c>
      <c r="L2134">
        <f>IFERROR(tblMoeHistory[[#This Row],[State and Local Total Amount]]/tblMoeHistory[[#This Row],[Child Count]],0)</f>
        <v>8902.7128125000017</v>
      </c>
      <c r="N2134" s="103" t="s">
        <v>2140</v>
      </c>
      <c r="O2134">
        <v>199973.92</v>
      </c>
      <c r="P2134">
        <v>5474.54</v>
      </c>
      <c r="Q2134">
        <f>tblMoeHistory[[#This Row],[Amount of IDEA Part B, Section 611 award]]+tblMoeHistory[[#This Row],[Amount of IDEA Part B, Section 619 award]]</f>
        <v>205448.46000000002</v>
      </c>
      <c r="U21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4" t="s">
        <v>241</v>
      </c>
    </row>
    <row r="2135" spans="1:22" x14ac:dyDescent="0.35">
      <c r="A2135" t="s">
        <v>186</v>
      </c>
      <c r="B2135">
        <v>2195</v>
      </c>
      <c r="C2135" t="s">
        <v>1534</v>
      </c>
      <c r="D2135">
        <v>42</v>
      </c>
      <c r="E2135" s="81">
        <v>80688.059999999983</v>
      </c>
      <c r="F2135" s="81">
        <v>218242</v>
      </c>
      <c r="G2135">
        <f>tblMoeHistory[[#This Row],[LEA State and Local Amount]]+tblMoeHistory[[#This Row],[ESD State and Local Amount]]</f>
        <v>298930.06</v>
      </c>
      <c r="I2135" t="s">
        <v>241</v>
      </c>
      <c r="J2135" s="44">
        <f>IFERROR(tblMoeHistory[[#This Row],[LEA State and Local Amount]]/tblMoeHistory[[#This Row],[Child Count]],0)</f>
        <v>1921.1442857142854</v>
      </c>
      <c r="K2135">
        <f>IFERROR(tblMoeHistory[[#This Row],[ESD State and Local Amount]]/tblMoeHistory[[#This Row],[Child Count]],0)</f>
        <v>5196.2380952380954</v>
      </c>
      <c r="L2135">
        <f>IFERROR(tblMoeHistory[[#This Row],[State and Local Total Amount]]/tblMoeHistory[[#This Row],[Child Count]],0)</f>
        <v>7117.382380952381</v>
      </c>
      <c r="N2135" s="103" t="s">
        <v>2140</v>
      </c>
      <c r="O2135">
        <v>61989.710000000006</v>
      </c>
      <c r="P2135">
        <v>575.44000000000005</v>
      </c>
      <c r="Q2135">
        <f>tblMoeHistory[[#This Row],[Amount of IDEA Part B, Section 611 award]]+tblMoeHistory[[#This Row],[Amount of IDEA Part B, Section 619 award]]</f>
        <v>62565.150000000009</v>
      </c>
      <c r="U21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5" t="s">
        <v>241</v>
      </c>
    </row>
    <row r="2136" spans="1:22" x14ac:dyDescent="0.35">
      <c r="A2136" t="s">
        <v>187</v>
      </c>
      <c r="B2136">
        <v>2244</v>
      </c>
      <c r="C2136" t="s">
        <v>1534</v>
      </c>
      <c r="D2136">
        <v>513</v>
      </c>
      <c r="E2136" s="81">
        <v>6172288.8899999997</v>
      </c>
      <c r="F2136" s="81">
        <v>1280190</v>
      </c>
      <c r="G2136">
        <f>tblMoeHistory[[#This Row],[LEA State and Local Amount]]+tblMoeHistory[[#This Row],[ESD State and Local Amount]]</f>
        <v>7452478.8899999997</v>
      </c>
      <c r="I2136" t="s">
        <v>241</v>
      </c>
      <c r="J2136" s="44">
        <f>IFERROR(tblMoeHistory[[#This Row],[LEA State and Local Amount]]/tblMoeHistory[[#This Row],[Child Count]],0)</f>
        <v>12031.752222222221</v>
      </c>
      <c r="K2136">
        <f>IFERROR(tblMoeHistory[[#This Row],[ESD State and Local Amount]]/tblMoeHistory[[#This Row],[Child Count]],0)</f>
        <v>2495.4970760233919</v>
      </c>
      <c r="L2136">
        <f>IFERROR(tblMoeHistory[[#This Row],[State and Local Total Amount]]/tblMoeHistory[[#This Row],[Child Count]],0)</f>
        <v>14527.249298245613</v>
      </c>
      <c r="N2136" s="103" t="s">
        <v>241</v>
      </c>
      <c r="O2136">
        <v>832466.29999999993</v>
      </c>
      <c r="P2136">
        <v>9492.4</v>
      </c>
      <c r="Q2136">
        <f>tblMoeHistory[[#This Row],[Amount of IDEA Part B, Section 611 award]]+tblMoeHistory[[#This Row],[Amount of IDEA Part B, Section 619 award]]</f>
        <v>841958.7</v>
      </c>
      <c r="U21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6" t="s">
        <v>241</v>
      </c>
    </row>
    <row r="2137" spans="1:22" x14ac:dyDescent="0.35">
      <c r="A2137" t="s">
        <v>188</v>
      </c>
      <c r="B2137">
        <v>2138</v>
      </c>
      <c r="C2137" t="s">
        <v>1534</v>
      </c>
      <c r="D2137">
        <v>474</v>
      </c>
      <c r="E2137" s="81">
        <v>6537476.0499999933</v>
      </c>
      <c r="F2137" s="81">
        <v>358075.4</v>
      </c>
      <c r="G2137">
        <f>tblMoeHistory[[#This Row],[LEA State and Local Amount]]+tblMoeHistory[[#This Row],[ESD State and Local Amount]]</f>
        <v>6895551.4499999937</v>
      </c>
      <c r="I2137" t="s">
        <v>241</v>
      </c>
      <c r="J2137" s="44">
        <f>IFERROR(tblMoeHistory[[#This Row],[LEA State and Local Amount]]/tblMoeHistory[[#This Row],[Child Count]],0)</f>
        <v>13792.143565400829</v>
      </c>
      <c r="K2137">
        <f>IFERROR(tblMoeHistory[[#This Row],[ESD State and Local Amount]]/tblMoeHistory[[#This Row],[Child Count]],0)</f>
        <v>755.43333333333339</v>
      </c>
      <c r="L2137">
        <f>IFERROR(tblMoeHistory[[#This Row],[State and Local Total Amount]]/tblMoeHistory[[#This Row],[Child Count]],0)</f>
        <v>14547.576898734163</v>
      </c>
      <c r="N2137" s="103" t="s">
        <v>241</v>
      </c>
      <c r="O2137">
        <v>700839.04</v>
      </c>
      <c r="P2137">
        <v>14026.529999999999</v>
      </c>
      <c r="Q2137">
        <f>tblMoeHistory[[#This Row],[Amount of IDEA Part B, Section 611 award]]+tblMoeHistory[[#This Row],[Amount of IDEA Part B, Section 619 award]]</f>
        <v>714865.57000000007</v>
      </c>
      <c r="U21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7" t="s">
        <v>241</v>
      </c>
    </row>
    <row r="2138" spans="1:22" x14ac:dyDescent="0.35">
      <c r="A2138" t="s">
        <v>189</v>
      </c>
      <c r="B2138">
        <v>1978</v>
      </c>
      <c r="C2138" t="s">
        <v>1534</v>
      </c>
      <c r="D2138">
        <v>115</v>
      </c>
      <c r="E2138" s="81">
        <v>1028447.7299999999</v>
      </c>
      <c r="F2138" s="81">
        <v>158621.6</v>
      </c>
      <c r="G2138">
        <f>tblMoeHistory[[#This Row],[LEA State and Local Amount]]+tblMoeHistory[[#This Row],[ESD State and Local Amount]]</f>
        <v>1187069.3299999998</v>
      </c>
      <c r="I2138" t="s">
        <v>241</v>
      </c>
      <c r="J2138" s="44">
        <f>IFERROR(tblMoeHistory[[#This Row],[LEA State and Local Amount]]/tblMoeHistory[[#This Row],[Child Count]],0)</f>
        <v>8943.0237391304345</v>
      </c>
      <c r="K2138">
        <f>IFERROR(tblMoeHistory[[#This Row],[ESD State and Local Amount]]/tblMoeHistory[[#This Row],[Child Count]],0)</f>
        <v>1379.3182608695652</v>
      </c>
      <c r="L2138">
        <f>IFERROR(tblMoeHistory[[#This Row],[State and Local Total Amount]]/tblMoeHistory[[#This Row],[Child Count]],0)</f>
        <v>10322.341999999999</v>
      </c>
      <c r="N2138" s="103" t="s">
        <v>241</v>
      </c>
      <c r="O2138">
        <v>201780.70999999996</v>
      </c>
      <c r="P2138">
        <v>2786.67</v>
      </c>
      <c r="Q2138">
        <f>tblMoeHistory[[#This Row],[Amount of IDEA Part B, Section 611 award]]+tblMoeHistory[[#This Row],[Amount of IDEA Part B, Section 619 award]]</f>
        <v>204567.37999999998</v>
      </c>
      <c r="U21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8" t="s">
        <v>241</v>
      </c>
    </row>
    <row r="2139" spans="1:22" x14ac:dyDescent="0.35">
      <c r="A2139" t="s">
        <v>190</v>
      </c>
      <c r="B2139">
        <v>2096</v>
      </c>
      <c r="C2139" t="s">
        <v>1534</v>
      </c>
      <c r="D2139">
        <v>187</v>
      </c>
      <c r="E2139" s="81">
        <v>1775955.0099999995</v>
      </c>
      <c r="F2139" s="81">
        <v>215842</v>
      </c>
      <c r="G2139">
        <f>tblMoeHistory[[#This Row],[LEA State and Local Amount]]+tblMoeHistory[[#This Row],[ESD State and Local Amount]]</f>
        <v>1991797.0099999995</v>
      </c>
      <c r="I2139" t="s">
        <v>242</v>
      </c>
      <c r="J2139" s="44">
        <f>IFERROR(tblMoeHistory[[#This Row],[LEA State and Local Amount]]/tblMoeHistory[[#This Row],[Child Count]],0)</f>
        <v>9497.085614973259</v>
      </c>
      <c r="K2139">
        <f>IFERROR(tblMoeHistory[[#This Row],[ESD State and Local Amount]]/tblMoeHistory[[#This Row],[Child Count]],0)</f>
        <v>1154.2352941176471</v>
      </c>
      <c r="L2139">
        <f>IFERROR(tblMoeHistory[[#This Row],[State and Local Total Amount]]/tblMoeHistory[[#This Row],[Child Count]],0)</f>
        <v>10651.320909090906</v>
      </c>
      <c r="N2139" s="103" t="s">
        <v>242</v>
      </c>
      <c r="O2139">
        <v>313750.59999999998</v>
      </c>
      <c r="P2139">
        <v>11070</v>
      </c>
      <c r="Q2139">
        <f>tblMoeHistory[[#This Row],[Amount of IDEA Part B, Section 611 award]]+tblMoeHistory[[#This Row],[Amount of IDEA Part B, Section 619 award]]</f>
        <v>324820.59999999998</v>
      </c>
      <c r="U21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9" t="s">
        <v>242</v>
      </c>
    </row>
    <row r="2140" spans="1:22" x14ac:dyDescent="0.35">
      <c r="A2140" t="s">
        <v>191</v>
      </c>
      <c r="B2140">
        <v>2022</v>
      </c>
      <c r="C2140" t="s">
        <v>1534</v>
      </c>
      <c r="D2140">
        <v>3</v>
      </c>
      <c r="E2140">
        <v>0</v>
      </c>
      <c r="F2140" s="81">
        <v>23713.200000000001</v>
      </c>
      <c r="G2140">
        <f>tblMoeHistory[[#This Row],[LEA State and Local Amount]]+tblMoeHistory[[#This Row],[ESD State and Local Amount]]</f>
        <v>23713.200000000001</v>
      </c>
      <c r="I2140" t="s">
        <v>241</v>
      </c>
      <c r="J2140" s="44">
        <f>IFERROR(tblMoeHistory[[#This Row],[LEA State and Local Amount]]/tblMoeHistory[[#This Row],[Child Count]],0)</f>
        <v>0</v>
      </c>
      <c r="K2140">
        <f>IFERROR(tblMoeHistory[[#This Row],[ESD State and Local Amount]]/tblMoeHistory[[#This Row],[Child Count]],0)</f>
        <v>7904.4000000000005</v>
      </c>
      <c r="L2140">
        <f>IFERROR(tblMoeHistory[[#This Row],[State and Local Total Amount]]/tblMoeHistory[[#This Row],[Child Count]],0)</f>
        <v>7904.4000000000005</v>
      </c>
      <c r="N2140" s="103" t="s">
        <v>241</v>
      </c>
      <c r="O2140">
        <v>0</v>
      </c>
      <c r="P2140">
        <v>0</v>
      </c>
      <c r="Q2140">
        <f>tblMoeHistory[[#This Row],[Amount of IDEA Part B, Section 611 award]]+tblMoeHistory[[#This Row],[Amount of IDEA Part B, Section 619 award]]</f>
        <v>0</v>
      </c>
      <c r="U21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0" t="s">
        <v>241</v>
      </c>
    </row>
    <row r="2141" spans="1:22" x14ac:dyDescent="0.35">
      <c r="A2141" t="s">
        <v>192</v>
      </c>
      <c r="B2141">
        <v>2087</v>
      </c>
      <c r="C2141" t="s">
        <v>1534</v>
      </c>
      <c r="D2141">
        <v>500</v>
      </c>
      <c r="E2141" s="81">
        <v>4723265.8</v>
      </c>
      <c r="F2141" s="81">
        <v>1079189</v>
      </c>
      <c r="G2141">
        <f>tblMoeHistory[[#This Row],[LEA State and Local Amount]]+tblMoeHistory[[#This Row],[ESD State and Local Amount]]</f>
        <v>5802454.7999999998</v>
      </c>
      <c r="I2141" t="s">
        <v>242</v>
      </c>
      <c r="J2141" s="44">
        <f>IFERROR(tblMoeHistory[[#This Row],[LEA State and Local Amount]]/tblMoeHistory[[#This Row],[Child Count]],0)</f>
        <v>9446.5316000000003</v>
      </c>
      <c r="K2141">
        <f>IFERROR(tblMoeHistory[[#This Row],[ESD State and Local Amount]]/tblMoeHistory[[#This Row],[Child Count]],0)</f>
        <v>2158.3780000000002</v>
      </c>
      <c r="L2141">
        <f>IFERROR(tblMoeHistory[[#This Row],[State and Local Total Amount]]/tblMoeHistory[[#This Row],[Child Count]],0)</f>
        <v>11604.909599999999</v>
      </c>
      <c r="N2141" s="103" t="s">
        <v>242</v>
      </c>
      <c r="O2141">
        <v>642031.23</v>
      </c>
      <c r="P2141">
        <v>16688.8</v>
      </c>
      <c r="Q2141">
        <f>tblMoeHistory[[#This Row],[Amount of IDEA Part B, Section 611 award]]+tblMoeHistory[[#This Row],[Amount of IDEA Part B, Section 619 award]]</f>
        <v>658720.03</v>
      </c>
      <c r="U21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1" t="s">
        <v>242</v>
      </c>
    </row>
    <row r="2142" spans="1:22" x14ac:dyDescent="0.35">
      <c r="A2142" t="s">
        <v>193</v>
      </c>
      <c r="B2142">
        <v>1994</v>
      </c>
      <c r="C2142" t="s">
        <v>1534</v>
      </c>
      <c r="D2142">
        <v>252</v>
      </c>
      <c r="E2142" s="81">
        <v>1954014.19</v>
      </c>
      <c r="F2142" s="81">
        <v>376074.51</v>
      </c>
      <c r="G2142">
        <f>tblMoeHistory[[#This Row],[LEA State and Local Amount]]+tblMoeHistory[[#This Row],[ESD State and Local Amount]]</f>
        <v>2330088.7000000002</v>
      </c>
      <c r="I2142" t="s">
        <v>242</v>
      </c>
      <c r="J2142" s="44">
        <f>IFERROR(tblMoeHistory[[#This Row],[LEA State and Local Amount]]/tblMoeHistory[[#This Row],[Child Count]],0)</f>
        <v>7754.024563492063</v>
      </c>
      <c r="K2142">
        <f>IFERROR(tblMoeHistory[[#This Row],[ESD State and Local Amount]]/tblMoeHistory[[#This Row],[Child Count]],0)</f>
        <v>1492.3591666666666</v>
      </c>
      <c r="L2142">
        <f>IFERROR(tblMoeHistory[[#This Row],[State and Local Total Amount]]/tblMoeHistory[[#This Row],[Child Count]],0)</f>
        <v>9246.38373015873</v>
      </c>
      <c r="N2142" s="103" t="s">
        <v>241</v>
      </c>
      <c r="O2142">
        <v>387131.87</v>
      </c>
      <c r="P2142">
        <v>10798.240000000002</v>
      </c>
      <c r="Q2142">
        <f>tblMoeHistory[[#This Row],[Amount of IDEA Part B, Section 611 award]]+tblMoeHistory[[#This Row],[Amount of IDEA Part B, Section 619 award]]</f>
        <v>397930.11</v>
      </c>
      <c r="U21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2" t="s">
        <v>242</v>
      </c>
    </row>
    <row r="2143" spans="1:22" x14ac:dyDescent="0.35">
      <c r="A2143" t="s">
        <v>194</v>
      </c>
      <c r="B2143">
        <v>2225</v>
      </c>
      <c r="C2143" t="s">
        <v>1534</v>
      </c>
      <c r="D2143">
        <v>38</v>
      </c>
      <c r="E2143" s="81">
        <v>232040.06999999998</v>
      </c>
      <c r="F2143">
        <v>0</v>
      </c>
      <c r="G2143">
        <f>tblMoeHistory[[#This Row],[LEA State and Local Amount]]+tblMoeHistory[[#This Row],[ESD State and Local Amount]]</f>
        <v>232040.06999999998</v>
      </c>
      <c r="I2143" t="s">
        <v>242</v>
      </c>
      <c r="J2143" s="44">
        <f>IFERROR(tblMoeHistory[[#This Row],[LEA State and Local Amount]]/tblMoeHistory[[#This Row],[Child Count]],0)</f>
        <v>6106.3176315789469</v>
      </c>
      <c r="K2143">
        <f>IFERROR(tblMoeHistory[[#This Row],[ESD State and Local Amount]]/tblMoeHistory[[#This Row],[Child Count]],0)</f>
        <v>0</v>
      </c>
      <c r="L2143">
        <f>IFERROR(tblMoeHistory[[#This Row],[State and Local Total Amount]]/tblMoeHistory[[#This Row],[Child Count]],0)</f>
        <v>6106.3176315789469</v>
      </c>
      <c r="N2143" s="103" t="s">
        <v>2140</v>
      </c>
      <c r="O2143">
        <v>64248.590000000004</v>
      </c>
      <c r="P2143">
        <v>4581.4000000000005</v>
      </c>
      <c r="Q2143">
        <f>tblMoeHistory[[#This Row],[Amount of IDEA Part B, Section 611 award]]+tblMoeHistory[[#This Row],[Amount of IDEA Part B, Section 619 award]]</f>
        <v>68829.990000000005</v>
      </c>
      <c r="U21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3" t="s">
        <v>242</v>
      </c>
    </row>
    <row r="2144" spans="1:22" x14ac:dyDescent="0.35">
      <c r="A2144" t="s">
        <v>195</v>
      </c>
      <c r="B2144">
        <v>2247</v>
      </c>
      <c r="C2144" t="s">
        <v>1534</v>
      </c>
      <c r="D2144">
        <v>6</v>
      </c>
      <c r="E2144" s="81">
        <v>19888.77</v>
      </c>
      <c r="F2144" s="81">
        <v>49806</v>
      </c>
      <c r="G2144">
        <f>tblMoeHistory[[#This Row],[LEA State and Local Amount]]+tblMoeHistory[[#This Row],[ESD State and Local Amount]]</f>
        <v>69694.77</v>
      </c>
      <c r="I2144" t="s">
        <v>241</v>
      </c>
      <c r="J2144" s="44">
        <f>IFERROR(tblMoeHistory[[#This Row],[LEA State and Local Amount]]/tblMoeHistory[[#This Row],[Child Count]],0)</f>
        <v>3314.7950000000001</v>
      </c>
      <c r="K2144">
        <f>IFERROR(tblMoeHistory[[#This Row],[ESD State and Local Amount]]/tblMoeHistory[[#This Row],[Child Count]],0)</f>
        <v>8301</v>
      </c>
      <c r="L2144">
        <f>IFERROR(tblMoeHistory[[#This Row],[State and Local Total Amount]]/tblMoeHistory[[#This Row],[Child Count]],0)</f>
        <v>11615.795</v>
      </c>
      <c r="N2144" s="103" t="s">
        <v>2140</v>
      </c>
      <c r="O2144">
        <v>11141.05</v>
      </c>
      <c r="P2144">
        <v>592.54</v>
      </c>
      <c r="Q2144">
        <f>tblMoeHistory[[#This Row],[Amount of IDEA Part B, Section 611 award]]+tblMoeHistory[[#This Row],[Amount of IDEA Part B, Section 619 award]]</f>
        <v>11733.59</v>
      </c>
      <c r="U21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4" t="s">
        <v>241</v>
      </c>
    </row>
    <row r="2145" spans="1:22" x14ac:dyDescent="0.35">
      <c r="A2145" t="s">
        <v>196</v>
      </c>
      <c r="B2145">
        <v>2083</v>
      </c>
      <c r="C2145" t="s">
        <v>1534</v>
      </c>
      <c r="D2145">
        <v>1630</v>
      </c>
      <c r="E2145" s="81">
        <v>19139621.330000013</v>
      </c>
      <c r="F2145" s="81">
        <v>2069326</v>
      </c>
      <c r="G2145">
        <f>tblMoeHistory[[#This Row],[LEA State and Local Amount]]+tblMoeHistory[[#This Row],[ESD State and Local Amount]]</f>
        <v>21208947.330000013</v>
      </c>
      <c r="I2145" t="s">
        <v>2140</v>
      </c>
      <c r="J2145" s="44">
        <f>IFERROR(tblMoeHistory[[#This Row],[LEA State and Local Amount]]/tblMoeHistory[[#This Row],[Child Count]],0)</f>
        <v>11742.098975460131</v>
      </c>
      <c r="K2145">
        <f>IFERROR(tblMoeHistory[[#This Row],[ESD State and Local Amount]]/tblMoeHistory[[#This Row],[Child Count]],0)</f>
        <v>1269.5251533742332</v>
      </c>
      <c r="L2145">
        <f>IFERROR(tblMoeHistory[[#This Row],[State and Local Total Amount]]/tblMoeHistory[[#This Row],[Child Count]],0)</f>
        <v>13011.624128834364</v>
      </c>
      <c r="N2145" s="103" t="s">
        <v>242</v>
      </c>
      <c r="O2145">
        <v>2418334.38</v>
      </c>
      <c r="P2145">
        <v>86951.790000000008</v>
      </c>
      <c r="Q2145">
        <f>tblMoeHistory[[#This Row],[Amount of IDEA Part B, Section 611 award]]+tblMoeHistory[[#This Row],[Amount of IDEA Part B, Section 619 award]]</f>
        <v>2505286.17</v>
      </c>
      <c r="U21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5" t="s">
        <v>2138</v>
      </c>
    </row>
    <row r="2146" spans="1:22" x14ac:dyDescent="0.35">
      <c r="A2146" t="s">
        <v>197</v>
      </c>
      <c r="B2146">
        <v>1948</v>
      </c>
      <c r="C2146" t="s">
        <v>1534</v>
      </c>
      <c r="D2146">
        <v>431</v>
      </c>
      <c r="E2146" s="81">
        <v>4213940.57</v>
      </c>
      <c r="F2146" s="81">
        <v>961783</v>
      </c>
      <c r="G2146">
        <f>tblMoeHistory[[#This Row],[LEA State and Local Amount]]+tblMoeHistory[[#This Row],[ESD State and Local Amount]]</f>
        <v>5175723.57</v>
      </c>
      <c r="I2146" t="s">
        <v>242</v>
      </c>
      <c r="J2146" s="44">
        <f>IFERROR(tblMoeHistory[[#This Row],[LEA State and Local Amount]]/tblMoeHistory[[#This Row],[Child Count]],0)</f>
        <v>9777.1242923433874</v>
      </c>
      <c r="K2146">
        <f>IFERROR(tblMoeHistory[[#This Row],[ESD State and Local Amount]]/tblMoeHistory[[#This Row],[Child Count]],0)</f>
        <v>2231.5150812064967</v>
      </c>
      <c r="L2146">
        <f>IFERROR(tblMoeHistory[[#This Row],[State and Local Total Amount]]/tblMoeHistory[[#This Row],[Child Count]],0)</f>
        <v>12008.639373549884</v>
      </c>
      <c r="N2146" s="103" t="s">
        <v>242</v>
      </c>
      <c r="O2146">
        <v>657473.19000000006</v>
      </c>
      <c r="P2146">
        <v>21999.71</v>
      </c>
      <c r="Q2146">
        <f>tblMoeHistory[[#This Row],[Amount of IDEA Part B, Section 611 award]]+tblMoeHistory[[#This Row],[Amount of IDEA Part B, Section 619 award]]</f>
        <v>679472.9</v>
      </c>
      <c r="U21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6" t="s">
        <v>242</v>
      </c>
    </row>
    <row r="2147" spans="1:22" x14ac:dyDescent="0.35">
      <c r="A2147" t="s">
        <v>198</v>
      </c>
      <c r="B2147">
        <v>2144</v>
      </c>
      <c r="C2147" t="s">
        <v>1534</v>
      </c>
      <c r="D2147">
        <v>14</v>
      </c>
      <c r="E2147" s="81">
        <v>229413.69</v>
      </c>
      <c r="F2147" s="81">
        <v>24489.899999999998</v>
      </c>
      <c r="G2147">
        <f>tblMoeHistory[[#This Row],[LEA State and Local Amount]]+tblMoeHistory[[#This Row],[ESD State and Local Amount]]</f>
        <v>253903.59</v>
      </c>
      <c r="I2147" t="s">
        <v>241</v>
      </c>
      <c r="J2147" s="44">
        <f>IFERROR(tblMoeHistory[[#This Row],[LEA State and Local Amount]]/tblMoeHistory[[#This Row],[Child Count]],0)</f>
        <v>16386.692142857144</v>
      </c>
      <c r="K2147">
        <f>IFERROR(tblMoeHistory[[#This Row],[ESD State and Local Amount]]/tblMoeHistory[[#This Row],[Child Count]],0)</f>
        <v>1749.2785714285712</v>
      </c>
      <c r="L2147">
        <f>IFERROR(tblMoeHistory[[#This Row],[State and Local Total Amount]]/tblMoeHistory[[#This Row],[Child Count]],0)</f>
        <v>18135.970714285715</v>
      </c>
      <c r="N2147" s="103" t="s">
        <v>241</v>
      </c>
      <c r="O2147">
        <v>52410.61</v>
      </c>
      <c r="P2147">
        <v>1593.04</v>
      </c>
      <c r="Q2147">
        <f>tblMoeHistory[[#This Row],[Amount of IDEA Part B, Section 611 award]]+tblMoeHistory[[#This Row],[Amount of IDEA Part B, Section 619 award]]</f>
        <v>54003.65</v>
      </c>
      <c r="U21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7" t="s">
        <v>241</v>
      </c>
    </row>
    <row r="2148" spans="1:22" x14ac:dyDescent="0.35">
      <c r="A2148" t="s">
        <v>199</v>
      </c>
      <c r="B2148">
        <v>2209</v>
      </c>
      <c r="C2148" t="s">
        <v>1534</v>
      </c>
      <c r="D2148">
        <v>71</v>
      </c>
      <c r="E2148" s="81">
        <v>410376.25</v>
      </c>
      <c r="F2148" s="81">
        <v>136673.37</v>
      </c>
      <c r="G2148">
        <f>tblMoeHistory[[#This Row],[LEA State and Local Amount]]+tblMoeHistory[[#This Row],[ESD State and Local Amount]]</f>
        <v>547049.62</v>
      </c>
      <c r="I2148" t="s">
        <v>242</v>
      </c>
      <c r="J2148" s="44">
        <f>IFERROR(tblMoeHistory[[#This Row],[LEA State and Local Amount]]/tblMoeHistory[[#This Row],[Child Count]],0)</f>
        <v>5779.9471830985913</v>
      </c>
      <c r="K2148">
        <f>IFERROR(tblMoeHistory[[#This Row],[ESD State and Local Amount]]/tblMoeHistory[[#This Row],[Child Count]],0)</f>
        <v>1924.9770422535209</v>
      </c>
      <c r="L2148">
        <f>IFERROR(tblMoeHistory[[#This Row],[State and Local Total Amount]]/tblMoeHistory[[#This Row],[Child Count]],0)</f>
        <v>7704.9242253521124</v>
      </c>
      <c r="N2148" s="103" t="s">
        <v>242</v>
      </c>
      <c r="O2148">
        <v>102522.98</v>
      </c>
      <c r="P2148">
        <v>3070.4</v>
      </c>
      <c r="Q2148">
        <f>tblMoeHistory[[#This Row],[Amount of IDEA Part B, Section 611 award]]+tblMoeHistory[[#This Row],[Amount of IDEA Part B, Section 619 award]]</f>
        <v>105593.37999999999</v>
      </c>
      <c r="U21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8" t="s">
        <v>242</v>
      </c>
    </row>
    <row r="2149" spans="1:22" x14ac:dyDescent="0.35">
      <c r="A2149" t="s">
        <v>200</v>
      </c>
      <c r="B2149">
        <v>2018</v>
      </c>
      <c r="C2149" t="s">
        <v>1534</v>
      </c>
      <c r="D2149">
        <v>1</v>
      </c>
      <c r="E2149">
        <v>0</v>
      </c>
      <c r="F2149" s="81">
        <v>16863.350000000002</v>
      </c>
      <c r="G2149">
        <f>tblMoeHistory[[#This Row],[LEA State and Local Amount]]+tblMoeHistory[[#This Row],[ESD State and Local Amount]]</f>
        <v>16863.350000000002</v>
      </c>
      <c r="I2149" t="s">
        <v>2140</v>
      </c>
      <c r="J2149" s="44">
        <f>IFERROR(tblMoeHistory[[#This Row],[LEA State and Local Amount]]/tblMoeHistory[[#This Row],[Child Count]],0)</f>
        <v>0</v>
      </c>
      <c r="K2149">
        <f>IFERROR(tblMoeHistory[[#This Row],[ESD State and Local Amount]]/tblMoeHistory[[#This Row],[Child Count]],0)</f>
        <v>16863.350000000002</v>
      </c>
      <c r="L2149">
        <f>IFERROR(tblMoeHistory[[#This Row],[State and Local Total Amount]]/tblMoeHistory[[#This Row],[Child Count]],0)</f>
        <v>16863.350000000002</v>
      </c>
      <c r="N2149" s="103" t="s">
        <v>2140</v>
      </c>
      <c r="O2149">
        <v>0</v>
      </c>
      <c r="P2149">
        <v>0</v>
      </c>
      <c r="Q2149">
        <f>tblMoeHistory[[#This Row],[Amount of IDEA Part B, Section 611 award]]+tblMoeHistory[[#This Row],[Amount of IDEA Part B, Section 619 award]]</f>
        <v>0</v>
      </c>
      <c r="U2149" s="155">
        <v>862.23</v>
      </c>
      <c r="V2149" t="s">
        <v>2140</v>
      </c>
    </row>
    <row r="2150" spans="1:22" x14ac:dyDescent="0.35">
      <c r="A2150" t="s">
        <v>201</v>
      </c>
      <c r="B2150">
        <v>2003</v>
      </c>
      <c r="C2150" t="s">
        <v>1534</v>
      </c>
      <c r="D2150">
        <v>179</v>
      </c>
      <c r="E2150" s="81">
        <v>1264007</v>
      </c>
      <c r="F2150" s="81">
        <v>314791.50000000006</v>
      </c>
      <c r="G2150">
        <f>tblMoeHistory[[#This Row],[LEA State and Local Amount]]+tblMoeHistory[[#This Row],[ESD State and Local Amount]]</f>
        <v>1578798.5</v>
      </c>
      <c r="I2150" t="s">
        <v>242</v>
      </c>
      <c r="J2150" s="44">
        <f>IFERROR(tblMoeHistory[[#This Row],[LEA State and Local Amount]]/tblMoeHistory[[#This Row],[Child Count]],0)</f>
        <v>7061.4916201117321</v>
      </c>
      <c r="K2150">
        <f>IFERROR(tblMoeHistory[[#This Row],[ESD State and Local Amount]]/tblMoeHistory[[#This Row],[Child Count]],0)</f>
        <v>1758.6117318435759</v>
      </c>
      <c r="L2150">
        <f>IFERROR(tblMoeHistory[[#This Row],[State and Local Total Amount]]/tblMoeHistory[[#This Row],[Child Count]],0)</f>
        <v>8820.1033519553075</v>
      </c>
      <c r="N2150" s="103" t="s">
        <v>241</v>
      </c>
      <c r="O2150">
        <v>285302.89</v>
      </c>
      <c r="P2150">
        <v>8375.119999999999</v>
      </c>
      <c r="Q2150">
        <f>tblMoeHistory[[#This Row],[Amount of IDEA Part B, Section 611 award]]+tblMoeHistory[[#This Row],[Amount of IDEA Part B, Section 619 award]]</f>
        <v>293678.01</v>
      </c>
      <c r="U21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0" t="s">
        <v>242</v>
      </c>
    </row>
    <row r="2151" spans="1:22" x14ac:dyDescent="0.35">
      <c r="A2151" t="s">
        <v>202</v>
      </c>
      <c r="B2151">
        <v>2102</v>
      </c>
      <c r="C2151" t="s">
        <v>1534</v>
      </c>
      <c r="D2151">
        <v>384</v>
      </c>
      <c r="E2151" s="81">
        <v>3104789.1900000013</v>
      </c>
      <c r="F2151" s="81">
        <v>499489</v>
      </c>
      <c r="G2151">
        <f>tblMoeHistory[[#This Row],[LEA State and Local Amount]]+tblMoeHistory[[#This Row],[ESD State and Local Amount]]</f>
        <v>3604278.1900000013</v>
      </c>
      <c r="I2151" t="s">
        <v>242</v>
      </c>
      <c r="J2151" s="44">
        <f>IFERROR(tblMoeHistory[[#This Row],[LEA State and Local Amount]]/tblMoeHistory[[#This Row],[Child Count]],0)</f>
        <v>8085.3885156250035</v>
      </c>
      <c r="K2151">
        <f>IFERROR(tblMoeHistory[[#This Row],[ESD State and Local Amount]]/tblMoeHistory[[#This Row],[Child Count]],0)</f>
        <v>1300.7526041666667</v>
      </c>
      <c r="L2151">
        <f>IFERROR(tblMoeHistory[[#This Row],[State and Local Total Amount]]/tblMoeHistory[[#This Row],[Child Count]],0)</f>
        <v>9386.1411197916696</v>
      </c>
      <c r="N2151" s="103" t="s">
        <v>241</v>
      </c>
      <c r="O2151">
        <v>545184.18000000005</v>
      </c>
      <c r="P2151">
        <v>12054.61</v>
      </c>
      <c r="Q2151">
        <f>tblMoeHistory[[#This Row],[Amount of IDEA Part B, Section 611 award]]+tblMoeHistory[[#This Row],[Amount of IDEA Part B, Section 619 award]]</f>
        <v>557238.79</v>
      </c>
      <c r="U21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1" t="s">
        <v>242</v>
      </c>
    </row>
    <row r="2152" spans="1:22" x14ac:dyDescent="0.35">
      <c r="A2152" t="s">
        <v>203</v>
      </c>
      <c r="B2152">
        <v>2055</v>
      </c>
      <c r="C2152" t="s">
        <v>1534</v>
      </c>
      <c r="D2152">
        <v>539</v>
      </c>
      <c r="E2152" s="81">
        <v>8167346.480000006</v>
      </c>
      <c r="F2152" s="81">
        <v>147178.18</v>
      </c>
      <c r="G2152">
        <f>tblMoeHistory[[#This Row],[LEA State and Local Amount]]+tblMoeHistory[[#This Row],[ESD State and Local Amount]]</f>
        <v>8314524.6600000057</v>
      </c>
      <c r="I2152" t="s">
        <v>242</v>
      </c>
      <c r="J2152" s="44">
        <f>IFERROR(tblMoeHistory[[#This Row],[LEA State and Local Amount]]/tblMoeHistory[[#This Row],[Child Count]],0)</f>
        <v>15152.776400742126</v>
      </c>
      <c r="K2152">
        <f>IFERROR(tblMoeHistory[[#This Row],[ESD State and Local Amount]]/tblMoeHistory[[#This Row],[Child Count]],0)</f>
        <v>273.05784786641931</v>
      </c>
      <c r="L2152">
        <f>IFERROR(tblMoeHistory[[#This Row],[State and Local Total Amount]]/tblMoeHistory[[#This Row],[Child Count]],0)</f>
        <v>15425.834248608546</v>
      </c>
      <c r="N2152" s="103" t="s">
        <v>241</v>
      </c>
      <c r="O2152">
        <v>1178801.4700000002</v>
      </c>
      <c r="P2152">
        <v>35532.520000000004</v>
      </c>
      <c r="Q2152">
        <f>tblMoeHistory[[#This Row],[Amount of IDEA Part B, Section 611 award]]+tblMoeHistory[[#This Row],[Amount of IDEA Part B, Section 619 award]]</f>
        <v>1214333.9900000002</v>
      </c>
      <c r="U21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2" t="s">
        <v>242</v>
      </c>
    </row>
    <row r="2153" spans="1:22" x14ac:dyDescent="0.35">
      <c r="A2153" t="s">
        <v>204</v>
      </c>
      <c r="B2153">
        <v>2242</v>
      </c>
      <c r="C2153" t="s">
        <v>1534</v>
      </c>
      <c r="D2153">
        <v>1407</v>
      </c>
      <c r="E2153" s="81">
        <v>12913076.150000002</v>
      </c>
      <c r="F2153" s="81">
        <v>3349744</v>
      </c>
      <c r="G2153">
        <f>tblMoeHistory[[#This Row],[LEA State and Local Amount]]+tblMoeHistory[[#This Row],[ESD State and Local Amount]]</f>
        <v>16262820.150000002</v>
      </c>
      <c r="I2153" t="s">
        <v>242</v>
      </c>
      <c r="J2153" s="44">
        <f>IFERROR(tblMoeHistory[[#This Row],[LEA State and Local Amount]]/tblMoeHistory[[#This Row],[Child Count]],0)</f>
        <v>9177.7371357498232</v>
      </c>
      <c r="K2153">
        <f>IFERROR(tblMoeHistory[[#This Row],[ESD State and Local Amount]]/tblMoeHistory[[#This Row],[Child Count]],0)</f>
        <v>2380.7704335465528</v>
      </c>
      <c r="L2153">
        <f>IFERROR(tblMoeHistory[[#This Row],[State and Local Total Amount]]/tblMoeHistory[[#This Row],[Child Count]],0)</f>
        <v>11558.507569296376</v>
      </c>
      <c r="N2153" s="103" t="s">
        <v>242</v>
      </c>
      <c r="O2153">
        <v>2431514.46</v>
      </c>
      <c r="P2153">
        <v>48319.61</v>
      </c>
      <c r="Q2153">
        <f>tblMoeHistory[[#This Row],[Amount of IDEA Part B, Section 611 award]]+tblMoeHistory[[#This Row],[Amount of IDEA Part B, Section 619 award]]</f>
        <v>2479834.0699999998</v>
      </c>
      <c r="U21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3" t="s">
        <v>242</v>
      </c>
    </row>
    <row r="2154" spans="1:22" x14ac:dyDescent="0.35">
      <c r="A2154" t="s">
        <v>205</v>
      </c>
      <c r="B2154">
        <v>2197</v>
      </c>
      <c r="C2154" t="s">
        <v>1534</v>
      </c>
      <c r="D2154">
        <v>345</v>
      </c>
      <c r="E2154" s="81">
        <v>3798625.44</v>
      </c>
      <c r="F2154" s="81">
        <v>635192</v>
      </c>
      <c r="G2154">
        <f>tblMoeHistory[[#This Row],[LEA State and Local Amount]]+tblMoeHistory[[#This Row],[ESD State and Local Amount]]</f>
        <v>4433817.4399999995</v>
      </c>
      <c r="I2154" t="s">
        <v>241</v>
      </c>
      <c r="J2154" s="44">
        <f>IFERROR(tblMoeHistory[[#This Row],[LEA State and Local Amount]]/tblMoeHistory[[#This Row],[Child Count]],0)</f>
        <v>11010.50852173913</v>
      </c>
      <c r="K2154">
        <f>IFERROR(tblMoeHistory[[#This Row],[ESD State and Local Amount]]/tblMoeHistory[[#This Row],[Child Count]],0)</f>
        <v>1841.1362318840579</v>
      </c>
      <c r="L2154">
        <f>IFERROR(tblMoeHistory[[#This Row],[State and Local Total Amount]]/tblMoeHistory[[#This Row],[Child Count]],0)</f>
        <v>12851.644753623186</v>
      </c>
      <c r="N2154" s="103" t="s">
        <v>241</v>
      </c>
      <c r="O2154">
        <v>507863.95</v>
      </c>
      <c r="P2154">
        <v>11573.84</v>
      </c>
      <c r="Q2154">
        <f>tblMoeHistory[[#This Row],[Amount of IDEA Part B, Section 611 award]]+tblMoeHistory[[#This Row],[Amount of IDEA Part B, Section 619 award]]</f>
        <v>519437.79000000004</v>
      </c>
      <c r="U21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4" t="s">
        <v>241</v>
      </c>
    </row>
    <row r="2155" spans="1:22" x14ac:dyDescent="0.35">
      <c r="A2155" t="s">
        <v>206</v>
      </c>
      <c r="B2155">
        <v>2222</v>
      </c>
      <c r="C2155" t="s">
        <v>1534</v>
      </c>
      <c r="D2155">
        <v>0</v>
      </c>
      <c r="E2155">
        <v>0</v>
      </c>
      <c r="F2155" s="81">
        <v>3700</v>
      </c>
      <c r="G2155">
        <f>tblMoeHistory[[#This Row],[LEA State and Local Amount]]+tblMoeHistory[[#This Row],[ESD State and Local Amount]]</f>
        <v>3700</v>
      </c>
      <c r="I2155" t="s">
        <v>241</v>
      </c>
      <c r="J2155" s="44">
        <f>IFERROR(tblMoeHistory[[#This Row],[LEA State and Local Amount]]/tblMoeHistory[[#This Row],[Child Count]],0)</f>
        <v>0</v>
      </c>
      <c r="K2155">
        <f>IFERROR(tblMoeHistory[[#This Row],[ESD State and Local Amount]]/tblMoeHistory[[#This Row],[Child Count]],0)</f>
        <v>0</v>
      </c>
      <c r="L2155">
        <f>IFERROR(tblMoeHistory[[#This Row],[State and Local Total Amount]]/tblMoeHistory[[#This Row],[Child Count]],0)</f>
        <v>0</v>
      </c>
      <c r="N2155" s="103" t="s">
        <v>2140</v>
      </c>
      <c r="O2155">
        <v>2301.09</v>
      </c>
      <c r="P2155">
        <v>0</v>
      </c>
      <c r="Q2155">
        <f>tblMoeHistory[[#This Row],[Amount of IDEA Part B, Section 611 award]]+tblMoeHistory[[#This Row],[Amount of IDEA Part B, Section 619 award]]</f>
        <v>2301.09</v>
      </c>
      <c r="U21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5" t="s">
        <v>241</v>
      </c>
    </row>
    <row r="2156" spans="1:22" x14ac:dyDescent="0.35">
      <c r="A2156" t="s">
        <v>207</v>
      </c>
      <c r="B2156">
        <v>2210</v>
      </c>
      <c r="C2156" t="s">
        <v>1534</v>
      </c>
      <c r="D2156">
        <v>5</v>
      </c>
      <c r="E2156" s="81">
        <v>5642.24</v>
      </c>
      <c r="F2156" s="81">
        <v>7897.66</v>
      </c>
      <c r="G2156">
        <f>tblMoeHistory[[#This Row],[LEA State and Local Amount]]+tblMoeHistory[[#This Row],[ESD State and Local Amount]]</f>
        <v>13539.9</v>
      </c>
      <c r="I2156" t="s">
        <v>241</v>
      </c>
      <c r="J2156" s="44">
        <f>IFERROR(tblMoeHistory[[#This Row],[LEA State and Local Amount]]/tblMoeHistory[[#This Row],[Child Count]],0)</f>
        <v>1128.4479999999999</v>
      </c>
      <c r="K2156">
        <f>IFERROR(tblMoeHistory[[#This Row],[ESD State and Local Amount]]/tblMoeHistory[[#This Row],[Child Count]],0)</f>
        <v>1579.5319999999999</v>
      </c>
      <c r="L2156">
        <f>IFERROR(tblMoeHistory[[#This Row],[State and Local Total Amount]]/tblMoeHistory[[#This Row],[Child Count]],0)</f>
        <v>2707.98</v>
      </c>
      <c r="N2156" s="103" t="s">
        <v>2140</v>
      </c>
      <c r="O2156">
        <v>7498.7</v>
      </c>
      <c r="P2156">
        <v>10.68</v>
      </c>
      <c r="Q2156">
        <f>tblMoeHistory[[#This Row],[Amount of IDEA Part B, Section 611 award]]+tblMoeHistory[[#This Row],[Amount of IDEA Part B, Section 619 award]]</f>
        <v>7509.38</v>
      </c>
      <c r="U21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6" t="s">
        <v>241</v>
      </c>
    </row>
    <row r="2157" spans="1:22" x14ac:dyDescent="0.35">
      <c r="A2157" t="s">
        <v>208</v>
      </c>
      <c r="B2157">
        <v>2204</v>
      </c>
      <c r="C2157" t="s">
        <v>1534</v>
      </c>
      <c r="D2157">
        <v>133</v>
      </c>
      <c r="E2157" s="81">
        <v>1523356.0999999994</v>
      </c>
      <c r="F2157" s="81">
        <v>255901.25999999998</v>
      </c>
      <c r="G2157">
        <f>tblMoeHistory[[#This Row],[LEA State and Local Amount]]+tblMoeHistory[[#This Row],[ESD State and Local Amount]]</f>
        <v>1779257.3599999994</v>
      </c>
      <c r="I2157" t="s">
        <v>242</v>
      </c>
      <c r="J2157" s="44">
        <f>IFERROR(tblMoeHistory[[#This Row],[LEA State and Local Amount]]/tblMoeHistory[[#This Row],[Child Count]],0)</f>
        <v>11453.80526315789</v>
      </c>
      <c r="K2157">
        <f>IFERROR(tblMoeHistory[[#This Row],[ESD State and Local Amount]]/tblMoeHistory[[#This Row],[Child Count]],0)</f>
        <v>1924.0696240601503</v>
      </c>
      <c r="L2157">
        <f>IFERROR(tblMoeHistory[[#This Row],[State and Local Total Amount]]/tblMoeHistory[[#This Row],[Child Count]],0)</f>
        <v>13377.87488721804</v>
      </c>
      <c r="N2157" s="103" t="s">
        <v>241</v>
      </c>
      <c r="O2157">
        <v>264513.28000000003</v>
      </c>
      <c r="P2157">
        <v>6332.49</v>
      </c>
      <c r="Q2157">
        <f>tblMoeHistory[[#This Row],[Amount of IDEA Part B, Section 611 award]]+tblMoeHistory[[#This Row],[Amount of IDEA Part B, Section 619 award]]</f>
        <v>270845.77</v>
      </c>
      <c r="U21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7" t="s">
        <v>242</v>
      </c>
    </row>
    <row r="2158" spans="1:22" x14ac:dyDescent="0.35">
      <c r="A2158" t="s">
        <v>209</v>
      </c>
      <c r="B2158">
        <v>2213</v>
      </c>
      <c r="C2158" t="s">
        <v>1534</v>
      </c>
      <c r="D2158">
        <v>44</v>
      </c>
      <c r="E2158" s="81">
        <v>397252.07</v>
      </c>
      <c r="F2158" s="81">
        <v>75987.650000000009</v>
      </c>
      <c r="G2158">
        <f>tblMoeHistory[[#This Row],[LEA State and Local Amount]]+tblMoeHistory[[#This Row],[ESD State and Local Amount]]</f>
        <v>473239.72000000003</v>
      </c>
      <c r="I2158" t="s">
        <v>241</v>
      </c>
      <c r="J2158" s="44">
        <f>IFERROR(tblMoeHistory[[#This Row],[LEA State and Local Amount]]/tblMoeHistory[[#This Row],[Child Count]],0)</f>
        <v>9028.4561363636367</v>
      </c>
      <c r="K2158">
        <f>IFERROR(tblMoeHistory[[#This Row],[ESD State and Local Amount]]/tblMoeHistory[[#This Row],[Child Count]],0)</f>
        <v>1726.9920454545456</v>
      </c>
      <c r="L2158">
        <f>IFERROR(tblMoeHistory[[#This Row],[State and Local Total Amount]]/tblMoeHistory[[#This Row],[Child Count]],0)</f>
        <v>10755.448181818183</v>
      </c>
      <c r="N2158" s="103" t="s">
        <v>2140</v>
      </c>
      <c r="O2158">
        <v>75943.97</v>
      </c>
      <c r="P2158">
        <v>591.04999999999995</v>
      </c>
      <c r="Q2158">
        <f>tblMoeHistory[[#This Row],[Amount of IDEA Part B, Section 611 award]]+tblMoeHistory[[#This Row],[Amount of IDEA Part B, Section 619 award]]</f>
        <v>76535.02</v>
      </c>
      <c r="U21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8" t="s">
        <v>241</v>
      </c>
    </row>
    <row r="2159" spans="1:22" x14ac:dyDescent="0.35">
      <c r="A2159" t="s">
        <v>210</v>
      </c>
      <c r="B2159">
        <v>2116</v>
      </c>
      <c r="C2159" t="s">
        <v>1534</v>
      </c>
      <c r="D2159">
        <v>105</v>
      </c>
      <c r="E2159" s="81">
        <v>814101.42</v>
      </c>
      <c r="F2159" s="81">
        <v>389715.73</v>
      </c>
      <c r="G2159">
        <f>tblMoeHistory[[#This Row],[LEA State and Local Amount]]+tblMoeHistory[[#This Row],[ESD State and Local Amount]]</f>
        <v>1203817.1499999999</v>
      </c>
      <c r="I2159" t="s">
        <v>242</v>
      </c>
      <c r="J2159" s="44">
        <f>IFERROR(tblMoeHistory[[#This Row],[LEA State and Local Amount]]/tblMoeHistory[[#This Row],[Child Count]],0)</f>
        <v>7753.3468571428575</v>
      </c>
      <c r="K2159">
        <f>IFERROR(tblMoeHistory[[#This Row],[ESD State and Local Amount]]/tblMoeHistory[[#This Row],[Child Count]],0)</f>
        <v>3711.5783809523809</v>
      </c>
      <c r="L2159">
        <f>IFERROR(tblMoeHistory[[#This Row],[State and Local Total Amount]]/tblMoeHistory[[#This Row],[Child Count]],0)</f>
        <v>11464.925238095237</v>
      </c>
      <c r="N2159" s="103" t="s">
        <v>241</v>
      </c>
      <c r="O2159">
        <v>202878.9</v>
      </c>
      <c r="P2159">
        <v>2297.37</v>
      </c>
      <c r="Q2159">
        <f>tblMoeHistory[[#This Row],[Amount of IDEA Part B, Section 611 award]]+tblMoeHistory[[#This Row],[Amount of IDEA Part B, Section 619 award]]</f>
        <v>205176.27</v>
      </c>
      <c r="U21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9" t="s">
        <v>242</v>
      </c>
    </row>
    <row r="2160" spans="1:22" x14ac:dyDescent="0.35">
      <c r="A2160" t="s">
        <v>211</v>
      </c>
      <c r="B2160">
        <v>1947</v>
      </c>
      <c r="C2160" t="s">
        <v>1534</v>
      </c>
      <c r="D2160">
        <v>82</v>
      </c>
      <c r="E2160" s="81">
        <v>1112683.48</v>
      </c>
      <c r="F2160" s="81">
        <v>196640</v>
      </c>
      <c r="G2160">
        <f>tblMoeHistory[[#This Row],[LEA State and Local Amount]]+tblMoeHistory[[#This Row],[ESD State and Local Amount]]</f>
        <v>1309323.48</v>
      </c>
      <c r="I2160" t="s">
        <v>241</v>
      </c>
      <c r="J2160" s="44">
        <f>IFERROR(tblMoeHistory[[#This Row],[LEA State and Local Amount]]/tblMoeHistory[[#This Row],[Child Count]],0)</f>
        <v>13569.310731707317</v>
      </c>
      <c r="K2160">
        <f>IFERROR(tblMoeHistory[[#This Row],[ESD State and Local Amount]]/tblMoeHistory[[#This Row],[Child Count]],0)</f>
        <v>2398.0487804878048</v>
      </c>
      <c r="L2160">
        <f>IFERROR(tblMoeHistory[[#This Row],[State and Local Total Amount]]/tblMoeHistory[[#This Row],[Child Count]],0)</f>
        <v>15967.359512195122</v>
      </c>
      <c r="N2160" s="103" t="s">
        <v>241</v>
      </c>
      <c r="O2160">
        <v>131963.14000000001</v>
      </c>
      <c r="P2160">
        <v>5569.34</v>
      </c>
      <c r="Q2160">
        <f>tblMoeHistory[[#This Row],[Amount of IDEA Part B, Section 611 award]]+tblMoeHistory[[#This Row],[Amount of IDEA Part B, Section 619 award]]</f>
        <v>137532.48000000001</v>
      </c>
      <c r="U21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0" t="s">
        <v>241</v>
      </c>
    </row>
    <row r="2161" spans="1:22" x14ac:dyDescent="0.35">
      <c r="A2161" t="s">
        <v>212</v>
      </c>
      <c r="B2161">
        <v>2220</v>
      </c>
      <c r="C2161" t="s">
        <v>1534</v>
      </c>
      <c r="D2161">
        <v>29</v>
      </c>
      <c r="E2161" s="81">
        <v>160416.35999999999</v>
      </c>
      <c r="F2161" s="81">
        <v>158170.59000000003</v>
      </c>
      <c r="G2161">
        <f>tblMoeHistory[[#This Row],[LEA State and Local Amount]]+tblMoeHistory[[#This Row],[ESD State and Local Amount]]</f>
        <v>318586.95</v>
      </c>
      <c r="I2161" t="s">
        <v>242</v>
      </c>
      <c r="J2161" s="44">
        <f>IFERROR(tblMoeHistory[[#This Row],[LEA State and Local Amount]]/tblMoeHistory[[#This Row],[Child Count]],0)</f>
        <v>5531.598620689655</v>
      </c>
      <c r="K2161">
        <f>IFERROR(tblMoeHistory[[#This Row],[ESD State and Local Amount]]/tblMoeHistory[[#This Row],[Child Count]],0)</f>
        <v>5454.1582758620698</v>
      </c>
      <c r="L2161">
        <f>IFERROR(tblMoeHistory[[#This Row],[State and Local Total Amount]]/tblMoeHistory[[#This Row],[Child Count]],0)</f>
        <v>10985.756896551724</v>
      </c>
      <c r="N2161" s="103" t="s">
        <v>241</v>
      </c>
      <c r="O2161">
        <v>60052.4</v>
      </c>
      <c r="P2161">
        <v>2096.67</v>
      </c>
      <c r="Q2161">
        <f>tblMoeHistory[[#This Row],[Amount of IDEA Part B, Section 611 award]]+tblMoeHistory[[#This Row],[Amount of IDEA Part B, Section 619 award]]</f>
        <v>62149.07</v>
      </c>
      <c r="U21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1" t="s">
        <v>242</v>
      </c>
    </row>
    <row r="2162" spans="1:22" x14ac:dyDescent="0.35">
      <c r="A2162" t="s">
        <v>213</v>
      </c>
      <c r="B2162">
        <v>1936</v>
      </c>
      <c r="C2162" t="s">
        <v>1534</v>
      </c>
      <c r="D2162">
        <v>142</v>
      </c>
      <c r="E2162" s="81">
        <v>1589956.4399999995</v>
      </c>
      <c r="F2162" s="81">
        <v>304213</v>
      </c>
      <c r="G2162">
        <f>tblMoeHistory[[#This Row],[LEA State and Local Amount]]+tblMoeHistory[[#This Row],[ESD State and Local Amount]]</f>
        <v>1894169.4399999995</v>
      </c>
      <c r="I2162" t="s">
        <v>241</v>
      </c>
      <c r="J2162" s="44">
        <f>IFERROR(tblMoeHistory[[#This Row],[LEA State and Local Amount]]/tblMoeHistory[[#This Row],[Child Count]],0)</f>
        <v>11196.876338028165</v>
      </c>
      <c r="K2162">
        <f>IFERROR(tblMoeHistory[[#This Row],[ESD State and Local Amount]]/tblMoeHistory[[#This Row],[Child Count]],0)</f>
        <v>2142.3450704225352</v>
      </c>
      <c r="L2162">
        <f>IFERROR(tblMoeHistory[[#This Row],[State and Local Total Amount]]/tblMoeHistory[[#This Row],[Child Count]],0)</f>
        <v>13339.221408450701</v>
      </c>
      <c r="N2162" s="103" t="s">
        <v>241</v>
      </c>
      <c r="O2162">
        <v>213874.99</v>
      </c>
      <c r="P2162">
        <v>5257.98</v>
      </c>
      <c r="Q2162">
        <f>tblMoeHistory[[#This Row],[Amount of IDEA Part B, Section 611 award]]+tblMoeHistory[[#This Row],[Amount of IDEA Part B, Section 619 award]]</f>
        <v>219132.97</v>
      </c>
      <c r="U21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2" t="s">
        <v>241</v>
      </c>
    </row>
    <row r="2163" spans="1:22" x14ac:dyDescent="0.35">
      <c r="A2163" t="s">
        <v>214</v>
      </c>
      <c r="B2163">
        <v>1922</v>
      </c>
      <c r="C2163" t="s">
        <v>1534</v>
      </c>
      <c r="D2163">
        <v>1044</v>
      </c>
      <c r="E2163" s="81">
        <v>11716165.240000002</v>
      </c>
      <c r="F2163">
        <v>0</v>
      </c>
      <c r="G2163">
        <f>tblMoeHistory[[#This Row],[LEA State and Local Amount]]+tblMoeHistory[[#This Row],[ESD State and Local Amount]]</f>
        <v>11716165.240000002</v>
      </c>
      <c r="I2163" t="s">
        <v>2140</v>
      </c>
      <c r="J2163" s="44">
        <f>IFERROR(tblMoeHistory[[#This Row],[LEA State and Local Amount]]/tblMoeHistory[[#This Row],[Child Count]],0)</f>
        <v>11222.380498084292</v>
      </c>
      <c r="K2163">
        <f>IFERROR(tblMoeHistory[[#This Row],[ESD State and Local Amount]]/tblMoeHistory[[#This Row],[Child Count]],0)</f>
        <v>0</v>
      </c>
      <c r="L2163">
        <f>IFERROR(tblMoeHistory[[#This Row],[State and Local Total Amount]]/tblMoeHistory[[#This Row],[Child Count]],0)</f>
        <v>11222.380498084292</v>
      </c>
      <c r="N2163" s="103" t="s">
        <v>242</v>
      </c>
      <c r="O2163">
        <v>1692591.46</v>
      </c>
      <c r="P2163">
        <v>30384.269999999997</v>
      </c>
      <c r="Q2163">
        <f>tblMoeHistory[[#This Row],[Amount of IDEA Part B, Section 611 award]]+tblMoeHistory[[#This Row],[Amount of IDEA Part B, Section 619 award]]</f>
        <v>1722975.73</v>
      </c>
      <c r="U21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3" t="s">
        <v>2138</v>
      </c>
    </row>
    <row r="2164" spans="1:22" x14ac:dyDescent="0.35">
      <c r="A2164" t="s">
        <v>215</v>
      </c>
      <c r="B2164">
        <v>2255</v>
      </c>
      <c r="C2164" t="s">
        <v>1534</v>
      </c>
      <c r="D2164">
        <v>139</v>
      </c>
      <c r="E2164" s="81">
        <v>1022403.36</v>
      </c>
      <c r="F2164" s="81">
        <v>42494.100000000006</v>
      </c>
      <c r="G2164">
        <f>tblMoeHistory[[#This Row],[LEA State and Local Amount]]+tblMoeHistory[[#This Row],[ESD State and Local Amount]]</f>
        <v>1064897.46</v>
      </c>
      <c r="I2164" t="s">
        <v>242</v>
      </c>
      <c r="J2164" s="44">
        <f>IFERROR(tblMoeHistory[[#This Row],[LEA State and Local Amount]]/tblMoeHistory[[#This Row],[Child Count]],0)</f>
        <v>7355.4198561151079</v>
      </c>
      <c r="K2164">
        <f>IFERROR(tblMoeHistory[[#This Row],[ESD State and Local Amount]]/tblMoeHistory[[#This Row],[Child Count]],0)</f>
        <v>305.71294964028783</v>
      </c>
      <c r="L2164">
        <f>IFERROR(tblMoeHistory[[#This Row],[State and Local Total Amount]]/tblMoeHistory[[#This Row],[Child Count]],0)</f>
        <v>7661.1328057553956</v>
      </c>
      <c r="N2164" s="103" t="s">
        <v>242</v>
      </c>
      <c r="O2164">
        <v>231161.44</v>
      </c>
      <c r="P2164">
        <v>8661.92</v>
      </c>
      <c r="Q2164">
        <f>tblMoeHistory[[#This Row],[Amount of IDEA Part B, Section 611 award]]+tblMoeHistory[[#This Row],[Amount of IDEA Part B, Section 619 award]]</f>
        <v>239823.36000000002</v>
      </c>
      <c r="U21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4" t="s">
        <v>242</v>
      </c>
    </row>
    <row r="2165" spans="1:22" x14ac:dyDescent="0.35">
      <c r="A2165" t="s">
        <v>216</v>
      </c>
      <c r="B2165">
        <v>2002</v>
      </c>
      <c r="C2165" t="s">
        <v>1534</v>
      </c>
      <c r="D2165">
        <v>192</v>
      </c>
      <c r="E2165" s="81">
        <v>1732393.5099999993</v>
      </c>
      <c r="F2165" s="81">
        <v>375789.32000000007</v>
      </c>
      <c r="G2165">
        <f>tblMoeHistory[[#This Row],[LEA State and Local Amount]]+tblMoeHistory[[#This Row],[ESD State and Local Amount]]</f>
        <v>2108182.8299999991</v>
      </c>
      <c r="I2165" t="s">
        <v>241</v>
      </c>
      <c r="J2165" s="44">
        <f>IFERROR(tblMoeHistory[[#This Row],[LEA State and Local Amount]]/tblMoeHistory[[#This Row],[Child Count]],0)</f>
        <v>9022.8828645833291</v>
      </c>
      <c r="K2165">
        <f>IFERROR(tblMoeHistory[[#This Row],[ESD State and Local Amount]]/tblMoeHistory[[#This Row],[Child Count]],0)</f>
        <v>1957.236041666667</v>
      </c>
      <c r="L2165">
        <f>IFERROR(tblMoeHistory[[#This Row],[State and Local Total Amount]]/tblMoeHistory[[#This Row],[Child Count]],0)</f>
        <v>10980.118906249996</v>
      </c>
      <c r="N2165" s="103" t="s">
        <v>241</v>
      </c>
      <c r="O2165">
        <v>331948.98</v>
      </c>
      <c r="P2165">
        <v>11224.300000000001</v>
      </c>
      <c r="Q2165">
        <f>tblMoeHistory[[#This Row],[Amount of IDEA Part B, Section 611 award]]+tblMoeHistory[[#This Row],[Amount of IDEA Part B, Section 619 award]]</f>
        <v>343173.27999999997</v>
      </c>
      <c r="U21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5" t="s">
        <v>241</v>
      </c>
    </row>
    <row r="2166" spans="1:22" x14ac:dyDescent="0.35">
      <c r="A2166" t="s">
        <v>217</v>
      </c>
      <c r="B2166">
        <v>2146</v>
      </c>
      <c r="C2166" t="s">
        <v>1534</v>
      </c>
      <c r="D2166">
        <v>805</v>
      </c>
      <c r="E2166" s="81">
        <v>8587536.9899999965</v>
      </c>
      <c r="F2166" s="81">
        <v>516912.33</v>
      </c>
      <c r="G2166">
        <f>tblMoeHistory[[#This Row],[LEA State and Local Amount]]+tblMoeHistory[[#This Row],[ESD State and Local Amount]]</f>
        <v>9104449.3199999966</v>
      </c>
      <c r="I2166" t="s">
        <v>242</v>
      </c>
      <c r="J2166" s="44">
        <f>IFERROR(tblMoeHistory[[#This Row],[LEA State and Local Amount]]/tblMoeHistory[[#This Row],[Child Count]],0)</f>
        <v>10667.747813664591</v>
      </c>
      <c r="K2166">
        <f>IFERROR(tblMoeHistory[[#This Row],[ESD State and Local Amount]]/tblMoeHistory[[#This Row],[Child Count]],0)</f>
        <v>642.12711801242233</v>
      </c>
      <c r="L2166">
        <f>IFERROR(tblMoeHistory[[#This Row],[State and Local Total Amount]]/tblMoeHistory[[#This Row],[Child Count]],0)</f>
        <v>11309.874931677014</v>
      </c>
      <c r="N2166" s="103" t="s">
        <v>241</v>
      </c>
      <c r="O2166">
        <v>1047524.1200000001</v>
      </c>
      <c r="P2166">
        <v>15433.560000000001</v>
      </c>
      <c r="Q2166">
        <f>tblMoeHistory[[#This Row],[Amount of IDEA Part B, Section 611 award]]+tblMoeHistory[[#This Row],[Amount of IDEA Part B, Section 619 award]]</f>
        <v>1062957.6800000002</v>
      </c>
      <c r="U21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6" t="s">
        <v>242</v>
      </c>
    </row>
    <row r="2167" spans="1:22" x14ac:dyDescent="0.35">
      <c r="A2167" t="s">
        <v>218</v>
      </c>
      <c r="B2167">
        <v>2251</v>
      </c>
      <c r="C2167" t="s">
        <v>1534</v>
      </c>
      <c r="D2167">
        <v>114</v>
      </c>
      <c r="E2167" s="81">
        <v>1500089.6800000002</v>
      </c>
      <c r="F2167" s="81">
        <v>222049.84</v>
      </c>
      <c r="G2167">
        <f>tblMoeHistory[[#This Row],[LEA State and Local Amount]]+tblMoeHistory[[#This Row],[ESD State and Local Amount]]</f>
        <v>1722139.5200000003</v>
      </c>
      <c r="I2167" t="s">
        <v>241</v>
      </c>
      <c r="J2167" s="44">
        <f>IFERROR(tblMoeHistory[[#This Row],[LEA State and Local Amount]]/tblMoeHistory[[#This Row],[Child Count]],0)</f>
        <v>13158.681403508774</v>
      </c>
      <c r="K2167">
        <f>IFERROR(tblMoeHistory[[#This Row],[ESD State and Local Amount]]/tblMoeHistory[[#This Row],[Child Count]],0)</f>
        <v>1947.8056140350877</v>
      </c>
      <c r="L2167">
        <f>IFERROR(tblMoeHistory[[#This Row],[State and Local Total Amount]]/tblMoeHistory[[#This Row],[Child Count]],0)</f>
        <v>15106.487017543863</v>
      </c>
      <c r="N2167" s="103" t="s">
        <v>241</v>
      </c>
      <c r="O2167">
        <v>230821.65</v>
      </c>
      <c r="P2167">
        <v>6187.06</v>
      </c>
      <c r="Q2167">
        <f>tblMoeHistory[[#This Row],[Amount of IDEA Part B, Section 611 award]]+tblMoeHistory[[#This Row],[Amount of IDEA Part B, Section 619 award]]</f>
        <v>237008.71</v>
      </c>
      <c r="U21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7" t="s">
        <v>241</v>
      </c>
    </row>
    <row r="2168" spans="1:22" x14ac:dyDescent="0.35">
      <c r="A2168" t="s">
        <v>219</v>
      </c>
      <c r="B2168">
        <v>1997</v>
      </c>
      <c r="C2168" t="s">
        <v>1534</v>
      </c>
      <c r="D2168">
        <v>35</v>
      </c>
      <c r="E2168" s="81">
        <v>280412.93</v>
      </c>
      <c r="F2168" s="81">
        <v>74260.97</v>
      </c>
      <c r="G2168">
        <f>tblMoeHistory[[#This Row],[LEA State and Local Amount]]+tblMoeHistory[[#This Row],[ESD State and Local Amount]]</f>
        <v>354673.9</v>
      </c>
      <c r="I2168" t="s">
        <v>242</v>
      </c>
      <c r="J2168" s="44">
        <f>IFERROR(tblMoeHistory[[#This Row],[LEA State and Local Amount]]/tblMoeHistory[[#This Row],[Child Count]],0)</f>
        <v>8011.7979999999998</v>
      </c>
      <c r="K2168">
        <f>IFERROR(tblMoeHistory[[#This Row],[ESD State and Local Amount]]/tblMoeHistory[[#This Row],[Child Count]],0)</f>
        <v>2121.7420000000002</v>
      </c>
      <c r="L2168">
        <f>IFERROR(tblMoeHistory[[#This Row],[State and Local Total Amount]]/tblMoeHistory[[#This Row],[Child Count]],0)</f>
        <v>10133.540000000001</v>
      </c>
      <c r="N2168" s="103" t="s">
        <v>241</v>
      </c>
      <c r="O2168">
        <v>62161.399999999994</v>
      </c>
      <c r="P2168">
        <v>2046.98</v>
      </c>
      <c r="Q2168">
        <f>tblMoeHistory[[#This Row],[Amount of IDEA Part B, Section 611 award]]+tblMoeHistory[[#This Row],[Amount of IDEA Part B, Section 619 award]]</f>
        <v>64208.38</v>
      </c>
      <c r="U21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8" t="s">
        <v>242</v>
      </c>
    </row>
    <row r="2169" spans="1:22" s="104" customFormat="1" x14ac:dyDescent="0.35">
      <c r="A2169" s="104" t="s">
        <v>14</v>
      </c>
      <c r="B2169" s="104">
        <v>2063</v>
      </c>
      <c r="C2169" s="104" t="s">
        <v>1777</v>
      </c>
      <c r="D2169">
        <v>5</v>
      </c>
      <c r="E2169" s="104">
        <v>4692.63</v>
      </c>
      <c r="F2169" s="104">
        <v>42748.200000000004</v>
      </c>
      <c r="G2169" s="104">
        <f>tblMoeHistory[[#This Row],[LEA State and Local Amount]]+tblMoeHistory[[#This Row],[ESD State and Local Amount]]</f>
        <v>47440.83</v>
      </c>
      <c r="I2169" s="104" t="s">
        <v>241</v>
      </c>
      <c r="J2169" s="105">
        <f>IFERROR(tblMoeHistory[[#This Row],[LEA State and Local Amount]]/tblMoeHistory[[#This Row],[Child Count]],0)</f>
        <v>938.52600000000007</v>
      </c>
      <c r="K2169" s="104">
        <v>0</v>
      </c>
      <c r="L2169" s="104">
        <f>IFERROR(tblMoeHistory[[#This Row],[State and Local Total Amount]]/tblMoeHistory[[#This Row],[Child Count]],0)</f>
        <v>9488.1660000000011</v>
      </c>
      <c r="N2169" s="104" t="str">
        <f>IF(L2169&gt;=L1972,"Met","Did Not Meet")</f>
        <v>Did Not Meet</v>
      </c>
      <c r="O2169" s="104">
        <v>2871</v>
      </c>
      <c r="P2169" s="104">
        <v>491</v>
      </c>
      <c r="Q2169" s="104">
        <f>tblMoeHistory[[#This Row],[Amount of IDEA Part B, Section 611 award]]+tblMoeHistory[[#This Row],[Amount of IDEA Part B, Section 619 award]]</f>
        <v>3362</v>
      </c>
      <c r="U2169" s="1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9" s="104" t="str">
        <f>IF(OR(IFERROR(SEARCH("Met",tblMoeHistory[[#This Row],[State and Local Per Capita Result]]),0)&gt;0,IFERROR(SEARCH("Met",tblMoeHistory[[#This Row],[State and Local Total Result]]),0)&gt;0),"Met","Not Met")</f>
        <v>Met</v>
      </c>
    </row>
    <row r="2170" spans="1:22" x14ac:dyDescent="0.35">
      <c r="A2170" t="s">
        <v>17</v>
      </c>
      <c r="B2170">
        <v>2113</v>
      </c>
      <c r="C2170" t="s">
        <v>1777</v>
      </c>
      <c r="D2170">
        <v>39</v>
      </c>
      <c r="E2170">
        <v>253169.40999999997</v>
      </c>
      <c r="F2170">
        <v>121488.03</v>
      </c>
      <c r="G2170">
        <f>tblMoeHistory[[#This Row],[LEA State and Local Amount]]+tblMoeHistory[[#This Row],[ESD State and Local Amount]]</f>
        <v>374657.43999999994</v>
      </c>
      <c r="I2170" t="str">
        <f t="shared" ref="I2170" si="0">IF(G2170&gt;=G1973,"Met","Did Not Meet")</f>
        <v>Met</v>
      </c>
      <c r="J2170" s="44">
        <f>IFERROR(tblMoeHistory[[#This Row],[LEA State and Local Amount]]/tblMoeHistory[[#This Row],[Child Count]],0)</f>
        <v>6491.5233333333326</v>
      </c>
      <c r="K2170">
        <f>IFERROR(tblMoeHistory[[#This Row],[ESD State and Local Amount]]/tblMoeHistory[[#This Row],[Child Count]],0)</f>
        <v>3115.0776923076924</v>
      </c>
      <c r="L2170">
        <f>IFERROR(tblMoeHistory[[#This Row],[State and Local Total Amount]]/tblMoeHistory[[#This Row],[Child Count]],0)</f>
        <v>9606.6010256410245</v>
      </c>
      <c r="N2170" t="str">
        <f t="shared" ref="N2170:N2233" si="1">IF(L2170&gt;=L1973,"Met","Did Not Meet")</f>
        <v>Met</v>
      </c>
      <c r="O2170">
        <v>62934</v>
      </c>
      <c r="P2170">
        <v>442</v>
      </c>
      <c r="Q2170">
        <f>tblMoeHistory[[#This Row],[Amount of IDEA Part B, Section 611 award]]+tblMoeHistory[[#This Row],[Amount of IDEA Part B, Section 619 award]]</f>
        <v>63376</v>
      </c>
      <c r="U21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0" t="str">
        <f>IF(OR(IFERROR(SEARCH("Met",tblMoeHistory[[#This Row],[State and Local Per Capita Result]]),0)&gt;0,IFERROR(SEARCH("Met",tblMoeHistory[[#This Row],[State and Local Total Result]]),0)&gt;0),"Met","Not Met")</f>
        <v>Met</v>
      </c>
    </row>
    <row r="2171" spans="1:22" x14ac:dyDescent="0.35">
      <c r="A2171" t="s">
        <v>20</v>
      </c>
      <c r="B2171">
        <v>1899</v>
      </c>
      <c r="C2171" t="s">
        <v>1777</v>
      </c>
      <c r="D2171">
        <v>114</v>
      </c>
      <c r="E2171">
        <v>1501403.65</v>
      </c>
      <c r="F2171">
        <v>138452</v>
      </c>
      <c r="G2171">
        <f>tblMoeHistory[[#This Row],[LEA State and Local Amount]]+tblMoeHistory[[#This Row],[ESD State and Local Amount]]</f>
        <v>1639855.65</v>
      </c>
      <c r="I2171" t="s">
        <v>242</v>
      </c>
      <c r="J2171" s="44">
        <f>IFERROR(tblMoeHistory[[#This Row],[LEA State and Local Amount]]/tblMoeHistory[[#This Row],[Child Count]],0)</f>
        <v>13170.20745614035</v>
      </c>
      <c r="K2171">
        <f>IFERROR(tblMoeHistory[[#This Row],[ESD State and Local Amount]]/tblMoeHistory[[#This Row],[Child Count]],0)</f>
        <v>1214.4912280701753</v>
      </c>
      <c r="L2171">
        <f>IFERROR(tblMoeHistory[[#This Row],[State and Local Total Amount]]/tblMoeHistory[[#This Row],[Child Count]],0)</f>
        <v>14384.698684210525</v>
      </c>
      <c r="N2171" t="str">
        <f t="shared" si="1"/>
        <v>Met</v>
      </c>
      <c r="O2171">
        <v>49962</v>
      </c>
      <c r="P2171">
        <v>1593</v>
      </c>
      <c r="Q2171">
        <f>tblMoeHistory[[#This Row],[Amount of IDEA Part B, Section 611 award]]+tblMoeHistory[[#This Row],[Amount of IDEA Part B, Section 619 award]]</f>
        <v>51555</v>
      </c>
      <c r="U21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1" t="str">
        <f>IF(OR(IFERROR(SEARCH("Met",tblMoeHistory[[#This Row],[State and Local Per Capita Result]]),0)&gt;0,IFERROR(SEARCH("Met",tblMoeHistory[[#This Row],[State and Local Total Result]]),0)&gt;0),"Met","Not Met")</f>
        <v>Met</v>
      </c>
    </row>
    <row r="2172" spans="1:22" x14ac:dyDescent="0.35">
      <c r="A2172" t="s">
        <v>21</v>
      </c>
      <c r="B2172">
        <v>2252</v>
      </c>
      <c r="C2172" t="s">
        <v>1777</v>
      </c>
      <c r="D2172">
        <v>122</v>
      </c>
      <c r="E2172">
        <v>667452.79</v>
      </c>
      <c r="F2172">
        <v>147629.78999999998</v>
      </c>
      <c r="G2172">
        <f>tblMoeHistory[[#This Row],[LEA State and Local Amount]]+tblMoeHistory[[#This Row],[ESD State and Local Amount]]</f>
        <v>815082.58000000007</v>
      </c>
      <c r="I2172" t="s">
        <v>241</v>
      </c>
      <c r="J2172" s="44">
        <f>IFERROR(tblMoeHistory[[#This Row],[LEA State and Local Amount]]/tblMoeHistory[[#This Row],[Child Count]],0)</f>
        <v>5470.9245081967219</v>
      </c>
      <c r="K2172">
        <f>IFERROR(tblMoeHistory[[#This Row],[ESD State and Local Amount]]/tblMoeHistory[[#This Row],[Child Count]],0)</f>
        <v>1210.0802459016393</v>
      </c>
      <c r="L2172">
        <f>IFERROR(tblMoeHistory[[#This Row],[State and Local Total Amount]]/tblMoeHistory[[#This Row],[Child Count]],0)</f>
        <v>6681.0047540983614</v>
      </c>
      <c r="N2172" t="str">
        <f t="shared" si="1"/>
        <v>Met</v>
      </c>
      <c r="O2172">
        <v>193019</v>
      </c>
      <c r="P2172">
        <v>8212</v>
      </c>
      <c r="Q2172">
        <f>tblMoeHistory[[#This Row],[Amount of IDEA Part B, Section 611 award]]+tblMoeHistory[[#This Row],[Amount of IDEA Part B, Section 619 award]]</f>
        <v>201231</v>
      </c>
      <c r="U21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2" t="str">
        <f>IF(OR(IFERROR(SEARCH("Met",tblMoeHistory[[#This Row],[State and Local Per Capita Result]]),0)&gt;0,IFERROR(SEARCH("Met",tblMoeHistory[[#This Row],[State and Local Total Result]]),0)&gt;0),"Met","Not Met")</f>
        <v>Met</v>
      </c>
    </row>
    <row r="2173" spans="1:22" x14ac:dyDescent="0.35">
      <c r="A2173" t="s">
        <v>23</v>
      </c>
      <c r="B2173">
        <v>2111</v>
      </c>
      <c r="C2173" t="s">
        <v>1777</v>
      </c>
      <c r="D2173">
        <v>6</v>
      </c>
      <c r="E2173">
        <v>0</v>
      </c>
      <c r="F2173">
        <v>44052.680000000008</v>
      </c>
      <c r="G2173">
        <f>tblMoeHistory[[#This Row],[LEA State and Local Amount]]+tblMoeHistory[[#This Row],[ESD State and Local Amount]]</f>
        <v>44052.680000000008</v>
      </c>
      <c r="I2173" t="s">
        <v>241</v>
      </c>
      <c r="J2173" s="44">
        <f>IFERROR(tblMoeHistory[[#This Row],[LEA State and Local Amount]]/tblMoeHistory[[#This Row],[Child Count]],0)</f>
        <v>0</v>
      </c>
      <c r="K2173">
        <f>IFERROR(tblMoeHistory[[#This Row],[ESD State and Local Amount]]/tblMoeHistory[[#This Row],[Child Count]],0)</f>
        <v>7342.1133333333346</v>
      </c>
      <c r="L2173">
        <f>IFERROR(tblMoeHistory[[#This Row],[State and Local Total Amount]]/tblMoeHistory[[#This Row],[Child Count]],0)</f>
        <v>7342.1133333333346</v>
      </c>
      <c r="N2173" t="str">
        <f t="shared" si="1"/>
        <v>Did Not Meet</v>
      </c>
      <c r="O2173">
        <v>23938</v>
      </c>
      <c r="P2173">
        <v>828</v>
      </c>
      <c r="Q2173">
        <f>tblMoeHistory[[#This Row],[Amount of IDEA Part B, Section 611 award]]+tblMoeHistory[[#This Row],[Amount of IDEA Part B, Section 619 award]]</f>
        <v>24766</v>
      </c>
      <c r="U21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3" t="str">
        <f>IF(OR(IFERROR(SEARCH("Met",tblMoeHistory[[#This Row],[State and Local Per Capita Result]]),0)&gt;0,IFERROR(SEARCH("Met",tblMoeHistory[[#This Row],[State and Local Total Result]]),0)&gt;0),"Met","Not Met")</f>
        <v>Met</v>
      </c>
    </row>
    <row r="2174" spans="1:22" x14ac:dyDescent="0.35">
      <c r="A2174" t="s">
        <v>24</v>
      </c>
      <c r="B2174">
        <v>2005</v>
      </c>
      <c r="C2174" t="s">
        <v>1777</v>
      </c>
      <c r="D2174">
        <v>21</v>
      </c>
      <c r="E2174">
        <v>18459.73</v>
      </c>
      <c r="F2174">
        <v>168310</v>
      </c>
      <c r="G2174">
        <f>tblMoeHistory[[#This Row],[LEA State and Local Amount]]+tblMoeHistory[[#This Row],[ESD State and Local Amount]]</f>
        <v>186769.73</v>
      </c>
      <c r="I2174" t="s">
        <v>241</v>
      </c>
      <c r="J2174" s="44">
        <f>IFERROR(tblMoeHistory[[#This Row],[LEA State and Local Amount]]/tblMoeHistory[[#This Row],[Child Count]],0)</f>
        <v>879.03476190476192</v>
      </c>
      <c r="K2174">
        <f>IFERROR(tblMoeHistory[[#This Row],[ESD State and Local Amount]]/tblMoeHistory[[#This Row],[Child Count]],0)</f>
        <v>8014.7619047619046</v>
      </c>
      <c r="L2174">
        <f>IFERROR(tblMoeHistory[[#This Row],[State and Local Total Amount]]/tblMoeHistory[[#This Row],[Child Count]],0)</f>
        <v>8893.7966666666671</v>
      </c>
      <c r="N2174" t="str">
        <f t="shared" si="1"/>
        <v>Met</v>
      </c>
      <c r="O2174">
        <v>36464</v>
      </c>
      <c r="P2174">
        <v>643</v>
      </c>
      <c r="Q2174">
        <f>tblMoeHistory[[#This Row],[Amount of IDEA Part B, Section 611 award]]+tblMoeHistory[[#This Row],[Amount of IDEA Part B, Section 619 award]]</f>
        <v>37107</v>
      </c>
      <c r="U21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4" t="str">
        <f>IF(OR(IFERROR(SEARCH("Met",tblMoeHistory[[#This Row],[State and Local Per Capita Result]]),0)&gt;0,IFERROR(SEARCH("Met",tblMoeHistory[[#This Row],[State and Local Total Result]]),0)&gt;0),"Met","Not Met")</f>
        <v>Met</v>
      </c>
    </row>
    <row r="2175" spans="1:22" x14ac:dyDescent="0.35">
      <c r="A2175" t="s">
        <v>25</v>
      </c>
      <c r="B2175">
        <v>2115</v>
      </c>
      <c r="C2175" t="s">
        <v>1777</v>
      </c>
      <c r="D2175">
        <v>0</v>
      </c>
      <c r="E2175">
        <v>0</v>
      </c>
      <c r="F2175">
        <v>13107.18</v>
      </c>
      <c r="G2175">
        <f>tblMoeHistory[[#This Row],[LEA State and Local Amount]]+tblMoeHistory[[#This Row],[ESD State and Local Amount]]</f>
        <v>13107.18</v>
      </c>
      <c r="I2175" t="s">
        <v>242</v>
      </c>
      <c r="J2175" s="44">
        <f>IFERROR(tblMoeHistory[[#This Row],[LEA State and Local Amount]]/tblMoeHistory[[#This Row],[Child Count]],0)</f>
        <v>0</v>
      </c>
      <c r="K2175">
        <f>IFERROR(tblMoeHistory[[#This Row],[ESD State and Local Amount]]/tblMoeHistory[[#This Row],[Child Count]],0)</f>
        <v>0</v>
      </c>
      <c r="L2175">
        <f>IFERROR(tblMoeHistory[[#This Row],[State and Local Total Amount]]/tblMoeHistory[[#This Row],[Child Count]],0)</f>
        <v>0</v>
      </c>
      <c r="N2175" t="str">
        <f t="shared" si="1"/>
        <v>Did Not Meet</v>
      </c>
      <c r="O2175">
        <v>4558</v>
      </c>
      <c r="P2175">
        <v>12</v>
      </c>
      <c r="Q2175">
        <f>tblMoeHistory[[#This Row],[Amount of IDEA Part B, Section 611 award]]+tblMoeHistory[[#This Row],[Amount of IDEA Part B, Section 619 award]]</f>
        <v>4570</v>
      </c>
      <c r="U21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5" t="str">
        <f>IF(OR(IFERROR(SEARCH("Met",tblMoeHistory[[#This Row],[State and Local Per Capita Result]]),0)&gt;0,IFERROR(SEARCH("Met",tblMoeHistory[[#This Row],[State and Local Total Result]]),0)&gt;0),"Met","Not Met")</f>
        <v>Met</v>
      </c>
    </row>
    <row r="2176" spans="1:22" x14ac:dyDescent="0.35">
      <c r="A2176" t="s">
        <v>26</v>
      </c>
      <c r="B2176">
        <v>2041</v>
      </c>
      <c r="C2176" t="s">
        <v>1777</v>
      </c>
      <c r="D2176">
        <v>320</v>
      </c>
      <c r="E2176">
        <v>3285248.7000000007</v>
      </c>
      <c r="F2176">
        <v>532575.49</v>
      </c>
      <c r="G2176">
        <f>tblMoeHistory[[#This Row],[LEA State and Local Amount]]+tblMoeHistory[[#This Row],[ESD State and Local Amount]]</f>
        <v>3817824.1900000004</v>
      </c>
      <c r="I2176" t="s">
        <v>241</v>
      </c>
      <c r="J2176" s="44">
        <f>IFERROR(tblMoeHistory[[#This Row],[LEA State and Local Amount]]/tblMoeHistory[[#This Row],[Child Count]],0)</f>
        <v>10266.402187500002</v>
      </c>
      <c r="K2176">
        <f>IFERROR(tblMoeHistory[[#This Row],[ESD State and Local Amount]]/tblMoeHistory[[#This Row],[Child Count]],0)</f>
        <v>1664.29840625</v>
      </c>
      <c r="L2176">
        <f>IFERROR(tblMoeHistory[[#This Row],[State and Local Total Amount]]/tblMoeHistory[[#This Row],[Child Count]],0)</f>
        <v>11930.700593750002</v>
      </c>
      <c r="N2176" t="str">
        <f t="shared" si="1"/>
        <v>Did Not Meet</v>
      </c>
      <c r="O2176">
        <v>665061</v>
      </c>
      <c r="P2176">
        <v>16339</v>
      </c>
      <c r="Q2176">
        <f>tblMoeHistory[[#This Row],[Amount of IDEA Part B, Section 611 award]]+tblMoeHistory[[#This Row],[Amount of IDEA Part B, Section 619 award]]</f>
        <v>681400</v>
      </c>
      <c r="U21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6" t="str">
        <f>IF(OR(IFERROR(SEARCH("Met",tblMoeHistory[[#This Row],[State and Local Per Capita Result]]),0)&gt;0,IFERROR(SEARCH("Met",tblMoeHistory[[#This Row],[State and Local Total Result]]),0)&gt;0),"Met","Not Met")</f>
        <v>Met</v>
      </c>
    </row>
    <row r="2177" spans="1:22" x14ac:dyDescent="0.35">
      <c r="A2177" t="s">
        <v>27</v>
      </c>
      <c r="B2177">
        <v>2051</v>
      </c>
      <c r="C2177" t="s">
        <v>1777</v>
      </c>
      <c r="D2177">
        <v>0</v>
      </c>
      <c r="E2177">
        <v>0</v>
      </c>
      <c r="F2177">
        <v>10583.51</v>
      </c>
      <c r="G2177">
        <f>tblMoeHistory[[#This Row],[LEA State and Local Amount]]+tblMoeHistory[[#This Row],[ESD State and Local Amount]]</f>
        <v>10583.51</v>
      </c>
      <c r="I2177" t="s">
        <v>241</v>
      </c>
      <c r="J2177" s="44">
        <f>IFERROR(tblMoeHistory[[#This Row],[LEA State and Local Amount]]/tblMoeHistory[[#This Row],[Child Count]],0)</f>
        <v>0</v>
      </c>
      <c r="K2177">
        <f>IFERROR(tblMoeHistory[[#This Row],[ESD State and Local Amount]]/tblMoeHistory[[#This Row],[Child Count]],0)</f>
        <v>0</v>
      </c>
      <c r="L2177">
        <f>IFERROR(tblMoeHistory[[#This Row],[State and Local Total Amount]]/tblMoeHistory[[#This Row],[Child Count]],0)</f>
        <v>0</v>
      </c>
      <c r="N2177" t="str">
        <f t="shared" si="1"/>
        <v>Met</v>
      </c>
      <c r="O2177">
        <v>1235</v>
      </c>
      <c r="P2177">
        <v>5</v>
      </c>
      <c r="Q2177">
        <f>tblMoeHistory[[#This Row],[Amount of IDEA Part B, Section 611 award]]+tblMoeHistory[[#This Row],[Amount of IDEA Part B, Section 619 award]]</f>
        <v>1240</v>
      </c>
      <c r="U21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7" t="str">
        <f>IF(OR(IFERROR(SEARCH("Met",tblMoeHistory[[#This Row],[State and Local Per Capita Result]]),0)&gt;0,IFERROR(SEARCH("Met",tblMoeHistory[[#This Row],[State and Local Total Result]]),0)&gt;0),"Met","Not Met")</f>
        <v>Met</v>
      </c>
    </row>
    <row r="2178" spans="1:22" x14ac:dyDescent="0.35">
      <c r="A2178" t="s">
        <v>28</v>
      </c>
      <c r="B2178">
        <v>1933</v>
      </c>
      <c r="C2178" t="s">
        <v>1777</v>
      </c>
      <c r="D2178">
        <v>247</v>
      </c>
      <c r="E2178">
        <v>3397221.1100000003</v>
      </c>
      <c r="F2178">
        <v>583074</v>
      </c>
      <c r="G2178">
        <f>tblMoeHistory[[#This Row],[LEA State and Local Amount]]+tblMoeHistory[[#This Row],[ESD State and Local Amount]]</f>
        <v>3980295.1100000003</v>
      </c>
      <c r="I2178" t="s">
        <v>241</v>
      </c>
      <c r="J2178" s="44">
        <f>IFERROR(tblMoeHistory[[#This Row],[LEA State and Local Amount]]/tblMoeHistory[[#This Row],[Child Count]],0)</f>
        <v>13753.9316194332</v>
      </c>
      <c r="K2178">
        <f>IFERROR(tblMoeHistory[[#This Row],[ESD State and Local Amount]]/tblMoeHistory[[#This Row],[Child Count]],0)</f>
        <v>2360.6234817813765</v>
      </c>
      <c r="L2178">
        <f>IFERROR(tblMoeHistory[[#This Row],[State and Local Total Amount]]/tblMoeHistory[[#This Row],[Child Count]],0)</f>
        <v>16114.555101214577</v>
      </c>
      <c r="N2178" t="str">
        <f t="shared" si="1"/>
        <v>Met</v>
      </c>
      <c r="O2178">
        <v>409519</v>
      </c>
      <c r="P2178">
        <v>8821</v>
      </c>
      <c r="Q2178">
        <f>tblMoeHistory[[#This Row],[Amount of IDEA Part B, Section 611 award]]+tblMoeHistory[[#This Row],[Amount of IDEA Part B, Section 619 award]]</f>
        <v>418340</v>
      </c>
      <c r="U21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8" t="str">
        <f>IF(OR(IFERROR(SEARCH("Met",tblMoeHistory[[#This Row],[State and Local Per Capita Result]]),0)&gt;0,IFERROR(SEARCH("Met",tblMoeHistory[[#This Row],[State and Local Total Result]]),0)&gt;0),"Met","Not Met")</f>
        <v>Met</v>
      </c>
    </row>
    <row r="2179" spans="1:22" x14ac:dyDescent="0.35">
      <c r="A2179" t="s">
        <v>29</v>
      </c>
      <c r="B2179">
        <v>2208</v>
      </c>
      <c r="C2179" t="s">
        <v>1777</v>
      </c>
      <c r="D2179">
        <v>86</v>
      </c>
      <c r="E2179">
        <v>602083.82999999996</v>
      </c>
      <c r="F2179">
        <v>164385.64000000001</v>
      </c>
      <c r="G2179">
        <f>tblMoeHistory[[#This Row],[LEA State and Local Amount]]+tblMoeHistory[[#This Row],[ESD State and Local Amount]]</f>
        <v>766469.47</v>
      </c>
      <c r="I2179" t="s">
        <v>242</v>
      </c>
      <c r="J2179" s="44">
        <f>IFERROR(tblMoeHistory[[#This Row],[LEA State and Local Amount]]/tblMoeHistory[[#This Row],[Child Count]],0)</f>
        <v>7000.9747674418604</v>
      </c>
      <c r="K2179">
        <f>IFERROR(tblMoeHistory[[#This Row],[ESD State and Local Amount]]/tblMoeHistory[[#This Row],[Child Count]],0)</f>
        <v>1911.4609302325582</v>
      </c>
      <c r="L2179">
        <f>IFERROR(tblMoeHistory[[#This Row],[State and Local Total Amount]]/tblMoeHistory[[#This Row],[Child Count]],0)</f>
        <v>8912.4356976744184</v>
      </c>
      <c r="N2179" t="str">
        <f t="shared" si="1"/>
        <v>Met</v>
      </c>
      <c r="O2179">
        <v>117845</v>
      </c>
      <c r="P2179">
        <v>5151</v>
      </c>
      <c r="Q2179">
        <f>tblMoeHistory[[#This Row],[Amount of IDEA Part B, Section 611 award]]+tblMoeHistory[[#This Row],[Amount of IDEA Part B, Section 619 award]]</f>
        <v>122996</v>
      </c>
      <c r="U21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9" t="str">
        <f>IF(OR(IFERROR(SEARCH("Met",tblMoeHistory[[#This Row],[State and Local Per Capita Result]]),0)&gt;0,IFERROR(SEARCH("Met",tblMoeHistory[[#This Row],[State and Local Total Result]]),0)&gt;0),"Met","Not Met")</f>
        <v>Met</v>
      </c>
    </row>
    <row r="2180" spans="1:22" x14ac:dyDescent="0.35">
      <c r="A2180" t="s">
        <v>30</v>
      </c>
      <c r="B2180">
        <v>1894</v>
      </c>
      <c r="C2180" t="s">
        <v>1777</v>
      </c>
      <c r="D2180">
        <v>539</v>
      </c>
      <c r="E2180">
        <v>2990927.8500000006</v>
      </c>
      <c r="F2180">
        <v>0</v>
      </c>
      <c r="G2180">
        <f>tblMoeHistory[[#This Row],[LEA State and Local Amount]]+tblMoeHistory[[#This Row],[ESD State and Local Amount]]</f>
        <v>2990927.8500000006</v>
      </c>
      <c r="I2180" t="s">
        <v>242</v>
      </c>
      <c r="J2180" s="44">
        <f>IFERROR(tblMoeHistory[[#This Row],[LEA State and Local Amount]]/tblMoeHistory[[#This Row],[Child Count]],0)</f>
        <v>5549.0312615955481</v>
      </c>
      <c r="K2180">
        <f>IFERROR(tblMoeHistory[[#This Row],[ESD State and Local Amount]]/tblMoeHistory[[#This Row],[Child Count]],0)</f>
        <v>0</v>
      </c>
      <c r="L2180">
        <f>IFERROR(tblMoeHistory[[#This Row],[State and Local Total Amount]]/tblMoeHistory[[#This Row],[Child Count]],0)</f>
        <v>5549.0312615955481</v>
      </c>
      <c r="N2180" t="str">
        <f t="shared" si="1"/>
        <v>Did Not Meet</v>
      </c>
      <c r="O2180">
        <v>756162</v>
      </c>
      <c r="P2180">
        <v>16359</v>
      </c>
      <c r="Q2180">
        <f>tblMoeHistory[[#This Row],[Amount of IDEA Part B, Section 611 award]]+tblMoeHistory[[#This Row],[Amount of IDEA Part B, Section 619 award]]</f>
        <v>772521</v>
      </c>
      <c r="U21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0" t="str">
        <f>IF(OR(IFERROR(SEARCH("Met",tblMoeHistory[[#This Row],[State and Local Per Capita Result]]),0)&gt;0,IFERROR(SEARCH("Met",tblMoeHistory[[#This Row],[State and Local Total Result]]),0)&gt;0),"Met","Not Met")</f>
        <v>Met</v>
      </c>
    </row>
    <row r="2181" spans="1:22" x14ac:dyDescent="0.35">
      <c r="A2181" t="s">
        <v>32</v>
      </c>
      <c r="B2181">
        <v>1969</v>
      </c>
      <c r="C2181" t="s">
        <v>1777</v>
      </c>
      <c r="D2181">
        <v>88</v>
      </c>
      <c r="E2181">
        <v>881777.90000000014</v>
      </c>
      <c r="F2181">
        <v>327150</v>
      </c>
      <c r="G2181">
        <f>tblMoeHistory[[#This Row],[LEA State and Local Amount]]+tblMoeHistory[[#This Row],[ESD State and Local Amount]]</f>
        <v>1208927.9000000001</v>
      </c>
      <c r="I2181" t="s">
        <v>241</v>
      </c>
      <c r="J2181" s="44">
        <f>IFERROR(tblMoeHistory[[#This Row],[LEA State and Local Amount]]/tblMoeHistory[[#This Row],[Child Count]],0)</f>
        <v>10020.203409090911</v>
      </c>
      <c r="K2181">
        <f>IFERROR(tblMoeHistory[[#This Row],[ESD State and Local Amount]]/tblMoeHistory[[#This Row],[Child Count]],0)</f>
        <v>3717.6136363636365</v>
      </c>
      <c r="L2181">
        <f>IFERROR(tblMoeHistory[[#This Row],[State and Local Total Amount]]/tblMoeHistory[[#This Row],[Child Count]],0)</f>
        <v>13737.817045454547</v>
      </c>
      <c r="N2181" t="str">
        <f t="shared" si="1"/>
        <v>Did Not Meet</v>
      </c>
      <c r="O2181">
        <v>166963</v>
      </c>
      <c r="P2181">
        <v>5719</v>
      </c>
      <c r="Q2181">
        <f>tblMoeHistory[[#This Row],[Amount of IDEA Part B, Section 611 award]]+tblMoeHistory[[#This Row],[Amount of IDEA Part B, Section 619 award]]</f>
        <v>172682</v>
      </c>
      <c r="U21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1" t="str">
        <f>IF(OR(IFERROR(SEARCH("Met",tblMoeHistory[[#This Row],[State and Local Per Capita Result]]),0)&gt;0,IFERROR(SEARCH("Met",tblMoeHistory[[#This Row],[State and Local Total Result]]),0)&gt;0),"Met","Not Met")</f>
        <v>Met</v>
      </c>
    </row>
    <row r="2182" spans="1:22" x14ac:dyDescent="0.35">
      <c r="A2182" t="s">
        <v>33</v>
      </c>
      <c r="B2182">
        <v>2240</v>
      </c>
      <c r="C2182" t="s">
        <v>1777</v>
      </c>
      <c r="D2182">
        <v>140</v>
      </c>
      <c r="E2182">
        <v>1732949.4700000007</v>
      </c>
      <c r="F2182">
        <v>254082</v>
      </c>
      <c r="G2182">
        <f>tblMoeHistory[[#This Row],[LEA State and Local Amount]]+tblMoeHistory[[#This Row],[ESD State and Local Amount]]</f>
        <v>1987031.4700000007</v>
      </c>
      <c r="I2182" t="s">
        <v>241</v>
      </c>
      <c r="J2182" s="44">
        <f>IFERROR(tblMoeHistory[[#This Row],[LEA State and Local Amount]]/tblMoeHistory[[#This Row],[Child Count]],0)</f>
        <v>12378.210500000005</v>
      </c>
      <c r="K2182">
        <f>IFERROR(tblMoeHistory[[#This Row],[ESD State and Local Amount]]/tblMoeHistory[[#This Row],[Child Count]],0)</f>
        <v>1814.8714285714286</v>
      </c>
      <c r="L2182">
        <f>IFERROR(tblMoeHistory[[#This Row],[State and Local Total Amount]]/tblMoeHistory[[#This Row],[Child Count]],0)</f>
        <v>14193.081928571433</v>
      </c>
      <c r="N2182" t="str">
        <f t="shared" si="1"/>
        <v>Met</v>
      </c>
      <c r="O2182">
        <v>231662</v>
      </c>
      <c r="P2182">
        <v>2097</v>
      </c>
      <c r="Q2182">
        <f>tblMoeHistory[[#This Row],[Amount of IDEA Part B, Section 611 award]]+tblMoeHistory[[#This Row],[Amount of IDEA Part B, Section 619 award]]</f>
        <v>233759</v>
      </c>
      <c r="U21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2" t="str">
        <f>IF(OR(IFERROR(SEARCH("Met",tblMoeHistory[[#This Row],[State and Local Per Capita Result]]),0)&gt;0,IFERROR(SEARCH("Met",tblMoeHistory[[#This Row],[State and Local Total Result]]),0)&gt;0),"Met","Not Met")</f>
        <v>Met</v>
      </c>
    </row>
    <row r="2183" spans="1:22" x14ac:dyDescent="0.35">
      <c r="A2183" t="s">
        <v>34</v>
      </c>
      <c r="B2183">
        <v>2243</v>
      </c>
      <c r="C2183" t="s">
        <v>1777</v>
      </c>
      <c r="D2183">
        <v>4642</v>
      </c>
      <c r="E2183">
        <v>59537929.719999984</v>
      </c>
      <c r="F2183">
        <v>5727911</v>
      </c>
      <c r="G2183">
        <f>tblMoeHistory[[#This Row],[LEA State and Local Amount]]+tblMoeHistory[[#This Row],[ESD State and Local Amount]]</f>
        <v>65265840.719999984</v>
      </c>
      <c r="I2183" t="s">
        <v>241</v>
      </c>
      <c r="J2183" s="44">
        <f>IFERROR(tblMoeHistory[[#This Row],[LEA State and Local Amount]]/tblMoeHistory[[#This Row],[Child Count]],0)</f>
        <v>12825.921956053422</v>
      </c>
      <c r="K2183">
        <f>IFERROR(tblMoeHistory[[#This Row],[ESD State and Local Amount]]/tblMoeHistory[[#This Row],[Child Count]],0)</f>
        <v>1233.9317104696252</v>
      </c>
      <c r="L2183">
        <f>IFERROR(tblMoeHistory[[#This Row],[State and Local Total Amount]]/tblMoeHistory[[#This Row],[Child Count]],0)</f>
        <v>14059.853666523048</v>
      </c>
      <c r="N2183" t="str">
        <f t="shared" si="1"/>
        <v>Met</v>
      </c>
      <c r="O2183">
        <v>8519993</v>
      </c>
      <c r="P2183">
        <v>134572</v>
      </c>
      <c r="Q2183">
        <f>tblMoeHistory[[#This Row],[Amount of IDEA Part B, Section 611 award]]+tblMoeHistory[[#This Row],[Amount of IDEA Part B, Section 619 award]]</f>
        <v>8654565</v>
      </c>
      <c r="U21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3" t="str">
        <f>IF(OR(IFERROR(SEARCH("Met",tblMoeHistory[[#This Row],[State and Local Per Capita Result]]),0)&gt;0,IFERROR(SEARCH("Met",tblMoeHistory[[#This Row],[State and Local Total Result]]),0)&gt;0),"Met","Not Met")</f>
        <v>Met</v>
      </c>
    </row>
    <row r="2184" spans="1:22" x14ac:dyDescent="0.35">
      <c r="A2184" t="s">
        <v>35</v>
      </c>
      <c r="B2184">
        <v>1976</v>
      </c>
      <c r="C2184" t="s">
        <v>1777</v>
      </c>
      <c r="D2184">
        <v>1740</v>
      </c>
      <c r="E2184">
        <v>22588976.860000014</v>
      </c>
      <c r="F2184">
        <v>3192709.3400000003</v>
      </c>
      <c r="G2184">
        <f>tblMoeHistory[[#This Row],[LEA State and Local Amount]]+tblMoeHistory[[#This Row],[ESD State and Local Amount]]</f>
        <v>25781686.200000014</v>
      </c>
      <c r="I2184" t="s">
        <v>241</v>
      </c>
      <c r="J2184" s="44">
        <f>IFERROR(tblMoeHistory[[#This Row],[LEA State and Local Amount]]/tblMoeHistory[[#This Row],[Child Count]],0)</f>
        <v>12982.170609195411</v>
      </c>
      <c r="K2184">
        <f>IFERROR(tblMoeHistory[[#This Row],[ESD State and Local Amount]]/tblMoeHistory[[#This Row],[Child Count]],0)</f>
        <v>1834.8904252873565</v>
      </c>
      <c r="L2184">
        <f>IFERROR(tblMoeHistory[[#This Row],[State and Local Total Amount]]/tblMoeHistory[[#This Row],[Child Count]],0)</f>
        <v>14817.061034482767</v>
      </c>
      <c r="N2184" t="str">
        <f t="shared" si="1"/>
        <v>Met</v>
      </c>
      <c r="O2184">
        <v>3760082</v>
      </c>
      <c r="P2184">
        <v>71221</v>
      </c>
      <c r="Q2184">
        <f>tblMoeHistory[[#This Row],[Amount of IDEA Part B, Section 611 award]]+tblMoeHistory[[#This Row],[Amount of IDEA Part B, Section 619 award]]</f>
        <v>3831303</v>
      </c>
      <c r="U21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4" t="str">
        <f>IF(OR(IFERROR(SEARCH("Met",tblMoeHistory[[#This Row],[State and Local Per Capita Result]]),0)&gt;0,IFERROR(SEARCH("Met",tblMoeHistory[[#This Row],[State and Local Total Result]]),0)&gt;0),"Met","Not Met")</f>
        <v>Met</v>
      </c>
    </row>
    <row r="2185" spans="1:22" x14ac:dyDescent="0.35">
      <c r="A2185" t="s">
        <v>36</v>
      </c>
      <c r="B2185">
        <v>2088</v>
      </c>
      <c r="C2185" t="s">
        <v>1777</v>
      </c>
      <c r="D2185">
        <v>969</v>
      </c>
      <c r="E2185">
        <v>12538138.499999985</v>
      </c>
      <c r="F2185">
        <v>656015</v>
      </c>
      <c r="G2185">
        <f>tblMoeHistory[[#This Row],[LEA State and Local Amount]]+tblMoeHistory[[#This Row],[ESD State and Local Amount]]</f>
        <v>13194153.499999985</v>
      </c>
      <c r="I2185" t="s">
        <v>242</v>
      </c>
      <c r="J2185" s="44">
        <f>IFERROR(tblMoeHistory[[#This Row],[LEA State and Local Amount]]/tblMoeHistory[[#This Row],[Child Count]],0)</f>
        <v>12939.255417956641</v>
      </c>
      <c r="K2185">
        <f>IFERROR(tblMoeHistory[[#This Row],[ESD State and Local Amount]]/tblMoeHistory[[#This Row],[Child Count]],0)</f>
        <v>677.00206398348814</v>
      </c>
      <c r="L2185">
        <f>IFERROR(tblMoeHistory[[#This Row],[State and Local Total Amount]]/tblMoeHistory[[#This Row],[Child Count]],0)</f>
        <v>13616.257481940129</v>
      </c>
      <c r="N2185" t="str">
        <f t="shared" si="1"/>
        <v>Met</v>
      </c>
      <c r="O2185">
        <v>1214039</v>
      </c>
      <c r="P2185">
        <v>29772</v>
      </c>
      <c r="Q2185">
        <f>tblMoeHistory[[#This Row],[Amount of IDEA Part B, Section 611 award]]+tblMoeHistory[[#This Row],[Amount of IDEA Part B, Section 619 award]]</f>
        <v>1243811</v>
      </c>
      <c r="U21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5" t="str">
        <f>IF(OR(IFERROR(SEARCH("Met",tblMoeHistory[[#This Row],[State and Local Per Capita Result]]),0)&gt;0,IFERROR(SEARCH("Met",tblMoeHistory[[#This Row],[State and Local Total Result]]),0)&gt;0),"Met","Not Met")</f>
        <v>Met</v>
      </c>
    </row>
    <row r="2186" spans="1:22" x14ac:dyDescent="0.35">
      <c r="A2186" t="s">
        <v>37</v>
      </c>
      <c r="B2186">
        <v>2095</v>
      </c>
      <c r="C2186" t="s">
        <v>1777</v>
      </c>
      <c r="D2186">
        <v>35</v>
      </c>
      <c r="E2186">
        <v>345253.88999999996</v>
      </c>
      <c r="F2186">
        <v>43908</v>
      </c>
      <c r="G2186">
        <f>tblMoeHistory[[#This Row],[LEA State and Local Amount]]+tblMoeHistory[[#This Row],[ESD State and Local Amount]]</f>
        <v>389161.88999999996</v>
      </c>
      <c r="I2186" t="s">
        <v>242</v>
      </c>
      <c r="J2186" s="44">
        <f>IFERROR(tblMoeHistory[[#This Row],[LEA State and Local Amount]]/tblMoeHistory[[#This Row],[Child Count]],0)</f>
        <v>9864.3968571428559</v>
      </c>
      <c r="K2186">
        <f>IFERROR(tblMoeHistory[[#This Row],[ESD State and Local Amount]]/tblMoeHistory[[#This Row],[Child Count]],0)</f>
        <v>1254.5142857142857</v>
      </c>
      <c r="L2186">
        <f>IFERROR(tblMoeHistory[[#This Row],[State and Local Total Amount]]/tblMoeHistory[[#This Row],[Child Count]],0)</f>
        <v>11118.911142857141</v>
      </c>
      <c r="N2186" t="str">
        <f t="shared" si="1"/>
        <v>Met</v>
      </c>
      <c r="O2186">
        <v>55929</v>
      </c>
      <c r="P2186">
        <v>604</v>
      </c>
      <c r="Q2186">
        <f>tblMoeHistory[[#This Row],[Amount of IDEA Part B, Section 611 award]]+tblMoeHistory[[#This Row],[Amount of IDEA Part B, Section 619 award]]</f>
        <v>56533</v>
      </c>
      <c r="U21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6" t="str">
        <f>IF(OR(IFERROR(SEARCH("Met",tblMoeHistory[[#This Row],[State and Local Per Capita Result]]),0)&gt;0,IFERROR(SEARCH("Met",tblMoeHistory[[#This Row],[State and Local Total Result]]),0)&gt;0),"Met","Not Met")</f>
        <v>Met</v>
      </c>
    </row>
    <row r="2187" spans="1:22" x14ac:dyDescent="0.35">
      <c r="A2187" t="s">
        <v>38</v>
      </c>
      <c r="B2187">
        <v>2052</v>
      </c>
      <c r="C2187" t="s">
        <v>1777</v>
      </c>
      <c r="D2187">
        <v>1</v>
      </c>
      <c r="E2187">
        <v>0</v>
      </c>
      <c r="F2187">
        <v>16122.65</v>
      </c>
      <c r="G2187">
        <f>tblMoeHistory[[#This Row],[LEA State and Local Amount]]+tblMoeHistory[[#This Row],[ESD State and Local Amount]]</f>
        <v>16122.65</v>
      </c>
      <c r="I2187" t="s">
        <v>242</v>
      </c>
      <c r="J2187" s="44">
        <f>IFERROR(tblMoeHistory[[#This Row],[LEA State and Local Amount]]/tblMoeHistory[[#This Row],[Child Count]],0)</f>
        <v>0</v>
      </c>
      <c r="K2187">
        <f>IFERROR(tblMoeHistory[[#This Row],[ESD State and Local Amount]]/tblMoeHistory[[#This Row],[Child Count]],0)</f>
        <v>16122.65</v>
      </c>
      <c r="L2187">
        <f>IFERROR(tblMoeHistory[[#This Row],[State and Local Total Amount]]/tblMoeHistory[[#This Row],[Child Count]],0)</f>
        <v>16122.65</v>
      </c>
      <c r="N2187" t="str">
        <f t="shared" si="1"/>
        <v>Met</v>
      </c>
      <c r="O2187">
        <v>4010</v>
      </c>
      <c r="P2187">
        <v>14</v>
      </c>
      <c r="Q2187">
        <f>tblMoeHistory[[#This Row],[Amount of IDEA Part B, Section 611 award]]+tblMoeHistory[[#This Row],[Amount of IDEA Part B, Section 619 award]]</f>
        <v>4024</v>
      </c>
      <c r="U21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7" t="str">
        <f>IF(OR(IFERROR(SEARCH("Met",tblMoeHistory[[#This Row],[State and Local Per Capita Result]]),0)&gt;0,IFERROR(SEARCH("Met",tblMoeHistory[[#This Row],[State and Local Total Result]]),0)&gt;0),"Met","Not Met")</f>
        <v>Met</v>
      </c>
    </row>
    <row r="2188" spans="1:22" x14ac:dyDescent="0.35">
      <c r="A2188" t="s">
        <v>39</v>
      </c>
      <c r="B2188">
        <v>1974</v>
      </c>
      <c r="C2188" t="s">
        <v>1777</v>
      </c>
      <c r="D2188">
        <v>215</v>
      </c>
      <c r="E2188">
        <v>2324257.899999999</v>
      </c>
      <c r="F2188">
        <v>15924</v>
      </c>
      <c r="G2188">
        <f>tblMoeHistory[[#This Row],[LEA State and Local Amount]]+tblMoeHistory[[#This Row],[ESD State and Local Amount]]</f>
        <v>2340181.899999999</v>
      </c>
      <c r="I2188" t="s">
        <v>2140</v>
      </c>
      <c r="J2188" s="44">
        <f>IFERROR(tblMoeHistory[[#This Row],[LEA State and Local Amount]]/tblMoeHistory[[#This Row],[Child Count]],0)</f>
        <v>10810.501860465112</v>
      </c>
      <c r="K2188">
        <f>IFERROR(tblMoeHistory[[#This Row],[ESD State and Local Amount]]/tblMoeHistory[[#This Row],[Child Count]],0)</f>
        <v>74.06511627906977</v>
      </c>
      <c r="L2188">
        <f>IFERROR(tblMoeHistory[[#This Row],[State and Local Total Amount]]/tblMoeHistory[[#This Row],[Child Count]],0)</f>
        <v>10884.566976744181</v>
      </c>
      <c r="N2188" t="str">
        <f t="shared" si="1"/>
        <v>Met</v>
      </c>
      <c r="O2188">
        <v>366112</v>
      </c>
      <c r="P2188">
        <v>15036</v>
      </c>
      <c r="Q2188">
        <f>tblMoeHistory[[#This Row],[Amount of IDEA Part B, Section 611 award]]+tblMoeHistory[[#This Row],[Amount of IDEA Part B, Section 619 award]]</f>
        <v>381148</v>
      </c>
      <c r="U21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8" t="str">
        <f>IF(OR(IFERROR(SEARCH("Met",tblMoeHistory[[#This Row],[State and Local Per Capita Result]]),0)&gt;0,IFERROR(SEARCH("Met",tblMoeHistory[[#This Row],[State and Local Total Result]]),0)&gt;0),"Met","Not Met")</f>
        <v>Met</v>
      </c>
    </row>
    <row r="2189" spans="1:22" x14ac:dyDescent="0.35">
      <c r="A2189" t="s">
        <v>40</v>
      </c>
      <c r="B2189">
        <v>1896</v>
      </c>
      <c r="C2189" t="s">
        <v>1777</v>
      </c>
      <c r="D2189">
        <v>5</v>
      </c>
      <c r="E2189">
        <v>60182</v>
      </c>
      <c r="F2189">
        <v>18701.620000000003</v>
      </c>
      <c r="G2189">
        <f>tblMoeHistory[[#This Row],[LEA State and Local Amount]]+tblMoeHistory[[#This Row],[ESD State and Local Amount]]</f>
        <v>78883.62</v>
      </c>
      <c r="I2189" t="s">
        <v>241</v>
      </c>
      <c r="J2189" s="44">
        <f>IFERROR(tblMoeHistory[[#This Row],[LEA State and Local Amount]]/tblMoeHistory[[#This Row],[Child Count]],0)</f>
        <v>12036.4</v>
      </c>
      <c r="K2189">
        <f>IFERROR(tblMoeHistory[[#This Row],[ESD State and Local Amount]]/tblMoeHistory[[#This Row],[Child Count]],0)</f>
        <v>3740.3240000000005</v>
      </c>
      <c r="L2189">
        <f>IFERROR(tblMoeHistory[[#This Row],[State and Local Total Amount]]/tblMoeHistory[[#This Row],[Child Count]],0)</f>
        <v>15776.723999999998</v>
      </c>
      <c r="N2189" t="str">
        <f t="shared" si="1"/>
        <v>Did Not Meet</v>
      </c>
      <c r="O2189">
        <v>15630</v>
      </c>
      <c r="P2189">
        <v>293</v>
      </c>
      <c r="Q2189">
        <f>tblMoeHistory[[#This Row],[Amount of IDEA Part B, Section 611 award]]+tblMoeHistory[[#This Row],[Amount of IDEA Part B, Section 619 award]]</f>
        <v>15923</v>
      </c>
      <c r="U21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9" t="str">
        <f>IF(OR(IFERROR(SEARCH("Met",tblMoeHistory[[#This Row],[State and Local Per Capita Result]]),0)&gt;0,IFERROR(SEARCH("Met",tblMoeHistory[[#This Row],[State and Local Total Result]]),0)&gt;0),"Met","Not Met")</f>
        <v>Met</v>
      </c>
    </row>
    <row r="2190" spans="1:22" x14ac:dyDescent="0.35">
      <c r="A2190" t="s">
        <v>42</v>
      </c>
      <c r="B2190">
        <v>2046</v>
      </c>
      <c r="C2190" t="s">
        <v>1777</v>
      </c>
      <c r="D2190">
        <v>38</v>
      </c>
      <c r="E2190">
        <v>263704.3</v>
      </c>
      <c r="F2190">
        <v>143181.67000000001</v>
      </c>
      <c r="G2190">
        <f>tblMoeHistory[[#This Row],[LEA State and Local Amount]]+tblMoeHistory[[#This Row],[ESD State and Local Amount]]</f>
        <v>406885.97</v>
      </c>
      <c r="I2190" t="s">
        <v>241</v>
      </c>
      <c r="J2190" s="44">
        <f>IFERROR(tblMoeHistory[[#This Row],[LEA State and Local Amount]]/tblMoeHistory[[#This Row],[Child Count]],0)</f>
        <v>6939.5868421052628</v>
      </c>
      <c r="K2190">
        <f>IFERROR(tblMoeHistory[[#This Row],[ESD State and Local Amount]]/tblMoeHistory[[#This Row],[Child Count]],0)</f>
        <v>3767.9386842105268</v>
      </c>
      <c r="L2190">
        <f>IFERROR(tblMoeHistory[[#This Row],[State and Local Total Amount]]/tblMoeHistory[[#This Row],[Child Count]],0)</f>
        <v>10707.525526315789</v>
      </c>
      <c r="N2190" t="str">
        <f t="shared" si="1"/>
        <v>Met</v>
      </c>
      <c r="O2190">
        <v>43604</v>
      </c>
      <c r="P2190">
        <v>613</v>
      </c>
      <c r="Q2190">
        <f>tblMoeHistory[[#This Row],[Amount of IDEA Part B, Section 611 award]]+tblMoeHistory[[#This Row],[Amount of IDEA Part B, Section 619 award]]</f>
        <v>44217</v>
      </c>
      <c r="U21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0" t="str">
        <f>IF(OR(IFERROR(SEARCH("Met",tblMoeHistory[[#This Row],[State and Local Per Capita Result]]),0)&gt;0,IFERROR(SEARCH("Met",tblMoeHistory[[#This Row],[State and Local Total Result]]),0)&gt;0),"Met","Not Met")</f>
        <v>Met</v>
      </c>
    </row>
    <row r="2191" spans="1:22" x14ac:dyDescent="0.35">
      <c r="A2191" t="s">
        <v>43</v>
      </c>
      <c r="B2191">
        <v>1995</v>
      </c>
      <c r="C2191" t="s">
        <v>1777</v>
      </c>
      <c r="D2191">
        <v>38</v>
      </c>
      <c r="E2191">
        <v>294956.69</v>
      </c>
      <c r="F2191">
        <v>54403.13</v>
      </c>
      <c r="G2191">
        <f>tblMoeHistory[[#This Row],[LEA State and Local Amount]]+tblMoeHistory[[#This Row],[ESD State and Local Amount]]</f>
        <v>349359.82</v>
      </c>
      <c r="I2191" t="s">
        <v>241</v>
      </c>
      <c r="J2191" s="44">
        <f>IFERROR(tblMoeHistory[[#This Row],[LEA State and Local Amount]]/tblMoeHistory[[#This Row],[Child Count]],0)</f>
        <v>7762.0181578947368</v>
      </c>
      <c r="K2191">
        <f>IFERROR(tblMoeHistory[[#This Row],[ESD State and Local Amount]]/tblMoeHistory[[#This Row],[Child Count]],0)</f>
        <v>1431.6613157894735</v>
      </c>
      <c r="L2191">
        <f>IFERROR(tblMoeHistory[[#This Row],[State and Local Total Amount]]/tblMoeHistory[[#This Row],[Child Count]],0)</f>
        <v>9193.6794736842112</v>
      </c>
      <c r="N2191" t="str">
        <f t="shared" si="1"/>
        <v>Met</v>
      </c>
      <c r="O2191">
        <v>52690</v>
      </c>
      <c r="P2191">
        <v>386</v>
      </c>
      <c r="Q2191">
        <f>tblMoeHistory[[#This Row],[Amount of IDEA Part B, Section 611 award]]+tblMoeHistory[[#This Row],[Amount of IDEA Part B, Section 619 award]]</f>
        <v>53076</v>
      </c>
      <c r="U21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1" t="str">
        <f>IF(OR(IFERROR(SEARCH("Met",tblMoeHistory[[#This Row],[State and Local Per Capita Result]]),0)&gt;0,IFERROR(SEARCH("Met",tblMoeHistory[[#This Row],[State and Local Total Result]]),0)&gt;0),"Met","Not Met")</f>
        <v>Met</v>
      </c>
    </row>
    <row r="2192" spans="1:22" x14ac:dyDescent="0.35">
      <c r="A2192" t="s">
        <v>44</v>
      </c>
      <c r="B2192">
        <v>1929</v>
      </c>
      <c r="C2192" t="s">
        <v>1777</v>
      </c>
      <c r="D2192">
        <v>575</v>
      </c>
      <c r="E2192">
        <v>7457547.1100000031</v>
      </c>
      <c r="F2192">
        <v>990580</v>
      </c>
      <c r="G2192">
        <f>tblMoeHistory[[#This Row],[LEA State and Local Amount]]+tblMoeHistory[[#This Row],[ESD State and Local Amount]]</f>
        <v>8448127.1100000031</v>
      </c>
      <c r="I2192" t="s">
        <v>241</v>
      </c>
      <c r="J2192" s="44">
        <f>IFERROR(tblMoeHistory[[#This Row],[LEA State and Local Amount]]/tblMoeHistory[[#This Row],[Child Count]],0)</f>
        <v>12969.647147826092</v>
      </c>
      <c r="K2192">
        <f>IFERROR(tblMoeHistory[[#This Row],[ESD State and Local Amount]]/tblMoeHistory[[#This Row],[Child Count]],0)</f>
        <v>1722.7478260869566</v>
      </c>
      <c r="L2192">
        <f>IFERROR(tblMoeHistory[[#This Row],[State and Local Total Amount]]/tblMoeHistory[[#This Row],[Child Count]],0)</f>
        <v>14692.394973913049</v>
      </c>
      <c r="N2192" t="str">
        <f t="shared" si="1"/>
        <v>Met</v>
      </c>
      <c r="O2192">
        <v>1024187</v>
      </c>
      <c r="P2192">
        <v>17247</v>
      </c>
      <c r="Q2192">
        <f>tblMoeHistory[[#This Row],[Amount of IDEA Part B, Section 611 award]]+tblMoeHistory[[#This Row],[Amount of IDEA Part B, Section 619 award]]</f>
        <v>1041434</v>
      </c>
      <c r="U21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2" t="str">
        <f>IF(OR(IFERROR(SEARCH("Met",tblMoeHistory[[#This Row],[State and Local Per Capita Result]]),0)&gt;0,IFERROR(SEARCH("Met",tblMoeHistory[[#This Row],[State and Local Total Result]]),0)&gt;0),"Met","Not Met")</f>
        <v>Met</v>
      </c>
    </row>
    <row r="2193" spans="1:22" x14ac:dyDescent="0.35">
      <c r="A2193" t="s">
        <v>45</v>
      </c>
      <c r="B2193">
        <v>2139</v>
      </c>
      <c r="C2193" t="s">
        <v>1777</v>
      </c>
      <c r="D2193">
        <v>366</v>
      </c>
      <c r="E2193">
        <v>4151153.5800000015</v>
      </c>
      <c r="F2193">
        <v>318555.43999999994</v>
      </c>
      <c r="G2193">
        <f>tblMoeHistory[[#This Row],[LEA State and Local Amount]]+tblMoeHistory[[#This Row],[ESD State and Local Amount]]</f>
        <v>4469709.0200000014</v>
      </c>
      <c r="I2193" t="s">
        <v>242</v>
      </c>
      <c r="J2193" s="44">
        <f>IFERROR(tblMoeHistory[[#This Row],[LEA State and Local Amount]]/tblMoeHistory[[#This Row],[Child Count]],0)</f>
        <v>11341.949672131152</v>
      </c>
      <c r="K2193">
        <f>IFERROR(tblMoeHistory[[#This Row],[ESD State and Local Amount]]/tblMoeHistory[[#This Row],[Child Count]],0)</f>
        <v>870.37005464480865</v>
      </c>
      <c r="L2193">
        <f>IFERROR(tblMoeHistory[[#This Row],[State and Local Total Amount]]/tblMoeHistory[[#This Row],[Child Count]],0)</f>
        <v>12212.319726775961</v>
      </c>
      <c r="N2193" t="str">
        <f t="shared" si="1"/>
        <v>Met</v>
      </c>
      <c r="O2193">
        <v>591595</v>
      </c>
      <c r="P2193">
        <v>13283</v>
      </c>
      <c r="Q2193">
        <f>tblMoeHistory[[#This Row],[Amount of IDEA Part B, Section 611 award]]+tblMoeHistory[[#This Row],[Amount of IDEA Part B, Section 619 award]]</f>
        <v>604878</v>
      </c>
      <c r="U21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3" t="str">
        <f>IF(OR(IFERROR(SEARCH("Met",tblMoeHistory[[#This Row],[State and Local Per Capita Result]]),0)&gt;0,IFERROR(SEARCH("Met",tblMoeHistory[[#This Row],[State and Local Total Result]]),0)&gt;0),"Met","Not Met")</f>
        <v>Met</v>
      </c>
    </row>
    <row r="2194" spans="1:22" x14ac:dyDescent="0.35">
      <c r="A2194" t="s">
        <v>46</v>
      </c>
      <c r="B2194">
        <v>2185</v>
      </c>
      <c r="C2194" t="s">
        <v>1777</v>
      </c>
      <c r="D2194">
        <v>773</v>
      </c>
      <c r="E2194">
        <v>10342478.089999998</v>
      </c>
      <c r="F2194">
        <v>2012927.4500000002</v>
      </c>
      <c r="G2194">
        <f>tblMoeHistory[[#This Row],[LEA State and Local Amount]]+tblMoeHistory[[#This Row],[ESD State and Local Amount]]</f>
        <v>12355405.539999999</v>
      </c>
      <c r="I2194" t="s">
        <v>241</v>
      </c>
      <c r="J2194" s="44">
        <f>IFERROR(tblMoeHistory[[#This Row],[LEA State and Local Amount]]/tblMoeHistory[[#This Row],[Child Count]],0)</f>
        <v>13379.661177231563</v>
      </c>
      <c r="K2194">
        <f>IFERROR(tblMoeHistory[[#This Row],[ESD State and Local Amount]]/tblMoeHistory[[#This Row],[Child Count]],0)</f>
        <v>2604.0458602846056</v>
      </c>
      <c r="L2194">
        <f>IFERROR(tblMoeHistory[[#This Row],[State and Local Total Amount]]/tblMoeHistory[[#This Row],[Child Count]],0)</f>
        <v>15983.707037516169</v>
      </c>
      <c r="N2194" t="str">
        <f t="shared" si="1"/>
        <v>Met</v>
      </c>
      <c r="O2194">
        <v>1415716</v>
      </c>
      <c r="P2194">
        <v>35444</v>
      </c>
      <c r="Q2194">
        <f>tblMoeHistory[[#This Row],[Amount of IDEA Part B, Section 611 award]]+tblMoeHistory[[#This Row],[Amount of IDEA Part B, Section 619 award]]</f>
        <v>1451160</v>
      </c>
      <c r="U21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4" t="str">
        <f>IF(OR(IFERROR(SEARCH("Met",tblMoeHistory[[#This Row],[State and Local Per Capita Result]]),0)&gt;0,IFERROR(SEARCH("Met",tblMoeHistory[[#This Row],[State and Local Total Result]]),0)&gt;0),"Met","Not Met")</f>
        <v>Met</v>
      </c>
    </row>
    <row r="2195" spans="1:22" x14ac:dyDescent="0.35">
      <c r="A2195" t="s">
        <v>47</v>
      </c>
      <c r="B2195">
        <v>1972</v>
      </c>
      <c r="C2195" t="s">
        <v>1777</v>
      </c>
      <c r="D2195">
        <v>54</v>
      </c>
      <c r="E2195">
        <v>293378.09000000008</v>
      </c>
      <c r="F2195">
        <v>224279</v>
      </c>
      <c r="G2195">
        <f>tblMoeHistory[[#This Row],[LEA State and Local Amount]]+tblMoeHistory[[#This Row],[ESD State and Local Amount]]</f>
        <v>517657.09000000008</v>
      </c>
      <c r="I2195" t="s">
        <v>242</v>
      </c>
      <c r="J2195" s="44">
        <f>IFERROR(tblMoeHistory[[#This Row],[LEA State and Local Amount]]/tblMoeHistory[[#This Row],[Child Count]],0)</f>
        <v>5432.927592592594</v>
      </c>
      <c r="K2195">
        <f>IFERROR(tblMoeHistory[[#This Row],[ESD State and Local Amount]]/tblMoeHistory[[#This Row],[Child Count]],0)</f>
        <v>4153.3148148148148</v>
      </c>
      <c r="L2195">
        <f>IFERROR(tblMoeHistory[[#This Row],[State and Local Total Amount]]/tblMoeHistory[[#This Row],[Child Count]],0)</f>
        <v>9586.2424074074097</v>
      </c>
      <c r="N2195" t="str">
        <f t="shared" si="1"/>
        <v>Met</v>
      </c>
      <c r="O2195">
        <v>132645</v>
      </c>
      <c r="P2195">
        <v>4141</v>
      </c>
      <c r="Q2195">
        <f>tblMoeHistory[[#This Row],[Amount of IDEA Part B, Section 611 award]]+tblMoeHistory[[#This Row],[Amount of IDEA Part B, Section 619 award]]</f>
        <v>136786</v>
      </c>
      <c r="U21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5" t="str">
        <f>IF(OR(IFERROR(SEARCH("Met",tblMoeHistory[[#This Row],[State and Local Per Capita Result]]),0)&gt;0,IFERROR(SEARCH("Met",tblMoeHistory[[#This Row],[State and Local Total Result]]),0)&gt;0),"Met","Not Met")</f>
        <v>Met</v>
      </c>
    </row>
    <row r="2196" spans="1:22" x14ac:dyDescent="0.35">
      <c r="A2196" t="s">
        <v>48</v>
      </c>
      <c r="B2196">
        <v>2105</v>
      </c>
      <c r="C2196" t="s">
        <v>1777</v>
      </c>
      <c r="D2196">
        <v>93</v>
      </c>
      <c r="E2196">
        <v>706035.70000000019</v>
      </c>
      <c r="F2196">
        <v>178263</v>
      </c>
      <c r="G2196">
        <f>tblMoeHistory[[#This Row],[LEA State and Local Amount]]+tblMoeHistory[[#This Row],[ESD State and Local Amount]]</f>
        <v>884298.70000000019</v>
      </c>
      <c r="I2196" t="s">
        <v>241</v>
      </c>
      <c r="J2196" s="44">
        <f>IFERROR(tblMoeHistory[[#This Row],[LEA State and Local Amount]]/tblMoeHistory[[#This Row],[Child Count]],0)</f>
        <v>7591.7817204301091</v>
      </c>
      <c r="K2196">
        <f>IFERROR(tblMoeHistory[[#This Row],[ESD State and Local Amount]]/tblMoeHistory[[#This Row],[Child Count]],0)</f>
        <v>1916.8064516129032</v>
      </c>
      <c r="L2196">
        <f>IFERROR(tblMoeHistory[[#This Row],[State and Local Total Amount]]/tblMoeHistory[[#This Row],[Child Count]],0)</f>
        <v>9508.5881720430134</v>
      </c>
      <c r="N2196" t="str">
        <f t="shared" si="1"/>
        <v>Met</v>
      </c>
      <c r="O2196">
        <v>152513</v>
      </c>
      <c r="P2196">
        <v>4310</v>
      </c>
      <c r="Q2196">
        <f>tblMoeHistory[[#This Row],[Amount of IDEA Part B, Section 611 award]]+tblMoeHistory[[#This Row],[Amount of IDEA Part B, Section 619 award]]</f>
        <v>156823</v>
      </c>
      <c r="U21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6" t="str">
        <f>IF(OR(IFERROR(SEARCH("Met",tblMoeHistory[[#This Row],[State and Local Per Capita Result]]),0)&gt;0,IFERROR(SEARCH("Met",tblMoeHistory[[#This Row],[State and Local Total Result]]),0)&gt;0),"Met","Not Met")</f>
        <v>Met</v>
      </c>
    </row>
    <row r="2197" spans="1:22" x14ac:dyDescent="0.35">
      <c r="A2197" t="s">
        <v>49</v>
      </c>
      <c r="B2197">
        <v>2042</v>
      </c>
      <c r="C2197" t="s">
        <v>1777</v>
      </c>
      <c r="D2197">
        <v>616</v>
      </c>
      <c r="E2197">
        <v>3419061.6300000018</v>
      </c>
      <c r="F2197">
        <v>1084629.78</v>
      </c>
      <c r="G2197">
        <f>tblMoeHistory[[#This Row],[LEA State and Local Amount]]+tblMoeHistory[[#This Row],[ESD State and Local Amount]]</f>
        <v>4503691.410000002</v>
      </c>
      <c r="I2197" t="s">
        <v>241</v>
      </c>
      <c r="J2197" s="44">
        <f>IFERROR(tblMoeHistory[[#This Row],[LEA State and Local Amount]]/tblMoeHistory[[#This Row],[Child Count]],0)</f>
        <v>5550.4247240259765</v>
      </c>
      <c r="K2197">
        <f>IFERROR(tblMoeHistory[[#This Row],[ESD State and Local Amount]]/tblMoeHistory[[#This Row],[Child Count]],0)</f>
        <v>1760.76262987013</v>
      </c>
      <c r="L2197">
        <f>IFERROR(tblMoeHistory[[#This Row],[State and Local Total Amount]]/tblMoeHistory[[#This Row],[Child Count]],0)</f>
        <v>7311.1873538961072</v>
      </c>
      <c r="N2197" t="str">
        <f t="shared" si="1"/>
        <v>Met</v>
      </c>
      <c r="O2197">
        <v>988997</v>
      </c>
      <c r="P2197">
        <v>32872</v>
      </c>
      <c r="Q2197">
        <f>tblMoeHistory[[#This Row],[Amount of IDEA Part B, Section 611 award]]+tblMoeHistory[[#This Row],[Amount of IDEA Part B, Section 619 award]]</f>
        <v>1021869</v>
      </c>
      <c r="U21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7" t="str">
        <f>IF(OR(IFERROR(SEARCH("Met",tblMoeHistory[[#This Row],[State and Local Per Capita Result]]),0)&gt;0,IFERROR(SEARCH("Met",tblMoeHistory[[#This Row],[State and Local Total Result]]),0)&gt;0),"Met","Not Met")</f>
        <v>Met</v>
      </c>
    </row>
    <row r="2198" spans="1:22" x14ac:dyDescent="0.35">
      <c r="A2198" t="s">
        <v>50</v>
      </c>
      <c r="B2198">
        <v>2191</v>
      </c>
      <c r="C2198" t="s">
        <v>1777</v>
      </c>
      <c r="D2198">
        <v>379</v>
      </c>
      <c r="E2198">
        <v>6646785.1799999997</v>
      </c>
      <c r="F2198">
        <v>193706.7</v>
      </c>
      <c r="G2198">
        <f>tblMoeHistory[[#This Row],[LEA State and Local Amount]]+tblMoeHistory[[#This Row],[ESD State and Local Amount]]</f>
        <v>6840491.8799999999</v>
      </c>
      <c r="I2198" t="s">
        <v>242</v>
      </c>
      <c r="J2198" s="44">
        <f>IFERROR(tblMoeHistory[[#This Row],[LEA State and Local Amount]]/tblMoeHistory[[#This Row],[Child Count]],0)</f>
        <v>17537.691767810025</v>
      </c>
      <c r="K2198">
        <f>IFERROR(tblMoeHistory[[#This Row],[ESD State and Local Amount]]/tblMoeHistory[[#This Row],[Child Count]],0)</f>
        <v>511.09947229551454</v>
      </c>
      <c r="L2198">
        <f>IFERROR(tblMoeHistory[[#This Row],[State and Local Total Amount]]/tblMoeHistory[[#This Row],[Child Count]],0)</f>
        <v>18048.79124010554</v>
      </c>
      <c r="N2198" t="str">
        <f t="shared" si="1"/>
        <v>Did Not Meet</v>
      </c>
      <c r="O2198">
        <v>677337</v>
      </c>
      <c r="P2198">
        <v>16414</v>
      </c>
      <c r="Q2198">
        <f>tblMoeHistory[[#This Row],[Amount of IDEA Part B, Section 611 award]]+tblMoeHistory[[#This Row],[Amount of IDEA Part B, Section 619 award]]</f>
        <v>693751</v>
      </c>
      <c r="U21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8" t="str">
        <f>IF(OR(IFERROR(SEARCH("Met",tblMoeHistory[[#This Row],[State and Local Per Capita Result]]),0)&gt;0,IFERROR(SEARCH("Met",tblMoeHistory[[#This Row],[State and Local Total Result]]),0)&gt;0),"Met","Not Met")</f>
        <v>Met</v>
      </c>
    </row>
    <row r="2199" spans="1:22" x14ac:dyDescent="0.35">
      <c r="A2199" t="s">
        <v>51</v>
      </c>
      <c r="B2199">
        <v>1945</v>
      </c>
      <c r="C2199" t="s">
        <v>1777</v>
      </c>
      <c r="D2199">
        <v>116</v>
      </c>
      <c r="E2199">
        <v>1964913.9799999997</v>
      </c>
      <c r="F2199">
        <v>80689</v>
      </c>
      <c r="G2199">
        <f>tblMoeHistory[[#This Row],[LEA State and Local Amount]]+tblMoeHistory[[#This Row],[ESD State and Local Amount]]</f>
        <v>2045602.9799999997</v>
      </c>
      <c r="I2199" t="s">
        <v>242</v>
      </c>
      <c r="J2199" s="44">
        <f>IFERROR(tblMoeHistory[[#This Row],[LEA State and Local Amount]]/tblMoeHistory[[#This Row],[Child Count]],0)</f>
        <v>16938.913620689655</v>
      </c>
      <c r="K2199">
        <f>IFERROR(tblMoeHistory[[#This Row],[ESD State and Local Amount]]/tblMoeHistory[[#This Row],[Child Count]],0)</f>
        <v>695.59482758620686</v>
      </c>
      <c r="L2199">
        <f>IFERROR(tblMoeHistory[[#This Row],[State and Local Total Amount]]/tblMoeHistory[[#This Row],[Child Count]],0)</f>
        <v>17634.508448275861</v>
      </c>
      <c r="N2199" t="str">
        <f t="shared" si="1"/>
        <v>Met</v>
      </c>
      <c r="O2199">
        <v>174864</v>
      </c>
      <c r="P2199">
        <v>8176</v>
      </c>
      <c r="Q2199">
        <f>tblMoeHistory[[#This Row],[Amount of IDEA Part B, Section 611 award]]+tblMoeHistory[[#This Row],[Amount of IDEA Part B, Section 619 award]]</f>
        <v>183040</v>
      </c>
      <c r="U21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9" t="str">
        <f>IF(OR(IFERROR(SEARCH("Met",tblMoeHistory[[#This Row],[State and Local Per Capita Result]]),0)&gt;0,IFERROR(SEARCH("Met",tblMoeHistory[[#This Row],[State and Local Total Result]]),0)&gt;0),"Met","Not Met")</f>
        <v>Met</v>
      </c>
    </row>
    <row r="2200" spans="1:22" x14ac:dyDescent="0.35">
      <c r="A2200" t="s">
        <v>52</v>
      </c>
      <c r="B2200">
        <v>1927</v>
      </c>
      <c r="C2200" t="s">
        <v>1777</v>
      </c>
      <c r="D2200">
        <v>69</v>
      </c>
      <c r="E2200">
        <v>762552.61</v>
      </c>
      <c r="F2200">
        <v>16200</v>
      </c>
      <c r="G2200">
        <f>tblMoeHistory[[#This Row],[LEA State and Local Amount]]+tblMoeHistory[[#This Row],[ESD State and Local Amount]]</f>
        <v>778752.61</v>
      </c>
      <c r="I2200" t="s">
        <v>242</v>
      </c>
      <c r="J2200" s="44">
        <f>IFERROR(tblMoeHistory[[#This Row],[LEA State and Local Amount]]/tblMoeHistory[[#This Row],[Child Count]],0)</f>
        <v>11051.487101449275</v>
      </c>
      <c r="K2200">
        <f>IFERROR(tblMoeHistory[[#This Row],[ESD State and Local Amount]]/tblMoeHistory[[#This Row],[Child Count]],0)</f>
        <v>234.78260869565219</v>
      </c>
      <c r="L2200">
        <f>IFERROR(tblMoeHistory[[#This Row],[State and Local Total Amount]]/tblMoeHistory[[#This Row],[Child Count]],0)</f>
        <v>11286.269710144927</v>
      </c>
      <c r="N2200" t="str">
        <f t="shared" si="1"/>
        <v>Met</v>
      </c>
      <c r="O2200">
        <v>149752</v>
      </c>
      <c r="P2200">
        <v>5632</v>
      </c>
      <c r="Q2200">
        <f>tblMoeHistory[[#This Row],[Amount of IDEA Part B, Section 611 award]]+tblMoeHistory[[#This Row],[Amount of IDEA Part B, Section 619 award]]</f>
        <v>155384</v>
      </c>
      <c r="U22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0" t="str">
        <f>IF(OR(IFERROR(SEARCH("Met",tblMoeHistory[[#This Row],[State and Local Per Capita Result]]),0)&gt;0,IFERROR(SEARCH("Met",tblMoeHistory[[#This Row],[State and Local Total Result]]),0)&gt;0),"Met","Not Met")</f>
        <v>Met</v>
      </c>
    </row>
    <row r="2201" spans="1:22" x14ac:dyDescent="0.35">
      <c r="A2201" t="s">
        <v>53</v>
      </c>
      <c r="B2201">
        <v>2006</v>
      </c>
      <c r="C2201" t="s">
        <v>1777</v>
      </c>
      <c r="D2201">
        <v>8</v>
      </c>
      <c r="E2201">
        <v>8538.94</v>
      </c>
      <c r="F2201">
        <v>145884</v>
      </c>
      <c r="G2201">
        <f>tblMoeHistory[[#This Row],[LEA State and Local Amount]]+tblMoeHistory[[#This Row],[ESD State and Local Amount]]</f>
        <v>154422.94</v>
      </c>
      <c r="I2201" t="s">
        <v>2140</v>
      </c>
      <c r="J2201" s="44">
        <f>IFERROR(tblMoeHistory[[#This Row],[LEA State and Local Amount]]/tblMoeHistory[[#This Row],[Child Count]],0)</f>
        <v>1067.3675000000001</v>
      </c>
      <c r="K2201">
        <f>IFERROR(tblMoeHistory[[#This Row],[ESD State and Local Amount]]/tblMoeHistory[[#This Row],[Child Count]],0)</f>
        <v>18235.5</v>
      </c>
      <c r="L2201">
        <f>IFERROR(tblMoeHistory[[#This Row],[State and Local Total Amount]]/tblMoeHistory[[#This Row],[Child Count]],0)</f>
        <v>19302.8675</v>
      </c>
      <c r="N2201" t="str">
        <f t="shared" si="1"/>
        <v>Met</v>
      </c>
      <c r="O2201">
        <v>30967</v>
      </c>
      <c r="P2201">
        <v>894</v>
      </c>
      <c r="Q2201">
        <f>tblMoeHistory[[#This Row],[Amount of IDEA Part B, Section 611 award]]+tblMoeHistory[[#This Row],[Amount of IDEA Part B, Section 619 award]]</f>
        <v>31861</v>
      </c>
      <c r="U22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1" t="str">
        <f>IF(OR(IFERROR(SEARCH("Met",tblMoeHistory[[#This Row],[State and Local Per Capita Result]]),0)&gt;0,IFERROR(SEARCH("Met",tblMoeHistory[[#This Row],[State and Local Total Result]]),0)&gt;0),"Met","Not Met")</f>
        <v>Met</v>
      </c>
    </row>
    <row r="2202" spans="1:22" x14ac:dyDescent="0.35">
      <c r="A2202" t="s">
        <v>54</v>
      </c>
      <c r="B2202">
        <v>1965</v>
      </c>
      <c r="C2202" t="s">
        <v>1777</v>
      </c>
      <c r="D2202">
        <v>464</v>
      </c>
      <c r="E2202">
        <v>4818649.5800000029</v>
      </c>
      <c r="F2202">
        <v>1509274</v>
      </c>
      <c r="G2202">
        <f>tblMoeHistory[[#This Row],[LEA State and Local Amount]]+tblMoeHistory[[#This Row],[ESD State and Local Amount]]</f>
        <v>6327923.5800000029</v>
      </c>
      <c r="I2202" t="s">
        <v>242</v>
      </c>
      <c r="J2202" s="44">
        <f>IFERROR(tblMoeHistory[[#This Row],[LEA State and Local Amount]]/tblMoeHistory[[#This Row],[Child Count]],0)</f>
        <v>10385.020646551729</v>
      </c>
      <c r="K2202">
        <f>IFERROR(tblMoeHistory[[#This Row],[ESD State and Local Amount]]/tblMoeHistory[[#This Row],[Child Count]],0)</f>
        <v>3252.7456896551726</v>
      </c>
      <c r="L2202">
        <f>IFERROR(tblMoeHistory[[#This Row],[State and Local Total Amount]]/tblMoeHistory[[#This Row],[Child Count]],0)</f>
        <v>13637.766336206903</v>
      </c>
      <c r="N2202" t="str">
        <f t="shared" si="1"/>
        <v>Did Not Meet</v>
      </c>
      <c r="O2202">
        <v>909095</v>
      </c>
      <c r="P2202">
        <v>28876</v>
      </c>
      <c r="Q2202">
        <f>tblMoeHistory[[#This Row],[Amount of IDEA Part B, Section 611 award]]+tblMoeHistory[[#This Row],[Amount of IDEA Part B, Section 619 award]]</f>
        <v>937971</v>
      </c>
      <c r="U22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2" t="str">
        <f>IF(OR(IFERROR(SEARCH("Met",tblMoeHistory[[#This Row],[State and Local Per Capita Result]]),0)&gt;0,IFERROR(SEARCH("Met",tblMoeHistory[[#This Row],[State and Local Total Result]]),0)&gt;0),"Met","Not Met")</f>
        <v>Met</v>
      </c>
    </row>
    <row r="2203" spans="1:22" x14ac:dyDescent="0.35">
      <c r="A2203" t="s">
        <v>55</v>
      </c>
      <c r="B2203">
        <v>1964</v>
      </c>
      <c r="C2203" t="s">
        <v>1777</v>
      </c>
      <c r="D2203">
        <v>183</v>
      </c>
      <c r="E2203">
        <v>1166268.3599999999</v>
      </c>
      <c r="F2203">
        <v>255876</v>
      </c>
      <c r="G2203">
        <f>tblMoeHistory[[#This Row],[LEA State and Local Amount]]+tblMoeHistory[[#This Row],[ESD State and Local Amount]]</f>
        <v>1422144.3599999999</v>
      </c>
      <c r="I2203" t="s">
        <v>241</v>
      </c>
      <c r="J2203" s="44">
        <f>IFERROR(tblMoeHistory[[#This Row],[LEA State and Local Amount]]/tblMoeHistory[[#This Row],[Child Count]],0)</f>
        <v>6373.051147540983</v>
      </c>
      <c r="K2203">
        <f>IFERROR(tblMoeHistory[[#This Row],[ESD State and Local Amount]]/tblMoeHistory[[#This Row],[Child Count]],0)</f>
        <v>1398.2295081967213</v>
      </c>
      <c r="L2203">
        <f>IFERROR(tblMoeHistory[[#This Row],[State and Local Total Amount]]/tblMoeHistory[[#This Row],[Child Count]],0)</f>
        <v>7771.2806557377044</v>
      </c>
      <c r="N2203" t="str">
        <f t="shared" si="1"/>
        <v>Met</v>
      </c>
      <c r="O2203">
        <v>268104</v>
      </c>
      <c r="P2203">
        <v>9448</v>
      </c>
      <c r="Q2203">
        <f>tblMoeHistory[[#This Row],[Amount of IDEA Part B, Section 611 award]]+tblMoeHistory[[#This Row],[Amount of IDEA Part B, Section 619 award]]</f>
        <v>277552</v>
      </c>
      <c r="U22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3" t="str">
        <f>IF(OR(IFERROR(SEARCH("Met",tblMoeHistory[[#This Row],[State and Local Per Capita Result]]),0)&gt;0,IFERROR(SEARCH("Met",tblMoeHistory[[#This Row],[State and Local Total Result]]),0)&gt;0),"Met","Not Met")</f>
        <v>Met</v>
      </c>
    </row>
    <row r="2204" spans="1:22" x14ac:dyDescent="0.35">
      <c r="A2204" t="s">
        <v>56</v>
      </c>
      <c r="B2204">
        <v>2186</v>
      </c>
      <c r="C2204" t="s">
        <v>1777</v>
      </c>
      <c r="D2204">
        <v>150</v>
      </c>
      <c r="E2204">
        <v>1727806.0200000003</v>
      </c>
      <c r="F2204">
        <v>153805.58000000002</v>
      </c>
      <c r="G2204">
        <f>tblMoeHistory[[#This Row],[LEA State and Local Amount]]+tblMoeHistory[[#This Row],[ESD State and Local Amount]]</f>
        <v>1881611.6000000003</v>
      </c>
      <c r="I2204" t="s">
        <v>241</v>
      </c>
      <c r="J2204" s="44">
        <f>IFERROR(tblMoeHistory[[#This Row],[LEA State and Local Amount]]/tblMoeHistory[[#This Row],[Child Count]],0)</f>
        <v>11518.706800000002</v>
      </c>
      <c r="K2204">
        <f>IFERROR(tblMoeHistory[[#This Row],[ESD State and Local Amount]]/tblMoeHistory[[#This Row],[Child Count]],0)</f>
        <v>1025.3705333333335</v>
      </c>
      <c r="L2204">
        <f>IFERROR(tblMoeHistory[[#This Row],[State and Local Total Amount]]/tblMoeHistory[[#This Row],[Child Count]],0)</f>
        <v>12544.077333333336</v>
      </c>
      <c r="N2204" t="str">
        <f t="shared" si="1"/>
        <v>Met</v>
      </c>
      <c r="O2204">
        <v>198246</v>
      </c>
      <c r="P2204">
        <v>3981</v>
      </c>
      <c r="Q2204">
        <f>tblMoeHistory[[#This Row],[Amount of IDEA Part B, Section 611 award]]+tblMoeHistory[[#This Row],[Amount of IDEA Part B, Section 619 award]]</f>
        <v>202227</v>
      </c>
      <c r="U22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4" t="str">
        <f>IF(OR(IFERROR(SEARCH("Met",tblMoeHistory[[#This Row],[State and Local Per Capita Result]]),0)&gt;0,IFERROR(SEARCH("Met",tblMoeHistory[[#This Row],[State and Local Total Result]]),0)&gt;0),"Met","Not Met")</f>
        <v>Met</v>
      </c>
    </row>
    <row r="2205" spans="1:22" x14ac:dyDescent="0.35">
      <c r="A2205" t="s">
        <v>58</v>
      </c>
      <c r="B2205">
        <v>1901</v>
      </c>
      <c r="C2205" t="s">
        <v>1777</v>
      </c>
      <c r="D2205">
        <v>710</v>
      </c>
      <c r="E2205">
        <v>10832005.649999993</v>
      </c>
      <c r="F2205">
        <v>934001</v>
      </c>
      <c r="G2205">
        <f>tblMoeHistory[[#This Row],[LEA State and Local Amount]]+tblMoeHistory[[#This Row],[ESD State and Local Amount]]</f>
        <v>11766006.649999993</v>
      </c>
      <c r="I2205" t="s">
        <v>241</v>
      </c>
      <c r="J2205" s="44">
        <f>IFERROR(tblMoeHistory[[#This Row],[LEA State and Local Amount]]/tblMoeHistory[[#This Row],[Child Count]],0)</f>
        <v>15256.345985915483</v>
      </c>
      <c r="K2205">
        <f>IFERROR(tblMoeHistory[[#This Row],[ESD State and Local Amount]]/tblMoeHistory[[#This Row],[Child Count]],0)</f>
        <v>1315.4943661971831</v>
      </c>
      <c r="L2205">
        <f>IFERROR(tblMoeHistory[[#This Row],[State and Local Total Amount]]/tblMoeHistory[[#This Row],[Child Count]],0)</f>
        <v>16571.840352112667</v>
      </c>
      <c r="N2205" t="str">
        <f t="shared" si="1"/>
        <v>Met</v>
      </c>
      <c r="O2205">
        <v>1597731</v>
      </c>
      <c r="P2205">
        <v>40126</v>
      </c>
      <c r="Q2205">
        <f>tblMoeHistory[[#This Row],[Amount of IDEA Part B, Section 611 award]]+tblMoeHistory[[#This Row],[Amount of IDEA Part B, Section 619 award]]</f>
        <v>1637857</v>
      </c>
      <c r="U22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5" t="str">
        <f>IF(OR(IFERROR(SEARCH("Met",tblMoeHistory[[#This Row],[State and Local Per Capita Result]]),0)&gt;0,IFERROR(SEARCH("Met",tblMoeHistory[[#This Row],[State and Local Total Result]]),0)&gt;0),"Met","Not Met")</f>
        <v>Met</v>
      </c>
    </row>
    <row r="2206" spans="1:22" x14ac:dyDescent="0.35">
      <c r="A2206" t="s">
        <v>59</v>
      </c>
      <c r="B2206">
        <v>2216</v>
      </c>
      <c r="C2206" t="s">
        <v>1777</v>
      </c>
      <c r="D2206">
        <v>39</v>
      </c>
      <c r="E2206">
        <v>157121.70000000001</v>
      </c>
      <c r="F2206">
        <v>76319.23000000001</v>
      </c>
      <c r="G2206">
        <f>tblMoeHistory[[#This Row],[LEA State and Local Amount]]+tblMoeHistory[[#This Row],[ESD State and Local Amount]]</f>
        <v>233440.93000000002</v>
      </c>
      <c r="I2206" t="s">
        <v>241</v>
      </c>
      <c r="J2206" s="44">
        <f>IFERROR(tblMoeHistory[[#This Row],[LEA State and Local Amount]]/tblMoeHistory[[#This Row],[Child Count]],0)</f>
        <v>4028.7615384615387</v>
      </c>
      <c r="K2206">
        <f>IFERROR(tblMoeHistory[[#This Row],[ESD State and Local Amount]]/tblMoeHistory[[#This Row],[Child Count]],0)</f>
        <v>1956.9033333333336</v>
      </c>
      <c r="L2206">
        <f>IFERROR(tblMoeHistory[[#This Row],[State and Local Total Amount]]/tblMoeHistory[[#This Row],[Child Count]],0)</f>
        <v>5985.6648717948719</v>
      </c>
      <c r="N2206" t="str">
        <f t="shared" si="1"/>
        <v>Did Not Meet</v>
      </c>
      <c r="O2206">
        <v>61681</v>
      </c>
      <c r="P2206">
        <v>1620</v>
      </c>
      <c r="Q2206">
        <f>tblMoeHistory[[#This Row],[Amount of IDEA Part B, Section 611 award]]+tblMoeHistory[[#This Row],[Amount of IDEA Part B, Section 619 award]]</f>
        <v>63301</v>
      </c>
      <c r="U22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6" t="str">
        <f>IF(OR(IFERROR(SEARCH("Met",tblMoeHistory[[#This Row],[State and Local Per Capita Result]]),0)&gt;0,IFERROR(SEARCH("Met",tblMoeHistory[[#This Row],[State and Local Total Result]]),0)&gt;0),"Met","Not Met")</f>
        <v>Met</v>
      </c>
    </row>
    <row r="2207" spans="1:22" x14ac:dyDescent="0.35">
      <c r="A2207" t="s">
        <v>60</v>
      </c>
      <c r="B2207">
        <v>2086</v>
      </c>
      <c r="C2207" t="s">
        <v>1777</v>
      </c>
      <c r="D2207">
        <v>164</v>
      </c>
      <c r="E2207">
        <v>2633830.7899999996</v>
      </c>
      <c r="F2207">
        <v>511873</v>
      </c>
      <c r="G2207">
        <f>tblMoeHistory[[#This Row],[LEA State and Local Amount]]+tblMoeHistory[[#This Row],[ESD State and Local Amount]]</f>
        <v>3145703.7899999996</v>
      </c>
      <c r="I2207" t="s">
        <v>241</v>
      </c>
      <c r="J2207" s="44">
        <f>IFERROR(tblMoeHistory[[#This Row],[LEA State and Local Amount]]/tblMoeHistory[[#This Row],[Child Count]],0)</f>
        <v>16059.943841463411</v>
      </c>
      <c r="K2207">
        <f>IFERROR(tblMoeHistory[[#This Row],[ESD State and Local Amount]]/tblMoeHistory[[#This Row],[Child Count]],0)</f>
        <v>3121.1768292682927</v>
      </c>
      <c r="L2207">
        <f>IFERROR(tblMoeHistory[[#This Row],[State and Local Total Amount]]/tblMoeHistory[[#This Row],[Child Count]],0)</f>
        <v>19181.120670731703</v>
      </c>
      <c r="N2207" t="str">
        <f t="shared" si="1"/>
        <v>Met</v>
      </c>
      <c r="O2207">
        <v>315001</v>
      </c>
      <c r="P2207">
        <v>8988</v>
      </c>
      <c r="Q2207">
        <f>tblMoeHistory[[#This Row],[Amount of IDEA Part B, Section 611 award]]+tblMoeHistory[[#This Row],[Amount of IDEA Part B, Section 619 award]]</f>
        <v>323989</v>
      </c>
      <c r="U22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7" t="str">
        <f>IF(OR(IFERROR(SEARCH("Met",tblMoeHistory[[#This Row],[State and Local Per Capita Result]]),0)&gt;0,IFERROR(SEARCH("Met",tblMoeHistory[[#This Row],[State and Local Total Result]]),0)&gt;0),"Met","Not Met")</f>
        <v>Met</v>
      </c>
    </row>
    <row r="2208" spans="1:22" x14ac:dyDescent="0.35">
      <c r="A2208" t="s">
        <v>61</v>
      </c>
      <c r="B2208">
        <v>1970</v>
      </c>
      <c r="C2208" t="s">
        <v>1777</v>
      </c>
      <c r="D2208">
        <v>441</v>
      </c>
      <c r="E2208">
        <v>4168007.2700000005</v>
      </c>
      <c r="F2208">
        <v>333643.40999999997</v>
      </c>
      <c r="G2208">
        <f>tblMoeHistory[[#This Row],[LEA State and Local Amount]]+tblMoeHistory[[#This Row],[ESD State and Local Amount]]</f>
        <v>4501650.6800000006</v>
      </c>
      <c r="I2208" t="s">
        <v>241</v>
      </c>
      <c r="J2208" s="44">
        <f>IFERROR(tblMoeHistory[[#This Row],[LEA State and Local Amount]]/tblMoeHistory[[#This Row],[Child Count]],0)</f>
        <v>9451.2636507936513</v>
      </c>
      <c r="K2208">
        <f>IFERROR(tblMoeHistory[[#This Row],[ESD State and Local Amount]]/tblMoeHistory[[#This Row],[Child Count]],0)</f>
        <v>756.56102040816324</v>
      </c>
      <c r="L2208">
        <f>IFERROR(tblMoeHistory[[#This Row],[State and Local Total Amount]]/tblMoeHistory[[#This Row],[Child Count]],0)</f>
        <v>10207.824671201815</v>
      </c>
      <c r="N2208" t="str">
        <f t="shared" si="1"/>
        <v>Met</v>
      </c>
      <c r="O2208">
        <v>701791</v>
      </c>
      <c r="P2208">
        <v>25575</v>
      </c>
      <c r="Q2208">
        <f>tblMoeHistory[[#This Row],[Amount of IDEA Part B, Section 611 award]]+tblMoeHistory[[#This Row],[Amount of IDEA Part B, Section 619 award]]</f>
        <v>727366</v>
      </c>
      <c r="U22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8" t="str">
        <f>IF(OR(IFERROR(SEARCH("Met",tblMoeHistory[[#This Row],[State and Local Per Capita Result]]),0)&gt;0,IFERROR(SEARCH("Met",tblMoeHistory[[#This Row],[State and Local Total Result]]),0)&gt;0),"Met","Not Met")</f>
        <v>Met</v>
      </c>
    </row>
    <row r="2209" spans="1:22" x14ac:dyDescent="0.35">
      <c r="A2209" t="s">
        <v>62</v>
      </c>
      <c r="B2209">
        <v>2089</v>
      </c>
      <c r="C2209" t="s">
        <v>1777</v>
      </c>
      <c r="D2209">
        <v>35</v>
      </c>
      <c r="E2209">
        <v>299828.59999999992</v>
      </c>
      <c r="F2209">
        <v>162150</v>
      </c>
      <c r="G2209">
        <f>tblMoeHistory[[#This Row],[LEA State and Local Amount]]+tblMoeHistory[[#This Row],[ESD State and Local Amount]]</f>
        <v>461978.59999999992</v>
      </c>
      <c r="I2209" t="s">
        <v>241</v>
      </c>
      <c r="J2209" s="44">
        <f>IFERROR(tblMoeHistory[[#This Row],[LEA State and Local Amount]]/tblMoeHistory[[#This Row],[Child Count]],0)</f>
        <v>8566.5314285714267</v>
      </c>
      <c r="K2209">
        <f>IFERROR(tblMoeHistory[[#This Row],[ESD State and Local Amount]]/tblMoeHistory[[#This Row],[Child Count]],0)</f>
        <v>4632.8571428571431</v>
      </c>
      <c r="L2209">
        <f>IFERROR(tblMoeHistory[[#This Row],[State and Local Total Amount]]/tblMoeHistory[[#This Row],[Child Count]],0)</f>
        <v>13199.38857142857</v>
      </c>
      <c r="N2209" t="str">
        <f t="shared" si="1"/>
        <v>Met</v>
      </c>
      <c r="O2209">
        <v>73132</v>
      </c>
      <c r="P2209">
        <v>1589</v>
      </c>
      <c r="Q2209">
        <f>tblMoeHistory[[#This Row],[Amount of IDEA Part B, Section 611 award]]+tblMoeHistory[[#This Row],[Amount of IDEA Part B, Section 619 award]]</f>
        <v>74721</v>
      </c>
      <c r="U22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9" t="str">
        <f>IF(OR(IFERROR(SEARCH("Met",tblMoeHistory[[#This Row],[State and Local Per Capita Result]]),0)&gt;0,IFERROR(SEARCH("Met",tblMoeHistory[[#This Row],[State and Local Total Result]]),0)&gt;0),"Met","Not Met")</f>
        <v>Met</v>
      </c>
    </row>
    <row r="2210" spans="1:22" x14ac:dyDescent="0.35">
      <c r="A2210" t="s">
        <v>63</v>
      </c>
      <c r="B2210">
        <v>2050</v>
      </c>
      <c r="C2210" t="s">
        <v>1777</v>
      </c>
      <c r="D2210">
        <v>114</v>
      </c>
      <c r="E2210">
        <v>649722.43000000005</v>
      </c>
      <c r="F2210">
        <v>250510.43</v>
      </c>
      <c r="G2210">
        <f>tblMoeHistory[[#This Row],[LEA State and Local Amount]]+tblMoeHistory[[#This Row],[ESD State and Local Amount]]</f>
        <v>900232.8600000001</v>
      </c>
      <c r="I2210" t="s">
        <v>241</v>
      </c>
      <c r="J2210" s="44">
        <f>IFERROR(tblMoeHistory[[#This Row],[LEA State and Local Amount]]/tblMoeHistory[[#This Row],[Child Count]],0)</f>
        <v>5699.3195614035094</v>
      </c>
      <c r="K2210">
        <f>IFERROR(tblMoeHistory[[#This Row],[ESD State and Local Amount]]/tblMoeHistory[[#This Row],[Child Count]],0)</f>
        <v>2197.4599122807017</v>
      </c>
      <c r="L2210">
        <f>IFERROR(tblMoeHistory[[#This Row],[State and Local Total Amount]]/tblMoeHistory[[#This Row],[Child Count]],0)</f>
        <v>7896.7794736842116</v>
      </c>
      <c r="N2210" t="str">
        <f t="shared" si="1"/>
        <v>Did Not Meet</v>
      </c>
      <c r="O2210">
        <v>144759</v>
      </c>
      <c r="P2210">
        <v>4282</v>
      </c>
      <c r="Q2210">
        <f>tblMoeHistory[[#This Row],[Amount of IDEA Part B, Section 611 award]]+tblMoeHistory[[#This Row],[Amount of IDEA Part B, Section 619 award]]</f>
        <v>149041</v>
      </c>
      <c r="U22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0" t="str">
        <f>IF(OR(IFERROR(SEARCH("Met",tblMoeHistory[[#This Row],[State and Local Per Capita Result]]),0)&gt;0,IFERROR(SEARCH("Met",tblMoeHistory[[#This Row],[State and Local Total Result]]),0)&gt;0),"Met","Not Met")</f>
        <v>Met</v>
      </c>
    </row>
    <row r="2211" spans="1:22" x14ac:dyDescent="0.35">
      <c r="A2211" t="s">
        <v>64</v>
      </c>
      <c r="B2211">
        <v>2190</v>
      </c>
      <c r="C2211" t="s">
        <v>1777</v>
      </c>
      <c r="D2211">
        <v>503</v>
      </c>
      <c r="E2211">
        <v>6297161.4900000002</v>
      </c>
      <c r="F2211">
        <v>471996.1</v>
      </c>
      <c r="G2211">
        <f>tblMoeHistory[[#This Row],[LEA State and Local Amount]]+tblMoeHistory[[#This Row],[ESD State and Local Amount]]</f>
        <v>6769157.5899999999</v>
      </c>
      <c r="I2211" t="s">
        <v>241</v>
      </c>
      <c r="J2211" s="44">
        <f>IFERROR(tblMoeHistory[[#This Row],[LEA State and Local Amount]]/tblMoeHistory[[#This Row],[Child Count]],0)</f>
        <v>12519.20773359841</v>
      </c>
      <c r="K2211">
        <f>IFERROR(tblMoeHistory[[#This Row],[ESD State and Local Amount]]/tblMoeHistory[[#This Row],[Child Count]],0)</f>
        <v>938.36202783300189</v>
      </c>
      <c r="L2211">
        <f>IFERROR(tblMoeHistory[[#This Row],[State and Local Total Amount]]/tblMoeHistory[[#This Row],[Child Count]],0)</f>
        <v>13457.56976143141</v>
      </c>
      <c r="N2211" t="str">
        <f t="shared" si="1"/>
        <v>Met</v>
      </c>
      <c r="O2211">
        <v>736434</v>
      </c>
      <c r="P2211">
        <v>25128</v>
      </c>
      <c r="Q2211">
        <f>tblMoeHistory[[#This Row],[Amount of IDEA Part B, Section 611 award]]+tblMoeHistory[[#This Row],[Amount of IDEA Part B, Section 619 award]]</f>
        <v>761562</v>
      </c>
      <c r="U22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1" t="str">
        <f>IF(OR(IFERROR(SEARCH("Met",tblMoeHistory[[#This Row],[State and Local Per Capita Result]]),0)&gt;0,IFERROR(SEARCH("Met",tblMoeHistory[[#This Row],[State and Local Total Result]]),0)&gt;0),"Met","Not Met")</f>
        <v>Met</v>
      </c>
    </row>
    <row r="2212" spans="1:22" x14ac:dyDescent="0.35">
      <c r="A2212" t="s">
        <v>65</v>
      </c>
      <c r="B2212">
        <v>2187</v>
      </c>
      <c r="C2212" t="s">
        <v>1777</v>
      </c>
      <c r="D2212">
        <v>1114</v>
      </c>
      <c r="E2212">
        <v>14503402.149999995</v>
      </c>
      <c r="F2212">
        <v>1824268.5099999998</v>
      </c>
      <c r="G2212">
        <f>tblMoeHistory[[#This Row],[LEA State and Local Amount]]+tblMoeHistory[[#This Row],[ESD State and Local Amount]]</f>
        <v>16327670.659999995</v>
      </c>
      <c r="I2212" t="s">
        <v>2140</v>
      </c>
      <c r="J2212" s="44">
        <f>IFERROR(tblMoeHistory[[#This Row],[LEA State and Local Amount]]/tblMoeHistory[[#This Row],[Child Count]],0)</f>
        <v>13019.211983842006</v>
      </c>
      <c r="K2212">
        <f>IFERROR(tblMoeHistory[[#This Row],[ESD State and Local Amount]]/tblMoeHistory[[#This Row],[Child Count]],0)</f>
        <v>1637.5839407540393</v>
      </c>
      <c r="L2212">
        <f>IFERROR(tblMoeHistory[[#This Row],[State and Local Total Amount]]/tblMoeHistory[[#This Row],[Child Count]],0)</f>
        <v>14656.795924596045</v>
      </c>
      <c r="N2212" t="str">
        <f t="shared" si="1"/>
        <v>Met</v>
      </c>
      <c r="O2212">
        <v>2134429</v>
      </c>
      <c r="P2212">
        <v>51883</v>
      </c>
      <c r="Q2212">
        <f>tblMoeHistory[[#This Row],[Amount of IDEA Part B, Section 611 award]]+tblMoeHistory[[#This Row],[Amount of IDEA Part B, Section 619 award]]</f>
        <v>2186312</v>
      </c>
      <c r="U22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2" t="str">
        <f>IF(OR(IFERROR(SEARCH("Met",tblMoeHistory[[#This Row],[State and Local Per Capita Result]]),0)&gt;0,IFERROR(SEARCH("Met",tblMoeHistory[[#This Row],[State and Local Total Result]]),0)&gt;0),"Met","Not Met")</f>
        <v>Met</v>
      </c>
    </row>
    <row r="2213" spans="1:22" x14ac:dyDescent="0.35">
      <c r="A2213" t="s">
        <v>66</v>
      </c>
      <c r="B2213">
        <v>2253</v>
      </c>
      <c r="C2213" t="s">
        <v>1777</v>
      </c>
      <c r="D2213">
        <v>106</v>
      </c>
      <c r="E2213">
        <v>398229.41999999993</v>
      </c>
      <c r="F2213">
        <v>126596.65</v>
      </c>
      <c r="G2213">
        <f>tblMoeHistory[[#This Row],[LEA State and Local Amount]]+tblMoeHistory[[#This Row],[ESD State and Local Amount]]</f>
        <v>524826.06999999995</v>
      </c>
      <c r="I2213" t="s">
        <v>241</v>
      </c>
      <c r="J2213" s="44">
        <f>IFERROR(tblMoeHistory[[#This Row],[LEA State and Local Amount]]/tblMoeHistory[[#This Row],[Child Count]],0)</f>
        <v>3756.8813207547164</v>
      </c>
      <c r="K2213">
        <f>IFERROR(tblMoeHistory[[#This Row],[ESD State and Local Amount]]/tblMoeHistory[[#This Row],[Child Count]],0)</f>
        <v>1194.3080188679244</v>
      </c>
      <c r="L2213">
        <f>IFERROR(tblMoeHistory[[#This Row],[State and Local Total Amount]]/tblMoeHistory[[#This Row],[Child Count]],0)</f>
        <v>4951.1893396226415</v>
      </c>
      <c r="N2213" t="str">
        <f t="shared" si="1"/>
        <v>Did Not Meet</v>
      </c>
      <c r="O2213">
        <v>208737</v>
      </c>
      <c r="P2213">
        <v>4890</v>
      </c>
      <c r="Q2213">
        <f>tblMoeHistory[[#This Row],[Amount of IDEA Part B, Section 611 award]]+tblMoeHistory[[#This Row],[Amount of IDEA Part B, Section 619 award]]</f>
        <v>213627</v>
      </c>
      <c r="U22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3" t="str">
        <f>IF(OR(IFERROR(SEARCH("Met",tblMoeHistory[[#This Row],[State and Local Per Capita Result]]),0)&gt;0,IFERROR(SEARCH("Met",tblMoeHistory[[#This Row],[State and Local Total Result]]),0)&gt;0),"Met","Not Met")</f>
        <v>Met</v>
      </c>
    </row>
    <row r="2214" spans="1:22" x14ac:dyDescent="0.35">
      <c r="A2214" t="s">
        <v>67</v>
      </c>
      <c r="B2214">
        <v>2011</v>
      </c>
      <c r="C2214" t="s">
        <v>1777</v>
      </c>
      <c r="D2214">
        <v>7</v>
      </c>
      <c r="E2214">
        <v>56552.450000000004</v>
      </c>
      <c r="F2214">
        <v>78229.34</v>
      </c>
      <c r="G2214">
        <f>tblMoeHistory[[#This Row],[LEA State and Local Amount]]+tblMoeHistory[[#This Row],[ESD State and Local Amount]]</f>
        <v>134781.79</v>
      </c>
      <c r="I2214" t="s">
        <v>241</v>
      </c>
      <c r="J2214" s="44">
        <f>IFERROR(tblMoeHistory[[#This Row],[LEA State and Local Amount]]/tblMoeHistory[[#This Row],[Child Count]],0)</f>
        <v>8078.9214285714288</v>
      </c>
      <c r="K2214">
        <f>IFERROR(tblMoeHistory[[#This Row],[ESD State and Local Amount]]/tblMoeHistory[[#This Row],[Child Count]],0)</f>
        <v>11175.619999999999</v>
      </c>
      <c r="L2214">
        <f>IFERROR(tblMoeHistory[[#This Row],[State and Local Total Amount]]/tblMoeHistory[[#This Row],[Child Count]],0)</f>
        <v>19254.541428571429</v>
      </c>
      <c r="N2214" t="str">
        <f t="shared" si="1"/>
        <v>Met</v>
      </c>
      <c r="O2214">
        <v>11495</v>
      </c>
      <c r="P2214">
        <v>1970</v>
      </c>
      <c r="Q2214">
        <f>tblMoeHistory[[#This Row],[Amount of IDEA Part B, Section 611 award]]+tblMoeHistory[[#This Row],[Amount of IDEA Part B, Section 619 award]]</f>
        <v>13465</v>
      </c>
      <c r="U22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4" t="str">
        <f>IF(OR(IFERROR(SEARCH("Met",tblMoeHistory[[#This Row],[State and Local Per Capita Result]]),0)&gt;0,IFERROR(SEARCH("Met",tblMoeHistory[[#This Row],[State and Local Total Result]]),0)&gt;0),"Met","Not Met")</f>
        <v>Met</v>
      </c>
    </row>
    <row r="2215" spans="1:22" x14ac:dyDescent="0.35">
      <c r="A2215" t="s">
        <v>68</v>
      </c>
      <c r="B2215">
        <v>2017</v>
      </c>
      <c r="C2215" t="s">
        <v>1777</v>
      </c>
      <c r="D2215">
        <v>2</v>
      </c>
      <c r="E2215">
        <v>0</v>
      </c>
      <c r="F2215">
        <v>18432.37</v>
      </c>
      <c r="G2215">
        <f>tblMoeHistory[[#This Row],[LEA State and Local Amount]]+tblMoeHistory[[#This Row],[ESD State and Local Amount]]</f>
        <v>18432.37</v>
      </c>
      <c r="I2215" t="s">
        <v>2140</v>
      </c>
      <c r="J2215" s="44">
        <f>IFERROR(tblMoeHistory[[#This Row],[LEA State and Local Amount]]/tblMoeHistory[[#This Row],[Child Count]],0)</f>
        <v>0</v>
      </c>
      <c r="K2215">
        <f>IFERROR(tblMoeHistory[[#This Row],[ESD State and Local Amount]]/tblMoeHistory[[#This Row],[Child Count]],0)</f>
        <v>9216.1849999999995</v>
      </c>
      <c r="L2215">
        <f>IFERROR(tblMoeHistory[[#This Row],[State and Local Total Amount]]/tblMoeHistory[[#This Row],[Child Count]],0)</f>
        <v>9216.1849999999995</v>
      </c>
      <c r="N2215" t="str">
        <f t="shared" si="1"/>
        <v>Met</v>
      </c>
      <c r="O2215">
        <v>1927</v>
      </c>
      <c r="P2215">
        <v>266</v>
      </c>
      <c r="Q2215">
        <f>tblMoeHistory[[#This Row],[Amount of IDEA Part B, Section 611 award]]+tblMoeHistory[[#This Row],[Amount of IDEA Part B, Section 619 award]]</f>
        <v>2193</v>
      </c>
      <c r="U22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5" t="str">
        <f>IF(OR(IFERROR(SEARCH("Met",tblMoeHistory[[#This Row],[State and Local Per Capita Result]]),0)&gt;0,IFERROR(SEARCH("Met",tblMoeHistory[[#This Row],[State and Local Total Result]]),0)&gt;0),"Met","Not Met")</f>
        <v>Met</v>
      </c>
    </row>
    <row r="2216" spans="1:22" x14ac:dyDescent="0.35">
      <c r="A2216" t="s">
        <v>69</v>
      </c>
      <c r="B2216">
        <v>2021</v>
      </c>
      <c r="C2216" t="s">
        <v>1777</v>
      </c>
      <c r="D2216">
        <v>1</v>
      </c>
      <c r="E2216">
        <v>0</v>
      </c>
      <c r="F2216">
        <v>17095.600000000002</v>
      </c>
      <c r="G2216">
        <f>tblMoeHistory[[#This Row],[LEA State and Local Amount]]+tblMoeHistory[[#This Row],[ESD State and Local Amount]]</f>
        <v>17095.600000000002</v>
      </c>
      <c r="I2216" t="s">
        <v>241</v>
      </c>
      <c r="J2216" s="44">
        <f>IFERROR(tblMoeHistory[[#This Row],[LEA State and Local Amount]]/tblMoeHistory[[#This Row],[Child Count]],0)</f>
        <v>0</v>
      </c>
      <c r="K2216">
        <f>IFERROR(tblMoeHistory[[#This Row],[ESD State and Local Amount]]/tblMoeHistory[[#This Row],[Child Count]],0)</f>
        <v>17095.600000000002</v>
      </c>
      <c r="L2216">
        <f>IFERROR(tblMoeHistory[[#This Row],[State and Local Total Amount]]/tblMoeHistory[[#This Row],[Child Count]],0)</f>
        <v>17095.600000000002</v>
      </c>
      <c r="N2216" t="str">
        <f t="shared" si="1"/>
        <v>Did Not Meet</v>
      </c>
      <c r="O2216">
        <v>1553</v>
      </c>
      <c r="P2216">
        <v>226</v>
      </c>
      <c r="Q2216">
        <f>tblMoeHistory[[#This Row],[Amount of IDEA Part B, Section 611 award]]+tblMoeHistory[[#This Row],[Amount of IDEA Part B, Section 619 award]]</f>
        <v>1779</v>
      </c>
      <c r="U22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6" t="str">
        <f>IF(OR(IFERROR(SEARCH("Met",tblMoeHistory[[#This Row],[State and Local Per Capita Result]]),0)&gt;0,IFERROR(SEARCH("Met",tblMoeHistory[[#This Row],[State and Local Total Result]]),0)&gt;0),"Met","Not Met")</f>
        <v>Met</v>
      </c>
    </row>
    <row r="2217" spans="1:22" x14ac:dyDescent="0.35">
      <c r="A2217" t="s">
        <v>70</v>
      </c>
      <c r="B2217">
        <v>1993</v>
      </c>
      <c r="C2217" t="s">
        <v>1777</v>
      </c>
      <c r="D2217">
        <v>40</v>
      </c>
      <c r="E2217">
        <v>159095.34000000003</v>
      </c>
      <c r="F2217">
        <v>63640.319999999992</v>
      </c>
      <c r="G2217">
        <f>tblMoeHistory[[#This Row],[LEA State and Local Amount]]+tblMoeHistory[[#This Row],[ESD State and Local Amount]]</f>
        <v>222735.66000000003</v>
      </c>
      <c r="I2217" t="s">
        <v>241</v>
      </c>
      <c r="J2217" s="44">
        <f>IFERROR(tblMoeHistory[[#This Row],[LEA State and Local Amount]]/tblMoeHistory[[#This Row],[Child Count]],0)</f>
        <v>3977.3835000000008</v>
      </c>
      <c r="K2217">
        <f>IFERROR(tblMoeHistory[[#This Row],[ESD State and Local Amount]]/tblMoeHistory[[#This Row],[Child Count]],0)</f>
        <v>1591.0079999999998</v>
      </c>
      <c r="L2217">
        <f>IFERROR(tblMoeHistory[[#This Row],[State and Local Total Amount]]/tblMoeHistory[[#This Row],[Child Count]],0)</f>
        <v>5568.3915000000006</v>
      </c>
      <c r="N2217" t="str">
        <f t="shared" si="1"/>
        <v>Met</v>
      </c>
      <c r="O2217">
        <v>64411</v>
      </c>
      <c r="P2217">
        <v>1623</v>
      </c>
      <c r="Q2217">
        <f>tblMoeHistory[[#This Row],[Amount of IDEA Part B, Section 611 award]]+tblMoeHistory[[#This Row],[Amount of IDEA Part B, Section 619 award]]</f>
        <v>66034</v>
      </c>
      <c r="U22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7" t="str">
        <f>IF(OR(IFERROR(SEARCH("Met",tblMoeHistory[[#This Row],[State and Local Per Capita Result]]),0)&gt;0,IFERROR(SEARCH("Met",tblMoeHistory[[#This Row],[State and Local Total Result]]),0)&gt;0),"Met","Not Met")</f>
        <v>Met</v>
      </c>
    </row>
    <row r="2218" spans="1:22" x14ac:dyDescent="0.35">
      <c r="A2218" t="s">
        <v>71</v>
      </c>
      <c r="B2218">
        <v>1991</v>
      </c>
      <c r="C2218" t="s">
        <v>1777</v>
      </c>
      <c r="D2218">
        <v>698</v>
      </c>
      <c r="E2218">
        <v>7016856.7800000012</v>
      </c>
      <c r="F2218">
        <v>2009996.6099999999</v>
      </c>
      <c r="G2218">
        <f>tblMoeHistory[[#This Row],[LEA State and Local Amount]]+tblMoeHistory[[#This Row],[ESD State and Local Amount]]</f>
        <v>9026853.3900000006</v>
      </c>
      <c r="I2218" t="s">
        <v>241</v>
      </c>
      <c r="J2218" s="44">
        <f>IFERROR(tblMoeHistory[[#This Row],[LEA State and Local Amount]]/tblMoeHistory[[#This Row],[Child Count]],0)</f>
        <v>10052.803409742122</v>
      </c>
      <c r="K2218">
        <f>IFERROR(tblMoeHistory[[#This Row],[ESD State and Local Amount]]/tblMoeHistory[[#This Row],[Child Count]],0)</f>
        <v>2879.6513037249283</v>
      </c>
      <c r="L2218">
        <f>IFERROR(tblMoeHistory[[#This Row],[State and Local Total Amount]]/tblMoeHistory[[#This Row],[Child Count]],0)</f>
        <v>12932.45471346705</v>
      </c>
      <c r="N2218" t="str">
        <f t="shared" si="1"/>
        <v>Met</v>
      </c>
      <c r="O2218">
        <v>1363422</v>
      </c>
      <c r="P2218">
        <v>44215</v>
      </c>
      <c r="Q2218">
        <f>tblMoeHistory[[#This Row],[Amount of IDEA Part B, Section 611 award]]+tblMoeHistory[[#This Row],[Amount of IDEA Part B, Section 619 award]]</f>
        <v>1407637</v>
      </c>
      <c r="U22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8" t="str">
        <f>IF(OR(IFERROR(SEARCH("Met",tblMoeHistory[[#This Row],[State and Local Per Capita Result]]),0)&gt;0,IFERROR(SEARCH("Met",tblMoeHistory[[#This Row],[State and Local Total Result]]),0)&gt;0),"Met","Not Met")</f>
        <v>Met</v>
      </c>
    </row>
    <row r="2219" spans="1:22" x14ac:dyDescent="0.35">
      <c r="A2219" t="s">
        <v>72</v>
      </c>
      <c r="B2219">
        <v>2019</v>
      </c>
      <c r="C2219" t="s">
        <v>1777</v>
      </c>
      <c r="D2219">
        <v>2</v>
      </c>
      <c r="E2219">
        <v>0</v>
      </c>
      <c r="F2219">
        <v>22563.800000000003</v>
      </c>
      <c r="G2219">
        <f>tblMoeHistory[[#This Row],[LEA State and Local Amount]]+tblMoeHistory[[#This Row],[ESD State and Local Amount]]</f>
        <v>22563.800000000003</v>
      </c>
      <c r="I2219" t="s">
        <v>241</v>
      </c>
      <c r="J2219" s="44">
        <f>IFERROR(tblMoeHistory[[#This Row],[LEA State and Local Amount]]/tblMoeHistory[[#This Row],[Child Count]],0)</f>
        <v>0</v>
      </c>
      <c r="K2219">
        <f>IFERROR(tblMoeHistory[[#This Row],[ESD State and Local Amount]]/tblMoeHistory[[#This Row],[Child Count]],0)</f>
        <v>11281.900000000001</v>
      </c>
      <c r="L2219">
        <f>IFERROR(tblMoeHistory[[#This Row],[State and Local Total Amount]]/tblMoeHistory[[#This Row],[Child Count]],0)</f>
        <v>11281.900000000001</v>
      </c>
      <c r="N2219" t="str">
        <f t="shared" si="1"/>
        <v>Did Not Meet</v>
      </c>
      <c r="O2219">
        <v>1445</v>
      </c>
      <c r="P2219">
        <v>3</v>
      </c>
      <c r="Q2219">
        <f>tblMoeHistory[[#This Row],[Amount of IDEA Part B, Section 611 award]]+tblMoeHistory[[#This Row],[Amount of IDEA Part B, Section 619 award]]</f>
        <v>1448</v>
      </c>
      <c r="U22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9" t="str">
        <f>IF(OR(IFERROR(SEARCH("Met",tblMoeHistory[[#This Row],[State and Local Per Capita Result]]),0)&gt;0,IFERROR(SEARCH("Met",tblMoeHistory[[#This Row],[State and Local Total Result]]),0)&gt;0),"Met","Not Met")</f>
        <v>Met</v>
      </c>
    </row>
    <row r="2220" spans="1:22" x14ac:dyDescent="0.35">
      <c r="A2220" t="s">
        <v>73</v>
      </c>
      <c r="B2220">
        <v>2229</v>
      </c>
      <c r="C2220" t="s">
        <v>1777</v>
      </c>
      <c r="D2220">
        <v>62</v>
      </c>
      <c r="E2220">
        <v>333767.46000000002</v>
      </c>
      <c r="F2220">
        <v>0</v>
      </c>
      <c r="G2220">
        <f>tblMoeHistory[[#This Row],[LEA State and Local Amount]]+tblMoeHistory[[#This Row],[ESD State and Local Amount]]</f>
        <v>333767.46000000002</v>
      </c>
      <c r="I2220" t="s">
        <v>241</v>
      </c>
      <c r="J2220" s="44">
        <f>IFERROR(tblMoeHistory[[#This Row],[LEA State and Local Amount]]/tblMoeHistory[[#This Row],[Child Count]],0)</f>
        <v>5383.3461290322584</v>
      </c>
      <c r="K2220">
        <f>IFERROR(tblMoeHistory[[#This Row],[ESD State and Local Amount]]/tblMoeHistory[[#This Row],[Child Count]],0)</f>
        <v>0</v>
      </c>
      <c r="L2220">
        <f>IFERROR(tblMoeHistory[[#This Row],[State and Local Total Amount]]/tblMoeHistory[[#This Row],[Child Count]],0)</f>
        <v>5383.3461290322584</v>
      </c>
      <c r="N2220" t="str">
        <f t="shared" si="1"/>
        <v>Met</v>
      </c>
      <c r="O2220">
        <v>62160</v>
      </c>
      <c r="P2220">
        <v>1647</v>
      </c>
      <c r="Q2220">
        <f>tblMoeHistory[[#This Row],[Amount of IDEA Part B, Section 611 award]]+tblMoeHistory[[#This Row],[Amount of IDEA Part B, Section 619 award]]</f>
        <v>63807</v>
      </c>
      <c r="U22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0" t="str">
        <f>IF(OR(IFERROR(SEARCH("Met",tblMoeHistory[[#This Row],[State and Local Per Capita Result]]),0)&gt;0,IFERROR(SEARCH("Met",tblMoeHistory[[#This Row],[State and Local Total Result]]),0)&gt;0),"Met","Not Met")</f>
        <v>Met</v>
      </c>
    </row>
    <row r="2221" spans="1:22" x14ac:dyDescent="0.35">
      <c r="A2221" t="s">
        <v>74</v>
      </c>
      <c r="B2221">
        <v>2043</v>
      </c>
      <c r="C2221" t="s">
        <v>1777</v>
      </c>
      <c r="D2221">
        <v>603</v>
      </c>
      <c r="E2221">
        <v>4161786.9499999988</v>
      </c>
      <c r="F2221">
        <v>444098.89</v>
      </c>
      <c r="G2221">
        <f>tblMoeHistory[[#This Row],[LEA State and Local Amount]]+tblMoeHistory[[#This Row],[ESD State and Local Amount]]</f>
        <v>4605885.8399999989</v>
      </c>
      <c r="I2221" t="s">
        <v>242</v>
      </c>
      <c r="J2221" s="44">
        <f>IFERROR(tblMoeHistory[[#This Row],[LEA State and Local Amount]]/tblMoeHistory[[#This Row],[Child Count]],0)</f>
        <v>6901.802570480927</v>
      </c>
      <c r="K2221">
        <f>IFERROR(tblMoeHistory[[#This Row],[ESD State and Local Amount]]/tblMoeHistory[[#This Row],[Child Count]],0)</f>
        <v>736.4824046434494</v>
      </c>
      <c r="L2221">
        <f>IFERROR(tblMoeHistory[[#This Row],[State and Local Total Amount]]/tblMoeHistory[[#This Row],[Child Count]],0)</f>
        <v>7638.2849751243766</v>
      </c>
      <c r="N2221" t="str">
        <f t="shared" si="1"/>
        <v>Did Not Meet</v>
      </c>
      <c r="O2221">
        <v>941610</v>
      </c>
      <c r="P2221">
        <v>21827</v>
      </c>
      <c r="Q2221">
        <f>tblMoeHistory[[#This Row],[Amount of IDEA Part B, Section 611 award]]+tblMoeHistory[[#This Row],[Amount of IDEA Part B, Section 619 award]]</f>
        <v>963437</v>
      </c>
      <c r="U22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1" t="str">
        <f>IF(OR(IFERROR(SEARCH("Met",tblMoeHistory[[#This Row],[State and Local Per Capita Result]]),0)&gt;0,IFERROR(SEARCH("Met",tblMoeHistory[[#This Row],[State and Local Total Result]]),0)&gt;0),"Met","Not Met")</f>
        <v>Met</v>
      </c>
    </row>
    <row r="2222" spans="1:22" x14ac:dyDescent="0.35">
      <c r="A2222" t="s">
        <v>75</v>
      </c>
      <c r="B2222">
        <v>2203</v>
      </c>
      <c r="C2222" t="s">
        <v>1777</v>
      </c>
      <c r="D2222">
        <v>38</v>
      </c>
      <c r="E2222">
        <v>177568.49999999997</v>
      </c>
      <c r="F2222">
        <v>83504.420000000013</v>
      </c>
      <c r="G2222">
        <f>tblMoeHistory[[#This Row],[LEA State and Local Amount]]+tblMoeHistory[[#This Row],[ESD State and Local Amount]]</f>
        <v>261072.91999999998</v>
      </c>
      <c r="I2222" t="s">
        <v>241</v>
      </c>
      <c r="J2222" s="44">
        <f>IFERROR(tblMoeHistory[[#This Row],[LEA State and Local Amount]]/tblMoeHistory[[#This Row],[Child Count]],0)</f>
        <v>4672.8552631578941</v>
      </c>
      <c r="K2222">
        <f>IFERROR(tblMoeHistory[[#This Row],[ESD State and Local Amount]]/tblMoeHistory[[#This Row],[Child Count]],0)</f>
        <v>2197.4847368421056</v>
      </c>
      <c r="L2222">
        <f>IFERROR(tblMoeHistory[[#This Row],[State and Local Total Amount]]/tblMoeHistory[[#This Row],[Child Count]],0)</f>
        <v>6870.3399999999992</v>
      </c>
      <c r="N2222" t="str">
        <f t="shared" si="1"/>
        <v>Did Not Meet</v>
      </c>
      <c r="O2222">
        <v>50755</v>
      </c>
      <c r="P2222">
        <v>631</v>
      </c>
      <c r="Q2222">
        <f>tblMoeHistory[[#This Row],[Amount of IDEA Part B, Section 611 award]]+tblMoeHistory[[#This Row],[Amount of IDEA Part B, Section 619 award]]</f>
        <v>51386</v>
      </c>
      <c r="U22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2" t="str">
        <f>IF(OR(IFERROR(SEARCH("Met",tblMoeHistory[[#This Row],[State and Local Per Capita Result]]),0)&gt;0,IFERROR(SEARCH("Met",tblMoeHistory[[#This Row],[State and Local Total Result]]),0)&gt;0),"Met","Not Met")</f>
        <v>Met</v>
      </c>
    </row>
    <row r="2223" spans="1:22" x14ac:dyDescent="0.35">
      <c r="A2223" t="s">
        <v>76</v>
      </c>
      <c r="B2223">
        <v>2217</v>
      </c>
      <c r="C2223" t="s">
        <v>1777</v>
      </c>
      <c r="D2223">
        <v>56</v>
      </c>
      <c r="E2223">
        <v>321395</v>
      </c>
      <c r="F2223">
        <v>103143.94</v>
      </c>
      <c r="G2223">
        <f>tblMoeHistory[[#This Row],[LEA State and Local Amount]]+tblMoeHistory[[#This Row],[ESD State and Local Amount]]</f>
        <v>424538.94</v>
      </c>
      <c r="I2223" t="s">
        <v>241</v>
      </c>
      <c r="J2223" s="44">
        <f>IFERROR(tblMoeHistory[[#This Row],[LEA State and Local Amount]]/tblMoeHistory[[#This Row],[Child Count]],0)</f>
        <v>5739.1964285714284</v>
      </c>
      <c r="K2223">
        <f>IFERROR(tblMoeHistory[[#This Row],[ESD State and Local Amount]]/tblMoeHistory[[#This Row],[Child Count]],0)</f>
        <v>1841.8560714285716</v>
      </c>
      <c r="L2223">
        <f>IFERROR(tblMoeHistory[[#This Row],[State and Local Total Amount]]/tblMoeHistory[[#This Row],[Child Count]],0)</f>
        <v>7581.0524999999998</v>
      </c>
      <c r="N2223" t="str">
        <f t="shared" si="1"/>
        <v>Did Not Meet</v>
      </c>
      <c r="O2223">
        <v>96239</v>
      </c>
      <c r="P2223">
        <v>724</v>
      </c>
      <c r="Q2223">
        <f>tblMoeHistory[[#This Row],[Amount of IDEA Part B, Section 611 award]]+tblMoeHistory[[#This Row],[Amount of IDEA Part B, Section 619 award]]</f>
        <v>96963</v>
      </c>
      <c r="U22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3" t="str">
        <f>IF(OR(IFERROR(SEARCH("Met",tblMoeHistory[[#This Row],[State and Local Per Capita Result]]),0)&gt;0,IFERROR(SEARCH("Met",tblMoeHistory[[#This Row],[State and Local Total Result]]),0)&gt;0),"Met","Not Met")</f>
        <v>Met</v>
      </c>
    </row>
    <row r="2224" spans="1:22" x14ac:dyDescent="0.35">
      <c r="A2224" t="s">
        <v>77</v>
      </c>
      <c r="B2224">
        <v>1998</v>
      </c>
      <c r="C2224" t="s">
        <v>1777</v>
      </c>
      <c r="D2224">
        <v>26</v>
      </c>
      <c r="E2224">
        <v>286456.86999999994</v>
      </c>
      <c r="F2224">
        <v>49241.340000000004</v>
      </c>
      <c r="G2224">
        <f>tblMoeHistory[[#This Row],[LEA State and Local Amount]]+tblMoeHistory[[#This Row],[ESD State and Local Amount]]</f>
        <v>335698.20999999996</v>
      </c>
      <c r="I2224" t="s">
        <v>241</v>
      </c>
      <c r="J2224" s="44">
        <f>IFERROR(tblMoeHistory[[#This Row],[LEA State and Local Amount]]/tblMoeHistory[[#This Row],[Child Count]],0)</f>
        <v>11017.571923076921</v>
      </c>
      <c r="K2224">
        <f>IFERROR(tblMoeHistory[[#This Row],[ESD State and Local Amount]]/tblMoeHistory[[#This Row],[Child Count]],0)</f>
        <v>1893.8976923076925</v>
      </c>
      <c r="L2224">
        <f>IFERROR(tblMoeHistory[[#This Row],[State and Local Total Amount]]/tblMoeHistory[[#This Row],[Child Count]],0)</f>
        <v>12911.469615384614</v>
      </c>
      <c r="N2224" t="str">
        <f t="shared" si="1"/>
        <v>Did Not Meet</v>
      </c>
      <c r="O2224">
        <v>49843</v>
      </c>
      <c r="P2224">
        <v>612</v>
      </c>
      <c r="Q2224">
        <f>tblMoeHistory[[#This Row],[Amount of IDEA Part B, Section 611 award]]+tblMoeHistory[[#This Row],[Amount of IDEA Part B, Section 619 award]]</f>
        <v>50455</v>
      </c>
      <c r="U22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4" t="str">
        <f>IF(OR(IFERROR(SEARCH("Met",tblMoeHistory[[#This Row],[State and Local Per Capita Result]]),0)&gt;0,IFERROR(SEARCH("Met",tblMoeHistory[[#This Row],[State and Local Total Result]]),0)&gt;0),"Met","Not Met")</f>
        <v>Met</v>
      </c>
    </row>
    <row r="2225" spans="1:22" x14ac:dyDescent="0.35">
      <c r="A2225" t="s">
        <v>78</v>
      </c>
      <c r="B2225">
        <v>2221</v>
      </c>
      <c r="C2225" t="s">
        <v>1777</v>
      </c>
      <c r="D2225">
        <v>63</v>
      </c>
      <c r="E2225">
        <v>210184.06000000006</v>
      </c>
      <c r="F2225">
        <v>356738.27</v>
      </c>
      <c r="G2225">
        <f>tblMoeHistory[[#This Row],[LEA State and Local Amount]]+tblMoeHistory[[#This Row],[ESD State and Local Amount]]</f>
        <v>566922.33000000007</v>
      </c>
      <c r="I2225" t="s">
        <v>241</v>
      </c>
      <c r="J2225" s="44">
        <f>IFERROR(tblMoeHistory[[#This Row],[LEA State and Local Amount]]/tblMoeHistory[[#This Row],[Child Count]],0)</f>
        <v>3336.2549206349217</v>
      </c>
      <c r="K2225">
        <f>IFERROR(tblMoeHistory[[#This Row],[ESD State and Local Amount]]/tblMoeHistory[[#This Row],[Child Count]],0)</f>
        <v>5662.5122222222226</v>
      </c>
      <c r="L2225">
        <f>IFERROR(tblMoeHistory[[#This Row],[State and Local Total Amount]]/tblMoeHistory[[#This Row],[Child Count]],0)</f>
        <v>8998.7671428571448</v>
      </c>
      <c r="N2225" t="str">
        <f t="shared" si="1"/>
        <v>Did Not Meet</v>
      </c>
      <c r="O2225">
        <v>108829</v>
      </c>
      <c r="P2225">
        <v>2671</v>
      </c>
      <c r="Q2225">
        <f>tblMoeHistory[[#This Row],[Amount of IDEA Part B, Section 611 award]]+tblMoeHistory[[#This Row],[Amount of IDEA Part B, Section 619 award]]</f>
        <v>111500</v>
      </c>
      <c r="U22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5" t="str">
        <f>IF(OR(IFERROR(SEARCH("Met",tblMoeHistory[[#This Row],[State and Local Per Capita Result]]),0)&gt;0,IFERROR(SEARCH("Met",tblMoeHistory[[#This Row],[State and Local Total Result]]),0)&gt;0),"Met","Not Met")</f>
        <v>Met</v>
      </c>
    </row>
    <row r="2226" spans="1:22" x14ac:dyDescent="0.35">
      <c r="A2226" t="s">
        <v>79</v>
      </c>
      <c r="B2226">
        <v>1930</v>
      </c>
      <c r="C2226" t="s">
        <v>1777</v>
      </c>
      <c r="D2226">
        <v>354</v>
      </c>
      <c r="E2226">
        <v>3088117.9600000004</v>
      </c>
      <c r="F2226">
        <v>185816</v>
      </c>
      <c r="G2226">
        <f>tblMoeHistory[[#This Row],[LEA State and Local Amount]]+tblMoeHistory[[#This Row],[ESD State and Local Amount]]</f>
        <v>3273933.9600000004</v>
      </c>
      <c r="I2226" t="s">
        <v>241</v>
      </c>
      <c r="J2226" s="44">
        <f>IFERROR(tblMoeHistory[[#This Row],[LEA State and Local Amount]]/tblMoeHistory[[#This Row],[Child Count]],0)</f>
        <v>8723.4970621468947</v>
      </c>
      <c r="K2226">
        <f>IFERROR(tblMoeHistory[[#This Row],[ESD State and Local Amount]]/tblMoeHistory[[#This Row],[Child Count]],0)</f>
        <v>524.90395480225993</v>
      </c>
      <c r="L2226">
        <f>IFERROR(tblMoeHistory[[#This Row],[State and Local Total Amount]]/tblMoeHistory[[#This Row],[Child Count]],0)</f>
        <v>9248.4010169491539</v>
      </c>
      <c r="N2226" t="str">
        <f t="shared" si="1"/>
        <v>Did Not Meet</v>
      </c>
      <c r="O2226">
        <v>581937</v>
      </c>
      <c r="P2226">
        <v>12162</v>
      </c>
      <c r="Q2226">
        <f>tblMoeHistory[[#This Row],[Amount of IDEA Part B, Section 611 award]]+tblMoeHistory[[#This Row],[Amount of IDEA Part B, Section 619 award]]</f>
        <v>594099</v>
      </c>
      <c r="U22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6" t="str">
        <f>IF(OR(IFERROR(SEARCH("Met",tblMoeHistory[[#This Row],[State and Local Per Capita Result]]),0)&gt;0,IFERROR(SEARCH("Met",tblMoeHistory[[#This Row],[State and Local Total Result]]),0)&gt;0),"Met","Not Met")</f>
        <v>Met</v>
      </c>
    </row>
    <row r="2227" spans="1:22" x14ac:dyDescent="0.35">
      <c r="A2227" t="s">
        <v>80</v>
      </c>
      <c r="B2227">
        <v>2082</v>
      </c>
      <c r="C2227" t="s">
        <v>1777</v>
      </c>
      <c r="D2227">
        <v>2168</v>
      </c>
      <c r="E2227">
        <v>26392061.439999998</v>
      </c>
      <c r="F2227">
        <v>3960405</v>
      </c>
      <c r="G2227">
        <f>tblMoeHistory[[#This Row],[LEA State and Local Amount]]+tblMoeHistory[[#This Row],[ESD State and Local Amount]]</f>
        <v>30352466.439999998</v>
      </c>
      <c r="I2227" t="s">
        <v>241</v>
      </c>
      <c r="J2227" s="44">
        <f>IFERROR(tblMoeHistory[[#This Row],[LEA State and Local Amount]]/tblMoeHistory[[#This Row],[Child Count]],0)</f>
        <v>12173.460073800738</v>
      </c>
      <c r="K2227">
        <f>IFERROR(tblMoeHistory[[#This Row],[ESD State and Local Amount]]/tblMoeHistory[[#This Row],[Child Count]],0)</f>
        <v>1826.755073800738</v>
      </c>
      <c r="L2227">
        <f>IFERROR(tblMoeHistory[[#This Row],[State and Local Total Amount]]/tblMoeHistory[[#This Row],[Child Count]],0)</f>
        <v>14000.215147601475</v>
      </c>
      <c r="N2227" t="str">
        <f t="shared" si="1"/>
        <v>Met</v>
      </c>
      <c r="O2227">
        <v>3885023</v>
      </c>
      <c r="P2227">
        <v>117719</v>
      </c>
      <c r="Q2227">
        <f>tblMoeHistory[[#This Row],[Amount of IDEA Part B, Section 611 award]]+tblMoeHistory[[#This Row],[Amount of IDEA Part B, Section 619 award]]</f>
        <v>4002742</v>
      </c>
      <c r="U22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7" t="str">
        <f>IF(OR(IFERROR(SEARCH("Met",tblMoeHistory[[#This Row],[State and Local Per Capita Result]]),0)&gt;0,IFERROR(SEARCH("Met",tblMoeHistory[[#This Row],[State and Local Total Result]]),0)&gt;0),"Met","Not Met")</f>
        <v>Met</v>
      </c>
    </row>
    <row r="2228" spans="1:22" x14ac:dyDescent="0.35">
      <c r="A2228" t="s">
        <v>81</v>
      </c>
      <c r="B2228">
        <v>2193</v>
      </c>
      <c r="C2228" t="s">
        <v>1777</v>
      </c>
      <c r="D2228">
        <v>33</v>
      </c>
      <c r="E2228">
        <v>264590.80000000005</v>
      </c>
      <c r="F2228">
        <v>42381.45</v>
      </c>
      <c r="G2228">
        <f>tblMoeHistory[[#This Row],[LEA State and Local Amount]]+tblMoeHistory[[#This Row],[ESD State and Local Amount]]</f>
        <v>306972.25000000006</v>
      </c>
      <c r="I2228" t="s">
        <v>242</v>
      </c>
      <c r="J2228" s="44">
        <f>IFERROR(tblMoeHistory[[#This Row],[LEA State and Local Amount]]/tblMoeHistory[[#This Row],[Child Count]],0)</f>
        <v>8017.9030303030313</v>
      </c>
      <c r="K2228">
        <f>IFERROR(tblMoeHistory[[#This Row],[ESD State and Local Amount]]/tblMoeHistory[[#This Row],[Child Count]],0)</f>
        <v>1284.2863636363636</v>
      </c>
      <c r="L2228">
        <f>IFERROR(tblMoeHistory[[#This Row],[State and Local Total Amount]]/tblMoeHistory[[#This Row],[Child Count]],0)</f>
        <v>9302.1893939393958</v>
      </c>
      <c r="N2228" t="str">
        <f t="shared" si="1"/>
        <v>Met</v>
      </c>
      <c r="O2228">
        <v>58718</v>
      </c>
      <c r="P2228">
        <v>1097</v>
      </c>
      <c r="Q2228">
        <f>tblMoeHistory[[#This Row],[Amount of IDEA Part B, Section 611 award]]+tblMoeHistory[[#This Row],[Amount of IDEA Part B, Section 619 award]]</f>
        <v>59815</v>
      </c>
      <c r="U22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8" t="str">
        <f>IF(OR(IFERROR(SEARCH("Met",tblMoeHistory[[#This Row],[State and Local Per Capita Result]]),0)&gt;0,IFERROR(SEARCH("Met",tblMoeHistory[[#This Row],[State and Local Total Result]]),0)&gt;0),"Met","Not Met")</f>
        <v>Met</v>
      </c>
    </row>
    <row r="2229" spans="1:22" x14ac:dyDescent="0.35">
      <c r="A2229" t="s">
        <v>82</v>
      </c>
      <c r="B2229">
        <v>2084</v>
      </c>
      <c r="C2229" t="s">
        <v>1777</v>
      </c>
      <c r="D2229">
        <v>234</v>
      </c>
      <c r="E2229">
        <v>3046712.0199999996</v>
      </c>
      <c r="F2229">
        <v>213963</v>
      </c>
      <c r="G2229">
        <f>tblMoeHistory[[#This Row],[LEA State and Local Amount]]+tblMoeHistory[[#This Row],[ESD State and Local Amount]]</f>
        <v>3260675.0199999996</v>
      </c>
      <c r="I2229" t="s">
        <v>242</v>
      </c>
      <c r="J2229" s="44">
        <f>IFERROR(tblMoeHistory[[#This Row],[LEA State and Local Amount]]/tblMoeHistory[[#This Row],[Child Count]],0)</f>
        <v>13020.136837606835</v>
      </c>
      <c r="K2229">
        <f>IFERROR(tblMoeHistory[[#This Row],[ESD State and Local Amount]]/tblMoeHistory[[#This Row],[Child Count]],0)</f>
        <v>914.37179487179492</v>
      </c>
      <c r="L2229">
        <f>IFERROR(tblMoeHistory[[#This Row],[State and Local Total Amount]]/tblMoeHistory[[#This Row],[Child Count]],0)</f>
        <v>13934.50863247863</v>
      </c>
      <c r="N2229" t="str">
        <f t="shared" si="1"/>
        <v>Met</v>
      </c>
      <c r="O2229">
        <v>396152</v>
      </c>
      <c r="P2229">
        <v>8158</v>
      </c>
      <c r="Q2229">
        <f>tblMoeHistory[[#This Row],[Amount of IDEA Part B, Section 611 award]]+tblMoeHistory[[#This Row],[Amount of IDEA Part B, Section 619 award]]</f>
        <v>404310</v>
      </c>
      <c r="U22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9" t="str">
        <f>IF(OR(IFERROR(SEARCH("Met",tblMoeHistory[[#This Row],[State and Local Per Capita Result]]),0)&gt;0,IFERROR(SEARCH("Met",tblMoeHistory[[#This Row],[State and Local Total Result]]),0)&gt;0),"Met","Not Met")</f>
        <v>Met</v>
      </c>
    </row>
    <row r="2230" spans="1:22" x14ac:dyDescent="0.35">
      <c r="A2230" t="s">
        <v>83</v>
      </c>
      <c r="B2230">
        <v>2241</v>
      </c>
      <c r="C2230" t="s">
        <v>1777</v>
      </c>
      <c r="D2230">
        <v>816</v>
      </c>
      <c r="E2230">
        <v>11134916.589999996</v>
      </c>
      <c r="F2230">
        <v>293035</v>
      </c>
      <c r="G2230">
        <f>tblMoeHistory[[#This Row],[LEA State and Local Amount]]+tblMoeHistory[[#This Row],[ESD State and Local Amount]]</f>
        <v>11427951.589999996</v>
      </c>
      <c r="I2230" t="s">
        <v>241</v>
      </c>
      <c r="J2230" s="44">
        <f>IFERROR(tblMoeHistory[[#This Row],[LEA State and Local Amount]]/tblMoeHistory[[#This Row],[Child Count]],0)</f>
        <v>13645.731115196073</v>
      </c>
      <c r="K2230">
        <f>IFERROR(tblMoeHistory[[#This Row],[ESD State and Local Amount]]/tblMoeHistory[[#This Row],[Child Count]],0)</f>
        <v>359.11151960784315</v>
      </c>
      <c r="L2230">
        <f>IFERROR(tblMoeHistory[[#This Row],[State and Local Total Amount]]/tblMoeHistory[[#This Row],[Child Count]],0)</f>
        <v>14004.842634803917</v>
      </c>
      <c r="N2230" t="str">
        <f t="shared" si="1"/>
        <v>Met</v>
      </c>
      <c r="O2230">
        <v>1297047</v>
      </c>
      <c r="P2230">
        <v>24414</v>
      </c>
      <c r="Q2230">
        <f>tblMoeHistory[[#This Row],[Amount of IDEA Part B, Section 611 award]]+tblMoeHistory[[#This Row],[Amount of IDEA Part B, Section 619 award]]</f>
        <v>1321461</v>
      </c>
      <c r="U22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0" t="str">
        <f>IF(OR(IFERROR(SEARCH("Met",tblMoeHistory[[#This Row],[State and Local Per Capita Result]]),0)&gt;0,IFERROR(SEARCH("Met",tblMoeHistory[[#This Row],[State and Local Total Result]]),0)&gt;0),"Met","Not Met")</f>
        <v>Met</v>
      </c>
    </row>
    <row r="2231" spans="1:22" x14ac:dyDescent="0.35">
      <c r="A2231" t="s">
        <v>84</v>
      </c>
      <c r="B2231">
        <v>2248</v>
      </c>
      <c r="C2231" t="s">
        <v>1777</v>
      </c>
      <c r="D2231">
        <v>110</v>
      </c>
      <c r="E2231">
        <v>754673.89</v>
      </c>
      <c r="F2231">
        <v>95544</v>
      </c>
      <c r="G2231">
        <f>tblMoeHistory[[#This Row],[LEA State and Local Amount]]+tblMoeHistory[[#This Row],[ESD State and Local Amount]]</f>
        <v>850217.89</v>
      </c>
      <c r="I2231" t="s">
        <v>2140</v>
      </c>
      <c r="J2231" s="44">
        <f>IFERROR(tblMoeHistory[[#This Row],[LEA State and Local Amount]]/tblMoeHistory[[#This Row],[Child Count]],0)</f>
        <v>6860.6717272727274</v>
      </c>
      <c r="K2231">
        <f>IFERROR(tblMoeHistory[[#This Row],[ESD State and Local Amount]]/tblMoeHistory[[#This Row],[Child Count]],0)</f>
        <v>868.58181818181822</v>
      </c>
      <c r="L2231">
        <f>IFERROR(tblMoeHistory[[#This Row],[State and Local Total Amount]]/tblMoeHistory[[#This Row],[Child Count]],0)</f>
        <v>7729.2535454545459</v>
      </c>
      <c r="N2231" t="str">
        <f t="shared" si="1"/>
        <v>Met</v>
      </c>
      <c r="O2231">
        <v>135919</v>
      </c>
      <c r="P2231">
        <v>1315</v>
      </c>
      <c r="Q2231">
        <f>tblMoeHistory[[#This Row],[Amount of IDEA Part B, Section 611 award]]+tblMoeHistory[[#This Row],[Amount of IDEA Part B, Section 619 award]]</f>
        <v>137234</v>
      </c>
      <c r="U22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1" t="str">
        <f>IF(OR(IFERROR(SEARCH("Met",tblMoeHistory[[#This Row],[State and Local Per Capita Result]]),0)&gt;0,IFERROR(SEARCH("Met",tblMoeHistory[[#This Row],[State and Local Total Result]]),0)&gt;0),"Met","Not Met")</f>
        <v>Met</v>
      </c>
    </row>
    <row r="2232" spans="1:22" x14ac:dyDescent="0.35">
      <c r="A2232" t="s">
        <v>85</v>
      </c>
      <c r="B2232">
        <v>2020</v>
      </c>
      <c r="C2232" t="s">
        <v>1777</v>
      </c>
      <c r="D2232">
        <v>1</v>
      </c>
      <c r="E2232">
        <v>0</v>
      </c>
      <c r="F2232">
        <v>19769.169999999998</v>
      </c>
      <c r="G2232">
        <f>tblMoeHistory[[#This Row],[LEA State and Local Amount]]+tblMoeHistory[[#This Row],[ESD State and Local Amount]]</f>
        <v>19769.169999999998</v>
      </c>
      <c r="I2232" t="s">
        <v>242</v>
      </c>
      <c r="J2232" s="44">
        <f>IFERROR(tblMoeHistory[[#This Row],[LEA State and Local Amount]]/tblMoeHistory[[#This Row],[Child Count]],0)</f>
        <v>0</v>
      </c>
      <c r="K2232">
        <f>IFERROR(tblMoeHistory[[#This Row],[ESD State and Local Amount]]/tblMoeHistory[[#This Row],[Child Count]],0)</f>
        <v>19769.169999999998</v>
      </c>
      <c r="L2232">
        <f>IFERROR(tblMoeHistory[[#This Row],[State and Local Total Amount]]/tblMoeHistory[[#This Row],[Child Count]],0)</f>
        <v>19769.169999999998</v>
      </c>
      <c r="N2232" t="str">
        <f t="shared" si="1"/>
        <v>Did Not Meet</v>
      </c>
      <c r="O2232">
        <v>1554</v>
      </c>
      <c r="P2232">
        <v>272</v>
      </c>
      <c r="Q2232">
        <f>tblMoeHistory[[#This Row],[Amount of IDEA Part B, Section 611 award]]+tblMoeHistory[[#This Row],[Amount of IDEA Part B, Section 619 award]]</f>
        <v>1826</v>
      </c>
      <c r="U22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2" t="str">
        <f>IF(OR(IFERROR(SEARCH("Met",tblMoeHistory[[#This Row],[State and Local Per Capita Result]]),0)&gt;0,IFERROR(SEARCH("Met",tblMoeHistory[[#This Row],[State and Local Total Result]]),0)&gt;0),"Met","Not Met")</f>
        <v>Met</v>
      </c>
    </row>
    <row r="2233" spans="1:22" x14ac:dyDescent="0.35">
      <c r="A2233" t="s">
        <v>86</v>
      </c>
      <c r="B2233">
        <v>2245</v>
      </c>
      <c r="C2233" t="s">
        <v>1777</v>
      </c>
      <c r="D2233">
        <v>83</v>
      </c>
      <c r="E2233">
        <v>915202.45</v>
      </c>
      <c r="F2233">
        <v>254606</v>
      </c>
      <c r="G2233">
        <f>tblMoeHistory[[#This Row],[LEA State and Local Amount]]+tblMoeHistory[[#This Row],[ESD State and Local Amount]]</f>
        <v>1169808.45</v>
      </c>
      <c r="I2233" t="s">
        <v>241</v>
      </c>
      <c r="J2233" s="44">
        <f>IFERROR(tblMoeHistory[[#This Row],[LEA State and Local Amount]]/tblMoeHistory[[#This Row],[Child Count]],0)</f>
        <v>11026.535542168675</v>
      </c>
      <c r="K2233">
        <f>IFERROR(tblMoeHistory[[#This Row],[ESD State and Local Amount]]/tblMoeHistory[[#This Row],[Child Count]],0)</f>
        <v>3067.5421686746986</v>
      </c>
      <c r="L2233">
        <f>IFERROR(tblMoeHistory[[#This Row],[State and Local Total Amount]]/tblMoeHistory[[#This Row],[Child Count]],0)</f>
        <v>14094.077710843372</v>
      </c>
      <c r="N2233" t="str">
        <f t="shared" si="1"/>
        <v>Met</v>
      </c>
      <c r="O2233">
        <v>117700</v>
      </c>
      <c r="P2233">
        <v>2714</v>
      </c>
      <c r="Q2233">
        <f>tblMoeHistory[[#This Row],[Amount of IDEA Part B, Section 611 award]]+tblMoeHistory[[#This Row],[Amount of IDEA Part B, Section 619 award]]</f>
        <v>120414</v>
      </c>
      <c r="U22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3" t="str">
        <f>IF(OR(IFERROR(SEARCH("Met",tblMoeHistory[[#This Row],[State and Local Per Capita Result]]),0)&gt;0,IFERROR(SEARCH("Met",tblMoeHistory[[#This Row],[State and Local Total Result]]),0)&gt;0),"Met","Not Met")</f>
        <v>Met</v>
      </c>
    </row>
    <row r="2234" spans="1:22" x14ac:dyDescent="0.35">
      <c r="A2234" t="s">
        <v>87</v>
      </c>
      <c r="B2234">
        <v>2137</v>
      </c>
      <c r="C2234" t="s">
        <v>1777</v>
      </c>
      <c r="D2234">
        <v>184</v>
      </c>
      <c r="E2234">
        <v>1401220.6199999996</v>
      </c>
      <c r="F2234">
        <v>383900.63999999996</v>
      </c>
      <c r="G2234">
        <f>tblMoeHistory[[#This Row],[LEA State and Local Amount]]+tblMoeHistory[[#This Row],[ESD State and Local Amount]]</f>
        <v>1785121.2599999995</v>
      </c>
      <c r="I2234" t="s">
        <v>241</v>
      </c>
      <c r="J2234" s="44">
        <f>IFERROR(tblMoeHistory[[#This Row],[LEA State and Local Amount]]/tblMoeHistory[[#This Row],[Child Count]],0)</f>
        <v>7615.3294565217375</v>
      </c>
      <c r="K2234">
        <f>IFERROR(tblMoeHistory[[#This Row],[ESD State and Local Amount]]/tblMoeHistory[[#This Row],[Child Count]],0)</f>
        <v>2086.4165217391301</v>
      </c>
      <c r="L2234">
        <f>IFERROR(tblMoeHistory[[#This Row],[State and Local Total Amount]]/tblMoeHistory[[#This Row],[Child Count]],0)</f>
        <v>9701.7459782608676</v>
      </c>
      <c r="N2234" t="str">
        <f t="shared" ref="N2234:N2297" si="2">IF(L2234&gt;=L2037,"Met","Did Not Meet")</f>
        <v>Met</v>
      </c>
      <c r="O2234">
        <v>301693</v>
      </c>
      <c r="P2234">
        <v>4284</v>
      </c>
      <c r="Q2234">
        <f>tblMoeHistory[[#This Row],[Amount of IDEA Part B, Section 611 award]]+tblMoeHistory[[#This Row],[Amount of IDEA Part B, Section 619 award]]</f>
        <v>305977</v>
      </c>
      <c r="U22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4" t="str">
        <f>IF(OR(IFERROR(SEARCH("Met",tblMoeHistory[[#This Row],[State and Local Per Capita Result]]),0)&gt;0,IFERROR(SEARCH("Met",tblMoeHistory[[#This Row],[State and Local Total Result]]),0)&gt;0),"Met","Not Met")</f>
        <v>Met</v>
      </c>
    </row>
    <row r="2235" spans="1:22" x14ac:dyDescent="0.35">
      <c r="A2235" t="s">
        <v>88</v>
      </c>
      <c r="B2235">
        <v>1931</v>
      </c>
      <c r="C2235" t="s">
        <v>1777</v>
      </c>
      <c r="D2235">
        <v>275</v>
      </c>
      <c r="E2235">
        <v>3203486.6600000011</v>
      </c>
      <c r="F2235">
        <v>293505</v>
      </c>
      <c r="G2235">
        <f>tblMoeHistory[[#This Row],[LEA State and Local Amount]]+tblMoeHistory[[#This Row],[ESD State and Local Amount]]</f>
        <v>3496991.6600000011</v>
      </c>
      <c r="I2235" t="s">
        <v>2140</v>
      </c>
      <c r="J2235" s="44">
        <f>IFERROR(tblMoeHistory[[#This Row],[LEA State and Local Amount]]/tblMoeHistory[[#This Row],[Child Count]],0)</f>
        <v>11649.042400000004</v>
      </c>
      <c r="K2235">
        <f>IFERROR(tblMoeHistory[[#This Row],[ESD State and Local Amount]]/tblMoeHistory[[#This Row],[Child Count]],0)</f>
        <v>1067.2909090909091</v>
      </c>
      <c r="L2235">
        <f>IFERROR(tblMoeHistory[[#This Row],[State and Local Total Amount]]/tblMoeHistory[[#This Row],[Child Count]],0)</f>
        <v>12716.333309090913</v>
      </c>
      <c r="N2235" t="str">
        <f t="shared" si="2"/>
        <v>Met</v>
      </c>
      <c r="O2235">
        <v>440167</v>
      </c>
      <c r="P2235">
        <v>5484</v>
      </c>
      <c r="Q2235">
        <f>tblMoeHistory[[#This Row],[Amount of IDEA Part B, Section 611 award]]+tblMoeHistory[[#This Row],[Amount of IDEA Part B, Section 619 award]]</f>
        <v>445651</v>
      </c>
      <c r="U22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5" t="str">
        <f>IF(OR(IFERROR(SEARCH("Met",tblMoeHistory[[#This Row],[State and Local Per Capita Result]]),0)&gt;0,IFERROR(SEARCH("Met",tblMoeHistory[[#This Row],[State and Local Total Result]]),0)&gt;0),"Met","Not Met")</f>
        <v>Met</v>
      </c>
    </row>
    <row r="2236" spans="1:22" x14ac:dyDescent="0.35">
      <c r="A2236" t="s">
        <v>89</v>
      </c>
      <c r="B2236">
        <v>2000</v>
      </c>
      <c r="C2236" t="s">
        <v>1777</v>
      </c>
      <c r="D2236">
        <v>51</v>
      </c>
      <c r="E2236">
        <v>0</v>
      </c>
      <c r="F2236">
        <v>130568.07999999999</v>
      </c>
      <c r="G2236">
        <f>tblMoeHistory[[#This Row],[LEA State and Local Amount]]+tblMoeHistory[[#This Row],[ESD State and Local Amount]]</f>
        <v>130568.07999999999</v>
      </c>
      <c r="I2236" t="s">
        <v>241</v>
      </c>
      <c r="J2236" s="44">
        <f>IFERROR(tblMoeHistory[[#This Row],[LEA State and Local Amount]]/tblMoeHistory[[#This Row],[Child Count]],0)</f>
        <v>0</v>
      </c>
      <c r="K2236">
        <f>IFERROR(tblMoeHistory[[#This Row],[ESD State and Local Amount]]/tblMoeHistory[[#This Row],[Child Count]],0)</f>
        <v>2560.1584313725489</v>
      </c>
      <c r="L2236">
        <f>IFERROR(tblMoeHistory[[#This Row],[State and Local Total Amount]]/tblMoeHistory[[#This Row],[Child Count]],0)</f>
        <v>2560.1584313725489</v>
      </c>
      <c r="N2236" t="str">
        <f t="shared" si="2"/>
        <v>Did Not Meet</v>
      </c>
      <c r="O2236">
        <v>75925</v>
      </c>
      <c r="P2236">
        <v>667</v>
      </c>
      <c r="Q2236">
        <f>tblMoeHistory[[#This Row],[Amount of IDEA Part B, Section 611 award]]+tblMoeHistory[[#This Row],[Amount of IDEA Part B, Section 619 award]]</f>
        <v>76592</v>
      </c>
      <c r="U22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6" t="str">
        <f>IF(OR(IFERROR(SEARCH("Met",tblMoeHistory[[#This Row],[State and Local Per Capita Result]]),0)&gt;0,IFERROR(SEARCH("Met",tblMoeHistory[[#This Row],[State and Local Total Result]]),0)&gt;0),"Met","Not Met")</f>
        <v>Met</v>
      </c>
    </row>
    <row r="2237" spans="1:22" x14ac:dyDescent="0.35">
      <c r="A2237" t="s">
        <v>90</v>
      </c>
      <c r="B2237">
        <v>1992</v>
      </c>
      <c r="C2237" t="s">
        <v>1777</v>
      </c>
      <c r="D2237">
        <v>98</v>
      </c>
      <c r="E2237">
        <v>973885.85</v>
      </c>
      <c r="F2237">
        <v>173523.00000000003</v>
      </c>
      <c r="G2237">
        <f>tblMoeHistory[[#This Row],[LEA State and Local Amount]]+tblMoeHistory[[#This Row],[ESD State and Local Amount]]</f>
        <v>1147408.8500000001</v>
      </c>
      <c r="I2237" t="s">
        <v>242</v>
      </c>
      <c r="J2237" s="44">
        <f>IFERROR(tblMoeHistory[[#This Row],[LEA State and Local Amount]]/tblMoeHistory[[#This Row],[Child Count]],0)</f>
        <v>9937.6107142857145</v>
      </c>
      <c r="K2237">
        <f>IFERROR(tblMoeHistory[[#This Row],[ESD State and Local Amount]]/tblMoeHistory[[#This Row],[Child Count]],0)</f>
        <v>1770.6428571428573</v>
      </c>
      <c r="L2237">
        <f>IFERROR(tblMoeHistory[[#This Row],[State and Local Total Amount]]/tblMoeHistory[[#This Row],[Child Count]],0)</f>
        <v>11708.253571428573</v>
      </c>
      <c r="N2237" t="str">
        <f t="shared" si="2"/>
        <v>Met</v>
      </c>
      <c r="O2237">
        <v>198725</v>
      </c>
      <c r="P2237">
        <v>4408</v>
      </c>
      <c r="Q2237">
        <f>tblMoeHistory[[#This Row],[Amount of IDEA Part B, Section 611 award]]+tblMoeHistory[[#This Row],[Amount of IDEA Part B, Section 619 award]]</f>
        <v>203133</v>
      </c>
      <c r="U22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7" t="str">
        <f>IF(OR(IFERROR(SEARCH("Met",tblMoeHistory[[#This Row],[State and Local Per Capita Result]]),0)&gt;0,IFERROR(SEARCH("Met",tblMoeHistory[[#This Row],[State and Local Total Result]]),0)&gt;0),"Met","Not Met")</f>
        <v>Met</v>
      </c>
    </row>
    <row r="2238" spans="1:22" x14ac:dyDescent="0.35">
      <c r="A2238" t="s">
        <v>91</v>
      </c>
      <c r="B2238">
        <v>2054</v>
      </c>
      <c r="C2238" t="s">
        <v>1777</v>
      </c>
      <c r="D2238">
        <v>733</v>
      </c>
      <c r="E2238">
        <v>7563410.4800000004</v>
      </c>
      <c r="F2238">
        <v>430901.52</v>
      </c>
      <c r="G2238">
        <f>tblMoeHistory[[#This Row],[LEA State and Local Amount]]+tblMoeHistory[[#This Row],[ESD State and Local Amount]]</f>
        <v>7994312</v>
      </c>
      <c r="I2238" t="s">
        <v>241</v>
      </c>
      <c r="J2238" s="44">
        <f>IFERROR(tblMoeHistory[[#This Row],[LEA State and Local Amount]]/tblMoeHistory[[#This Row],[Child Count]],0)</f>
        <v>10318.43175989086</v>
      </c>
      <c r="K2238">
        <f>IFERROR(tblMoeHistory[[#This Row],[ESD State and Local Amount]]/tblMoeHistory[[#This Row],[Child Count]],0)</f>
        <v>587.86019099590726</v>
      </c>
      <c r="L2238">
        <f>IFERROR(tblMoeHistory[[#This Row],[State and Local Total Amount]]/tblMoeHistory[[#This Row],[Child Count]],0)</f>
        <v>10906.291950886767</v>
      </c>
      <c r="N2238" t="str">
        <f t="shared" si="2"/>
        <v>Met</v>
      </c>
      <c r="O2238">
        <v>1262122</v>
      </c>
      <c r="P2238">
        <v>33020</v>
      </c>
      <c r="Q2238">
        <f>tblMoeHistory[[#This Row],[Amount of IDEA Part B, Section 611 award]]+tblMoeHistory[[#This Row],[Amount of IDEA Part B, Section 619 award]]</f>
        <v>1295142</v>
      </c>
      <c r="U22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8" t="str">
        <f>IF(OR(IFERROR(SEARCH("Met",tblMoeHistory[[#This Row],[State and Local Per Capita Result]]),0)&gt;0,IFERROR(SEARCH("Met",tblMoeHistory[[#This Row],[State and Local Total Result]]),0)&gt;0),"Met","Not Met")</f>
        <v>Met</v>
      </c>
    </row>
    <row r="2239" spans="1:22" x14ac:dyDescent="0.35">
      <c r="A2239" t="s">
        <v>92</v>
      </c>
      <c r="B2239">
        <v>2100</v>
      </c>
      <c r="C2239" t="s">
        <v>1777</v>
      </c>
      <c r="D2239">
        <v>1323</v>
      </c>
      <c r="E2239">
        <v>15758386.590000005</v>
      </c>
      <c r="F2239">
        <v>1565041</v>
      </c>
      <c r="G2239">
        <f>tblMoeHistory[[#This Row],[LEA State and Local Amount]]+tblMoeHistory[[#This Row],[ESD State and Local Amount]]</f>
        <v>17323427.590000004</v>
      </c>
      <c r="I2239" t="s">
        <v>241</v>
      </c>
      <c r="J2239" s="44">
        <f>IFERROR(tblMoeHistory[[#This Row],[LEA State and Local Amount]]/tblMoeHistory[[#This Row],[Child Count]],0)</f>
        <v>11911.100975056694</v>
      </c>
      <c r="K2239">
        <f>IFERROR(tblMoeHistory[[#This Row],[ESD State and Local Amount]]/tblMoeHistory[[#This Row],[Child Count]],0)</f>
        <v>1182.9486016628873</v>
      </c>
      <c r="L2239">
        <f>IFERROR(tblMoeHistory[[#This Row],[State and Local Total Amount]]/tblMoeHistory[[#This Row],[Child Count]],0)</f>
        <v>13094.049576719579</v>
      </c>
      <c r="N2239" t="str">
        <f t="shared" si="2"/>
        <v>Did Not Meet</v>
      </c>
      <c r="O2239">
        <v>2024455</v>
      </c>
      <c r="P2239">
        <v>53449</v>
      </c>
      <c r="Q2239">
        <f>tblMoeHistory[[#This Row],[Amount of IDEA Part B, Section 611 award]]+tblMoeHistory[[#This Row],[Amount of IDEA Part B, Section 619 award]]</f>
        <v>2077904</v>
      </c>
      <c r="U22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9" t="str">
        <f>IF(OR(IFERROR(SEARCH("Met",tblMoeHistory[[#This Row],[State and Local Per Capita Result]]),0)&gt;0,IFERROR(SEARCH("Met",tblMoeHistory[[#This Row],[State and Local Total Result]]),0)&gt;0),"Met","Not Met")</f>
        <v>Met</v>
      </c>
    </row>
    <row r="2240" spans="1:22" x14ac:dyDescent="0.35">
      <c r="A2240" t="s">
        <v>93</v>
      </c>
      <c r="B2240">
        <v>2183</v>
      </c>
      <c r="C2240" t="s">
        <v>1777</v>
      </c>
      <c r="D2240">
        <v>1550</v>
      </c>
      <c r="E2240">
        <v>18700454.680000015</v>
      </c>
      <c r="F2240">
        <v>1533868.4800000002</v>
      </c>
      <c r="G2240">
        <f>tblMoeHistory[[#This Row],[LEA State and Local Amount]]+tblMoeHistory[[#This Row],[ESD State and Local Amount]]</f>
        <v>20234323.160000015</v>
      </c>
      <c r="I2240" t="s">
        <v>242</v>
      </c>
      <c r="J2240" s="44">
        <f>IFERROR(tblMoeHistory[[#This Row],[LEA State and Local Amount]]/tblMoeHistory[[#This Row],[Child Count]],0)</f>
        <v>12064.809470967752</v>
      </c>
      <c r="K2240">
        <f>IFERROR(tblMoeHistory[[#This Row],[ESD State and Local Amount]]/tblMoeHistory[[#This Row],[Child Count]],0)</f>
        <v>989.59256774193557</v>
      </c>
      <c r="L2240">
        <f>IFERROR(tblMoeHistory[[#This Row],[State and Local Total Amount]]/tblMoeHistory[[#This Row],[Child Count]],0)</f>
        <v>13054.402038709688</v>
      </c>
      <c r="N2240" t="str">
        <f t="shared" si="2"/>
        <v>Met</v>
      </c>
      <c r="O2240">
        <v>2513028</v>
      </c>
      <c r="P2240">
        <v>63610</v>
      </c>
      <c r="Q2240">
        <f>tblMoeHistory[[#This Row],[Amount of IDEA Part B, Section 611 award]]+tblMoeHistory[[#This Row],[Amount of IDEA Part B, Section 619 award]]</f>
        <v>2576638</v>
      </c>
      <c r="U22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0" t="str">
        <f>IF(OR(IFERROR(SEARCH("Met",tblMoeHistory[[#This Row],[State and Local Per Capita Result]]),0)&gt;0,IFERROR(SEARCH("Met",tblMoeHistory[[#This Row],[State and Local Total Result]]),0)&gt;0),"Met","Not Met")</f>
        <v>Met</v>
      </c>
    </row>
    <row r="2241" spans="1:22" x14ac:dyDescent="0.35">
      <c r="A2241" t="s">
        <v>94</v>
      </c>
      <c r="B2241">
        <v>2014</v>
      </c>
      <c r="C2241" t="s">
        <v>1777</v>
      </c>
      <c r="D2241">
        <v>109</v>
      </c>
      <c r="E2241">
        <v>1171283.8300000003</v>
      </c>
      <c r="F2241">
        <v>0</v>
      </c>
      <c r="G2241">
        <f>tblMoeHistory[[#This Row],[LEA State and Local Amount]]+tblMoeHistory[[#This Row],[ESD State and Local Amount]]</f>
        <v>1171283.8300000003</v>
      </c>
      <c r="I2241" t="s">
        <v>241</v>
      </c>
      <c r="J2241" s="44">
        <f>IFERROR(tblMoeHistory[[#This Row],[LEA State and Local Amount]]/tblMoeHistory[[#This Row],[Child Count]],0)</f>
        <v>10745.723211009177</v>
      </c>
      <c r="K2241">
        <f>IFERROR(tblMoeHistory[[#This Row],[ESD State and Local Amount]]/tblMoeHistory[[#This Row],[Child Count]],0)</f>
        <v>0</v>
      </c>
      <c r="L2241">
        <f>IFERROR(tblMoeHistory[[#This Row],[State and Local Total Amount]]/tblMoeHistory[[#This Row],[Child Count]],0)</f>
        <v>10745.723211009177</v>
      </c>
      <c r="N2241" t="str">
        <f t="shared" si="2"/>
        <v>Did Not Meet</v>
      </c>
      <c r="O2241">
        <v>228215</v>
      </c>
      <c r="P2241">
        <v>9681</v>
      </c>
      <c r="Q2241">
        <f>tblMoeHistory[[#This Row],[Amount of IDEA Part B, Section 611 award]]+tblMoeHistory[[#This Row],[Amount of IDEA Part B, Section 619 award]]</f>
        <v>237896</v>
      </c>
      <c r="U22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1" t="str">
        <f>IF(OR(IFERROR(SEARCH("Met",tblMoeHistory[[#This Row],[State and Local Per Capita Result]]),0)&gt;0,IFERROR(SEARCH("Met",tblMoeHistory[[#This Row],[State and Local Total Result]]),0)&gt;0),"Met","Not Met")</f>
        <v>Met</v>
      </c>
    </row>
    <row r="2242" spans="1:22" x14ac:dyDescent="0.35">
      <c r="A2242" t="s">
        <v>95</v>
      </c>
      <c r="B2242">
        <v>2015</v>
      </c>
      <c r="C2242" t="s">
        <v>1777</v>
      </c>
      <c r="D2242">
        <v>98</v>
      </c>
      <c r="E2242">
        <v>360618.35</v>
      </c>
      <c r="F2242">
        <v>176646.02</v>
      </c>
      <c r="G2242">
        <f>tblMoeHistory[[#This Row],[LEA State and Local Amount]]+tblMoeHistory[[#This Row],[ESD State and Local Amount]]</f>
        <v>537264.37</v>
      </c>
      <c r="I2242" t="s">
        <v>241</v>
      </c>
      <c r="J2242" s="44">
        <f>IFERROR(tblMoeHistory[[#This Row],[LEA State and Local Amount]]/tblMoeHistory[[#This Row],[Child Count]],0)</f>
        <v>3679.7790816326528</v>
      </c>
      <c r="K2242">
        <f>IFERROR(tblMoeHistory[[#This Row],[ESD State and Local Amount]]/tblMoeHistory[[#This Row],[Child Count]],0)</f>
        <v>1802.5104081632653</v>
      </c>
      <c r="L2242">
        <f>IFERROR(tblMoeHistory[[#This Row],[State and Local Total Amount]]/tblMoeHistory[[#This Row],[Child Count]],0)</f>
        <v>5482.2894897959186</v>
      </c>
      <c r="N2242" t="str">
        <f t="shared" si="2"/>
        <v>Did Not Meet</v>
      </c>
      <c r="O2242">
        <v>84857</v>
      </c>
      <c r="P2242">
        <v>574</v>
      </c>
      <c r="Q2242">
        <f>tblMoeHistory[[#This Row],[Amount of IDEA Part B, Section 611 award]]+tblMoeHistory[[#This Row],[Amount of IDEA Part B, Section 619 award]]</f>
        <v>85431</v>
      </c>
      <c r="U22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2" t="str">
        <f>IF(OR(IFERROR(SEARCH("Met",tblMoeHistory[[#This Row],[State and Local Per Capita Result]]),0)&gt;0,IFERROR(SEARCH("Met",tblMoeHistory[[#This Row],[State and Local Total Result]]),0)&gt;0),"Met","Not Met")</f>
        <v>Met</v>
      </c>
    </row>
    <row r="2243" spans="1:22" x14ac:dyDescent="0.35">
      <c r="A2243" t="s">
        <v>96</v>
      </c>
      <c r="B2243">
        <v>2023</v>
      </c>
      <c r="C2243" t="s">
        <v>1777</v>
      </c>
      <c r="D2243">
        <v>83</v>
      </c>
      <c r="E2243">
        <v>563980.02</v>
      </c>
      <c r="F2243">
        <v>179809.81</v>
      </c>
      <c r="G2243">
        <f>tblMoeHistory[[#This Row],[LEA State and Local Amount]]+tblMoeHistory[[#This Row],[ESD State and Local Amount]]</f>
        <v>743789.83000000007</v>
      </c>
      <c r="I2243" t="s">
        <v>241</v>
      </c>
      <c r="J2243" s="44">
        <f>IFERROR(tblMoeHistory[[#This Row],[LEA State and Local Amount]]/tblMoeHistory[[#This Row],[Child Count]],0)</f>
        <v>6794.9400000000005</v>
      </c>
      <c r="K2243">
        <f>IFERROR(tblMoeHistory[[#This Row],[ESD State and Local Amount]]/tblMoeHistory[[#This Row],[Child Count]],0)</f>
        <v>2166.383253012048</v>
      </c>
      <c r="L2243">
        <f>IFERROR(tblMoeHistory[[#This Row],[State and Local Total Amount]]/tblMoeHistory[[#This Row],[Child Count]],0)</f>
        <v>8961.3232530120495</v>
      </c>
      <c r="N2243" t="str">
        <f t="shared" si="2"/>
        <v>Met</v>
      </c>
      <c r="O2243">
        <v>90243</v>
      </c>
      <c r="P2243">
        <v>0</v>
      </c>
      <c r="Q2243">
        <f>tblMoeHistory[[#This Row],[Amount of IDEA Part B, Section 611 award]]+tblMoeHistory[[#This Row],[Amount of IDEA Part B, Section 619 award]]</f>
        <v>90243</v>
      </c>
      <c r="U22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3" t="str">
        <f>IF(OR(IFERROR(SEARCH("Met",tblMoeHistory[[#This Row],[State and Local Per Capita Result]]),0)&gt;0,IFERROR(SEARCH("Met",tblMoeHistory[[#This Row],[State and Local Total Result]]),0)&gt;0),"Met","Not Met")</f>
        <v>Met</v>
      </c>
    </row>
    <row r="2244" spans="1:22" x14ac:dyDescent="0.35">
      <c r="A2244" t="s">
        <v>97</v>
      </c>
      <c r="B2244">
        <v>2114</v>
      </c>
      <c r="C2244" t="s">
        <v>1777</v>
      </c>
      <c r="D2244">
        <v>26</v>
      </c>
      <c r="E2244">
        <v>109022.51999999999</v>
      </c>
      <c r="F2244">
        <v>57143.35</v>
      </c>
      <c r="G2244">
        <f>tblMoeHistory[[#This Row],[LEA State and Local Amount]]+tblMoeHistory[[#This Row],[ESD State and Local Amount]]</f>
        <v>166165.87</v>
      </c>
      <c r="I2244" t="s">
        <v>241</v>
      </c>
      <c r="J2244" s="44">
        <f>IFERROR(tblMoeHistory[[#This Row],[LEA State and Local Amount]]/tblMoeHistory[[#This Row],[Child Count]],0)</f>
        <v>4193.1738461538462</v>
      </c>
      <c r="K2244">
        <f>IFERROR(tblMoeHistory[[#This Row],[ESD State and Local Amount]]/tblMoeHistory[[#This Row],[Child Count]],0)</f>
        <v>2197.8211538461537</v>
      </c>
      <c r="L2244">
        <f>IFERROR(tblMoeHistory[[#This Row],[State and Local Total Amount]]/tblMoeHistory[[#This Row],[Child Count]],0)</f>
        <v>6390.9949999999999</v>
      </c>
      <c r="N2244" t="str">
        <f t="shared" si="2"/>
        <v>Did Not Meet</v>
      </c>
      <c r="O2244">
        <v>24501</v>
      </c>
      <c r="P2244">
        <v>1036</v>
      </c>
      <c r="Q2244">
        <f>tblMoeHistory[[#This Row],[Amount of IDEA Part B, Section 611 award]]+tblMoeHistory[[#This Row],[Amount of IDEA Part B, Section 619 award]]</f>
        <v>25537</v>
      </c>
      <c r="U22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4" t="str">
        <f>IF(OR(IFERROR(SEARCH("Met",tblMoeHistory[[#This Row],[State and Local Per Capita Result]]),0)&gt;0,IFERROR(SEARCH("Met",tblMoeHistory[[#This Row],[State and Local Total Result]]),0)&gt;0),"Met","Not Met")</f>
        <v>Met</v>
      </c>
    </row>
    <row r="2245" spans="1:22" x14ac:dyDescent="0.35">
      <c r="A2245" t="s">
        <v>98</v>
      </c>
      <c r="B2245">
        <v>2099</v>
      </c>
      <c r="C2245" t="s">
        <v>1777</v>
      </c>
      <c r="D2245">
        <v>101</v>
      </c>
      <c r="E2245">
        <v>1169314</v>
      </c>
      <c r="F2245">
        <v>156897</v>
      </c>
      <c r="G2245">
        <f>tblMoeHistory[[#This Row],[LEA State and Local Amount]]+tblMoeHistory[[#This Row],[ESD State and Local Amount]]</f>
        <v>1326211</v>
      </c>
      <c r="I2245" t="s">
        <v>241</v>
      </c>
      <c r="J2245" s="44">
        <f>IFERROR(tblMoeHistory[[#This Row],[LEA State and Local Amount]]/tblMoeHistory[[#This Row],[Child Count]],0)</f>
        <v>11577.366336633664</v>
      </c>
      <c r="K2245">
        <f>IFERROR(tblMoeHistory[[#This Row],[ESD State and Local Amount]]/tblMoeHistory[[#This Row],[Child Count]],0)</f>
        <v>1553.4356435643565</v>
      </c>
      <c r="L2245">
        <f>IFERROR(tblMoeHistory[[#This Row],[State and Local Total Amount]]/tblMoeHistory[[#This Row],[Child Count]],0)</f>
        <v>13130.801980198019</v>
      </c>
      <c r="N2245" t="str">
        <f t="shared" si="2"/>
        <v>Met</v>
      </c>
      <c r="O2245">
        <v>175334</v>
      </c>
      <c r="P2245">
        <v>1974</v>
      </c>
      <c r="Q2245">
        <f>tblMoeHistory[[#This Row],[Amount of IDEA Part B, Section 611 award]]+tblMoeHistory[[#This Row],[Amount of IDEA Part B, Section 619 award]]</f>
        <v>177308</v>
      </c>
      <c r="U22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5" t="str">
        <f>IF(OR(IFERROR(SEARCH("Met",tblMoeHistory[[#This Row],[State and Local Per Capita Result]]),0)&gt;0,IFERROR(SEARCH("Met",tblMoeHistory[[#This Row],[State and Local Total Result]]),0)&gt;0),"Met","Not Met")</f>
        <v>Met</v>
      </c>
    </row>
    <row r="2246" spans="1:22" x14ac:dyDescent="0.35">
      <c r="A2246" t="s">
        <v>99</v>
      </c>
      <c r="B2246">
        <v>2201</v>
      </c>
      <c r="C2246" t="s">
        <v>1777</v>
      </c>
      <c r="D2246">
        <v>18</v>
      </c>
      <c r="E2246">
        <v>129816.32000000001</v>
      </c>
      <c r="F2246">
        <v>40398.93</v>
      </c>
      <c r="G2246">
        <f>tblMoeHistory[[#This Row],[LEA State and Local Amount]]+tblMoeHistory[[#This Row],[ESD State and Local Amount]]</f>
        <v>170215.25</v>
      </c>
      <c r="I2246" t="s">
        <v>241</v>
      </c>
      <c r="J2246" s="44">
        <f>IFERROR(tblMoeHistory[[#This Row],[LEA State and Local Amount]]/tblMoeHistory[[#This Row],[Child Count]],0)</f>
        <v>7212.0177777777781</v>
      </c>
      <c r="K2246">
        <f>IFERROR(tblMoeHistory[[#This Row],[ESD State and Local Amount]]/tblMoeHistory[[#This Row],[Child Count]],0)</f>
        <v>2244.3850000000002</v>
      </c>
      <c r="L2246">
        <f>IFERROR(tblMoeHistory[[#This Row],[State and Local Total Amount]]/tblMoeHistory[[#This Row],[Child Count]],0)</f>
        <v>9456.4027777777774</v>
      </c>
      <c r="N2246" t="str">
        <f t="shared" si="2"/>
        <v>Did Not Meet</v>
      </c>
      <c r="O2246">
        <v>28562</v>
      </c>
      <c r="P2246">
        <v>1062</v>
      </c>
      <c r="Q2246">
        <f>tblMoeHistory[[#This Row],[Amount of IDEA Part B, Section 611 award]]+tblMoeHistory[[#This Row],[Amount of IDEA Part B, Section 619 award]]</f>
        <v>29624</v>
      </c>
      <c r="U22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6" t="str">
        <f>IF(OR(IFERROR(SEARCH("Met",tblMoeHistory[[#This Row],[State and Local Per Capita Result]]),0)&gt;0,IFERROR(SEARCH("Met",tblMoeHistory[[#This Row],[State and Local Total Result]]),0)&gt;0),"Met","Not Met")</f>
        <v>Met</v>
      </c>
    </row>
    <row r="2247" spans="1:22" x14ac:dyDescent="0.35">
      <c r="A2247" t="s">
        <v>100</v>
      </c>
      <c r="B2247">
        <v>2206</v>
      </c>
      <c r="C2247" t="s">
        <v>1777</v>
      </c>
      <c r="D2247">
        <v>677</v>
      </c>
      <c r="E2247">
        <v>7237056.0799999991</v>
      </c>
      <c r="F2247">
        <v>0</v>
      </c>
      <c r="G2247">
        <f>tblMoeHistory[[#This Row],[LEA State and Local Amount]]+tblMoeHistory[[#This Row],[ESD State and Local Amount]]</f>
        <v>7237056.0799999991</v>
      </c>
      <c r="I2247" t="s">
        <v>241</v>
      </c>
      <c r="J2247" s="44">
        <f>IFERROR(tblMoeHistory[[#This Row],[LEA State and Local Amount]]/tblMoeHistory[[#This Row],[Child Count]],0)</f>
        <v>10689.890812407679</v>
      </c>
      <c r="K2247">
        <f>IFERROR(tblMoeHistory[[#This Row],[ESD State and Local Amount]]/tblMoeHistory[[#This Row],[Child Count]],0)</f>
        <v>0</v>
      </c>
      <c r="L2247">
        <f>IFERROR(tblMoeHistory[[#This Row],[State and Local Total Amount]]/tblMoeHistory[[#This Row],[Child Count]],0)</f>
        <v>10689.890812407679</v>
      </c>
      <c r="N2247" t="str">
        <f t="shared" si="2"/>
        <v>Met</v>
      </c>
      <c r="O2247">
        <v>1120530</v>
      </c>
      <c r="P2247">
        <v>27073</v>
      </c>
      <c r="Q2247">
        <f>tblMoeHistory[[#This Row],[Amount of IDEA Part B, Section 611 award]]+tblMoeHistory[[#This Row],[Amount of IDEA Part B, Section 619 award]]</f>
        <v>1147603</v>
      </c>
      <c r="U22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7" t="str">
        <f>IF(OR(IFERROR(SEARCH("Met",tblMoeHistory[[#This Row],[State and Local Per Capita Result]]),0)&gt;0,IFERROR(SEARCH("Met",tblMoeHistory[[#This Row],[State and Local Total Result]]),0)&gt;0),"Met","Not Met")</f>
        <v>Met</v>
      </c>
    </row>
    <row r="2248" spans="1:22" x14ac:dyDescent="0.35">
      <c r="A2248" t="s">
        <v>101</v>
      </c>
      <c r="B2248">
        <v>2239</v>
      </c>
      <c r="C2248" t="s">
        <v>1777</v>
      </c>
      <c r="D2248">
        <v>2871</v>
      </c>
      <c r="E2248">
        <v>36913977.699999966</v>
      </c>
      <c r="F2248">
        <v>4379732</v>
      </c>
      <c r="G2248">
        <f>tblMoeHistory[[#This Row],[LEA State and Local Amount]]+tblMoeHistory[[#This Row],[ESD State and Local Amount]]</f>
        <v>41293709.699999966</v>
      </c>
      <c r="I2248" t="s">
        <v>242</v>
      </c>
      <c r="J2248" s="44">
        <f>IFERROR(tblMoeHistory[[#This Row],[LEA State and Local Amount]]/tblMoeHistory[[#This Row],[Child Count]],0)</f>
        <v>12857.533159177974</v>
      </c>
      <c r="K2248">
        <f>IFERROR(tblMoeHistory[[#This Row],[ESD State and Local Amount]]/tblMoeHistory[[#This Row],[Child Count]],0)</f>
        <v>1525.5074886799025</v>
      </c>
      <c r="L2248">
        <f>IFERROR(tblMoeHistory[[#This Row],[State and Local Total Amount]]/tblMoeHistory[[#This Row],[Child Count]],0)</f>
        <v>14383.040647857877</v>
      </c>
      <c r="N2248" t="str">
        <f t="shared" si="2"/>
        <v>Met</v>
      </c>
      <c r="O2248">
        <v>3994637</v>
      </c>
      <c r="P2248">
        <v>73467</v>
      </c>
      <c r="Q2248">
        <f>tblMoeHistory[[#This Row],[Amount of IDEA Part B, Section 611 award]]+tblMoeHistory[[#This Row],[Amount of IDEA Part B, Section 619 award]]</f>
        <v>4068104</v>
      </c>
      <c r="U22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8" t="str">
        <f>IF(OR(IFERROR(SEARCH("Met",tblMoeHistory[[#This Row],[State and Local Per Capita Result]]),0)&gt;0,IFERROR(SEARCH("Met",tblMoeHistory[[#This Row],[State and Local Total Result]]),0)&gt;0),"Met","Not Met")</f>
        <v>Met</v>
      </c>
    </row>
    <row r="2249" spans="1:22" x14ac:dyDescent="0.35">
      <c r="A2249" t="s">
        <v>102</v>
      </c>
      <c r="B2249">
        <v>2024</v>
      </c>
      <c r="C2249" t="s">
        <v>1777</v>
      </c>
      <c r="D2249">
        <v>499</v>
      </c>
      <c r="E2249">
        <v>4954275.5100000016</v>
      </c>
      <c r="F2249">
        <v>0</v>
      </c>
      <c r="G2249">
        <f>tblMoeHistory[[#This Row],[LEA State and Local Amount]]+tblMoeHistory[[#This Row],[ESD State and Local Amount]]</f>
        <v>4954275.5100000016</v>
      </c>
      <c r="I2249" t="s">
        <v>241</v>
      </c>
      <c r="J2249" s="44">
        <f>IFERROR(tblMoeHistory[[#This Row],[LEA State and Local Amount]]/tblMoeHistory[[#This Row],[Child Count]],0)</f>
        <v>9928.4078356713453</v>
      </c>
      <c r="K2249">
        <f>IFERROR(tblMoeHistory[[#This Row],[ESD State and Local Amount]]/tblMoeHistory[[#This Row],[Child Count]],0)</f>
        <v>0</v>
      </c>
      <c r="L2249">
        <f>IFERROR(tblMoeHistory[[#This Row],[State and Local Total Amount]]/tblMoeHistory[[#This Row],[Child Count]],0)</f>
        <v>9928.4078356713453</v>
      </c>
      <c r="N2249" t="str">
        <f t="shared" si="2"/>
        <v>Did Not Meet</v>
      </c>
      <c r="O2249">
        <v>839439</v>
      </c>
      <c r="P2249">
        <v>22212</v>
      </c>
      <c r="Q2249">
        <f>tblMoeHistory[[#This Row],[Amount of IDEA Part B, Section 611 award]]+tblMoeHistory[[#This Row],[Amount of IDEA Part B, Section 619 award]]</f>
        <v>861651</v>
      </c>
      <c r="U22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9" t="str">
        <f>IF(OR(IFERROR(SEARCH("Met",tblMoeHistory[[#This Row],[State and Local Per Capita Result]]),0)&gt;0,IFERROR(SEARCH("Met",tblMoeHistory[[#This Row],[State and Local Total Result]]),0)&gt;0),"Met","Not Met")</f>
        <v>Met</v>
      </c>
    </row>
    <row r="2250" spans="1:22" x14ac:dyDescent="0.35">
      <c r="A2250" t="s">
        <v>103</v>
      </c>
      <c r="B2250">
        <v>1895</v>
      </c>
      <c r="C2250" t="s">
        <v>1777</v>
      </c>
      <c r="D2250">
        <v>10</v>
      </c>
      <c r="E2250">
        <v>82006.350000000006</v>
      </c>
      <c r="F2250">
        <v>51900.090000000004</v>
      </c>
      <c r="G2250">
        <f>tblMoeHistory[[#This Row],[LEA State and Local Amount]]+tblMoeHistory[[#This Row],[ESD State and Local Amount]]</f>
        <v>133906.44</v>
      </c>
      <c r="I2250" t="s">
        <v>241</v>
      </c>
      <c r="J2250" s="44">
        <f>IFERROR(tblMoeHistory[[#This Row],[LEA State and Local Amount]]/tblMoeHistory[[#This Row],[Child Count]],0)</f>
        <v>8200.6350000000002</v>
      </c>
      <c r="K2250">
        <f>IFERROR(tblMoeHistory[[#This Row],[ESD State and Local Amount]]/tblMoeHistory[[#This Row],[Child Count]],0)</f>
        <v>5190.009</v>
      </c>
      <c r="L2250">
        <f>IFERROR(tblMoeHistory[[#This Row],[State and Local Total Amount]]/tblMoeHistory[[#This Row],[Child Count]],0)</f>
        <v>13390.644</v>
      </c>
      <c r="N2250" t="str">
        <f t="shared" si="2"/>
        <v>Did Not Meet</v>
      </c>
      <c r="O2250">
        <v>21085</v>
      </c>
      <c r="P2250">
        <v>540</v>
      </c>
      <c r="Q2250">
        <f>tblMoeHistory[[#This Row],[Amount of IDEA Part B, Section 611 award]]+tblMoeHistory[[#This Row],[Amount of IDEA Part B, Section 619 award]]</f>
        <v>21625</v>
      </c>
      <c r="U22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0" t="str">
        <f>IF(OR(IFERROR(SEARCH("Met",tblMoeHistory[[#This Row],[State and Local Per Capita Result]]),0)&gt;0,IFERROR(SEARCH("Met",tblMoeHistory[[#This Row],[State and Local Total Result]]),0)&gt;0),"Met","Not Met")</f>
        <v>Met</v>
      </c>
    </row>
    <row r="2251" spans="1:22" x14ac:dyDescent="0.35">
      <c r="A2251" t="s">
        <v>104</v>
      </c>
      <c r="B2251">
        <v>2215</v>
      </c>
      <c r="C2251" t="s">
        <v>1777</v>
      </c>
      <c r="D2251">
        <v>29</v>
      </c>
      <c r="E2251">
        <v>142881.78</v>
      </c>
      <c r="F2251">
        <v>74622.61</v>
      </c>
      <c r="G2251">
        <f>tblMoeHistory[[#This Row],[LEA State and Local Amount]]+tblMoeHistory[[#This Row],[ESD State and Local Amount]]</f>
        <v>217504.39</v>
      </c>
      <c r="I2251" t="s">
        <v>241</v>
      </c>
      <c r="J2251" s="44">
        <f>IFERROR(tblMoeHistory[[#This Row],[LEA State and Local Amount]]/tblMoeHistory[[#This Row],[Child Count]],0)</f>
        <v>4926.9579310344825</v>
      </c>
      <c r="K2251">
        <f>IFERROR(tblMoeHistory[[#This Row],[ESD State and Local Amount]]/tblMoeHistory[[#This Row],[Child Count]],0)</f>
        <v>2573.193448275862</v>
      </c>
      <c r="L2251">
        <f>IFERROR(tblMoeHistory[[#This Row],[State and Local Total Amount]]/tblMoeHistory[[#This Row],[Child Count]],0)</f>
        <v>7500.151379310345</v>
      </c>
      <c r="N2251" t="str">
        <f t="shared" si="2"/>
        <v>Met</v>
      </c>
      <c r="O2251">
        <v>79316</v>
      </c>
      <c r="P2251">
        <v>632</v>
      </c>
      <c r="Q2251">
        <f>tblMoeHistory[[#This Row],[Amount of IDEA Part B, Section 611 award]]+tblMoeHistory[[#This Row],[Amount of IDEA Part B, Section 619 award]]</f>
        <v>79948</v>
      </c>
      <c r="U22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1" t="str">
        <f>IF(OR(IFERROR(SEARCH("Met",tblMoeHistory[[#This Row],[State and Local Per Capita Result]]),0)&gt;0,IFERROR(SEARCH("Met",tblMoeHistory[[#This Row],[State and Local Total Result]]),0)&gt;0),"Met","Not Met")</f>
        <v>Met</v>
      </c>
    </row>
    <row r="2252" spans="1:22" x14ac:dyDescent="0.35">
      <c r="A2252" t="s">
        <v>105</v>
      </c>
      <c r="B2252">
        <v>3997</v>
      </c>
      <c r="C2252" t="s">
        <v>1777</v>
      </c>
      <c r="D2252">
        <v>22</v>
      </c>
      <c r="E2252">
        <v>203695.97000000003</v>
      </c>
      <c r="F2252">
        <v>54158.95</v>
      </c>
      <c r="G2252">
        <f>tblMoeHistory[[#This Row],[LEA State and Local Amount]]+tblMoeHistory[[#This Row],[ESD State and Local Amount]]</f>
        <v>257854.92000000004</v>
      </c>
      <c r="I2252" t="s">
        <v>241</v>
      </c>
      <c r="J2252" s="44">
        <f>IFERROR(tblMoeHistory[[#This Row],[LEA State and Local Amount]]/tblMoeHistory[[#This Row],[Child Count]],0)</f>
        <v>9258.9077272727282</v>
      </c>
      <c r="K2252">
        <f>IFERROR(tblMoeHistory[[#This Row],[ESD State and Local Amount]]/tblMoeHistory[[#This Row],[Child Count]],0)</f>
        <v>2461.7704545454544</v>
      </c>
      <c r="L2252">
        <f>IFERROR(tblMoeHistory[[#This Row],[State and Local Total Amount]]/tblMoeHistory[[#This Row],[Child Count]],0)</f>
        <v>11720.678181818184</v>
      </c>
      <c r="N2252" t="str">
        <f t="shared" si="2"/>
        <v>Met</v>
      </c>
      <c r="O2252">
        <v>32924</v>
      </c>
      <c r="P2252">
        <v>576</v>
      </c>
      <c r="Q2252">
        <f>tblMoeHistory[[#This Row],[Amount of IDEA Part B, Section 611 award]]+tblMoeHistory[[#This Row],[Amount of IDEA Part B, Section 619 award]]</f>
        <v>33500</v>
      </c>
      <c r="U22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2" t="str">
        <f>IF(OR(IFERROR(SEARCH("Met",tblMoeHistory[[#This Row],[State and Local Per Capita Result]]),0)&gt;0,IFERROR(SEARCH("Met",tblMoeHistory[[#This Row],[State and Local Total Result]]),0)&gt;0),"Met","Not Met")</f>
        <v>Met</v>
      </c>
    </row>
    <row r="2253" spans="1:22" x14ac:dyDescent="0.35">
      <c r="A2253" t="s">
        <v>106</v>
      </c>
      <c r="B2253">
        <v>2053</v>
      </c>
      <c r="C2253" t="s">
        <v>1777</v>
      </c>
      <c r="D2253">
        <v>499</v>
      </c>
      <c r="E2253">
        <v>4946689.6099999994</v>
      </c>
      <c r="F2253">
        <v>1000126.17</v>
      </c>
      <c r="G2253">
        <f>tblMoeHistory[[#This Row],[LEA State and Local Amount]]+tblMoeHistory[[#This Row],[ESD State and Local Amount]]</f>
        <v>5946815.7799999993</v>
      </c>
      <c r="I2253" t="s">
        <v>241</v>
      </c>
      <c r="J2253" s="44">
        <f>IFERROR(tblMoeHistory[[#This Row],[LEA State and Local Amount]]/tblMoeHistory[[#This Row],[Child Count]],0)</f>
        <v>9913.2056312625245</v>
      </c>
      <c r="K2253">
        <f>IFERROR(tblMoeHistory[[#This Row],[ESD State and Local Amount]]/tblMoeHistory[[#This Row],[Child Count]],0)</f>
        <v>2004.2608617234471</v>
      </c>
      <c r="L2253">
        <f>IFERROR(tblMoeHistory[[#This Row],[State and Local Total Amount]]/tblMoeHistory[[#This Row],[Child Count]],0)</f>
        <v>11917.46649298597</v>
      </c>
      <c r="N2253" t="str">
        <f t="shared" si="2"/>
        <v>Did Not Meet</v>
      </c>
      <c r="O2253">
        <v>684629</v>
      </c>
      <c r="P2253">
        <v>39106</v>
      </c>
      <c r="Q2253">
        <f>tblMoeHistory[[#This Row],[Amount of IDEA Part B, Section 611 award]]+tblMoeHistory[[#This Row],[Amount of IDEA Part B, Section 619 award]]</f>
        <v>723735</v>
      </c>
      <c r="U22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3" t="str">
        <f>IF(OR(IFERROR(SEARCH("Met",tblMoeHistory[[#This Row],[State and Local Per Capita Result]]),0)&gt;0,IFERROR(SEARCH("Met",tblMoeHistory[[#This Row],[State and Local Total Result]]),0)&gt;0),"Met","Not Met")</f>
        <v>Met</v>
      </c>
    </row>
    <row r="2254" spans="1:22" x14ac:dyDescent="0.35">
      <c r="A2254" t="s">
        <v>107</v>
      </c>
      <c r="B2254">
        <v>2140</v>
      </c>
      <c r="C2254" t="s">
        <v>1777</v>
      </c>
      <c r="D2254">
        <v>108</v>
      </c>
      <c r="E2254">
        <v>1263781.5699999998</v>
      </c>
      <c r="F2254">
        <v>216521.44</v>
      </c>
      <c r="G2254">
        <f>tblMoeHistory[[#This Row],[LEA State and Local Amount]]+tblMoeHistory[[#This Row],[ESD State and Local Amount]]</f>
        <v>1480303.0099999998</v>
      </c>
      <c r="I2254" t="s">
        <v>241</v>
      </c>
      <c r="J2254" s="44">
        <f>IFERROR(tblMoeHistory[[#This Row],[LEA State and Local Amount]]/tblMoeHistory[[#This Row],[Child Count]],0)</f>
        <v>11701.681203703702</v>
      </c>
      <c r="K2254">
        <f>IFERROR(tblMoeHistory[[#This Row],[ESD State and Local Amount]]/tblMoeHistory[[#This Row],[Child Count]],0)</f>
        <v>2004.8281481481481</v>
      </c>
      <c r="L2254">
        <f>IFERROR(tblMoeHistory[[#This Row],[State and Local Total Amount]]/tblMoeHistory[[#This Row],[Child Count]],0)</f>
        <v>13706.50935185185</v>
      </c>
      <c r="N2254" t="str">
        <f t="shared" si="2"/>
        <v>Met</v>
      </c>
      <c r="O2254">
        <v>178128</v>
      </c>
      <c r="P2254">
        <v>2855</v>
      </c>
      <c r="Q2254">
        <f>tblMoeHistory[[#This Row],[Amount of IDEA Part B, Section 611 award]]+tblMoeHistory[[#This Row],[Amount of IDEA Part B, Section 619 award]]</f>
        <v>180983</v>
      </c>
      <c r="U22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4" t="str">
        <f>IF(OR(IFERROR(SEARCH("Met",tblMoeHistory[[#This Row],[State and Local Per Capita Result]]),0)&gt;0,IFERROR(SEARCH("Met",tblMoeHistory[[#This Row],[State and Local Total Result]]),0)&gt;0),"Met","Not Met")</f>
        <v>Met</v>
      </c>
    </row>
    <row r="2255" spans="1:22" x14ac:dyDescent="0.35">
      <c r="A2255" t="s">
        <v>108</v>
      </c>
      <c r="B2255">
        <v>1934</v>
      </c>
      <c r="C2255" t="s">
        <v>1777</v>
      </c>
      <c r="D2255">
        <v>25</v>
      </c>
      <c r="E2255">
        <v>368678.34000000008</v>
      </c>
      <c r="F2255">
        <v>69643</v>
      </c>
      <c r="G2255">
        <f>tblMoeHistory[[#This Row],[LEA State and Local Amount]]+tblMoeHistory[[#This Row],[ESD State and Local Amount]]</f>
        <v>438321.34000000008</v>
      </c>
      <c r="I2255" t="s">
        <v>241</v>
      </c>
      <c r="J2255" s="44">
        <f>IFERROR(tblMoeHistory[[#This Row],[LEA State and Local Amount]]/tblMoeHistory[[#This Row],[Child Count]],0)</f>
        <v>14747.133600000003</v>
      </c>
      <c r="K2255">
        <f>IFERROR(tblMoeHistory[[#This Row],[ESD State and Local Amount]]/tblMoeHistory[[#This Row],[Child Count]],0)</f>
        <v>2785.72</v>
      </c>
      <c r="L2255">
        <f>IFERROR(tblMoeHistory[[#This Row],[State and Local Total Amount]]/tblMoeHistory[[#This Row],[Child Count]],0)</f>
        <v>17532.853600000002</v>
      </c>
      <c r="N2255" t="str">
        <f t="shared" si="2"/>
        <v>Did Not Meet</v>
      </c>
      <c r="O2255">
        <v>33152</v>
      </c>
      <c r="P2255">
        <v>1070</v>
      </c>
      <c r="Q2255">
        <f>tblMoeHistory[[#This Row],[Amount of IDEA Part B, Section 611 award]]+tblMoeHistory[[#This Row],[Amount of IDEA Part B, Section 619 award]]</f>
        <v>34222</v>
      </c>
      <c r="U22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5" t="str">
        <f>IF(OR(IFERROR(SEARCH("Met",tblMoeHistory[[#This Row],[State and Local Per Capita Result]]),0)&gt;0,IFERROR(SEARCH("Met",tblMoeHistory[[#This Row],[State and Local Total Result]]),0)&gt;0),"Met","Not Met")</f>
        <v>Met</v>
      </c>
    </row>
    <row r="2256" spans="1:22" x14ac:dyDescent="0.35">
      <c r="A2256" t="s">
        <v>109</v>
      </c>
      <c r="B2256">
        <v>2008</v>
      </c>
      <c r="C2256" t="s">
        <v>1777</v>
      </c>
      <c r="D2256">
        <v>83</v>
      </c>
      <c r="E2256">
        <v>990441.18999999971</v>
      </c>
      <c r="F2256">
        <v>214826.5</v>
      </c>
      <c r="G2256">
        <f>tblMoeHistory[[#This Row],[LEA State and Local Amount]]+tblMoeHistory[[#This Row],[ESD State and Local Amount]]</f>
        <v>1205267.6899999997</v>
      </c>
      <c r="I2256" t="s">
        <v>241</v>
      </c>
      <c r="J2256" s="44">
        <f>IFERROR(tblMoeHistory[[#This Row],[LEA State and Local Amount]]/tblMoeHistory[[#This Row],[Child Count]],0)</f>
        <v>11933.026385542165</v>
      </c>
      <c r="K2256">
        <f>IFERROR(tblMoeHistory[[#This Row],[ESD State and Local Amount]]/tblMoeHistory[[#This Row],[Child Count]],0)</f>
        <v>2588.2710843373493</v>
      </c>
      <c r="L2256">
        <f>IFERROR(tblMoeHistory[[#This Row],[State and Local Total Amount]]/tblMoeHistory[[#This Row],[Child Count]],0)</f>
        <v>14521.297469879515</v>
      </c>
      <c r="N2256" t="str">
        <f t="shared" si="2"/>
        <v>Met</v>
      </c>
      <c r="O2256">
        <v>179606</v>
      </c>
      <c r="P2256">
        <v>5690</v>
      </c>
      <c r="Q2256">
        <f>tblMoeHistory[[#This Row],[Amount of IDEA Part B, Section 611 award]]+tblMoeHistory[[#This Row],[Amount of IDEA Part B, Section 619 award]]</f>
        <v>185296</v>
      </c>
      <c r="U22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6" t="str">
        <f>IF(OR(IFERROR(SEARCH("Met",tblMoeHistory[[#This Row],[State and Local Per Capita Result]]),0)&gt;0,IFERROR(SEARCH("Met",tblMoeHistory[[#This Row],[State and Local Total Result]]),0)&gt;0),"Met","Not Met")</f>
        <v>Met</v>
      </c>
    </row>
    <row r="2257" spans="1:22" x14ac:dyDescent="0.35">
      <c r="A2257" t="s">
        <v>110</v>
      </c>
      <c r="B2257">
        <v>2107</v>
      </c>
      <c r="C2257" t="s">
        <v>1777</v>
      </c>
      <c r="D2257">
        <v>4</v>
      </c>
      <c r="E2257">
        <v>39772.729999999996</v>
      </c>
      <c r="F2257">
        <v>76608.13</v>
      </c>
      <c r="G2257">
        <f>tblMoeHistory[[#This Row],[LEA State and Local Amount]]+tblMoeHistory[[#This Row],[ESD State and Local Amount]]</f>
        <v>116380.86</v>
      </c>
      <c r="I2257" t="s">
        <v>241</v>
      </c>
      <c r="J2257" s="44">
        <f>IFERROR(tblMoeHistory[[#This Row],[LEA State and Local Amount]]/tblMoeHistory[[#This Row],[Child Count]],0)</f>
        <v>9943.182499999999</v>
      </c>
      <c r="K2257">
        <f>IFERROR(tblMoeHistory[[#This Row],[ESD State and Local Amount]]/tblMoeHistory[[#This Row],[Child Count]],0)</f>
        <v>19152.032500000001</v>
      </c>
      <c r="L2257">
        <f>IFERROR(tblMoeHistory[[#This Row],[State and Local Total Amount]]/tblMoeHistory[[#This Row],[Child Count]],0)</f>
        <v>29095.215</v>
      </c>
      <c r="N2257" t="str">
        <f t="shared" si="2"/>
        <v>Met</v>
      </c>
      <c r="O2257">
        <v>17808</v>
      </c>
      <c r="P2257">
        <v>519</v>
      </c>
      <c r="Q2257">
        <f>tblMoeHistory[[#This Row],[Amount of IDEA Part B, Section 611 award]]+tblMoeHistory[[#This Row],[Amount of IDEA Part B, Section 619 award]]</f>
        <v>18327</v>
      </c>
      <c r="U22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7" t="str">
        <f>IF(OR(IFERROR(SEARCH("Met",tblMoeHistory[[#This Row],[State and Local Per Capita Result]]),0)&gt;0,IFERROR(SEARCH("Met",tblMoeHistory[[#This Row],[State and Local Total Result]]),0)&gt;0),"Met","Not Met")</f>
        <v>Met</v>
      </c>
    </row>
    <row r="2258" spans="1:22" x14ac:dyDescent="0.35">
      <c r="A2258" t="s">
        <v>111</v>
      </c>
      <c r="B2258">
        <v>2219</v>
      </c>
      <c r="C2258" t="s">
        <v>1777</v>
      </c>
      <c r="D2258">
        <v>35</v>
      </c>
      <c r="E2258">
        <v>104585.54000000001</v>
      </c>
      <c r="F2258">
        <v>199142.52</v>
      </c>
      <c r="G2258">
        <f>tblMoeHistory[[#This Row],[LEA State and Local Amount]]+tblMoeHistory[[#This Row],[ESD State and Local Amount]]</f>
        <v>303728.06</v>
      </c>
      <c r="I2258" t="s">
        <v>241</v>
      </c>
      <c r="J2258" s="44">
        <f>IFERROR(tblMoeHistory[[#This Row],[LEA State and Local Amount]]/tblMoeHistory[[#This Row],[Child Count]],0)</f>
        <v>2988.1582857142857</v>
      </c>
      <c r="K2258">
        <f>IFERROR(tblMoeHistory[[#This Row],[ESD State and Local Amount]]/tblMoeHistory[[#This Row],[Child Count]],0)</f>
        <v>5689.7862857142854</v>
      </c>
      <c r="L2258">
        <f>IFERROR(tblMoeHistory[[#This Row],[State and Local Total Amount]]/tblMoeHistory[[#This Row],[Child Count]],0)</f>
        <v>8677.9445714285721</v>
      </c>
      <c r="N2258" t="str">
        <f t="shared" si="2"/>
        <v>Did Not Meet</v>
      </c>
      <c r="O2258">
        <v>69882</v>
      </c>
      <c r="P2258">
        <v>2562</v>
      </c>
      <c r="Q2258">
        <f>tblMoeHistory[[#This Row],[Amount of IDEA Part B, Section 611 award]]+tblMoeHistory[[#This Row],[Amount of IDEA Part B, Section 619 award]]</f>
        <v>72444</v>
      </c>
      <c r="U22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8" t="str">
        <f>IF(OR(IFERROR(SEARCH("Met",tblMoeHistory[[#This Row],[State and Local Per Capita Result]]),0)&gt;0,IFERROR(SEARCH("Met",tblMoeHistory[[#This Row],[State and Local Total Result]]),0)&gt;0),"Met","Not Met")</f>
        <v>Met</v>
      </c>
    </row>
    <row r="2259" spans="1:22" x14ac:dyDescent="0.35">
      <c r="A2259" t="s">
        <v>112</v>
      </c>
      <c r="B2259">
        <v>2091</v>
      </c>
      <c r="C2259" t="s">
        <v>1777</v>
      </c>
      <c r="D2259">
        <v>246</v>
      </c>
      <c r="E2259">
        <v>2015267.5699999998</v>
      </c>
      <c r="F2259">
        <v>645153</v>
      </c>
      <c r="G2259">
        <f>tblMoeHistory[[#This Row],[LEA State and Local Amount]]+tblMoeHistory[[#This Row],[ESD State and Local Amount]]</f>
        <v>2660420.5699999998</v>
      </c>
      <c r="I2259" t="s">
        <v>241</v>
      </c>
      <c r="J2259" s="44">
        <f>IFERROR(tblMoeHistory[[#This Row],[LEA State and Local Amount]]/tblMoeHistory[[#This Row],[Child Count]],0)</f>
        <v>8192.1445934959338</v>
      </c>
      <c r="K2259">
        <f>IFERROR(tblMoeHistory[[#This Row],[ESD State and Local Amount]]/tblMoeHistory[[#This Row],[Child Count]],0)</f>
        <v>2622.5731707317073</v>
      </c>
      <c r="L2259">
        <f>IFERROR(tblMoeHistory[[#This Row],[State and Local Total Amount]]/tblMoeHistory[[#This Row],[Child Count]],0)</f>
        <v>10814.717764227642</v>
      </c>
      <c r="N2259" t="str">
        <f t="shared" si="2"/>
        <v>Met</v>
      </c>
      <c r="O2259">
        <v>408789</v>
      </c>
      <c r="P2259">
        <v>14525</v>
      </c>
      <c r="Q2259">
        <f>tblMoeHistory[[#This Row],[Amount of IDEA Part B, Section 611 award]]+tblMoeHistory[[#This Row],[Amount of IDEA Part B, Section 619 award]]</f>
        <v>423314</v>
      </c>
      <c r="U22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9" t="str">
        <f>IF(OR(IFERROR(SEARCH("Met",tblMoeHistory[[#This Row],[State and Local Per Capita Result]]),0)&gt;0,IFERROR(SEARCH("Met",tblMoeHistory[[#This Row],[State and Local Total Result]]),0)&gt;0),"Met","Not Met")</f>
        <v>Met</v>
      </c>
    </row>
    <row r="2260" spans="1:22" x14ac:dyDescent="0.35">
      <c r="A2260" t="s">
        <v>113</v>
      </c>
      <c r="B2260">
        <v>2109</v>
      </c>
      <c r="C2260" t="s">
        <v>1777</v>
      </c>
      <c r="D2260">
        <v>0</v>
      </c>
      <c r="E2260">
        <v>0</v>
      </c>
      <c r="F2260">
        <v>11002.85</v>
      </c>
      <c r="G2260">
        <f>tblMoeHistory[[#This Row],[LEA State and Local Amount]]+tblMoeHistory[[#This Row],[ESD State and Local Amount]]</f>
        <v>11002.85</v>
      </c>
      <c r="I2260" t="s">
        <v>241</v>
      </c>
      <c r="J2260" s="44">
        <f>IFERROR(tblMoeHistory[[#This Row],[LEA State and Local Amount]]/tblMoeHistory[[#This Row],[Child Count]],0)</f>
        <v>0</v>
      </c>
      <c r="K2260">
        <f>IFERROR(tblMoeHistory[[#This Row],[ESD State and Local Amount]]/tblMoeHistory[[#This Row],[Child Count]],0)</f>
        <v>0</v>
      </c>
      <c r="L2260">
        <f>IFERROR(tblMoeHistory[[#This Row],[State and Local Total Amount]]/tblMoeHistory[[#This Row],[Child Count]],0)</f>
        <v>0</v>
      </c>
      <c r="N2260" t="str">
        <f t="shared" si="2"/>
        <v>Did Not Meet</v>
      </c>
      <c r="O2260">
        <v>1211</v>
      </c>
      <c r="P2260">
        <v>1</v>
      </c>
      <c r="Q2260">
        <f>tblMoeHistory[[#This Row],[Amount of IDEA Part B, Section 611 award]]+tblMoeHistory[[#This Row],[Amount of IDEA Part B, Section 619 award]]</f>
        <v>1212</v>
      </c>
      <c r="U22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0" t="str">
        <f>IF(OR(IFERROR(SEARCH("Met",tblMoeHistory[[#This Row],[State and Local Per Capita Result]]),0)&gt;0,IFERROR(SEARCH("Met",tblMoeHistory[[#This Row],[State and Local Total Result]]),0)&gt;0),"Met","Not Met")</f>
        <v>Met</v>
      </c>
    </row>
    <row r="2261" spans="1:22" x14ac:dyDescent="0.35">
      <c r="A2261" t="s">
        <v>114</v>
      </c>
      <c r="B2261">
        <v>2057</v>
      </c>
      <c r="C2261" t="s">
        <v>1777</v>
      </c>
      <c r="D2261">
        <v>1071</v>
      </c>
      <c r="E2261">
        <v>8516572.8100000042</v>
      </c>
      <c r="F2261">
        <v>424592.41</v>
      </c>
      <c r="G2261">
        <f>tblMoeHistory[[#This Row],[LEA State and Local Amount]]+tblMoeHistory[[#This Row],[ESD State and Local Amount]]</f>
        <v>8941165.2200000044</v>
      </c>
      <c r="I2261" t="s">
        <v>241</v>
      </c>
      <c r="J2261" s="44">
        <f>IFERROR(tblMoeHistory[[#This Row],[LEA State and Local Amount]]/tblMoeHistory[[#This Row],[Child Count]],0)</f>
        <v>7951.9820821662033</v>
      </c>
      <c r="K2261">
        <f>IFERROR(tblMoeHistory[[#This Row],[ESD State and Local Amount]]/tblMoeHistory[[#This Row],[Child Count]],0)</f>
        <v>396.444827264239</v>
      </c>
      <c r="L2261">
        <f>IFERROR(tblMoeHistory[[#This Row],[State and Local Total Amount]]/tblMoeHistory[[#This Row],[Child Count]],0)</f>
        <v>8348.4269094304436</v>
      </c>
      <c r="N2261" t="str">
        <f t="shared" si="2"/>
        <v>Did Not Meet</v>
      </c>
      <c r="O2261">
        <v>1675397</v>
      </c>
      <c r="P2261">
        <v>36973</v>
      </c>
      <c r="Q2261">
        <f>tblMoeHistory[[#This Row],[Amount of IDEA Part B, Section 611 award]]+tblMoeHistory[[#This Row],[Amount of IDEA Part B, Section 619 award]]</f>
        <v>1712370</v>
      </c>
      <c r="U22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1" t="str">
        <f>IF(OR(IFERROR(SEARCH("Met",tblMoeHistory[[#This Row],[State and Local Per Capita Result]]),0)&gt;0,IFERROR(SEARCH("Met",tblMoeHistory[[#This Row],[State and Local Total Result]]),0)&gt;0),"Met","Not Met")</f>
        <v>Met</v>
      </c>
    </row>
    <row r="2262" spans="1:22" x14ac:dyDescent="0.35">
      <c r="A2262" t="s">
        <v>115</v>
      </c>
      <c r="B2262">
        <v>2056</v>
      </c>
      <c r="C2262" t="s">
        <v>1777</v>
      </c>
      <c r="D2262">
        <v>427</v>
      </c>
      <c r="E2262">
        <v>3575910.8000000007</v>
      </c>
      <c r="F2262">
        <v>244829.65000000002</v>
      </c>
      <c r="G2262">
        <f>tblMoeHistory[[#This Row],[LEA State and Local Amount]]+tblMoeHistory[[#This Row],[ESD State and Local Amount]]</f>
        <v>3820740.4500000007</v>
      </c>
      <c r="I2262" t="s">
        <v>241</v>
      </c>
      <c r="J2262" s="44">
        <f>IFERROR(tblMoeHistory[[#This Row],[LEA State and Local Amount]]/tblMoeHistory[[#This Row],[Child Count]],0)</f>
        <v>8374.4983606557398</v>
      </c>
      <c r="K2262">
        <f>IFERROR(tblMoeHistory[[#This Row],[ESD State and Local Amount]]/tblMoeHistory[[#This Row],[Child Count]],0)</f>
        <v>573.37154566744732</v>
      </c>
      <c r="L2262">
        <f>IFERROR(tblMoeHistory[[#This Row],[State and Local Total Amount]]/tblMoeHistory[[#This Row],[Child Count]],0)</f>
        <v>8947.869906323187</v>
      </c>
      <c r="N2262" t="str">
        <f t="shared" si="2"/>
        <v>Met</v>
      </c>
      <c r="O2262">
        <v>864447</v>
      </c>
      <c r="P2262">
        <v>25734</v>
      </c>
      <c r="Q2262">
        <f>tblMoeHistory[[#This Row],[Amount of IDEA Part B, Section 611 award]]+tblMoeHistory[[#This Row],[Amount of IDEA Part B, Section 619 award]]</f>
        <v>890181</v>
      </c>
      <c r="U22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2" t="str">
        <f>IF(OR(IFERROR(SEARCH("Met",tblMoeHistory[[#This Row],[State and Local Per Capita Result]]),0)&gt;0,IFERROR(SEARCH("Met",tblMoeHistory[[#This Row],[State and Local Total Result]]),0)&gt;0),"Met","Not Met")</f>
        <v>Met</v>
      </c>
    </row>
    <row r="2263" spans="1:22" x14ac:dyDescent="0.35">
      <c r="A2263" t="s">
        <v>116</v>
      </c>
      <c r="B2263">
        <v>2262</v>
      </c>
      <c r="C2263" t="s">
        <v>1777</v>
      </c>
      <c r="D2263">
        <v>101</v>
      </c>
      <c r="E2263">
        <v>1043011.9900000002</v>
      </c>
      <c r="F2263">
        <v>58658</v>
      </c>
      <c r="G2263">
        <f>tblMoeHistory[[#This Row],[LEA State and Local Amount]]+tblMoeHistory[[#This Row],[ESD State and Local Amount]]</f>
        <v>1101669.9900000002</v>
      </c>
      <c r="I2263" t="s">
        <v>241</v>
      </c>
      <c r="J2263" s="44">
        <f>IFERROR(tblMoeHistory[[#This Row],[LEA State and Local Amount]]/tblMoeHistory[[#This Row],[Child Count]],0)</f>
        <v>10326.851386138616</v>
      </c>
      <c r="K2263">
        <f>IFERROR(tblMoeHistory[[#This Row],[ESD State and Local Amount]]/tblMoeHistory[[#This Row],[Child Count]],0)</f>
        <v>580.77227722772273</v>
      </c>
      <c r="L2263">
        <f>IFERROR(tblMoeHistory[[#This Row],[State and Local Total Amount]]/tblMoeHistory[[#This Row],[Child Count]],0)</f>
        <v>10907.623663366339</v>
      </c>
      <c r="N2263" t="str">
        <f t="shared" si="2"/>
        <v>Met</v>
      </c>
      <c r="O2263">
        <v>101216</v>
      </c>
      <c r="P2263">
        <v>3657</v>
      </c>
      <c r="Q2263">
        <f>tblMoeHistory[[#This Row],[Amount of IDEA Part B, Section 611 award]]+tblMoeHistory[[#This Row],[Amount of IDEA Part B, Section 619 award]]</f>
        <v>104873</v>
      </c>
      <c r="U22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3" t="str">
        <f>IF(OR(IFERROR(SEARCH("Met",tblMoeHistory[[#This Row],[State and Local Per Capita Result]]),0)&gt;0,IFERROR(SEARCH("Met",tblMoeHistory[[#This Row],[State and Local Total Result]]),0)&gt;0),"Met","Not Met")</f>
        <v>Met</v>
      </c>
    </row>
    <row r="2264" spans="1:22" x14ac:dyDescent="0.35">
      <c r="A2264" t="s">
        <v>117</v>
      </c>
      <c r="B2264">
        <v>2212</v>
      </c>
      <c r="C2264" t="s">
        <v>1777</v>
      </c>
      <c r="D2264">
        <v>373</v>
      </c>
      <c r="E2264">
        <v>3459589.85</v>
      </c>
      <c r="F2264">
        <v>734880.44000000006</v>
      </c>
      <c r="G2264">
        <f>tblMoeHistory[[#This Row],[LEA State and Local Amount]]+tblMoeHistory[[#This Row],[ESD State and Local Amount]]</f>
        <v>4194470.29</v>
      </c>
      <c r="I2264" t="s">
        <v>241</v>
      </c>
      <c r="J2264" s="44">
        <f>IFERROR(tblMoeHistory[[#This Row],[LEA State and Local Amount]]/tblMoeHistory[[#This Row],[Child Count]],0)</f>
        <v>9275.0398123324394</v>
      </c>
      <c r="K2264">
        <f>IFERROR(tblMoeHistory[[#This Row],[ESD State and Local Amount]]/tblMoeHistory[[#This Row],[Child Count]],0)</f>
        <v>1970.1888471849868</v>
      </c>
      <c r="L2264">
        <f>IFERROR(tblMoeHistory[[#This Row],[State and Local Total Amount]]/tblMoeHistory[[#This Row],[Child Count]],0)</f>
        <v>11245.228659517426</v>
      </c>
      <c r="N2264" t="str">
        <f t="shared" si="2"/>
        <v>Met</v>
      </c>
      <c r="O2264">
        <v>603843</v>
      </c>
      <c r="P2264">
        <v>14621</v>
      </c>
      <c r="Q2264">
        <f>tblMoeHistory[[#This Row],[Amount of IDEA Part B, Section 611 award]]+tblMoeHistory[[#This Row],[Amount of IDEA Part B, Section 619 award]]</f>
        <v>618464</v>
      </c>
      <c r="U22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4" t="str">
        <f>IF(OR(IFERROR(SEARCH("Met",tblMoeHistory[[#This Row],[State and Local Per Capita Result]]),0)&gt;0,IFERROR(SEARCH("Met",tblMoeHistory[[#This Row],[State and Local Total Result]]),0)&gt;0),"Met","Not Met")</f>
        <v>Met</v>
      </c>
    </row>
    <row r="2265" spans="1:22" x14ac:dyDescent="0.35">
      <c r="A2265" t="s">
        <v>118</v>
      </c>
      <c r="B2265">
        <v>2059</v>
      </c>
      <c r="C2265" t="s">
        <v>1777</v>
      </c>
      <c r="D2265">
        <v>106</v>
      </c>
      <c r="E2265">
        <v>774504.05</v>
      </c>
      <c r="F2265">
        <v>313545.45999999996</v>
      </c>
      <c r="G2265">
        <f>tblMoeHistory[[#This Row],[LEA State and Local Amount]]+tblMoeHistory[[#This Row],[ESD State and Local Amount]]</f>
        <v>1088049.51</v>
      </c>
      <c r="I2265" t="s">
        <v>241</v>
      </c>
      <c r="J2265" s="44">
        <f>IFERROR(tblMoeHistory[[#This Row],[LEA State and Local Amount]]/tblMoeHistory[[#This Row],[Child Count]],0)</f>
        <v>7306.6419811320757</v>
      </c>
      <c r="K2265">
        <f>IFERROR(tblMoeHistory[[#This Row],[ESD State and Local Amount]]/tblMoeHistory[[#This Row],[Child Count]],0)</f>
        <v>2957.9760377358489</v>
      </c>
      <c r="L2265">
        <f>IFERROR(tblMoeHistory[[#This Row],[State and Local Total Amount]]/tblMoeHistory[[#This Row],[Child Count]],0)</f>
        <v>10264.618018867925</v>
      </c>
      <c r="N2265" t="str">
        <f t="shared" si="2"/>
        <v>Did Not Meet</v>
      </c>
      <c r="O2265">
        <v>175814</v>
      </c>
      <c r="P2265">
        <v>6282</v>
      </c>
      <c r="Q2265">
        <f>tblMoeHistory[[#This Row],[Amount of IDEA Part B, Section 611 award]]+tblMoeHistory[[#This Row],[Amount of IDEA Part B, Section 619 award]]</f>
        <v>182096</v>
      </c>
      <c r="U22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5" t="str">
        <f>IF(OR(IFERROR(SEARCH("Met",tblMoeHistory[[#This Row],[State and Local Per Capita Result]]),0)&gt;0,IFERROR(SEARCH("Met",tblMoeHistory[[#This Row],[State and Local Total Result]]),0)&gt;0),"Met","Not Met")</f>
        <v>Met</v>
      </c>
    </row>
    <row r="2266" spans="1:22" x14ac:dyDescent="0.35">
      <c r="A2266" t="s">
        <v>119</v>
      </c>
      <c r="B2266">
        <v>1923</v>
      </c>
      <c r="C2266" t="s">
        <v>1777</v>
      </c>
      <c r="D2266">
        <v>722</v>
      </c>
      <c r="E2266">
        <v>16226602.989999998</v>
      </c>
      <c r="F2266">
        <v>265837</v>
      </c>
      <c r="G2266">
        <f>tblMoeHistory[[#This Row],[LEA State and Local Amount]]+tblMoeHistory[[#This Row],[ESD State and Local Amount]]</f>
        <v>16492439.989999998</v>
      </c>
      <c r="I2266" t="s">
        <v>241</v>
      </c>
      <c r="J2266" s="44">
        <f>IFERROR(tblMoeHistory[[#This Row],[LEA State and Local Amount]]/tblMoeHistory[[#This Row],[Child Count]],0)</f>
        <v>22474.519376731299</v>
      </c>
      <c r="K2266">
        <f>IFERROR(tblMoeHistory[[#This Row],[ESD State and Local Amount]]/tblMoeHistory[[#This Row],[Child Count]],0)</f>
        <v>368.19529085872574</v>
      </c>
      <c r="L2266">
        <f>IFERROR(tblMoeHistory[[#This Row],[State and Local Total Amount]]/tblMoeHistory[[#This Row],[Child Count]],0)</f>
        <v>22842.714667590026</v>
      </c>
      <c r="N2266" t="str">
        <f t="shared" si="2"/>
        <v>Met</v>
      </c>
      <c r="O2266">
        <v>1514828</v>
      </c>
      <c r="P2266">
        <v>19200</v>
      </c>
      <c r="Q2266">
        <f>tblMoeHistory[[#This Row],[Amount of IDEA Part B, Section 611 award]]+tblMoeHistory[[#This Row],[Amount of IDEA Part B, Section 619 award]]</f>
        <v>1534028</v>
      </c>
      <c r="U22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6" t="str">
        <f>IF(OR(IFERROR(SEARCH("Met",tblMoeHistory[[#This Row],[State and Local Per Capita Result]]),0)&gt;0,IFERROR(SEARCH("Met",tblMoeHistory[[#This Row],[State and Local Total Result]]),0)&gt;0),"Met","Not Met")</f>
        <v>Met</v>
      </c>
    </row>
    <row r="2267" spans="1:22" x14ac:dyDescent="0.35">
      <c r="A2267" t="s">
        <v>120</v>
      </c>
      <c r="B2267">
        <v>2101</v>
      </c>
      <c r="C2267" t="s">
        <v>1777</v>
      </c>
      <c r="D2267">
        <v>650</v>
      </c>
      <c r="E2267">
        <v>6506926.0199999968</v>
      </c>
      <c r="F2267">
        <v>789485</v>
      </c>
      <c r="G2267">
        <f>tblMoeHistory[[#This Row],[LEA State and Local Amount]]+tblMoeHistory[[#This Row],[ESD State and Local Amount]]</f>
        <v>7296411.0199999968</v>
      </c>
      <c r="I2267" t="s">
        <v>241</v>
      </c>
      <c r="J2267" s="44">
        <f>IFERROR(tblMoeHistory[[#This Row],[LEA State and Local Amount]]/tblMoeHistory[[#This Row],[Child Count]],0)</f>
        <v>10010.65541538461</v>
      </c>
      <c r="K2267">
        <f>IFERROR(tblMoeHistory[[#This Row],[ESD State and Local Amount]]/tblMoeHistory[[#This Row],[Child Count]],0)</f>
        <v>1214.5923076923077</v>
      </c>
      <c r="L2267">
        <f>IFERROR(tblMoeHistory[[#This Row],[State and Local Total Amount]]/tblMoeHistory[[#This Row],[Child Count]],0)</f>
        <v>11225.247723076918</v>
      </c>
      <c r="N2267" t="str">
        <f t="shared" si="2"/>
        <v>Did Not Meet</v>
      </c>
      <c r="O2267">
        <v>1010091</v>
      </c>
      <c r="P2267">
        <v>23474</v>
      </c>
      <c r="Q2267">
        <f>tblMoeHistory[[#This Row],[Amount of IDEA Part B, Section 611 award]]+tblMoeHistory[[#This Row],[Amount of IDEA Part B, Section 619 award]]</f>
        <v>1033565</v>
      </c>
      <c r="U22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7" t="str">
        <f>IF(OR(IFERROR(SEARCH("Met",tblMoeHistory[[#This Row],[State and Local Per Capita Result]]),0)&gt;0,IFERROR(SEARCH("Met",tblMoeHistory[[#This Row],[State and Local Total Result]]),0)&gt;0),"Met","Not Met")</f>
        <v>Met</v>
      </c>
    </row>
    <row r="2268" spans="1:22" x14ac:dyDescent="0.35">
      <c r="A2268" t="s">
        <v>121</v>
      </c>
      <c r="B2268">
        <v>2097</v>
      </c>
      <c r="C2268" t="s">
        <v>1777</v>
      </c>
      <c r="D2268">
        <v>732</v>
      </c>
      <c r="E2268">
        <v>8046538.1499999994</v>
      </c>
      <c r="F2268">
        <v>1095975</v>
      </c>
      <c r="G2268">
        <f>tblMoeHistory[[#This Row],[LEA State and Local Amount]]+tblMoeHistory[[#This Row],[ESD State and Local Amount]]</f>
        <v>9142513.1499999985</v>
      </c>
      <c r="I2268" t="s">
        <v>241</v>
      </c>
      <c r="J2268" s="44">
        <f>IFERROR(tblMoeHistory[[#This Row],[LEA State and Local Amount]]/tblMoeHistory[[#This Row],[Child Count]],0)</f>
        <v>10992.538456284152</v>
      </c>
      <c r="K2268">
        <f>IFERROR(tblMoeHistory[[#This Row],[ESD State and Local Amount]]/tblMoeHistory[[#This Row],[Child Count]],0)</f>
        <v>1497.233606557377</v>
      </c>
      <c r="L2268">
        <f>IFERROR(tblMoeHistory[[#This Row],[State and Local Total Amount]]/tblMoeHistory[[#This Row],[Child Count]],0)</f>
        <v>12489.772062841528</v>
      </c>
      <c r="N2268" t="str">
        <f t="shared" si="2"/>
        <v>Met</v>
      </c>
      <c r="O2268">
        <v>1436728</v>
      </c>
      <c r="P2268">
        <v>54368</v>
      </c>
      <c r="Q2268">
        <f>tblMoeHistory[[#This Row],[Amount of IDEA Part B, Section 611 award]]+tblMoeHistory[[#This Row],[Amount of IDEA Part B, Section 619 award]]</f>
        <v>1491096</v>
      </c>
      <c r="U22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8" t="str">
        <f>IF(OR(IFERROR(SEARCH("Met",tblMoeHistory[[#This Row],[State and Local Per Capita Result]]),0)&gt;0,IFERROR(SEARCH("Met",tblMoeHistory[[#This Row],[State and Local Total Result]]),0)&gt;0),"Met","Not Met")</f>
        <v>Met</v>
      </c>
    </row>
    <row r="2269" spans="1:22" x14ac:dyDescent="0.35">
      <c r="A2269" t="s">
        <v>122</v>
      </c>
      <c r="B2269">
        <v>2012</v>
      </c>
      <c r="C2269" t="s">
        <v>1777</v>
      </c>
      <c r="D2269">
        <v>1</v>
      </c>
      <c r="E2269">
        <v>10596.440000000002</v>
      </c>
      <c r="F2269">
        <v>65773.399999999994</v>
      </c>
      <c r="G2269">
        <f>tblMoeHistory[[#This Row],[LEA State and Local Amount]]+tblMoeHistory[[#This Row],[ESD State and Local Amount]]</f>
        <v>76369.84</v>
      </c>
      <c r="I2269" t="s">
        <v>241</v>
      </c>
      <c r="J2269" s="44">
        <f>IFERROR(tblMoeHistory[[#This Row],[LEA State and Local Amount]]/tblMoeHistory[[#This Row],[Child Count]],0)</f>
        <v>10596.440000000002</v>
      </c>
      <c r="K2269">
        <f>IFERROR(tblMoeHistory[[#This Row],[ESD State and Local Amount]]/tblMoeHistory[[#This Row],[Child Count]],0)</f>
        <v>65773.399999999994</v>
      </c>
      <c r="L2269">
        <f>IFERROR(tblMoeHistory[[#This Row],[State and Local Total Amount]]/tblMoeHistory[[#This Row],[Child Count]],0)</f>
        <v>76369.84</v>
      </c>
      <c r="N2269" t="str">
        <f t="shared" si="2"/>
        <v>Met</v>
      </c>
      <c r="O2269">
        <v>11112</v>
      </c>
      <c r="P2269">
        <v>512</v>
      </c>
      <c r="Q2269">
        <f>tblMoeHistory[[#This Row],[Amount of IDEA Part B, Section 611 award]]+tblMoeHistory[[#This Row],[Amount of IDEA Part B, Section 619 award]]</f>
        <v>11624</v>
      </c>
      <c r="U22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9" t="str">
        <f>IF(OR(IFERROR(SEARCH("Met",tblMoeHistory[[#This Row],[State and Local Per Capita Result]]),0)&gt;0,IFERROR(SEARCH("Met",tblMoeHistory[[#This Row],[State and Local Total Result]]),0)&gt;0),"Met","Not Met")</f>
        <v>Met</v>
      </c>
    </row>
    <row r="2270" spans="1:22" x14ac:dyDescent="0.35">
      <c r="A2270" t="s">
        <v>123</v>
      </c>
      <c r="B2270">
        <v>2092</v>
      </c>
      <c r="C2270" t="s">
        <v>1777</v>
      </c>
      <c r="D2270">
        <v>124</v>
      </c>
      <c r="E2270">
        <v>417742.66000000009</v>
      </c>
      <c r="F2270">
        <v>304314</v>
      </c>
      <c r="G2270">
        <f>tblMoeHistory[[#This Row],[LEA State and Local Amount]]+tblMoeHistory[[#This Row],[ESD State and Local Amount]]</f>
        <v>722056.66000000015</v>
      </c>
      <c r="I2270" t="s">
        <v>241</v>
      </c>
      <c r="J2270" s="44">
        <f>IFERROR(tblMoeHistory[[#This Row],[LEA State and Local Amount]]/tblMoeHistory[[#This Row],[Child Count]],0)</f>
        <v>3368.8924193548396</v>
      </c>
      <c r="K2270">
        <f>IFERROR(tblMoeHistory[[#This Row],[ESD State and Local Amount]]/tblMoeHistory[[#This Row],[Child Count]],0)</f>
        <v>2454.1451612903224</v>
      </c>
      <c r="L2270">
        <f>IFERROR(tblMoeHistory[[#This Row],[State and Local Total Amount]]/tblMoeHistory[[#This Row],[Child Count]],0)</f>
        <v>5823.0375806451621</v>
      </c>
      <c r="N2270" t="str">
        <f t="shared" si="2"/>
        <v>Met</v>
      </c>
      <c r="O2270">
        <v>166508</v>
      </c>
      <c r="P2270">
        <v>1965</v>
      </c>
      <c r="Q2270">
        <f>tblMoeHistory[[#This Row],[Amount of IDEA Part B, Section 611 award]]+tblMoeHistory[[#This Row],[Amount of IDEA Part B, Section 619 award]]</f>
        <v>168473</v>
      </c>
      <c r="U22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0" t="str">
        <f>IF(OR(IFERROR(SEARCH("Met",tblMoeHistory[[#This Row],[State and Local Per Capita Result]]),0)&gt;0,IFERROR(SEARCH("Met",tblMoeHistory[[#This Row],[State and Local Total Result]]),0)&gt;0),"Met","Not Met")</f>
        <v>Met</v>
      </c>
    </row>
    <row r="2271" spans="1:22" x14ac:dyDescent="0.35">
      <c r="A2271" t="s">
        <v>124</v>
      </c>
      <c r="B2271">
        <v>2112</v>
      </c>
      <c r="C2271" t="s">
        <v>1777</v>
      </c>
      <c r="D2271">
        <v>0</v>
      </c>
      <c r="E2271">
        <v>0</v>
      </c>
      <c r="F2271">
        <v>942.93999999999994</v>
      </c>
      <c r="G2271">
        <f>tblMoeHistory[[#This Row],[LEA State and Local Amount]]+tblMoeHistory[[#This Row],[ESD State and Local Amount]]</f>
        <v>942.93999999999994</v>
      </c>
      <c r="I2271" t="s">
        <v>241</v>
      </c>
      <c r="J2271" s="44">
        <f>IFERROR(tblMoeHistory[[#This Row],[LEA State and Local Amount]]/tblMoeHistory[[#This Row],[Child Count]],0)</f>
        <v>0</v>
      </c>
      <c r="K2271">
        <f>IFERROR(tblMoeHistory[[#This Row],[ESD State and Local Amount]]/tblMoeHistory[[#This Row],[Child Count]],0)</f>
        <v>0</v>
      </c>
      <c r="L2271">
        <f>IFERROR(tblMoeHistory[[#This Row],[State and Local Total Amount]]/tblMoeHistory[[#This Row],[Child Count]],0)</f>
        <v>0</v>
      </c>
      <c r="N2271" t="str">
        <f t="shared" si="2"/>
        <v>Met</v>
      </c>
      <c r="O2271">
        <v>502</v>
      </c>
      <c r="P2271">
        <v>2</v>
      </c>
      <c r="Q2271">
        <f>tblMoeHistory[[#This Row],[Amount of IDEA Part B, Section 611 award]]+tblMoeHistory[[#This Row],[Amount of IDEA Part B, Section 619 award]]</f>
        <v>504</v>
      </c>
      <c r="U22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1" t="str">
        <f>IF(OR(IFERROR(SEARCH("Met",tblMoeHistory[[#This Row],[State and Local Per Capita Result]]),0)&gt;0,IFERROR(SEARCH("Met",tblMoeHistory[[#This Row],[State and Local Total Result]]),0)&gt;0),"Met","Not Met")</f>
        <v>Met</v>
      </c>
    </row>
    <row r="2272" spans="1:22" x14ac:dyDescent="0.35">
      <c r="A2272" t="s">
        <v>125</v>
      </c>
      <c r="B2272">
        <v>2085</v>
      </c>
      <c r="C2272" t="s">
        <v>1777</v>
      </c>
      <c r="D2272">
        <v>18</v>
      </c>
      <c r="E2272">
        <v>272329.63000000006</v>
      </c>
      <c r="F2272">
        <v>45393</v>
      </c>
      <c r="G2272">
        <f>tblMoeHistory[[#This Row],[LEA State and Local Amount]]+tblMoeHistory[[#This Row],[ESD State and Local Amount]]</f>
        <v>317722.63000000006</v>
      </c>
      <c r="I2272" t="s">
        <v>241</v>
      </c>
      <c r="J2272" s="44">
        <f>IFERROR(tblMoeHistory[[#This Row],[LEA State and Local Amount]]/tblMoeHistory[[#This Row],[Child Count]],0)</f>
        <v>15129.423888888892</v>
      </c>
      <c r="K2272">
        <f>IFERROR(tblMoeHistory[[#This Row],[ESD State and Local Amount]]/tblMoeHistory[[#This Row],[Child Count]],0)</f>
        <v>2521.8333333333335</v>
      </c>
      <c r="L2272">
        <f>IFERROR(tblMoeHistory[[#This Row],[State and Local Total Amount]]/tblMoeHistory[[#This Row],[Child Count]],0)</f>
        <v>17651.257222222226</v>
      </c>
      <c r="N2272" t="str">
        <f t="shared" si="2"/>
        <v>Met</v>
      </c>
      <c r="O2272">
        <v>60724</v>
      </c>
      <c r="P2272">
        <v>1542</v>
      </c>
      <c r="Q2272">
        <f>tblMoeHistory[[#This Row],[Amount of IDEA Part B, Section 611 award]]+tblMoeHistory[[#This Row],[Amount of IDEA Part B, Section 619 award]]</f>
        <v>62266</v>
      </c>
      <c r="U22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2" t="str">
        <f>IF(OR(IFERROR(SEARCH("Met",tblMoeHistory[[#This Row],[State and Local Per Capita Result]]),0)&gt;0,IFERROR(SEARCH("Met",tblMoeHistory[[#This Row],[State and Local Total Result]]),0)&gt;0),"Met","Not Met")</f>
        <v>Met</v>
      </c>
    </row>
    <row r="2273" spans="1:22" x14ac:dyDescent="0.35">
      <c r="A2273" t="s">
        <v>126</v>
      </c>
      <c r="B2273">
        <v>2094</v>
      </c>
      <c r="C2273" t="s">
        <v>1777</v>
      </c>
      <c r="D2273">
        <v>81</v>
      </c>
      <c r="E2273">
        <v>475516.04999999993</v>
      </c>
      <c r="F2273">
        <v>185101</v>
      </c>
      <c r="G2273">
        <f>tblMoeHistory[[#This Row],[LEA State and Local Amount]]+tblMoeHistory[[#This Row],[ESD State and Local Amount]]</f>
        <v>660617.04999999993</v>
      </c>
      <c r="I2273" t="s">
        <v>242</v>
      </c>
      <c r="J2273" s="44">
        <f>IFERROR(tblMoeHistory[[#This Row],[LEA State and Local Amount]]/tblMoeHistory[[#This Row],[Child Count]],0)</f>
        <v>5870.5685185185175</v>
      </c>
      <c r="K2273">
        <f>IFERROR(tblMoeHistory[[#This Row],[ESD State and Local Amount]]/tblMoeHistory[[#This Row],[Child Count]],0)</f>
        <v>2285.1975308641977</v>
      </c>
      <c r="L2273">
        <f>IFERROR(tblMoeHistory[[#This Row],[State and Local Total Amount]]/tblMoeHistory[[#This Row],[Child Count]],0)</f>
        <v>8155.7660493827152</v>
      </c>
      <c r="N2273" t="str">
        <f t="shared" si="2"/>
        <v>Did Not Meet</v>
      </c>
      <c r="O2273">
        <v>108041</v>
      </c>
      <c r="P2273">
        <v>1290</v>
      </c>
      <c r="Q2273">
        <f>tblMoeHistory[[#This Row],[Amount of IDEA Part B, Section 611 award]]+tblMoeHistory[[#This Row],[Amount of IDEA Part B, Section 619 award]]</f>
        <v>109331</v>
      </c>
      <c r="U22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3" t="str">
        <f>IF(OR(IFERROR(SEARCH("Met",tblMoeHistory[[#This Row],[State and Local Per Capita Result]]),0)&gt;0,IFERROR(SEARCH("Met",tblMoeHistory[[#This Row],[State and Local Total Result]]),0)&gt;0),"Met","Not Met")</f>
        <v>Met</v>
      </c>
    </row>
    <row r="2274" spans="1:22" x14ac:dyDescent="0.35">
      <c r="A2274" t="s">
        <v>127</v>
      </c>
      <c r="B2274">
        <v>2090</v>
      </c>
      <c r="C2274" t="s">
        <v>1777</v>
      </c>
      <c r="D2274">
        <v>26</v>
      </c>
      <c r="E2274">
        <v>440737.58999999991</v>
      </c>
      <c r="F2274">
        <v>50708</v>
      </c>
      <c r="G2274">
        <f>tblMoeHistory[[#This Row],[LEA State and Local Amount]]+tblMoeHistory[[#This Row],[ESD State and Local Amount]]</f>
        <v>491445.58999999991</v>
      </c>
      <c r="I2274" t="s">
        <v>241</v>
      </c>
      <c r="J2274" s="44">
        <f>IFERROR(tblMoeHistory[[#This Row],[LEA State and Local Amount]]/tblMoeHistory[[#This Row],[Child Count]],0)</f>
        <v>16951.445769230766</v>
      </c>
      <c r="K2274">
        <f>IFERROR(tblMoeHistory[[#This Row],[ESD State and Local Amount]]/tblMoeHistory[[#This Row],[Child Count]],0)</f>
        <v>1950.3076923076924</v>
      </c>
      <c r="L2274">
        <f>IFERROR(tblMoeHistory[[#This Row],[State and Local Total Amount]]/tblMoeHistory[[#This Row],[Child Count]],0)</f>
        <v>18901.753461538457</v>
      </c>
      <c r="N2274" t="str">
        <f t="shared" si="2"/>
        <v>Met</v>
      </c>
      <c r="O2274">
        <v>58428</v>
      </c>
      <c r="P2274">
        <v>611</v>
      </c>
      <c r="Q2274">
        <f>tblMoeHistory[[#This Row],[Amount of IDEA Part B, Section 611 award]]+tblMoeHistory[[#This Row],[Amount of IDEA Part B, Section 619 award]]</f>
        <v>59039</v>
      </c>
      <c r="U22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4" t="str">
        <f>IF(OR(IFERROR(SEARCH("Met",tblMoeHistory[[#This Row],[State and Local Per Capita Result]]),0)&gt;0,IFERROR(SEARCH("Met",tblMoeHistory[[#This Row],[State and Local Total Result]]),0)&gt;0),"Met","Not Met")</f>
        <v>Met</v>
      </c>
    </row>
    <row r="2275" spans="1:22" x14ac:dyDescent="0.35">
      <c r="A2275" t="s">
        <v>128</v>
      </c>
      <c r="B2275">
        <v>2256</v>
      </c>
      <c r="C2275" t="s">
        <v>1777</v>
      </c>
      <c r="D2275">
        <v>868</v>
      </c>
      <c r="E2275">
        <v>8461902.2799999975</v>
      </c>
      <c r="F2275">
        <v>486311.97</v>
      </c>
      <c r="G2275">
        <f>tblMoeHistory[[#This Row],[LEA State and Local Amount]]+tblMoeHistory[[#This Row],[ESD State and Local Amount]]</f>
        <v>8948214.2499999981</v>
      </c>
      <c r="I2275" t="s">
        <v>241</v>
      </c>
      <c r="J2275" s="44">
        <f>IFERROR(tblMoeHistory[[#This Row],[LEA State and Local Amount]]/tblMoeHistory[[#This Row],[Child Count]],0)</f>
        <v>9748.7353456221172</v>
      </c>
      <c r="K2275">
        <f>IFERROR(tblMoeHistory[[#This Row],[ESD State and Local Amount]]/tblMoeHistory[[#This Row],[Child Count]],0)</f>
        <v>560.26724654377881</v>
      </c>
      <c r="L2275">
        <f>IFERROR(tblMoeHistory[[#This Row],[State and Local Total Amount]]/tblMoeHistory[[#This Row],[Child Count]],0)</f>
        <v>10309.002592165896</v>
      </c>
      <c r="N2275" t="str">
        <f t="shared" si="2"/>
        <v>Met</v>
      </c>
      <c r="O2275">
        <v>1305072</v>
      </c>
      <c r="P2275">
        <v>38589</v>
      </c>
      <c r="Q2275">
        <f>tblMoeHistory[[#This Row],[Amount of IDEA Part B, Section 611 award]]+tblMoeHistory[[#This Row],[Amount of IDEA Part B, Section 619 award]]</f>
        <v>1343661</v>
      </c>
      <c r="U22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5" t="str">
        <f>IF(OR(IFERROR(SEARCH("Met",tblMoeHistory[[#This Row],[State and Local Per Capita Result]]),0)&gt;0,IFERROR(SEARCH("Met",tblMoeHistory[[#This Row],[State and Local Total Result]]),0)&gt;0),"Met","Not Met")</f>
        <v>Met</v>
      </c>
    </row>
    <row r="2276" spans="1:22" x14ac:dyDescent="0.35">
      <c r="A2276" t="s">
        <v>129</v>
      </c>
      <c r="B2276">
        <v>2048</v>
      </c>
      <c r="C2276" t="s">
        <v>1777</v>
      </c>
      <c r="D2276">
        <v>2147</v>
      </c>
      <c r="E2276">
        <v>20239174.839999996</v>
      </c>
      <c r="F2276">
        <v>1612809.17</v>
      </c>
      <c r="G2276">
        <f>tblMoeHistory[[#This Row],[LEA State and Local Amount]]+tblMoeHistory[[#This Row],[ESD State and Local Amount]]</f>
        <v>21851984.009999998</v>
      </c>
      <c r="I2276" t="s">
        <v>241</v>
      </c>
      <c r="J2276" s="44">
        <f>IFERROR(tblMoeHistory[[#This Row],[LEA State and Local Amount]]/tblMoeHistory[[#This Row],[Child Count]],0)</f>
        <v>9426.7232603632965</v>
      </c>
      <c r="K2276">
        <f>IFERROR(tblMoeHistory[[#This Row],[ESD State and Local Amount]]/tblMoeHistory[[#This Row],[Child Count]],0)</f>
        <v>751.19197484862593</v>
      </c>
      <c r="L2276">
        <f>IFERROR(tblMoeHistory[[#This Row],[State and Local Total Amount]]/tblMoeHistory[[#This Row],[Child Count]],0)</f>
        <v>10177.915235211922</v>
      </c>
      <c r="N2276" t="str">
        <f t="shared" si="2"/>
        <v>Met</v>
      </c>
      <c r="O2276">
        <v>3122028</v>
      </c>
      <c r="P2276">
        <v>92480</v>
      </c>
      <c r="Q2276">
        <f>tblMoeHistory[[#This Row],[Amount of IDEA Part B, Section 611 award]]+tblMoeHistory[[#This Row],[Amount of IDEA Part B, Section 619 award]]</f>
        <v>3214508</v>
      </c>
      <c r="U22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6" t="str">
        <f>IF(OR(IFERROR(SEARCH("Met",tblMoeHistory[[#This Row],[State and Local Per Capita Result]]),0)&gt;0,IFERROR(SEARCH("Met",tblMoeHistory[[#This Row],[State and Local Total Result]]),0)&gt;0),"Met","Not Met")</f>
        <v>Met</v>
      </c>
    </row>
    <row r="2277" spans="1:22" x14ac:dyDescent="0.35">
      <c r="A2277" t="s">
        <v>130</v>
      </c>
      <c r="B2277">
        <v>2205</v>
      </c>
      <c r="C2277" t="s">
        <v>1777</v>
      </c>
      <c r="D2277">
        <v>233</v>
      </c>
      <c r="E2277">
        <v>2066849.2799999998</v>
      </c>
      <c r="F2277">
        <v>429900.69</v>
      </c>
      <c r="G2277">
        <f>tblMoeHistory[[#This Row],[LEA State and Local Amount]]+tblMoeHistory[[#This Row],[ESD State and Local Amount]]</f>
        <v>2496749.9699999997</v>
      </c>
      <c r="I2277" t="s">
        <v>241</v>
      </c>
      <c r="J2277" s="44">
        <f>IFERROR(tblMoeHistory[[#This Row],[LEA State and Local Amount]]/tblMoeHistory[[#This Row],[Child Count]],0)</f>
        <v>8870.5977682403427</v>
      </c>
      <c r="K2277">
        <f>IFERROR(tblMoeHistory[[#This Row],[ESD State and Local Amount]]/tblMoeHistory[[#This Row],[Child Count]],0)</f>
        <v>1845.067339055794</v>
      </c>
      <c r="L2277">
        <f>IFERROR(tblMoeHistory[[#This Row],[State and Local Total Amount]]/tblMoeHistory[[#This Row],[Child Count]],0)</f>
        <v>10715.665107296136</v>
      </c>
      <c r="N2277" t="str">
        <f t="shared" si="2"/>
        <v>Did Not Meet</v>
      </c>
      <c r="O2277">
        <v>365197</v>
      </c>
      <c r="P2277">
        <v>14579</v>
      </c>
      <c r="Q2277">
        <f>tblMoeHistory[[#This Row],[Amount of IDEA Part B, Section 611 award]]+tblMoeHistory[[#This Row],[Amount of IDEA Part B, Section 619 award]]</f>
        <v>379776</v>
      </c>
      <c r="U22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7" t="str">
        <f>IF(OR(IFERROR(SEARCH("Met",tblMoeHistory[[#This Row],[State and Local Per Capita Result]]),0)&gt;0,IFERROR(SEARCH("Met",tblMoeHistory[[#This Row],[State and Local Total Result]]),0)&gt;0),"Met","Not Met")</f>
        <v>Met</v>
      </c>
    </row>
    <row r="2278" spans="1:22" x14ac:dyDescent="0.35">
      <c r="A2278" t="s">
        <v>131</v>
      </c>
      <c r="B2278">
        <v>2249</v>
      </c>
      <c r="C2278" t="s">
        <v>1777</v>
      </c>
      <c r="D2278">
        <v>175</v>
      </c>
      <c r="E2278">
        <v>23641.35</v>
      </c>
      <c r="F2278">
        <v>71067</v>
      </c>
      <c r="G2278">
        <f>tblMoeHistory[[#This Row],[LEA State and Local Amount]]+tblMoeHistory[[#This Row],[ESD State and Local Amount]]</f>
        <v>94708.35</v>
      </c>
      <c r="I2278" t="s">
        <v>241</v>
      </c>
      <c r="J2278" s="44">
        <f>IFERROR(tblMoeHistory[[#This Row],[LEA State and Local Amount]]/tblMoeHistory[[#This Row],[Child Count]],0)</f>
        <v>135.09342857142857</v>
      </c>
      <c r="K2278">
        <f>IFERROR(tblMoeHistory[[#This Row],[ESD State and Local Amount]]/tblMoeHistory[[#This Row],[Child Count]],0)</f>
        <v>406.09714285714284</v>
      </c>
      <c r="L2278">
        <f>IFERROR(tblMoeHistory[[#This Row],[State and Local Total Amount]]/tblMoeHistory[[#This Row],[Child Count]],0)</f>
        <v>541.1905714285715</v>
      </c>
      <c r="N2278" t="str">
        <f t="shared" si="2"/>
        <v>Met</v>
      </c>
      <c r="O2278">
        <v>71518</v>
      </c>
      <c r="P2278">
        <v>528</v>
      </c>
      <c r="Q2278">
        <f>tblMoeHistory[[#This Row],[Amount of IDEA Part B, Section 611 award]]+tblMoeHistory[[#This Row],[Amount of IDEA Part B, Section 619 award]]</f>
        <v>72046</v>
      </c>
      <c r="U22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8" t="str">
        <f>IF(OR(IFERROR(SEARCH("Met",tblMoeHistory[[#This Row],[State and Local Per Capita Result]]),0)&gt;0,IFERROR(SEARCH("Met",tblMoeHistory[[#This Row],[State and Local Total Result]]),0)&gt;0),"Met","Not Met")</f>
        <v>Met</v>
      </c>
    </row>
    <row r="2279" spans="1:22" x14ac:dyDescent="0.35">
      <c r="A2279" t="s">
        <v>132</v>
      </c>
      <c r="B2279">
        <v>1925</v>
      </c>
      <c r="C2279" t="s">
        <v>1777</v>
      </c>
      <c r="D2279">
        <v>400</v>
      </c>
      <c r="E2279">
        <v>4745928</v>
      </c>
      <c r="F2279">
        <v>503132</v>
      </c>
      <c r="G2279">
        <f>tblMoeHistory[[#This Row],[LEA State and Local Amount]]+tblMoeHistory[[#This Row],[ESD State and Local Amount]]</f>
        <v>5249060</v>
      </c>
      <c r="I2279" t="s">
        <v>241</v>
      </c>
      <c r="J2279" s="44">
        <f>IFERROR(tblMoeHistory[[#This Row],[LEA State and Local Amount]]/tblMoeHistory[[#This Row],[Child Count]],0)</f>
        <v>11864.82</v>
      </c>
      <c r="K2279">
        <f>IFERROR(tblMoeHistory[[#This Row],[ESD State and Local Amount]]/tblMoeHistory[[#This Row],[Child Count]],0)</f>
        <v>1257.83</v>
      </c>
      <c r="L2279">
        <f>IFERROR(tblMoeHistory[[#This Row],[State and Local Total Amount]]/tblMoeHistory[[#This Row],[Child Count]],0)</f>
        <v>13122.65</v>
      </c>
      <c r="N2279" t="str">
        <f t="shared" si="2"/>
        <v>Met</v>
      </c>
      <c r="O2279">
        <v>604674</v>
      </c>
      <c r="P2279">
        <v>14208</v>
      </c>
      <c r="Q2279">
        <f>tblMoeHistory[[#This Row],[Amount of IDEA Part B, Section 611 award]]+tblMoeHistory[[#This Row],[Amount of IDEA Part B, Section 619 award]]</f>
        <v>618882</v>
      </c>
      <c r="U22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9" t="str">
        <f>IF(OR(IFERROR(SEARCH("Met",tblMoeHistory[[#This Row],[State and Local Per Capita Result]]),0)&gt;0,IFERROR(SEARCH("Met",tblMoeHistory[[#This Row],[State and Local Total Result]]),0)&gt;0),"Met","Not Met")</f>
        <v>Met</v>
      </c>
    </row>
    <row r="2280" spans="1:22" x14ac:dyDescent="0.35">
      <c r="A2280" t="s">
        <v>133</v>
      </c>
      <c r="B2280">
        <v>1898</v>
      </c>
      <c r="C2280" t="s">
        <v>1777</v>
      </c>
      <c r="D2280">
        <v>41</v>
      </c>
      <c r="E2280">
        <v>592865.2999999997</v>
      </c>
      <c r="F2280">
        <v>58422</v>
      </c>
      <c r="G2280">
        <f>tblMoeHistory[[#This Row],[LEA State and Local Amount]]+tblMoeHistory[[#This Row],[ESD State and Local Amount]]</f>
        <v>651287.2999999997</v>
      </c>
      <c r="I2280" t="s">
        <v>241</v>
      </c>
      <c r="J2280" s="44">
        <f>IFERROR(tblMoeHistory[[#This Row],[LEA State and Local Amount]]/tblMoeHistory[[#This Row],[Child Count]],0)</f>
        <v>14460.129268292676</v>
      </c>
      <c r="K2280">
        <f>IFERROR(tblMoeHistory[[#This Row],[ESD State and Local Amount]]/tblMoeHistory[[#This Row],[Child Count]],0)</f>
        <v>1424.9268292682927</v>
      </c>
      <c r="L2280">
        <f>IFERROR(tblMoeHistory[[#This Row],[State and Local Total Amount]]/tblMoeHistory[[#This Row],[Child Count]],0)</f>
        <v>15885.056097560968</v>
      </c>
      <c r="N2280" t="str">
        <f t="shared" si="2"/>
        <v>Met</v>
      </c>
      <c r="O2280">
        <v>93299</v>
      </c>
      <c r="P2280">
        <v>1671</v>
      </c>
      <c r="Q2280">
        <f>tblMoeHistory[[#This Row],[Amount of IDEA Part B, Section 611 award]]+tblMoeHistory[[#This Row],[Amount of IDEA Part B, Section 619 award]]</f>
        <v>94970</v>
      </c>
      <c r="U22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0" t="str">
        <f>IF(OR(IFERROR(SEARCH("Met",tblMoeHistory[[#This Row],[State and Local Per Capita Result]]),0)&gt;0,IFERROR(SEARCH("Met",tblMoeHistory[[#This Row],[State and Local Total Result]]),0)&gt;0),"Met","Not Met")</f>
        <v>Met</v>
      </c>
    </row>
    <row r="2281" spans="1:22" x14ac:dyDescent="0.35">
      <c r="A2281" t="s">
        <v>134</v>
      </c>
      <c r="B2281">
        <v>2010</v>
      </c>
      <c r="C2281" t="s">
        <v>1777</v>
      </c>
      <c r="D2281">
        <v>9</v>
      </c>
      <c r="E2281">
        <v>850</v>
      </c>
      <c r="F2281">
        <v>66840.399999999994</v>
      </c>
      <c r="G2281">
        <f>tblMoeHistory[[#This Row],[LEA State and Local Amount]]+tblMoeHistory[[#This Row],[ESD State and Local Amount]]</f>
        <v>67690.399999999994</v>
      </c>
      <c r="I2281" t="s">
        <v>242</v>
      </c>
      <c r="J2281" s="44">
        <f>IFERROR(tblMoeHistory[[#This Row],[LEA State and Local Amount]]/tblMoeHistory[[#This Row],[Child Count]],0)</f>
        <v>94.444444444444443</v>
      </c>
      <c r="K2281">
        <f>IFERROR(tblMoeHistory[[#This Row],[ESD State and Local Amount]]/tblMoeHistory[[#This Row],[Child Count]],0)</f>
        <v>7426.7111111111108</v>
      </c>
      <c r="L2281">
        <f>IFERROR(tblMoeHistory[[#This Row],[State and Local Total Amount]]/tblMoeHistory[[#This Row],[Child Count]],0)</f>
        <v>7521.1555555555551</v>
      </c>
      <c r="N2281" t="str">
        <f t="shared" si="2"/>
        <v>Did Not Meet</v>
      </c>
      <c r="O2281">
        <v>13209</v>
      </c>
      <c r="P2281">
        <v>1482</v>
      </c>
      <c r="Q2281">
        <f>tblMoeHistory[[#This Row],[Amount of IDEA Part B, Section 611 award]]+tblMoeHistory[[#This Row],[Amount of IDEA Part B, Section 619 award]]</f>
        <v>14691</v>
      </c>
      <c r="U22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1" t="str">
        <f>IF(OR(IFERROR(SEARCH("Met",tblMoeHistory[[#This Row],[State and Local Per Capita Result]]),0)&gt;0,IFERROR(SEARCH("Met",tblMoeHistory[[#This Row],[State and Local Total Result]]),0)&gt;0),"Met","Not Met")</f>
        <v>Met</v>
      </c>
    </row>
    <row r="2282" spans="1:22" x14ac:dyDescent="0.35">
      <c r="A2282" t="s">
        <v>135</v>
      </c>
      <c r="B2282">
        <v>2147</v>
      </c>
      <c r="C2282" t="s">
        <v>1777</v>
      </c>
      <c r="D2282">
        <v>358</v>
      </c>
      <c r="E2282">
        <v>1753609.8199999996</v>
      </c>
      <c r="F2282">
        <v>668837.49</v>
      </c>
      <c r="G2282">
        <f>tblMoeHistory[[#This Row],[LEA State and Local Amount]]+tblMoeHistory[[#This Row],[ESD State and Local Amount]]</f>
        <v>2422447.3099999996</v>
      </c>
      <c r="I2282" t="s">
        <v>241</v>
      </c>
      <c r="J2282" s="44">
        <f>IFERROR(tblMoeHistory[[#This Row],[LEA State and Local Amount]]/tblMoeHistory[[#This Row],[Child Count]],0)</f>
        <v>4898.3514525139653</v>
      </c>
      <c r="K2282">
        <f>IFERROR(tblMoeHistory[[#This Row],[ESD State and Local Amount]]/tblMoeHistory[[#This Row],[Child Count]],0)</f>
        <v>1868.2611452513966</v>
      </c>
      <c r="L2282">
        <f>IFERROR(tblMoeHistory[[#This Row],[State and Local Total Amount]]/tblMoeHistory[[#This Row],[Child Count]],0)</f>
        <v>6766.6125977653619</v>
      </c>
      <c r="N2282" t="str">
        <f t="shared" si="2"/>
        <v>Did Not Meet</v>
      </c>
      <c r="O2282">
        <v>448246</v>
      </c>
      <c r="P2282">
        <v>6627</v>
      </c>
      <c r="Q2282">
        <f>tblMoeHistory[[#This Row],[Amount of IDEA Part B, Section 611 award]]+tblMoeHistory[[#This Row],[Amount of IDEA Part B, Section 619 award]]</f>
        <v>454873</v>
      </c>
      <c r="U22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2" t="str">
        <f>IF(OR(IFERROR(SEARCH("Met",tblMoeHistory[[#This Row],[State and Local Per Capita Result]]),0)&gt;0,IFERROR(SEARCH("Met",tblMoeHistory[[#This Row],[State and Local Total Result]]),0)&gt;0),"Met","Not Met")</f>
        <v>Met</v>
      </c>
    </row>
    <row r="2283" spans="1:22" x14ac:dyDescent="0.35">
      <c r="A2283" t="s">
        <v>136</v>
      </c>
      <c r="B2283">
        <v>2145</v>
      </c>
      <c r="C2283" t="s">
        <v>1777</v>
      </c>
      <c r="D2283">
        <v>82</v>
      </c>
      <c r="E2283">
        <v>524206.08000000013</v>
      </c>
      <c r="F2283">
        <v>159506.88</v>
      </c>
      <c r="G2283">
        <f>tblMoeHistory[[#This Row],[LEA State and Local Amount]]+tblMoeHistory[[#This Row],[ESD State and Local Amount]]</f>
        <v>683712.9600000002</v>
      </c>
      <c r="I2283" t="s">
        <v>241</v>
      </c>
      <c r="J2283" s="44">
        <f>IFERROR(tblMoeHistory[[#This Row],[LEA State and Local Amount]]/tblMoeHistory[[#This Row],[Child Count]],0)</f>
        <v>6392.7570731707337</v>
      </c>
      <c r="K2283">
        <f>IFERROR(tblMoeHistory[[#This Row],[ESD State and Local Amount]]/tblMoeHistory[[#This Row],[Child Count]],0)</f>
        <v>1945.2058536585366</v>
      </c>
      <c r="L2283">
        <f>IFERROR(tblMoeHistory[[#This Row],[State and Local Total Amount]]/tblMoeHistory[[#This Row],[Child Count]],0)</f>
        <v>8337.9629268292701</v>
      </c>
      <c r="N2283" t="str">
        <f t="shared" si="2"/>
        <v>Met</v>
      </c>
      <c r="O2283">
        <v>158013</v>
      </c>
      <c r="P2283">
        <v>3765</v>
      </c>
      <c r="Q2283">
        <f>tblMoeHistory[[#This Row],[Amount of IDEA Part B, Section 611 award]]+tblMoeHistory[[#This Row],[Amount of IDEA Part B, Section 619 award]]</f>
        <v>161778</v>
      </c>
      <c r="U22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3" t="str">
        <f>IF(OR(IFERROR(SEARCH("Met",tblMoeHistory[[#This Row],[State and Local Per Capita Result]]),0)&gt;0,IFERROR(SEARCH("Met",tblMoeHistory[[#This Row],[State and Local Total Result]]),0)&gt;0),"Met","Not Met")</f>
        <v>Met</v>
      </c>
    </row>
    <row r="2284" spans="1:22" x14ac:dyDescent="0.35">
      <c r="A2284" t="s">
        <v>137</v>
      </c>
      <c r="B2284">
        <v>1968</v>
      </c>
      <c r="C2284" t="s">
        <v>1777</v>
      </c>
      <c r="D2284">
        <v>69</v>
      </c>
      <c r="E2284">
        <v>570197.77</v>
      </c>
      <c r="F2284">
        <v>196917</v>
      </c>
      <c r="G2284">
        <f>tblMoeHistory[[#This Row],[LEA State and Local Amount]]+tblMoeHistory[[#This Row],[ESD State and Local Amount]]</f>
        <v>767114.77</v>
      </c>
      <c r="I2284" t="s">
        <v>242</v>
      </c>
      <c r="J2284" s="44">
        <f>IFERROR(tblMoeHistory[[#This Row],[LEA State and Local Amount]]/tblMoeHistory[[#This Row],[Child Count]],0)</f>
        <v>8263.7357971014499</v>
      </c>
      <c r="K2284">
        <f>IFERROR(tblMoeHistory[[#This Row],[ESD State and Local Amount]]/tblMoeHistory[[#This Row],[Child Count]],0)</f>
        <v>2853.8695652173915</v>
      </c>
      <c r="L2284">
        <f>IFERROR(tblMoeHistory[[#This Row],[State and Local Total Amount]]/tblMoeHistory[[#This Row],[Child Count]],0)</f>
        <v>11117.60536231884</v>
      </c>
      <c r="N2284" t="str">
        <f t="shared" si="2"/>
        <v>Met</v>
      </c>
      <c r="O2284">
        <v>157799</v>
      </c>
      <c r="P2284">
        <v>6116</v>
      </c>
      <c r="Q2284">
        <f>tblMoeHistory[[#This Row],[Amount of IDEA Part B, Section 611 award]]+tblMoeHistory[[#This Row],[Amount of IDEA Part B, Section 619 award]]</f>
        <v>163915</v>
      </c>
      <c r="U22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4" t="str">
        <f>IF(OR(IFERROR(SEARCH("Met",tblMoeHistory[[#This Row],[State and Local Per Capita Result]]),0)&gt;0,IFERROR(SEARCH("Met",tblMoeHistory[[#This Row],[State and Local Total Result]]),0)&gt;0),"Met","Not Met")</f>
        <v>Met</v>
      </c>
    </row>
    <row r="2285" spans="1:22" x14ac:dyDescent="0.35">
      <c r="A2285" t="s">
        <v>138</v>
      </c>
      <c r="B2285">
        <v>2198</v>
      </c>
      <c r="C2285" t="s">
        <v>1777</v>
      </c>
      <c r="D2285">
        <v>100</v>
      </c>
      <c r="E2285">
        <v>1789189</v>
      </c>
      <c r="F2285">
        <v>279020</v>
      </c>
      <c r="G2285">
        <f>tblMoeHistory[[#This Row],[LEA State and Local Amount]]+tblMoeHistory[[#This Row],[ESD State and Local Amount]]</f>
        <v>2068209</v>
      </c>
      <c r="I2285" t="s">
        <v>241</v>
      </c>
      <c r="J2285" s="44">
        <f>IFERROR(tblMoeHistory[[#This Row],[LEA State and Local Amount]]/tblMoeHistory[[#This Row],[Child Count]],0)</f>
        <v>17891.89</v>
      </c>
      <c r="K2285">
        <f>IFERROR(tblMoeHistory[[#This Row],[ESD State and Local Amount]]/tblMoeHistory[[#This Row],[Child Count]],0)</f>
        <v>2790.2</v>
      </c>
      <c r="L2285">
        <f>IFERROR(tblMoeHistory[[#This Row],[State and Local Total Amount]]/tblMoeHistory[[#This Row],[Child Count]],0)</f>
        <v>20682.09</v>
      </c>
      <c r="N2285" t="str">
        <f t="shared" si="2"/>
        <v>Met</v>
      </c>
      <c r="O2285">
        <v>178313</v>
      </c>
      <c r="P2285">
        <v>6273</v>
      </c>
      <c r="Q2285">
        <f>tblMoeHistory[[#This Row],[Amount of IDEA Part B, Section 611 award]]+tblMoeHistory[[#This Row],[Amount of IDEA Part B, Section 619 award]]</f>
        <v>184586</v>
      </c>
      <c r="U22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5" t="str">
        <f>IF(OR(IFERROR(SEARCH("Met",tblMoeHistory[[#This Row],[State and Local Per Capita Result]]),0)&gt;0,IFERROR(SEARCH("Met",tblMoeHistory[[#This Row],[State and Local Total Result]]),0)&gt;0),"Met","Not Met")</f>
        <v>Met</v>
      </c>
    </row>
    <row r="2286" spans="1:22" x14ac:dyDescent="0.35">
      <c r="A2286" t="s">
        <v>139</v>
      </c>
      <c r="B2286">
        <v>2199</v>
      </c>
      <c r="C2286" t="s">
        <v>1777</v>
      </c>
      <c r="D2286">
        <v>70</v>
      </c>
      <c r="E2286">
        <v>858134.88000000012</v>
      </c>
      <c r="F2286">
        <v>178051</v>
      </c>
      <c r="G2286">
        <f>tblMoeHistory[[#This Row],[LEA State and Local Amount]]+tblMoeHistory[[#This Row],[ESD State and Local Amount]]</f>
        <v>1036185.8800000001</v>
      </c>
      <c r="I2286" t="s">
        <v>241</v>
      </c>
      <c r="J2286" s="44">
        <f>IFERROR(tblMoeHistory[[#This Row],[LEA State and Local Amount]]/tblMoeHistory[[#This Row],[Child Count]],0)</f>
        <v>12259.069714285715</v>
      </c>
      <c r="K2286">
        <f>IFERROR(tblMoeHistory[[#This Row],[ESD State and Local Amount]]/tblMoeHistory[[#This Row],[Child Count]],0)</f>
        <v>2543.5857142857144</v>
      </c>
      <c r="L2286">
        <f>IFERROR(tblMoeHistory[[#This Row],[State and Local Total Amount]]/tblMoeHistory[[#This Row],[Child Count]],0)</f>
        <v>14802.65542857143</v>
      </c>
      <c r="N2286" t="str">
        <f t="shared" si="2"/>
        <v>Met</v>
      </c>
      <c r="O2286">
        <v>130588</v>
      </c>
      <c r="P2286">
        <v>4158</v>
      </c>
      <c r="Q2286">
        <f>tblMoeHistory[[#This Row],[Amount of IDEA Part B, Section 611 award]]+tblMoeHistory[[#This Row],[Amount of IDEA Part B, Section 619 award]]</f>
        <v>134746</v>
      </c>
      <c r="U22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6" t="str">
        <f>IF(OR(IFERROR(SEARCH("Met",tblMoeHistory[[#This Row],[State and Local Per Capita Result]]),0)&gt;0,IFERROR(SEARCH("Met",tblMoeHistory[[#This Row],[State and Local Total Result]]),0)&gt;0),"Met","Not Met")</f>
        <v>Met</v>
      </c>
    </row>
    <row r="2287" spans="1:22" x14ac:dyDescent="0.35">
      <c r="A2287" t="s">
        <v>140</v>
      </c>
      <c r="B2287">
        <v>2254</v>
      </c>
      <c r="C2287" t="s">
        <v>1777</v>
      </c>
      <c r="D2287">
        <v>649</v>
      </c>
      <c r="E2287">
        <v>8016907.2999999961</v>
      </c>
      <c r="F2287">
        <v>0</v>
      </c>
      <c r="G2287">
        <f>tblMoeHistory[[#This Row],[LEA State and Local Amount]]+tblMoeHistory[[#This Row],[ESD State and Local Amount]]</f>
        <v>8016907.2999999961</v>
      </c>
      <c r="I2287" t="s">
        <v>241</v>
      </c>
      <c r="J2287" s="44">
        <f>IFERROR(tblMoeHistory[[#This Row],[LEA State and Local Amount]]/tblMoeHistory[[#This Row],[Child Count]],0)</f>
        <v>12352.707704160241</v>
      </c>
      <c r="K2287">
        <f>IFERROR(tblMoeHistory[[#This Row],[ESD State and Local Amount]]/tblMoeHistory[[#This Row],[Child Count]],0)</f>
        <v>0</v>
      </c>
      <c r="L2287">
        <f>IFERROR(tblMoeHistory[[#This Row],[State and Local Total Amount]]/tblMoeHistory[[#This Row],[Child Count]],0)</f>
        <v>12352.707704160241</v>
      </c>
      <c r="N2287" t="str">
        <f t="shared" si="2"/>
        <v>Met</v>
      </c>
      <c r="O2287">
        <v>1060936</v>
      </c>
      <c r="P2287">
        <v>24618</v>
      </c>
      <c r="Q2287">
        <f>tblMoeHistory[[#This Row],[Amount of IDEA Part B, Section 611 award]]+tblMoeHistory[[#This Row],[Amount of IDEA Part B, Section 619 award]]</f>
        <v>1085554</v>
      </c>
      <c r="U22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7" t="str">
        <f>IF(OR(IFERROR(SEARCH("Met",tblMoeHistory[[#This Row],[State and Local Per Capita Result]]),0)&gt;0,IFERROR(SEARCH("Met",tblMoeHistory[[#This Row],[State and Local Total Result]]),0)&gt;0),"Met","Not Met")</f>
        <v>Met</v>
      </c>
    </row>
    <row r="2288" spans="1:22" x14ac:dyDescent="0.35">
      <c r="A2288" t="s">
        <v>141</v>
      </c>
      <c r="B2288">
        <v>1966</v>
      </c>
      <c r="C2288" t="s">
        <v>1777</v>
      </c>
      <c r="D2288">
        <v>591</v>
      </c>
      <c r="E2288">
        <v>5179425.1799999988</v>
      </c>
      <c r="F2288">
        <v>1077933</v>
      </c>
      <c r="G2288">
        <f>tblMoeHistory[[#This Row],[LEA State and Local Amount]]+tblMoeHistory[[#This Row],[ESD State and Local Amount]]</f>
        <v>6257358.1799999988</v>
      </c>
      <c r="I2288" t="s">
        <v>241</v>
      </c>
      <c r="J2288" s="44">
        <f>IFERROR(tblMoeHistory[[#This Row],[LEA State and Local Amount]]/tblMoeHistory[[#This Row],[Child Count]],0)</f>
        <v>8763.8327918781706</v>
      </c>
      <c r="K2288">
        <f>IFERROR(tblMoeHistory[[#This Row],[ESD State and Local Amount]]/tblMoeHistory[[#This Row],[Child Count]],0)</f>
        <v>1823.9137055837564</v>
      </c>
      <c r="L2288">
        <f>IFERROR(tblMoeHistory[[#This Row],[State and Local Total Amount]]/tblMoeHistory[[#This Row],[Child Count]],0)</f>
        <v>10587.746497461927</v>
      </c>
      <c r="N2288" t="str">
        <f t="shared" si="2"/>
        <v>Met</v>
      </c>
      <c r="O2288">
        <v>816435</v>
      </c>
      <c r="P2288">
        <v>17771</v>
      </c>
      <c r="Q2288">
        <f>tblMoeHistory[[#This Row],[Amount of IDEA Part B, Section 611 award]]+tblMoeHistory[[#This Row],[Amount of IDEA Part B, Section 619 award]]</f>
        <v>834206</v>
      </c>
      <c r="U22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8" t="str">
        <f>IF(OR(IFERROR(SEARCH("Met",tblMoeHistory[[#This Row],[State and Local Per Capita Result]]),0)&gt;0,IFERROR(SEARCH("Met",tblMoeHistory[[#This Row],[State and Local Total Result]]),0)&gt;0),"Met","Not Met")</f>
        <v>Met</v>
      </c>
    </row>
    <row r="2289" spans="1:22" x14ac:dyDescent="0.35">
      <c r="A2289" t="s">
        <v>142</v>
      </c>
      <c r="B2289">
        <v>1924</v>
      </c>
      <c r="C2289" t="s">
        <v>1777</v>
      </c>
      <c r="D2289">
        <v>2582</v>
      </c>
      <c r="E2289">
        <v>32392394.170000013</v>
      </c>
      <c r="F2289">
        <v>2634358</v>
      </c>
      <c r="G2289">
        <f>tblMoeHistory[[#This Row],[LEA State and Local Amount]]+tblMoeHistory[[#This Row],[ESD State and Local Amount]]</f>
        <v>35026752.170000017</v>
      </c>
      <c r="I2289" t="s">
        <v>241</v>
      </c>
      <c r="J2289" s="44">
        <f>IFERROR(tblMoeHistory[[#This Row],[LEA State and Local Amount]]/tblMoeHistory[[#This Row],[Child Count]],0)</f>
        <v>12545.466371030214</v>
      </c>
      <c r="K2289">
        <f>IFERROR(tblMoeHistory[[#This Row],[ESD State and Local Amount]]/tblMoeHistory[[#This Row],[Child Count]],0)</f>
        <v>1020.2780790085205</v>
      </c>
      <c r="L2289">
        <f>IFERROR(tblMoeHistory[[#This Row],[State and Local Total Amount]]/tblMoeHistory[[#This Row],[Child Count]],0)</f>
        <v>13565.744450038736</v>
      </c>
      <c r="N2289" t="str">
        <f t="shared" si="2"/>
        <v>Met</v>
      </c>
      <c r="O2289">
        <v>3416990</v>
      </c>
      <c r="P2289">
        <v>73316</v>
      </c>
      <c r="Q2289">
        <f>tblMoeHistory[[#This Row],[Amount of IDEA Part B, Section 611 award]]+tblMoeHistory[[#This Row],[Amount of IDEA Part B, Section 619 award]]</f>
        <v>3490306</v>
      </c>
      <c r="U22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9" t="str">
        <f>IF(OR(IFERROR(SEARCH("Met",tblMoeHistory[[#This Row],[State and Local Per Capita Result]]),0)&gt;0,IFERROR(SEARCH("Met",tblMoeHistory[[#This Row],[State and Local Total Result]]),0)&gt;0),"Met","Not Met")</f>
        <v>Met</v>
      </c>
    </row>
    <row r="2290" spans="1:22" x14ac:dyDescent="0.35">
      <c r="A2290" t="s">
        <v>143</v>
      </c>
      <c r="B2290">
        <v>1996</v>
      </c>
      <c r="C2290" t="s">
        <v>1777</v>
      </c>
      <c r="D2290">
        <v>55</v>
      </c>
      <c r="E2290">
        <v>434423.78</v>
      </c>
      <c r="F2290">
        <v>74504.209999999992</v>
      </c>
      <c r="G2290">
        <f>tblMoeHistory[[#This Row],[LEA State and Local Amount]]+tblMoeHistory[[#This Row],[ESD State and Local Amount]]</f>
        <v>508927.99</v>
      </c>
      <c r="I2290" t="s">
        <v>241</v>
      </c>
      <c r="J2290" s="44">
        <f>IFERROR(tblMoeHistory[[#This Row],[LEA State and Local Amount]]/tblMoeHistory[[#This Row],[Child Count]],0)</f>
        <v>7898.6141818181823</v>
      </c>
      <c r="K2290">
        <f>IFERROR(tblMoeHistory[[#This Row],[ESD State and Local Amount]]/tblMoeHistory[[#This Row],[Child Count]],0)</f>
        <v>1354.6219999999998</v>
      </c>
      <c r="L2290">
        <f>IFERROR(tblMoeHistory[[#This Row],[State and Local Total Amount]]/tblMoeHistory[[#This Row],[Child Count]],0)</f>
        <v>9253.2361818181816</v>
      </c>
      <c r="N2290" t="str">
        <f t="shared" si="2"/>
        <v>Did Not Meet</v>
      </c>
      <c r="O2290">
        <v>66855</v>
      </c>
      <c r="P2290">
        <v>1142</v>
      </c>
      <c r="Q2290">
        <f>tblMoeHistory[[#This Row],[Amount of IDEA Part B, Section 611 award]]+tblMoeHistory[[#This Row],[Amount of IDEA Part B, Section 619 award]]</f>
        <v>67997</v>
      </c>
      <c r="U22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0" t="str">
        <f>IF(OR(IFERROR(SEARCH("Met",tblMoeHistory[[#This Row],[State and Local Per Capita Result]]),0)&gt;0,IFERROR(SEARCH("Met",tblMoeHistory[[#This Row],[State and Local Total Result]]),0)&gt;0),"Met","Not Met")</f>
        <v>Met</v>
      </c>
    </row>
    <row r="2291" spans="1:22" x14ac:dyDescent="0.35">
      <c r="A2291" t="s">
        <v>144</v>
      </c>
      <c r="B2291">
        <v>2061</v>
      </c>
      <c r="C2291" t="s">
        <v>1777</v>
      </c>
      <c r="D2291">
        <v>64</v>
      </c>
      <c r="E2291">
        <v>341622.70999999996</v>
      </c>
      <c r="F2291">
        <v>230618.86</v>
      </c>
      <c r="G2291">
        <f>tblMoeHistory[[#This Row],[LEA State and Local Amount]]+tblMoeHistory[[#This Row],[ESD State and Local Amount]]</f>
        <v>572241.56999999995</v>
      </c>
      <c r="I2291" t="s">
        <v>241</v>
      </c>
      <c r="J2291" s="44">
        <f>IFERROR(tblMoeHistory[[#This Row],[LEA State and Local Amount]]/tblMoeHistory[[#This Row],[Child Count]],0)</f>
        <v>5337.8548437499994</v>
      </c>
      <c r="K2291">
        <f>IFERROR(tblMoeHistory[[#This Row],[ESD State and Local Amount]]/tblMoeHistory[[#This Row],[Child Count]],0)</f>
        <v>3603.4196874999998</v>
      </c>
      <c r="L2291">
        <f>IFERROR(tblMoeHistory[[#This Row],[State and Local Total Amount]]/tblMoeHistory[[#This Row],[Child Count]],0)</f>
        <v>8941.2745312499992</v>
      </c>
      <c r="N2291" t="str">
        <f t="shared" si="2"/>
        <v>Met</v>
      </c>
      <c r="O2291">
        <v>57328</v>
      </c>
      <c r="P2291">
        <v>2567</v>
      </c>
      <c r="Q2291">
        <f>tblMoeHistory[[#This Row],[Amount of IDEA Part B, Section 611 award]]+tblMoeHistory[[#This Row],[Amount of IDEA Part B, Section 619 award]]</f>
        <v>59895</v>
      </c>
      <c r="U22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1" t="str">
        <f>IF(OR(IFERROR(SEARCH("Met",tblMoeHistory[[#This Row],[State and Local Per Capita Result]]),0)&gt;0,IFERROR(SEARCH("Met",tblMoeHistory[[#This Row],[State and Local Total Result]]),0)&gt;0),"Met","Not Met")</f>
        <v>Met</v>
      </c>
    </row>
    <row r="2292" spans="1:22" x14ac:dyDescent="0.35">
      <c r="A2292" t="s">
        <v>145</v>
      </c>
      <c r="B2292">
        <v>2141</v>
      </c>
      <c r="C2292" t="s">
        <v>1777</v>
      </c>
      <c r="D2292">
        <v>304</v>
      </c>
      <c r="E2292">
        <v>2823001.7800000003</v>
      </c>
      <c r="F2292">
        <v>564413.5</v>
      </c>
      <c r="G2292">
        <f>tblMoeHistory[[#This Row],[LEA State and Local Amount]]+tblMoeHistory[[#This Row],[ESD State and Local Amount]]</f>
        <v>3387415.2800000003</v>
      </c>
      <c r="I2292" t="s">
        <v>241</v>
      </c>
      <c r="J2292" s="44">
        <f>IFERROR(tblMoeHistory[[#This Row],[LEA State and Local Amount]]/tblMoeHistory[[#This Row],[Child Count]],0)</f>
        <v>9286.1900657894748</v>
      </c>
      <c r="K2292">
        <f>IFERROR(tblMoeHistory[[#This Row],[ESD State and Local Amount]]/tblMoeHistory[[#This Row],[Child Count]],0)</f>
        <v>1856.6233552631579</v>
      </c>
      <c r="L2292">
        <f>IFERROR(tblMoeHistory[[#This Row],[State and Local Total Amount]]/tblMoeHistory[[#This Row],[Child Count]],0)</f>
        <v>11142.813421052633</v>
      </c>
      <c r="N2292" t="str">
        <f t="shared" si="2"/>
        <v>Did Not Meet</v>
      </c>
      <c r="O2292">
        <v>359130</v>
      </c>
      <c r="P2292">
        <v>8746</v>
      </c>
      <c r="Q2292">
        <f>tblMoeHistory[[#This Row],[Amount of IDEA Part B, Section 611 award]]+tblMoeHistory[[#This Row],[Amount of IDEA Part B, Section 619 award]]</f>
        <v>367876</v>
      </c>
      <c r="U22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2" t="str">
        <f>IF(OR(IFERROR(SEARCH("Met",tblMoeHistory[[#This Row],[State and Local Per Capita Result]]),0)&gt;0,IFERROR(SEARCH("Met",tblMoeHistory[[#This Row],[State and Local Total Result]]),0)&gt;0),"Met","Not Met")</f>
        <v>Met</v>
      </c>
    </row>
    <row r="2293" spans="1:22" x14ac:dyDescent="0.35">
      <c r="A2293" t="s">
        <v>146</v>
      </c>
      <c r="B2293">
        <v>2214</v>
      </c>
      <c r="C2293" t="s">
        <v>1777</v>
      </c>
      <c r="D2293">
        <v>36</v>
      </c>
      <c r="E2293">
        <v>284705.89</v>
      </c>
      <c r="F2293">
        <v>78969.58</v>
      </c>
      <c r="G2293">
        <f>tblMoeHistory[[#This Row],[LEA State and Local Amount]]+tblMoeHistory[[#This Row],[ESD State and Local Amount]]</f>
        <v>363675.47000000003</v>
      </c>
      <c r="I2293" t="s">
        <v>241</v>
      </c>
      <c r="J2293" s="44">
        <f>IFERROR(tblMoeHistory[[#This Row],[LEA State and Local Amount]]/tblMoeHistory[[#This Row],[Child Count]],0)</f>
        <v>7908.496944444445</v>
      </c>
      <c r="K2293">
        <f>IFERROR(tblMoeHistory[[#This Row],[ESD State and Local Amount]]/tblMoeHistory[[#This Row],[Child Count]],0)</f>
        <v>2193.5994444444445</v>
      </c>
      <c r="L2293">
        <f>IFERROR(tblMoeHistory[[#This Row],[State and Local Total Amount]]/tblMoeHistory[[#This Row],[Child Count]],0)</f>
        <v>10102.096388888889</v>
      </c>
      <c r="N2293" t="str">
        <f t="shared" si="2"/>
        <v>Met</v>
      </c>
      <c r="O2293">
        <v>63470</v>
      </c>
      <c r="P2293">
        <v>645</v>
      </c>
      <c r="Q2293">
        <f>tblMoeHistory[[#This Row],[Amount of IDEA Part B, Section 611 award]]+tblMoeHistory[[#This Row],[Amount of IDEA Part B, Section 619 award]]</f>
        <v>64115</v>
      </c>
      <c r="U22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3" t="str">
        <f>IF(OR(IFERROR(SEARCH("Met",tblMoeHistory[[#This Row],[State and Local Per Capita Result]]),0)&gt;0,IFERROR(SEARCH("Met",tblMoeHistory[[#This Row],[State and Local Total Result]]),0)&gt;0),"Met","Not Met")</f>
        <v>Met</v>
      </c>
    </row>
    <row r="2294" spans="1:22" x14ac:dyDescent="0.35">
      <c r="A2294" t="s">
        <v>147</v>
      </c>
      <c r="B2294">
        <v>2143</v>
      </c>
      <c r="C2294" t="s">
        <v>1777</v>
      </c>
      <c r="D2294">
        <v>330</v>
      </c>
      <c r="E2294">
        <v>2922543.9499999997</v>
      </c>
      <c r="F2294">
        <v>188290.30000000002</v>
      </c>
      <c r="G2294">
        <f>tblMoeHistory[[#This Row],[LEA State and Local Amount]]+tblMoeHistory[[#This Row],[ESD State and Local Amount]]</f>
        <v>3110834.2499999995</v>
      </c>
      <c r="I2294" t="s">
        <v>242</v>
      </c>
      <c r="J2294" s="44">
        <f>IFERROR(tblMoeHistory[[#This Row],[LEA State and Local Amount]]/tblMoeHistory[[#This Row],[Child Count]],0)</f>
        <v>8856.1937878787867</v>
      </c>
      <c r="K2294">
        <f>IFERROR(tblMoeHistory[[#This Row],[ESD State and Local Amount]]/tblMoeHistory[[#This Row],[Child Count]],0)</f>
        <v>570.57666666666671</v>
      </c>
      <c r="L2294">
        <f>IFERROR(tblMoeHistory[[#This Row],[State and Local Total Amount]]/tblMoeHistory[[#This Row],[Child Count]],0)</f>
        <v>9426.7704545454526</v>
      </c>
      <c r="N2294" t="str">
        <f t="shared" si="2"/>
        <v>Met</v>
      </c>
      <c r="O2294">
        <v>582225</v>
      </c>
      <c r="P2294">
        <v>8767</v>
      </c>
      <c r="Q2294">
        <f>tblMoeHistory[[#This Row],[Amount of IDEA Part B, Section 611 award]]+tblMoeHistory[[#This Row],[Amount of IDEA Part B, Section 619 award]]</f>
        <v>590992</v>
      </c>
      <c r="U22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4" t="str">
        <f>IF(OR(IFERROR(SEARCH("Met",tblMoeHistory[[#This Row],[State and Local Per Capita Result]]),0)&gt;0,IFERROR(SEARCH("Met",tblMoeHistory[[#This Row],[State and Local Total Result]]),0)&gt;0),"Met","Not Met")</f>
        <v>Met</v>
      </c>
    </row>
    <row r="2295" spans="1:22" x14ac:dyDescent="0.35">
      <c r="A2295" t="s">
        <v>148</v>
      </c>
      <c r="B2295">
        <v>4131</v>
      </c>
      <c r="C2295" t="s">
        <v>1777</v>
      </c>
      <c r="D2295">
        <v>420</v>
      </c>
      <c r="E2295">
        <v>4739845.6999999993</v>
      </c>
      <c r="F2295">
        <v>0</v>
      </c>
      <c r="G2295">
        <f>tblMoeHistory[[#This Row],[LEA State and Local Amount]]+tblMoeHistory[[#This Row],[ESD State and Local Amount]]</f>
        <v>4739845.6999999993</v>
      </c>
      <c r="I2295" t="s">
        <v>241</v>
      </c>
      <c r="J2295" s="44">
        <f>IFERROR(tblMoeHistory[[#This Row],[LEA State and Local Amount]]/tblMoeHistory[[#This Row],[Child Count]],0)</f>
        <v>11285.346904761904</v>
      </c>
      <c r="K2295">
        <f>IFERROR(tblMoeHistory[[#This Row],[ESD State and Local Amount]]/tblMoeHistory[[#This Row],[Child Count]],0)</f>
        <v>0</v>
      </c>
      <c r="L2295">
        <f>IFERROR(tblMoeHistory[[#This Row],[State and Local Total Amount]]/tblMoeHistory[[#This Row],[Child Count]],0)</f>
        <v>11285.346904761904</v>
      </c>
      <c r="N2295" t="str">
        <f t="shared" si="2"/>
        <v>Met</v>
      </c>
      <c r="O2295">
        <v>720230</v>
      </c>
      <c r="P2295">
        <v>27030</v>
      </c>
      <c r="Q2295">
        <f>tblMoeHistory[[#This Row],[Amount of IDEA Part B, Section 611 award]]+tblMoeHistory[[#This Row],[Amount of IDEA Part B, Section 619 award]]</f>
        <v>747260</v>
      </c>
      <c r="U22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5" t="str">
        <f>IF(OR(IFERROR(SEARCH("Met",tblMoeHistory[[#This Row],[State and Local Per Capita Result]]),0)&gt;0,IFERROR(SEARCH("Met",tblMoeHistory[[#This Row],[State and Local Total Result]]),0)&gt;0),"Met","Not Met")</f>
        <v>Met</v>
      </c>
    </row>
    <row r="2296" spans="1:22" x14ac:dyDescent="0.35">
      <c r="A2296" t="s">
        <v>149</v>
      </c>
      <c r="B2296">
        <v>2110</v>
      </c>
      <c r="C2296" t="s">
        <v>1777</v>
      </c>
      <c r="D2296">
        <v>148</v>
      </c>
      <c r="E2296">
        <v>1019557.23</v>
      </c>
      <c r="F2296">
        <v>452780.38</v>
      </c>
      <c r="G2296">
        <f>tblMoeHistory[[#This Row],[LEA State and Local Amount]]+tblMoeHistory[[#This Row],[ESD State and Local Amount]]</f>
        <v>1472337.6099999999</v>
      </c>
      <c r="I2296" t="s">
        <v>241</v>
      </c>
      <c r="J2296" s="44">
        <f>IFERROR(tblMoeHistory[[#This Row],[LEA State and Local Amount]]/tblMoeHistory[[#This Row],[Child Count]],0)</f>
        <v>6888.9002027027027</v>
      </c>
      <c r="K2296">
        <f>IFERROR(tblMoeHistory[[#This Row],[ESD State and Local Amount]]/tblMoeHistory[[#This Row],[Child Count]],0)</f>
        <v>3059.326891891892</v>
      </c>
      <c r="L2296">
        <f>IFERROR(tblMoeHistory[[#This Row],[State and Local Total Amount]]/tblMoeHistory[[#This Row],[Child Count]],0)</f>
        <v>9948.2270945945929</v>
      </c>
      <c r="N2296" t="str">
        <f t="shared" si="2"/>
        <v>Met</v>
      </c>
      <c r="O2296">
        <v>286104</v>
      </c>
      <c r="P2296">
        <v>5106</v>
      </c>
      <c r="Q2296">
        <f>tblMoeHistory[[#This Row],[Amount of IDEA Part B, Section 611 award]]+tblMoeHistory[[#This Row],[Amount of IDEA Part B, Section 619 award]]</f>
        <v>291210</v>
      </c>
      <c r="U22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6" t="str">
        <f>IF(OR(IFERROR(SEARCH("Met",tblMoeHistory[[#This Row],[State and Local Per Capita Result]]),0)&gt;0,IFERROR(SEARCH("Met",tblMoeHistory[[#This Row],[State and Local Total Result]]),0)&gt;0),"Met","Not Met")</f>
        <v>Met</v>
      </c>
    </row>
    <row r="2297" spans="1:22" x14ac:dyDescent="0.35">
      <c r="A2297" t="s">
        <v>150</v>
      </c>
      <c r="B2297">
        <v>1990</v>
      </c>
      <c r="C2297" t="s">
        <v>1777</v>
      </c>
      <c r="D2297">
        <v>94</v>
      </c>
      <c r="E2297">
        <v>460300.24000000005</v>
      </c>
      <c r="F2297">
        <v>113363.98</v>
      </c>
      <c r="G2297">
        <f>tblMoeHistory[[#This Row],[LEA State and Local Amount]]+tblMoeHistory[[#This Row],[ESD State and Local Amount]]</f>
        <v>573664.22000000009</v>
      </c>
      <c r="I2297" t="s">
        <v>241</v>
      </c>
      <c r="J2297" s="44">
        <f>IFERROR(tblMoeHistory[[#This Row],[LEA State and Local Amount]]/tblMoeHistory[[#This Row],[Child Count]],0)</f>
        <v>4896.8110638297876</v>
      </c>
      <c r="K2297">
        <f>IFERROR(tblMoeHistory[[#This Row],[ESD State and Local Amount]]/tblMoeHistory[[#This Row],[Child Count]],0)</f>
        <v>1205.9997872340425</v>
      </c>
      <c r="L2297">
        <f>IFERROR(tblMoeHistory[[#This Row],[State and Local Total Amount]]/tblMoeHistory[[#This Row],[Child Count]],0)</f>
        <v>6102.8108510638303</v>
      </c>
      <c r="N2297" t="str">
        <f t="shared" si="2"/>
        <v>Did Not Meet</v>
      </c>
      <c r="O2297">
        <v>134403</v>
      </c>
      <c r="P2297">
        <v>4722</v>
      </c>
      <c r="Q2297">
        <f>tblMoeHistory[[#This Row],[Amount of IDEA Part B, Section 611 award]]+tblMoeHistory[[#This Row],[Amount of IDEA Part B, Section 619 award]]</f>
        <v>139125</v>
      </c>
      <c r="U22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7" t="str">
        <f>IF(OR(IFERROR(SEARCH("Met",tblMoeHistory[[#This Row],[State and Local Per Capita Result]]),0)&gt;0,IFERROR(SEARCH("Met",tblMoeHistory[[#This Row],[State and Local Total Result]]),0)&gt;0),"Met","Not Met")</f>
        <v>Met</v>
      </c>
    </row>
    <row r="2298" spans="1:22" x14ac:dyDescent="0.35">
      <c r="A2298" t="s">
        <v>151</v>
      </c>
      <c r="B2298">
        <v>2093</v>
      </c>
      <c r="C2298" t="s">
        <v>1777</v>
      </c>
      <c r="D2298">
        <v>93</v>
      </c>
      <c r="E2298">
        <v>367122.00000000017</v>
      </c>
      <c r="F2298">
        <v>253908</v>
      </c>
      <c r="G2298">
        <f>tblMoeHistory[[#This Row],[LEA State and Local Amount]]+tblMoeHistory[[#This Row],[ESD State and Local Amount]]</f>
        <v>621030.00000000023</v>
      </c>
      <c r="I2298" t="s">
        <v>241</v>
      </c>
      <c r="J2298" s="44">
        <f>IFERROR(tblMoeHistory[[#This Row],[LEA State and Local Amount]]/tblMoeHistory[[#This Row],[Child Count]],0)</f>
        <v>3947.548387096776</v>
      </c>
      <c r="K2298">
        <f>IFERROR(tblMoeHistory[[#This Row],[ESD State and Local Amount]]/tblMoeHistory[[#This Row],[Child Count]],0)</f>
        <v>2730.1935483870966</v>
      </c>
      <c r="L2298">
        <f>IFERROR(tblMoeHistory[[#This Row],[State and Local Total Amount]]/tblMoeHistory[[#This Row],[Child Count]],0)</f>
        <v>6677.741935483873</v>
      </c>
      <c r="N2298" t="str">
        <f t="shared" ref="N2298:N2361" si="3">IF(L2298&gt;=L2101,"Met","Did Not Meet")</f>
        <v>Met</v>
      </c>
      <c r="O2298">
        <v>185619</v>
      </c>
      <c r="P2298">
        <v>10575</v>
      </c>
      <c r="Q2298">
        <f>tblMoeHistory[[#This Row],[Amount of IDEA Part B, Section 611 award]]+tblMoeHistory[[#This Row],[Amount of IDEA Part B, Section 619 award]]</f>
        <v>196194</v>
      </c>
      <c r="U22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8" t="str">
        <f>IF(OR(IFERROR(SEARCH("Met",tblMoeHistory[[#This Row],[State and Local Per Capita Result]]),0)&gt;0,IFERROR(SEARCH("Met",tblMoeHistory[[#This Row],[State and Local Total Result]]),0)&gt;0),"Met","Not Met")</f>
        <v>Met</v>
      </c>
    </row>
    <row r="2299" spans="1:22" x14ac:dyDescent="0.35">
      <c r="A2299" t="s">
        <v>152</v>
      </c>
      <c r="B2299">
        <v>2108</v>
      </c>
      <c r="C2299" t="s">
        <v>1777</v>
      </c>
      <c r="D2299">
        <v>317</v>
      </c>
      <c r="E2299">
        <v>3702780.0799999996</v>
      </c>
      <c r="F2299">
        <v>70061.919999999998</v>
      </c>
      <c r="G2299">
        <f>tblMoeHistory[[#This Row],[LEA State and Local Amount]]+tblMoeHistory[[#This Row],[ESD State and Local Amount]]</f>
        <v>3772841.9999999995</v>
      </c>
      <c r="I2299" t="s">
        <v>242</v>
      </c>
      <c r="J2299" s="44">
        <f>IFERROR(tblMoeHistory[[#This Row],[LEA State and Local Amount]]/tblMoeHistory[[#This Row],[Child Count]],0)</f>
        <v>11680.694258675077</v>
      </c>
      <c r="K2299">
        <f>IFERROR(tblMoeHistory[[#This Row],[ESD State and Local Amount]]/tblMoeHistory[[#This Row],[Child Count]],0)</f>
        <v>221.01552050473185</v>
      </c>
      <c r="L2299">
        <f>IFERROR(tblMoeHistory[[#This Row],[State and Local Total Amount]]/tblMoeHistory[[#This Row],[Child Count]],0)</f>
        <v>11901.70977917981</v>
      </c>
      <c r="N2299" t="str">
        <f t="shared" si="3"/>
        <v>Met</v>
      </c>
      <c r="O2299">
        <v>625820</v>
      </c>
      <c r="P2299">
        <v>15065</v>
      </c>
      <c r="Q2299">
        <f>tblMoeHistory[[#This Row],[Amount of IDEA Part B, Section 611 award]]+tblMoeHistory[[#This Row],[Amount of IDEA Part B, Section 619 award]]</f>
        <v>640885</v>
      </c>
      <c r="U22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9" t="str">
        <f>IF(OR(IFERROR(SEARCH("Met",tblMoeHistory[[#This Row],[State and Local Per Capita Result]]),0)&gt;0,IFERROR(SEARCH("Met",tblMoeHistory[[#This Row],[State and Local Total Result]]),0)&gt;0),"Met","Not Met")</f>
        <v>Met</v>
      </c>
    </row>
    <row r="2300" spans="1:22" x14ac:dyDescent="0.35">
      <c r="A2300" t="s">
        <v>153</v>
      </c>
      <c r="B2300">
        <v>1928</v>
      </c>
      <c r="C2300" t="s">
        <v>1777</v>
      </c>
      <c r="D2300">
        <v>1094</v>
      </c>
      <c r="E2300">
        <v>15395798.369999999</v>
      </c>
      <c r="F2300">
        <v>1425395</v>
      </c>
      <c r="G2300">
        <f>tblMoeHistory[[#This Row],[LEA State and Local Amount]]+tblMoeHistory[[#This Row],[ESD State and Local Amount]]</f>
        <v>16821193.369999997</v>
      </c>
      <c r="I2300" t="s">
        <v>241</v>
      </c>
      <c r="J2300" s="44">
        <f>IFERROR(tblMoeHistory[[#This Row],[LEA State and Local Amount]]/tblMoeHistory[[#This Row],[Child Count]],0)</f>
        <v>14072.941837294333</v>
      </c>
      <c r="K2300">
        <f>IFERROR(tblMoeHistory[[#This Row],[ESD State and Local Amount]]/tblMoeHistory[[#This Row],[Child Count]],0)</f>
        <v>1302.9204753199269</v>
      </c>
      <c r="L2300">
        <f>IFERROR(tblMoeHistory[[#This Row],[State and Local Total Amount]]/tblMoeHistory[[#This Row],[Child Count]],0)</f>
        <v>15375.862312614257</v>
      </c>
      <c r="N2300" t="str">
        <f t="shared" si="3"/>
        <v>Met</v>
      </c>
      <c r="O2300">
        <v>1701410</v>
      </c>
      <c r="P2300">
        <v>45146</v>
      </c>
      <c r="Q2300">
        <f>tblMoeHistory[[#This Row],[Amount of IDEA Part B, Section 611 award]]+tblMoeHistory[[#This Row],[Amount of IDEA Part B, Section 619 award]]</f>
        <v>1746556</v>
      </c>
      <c r="U23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0" t="str">
        <f>IF(OR(IFERROR(SEARCH("Met",tblMoeHistory[[#This Row],[State and Local Per Capita Result]]),0)&gt;0,IFERROR(SEARCH("Met",tblMoeHistory[[#This Row],[State and Local Total Result]]),0)&gt;0),"Met","Not Met")</f>
        <v>Met</v>
      </c>
    </row>
    <row r="2301" spans="1:22" x14ac:dyDescent="0.35">
      <c r="A2301" t="s">
        <v>154</v>
      </c>
      <c r="B2301">
        <v>1926</v>
      </c>
      <c r="C2301" t="s">
        <v>1777</v>
      </c>
      <c r="D2301">
        <v>567</v>
      </c>
      <c r="E2301">
        <v>7579961.7400000012</v>
      </c>
      <c r="F2301">
        <v>922577</v>
      </c>
      <c r="G2301">
        <f>tblMoeHistory[[#This Row],[LEA State and Local Amount]]+tblMoeHistory[[#This Row],[ESD State and Local Amount]]</f>
        <v>8502538.7400000021</v>
      </c>
      <c r="I2301" t="s">
        <v>241</v>
      </c>
      <c r="J2301" s="44">
        <f>IFERROR(tblMoeHistory[[#This Row],[LEA State and Local Amount]]/tblMoeHistory[[#This Row],[Child Count]],0)</f>
        <v>13368.539223985892</v>
      </c>
      <c r="K2301">
        <f>IFERROR(tblMoeHistory[[#This Row],[ESD State and Local Amount]]/tblMoeHistory[[#This Row],[Child Count]],0)</f>
        <v>1627.1199294532628</v>
      </c>
      <c r="L2301">
        <f>IFERROR(tblMoeHistory[[#This Row],[State and Local Total Amount]]/tblMoeHistory[[#This Row],[Child Count]],0)</f>
        <v>14995.659153439157</v>
      </c>
      <c r="N2301" t="str">
        <f t="shared" si="3"/>
        <v>Met</v>
      </c>
      <c r="O2301">
        <v>900863</v>
      </c>
      <c r="P2301">
        <v>23738</v>
      </c>
      <c r="Q2301">
        <f>tblMoeHistory[[#This Row],[Amount of IDEA Part B, Section 611 award]]+tblMoeHistory[[#This Row],[Amount of IDEA Part B, Section 619 award]]</f>
        <v>924601</v>
      </c>
      <c r="U23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1" t="str">
        <f>IF(OR(IFERROR(SEARCH("Met",tblMoeHistory[[#This Row],[State and Local Per Capita Result]]),0)&gt;0,IFERROR(SEARCH("Met",tblMoeHistory[[#This Row],[State and Local Total Result]]),0)&gt;0),"Met","Not Met")</f>
        <v>Met</v>
      </c>
    </row>
    <row r="2302" spans="1:22" x14ac:dyDescent="0.35">
      <c r="A2302" t="s">
        <v>155</v>
      </c>
      <c r="B2302">
        <v>2060</v>
      </c>
      <c r="C2302" t="s">
        <v>1777</v>
      </c>
      <c r="D2302">
        <v>35</v>
      </c>
      <c r="E2302">
        <v>246418.9</v>
      </c>
      <c r="F2302">
        <v>56750.6</v>
      </c>
      <c r="G2302">
        <f>tblMoeHistory[[#This Row],[LEA State and Local Amount]]+tblMoeHistory[[#This Row],[ESD State and Local Amount]]</f>
        <v>303169.5</v>
      </c>
      <c r="I2302" t="s">
        <v>241</v>
      </c>
      <c r="J2302" s="44">
        <f>IFERROR(tblMoeHistory[[#This Row],[LEA State and Local Amount]]/tblMoeHistory[[#This Row],[Child Count]],0)</f>
        <v>7040.54</v>
      </c>
      <c r="K2302">
        <f>IFERROR(tblMoeHistory[[#This Row],[ESD State and Local Amount]]/tblMoeHistory[[#This Row],[Child Count]],0)</f>
        <v>1621.4457142857143</v>
      </c>
      <c r="L2302">
        <f>IFERROR(tblMoeHistory[[#This Row],[State and Local Total Amount]]/tblMoeHistory[[#This Row],[Child Count]],0)</f>
        <v>8661.9857142857145</v>
      </c>
      <c r="N2302" t="str">
        <f t="shared" si="3"/>
        <v>Did Not Meet</v>
      </c>
      <c r="O2302">
        <v>36732</v>
      </c>
      <c r="P2302">
        <v>589</v>
      </c>
      <c r="Q2302">
        <f>tblMoeHistory[[#This Row],[Amount of IDEA Part B, Section 611 award]]+tblMoeHistory[[#This Row],[Amount of IDEA Part B, Section 619 award]]</f>
        <v>37321</v>
      </c>
      <c r="U23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2" t="str">
        <f>IF(OR(IFERROR(SEARCH("Met",tblMoeHistory[[#This Row],[State and Local Per Capita Result]]),0)&gt;0,IFERROR(SEARCH("Met",tblMoeHistory[[#This Row],[State and Local Total Result]]),0)&gt;0),"Met","Not Met")</f>
        <v>Met</v>
      </c>
    </row>
    <row r="2303" spans="1:22" x14ac:dyDescent="0.35">
      <c r="A2303" t="s">
        <v>156</v>
      </c>
      <c r="B2303">
        <v>2181</v>
      </c>
      <c r="C2303" t="s">
        <v>1777</v>
      </c>
      <c r="D2303">
        <v>432</v>
      </c>
      <c r="E2303">
        <v>6200352.71</v>
      </c>
      <c r="F2303">
        <v>811033.98</v>
      </c>
      <c r="G2303">
        <f>tblMoeHistory[[#This Row],[LEA State and Local Amount]]+tblMoeHistory[[#This Row],[ESD State and Local Amount]]</f>
        <v>7011386.6899999995</v>
      </c>
      <c r="I2303" t="s">
        <v>241</v>
      </c>
      <c r="J2303" s="44">
        <f>IFERROR(tblMoeHistory[[#This Row],[LEA State and Local Amount]]/tblMoeHistory[[#This Row],[Child Count]],0)</f>
        <v>14352.668310185185</v>
      </c>
      <c r="K2303">
        <f>IFERROR(tblMoeHistory[[#This Row],[ESD State and Local Amount]]/tblMoeHistory[[#This Row],[Child Count]],0)</f>
        <v>1877.3934722222223</v>
      </c>
      <c r="L2303">
        <f>IFERROR(tblMoeHistory[[#This Row],[State and Local Total Amount]]/tblMoeHistory[[#This Row],[Child Count]],0)</f>
        <v>16230.061782407407</v>
      </c>
      <c r="N2303" t="str">
        <f t="shared" si="3"/>
        <v>Met</v>
      </c>
      <c r="O2303">
        <v>732467</v>
      </c>
      <c r="P2303">
        <v>15571</v>
      </c>
      <c r="Q2303">
        <f>tblMoeHistory[[#This Row],[Amount of IDEA Part B, Section 611 award]]+tblMoeHistory[[#This Row],[Amount of IDEA Part B, Section 619 award]]</f>
        <v>748038</v>
      </c>
      <c r="U23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3" t="str">
        <f>IF(OR(IFERROR(SEARCH("Met",tblMoeHistory[[#This Row],[State and Local Per Capita Result]]),0)&gt;0,IFERROR(SEARCH("Met",tblMoeHistory[[#This Row],[State and Local Total Result]]),0)&gt;0),"Met","Not Met")</f>
        <v>Met</v>
      </c>
    </row>
    <row r="2304" spans="1:22" x14ac:dyDescent="0.35">
      <c r="A2304" t="s">
        <v>157</v>
      </c>
      <c r="B2304">
        <v>2207</v>
      </c>
      <c r="C2304" t="s">
        <v>1777</v>
      </c>
      <c r="D2304">
        <v>467</v>
      </c>
      <c r="E2304">
        <v>5449765.7700000005</v>
      </c>
      <c r="F2304">
        <v>906538.49</v>
      </c>
      <c r="G2304">
        <f>tblMoeHistory[[#This Row],[LEA State and Local Amount]]+tblMoeHistory[[#This Row],[ESD State and Local Amount]]</f>
        <v>6356304.2600000007</v>
      </c>
      <c r="I2304" t="s">
        <v>241</v>
      </c>
      <c r="J2304" s="44">
        <f>IFERROR(tblMoeHistory[[#This Row],[LEA State and Local Amount]]/tblMoeHistory[[#This Row],[Child Count]],0)</f>
        <v>11669.73398286938</v>
      </c>
      <c r="K2304">
        <f>IFERROR(tblMoeHistory[[#This Row],[ESD State and Local Amount]]/tblMoeHistory[[#This Row],[Child Count]],0)</f>
        <v>1941.1959100642398</v>
      </c>
      <c r="L2304">
        <f>IFERROR(tblMoeHistory[[#This Row],[State and Local Total Amount]]/tblMoeHistory[[#This Row],[Child Count]],0)</f>
        <v>13610.92989293362</v>
      </c>
      <c r="N2304" t="str">
        <f t="shared" si="3"/>
        <v>Met</v>
      </c>
      <c r="O2304">
        <v>753022</v>
      </c>
      <c r="P2304">
        <v>23618</v>
      </c>
      <c r="Q2304">
        <f>tblMoeHistory[[#This Row],[Amount of IDEA Part B, Section 611 award]]+tblMoeHistory[[#This Row],[Amount of IDEA Part B, Section 619 award]]</f>
        <v>776640</v>
      </c>
      <c r="U23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4" t="str">
        <f>IF(OR(IFERROR(SEARCH("Met",tblMoeHistory[[#This Row],[State and Local Per Capita Result]]),0)&gt;0,IFERROR(SEARCH("Met",tblMoeHistory[[#This Row],[State and Local Total Result]]),0)&gt;0),"Met","Not Met")</f>
        <v>Met</v>
      </c>
    </row>
    <row r="2305" spans="1:22" x14ac:dyDescent="0.35">
      <c r="A2305" t="s">
        <v>158</v>
      </c>
      <c r="B2305">
        <v>2192</v>
      </c>
      <c r="C2305" t="s">
        <v>1777</v>
      </c>
      <c r="D2305">
        <v>25</v>
      </c>
      <c r="E2305">
        <v>524933.7300000001</v>
      </c>
      <c r="F2305">
        <v>69431.5</v>
      </c>
      <c r="G2305">
        <f>tblMoeHistory[[#This Row],[LEA State and Local Amount]]+tblMoeHistory[[#This Row],[ESD State and Local Amount]]</f>
        <v>594365.2300000001</v>
      </c>
      <c r="I2305" t="s">
        <v>242</v>
      </c>
      <c r="J2305" s="44">
        <f>IFERROR(tblMoeHistory[[#This Row],[LEA State and Local Amount]]/tblMoeHistory[[#This Row],[Child Count]],0)</f>
        <v>20997.349200000004</v>
      </c>
      <c r="K2305">
        <f>IFERROR(tblMoeHistory[[#This Row],[ESD State and Local Amount]]/tblMoeHistory[[#This Row],[Child Count]],0)</f>
        <v>2777.26</v>
      </c>
      <c r="L2305">
        <f>IFERROR(tblMoeHistory[[#This Row],[State and Local Total Amount]]/tblMoeHistory[[#This Row],[Child Count]],0)</f>
        <v>23774.609200000003</v>
      </c>
      <c r="N2305" t="str">
        <f t="shared" si="3"/>
        <v>Met</v>
      </c>
      <c r="O2305">
        <v>49652</v>
      </c>
      <c r="P2305">
        <v>1132</v>
      </c>
      <c r="Q2305">
        <f>tblMoeHistory[[#This Row],[Amount of IDEA Part B, Section 611 award]]+tblMoeHistory[[#This Row],[Amount of IDEA Part B, Section 619 award]]</f>
        <v>50784</v>
      </c>
      <c r="U23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5" t="str">
        <f>IF(OR(IFERROR(SEARCH("Met",tblMoeHistory[[#This Row],[State and Local Per Capita Result]]),0)&gt;0,IFERROR(SEARCH("Met",tblMoeHistory[[#This Row],[State and Local Total Result]]),0)&gt;0),"Met","Not Met")</f>
        <v>Met</v>
      </c>
    </row>
    <row r="2306" spans="1:22" x14ac:dyDescent="0.35">
      <c r="A2306" t="s">
        <v>160</v>
      </c>
      <c r="B2306">
        <v>1900</v>
      </c>
      <c r="C2306" t="s">
        <v>1777</v>
      </c>
      <c r="D2306">
        <v>157</v>
      </c>
      <c r="E2306">
        <v>2084857.86</v>
      </c>
      <c r="F2306">
        <v>172453</v>
      </c>
      <c r="G2306">
        <f>tblMoeHistory[[#This Row],[LEA State and Local Amount]]+tblMoeHistory[[#This Row],[ESD State and Local Amount]]</f>
        <v>2257310.8600000003</v>
      </c>
      <c r="I2306" t="s">
        <v>241</v>
      </c>
      <c r="J2306" s="44">
        <f>IFERROR(tblMoeHistory[[#This Row],[LEA State and Local Amount]]/tblMoeHistory[[#This Row],[Child Count]],0)</f>
        <v>13279.349426751593</v>
      </c>
      <c r="K2306">
        <f>IFERROR(tblMoeHistory[[#This Row],[ESD State and Local Amount]]/tblMoeHistory[[#This Row],[Child Count]],0)</f>
        <v>1098.4267515923566</v>
      </c>
      <c r="L2306">
        <f>IFERROR(tblMoeHistory[[#This Row],[State and Local Total Amount]]/tblMoeHistory[[#This Row],[Child Count]],0)</f>
        <v>14377.776178343951</v>
      </c>
      <c r="N2306" t="str">
        <f t="shared" si="3"/>
        <v>Did Not Meet</v>
      </c>
      <c r="O2306">
        <v>333887</v>
      </c>
      <c r="P2306">
        <v>13471</v>
      </c>
      <c r="Q2306">
        <f>tblMoeHistory[[#This Row],[Amount of IDEA Part B, Section 611 award]]+tblMoeHistory[[#This Row],[Amount of IDEA Part B, Section 619 award]]</f>
        <v>347358</v>
      </c>
      <c r="U23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6" t="str">
        <f>IF(OR(IFERROR(SEARCH("Met",tblMoeHistory[[#This Row],[State and Local Per Capita Result]]),0)&gt;0,IFERROR(SEARCH("Met",tblMoeHistory[[#This Row],[State and Local Total Result]]),0)&gt;0),"Met","Not Met")</f>
        <v>Met</v>
      </c>
    </row>
    <row r="2307" spans="1:22" x14ac:dyDescent="0.35">
      <c r="A2307" t="s">
        <v>161</v>
      </c>
      <c r="B2307">
        <v>2039</v>
      </c>
      <c r="C2307" t="s">
        <v>1777</v>
      </c>
      <c r="D2307">
        <v>374</v>
      </c>
      <c r="E2307">
        <v>4090767.3599999994</v>
      </c>
      <c r="F2307">
        <v>380845.62</v>
      </c>
      <c r="G2307">
        <f>tblMoeHistory[[#This Row],[LEA State and Local Amount]]+tblMoeHistory[[#This Row],[ESD State and Local Amount]]</f>
        <v>4471612.9799999995</v>
      </c>
      <c r="I2307" t="s">
        <v>241</v>
      </c>
      <c r="J2307" s="44">
        <f>IFERROR(tblMoeHistory[[#This Row],[LEA State and Local Amount]]/tblMoeHistory[[#This Row],[Child Count]],0)</f>
        <v>10937.880641711228</v>
      </c>
      <c r="K2307">
        <f>IFERROR(tblMoeHistory[[#This Row],[ESD State and Local Amount]]/tblMoeHistory[[#This Row],[Child Count]],0)</f>
        <v>1018.3037967914438</v>
      </c>
      <c r="L2307">
        <f>IFERROR(tblMoeHistory[[#This Row],[State and Local Total Amount]]/tblMoeHistory[[#This Row],[Child Count]],0)</f>
        <v>11956.184438502672</v>
      </c>
      <c r="N2307" t="str">
        <f t="shared" si="3"/>
        <v>Met</v>
      </c>
      <c r="O2307">
        <v>646905</v>
      </c>
      <c r="P2307">
        <v>22698</v>
      </c>
      <c r="Q2307">
        <f>tblMoeHistory[[#This Row],[Amount of IDEA Part B, Section 611 award]]+tblMoeHistory[[#This Row],[Amount of IDEA Part B, Section 619 award]]</f>
        <v>669603</v>
      </c>
      <c r="U23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7" t="str">
        <f>IF(OR(IFERROR(SEARCH("Met",tblMoeHistory[[#This Row],[State and Local Per Capita Result]]),0)&gt;0,IFERROR(SEARCH("Met",tblMoeHistory[[#This Row],[State and Local Total Result]]),0)&gt;0),"Met","Not Met")</f>
        <v>Met</v>
      </c>
    </row>
    <row r="2308" spans="1:22" x14ac:dyDescent="0.35">
      <c r="A2308" t="s">
        <v>162</v>
      </c>
      <c r="B2308">
        <v>2202</v>
      </c>
      <c r="C2308" t="s">
        <v>1777</v>
      </c>
      <c r="D2308">
        <v>42</v>
      </c>
      <c r="E2308">
        <v>379568.76000000007</v>
      </c>
      <c r="F2308">
        <v>80345.11</v>
      </c>
      <c r="G2308">
        <f>tblMoeHistory[[#This Row],[LEA State and Local Amount]]+tblMoeHistory[[#This Row],[ESD State and Local Amount]]</f>
        <v>459913.87000000005</v>
      </c>
      <c r="I2308" t="s">
        <v>241</v>
      </c>
      <c r="J2308" s="44">
        <f>IFERROR(tblMoeHistory[[#This Row],[LEA State and Local Amount]]/tblMoeHistory[[#This Row],[Child Count]],0)</f>
        <v>9037.35142857143</v>
      </c>
      <c r="K2308">
        <f>IFERROR(tblMoeHistory[[#This Row],[ESD State and Local Amount]]/tblMoeHistory[[#This Row],[Child Count]],0)</f>
        <v>1912.9788095238096</v>
      </c>
      <c r="L2308">
        <f>IFERROR(tblMoeHistory[[#This Row],[State and Local Total Amount]]/tblMoeHistory[[#This Row],[Child Count]],0)</f>
        <v>10950.330238095239</v>
      </c>
      <c r="N2308" t="str">
        <f t="shared" si="3"/>
        <v>Did Not Meet</v>
      </c>
      <c r="O2308">
        <v>81440</v>
      </c>
      <c r="P2308">
        <v>1617</v>
      </c>
      <c r="Q2308">
        <f>tblMoeHistory[[#This Row],[Amount of IDEA Part B, Section 611 award]]+tblMoeHistory[[#This Row],[Amount of IDEA Part B, Section 619 award]]</f>
        <v>83057</v>
      </c>
      <c r="U23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8" t="str">
        <f>IF(OR(IFERROR(SEARCH("Met",tblMoeHistory[[#This Row],[State and Local Per Capita Result]]),0)&gt;0,IFERROR(SEARCH("Met",tblMoeHistory[[#This Row],[State and Local Total Result]]),0)&gt;0),"Met","Not Met")</f>
        <v>Met</v>
      </c>
    </row>
    <row r="2309" spans="1:22" x14ac:dyDescent="0.35">
      <c r="A2309" t="s">
        <v>163</v>
      </c>
      <c r="B2309">
        <v>2016</v>
      </c>
      <c r="C2309" t="s">
        <v>1777</v>
      </c>
      <c r="D2309">
        <v>0</v>
      </c>
      <c r="E2309">
        <v>0</v>
      </c>
      <c r="F2309">
        <v>16313.730000000001</v>
      </c>
      <c r="G2309">
        <f>tblMoeHistory[[#This Row],[LEA State and Local Amount]]+tblMoeHistory[[#This Row],[ESD State and Local Amount]]</f>
        <v>16313.730000000001</v>
      </c>
      <c r="I2309" t="s">
        <v>241</v>
      </c>
      <c r="J2309" s="44">
        <f>IFERROR(tblMoeHistory[[#This Row],[LEA State and Local Amount]]/tblMoeHistory[[#This Row],[Child Count]],0)</f>
        <v>0</v>
      </c>
      <c r="K2309">
        <f>IFERROR(tblMoeHistory[[#This Row],[ESD State and Local Amount]]/tblMoeHistory[[#This Row],[Child Count]],0)</f>
        <v>0</v>
      </c>
      <c r="L2309">
        <f>IFERROR(tblMoeHistory[[#This Row],[State and Local Total Amount]]/tblMoeHistory[[#This Row],[Child Count]],0)</f>
        <v>0</v>
      </c>
      <c r="N2309" t="str">
        <f t="shared" si="3"/>
        <v>Met</v>
      </c>
      <c r="O2309">
        <v>1937</v>
      </c>
      <c r="P2309">
        <v>275</v>
      </c>
      <c r="Q2309">
        <f>tblMoeHistory[[#This Row],[Amount of IDEA Part B, Section 611 award]]+tblMoeHistory[[#This Row],[Amount of IDEA Part B, Section 619 award]]</f>
        <v>2212</v>
      </c>
      <c r="U23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9" t="str">
        <f>IF(OR(IFERROR(SEARCH("Met",tblMoeHistory[[#This Row],[State and Local Per Capita Result]]),0)&gt;0,IFERROR(SEARCH("Met",tblMoeHistory[[#This Row],[State and Local Total Result]]),0)&gt;0),"Met","Not Met")</f>
        <v>Met</v>
      </c>
    </row>
    <row r="2310" spans="1:22" x14ac:dyDescent="0.35">
      <c r="A2310" t="s">
        <v>164</v>
      </c>
      <c r="B2310">
        <v>1897</v>
      </c>
      <c r="C2310" t="s">
        <v>1777</v>
      </c>
      <c r="D2310">
        <v>35</v>
      </c>
      <c r="E2310">
        <v>253000.58</v>
      </c>
      <c r="F2310">
        <v>0</v>
      </c>
      <c r="G2310">
        <f>tblMoeHistory[[#This Row],[LEA State and Local Amount]]+tblMoeHistory[[#This Row],[ESD State and Local Amount]]</f>
        <v>253000.58</v>
      </c>
      <c r="I2310" t="s">
        <v>241</v>
      </c>
      <c r="J2310" s="44">
        <f>IFERROR(tblMoeHistory[[#This Row],[LEA State and Local Amount]]/tblMoeHistory[[#This Row],[Child Count]],0)</f>
        <v>7228.5879999999997</v>
      </c>
      <c r="K2310">
        <f>IFERROR(tblMoeHistory[[#This Row],[ESD State and Local Amount]]/tblMoeHistory[[#This Row],[Child Count]],0)</f>
        <v>0</v>
      </c>
      <c r="L2310">
        <f>IFERROR(tblMoeHistory[[#This Row],[State and Local Total Amount]]/tblMoeHistory[[#This Row],[Child Count]],0)</f>
        <v>7228.5879999999997</v>
      </c>
      <c r="N2310" t="str">
        <f t="shared" si="3"/>
        <v>Did Not Meet</v>
      </c>
      <c r="O2310">
        <v>48753</v>
      </c>
      <c r="P2310">
        <v>679</v>
      </c>
      <c r="Q2310">
        <f>tblMoeHistory[[#This Row],[Amount of IDEA Part B, Section 611 award]]+tblMoeHistory[[#This Row],[Amount of IDEA Part B, Section 619 award]]</f>
        <v>49432</v>
      </c>
      <c r="U23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0" t="str">
        <f>IF(OR(IFERROR(SEARCH("Met",tblMoeHistory[[#This Row],[State and Local Per Capita Result]]),0)&gt;0,IFERROR(SEARCH("Met",tblMoeHistory[[#This Row],[State and Local Total Result]]),0)&gt;0),"Met","Not Met")</f>
        <v>Met</v>
      </c>
    </row>
    <row r="2311" spans="1:22" x14ac:dyDescent="0.35">
      <c r="A2311" t="s">
        <v>165</v>
      </c>
      <c r="B2311">
        <v>2047</v>
      </c>
      <c r="C2311" t="s">
        <v>1777</v>
      </c>
      <c r="D2311">
        <v>3</v>
      </c>
      <c r="E2311">
        <v>20125</v>
      </c>
      <c r="F2311">
        <v>4079.8700000000003</v>
      </c>
      <c r="G2311">
        <f>tblMoeHistory[[#This Row],[LEA State and Local Amount]]+tblMoeHistory[[#This Row],[ESD State and Local Amount]]</f>
        <v>24204.87</v>
      </c>
      <c r="I2311" t="s">
        <v>242</v>
      </c>
      <c r="J2311" s="44">
        <f>IFERROR(tblMoeHistory[[#This Row],[LEA State and Local Amount]]/tblMoeHistory[[#This Row],[Child Count]],0)</f>
        <v>6708.333333333333</v>
      </c>
      <c r="K2311">
        <f>IFERROR(tblMoeHistory[[#This Row],[ESD State and Local Amount]]/tblMoeHistory[[#This Row],[Child Count]],0)</f>
        <v>1359.9566666666667</v>
      </c>
      <c r="L2311">
        <f>IFERROR(tblMoeHistory[[#This Row],[State and Local Total Amount]]/tblMoeHistory[[#This Row],[Child Count]],0)</f>
        <v>8068.29</v>
      </c>
      <c r="N2311" t="str">
        <f t="shared" si="3"/>
        <v>Met</v>
      </c>
      <c r="O2311">
        <v>6348</v>
      </c>
      <c r="P2311">
        <v>977</v>
      </c>
      <c r="Q2311">
        <f>tblMoeHistory[[#This Row],[Amount of IDEA Part B, Section 611 award]]+tblMoeHistory[[#This Row],[Amount of IDEA Part B, Section 619 award]]</f>
        <v>7325</v>
      </c>
      <c r="U23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1" t="str">
        <f>IF(OR(IFERROR(SEARCH("Met",tblMoeHistory[[#This Row],[State and Local Per Capita Result]]),0)&gt;0,IFERROR(SEARCH("Met",tblMoeHistory[[#This Row],[State and Local Total Result]]),0)&gt;0),"Met","Not Met")</f>
        <v>Met</v>
      </c>
    </row>
    <row r="2312" spans="1:22" x14ac:dyDescent="0.35">
      <c r="A2312" t="s">
        <v>166</v>
      </c>
      <c r="B2312">
        <v>2081</v>
      </c>
      <c r="C2312" t="s">
        <v>1777</v>
      </c>
      <c r="D2312">
        <v>139</v>
      </c>
      <c r="E2312">
        <v>1092190.68</v>
      </c>
      <c r="F2312">
        <v>269087</v>
      </c>
      <c r="G2312">
        <f>tblMoeHistory[[#This Row],[LEA State and Local Amount]]+tblMoeHistory[[#This Row],[ESD State and Local Amount]]</f>
        <v>1361277.68</v>
      </c>
      <c r="I2312" t="s">
        <v>2140</v>
      </c>
      <c r="J2312" s="44">
        <f>IFERROR(tblMoeHistory[[#This Row],[LEA State and Local Amount]]/tblMoeHistory[[#This Row],[Child Count]],0)</f>
        <v>7857.48690647482</v>
      </c>
      <c r="K2312">
        <f>IFERROR(tblMoeHistory[[#This Row],[ESD State and Local Amount]]/tblMoeHistory[[#This Row],[Child Count]],0)</f>
        <v>1935.8776978417266</v>
      </c>
      <c r="L2312">
        <f>IFERROR(tblMoeHistory[[#This Row],[State and Local Total Amount]]/tblMoeHistory[[#This Row],[Child Count]],0)</f>
        <v>9793.3646043165463</v>
      </c>
      <c r="N2312" t="str">
        <f t="shared" si="3"/>
        <v>Did Not Meet</v>
      </c>
      <c r="O2312">
        <v>232122</v>
      </c>
      <c r="P2312">
        <v>3507</v>
      </c>
      <c r="Q2312">
        <f>tblMoeHistory[[#This Row],[Amount of IDEA Part B, Section 611 award]]+tblMoeHistory[[#This Row],[Amount of IDEA Part B, Section 619 award]]</f>
        <v>235629</v>
      </c>
      <c r="U23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2" t="str">
        <f>IF(OR(IFERROR(SEARCH("Met",tblMoeHistory[[#This Row],[State and Local Per Capita Result]]),0)&gt;0,IFERROR(SEARCH("Met",tblMoeHistory[[#This Row],[State and Local Total Result]]),0)&gt;0),"Met","Not Met")</f>
        <v>Met</v>
      </c>
    </row>
    <row r="2313" spans="1:22" x14ac:dyDescent="0.35">
      <c r="A2313" t="s">
        <v>167</v>
      </c>
      <c r="B2313">
        <v>2062</v>
      </c>
      <c r="C2313" t="s">
        <v>1777</v>
      </c>
      <c r="D2313">
        <v>4</v>
      </c>
      <c r="E2313">
        <v>0</v>
      </c>
      <c r="F2313">
        <v>31205.81</v>
      </c>
      <c r="G2313">
        <f>tblMoeHistory[[#This Row],[LEA State and Local Amount]]+tblMoeHistory[[#This Row],[ESD State and Local Amount]]</f>
        <v>31205.81</v>
      </c>
      <c r="I2313" t="s">
        <v>241</v>
      </c>
      <c r="J2313" s="44">
        <f>IFERROR(tblMoeHistory[[#This Row],[LEA State and Local Amount]]/tblMoeHistory[[#This Row],[Child Count]],0)</f>
        <v>0</v>
      </c>
      <c r="K2313">
        <f>IFERROR(tblMoeHistory[[#This Row],[ESD State and Local Amount]]/tblMoeHistory[[#This Row],[Child Count]],0)</f>
        <v>7801.4525000000003</v>
      </c>
      <c r="L2313">
        <f>IFERROR(tblMoeHistory[[#This Row],[State and Local Total Amount]]/tblMoeHistory[[#This Row],[Child Count]],0)</f>
        <v>7801.4525000000003</v>
      </c>
      <c r="N2313" t="str">
        <f t="shared" si="3"/>
        <v>Met</v>
      </c>
      <c r="O2313">
        <v>3632</v>
      </c>
      <c r="P2313">
        <v>6</v>
      </c>
      <c r="Q2313">
        <f>tblMoeHistory[[#This Row],[Amount of IDEA Part B, Section 611 award]]+tblMoeHistory[[#This Row],[Amount of IDEA Part B, Section 619 award]]</f>
        <v>3638</v>
      </c>
      <c r="U23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3" t="str">
        <f>IF(OR(IFERROR(SEARCH("Met",tblMoeHistory[[#This Row],[State and Local Per Capita Result]]),0)&gt;0,IFERROR(SEARCH("Met",tblMoeHistory[[#This Row],[State and Local Total Result]]),0)&gt;0),"Met","Not Met")</f>
        <v>Met</v>
      </c>
    </row>
    <row r="2314" spans="1:22" x14ac:dyDescent="0.35">
      <c r="A2314" t="s">
        <v>168</v>
      </c>
      <c r="B2314">
        <v>1973</v>
      </c>
      <c r="C2314" t="s">
        <v>1777</v>
      </c>
      <c r="D2314">
        <v>23</v>
      </c>
      <c r="E2314">
        <v>250133</v>
      </c>
      <c r="F2314">
        <v>133249</v>
      </c>
      <c r="G2314">
        <f>tblMoeHistory[[#This Row],[LEA State and Local Amount]]+tblMoeHistory[[#This Row],[ESD State and Local Amount]]</f>
        <v>383382</v>
      </c>
      <c r="I2314" t="s">
        <v>241</v>
      </c>
      <c r="J2314" s="44">
        <f>IFERROR(tblMoeHistory[[#This Row],[LEA State and Local Amount]]/tblMoeHistory[[#This Row],[Child Count]],0)</f>
        <v>10875.347826086956</v>
      </c>
      <c r="K2314">
        <f>IFERROR(tblMoeHistory[[#This Row],[ESD State and Local Amount]]/tblMoeHistory[[#This Row],[Child Count]],0)</f>
        <v>5793.434782608696</v>
      </c>
      <c r="L2314">
        <f>IFERROR(tblMoeHistory[[#This Row],[State and Local Total Amount]]/tblMoeHistory[[#This Row],[Child Count]],0)</f>
        <v>16668.782608695652</v>
      </c>
      <c r="N2314" t="str">
        <f t="shared" si="3"/>
        <v>Met</v>
      </c>
      <c r="O2314">
        <v>81787</v>
      </c>
      <c r="P2314">
        <v>2581</v>
      </c>
      <c r="Q2314">
        <f>tblMoeHistory[[#This Row],[Amount of IDEA Part B, Section 611 award]]+tblMoeHistory[[#This Row],[Amount of IDEA Part B, Section 619 award]]</f>
        <v>84368</v>
      </c>
      <c r="U23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4" t="str">
        <f>IF(OR(IFERROR(SEARCH("Met",tblMoeHistory[[#This Row],[State and Local Per Capita Result]]),0)&gt;0,IFERROR(SEARCH("Met",tblMoeHistory[[#This Row],[State and Local Total Result]]),0)&gt;0),"Met","Not Met")</f>
        <v>Met</v>
      </c>
    </row>
    <row r="2315" spans="1:22" x14ac:dyDescent="0.35">
      <c r="A2315" t="s">
        <v>169</v>
      </c>
      <c r="B2315">
        <v>2180</v>
      </c>
      <c r="C2315" t="s">
        <v>1777</v>
      </c>
      <c r="D2315">
        <v>6852</v>
      </c>
      <c r="E2315">
        <v>110327921.15999991</v>
      </c>
      <c r="F2315">
        <v>3507981.2100000004</v>
      </c>
      <c r="G2315">
        <f>tblMoeHistory[[#This Row],[LEA State and Local Amount]]+tblMoeHistory[[#This Row],[ESD State and Local Amount]]</f>
        <v>113835902.3699999</v>
      </c>
      <c r="I2315" t="s">
        <v>241</v>
      </c>
      <c r="J2315" s="44">
        <f>IFERROR(tblMoeHistory[[#This Row],[LEA State and Local Amount]]/tblMoeHistory[[#This Row],[Child Count]],0)</f>
        <v>16101.564676006992</v>
      </c>
      <c r="K2315">
        <f>IFERROR(tblMoeHistory[[#This Row],[ESD State and Local Amount]]/tblMoeHistory[[#This Row],[Child Count]],0)</f>
        <v>511.96456654991249</v>
      </c>
      <c r="L2315">
        <f>IFERROR(tblMoeHistory[[#This Row],[State and Local Total Amount]]/tblMoeHistory[[#This Row],[Child Count]],0)</f>
        <v>16613.529242556902</v>
      </c>
      <c r="N2315" t="str">
        <f t="shared" si="3"/>
        <v>Met</v>
      </c>
      <c r="O2315">
        <v>11168359</v>
      </c>
      <c r="P2315">
        <v>356535</v>
      </c>
      <c r="Q2315">
        <f>tblMoeHistory[[#This Row],[Amount of IDEA Part B, Section 611 award]]+tblMoeHistory[[#This Row],[Amount of IDEA Part B, Section 619 award]]</f>
        <v>11524894</v>
      </c>
      <c r="U23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5" t="str">
        <f>IF(OR(IFERROR(SEARCH("Met",tblMoeHistory[[#This Row],[State and Local Per Capita Result]]),0)&gt;0,IFERROR(SEARCH("Met",tblMoeHistory[[#This Row],[State and Local Total Result]]),0)&gt;0),"Met","Not Met")</f>
        <v>Met</v>
      </c>
    </row>
    <row r="2316" spans="1:22" x14ac:dyDescent="0.35">
      <c r="A2316" t="s">
        <v>170</v>
      </c>
      <c r="B2316">
        <v>1967</v>
      </c>
      <c r="C2316" t="s">
        <v>1777</v>
      </c>
      <c r="D2316">
        <v>20</v>
      </c>
      <c r="E2316">
        <v>75443.33</v>
      </c>
      <c r="F2316">
        <v>41936</v>
      </c>
      <c r="G2316">
        <f>tblMoeHistory[[#This Row],[LEA State and Local Amount]]+tblMoeHistory[[#This Row],[ESD State and Local Amount]]</f>
        <v>117379.33</v>
      </c>
      <c r="I2316" t="s">
        <v>241</v>
      </c>
      <c r="J2316" s="44">
        <f>IFERROR(tblMoeHistory[[#This Row],[LEA State and Local Amount]]/tblMoeHistory[[#This Row],[Child Count]],0)</f>
        <v>3772.1665000000003</v>
      </c>
      <c r="K2316">
        <f>IFERROR(tblMoeHistory[[#This Row],[ESD State and Local Amount]]/tblMoeHistory[[#This Row],[Child Count]],0)</f>
        <v>2096.8000000000002</v>
      </c>
      <c r="L2316">
        <f>IFERROR(tblMoeHistory[[#This Row],[State and Local Total Amount]]/tblMoeHistory[[#This Row],[Child Count]],0)</f>
        <v>5868.9665000000005</v>
      </c>
      <c r="N2316" t="str">
        <f t="shared" si="3"/>
        <v>Met</v>
      </c>
      <c r="O2316">
        <v>32435</v>
      </c>
      <c r="P2316">
        <v>409</v>
      </c>
      <c r="Q2316">
        <f>tblMoeHistory[[#This Row],[Amount of IDEA Part B, Section 611 award]]+tblMoeHistory[[#This Row],[Amount of IDEA Part B, Section 619 award]]</f>
        <v>32844</v>
      </c>
      <c r="U23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6" t="str">
        <f>IF(OR(IFERROR(SEARCH("Met",tblMoeHistory[[#This Row],[State and Local Per Capita Result]]),0)&gt;0,IFERROR(SEARCH("Met",tblMoeHistory[[#This Row],[State and Local Total Result]]),0)&gt;0),"Met","Not Met")</f>
        <v>Met</v>
      </c>
    </row>
    <row r="2317" spans="1:22" x14ac:dyDescent="0.35">
      <c r="A2317" t="s">
        <v>171</v>
      </c>
      <c r="B2317">
        <v>2009</v>
      </c>
      <c r="C2317" t="s">
        <v>1777</v>
      </c>
      <c r="D2317">
        <v>109</v>
      </c>
      <c r="E2317">
        <v>252138.56000000003</v>
      </c>
      <c r="F2317">
        <v>40540.549999999996</v>
      </c>
      <c r="G2317">
        <f>tblMoeHistory[[#This Row],[LEA State and Local Amount]]+tblMoeHistory[[#This Row],[ESD State and Local Amount]]</f>
        <v>292679.11000000004</v>
      </c>
      <c r="I2317" t="s">
        <v>241</v>
      </c>
      <c r="J2317" s="44">
        <f>IFERROR(tblMoeHistory[[#This Row],[LEA State and Local Amount]]/tblMoeHistory[[#This Row],[Child Count]],0)</f>
        <v>2313.197798165138</v>
      </c>
      <c r="K2317">
        <f>IFERROR(tblMoeHistory[[#This Row],[ESD State and Local Amount]]/tblMoeHistory[[#This Row],[Child Count]],0)</f>
        <v>371.93165137614676</v>
      </c>
      <c r="L2317">
        <f>IFERROR(tblMoeHistory[[#This Row],[State and Local Total Amount]]/tblMoeHistory[[#This Row],[Child Count]],0)</f>
        <v>2685.1294495412849</v>
      </c>
      <c r="N2317" t="str">
        <f t="shared" si="3"/>
        <v>Did Not Meet</v>
      </c>
      <c r="O2317">
        <v>41557</v>
      </c>
      <c r="P2317">
        <v>2047</v>
      </c>
      <c r="Q2317">
        <f>tblMoeHistory[[#This Row],[Amount of IDEA Part B, Section 611 award]]+tblMoeHistory[[#This Row],[Amount of IDEA Part B, Section 619 award]]</f>
        <v>43604</v>
      </c>
      <c r="U23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7" t="str">
        <f>IF(OR(IFERROR(SEARCH("Met",tblMoeHistory[[#This Row],[State and Local Per Capita Result]]),0)&gt;0,IFERROR(SEARCH("Met",tblMoeHistory[[#This Row],[State and Local Total Result]]),0)&gt;0),"Met","Not Met")</f>
        <v>Met</v>
      </c>
    </row>
    <row r="2318" spans="1:22" x14ac:dyDescent="0.35">
      <c r="A2318" t="s">
        <v>172</v>
      </c>
      <c r="B2318">
        <v>2045</v>
      </c>
      <c r="C2318" t="s">
        <v>1777</v>
      </c>
      <c r="D2318">
        <v>28</v>
      </c>
      <c r="E2318">
        <v>197694.47999999995</v>
      </c>
      <c r="F2318">
        <v>118072.68</v>
      </c>
      <c r="G2318">
        <f>tblMoeHistory[[#This Row],[LEA State and Local Amount]]+tblMoeHistory[[#This Row],[ESD State and Local Amount]]</f>
        <v>315767.15999999992</v>
      </c>
      <c r="I2318" t="s">
        <v>241</v>
      </c>
      <c r="J2318" s="44">
        <f>IFERROR(tblMoeHistory[[#This Row],[LEA State and Local Amount]]/tblMoeHistory[[#This Row],[Child Count]],0)</f>
        <v>7060.5171428571412</v>
      </c>
      <c r="K2318">
        <f>IFERROR(tblMoeHistory[[#This Row],[ESD State and Local Amount]]/tblMoeHistory[[#This Row],[Child Count]],0)</f>
        <v>4216.8814285714279</v>
      </c>
      <c r="L2318">
        <f>IFERROR(tblMoeHistory[[#This Row],[State and Local Total Amount]]/tblMoeHistory[[#This Row],[Child Count]],0)</f>
        <v>11277.398571428568</v>
      </c>
      <c r="N2318" t="str">
        <f t="shared" si="3"/>
        <v>Met</v>
      </c>
      <c r="O2318">
        <v>40807</v>
      </c>
      <c r="P2318">
        <v>1091</v>
      </c>
      <c r="Q2318">
        <f>tblMoeHistory[[#This Row],[Amount of IDEA Part B, Section 611 award]]+tblMoeHistory[[#This Row],[Amount of IDEA Part B, Section 619 award]]</f>
        <v>41898</v>
      </c>
      <c r="U23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8" t="str">
        <f>IF(OR(IFERROR(SEARCH("Met",tblMoeHistory[[#This Row],[State and Local Per Capita Result]]),0)&gt;0,IFERROR(SEARCH("Met",tblMoeHistory[[#This Row],[State and Local Total Result]]),0)&gt;0),"Met","Not Met")</f>
        <v>Met</v>
      </c>
    </row>
    <row r="2319" spans="1:22" x14ac:dyDescent="0.35">
      <c r="A2319" t="s">
        <v>173</v>
      </c>
      <c r="B2319">
        <v>1946</v>
      </c>
      <c r="C2319" t="s">
        <v>1777</v>
      </c>
      <c r="D2319">
        <v>155</v>
      </c>
      <c r="E2319">
        <v>1710664.7000000004</v>
      </c>
      <c r="F2319">
        <v>167356</v>
      </c>
      <c r="G2319">
        <f>tblMoeHistory[[#This Row],[LEA State and Local Amount]]+tblMoeHistory[[#This Row],[ESD State and Local Amount]]</f>
        <v>1878020.7000000004</v>
      </c>
      <c r="I2319" t="s">
        <v>241</v>
      </c>
      <c r="J2319" s="44">
        <f>IFERROR(tblMoeHistory[[#This Row],[LEA State and Local Amount]]/tblMoeHistory[[#This Row],[Child Count]],0)</f>
        <v>11036.546451612907</v>
      </c>
      <c r="K2319">
        <f>IFERROR(tblMoeHistory[[#This Row],[ESD State and Local Amount]]/tblMoeHistory[[#This Row],[Child Count]],0)</f>
        <v>1079.7161290322581</v>
      </c>
      <c r="L2319">
        <f>IFERROR(tblMoeHistory[[#This Row],[State and Local Total Amount]]/tblMoeHistory[[#This Row],[Child Count]],0)</f>
        <v>12116.262580645163</v>
      </c>
      <c r="N2319" t="str">
        <f t="shared" si="3"/>
        <v>Did Not Meet</v>
      </c>
      <c r="O2319">
        <v>231860</v>
      </c>
      <c r="P2319">
        <v>5349</v>
      </c>
      <c r="Q2319">
        <f>tblMoeHistory[[#This Row],[Amount of IDEA Part B, Section 611 award]]+tblMoeHistory[[#This Row],[Amount of IDEA Part B, Section 619 award]]</f>
        <v>237209</v>
      </c>
      <c r="U23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9" t="str">
        <f>IF(OR(IFERROR(SEARCH("Met",tblMoeHistory[[#This Row],[State and Local Per Capita Result]]),0)&gt;0,IFERROR(SEARCH("Met",tblMoeHistory[[#This Row],[State and Local Total Result]]),0)&gt;0),"Met","Not Met")</f>
        <v>Met</v>
      </c>
    </row>
    <row r="2320" spans="1:22" x14ac:dyDescent="0.35">
      <c r="A2320" t="s">
        <v>174</v>
      </c>
      <c r="B2320">
        <v>1977</v>
      </c>
      <c r="C2320" t="s">
        <v>1777</v>
      </c>
      <c r="D2320">
        <v>878</v>
      </c>
      <c r="E2320">
        <v>12078121.860000011</v>
      </c>
      <c r="F2320">
        <v>1329550.8199999998</v>
      </c>
      <c r="G2320">
        <f>tblMoeHistory[[#This Row],[LEA State and Local Amount]]+tblMoeHistory[[#This Row],[ESD State and Local Amount]]</f>
        <v>13407672.680000011</v>
      </c>
      <c r="I2320" t="s">
        <v>241</v>
      </c>
      <c r="J2320" s="44">
        <f>IFERROR(tblMoeHistory[[#This Row],[LEA State and Local Amount]]/tblMoeHistory[[#This Row],[Child Count]],0)</f>
        <v>13756.403029612768</v>
      </c>
      <c r="K2320">
        <f>IFERROR(tblMoeHistory[[#This Row],[ESD State and Local Amount]]/tblMoeHistory[[#This Row],[Child Count]],0)</f>
        <v>1514.2947835990888</v>
      </c>
      <c r="L2320">
        <f>IFERROR(tblMoeHistory[[#This Row],[State and Local Total Amount]]/tblMoeHistory[[#This Row],[Child Count]],0)</f>
        <v>15270.697813211858</v>
      </c>
      <c r="N2320" t="str">
        <f t="shared" si="3"/>
        <v>Met</v>
      </c>
      <c r="O2320">
        <v>1439141</v>
      </c>
      <c r="P2320">
        <v>24244</v>
      </c>
      <c r="Q2320">
        <f>tblMoeHistory[[#This Row],[Amount of IDEA Part B, Section 611 award]]+tblMoeHistory[[#This Row],[Amount of IDEA Part B, Section 619 award]]</f>
        <v>1463385</v>
      </c>
      <c r="U23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0" t="str">
        <f>IF(OR(IFERROR(SEARCH("Met",tblMoeHistory[[#This Row],[State and Local Per Capita Result]]),0)&gt;0,IFERROR(SEARCH("Met",tblMoeHistory[[#This Row],[State and Local Total Result]]),0)&gt;0),"Met","Not Met")</f>
        <v>Met</v>
      </c>
    </row>
    <row r="2321" spans="1:22" x14ac:dyDescent="0.35">
      <c r="A2321" t="s">
        <v>175</v>
      </c>
      <c r="B2321">
        <v>2001</v>
      </c>
      <c r="C2321" t="s">
        <v>1777</v>
      </c>
      <c r="D2321">
        <v>105</v>
      </c>
      <c r="E2321">
        <v>1419541.34</v>
      </c>
      <c r="F2321">
        <v>328634</v>
      </c>
      <c r="G2321">
        <f>tblMoeHistory[[#This Row],[LEA State and Local Amount]]+tblMoeHistory[[#This Row],[ESD State and Local Amount]]</f>
        <v>1748175.34</v>
      </c>
      <c r="I2321" t="s">
        <v>241</v>
      </c>
      <c r="J2321" s="44">
        <f>IFERROR(tblMoeHistory[[#This Row],[LEA State and Local Amount]]/tblMoeHistory[[#This Row],[Child Count]],0)</f>
        <v>13519.441333333334</v>
      </c>
      <c r="K2321">
        <f>IFERROR(tblMoeHistory[[#This Row],[ESD State and Local Amount]]/tblMoeHistory[[#This Row],[Child Count]],0)</f>
        <v>3129.847619047619</v>
      </c>
      <c r="L2321">
        <f>IFERROR(tblMoeHistory[[#This Row],[State and Local Total Amount]]/tblMoeHistory[[#This Row],[Child Count]],0)</f>
        <v>16649.288952380954</v>
      </c>
      <c r="N2321" t="str">
        <f t="shared" si="3"/>
        <v>Did Not Meet</v>
      </c>
      <c r="O2321">
        <v>168452</v>
      </c>
      <c r="P2321">
        <v>9577</v>
      </c>
      <c r="Q2321">
        <f>tblMoeHistory[[#This Row],[Amount of IDEA Part B, Section 611 award]]+tblMoeHistory[[#This Row],[Amount of IDEA Part B, Section 619 award]]</f>
        <v>178029</v>
      </c>
      <c r="U23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1" t="str">
        <f>IF(OR(IFERROR(SEARCH("Met",tblMoeHistory[[#This Row],[State and Local Per Capita Result]]),0)&gt;0,IFERROR(SEARCH("Met",tblMoeHistory[[#This Row],[State and Local Total Result]]),0)&gt;0),"Met","Not Met")</f>
        <v>Met</v>
      </c>
    </row>
    <row r="2322" spans="1:22" x14ac:dyDescent="0.35">
      <c r="A2322" t="s">
        <v>176</v>
      </c>
      <c r="B2322">
        <v>2182</v>
      </c>
      <c r="C2322" t="s">
        <v>1777</v>
      </c>
      <c r="D2322">
        <v>1564</v>
      </c>
      <c r="E2322">
        <v>22314499.090000015</v>
      </c>
      <c r="F2322">
        <v>1816128.4500000002</v>
      </c>
      <c r="G2322">
        <f>tblMoeHistory[[#This Row],[LEA State and Local Amount]]+tblMoeHistory[[#This Row],[ESD State and Local Amount]]</f>
        <v>24130627.540000014</v>
      </c>
      <c r="I2322" t="s">
        <v>242</v>
      </c>
      <c r="J2322" s="44">
        <f>IFERROR(tblMoeHistory[[#This Row],[LEA State and Local Amount]]/tblMoeHistory[[#This Row],[Child Count]],0)</f>
        <v>14267.58253836318</v>
      </c>
      <c r="K2322">
        <f>IFERROR(tblMoeHistory[[#This Row],[ESD State and Local Amount]]/tblMoeHistory[[#This Row],[Child Count]],0)</f>
        <v>1161.207448849105</v>
      </c>
      <c r="L2322">
        <f>IFERROR(tblMoeHistory[[#This Row],[State and Local Total Amount]]/tblMoeHistory[[#This Row],[Child Count]],0)</f>
        <v>15428.789987212285</v>
      </c>
      <c r="N2322" t="str">
        <f t="shared" si="3"/>
        <v>Met</v>
      </c>
      <c r="O2322">
        <v>2340595</v>
      </c>
      <c r="P2322">
        <v>47337</v>
      </c>
      <c r="Q2322">
        <f>tblMoeHistory[[#This Row],[Amount of IDEA Part B, Section 611 award]]+tblMoeHistory[[#This Row],[Amount of IDEA Part B, Section 619 award]]</f>
        <v>2387932</v>
      </c>
      <c r="U23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2" t="str">
        <f>IF(OR(IFERROR(SEARCH("Met",tblMoeHistory[[#This Row],[State and Local Per Capita Result]]),0)&gt;0,IFERROR(SEARCH("Met",tblMoeHistory[[#This Row],[State and Local Total Result]]),0)&gt;0),"Met","Not Met")</f>
        <v>Met</v>
      </c>
    </row>
    <row r="2323" spans="1:22" x14ac:dyDescent="0.35">
      <c r="A2323" t="s">
        <v>177</v>
      </c>
      <c r="B2323">
        <v>1999</v>
      </c>
      <c r="C2323" t="s">
        <v>1777</v>
      </c>
      <c r="D2323">
        <v>66</v>
      </c>
      <c r="E2323">
        <v>502598.88000000006</v>
      </c>
      <c r="F2323">
        <v>136378.24999999997</v>
      </c>
      <c r="G2323">
        <f>tblMoeHistory[[#This Row],[LEA State and Local Amount]]+tblMoeHistory[[#This Row],[ESD State and Local Amount]]</f>
        <v>638977.13</v>
      </c>
      <c r="I2323" t="s">
        <v>241</v>
      </c>
      <c r="J2323" s="44">
        <f>IFERROR(tblMoeHistory[[#This Row],[LEA State and Local Amount]]/tblMoeHistory[[#This Row],[Child Count]],0)</f>
        <v>7615.1345454545462</v>
      </c>
      <c r="K2323">
        <f>IFERROR(tblMoeHistory[[#This Row],[ESD State and Local Amount]]/tblMoeHistory[[#This Row],[Child Count]],0)</f>
        <v>2066.3371212121206</v>
      </c>
      <c r="L2323">
        <f>IFERROR(tblMoeHistory[[#This Row],[State and Local Total Amount]]/tblMoeHistory[[#This Row],[Child Count]],0)</f>
        <v>9681.4716666666664</v>
      </c>
      <c r="N2323" t="str">
        <f t="shared" si="3"/>
        <v>Met</v>
      </c>
      <c r="O2323">
        <v>97988</v>
      </c>
      <c r="P2323">
        <v>744</v>
      </c>
      <c r="Q2323">
        <f>tblMoeHistory[[#This Row],[Amount of IDEA Part B, Section 611 award]]+tblMoeHistory[[#This Row],[Amount of IDEA Part B, Section 619 award]]</f>
        <v>98732</v>
      </c>
      <c r="U23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3" t="str">
        <f>IF(OR(IFERROR(SEARCH("Met",tblMoeHistory[[#This Row],[State and Local Per Capita Result]]),0)&gt;0,IFERROR(SEARCH("Met",tblMoeHistory[[#This Row],[State and Local Total Result]]),0)&gt;0),"Met","Not Met")</f>
        <v>Met</v>
      </c>
    </row>
    <row r="2324" spans="1:22" x14ac:dyDescent="0.35">
      <c r="A2324" t="s">
        <v>178</v>
      </c>
      <c r="B2324">
        <v>2188</v>
      </c>
      <c r="C2324" t="s">
        <v>1777</v>
      </c>
      <c r="D2324">
        <v>60</v>
      </c>
      <c r="E2324">
        <v>423715.5</v>
      </c>
      <c r="F2324">
        <v>358574.44999999995</v>
      </c>
      <c r="G2324">
        <f>tblMoeHistory[[#This Row],[LEA State and Local Amount]]+tblMoeHistory[[#This Row],[ESD State and Local Amount]]</f>
        <v>782289.95</v>
      </c>
      <c r="I2324" t="s">
        <v>241</v>
      </c>
      <c r="J2324" s="44">
        <f>IFERROR(tblMoeHistory[[#This Row],[LEA State and Local Amount]]/tblMoeHistory[[#This Row],[Child Count]],0)</f>
        <v>7061.9250000000002</v>
      </c>
      <c r="K2324">
        <f>IFERROR(tblMoeHistory[[#This Row],[ESD State and Local Amount]]/tblMoeHistory[[#This Row],[Child Count]],0)</f>
        <v>5976.2408333333324</v>
      </c>
      <c r="L2324">
        <f>IFERROR(tblMoeHistory[[#This Row],[State and Local Total Amount]]/tblMoeHistory[[#This Row],[Child Count]],0)</f>
        <v>13038.165833333333</v>
      </c>
      <c r="N2324" t="str">
        <f t="shared" si="3"/>
        <v>Did Not Meet</v>
      </c>
      <c r="O2324">
        <v>95999</v>
      </c>
      <c r="P2324">
        <v>779</v>
      </c>
      <c r="Q2324">
        <f>tblMoeHistory[[#This Row],[Amount of IDEA Part B, Section 611 award]]+tblMoeHistory[[#This Row],[Amount of IDEA Part B, Section 619 award]]</f>
        <v>96778</v>
      </c>
      <c r="U23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4" t="str">
        <f>IF(OR(IFERROR(SEARCH("Met",tblMoeHistory[[#This Row],[State and Local Per Capita Result]]),0)&gt;0,IFERROR(SEARCH("Met",tblMoeHistory[[#This Row],[State and Local Total Result]]),0)&gt;0),"Met","Not Met")</f>
        <v>Met</v>
      </c>
    </row>
    <row r="2325" spans="1:22" x14ac:dyDescent="0.35">
      <c r="A2325" t="s">
        <v>179</v>
      </c>
      <c r="B2325">
        <v>2044</v>
      </c>
      <c r="C2325" t="s">
        <v>1777</v>
      </c>
      <c r="D2325">
        <v>148</v>
      </c>
      <c r="E2325">
        <v>1300935.3499999999</v>
      </c>
      <c r="F2325">
        <v>406509.01</v>
      </c>
      <c r="G2325">
        <f>tblMoeHistory[[#This Row],[LEA State and Local Amount]]+tblMoeHistory[[#This Row],[ESD State and Local Amount]]</f>
        <v>1707444.3599999999</v>
      </c>
      <c r="I2325" t="s">
        <v>241</v>
      </c>
      <c r="J2325" s="44">
        <f>IFERROR(tblMoeHistory[[#This Row],[LEA State and Local Amount]]/tblMoeHistory[[#This Row],[Child Count]],0)</f>
        <v>8790.1037162162156</v>
      </c>
      <c r="K2325">
        <f>IFERROR(tblMoeHistory[[#This Row],[ESD State and Local Amount]]/tblMoeHistory[[#This Row],[Child Count]],0)</f>
        <v>2746.6824999999999</v>
      </c>
      <c r="L2325">
        <f>IFERROR(tblMoeHistory[[#This Row],[State and Local Total Amount]]/tblMoeHistory[[#This Row],[Child Count]],0)</f>
        <v>11536.786216216215</v>
      </c>
      <c r="N2325" t="str">
        <f t="shared" si="3"/>
        <v>Met</v>
      </c>
      <c r="O2325">
        <v>248565</v>
      </c>
      <c r="P2325">
        <v>8413</v>
      </c>
      <c r="Q2325">
        <f>tblMoeHistory[[#This Row],[Amount of IDEA Part B, Section 611 award]]+tblMoeHistory[[#This Row],[Amount of IDEA Part B, Section 619 award]]</f>
        <v>256978</v>
      </c>
      <c r="U23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5" t="str">
        <f>IF(OR(IFERROR(SEARCH("Met",tblMoeHistory[[#This Row],[State and Local Per Capita Result]]),0)&gt;0,IFERROR(SEARCH("Met",tblMoeHistory[[#This Row],[State and Local Total Result]]),0)&gt;0),"Met","Not Met")</f>
        <v>Met</v>
      </c>
    </row>
    <row r="2326" spans="1:22" x14ac:dyDescent="0.35">
      <c r="A2326" t="s">
        <v>180</v>
      </c>
      <c r="B2326">
        <v>2142</v>
      </c>
      <c r="C2326" t="s">
        <v>1777</v>
      </c>
      <c r="D2326">
        <v>6551</v>
      </c>
      <c r="E2326">
        <v>89425419.949999869</v>
      </c>
      <c r="F2326">
        <v>0</v>
      </c>
      <c r="G2326">
        <f>tblMoeHistory[[#This Row],[LEA State and Local Amount]]+tblMoeHistory[[#This Row],[ESD State and Local Amount]]</f>
        <v>89425419.949999869</v>
      </c>
      <c r="I2326" t="s">
        <v>242</v>
      </c>
      <c r="J2326" s="44">
        <f>IFERROR(tblMoeHistory[[#This Row],[LEA State and Local Amount]]/tblMoeHistory[[#This Row],[Child Count]],0)</f>
        <v>13650.651801251697</v>
      </c>
      <c r="K2326">
        <f>IFERROR(tblMoeHistory[[#This Row],[ESD State and Local Amount]]/tblMoeHistory[[#This Row],[Child Count]],0)</f>
        <v>0</v>
      </c>
      <c r="L2326">
        <f>IFERROR(tblMoeHistory[[#This Row],[State and Local Total Amount]]/tblMoeHistory[[#This Row],[Child Count]],0)</f>
        <v>13650.651801251697</v>
      </c>
      <c r="N2326" t="str">
        <f t="shared" si="3"/>
        <v>Met</v>
      </c>
      <c r="O2326">
        <v>8434876</v>
      </c>
      <c r="P2326">
        <v>161991</v>
      </c>
      <c r="Q2326">
        <f>tblMoeHistory[[#This Row],[Amount of IDEA Part B, Section 611 award]]+tblMoeHistory[[#This Row],[Amount of IDEA Part B, Section 619 award]]</f>
        <v>8596867</v>
      </c>
      <c r="U23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6" t="str">
        <f>IF(OR(IFERROR(SEARCH("Met",tblMoeHistory[[#This Row],[State and Local Per Capita Result]]),0)&gt;0,IFERROR(SEARCH("Met",tblMoeHistory[[#This Row],[State and Local Total Result]]),0)&gt;0),"Met","Not Met")</f>
        <v>Met</v>
      </c>
    </row>
    <row r="2327" spans="1:22" x14ac:dyDescent="0.35">
      <c r="A2327" t="s">
        <v>181</v>
      </c>
      <c r="B2327">
        <v>2104</v>
      </c>
      <c r="C2327" t="s">
        <v>1777</v>
      </c>
      <c r="D2327">
        <v>549</v>
      </c>
      <c r="E2327">
        <v>3540229.2699999986</v>
      </c>
      <c r="F2327">
        <v>850558</v>
      </c>
      <c r="G2327">
        <f>tblMoeHistory[[#This Row],[LEA State and Local Amount]]+tblMoeHistory[[#This Row],[ESD State and Local Amount]]</f>
        <v>4390787.2699999986</v>
      </c>
      <c r="I2327" t="s">
        <v>241</v>
      </c>
      <c r="J2327" s="44">
        <f>IFERROR(tblMoeHistory[[#This Row],[LEA State and Local Amount]]/tblMoeHistory[[#This Row],[Child Count]],0)</f>
        <v>6448.5050455373384</v>
      </c>
      <c r="K2327">
        <f>IFERROR(tblMoeHistory[[#This Row],[ESD State and Local Amount]]/tblMoeHistory[[#This Row],[Child Count]],0)</f>
        <v>1549.2859744990892</v>
      </c>
      <c r="L2327">
        <f>IFERROR(tblMoeHistory[[#This Row],[State and Local Total Amount]]/tblMoeHistory[[#This Row],[Child Count]],0)</f>
        <v>7997.7910200364277</v>
      </c>
      <c r="N2327" t="str">
        <f t="shared" si="3"/>
        <v>Met</v>
      </c>
      <c r="O2327">
        <v>653170</v>
      </c>
      <c r="P2327">
        <v>4600</v>
      </c>
      <c r="Q2327">
        <f>tblMoeHistory[[#This Row],[Amount of IDEA Part B, Section 611 award]]+tblMoeHistory[[#This Row],[Amount of IDEA Part B, Section 619 award]]</f>
        <v>657770</v>
      </c>
      <c r="U23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7" t="str">
        <f>IF(OR(IFERROR(SEARCH("Met",tblMoeHistory[[#This Row],[State and Local Per Capita Result]]),0)&gt;0,IFERROR(SEARCH("Met",tblMoeHistory[[#This Row],[State and Local Total Result]]),0)&gt;0),"Met","Not Met")</f>
        <v>Met</v>
      </c>
    </row>
    <row r="2328" spans="1:22" x14ac:dyDescent="0.35">
      <c r="A2328" t="s">
        <v>182</v>
      </c>
      <c r="B2328">
        <v>1944</v>
      </c>
      <c r="C2328" t="s">
        <v>1777</v>
      </c>
      <c r="D2328">
        <v>332</v>
      </c>
      <c r="E2328">
        <v>3566712.7600000007</v>
      </c>
      <c r="F2328">
        <v>1081977</v>
      </c>
      <c r="G2328">
        <f>tblMoeHistory[[#This Row],[LEA State and Local Amount]]+tblMoeHistory[[#This Row],[ESD State and Local Amount]]</f>
        <v>4648689.7600000007</v>
      </c>
      <c r="I2328" t="s">
        <v>241</v>
      </c>
      <c r="J2328" s="44">
        <f>IFERROR(tblMoeHistory[[#This Row],[LEA State and Local Amount]]/tblMoeHistory[[#This Row],[Child Count]],0)</f>
        <v>10743.110722891568</v>
      </c>
      <c r="K2328">
        <f>IFERROR(tblMoeHistory[[#This Row],[ESD State and Local Amount]]/tblMoeHistory[[#This Row],[Child Count]],0)</f>
        <v>3258.9668674698796</v>
      </c>
      <c r="L2328">
        <f>IFERROR(tblMoeHistory[[#This Row],[State and Local Total Amount]]/tblMoeHistory[[#This Row],[Child Count]],0)</f>
        <v>14002.077590361449</v>
      </c>
      <c r="N2328" t="str">
        <f t="shared" si="3"/>
        <v>Met</v>
      </c>
      <c r="O2328">
        <v>461179</v>
      </c>
      <c r="P2328">
        <v>7622</v>
      </c>
      <c r="Q2328">
        <f>tblMoeHistory[[#This Row],[Amount of IDEA Part B, Section 611 award]]+tblMoeHistory[[#This Row],[Amount of IDEA Part B, Section 619 award]]</f>
        <v>468801</v>
      </c>
      <c r="U23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8" t="str">
        <f>IF(OR(IFERROR(SEARCH("Met",tblMoeHistory[[#This Row],[State and Local Per Capita Result]]),0)&gt;0,IFERROR(SEARCH("Met",tblMoeHistory[[#This Row],[State and Local Total Result]]),0)&gt;0),"Met","Not Met")</f>
        <v>Met</v>
      </c>
    </row>
    <row r="2329" spans="1:22" x14ac:dyDescent="0.35">
      <c r="A2329" t="s">
        <v>183</v>
      </c>
      <c r="B2329">
        <v>2103</v>
      </c>
      <c r="C2329" t="s">
        <v>1777</v>
      </c>
      <c r="D2329">
        <v>275</v>
      </c>
      <c r="E2329">
        <v>1577760.51</v>
      </c>
      <c r="F2329">
        <v>386231</v>
      </c>
      <c r="G2329">
        <f>tblMoeHistory[[#This Row],[LEA State and Local Amount]]+tblMoeHistory[[#This Row],[ESD State and Local Amount]]</f>
        <v>1963991.51</v>
      </c>
      <c r="I2329" t="s">
        <v>241</v>
      </c>
      <c r="J2329" s="44">
        <f>IFERROR(tblMoeHistory[[#This Row],[LEA State and Local Amount]]/tblMoeHistory[[#This Row],[Child Count]],0)</f>
        <v>5737.3109454545456</v>
      </c>
      <c r="K2329">
        <f>IFERROR(tblMoeHistory[[#This Row],[ESD State and Local Amount]]/tblMoeHistory[[#This Row],[Child Count]],0)</f>
        <v>1404.4763636363637</v>
      </c>
      <c r="L2329">
        <f>IFERROR(tblMoeHistory[[#This Row],[State and Local Total Amount]]/tblMoeHistory[[#This Row],[Child Count]],0)</f>
        <v>7141.7873090909088</v>
      </c>
      <c r="N2329" t="str">
        <f t="shared" si="3"/>
        <v>Did Not Meet</v>
      </c>
      <c r="O2329">
        <v>162930</v>
      </c>
      <c r="P2329">
        <v>2434</v>
      </c>
      <c r="Q2329">
        <f>tblMoeHistory[[#This Row],[Amount of IDEA Part B, Section 611 award]]+tblMoeHistory[[#This Row],[Amount of IDEA Part B, Section 619 award]]</f>
        <v>165364</v>
      </c>
      <c r="U23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9" t="str">
        <f>IF(OR(IFERROR(SEARCH("Met",tblMoeHistory[[#This Row],[State and Local Per Capita Result]]),0)&gt;0,IFERROR(SEARCH("Met",tblMoeHistory[[#This Row],[State and Local Total Result]]),0)&gt;0),"Met","Not Met")</f>
        <v>Met</v>
      </c>
    </row>
    <row r="2330" spans="1:22" x14ac:dyDescent="0.35">
      <c r="A2330" t="s">
        <v>184</v>
      </c>
      <c r="B2330">
        <v>1935</v>
      </c>
      <c r="C2330" t="s">
        <v>1777</v>
      </c>
      <c r="D2330">
        <v>214</v>
      </c>
      <c r="E2330">
        <v>2870870.4100000006</v>
      </c>
      <c r="F2330">
        <v>465952</v>
      </c>
      <c r="G2330">
        <f>tblMoeHistory[[#This Row],[LEA State and Local Amount]]+tblMoeHistory[[#This Row],[ESD State and Local Amount]]</f>
        <v>3336822.4100000006</v>
      </c>
      <c r="I2330" t="s">
        <v>2140</v>
      </c>
      <c r="J2330" s="44">
        <f>IFERROR(tblMoeHistory[[#This Row],[LEA State and Local Amount]]/tblMoeHistory[[#This Row],[Child Count]],0)</f>
        <v>13415.282289719629</v>
      </c>
      <c r="K2330">
        <f>IFERROR(tblMoeHistory[[#This Row],[ESD State and Local Amount]]/tblMoeHistory[[#This Row],[Child Count]],0)</f>
        <v>2177.3457943925232</v>
      </c>
      <c r="L2330">
        <f>IFERROR(tblMoeHistory[[#This Row],[State and Local Total Amount]]/tblMoeHistory[[#This Row],[Child Count]],0)</f>
        <v>15592.628084112152</v>
      </c>
      <c r="N2330" t="str">
        <f t="shared" si="3"/>
        <v>Met</v>
      </c>
      <c r="O2330">
        <v>351217</v>
      </c>
      <c r="P2330">
        <v>10605</v>
      </c>
      <c r="Q2330">
        <f>tblMoeHistory[[#This Row],[Amount of IDEA Part B, Section 611 award]]+tblMoeHistory[[#This Row],[Amount of IDEA Part B, Section 619 award]]</f>
        <v>361822</v>
      </c>
      <c r="U23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0" t="str">
        <f>IF(OR(IFERROR(SEARCH("Met",tblMoeHistory[[#This Row],[State and Local Per Capita Result]]),0)&gt;0,IFERROR(SEARCH("Met",tblMoeHistory[[#This Row],[State and Local Total Result]]),0)&gt;0),"Met","Not Met")</f>
        <v>Met</v>
      </c>
    </row>
    <row r="2331" spans="1:22" x14ac:dyDescent="0.35">
      <c r="A2331" t="s">
        <v>185</v>
      </c>
      <c r="B2331">
        <v>2257</v>
      </c>
      <c r="C2331" t="s">
        <v>1777</v>
      </c>
      <c r="D2331">
        <v>135</v>
      </c>
      <c r="E2331">
        <v>947545.66000000027</v>
      </c>
      <c r="F2331">
        <v>192453.36</v>
      </c>
      <c r="G2331">
        <f>tblMoeHistory[[#This Row],[LEA State and Local Amount]]+tblMoeHistory[[#This Row],[ESD State and Local Amount]]</f>
        <v>1139999.0200000003</v>
      </c>
      <c r="I2331" t="s">
        <v>241</v>
      </c>
      <c r="J2331" s="44">
        <f>IFERROR(tblMoeHistory[[#This Row],[LEA State and Local Amount]]/tblMoeHistory[[#This Row],[Child Count]],0)</f>
        <v>7018.8567407407427</v>
      </c>
      <c r="K2331">
        <f>IFERROR(tblMoeHistory[[#This Row],[ESD State and Local Amount]]/tblMoeHistory[[#This Row],[Child Count]],0)</f>
        <v>1425.5804444444443</v>
      </c>
      <c r="L2331">
        <f>IFERROR(tblMoeHistory[[#This Row],[State and Local Total Amount]]/tblMoeHistory[[#This Row],[Child Count]],0)</f>
        <v>8444.4371851851865</v>
      </c>
      <c r="N2331" t="str">
        <f t="shared" si="3"/>
        <v>Did Not Meet</v>
      </c>
      <c r="O2331">
        <v>199544</v>
      </c>
      <c r="P2331">
        <v>6324</v>
      </c>
      <c r="Q2331">
        <f>tblMoeHistory[[#This Row],[Amount of IDEA Part B, Section 611 award]]+tblMoeHistory[[#This Row],[Amount of IDEA Part B, Section 619 award]]</f>
        <v>205868</v>
      </c>
      <c r="U23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1" t="str">
        <f>IF(OR(IFERROR(SEARCH("Met",tblMoeHistory[[#This Row],[State and Local Per Capita Result]]),0)&gt;0,IFERROR(SEARCH("Met",tblMoeHistory[[#This Row],[State and Local Total Result]]),0)&gt;0),"Met","Not Met")</f>
        <v>Met</v>
      </c>
    </row>
    <row r="2332" spans="1:22" x14ac:dyDescent="0.35">
      <c r="A2332" t="s">
        <v>186</v>
      </c>
      <c r="B2332">
        <v>2195</v>
      </c>
      <c r="C2332" t="s">
        <v>1777</v>
      </c>
      <c r="D2332">
        <v>41</v>
      </c>
      <c r="E2332">
        <v>52606.049999999996</v>
      </c>
      <c r="F2332">
        <v>246777</v>
      </c>
      <c r="G2332">
        <f>tblMoeHistory[[#This Row],[LEA State and Local Amount]]+tblMoeHistory[[#This Row],[ESD State and Local Amount]]</f>
        <v>299383.05</v>
      </c>
      <c r="I2332" t="s">
        <v>241</v>
      </c>
      <c r="J2332" s="44">
        <f>IFERROR(tblMoeHistory[[#This Row],[LEA State and Local Amount]]/tblMoeHistory[[#This Row],[Child Count]],0)</f>
        <v>1283.0743902439024</v>
      </c>
      <c r="K2332">
        <f>IFERROR(tblMoeHistory[[#This Row],[ESD State and Local Amount]]/tblMoeHistory[[#This Row],[Child Count]],0)</f>
        <v>6018.9512195121952</v>
      </c>
      <c r="L2332">
        <f>IFERROR(tblMoeHistory[[#This Row],[State and Local Total Amount]]/tblMoeHistory[[#This Row],[Child Count]],0)</f>
        <v>7302.0256097560969</v>
      </c>
      <c r="N2332" t="str">
        <f t="shared" si="3"/>
        <v>Met</v>
      </c>
      <c r="O2332">
        <v>66883</v>
      </c>
      <c r="P2332">
        <v>641</v>
      </c>
      <c r="Q2332">
        <f>tblMoeHistory[[#This Row],[Amount of IDEA Part B, Section 611 award]]+tblMoeHistory[[#This Row],[Amount of IDEA Part B, Section 619 award]]</f>
        <v>67524</v>
      </c>
      <c r="U23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2" t="str">
        <f>IF(OR(IFERROR(SEARCH("Met",tblMoeHistory[[#This Row],[State and Local Per Capita Result]]),0)&gt;0,IFERROR(SEARCH("Met",tblMoeHistory[[#This Row],[State and Local Total Result]]),0)&gt;0),"Met","Not Met")</f>
        <v>Met</v>
      </c>
    </row>
    <row r="2333" spans="1:22" x14ac:dyDescent="0.35">
      <c r="A2333" t="s">
        <v>187</v>
      </c>
      <c r="B2333">
        <v>2244</v>
      </c>
      <c r="C2333" t="s">
        <v>1777</v>
      </c>
      <c r="D2333">
        <v>527</v>
      </c>
      <c r="E2333">
        <v>6465052.0499999998</v>
      </c>
      <c r="F2333">
        <v>1199319</v>
      </c>
      <c r="G2333">
        <f>tblMoeHistory[[#This Row],[LEA State and Local Amount]]+tblMoeHistory[[#This Row],[ESD State and Local Amount]]</f>
        <v>7664371.0499999998</v>
      </c>
      <c r="I2333" t="s">
        <v>242</v>
      </c>
      <c r="J2333" s="44">
        <f>IFERROR(tblMoeHistory[[#This Row],[LEA State and Local Amount]]/tblMoeHistory[[#This Row],[Child Count]],0)</f>
        <v>12267.650948766603</v>
      </c>
      <c r="K2333">
        <f>IFERROR(tblMoeHistory[[#This Row],[ESD State and Local Amount]]/tblMoeHistory[[#This Row],[Child Count]],0)</f>
        <v>2275.7476280834912</v>
      </c>
      <c r="L2333">
        <f>IFERROR(tblMoeHistory[[#This Row],[State and Local Total Amount]]/tblMoeHistory[[#This Row],[Child Count]],0)</f>
        <v>14543.398576850095</v>
      </c>
      <c r="N2333" t="str">
        <f t="shared" si="3"/>
        <v>Met</v>
      </c>
      <c r="O2333">
        <v>876504</v>
      </c>
      <c r="P2333">
        <v>10612</v>
      </c>
      <c r="Q2333">
        <f>tblMoeHistory[[#This Row],[Amount of IDEA Part B, Section 611 award]]+tblMoeHistory[[#This Row],[Amount of IDEA Part B, Section 619 award]]</f>
        <v>887116</v>
      </c>
      <c r="U23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3" t="str">
        <f>IF(OR(IFERROR(SEARCH("Met",tblMoeHistory[[#This Row],[State and Local Per Capita Result]]),0)&gt;0,IFERROR(SEARCH("Met",tblMoeHistory[[#This Row],[State and Local Total Result]]),0)&gt;0),"Met","Not Met")</f>
        <v>Met</v>
      </c>
    </row>
    <row r="2334" spans="1:22" x14ac:dyDescent="0.35">
      <c r="A2334" t="s">
        <v>188</v>
      </c>
      <c r="B2334">
        <v>2138</v>
      </c>
      <c r="C2334" t="s">
        <v>1777</v>
      </c>
      <c r="D2334">
        <v>456</v>
      </c>
      <c r="E2334">
        <v>6099034.7099999962</v>
      </c>
      <c r="F2334">
        <v>344999.74</v>
      </c>
      <c r="G2334">
        <f>tblMoeHistory[[#This Row],[LEA State and Local Amount]]+tblMoeHistory[[#This Row],[ESD State and Local Amount]]</f>
        <v>6444034.4499999965</v>
      </c>
      <c r="I2334" t="s">
        <v>241</v>
      </c>
      <c r="J2334" s="44">
        <f>IFERROR(tblMoeHistory[[#This Row],[LEA State and Local Amount]]/tblMoeHistory[[#This Row],[Child Count]],0)</f>
        <v>13375.076118421044</v>
      </c>
      <c r="K2334">
        <f>IFERROR(tblMoeHistory[[#This Row],[ESD State and Local Amount]]/tblMoeHistory[[#This Row],[Child Count]],0)</f>
        <v>756.57837719298243</v>
      </c>
      <c r="L2334">
        <f>IFERROR(tblMoeHistory[[#This Row],[State and Local Total Amount]]/tblMoeHistory[[#This Row],[Child Count]],0)</f>
        <v>14131.654495614028</v>
      </c>
      <c r="N2334" t="str">
        <f t="shared" si="3"/>
        <v>Did Not Meet</v>
      </c>
      <c r="O2334">
        <v>723642</v>
      </c>
      <c r="P2334">
        <v>14655</v>
      </c>
      <c r="Q2334">
        <f>tblMoeHistory[[#This Row],[Amount of IDEA Part B, Section 611 award]]+tblMoeHistory[[#This Row],[Amount of IDEA Part B, Section 619 award]]</f>
        <v>738297</v>
      </c>
      <c r="U23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4" t="str">
        <f>IF(OR(IFERROR(SEARCH("Met",tblMoeHistory[[#This Row],[State and Local Per Capita Result]]),0)&gt;0,IFERROR(SEARCH("Met",tblMoeHistory[[#This Row],[State and Local Total Result]]),0)&gt;0),"Met","Not Met")</f>
        <v>Met</v>
      </c>
    </row>
    <row r="2335" spans="1:22" x14ac:dyDescent="0.35">
      <c r="A2335" t="s">
        <v>189</v>
      </c>
      <c r="B2335">
        <v>1978</v>
      </c>
      <c r="C2335" t="s">
        <v>1777</v>
      </c>
      <c r="D2335">
        <v>127</v>
      </c>
      <c r="E2335">
        <v>1437892.5900000005</v>
      </c>
      <c r="F2335">
        <v>92465.11</v>
      </c>
      <c r="G2335">
        <f>tblMoeHistory[[#This Row],[LEA State and Local Amount]]+tblMoeHistory[[#This Row],[ESD State and Local Amount]]</f>
        <v>1530357.7000000007</v>
      </c>
      <c r="I2335" t="s">
        <v>241</v>
      </c>
      <c r="J2335" s="44">
        <f>IFERROR(tblMoeHistory[[#This Row],[LEA State and Local Amount]]/tblMoeHistory[[#This Row],[Child Count]],0)</f>
        <v>11321.988897637799</v>
      </c>
      <c r="K2335">
        <f>IFERROR(tblMoeHistory[[#This Row],[ESD State and Local Amount]]/tblMoeHistory[[#This Row],[Child Count]],0)</f>
        <v>728.0717322834646</v>
      </c>
      <c r="L2335">
        <f>IFERROR(tblMoeHistory[[#This Row],[State and Local Total Amount]]/tblMoeHistory[[#This Row],[Child Count]],0)</f>
        <v>12050.060629921265</v>
      </c>
      <c r="N2335" t="str">
        <f t="shared" si="3"/>
        <v>Met</v>
      </c>
      <c r="O2335">
        <v>214350</v>
      </c>
      <c r="P2335">
        <v>3002</v>
      </c>
      <c r="Q2335">
        <f>tblMoeHistory[[#This Row],[Amount of IDEA Part B, Section 611 award]]+tblMoeHistory[[#This Row],[Amount of IDEA Part B, Section 619 award]]</f>
        <v>217352</v>
      </c>
      <c r="U23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5" t="str">
        <f>IF(OR(IFERROR(SEARCH("Met",tblMoeHistory[[#This Row],[State and Local Per Capita Result]]),0)&gt;0,IFERROR(SEARCH("Met",tblMoeHistory[[#This Row],[State and Local Total Result]]),0)&gt;0),"Met","Not Met")</f>
        <v>Met</v>
      </c>
    </row>
    <row r="2336" spans="1:22" x14ac:dyDescent="0.35">
      <c r="A2336" t="s">
        <v>190</v>
      </c>
      <c r="B2336">
        <v>2096</v>
      </c>
      <c r="C2336" t="s">
        <v>1777</v>
      </c>
      <c r="D2336">
        <v>172</v>
      </c>
      <c r="E2336">
        <v>2064569.91</v>
      </c>
      <c r="F2336">
        <v>250839</v>
      </c>
      <c r="G2336">
        <f>tblMoeHistory[[#This Row],[LEA State and Local Amount]]+tblMoeHistory[[#This Row],[ESD State and Local Amount]]</f>
        <v>2315408.91</v>
      </c>
      <c r="I2336" t="s">
        <v>241</v>
      </c>
      <c r="J2336" s="44">
        <f>IFERROR(tblMoeHistory[[#This Row],[LEA State and Local Amount]]/tblMoeHistory[[#This Row],[Child Count]],0)</f>
        <v>12003.313430232558</v>
      </c>
      <c r="K2336">
        <f>IFERROR(tblMoeHistory[[#This Row],[ESD State and Local Amount]]/tblMoeHistory[[#This Row],[Child Count]],0)</f>
        <v>1458.3662790697674</v>
      </c>
      <c r="L2336">
        <f>IFERROR(tblMoeHistory[[#This Row],[State and Local Total Amount]]/tblMoeHistory[[#This Row],[Child Count]],0)</f>
        <v>13461.679709302327</v>
      </c>
      <c r="N2336" t="str">
        <f t="shared" si="3"/>
        <v>Met</v>
      </c>
      <c r="O2336">
        <v>299574</v>
      </c>
      <c r="P2336">
        <v>13419</v>
      </c>
      <c r="Q2336">
        <f>tblMoeHistory[[#This Row],[Amount of IDEA Part B, Section 611 award]]+tblMoeHistory[[#This Row],[Amount of IDEA Part B, Section 619 award]]</f>
        <v>312993</v>
      </c>
      <c r="U23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6" t="str">
        <f>IF(OR(IFERROR(SEARCH("Met",tblMoeHistory[[#This Row],[State and Local Per Capita Result]]),0)&gt;0,IFERROR(SEARCH("Met",tblMoeHistory[[#This Row],[State and Local Total Result]]),0)&gt;0),"Met","Not Met")</f>
        <v>Met</v>
      </c>
    </row>
    <row r="2337" spans="1:22" x14ac:dyDescent="0.35">
      <c r="A2337" t="s">
        <v>191</v>
      </c>
      <c r="B2337">
        <v>2022</v>
      </c>
      <c r="C2337" t="s">
        <v>1777</v>
      </c>
      <c r="D2337">
        <v>2</v>
      </c>
      <c r="E2337">
        <v>0</v>
      </c>
      <c r="F2337">
        <v>22498.2</v>
      </c>
      <c r="G2337">
        <f>tblMoeHistory[[#This Row],[LEA State and Local Amount]]+tblMoeHistory[[#This Row],[ESD State and Local Amount]]</f>
        <v>22498.2</v>
      </c>
      <c r="I2337" t="s">
        <v>241</v>
      </c>
      <c r="J2337" s="44">
        <f>IFERROR(tblMoeHistory[[#This Row],[LEA State and Local Amount]]/tblMoeHistory[[#This Row],[Child Count]],0)</f>
        <v>0</v>
      </c>
      <c r="K2337">
        <f>IFERROR(tblMoeHistory[[#This Row],[ESD State and Local Amount]]/tblMoeHistory[[#This Row],[Child Count]],0)</f>
        <v>11249.1</v>
      </c>
      <c r="L2337">
        <f>IFERROR(tblMoeHistory[[#This Row],[State and Local Total Amount]]/tblMoeHistory[[#This Row],[Child Count]],0)</f>
        <v>11249.1</v>
      </c>
      <c r="N2337" t="str">
        <f t="shared" si="3"/>
        <v>Met</v>
      </c>
      <c r="O2337">
        <v>3481</v>
      </c>
      <c r="P2337">
        <v>279</v>
      </c>
      <c r="Q2337">
        <f>tblMoeHistory[[#This Row],[Amount of IDEA Part B, Section 611 award]]+tblMoeHistory[[#This Row],[Amount of IDEA Part B, Section 619 award]]</f>
        <v>3760</v>
      </c>
      <c r="U23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7" t="str">
        <f>IF(OR(IFERROR(SEARCH("Met",tblMoeHistory[[#This Row],[State and Local Per Capita Result]]),0)&gt;0,IFERROR(SEARCH("Met",tblMoeHistory[[#This Row],[State and Local Total Result]]),0)&gt;0),"Met","Not Met")</f>
        <v>Met</v>
      </c>
    </row>
    <row r="2338" spans="1:22" x14ac:dyDescent="0.35">
      <c r="A2338" t="s">
        <v>192</v>
      </c>
      <c r="B2338">
        <v>2087</v>
      </c>
      <c r="C2338" t="s">
        <v>1777</v>
      </c>
      <c r="D2338">
        <v>491</v>
      </c>
      <c r="E2338">
        <v>5557949.7399999993</v>
      </c>
      <c r="F2338">
        <v>1093893</v>
      </c>
      <c r="G2338">
        <f>tblMoeHistory[[#This Row],[LEA State and Local Amount]]+tblMoeHistory[[#This Row],[ESD State and Local Amount]]</f>
        <v>6651842.7399999993</v>
      </c>
      <c r="I2338" t="s">
        <v>241</v>
      </c>
      <c r="J2338" s="44">
        <f>IFERROR(tblMoeHistory[[#This Row],[LEA State and Local Amount]]/tblMoeHistory[[#This Row],[Child Count]],0)</f>
        <v>11319.653238289204</v>
      </c>
      <c r="K2338">
        <f>IFERROR(tblMoeHistory[[#This Row],[ESD State and Local Amount]]/tblMoeHistory[[#This Row],[Child Count]],0)</f>
        <v>2227.8879837067211</v>
      </c>
      <c r="L2338">
        <f>IFERROR(tblMoeHistory[[#This Row],[State and Local Total Amount]]/tblMoeHistory[[#This Row],[Child Count]],0)</f>
        <v>13547.541221995925</v>
      </c>
      <c r="N2338" t="str">
        <f t="shared" si="3"/>
        <v>Met</v>
      </c>
      <c r="O2338">
        <v>628393</v>
      </c>
      <c r="P2338">
        <v>17074</v>
      </c>
      <c r="Q2338">
        <f>tblMoeHistory[[#This Row],[Amount of IDEA Part B, Section 611 award]]+tblMoeHistory[[#This Row],[Amount of IDEA Part B, Section 619 award]]</f>
        <v>645467</v>
      </c>
      <c r="U23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8" t="str">
        <f>IF(OR(IFERROR(SEARCH("Met",tblMoeHistory[[#This Row],[State and Local Per Capita Result]]),0)&gt;0,IFERROR(SEARCH("Met",tblMoeHistory[[#This Row],[State and Local Total Result]]),0)&gt;0),"Met","Not Met")</f>
        <v>Met</v>
      </c>
    </row>
    <row r="2339" spans="1:22" x14ac:dyDescent="0.35">
      <c r="A2339" t="s">
        <v>193</v>
      </c>
      <c r="B2339">
        <v>1994</v>
      </c>
      <c r="C2339" t="s">
        <v>1777</v>
      </c>
      <c r="D2339">
        <v>238</v>
      </c>
      <c r="E2339">
        <v>2170740.6899999995</v>
      </c>
      <c r="F2339">
        <v>373191.81</v>
      </c>
      <c r="G2339">
        <f>tblMoeHistory[[#This Row],[LEA State and Local Amount]]+tblMoeHistory[[#This Row],[ESD State and Local Amount]]</f>
        <v>2543932.4999999995</v>
      </c>
      <c r="I2339" t="s">
        <v>241</v>
      </c>
      <c r="J2339" s="44">
        <f>IFERROR(tblMoeHistory[[#This Row],[LEA State and Local Amount]]/tblMoeHistory[[#This Row],[Child Count]],0)</f>
        <v>9120.7592016806702</v>
      </c>
      <c r="K2339">
        <f>IFERROR(tblMoeHistory[[#This Row],[ESD State and Local Amount]]/tblMoeHistory[[#This Row],[Child Count]],0)</f>
        <v>1568.0328151260503</v>
      </c>
      <c r="L2339">
        <f>IFERROR(tblMoeHistory[[#This Row],[State and Local Total Amount]]/tblMoeHistory[[#This Row],[Child Count]],0)</f>
        <v>10688.792016806721</v>
      </c>
      <c r="N2339" t="str">
        <f t="shared" si="3"/>
        <v>Met</v>
      </c>
      <c r="O2339">
        <v>390019</v>
      </c>
      <c r="P2339">
        <v>11090</v>
      </c>
      <c r="Q2339">
        <f>tblMoeHistory[[#This Row],[Amount of IDEA Part B, Section 611 award]]+tblMoeHistory[[#This Row],[Amount of IDEA Part B, Section 619 award]]</f>
        <v>401109</v>
      </c>
      <c r="U23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9" t="str">
        <f>IF(OR(IFERROR(SEARCH("Met",tblMoeHistory[[#This Row],[State and Local Per Capita Result]]),0)&gt;0,IFERROR(SEARCH("Met",tblMoeHistory[[#This Row],[State and Local Total Result]]),0)&gt;0),"Met","Not Met")</f>
        <v>Met</v>
      </c>
    </row>
    <row r="2340" spans="1:22" x14ac:dyDescent="0.35">
      <c r="A2340" t="s">
        <v>194</v>
      </c>
      <c r="B2340">
        <v>2225</v>
      </c>
      <c r="C2340" t="s">
        <v>1777</v>
      </c>
      <c r="D2340">
        <v>33</v>
      </c>
      <c r="E2340">
        <v>299810.9200000001</v>
      </c>
      <c r="F2340">
        <v>0</v>
      </c>
      <c r="G2340">
        <f>tblMoeHistory[[#This Row],[LEA State and Local Amount]]+tblMoeHistory[[#This Row],[ESD State and Local Amount]]</f>
        <v>299810.9200000001</v>
      </c>
      <c r="I2340" t="s">
        <v>241</v>
      </c>
      <c r="J2340" s="44">
        <f>IFERROR(tblMoeHistory[[#This Row],[LEA State and Local Amount]]/tblMoeHistory[[#This Row],[Child Count]],0)</f>
        <v>9085.1793939393974</v>
      </c>
      <c r="K2340">
        <f>IFERROR(tblMoeHistory[[#This Row],[ESD State and Local Amount]]/tblMoeHistory[[#This Row],[Child Count]],0)</f>
        <v>0</v>
      </c>
      <c r="L2340">
        <f>IFERROR(tblMoeHistory[[#This Row],[State and Local Total Amount]]/tblMoeHistory[[#This Row],[Child Count]],0)</f>
        <v>9085.1793939393974</v>
      </c>
      <c r="N2340" t="str">
        <f t="shared" si="3"/>
        <v>Met</v>
      </c>
      <c r="O2340">
        <v>65429</v>
      </c>
      <c r="P2340">
        <v>4493</v>
      </c>
      <c r="Q2340">
        <f>tblMoeHistory[[#This Row],[Amount of IDEA Part B, Section 611 award]]+tblMoeHistory[[#This Row],[Amount of IDEA Part B, Section 619 award]]</f>
        <v>69922</v>
      </c>
      <c r="U23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0" t="str">
        <f>IF(OR(IFERROR(SEARCH("Met",tblMoeHistory[[#This Row],[State and Local Per Capita Result]]),0)&gt;0,IFERROR(SEARCH("Met",tblMoeHistory[[#This Row],[State and Local Total Result]]),0)&gt;0),"Met","Not Met")</f>
        <v>Met</v>
      </c>
    </row>
    <row r="2341" spans="1:22" x14ac:dyDescent="0.35">
      <c r="A2341" t="s">
        <v>195</v>
      </c>
      <c r="B2341">
        <v>2247</v>
      </c>
      <c r="C2341" t="s">
        <v>1777</v>
      </c>
      <c r="D2341">
        <v>3</v>
      </c>
      <c r="E2341">
        <v>14166.189999999999</v>
      </c>
      <c r="F2341">
        <v>56234</v>
      </c>
      <c r="G2341">
        <f>tblMoeHistory[[#This Row],[LEA State and Local Amount]]+tblMoeHistory[[#This Row],[ESD State and Local Amount]]</f>
        <v>70400.19</v>
      </c>
      <c r="I2341" t="s">
        <v>241</v>
      </c>
      <c r="J2341" s="44">
        <f>IFERROR(tblMoeHistory[[#This Row],[LEA State and Local Amount]]/tblMoeHistory[[#This Row],[Child Count]],0)</f>
        <v>4722.0633333333326</v>
      </c>
      <c r="K2341">
        <f>IFERROR(tblMoeHistory[[#This Row],[ESD State and Local Amount]]/tblMoeHistory[[#This Row],[Child Count]],0)</f>
        <v>18744.666666666668</v>
      </c>
      <c r="L2341">
        <f>IFERROR(tblMoeHistory[[#This Row],[State and Local Total Amount]]/tblMoeHistory[[#This Row],[Child Count]],0)</f>
        <v>23466.73</v>
      </c>
      <c r="N2341" t="str">
        <f t="shared" si="3"/>
        <v>Met</v>
      </c>
      <c r="O2341">
        <v>10458</v>
      </c>
      <c r="P2341">
        <v>576</v>
      </c>
      <c r="Q2341">
        <f>tblMoeHistory[[#This Row],[Amount of IDEA Part B, Section 611 award]]+tblMoeHistory[[#This Row],[Amount of IDEA Part B, Section 619 award]]</f>
        <v>11034</v>
      </c>
      <c r="U23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1" t="str">
        <f>IF(OR(IFERROR(SEARCH("Met",tblMoeHistory[[#This Row],[State and Local Per Capita Result]]),0)&gt;0,IFERROR(SEARCH("Met",tblMoeHistory[[#This Row],[State and Local Total Result]]),0)&gt;0),"Met","Not Met")</f>
        <v>Met</v>
      </c>
    </row>
    <row r="2342" spans="1:22" x14ac:dyDescent="0.35">
      <c r="A2342" t="s">
        <v>196</v>
      </c>
      <c r="B2342">
        <v>2083</v>
      </c>
      <c r="C2342" t="s">
        <v>1777</v>
      </c>
      <c r="D2342">
        <v>1634</v>
      </c>
      <c r="E2342">
        <v>19952681.539999999</v>
      </c>
      <c r="F2342">
        <v>2623379</v>
      </c>
      <c r="G2342">
        <f>tblMoeHistory[[#This Row],[LEA State and Local Amount]]+tblMoeHistory[[#This Row],[ESD State and Local Amount]]</f>
        <v>22576060.539999999</v>
      </c>
      <c r="I2342" t="s">
        <v>241</v>
      </c>
      <c r="J2342" s="44">
        <f>IFERROR(tblMoeHistory[[#This Row],[LEA State and Local Amount]]/tblMoeHistory[[#This Row],[Child Count]],0)</f>
        <v>12210.943414932681</v>
      </c>
      <c r="K2342">
        <f>IFERROR(tblMoeHistory[[#This Row],[ESD State and Local Amount]]/tblMoeHistory[[#This Row],[Child Count]],0)</f>
        <v>1605.4951040391677</v>
      </c>
      <c r="L2342">
        <f>IFERROR(tblMoeHistory[[#This Row],[State and Local Total Amount]]/tblMoeHistory[[#This Row],[Child Count]],0)</f>
        <v>13816.438518971847</v>
      </c>
      <c r="N2342" t="str">
        <f t="shared" si="3"/>
        <v>Met</v>
      </c>
      <c r="O2342">
        <v>2394755</v>
      </c>
      <c r="P2342">
        <v>88373</v>
      </c>
      <c r="Q2342">
        <f>tblMoeHistory[[#This Row],[Amount of IDEA Part B, Section 611 award]]+tblMoeHistory[[#This Row],[Amount of IDEA Part B, Section 619 award]]</f>
        <v>2483128</v>
      </c>
      <c r="U23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2" t="str">
        <f>IF(OR(IFERROR(SEARCH("Met",tblMoeHistory[[#This Row],[State and Local Per Capita Result]]),0)&gt;0,IFERROR(SEARCH("Met",tblMoeHistory[[#This Row],[State and Local Total Result]]),0)&gt;0),"Met","Not Met")</f>
        <v>Met</v>
      </c>
    </row>
    <row r="2343" spans="1:22" x14ac:dyDescent="0.35">
      <c r="A2343" t="s">
        <v>197</v>
      </c>
      <c r="B2343">
        <v>1948</v>
      </c>
      <c r="C2343" t="s">
        <v>1777</v>
      </c>
      <c r="D2343">
        <v>452</v>
      </c>
      <c r="E2343">
        <v>4452772.2299999986</v>
      </c>
      <c r="F2343">
        <v>803149</v>
      </c>
      <c r="G2343">
        <f>tblMoeHistory[[#This Row],[LEA State and Local Amount]]+tblMoeHistory[[#This Row],[ESD State and Local Amount]]</f>
        <v>5255921.2299999986</v>
      </c>
      <c r="I2343" t="s">
        <v>242</v>
      </c>
      <c r="J2343" s="44">
        <f>IFERROR(tblMoeHistory[[#This Row],[LEA State and Local Amount]]/tblMoeHistory[[#This Row],[Child Count]],0)</f>
        <v>9851.2659955752188</v>
      </c>
      <c r="K2343">
        <f>IFERROR(tblMoeHistory[[#This Row],[ESD State and Local Amount]]/tblMoeHistory[[#This Row],[Child Count]],0)</f>
        <v>1776.8783185840707</v>
      </c>
      <c r="L2343">
        <f>IFERROR(tblMoeHistory[[#This Row],[State and Local Total Amount]]/tblMoeHistory[[#This Row],[Child Count]],0)</f>
        <v>11628.144314159288</v>
      </c>
      <c r="N2343" t="str">
        <f t="shared" si="3"/>
        <v>Did Not Meet</v>
      </c>
      <c r="O2343">
        <v>667475</v>
      </c>
      <c r="P2343">
        <v>22443</v>
      </c>
      <c r="Q2343">
        <f>tblMoeHistory[[#This Row],[Amount of IDEA Part B, Section 611 award]]+tblMoeHistory[[#This Row],[Amount of IDEA Part B, Section 619 award]]</f>
        <v>689918</v>
      </c>
      <c r="U23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3" t="str">
        <f>IF(OR(IFERROR(SEARCH("Met",tblMoeHistory[[#This Row],[State and Local Per Capita Result]]),0)&gt;0,IFERROR(SEARCH("Met",tblMoeHistory[[#This Row],[State and Local Total Result]]),0)&gt;0),"Met","Not Met")</f>
        <v>Met</v>
      </c>
    </row>
    <row r="2344" spans="1:22" x14ac:dyDescent="0.35">
      <c r="A2344" t="s">
        <v>198</v>
      </c>
      <c r="B2344">
        <v>2144</v>
      </c>
      <c r="C2344" t="s">
        <v>1777</v>
      </c>
      <c r="D2344">
        <v>15</v>
      </c>
      <c r="E2344">
        <v>129528.70999999999</v>
      </c>
      <c r="F2344">
        <v>27688.91</v>
      </c>
      <c r="G2344">
        <f>tblMoeHistory[[#This Row],[LEA State and Local Amount]]+tblMoeHistory[[#This Row],[ESD State and Local Amount]]</f>
        <v>157217.62</v>
      </c>
      <c r="I2344" t="s">
        <v>241</v>
      </c>
      <c r="J2344" s="44">
        <f>IFERROR(tblMoeHistory[[#This Row],[LEA State and Local Amount]]/tblMoeHistory[[#This Row],[Child Count]],0)</f>
        <v>8635.2473333333328</v>
      </c>
      <c r="K2344">
        <f>IFERROR(tblMoeHistory[[#This Row],[ESD State and Local Amount]]/tblMoeHistory[[#This Row],[Child Count]],0)</f>
        <v>1845.9273333333333</v>
      </c>
      <c r="L2344">
        <f>IFERROR(tblMoeHistory[[#This Row],[State and Local Total Amount]]/tblMoeHistory[[#This Row],[Child Count]],0)</f>
        <v>10481.174666666666</v>
      </c>
      <c r="N2344" t="str">
        <f t="shared" si="3"/>
        <v>Did Not Meet</v>
      </c>
      <c r="O2344">
        <v>56797</v>
      </c>
      <c r="P2344">
        <v>1634</v>
      </c>
      <c r="Q2344">
        <f>tblMoeHistory[[#This Row],[Amount of IDEA Part B, Section 611 award]]+tblMoeHistory[[#This Row],[Amount of IDEA Part B, Section 619 award]]</f>
        <v>58431</v>
      </c>
      <c r="U23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4" t="str">
        <f>IF(OR(IFERROR(SEARCH("Met",tblMoeHistory[[#This Row],[State and Local Per Capita Result]]),0)&gt;0,IFERROR(SEARCH("Met",tblMoeHistory[[#This Row],[State and Local Total Result]]),0)&gt;0),"Met","Not Met")</f>
        <v>Met</v>
      </c>
    </row>
    <row r="2345" spans="1:22" x14ac:dyDescent="0.35">
      <c r="A2345" t="s">
        <v>199</v>
      </c>
      <c r="B2345">
        <v>2209</v>
      </c>
      <c r="C2345" t="s">
        <v>1777</v>
      </c>
      <c r="D2345">
        <v>75</v>
      </c>
      <c r="E2345">
        <v>638970.99</v>
      </c>
      <c r="F2345">
        <v>143031.63</v>
      </c>
      <c r="G2345">
        <f>tblMoeHistory[[#This Row],[LEA State and Local Amount]]+tblMoeHistory[[#This Row],[ESD State and Local Amount]]</f>
        <v>782002.62</v>
      </c>
      <c r="I2345" t="s">
        <v>242</v>
      </c>
      <c r="J2345" s="44">
        <f>IFERROR(tblMoeHistory[[#This Row],[LEA State and Local Amount]]/tblMoeHistory[[#This Row],[Child Count]],0)</f>
        <v>8519.6131999999998</v>
      </c>
      <c r="K2345">
        <f>IFERROR(tblMoeHistory[[#This Row],[ESD State and Local Amount]]/tblMoeHistory[[#This Row],[Child Count]],0)</f>
        <v>1907.0884000000001</v>
      </c>
      <c r="L2345">
        <f>IFERROR(tblMoeHistory[[#This Row],[State and Local Total Amount]]/tblMoeHistory[[#This Row],[Child Count]],0)</f>
        <v>10426.7016</v>
      </c>
      <c r="N2345" t="str">
        <f t="shared" si="3"/>
        <v>Met</v>
      </c>
      <c r="O2345">
        <v>114412</v>
      </c>
      <c r="P2345">
        <v>3197</v>
      </c>
      <c r="Q2345">
        <f>tblMoeHistory[[#This Row],[Amount of IDEA Part B, Section 611 award]]+tblMoeHistory[[#This Row],[Amount of IDEA Part B, Section 619 award]]</f>
        <v>117609</v>
      </c>
      <c r="U23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5" t="str">
        <f>IF(OR(IFERROR(SEARCH("Met",tblMoeHistory[[#This Row],[State and Local Per Capita Result]]),0)&gt;0,IFERROR(SEARCH("Met",tblMoeHistory[[#This Row],[State and Local Total Result]]),0)&gt;0),"Met","Not Met")</f>
        <v>Met</v>
      </c>
    </row>
    <row r="2346" spans="1:22" x14ac:dyDescent="0.35">
      <c r="A2346" t="s">
        <v>200</v>
      </c>
      <c r="B2346">
        <v>2018</v>
      </c>
      <c r="C2346" t="s">
        <v>1777</v>
      </c>
      <c r="D2346">
        <v>0</v>
      </c>
      <c r="E2346">
        <v>0</v>
      </c>
      <c r="F2346">
        <v>16233</v>
      </c>
      <c r="G2346">
        <f>tblMoeHistory[[#This Row],[LEA State and Local Amount]]+tblMoeHistory[[#This Row],[ESD State and Local Amount]]</f>
        <v>16233</v>
      </c>
      <c r="I2346" t="s">
        <v>2140</v>
      </c>
      <c r="J2346" s="44">
        <f>IFERROR(tblMoeHistory[[#This Row],[LEA State and Local Amount]]/tblMoeHistory[[#This Row],[Child Count]],0)</f>
        <v>0</v>
      </c>
      <c r="K2346">
        <f>IFERROR(tblMoeHistory[[#This Row],[ESD State and Local Amount]]/tblMoeHistory[[#This Row],[Child Count]],0)</f>
        <v>0</v>
      </c>
      <c r="L2346">
        <f>IFERROR(tblMoeHistory[[#This Row],[State and Local Total Amount]]/tblMoeHistory[[#This Row],[Child Count]],0)</f>
        <v>0</v>
      </c>
      <c r="N2346" t="str">
        <f t="shared" si="3"/>
        <v>Did Not Meet</v>
      </c>
      <c r="O2346">
        <v>1573</v>
      </c>
      <c r="P2346">
        <v>2</v>
      </c>
      <c r="Q2346">
        <f>tblMoeHistory[[#This Row],[Amount of IDEA Part B, Section 611 award]]+tblMoeHistory[[#This Row],[Amount of IDEA Part B, Section 619 award]]</f>
        <v>1575</v>
      </c>
      <c r="U23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6" t="str">
        <f>IF(OR(IFERROR(SEARCH("Met",tblMoeHistory[[#This Row],[State and Local Per Capita Result]]),0)&gt;0,IFERROR(SEARCH("Met",tblMoeHistory[[#This Row],[State and Local Total Result]]),0)&gt;0),"Met","Not Met")</f>
        <v>Met</v>
      </c>
    </row>
    <row r="2347" spans="1:22" x14ac:dyDescent="0.35">
      <c r="A2347" t="s">
        <v>201</v>
      </c>
      <c r="B2347">
        <v>2003</v>
      </c>
      <c r="C2347" t="s">
        <v>1777</v>
      </c>
      <c r="D2347">
        <v>212</v>
      </c>
      <c r="E2347">
        <v>1394651</v>
      </c>
      <c r="F2347">
        <v>299165.27</v>
      </c>
      <c r="G2347">
        <f>tblMoeHistory[[#This Row],[LEA State and Local Amount]]+tblMoeHistory[[#This Row],[ESD State and Local Amount]]</f>
        <v>1693816.27</v>
      </c>
      <c r="I2347" t="s">
        <v>241</v>
      </c>
      <c r="J2347" s="44">
        <f>IFERROR(tblMoeHistory[[#This Row],[LEA State and Local Amount]]/tblMoeHistory[[#This Row],[Child Count]],0)</f>
        <v>6578.5424528301883</v>
      </c>
      <c r="K2347">
        <f>IFERROR(tblMoeHistory[[#This Row],[ESD State and Local Amount]]/tblMoeHistory[[#This Row],[Child Count]],0)</f>
        <v>1411.1569339622642</v>
      </c>
      <c r="L2347">
        <f>IFERROR(tblMoeHistory[[#This Row],[State and Local Total Amount]]/tblMoeHistory[[#This Row],[Child Count]],0)</f>
        <v>7989.699386792453</v>
      </c>
      <c r="N2347" t="str">
        <f t="shared" si="3"/>
        <v>Did Not Meet</v>
      </c>
      <c r="O2347">
        <v>306930</v>
      </c>
      <c r="P2347">
        <v>8576</v>
      </c>
      <c r="Q2347">
        <f>tblMoeHistory[[#This Row],[Amount of IDEA Part B, Section 611 award]]+tblMoeHistory[[#This Row],[Amount of IDEA Part B, Section 619 award]]</f>
        <v>315506</v>
      </c>
      <c r="U23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7" t="str">
        <f>IF(OR(IFERROR(SEARCH("Met",tblMoeHistory[[#This Row],[State and Local Per Capita Result]]),0)&gt;0,IFERROR(SEARCH("Met",tblMoeHistory[[#This Row],[State and Local Total Result]]),0)&gt;0),"Met","Not Met")</f>
        <v>Met</v>
      </c>
    </row>
    <row r="2348" spans="1:22" x14ac:dyDescent="0.35">
      <c r="A2348" t="s">
        <v>202</v>
      </c>
      <c r="B2348">
        <v>2102</v>
      </c>
      <c r="C2348" t="s">
        <v>1777</v>
      </c>
      <c r="D2348">
        <v>407</v>
      </c>
      <c r="E2348">
        <v>3193917.6399999978</v>
      </c>
      <c r="F2348">
        <v>531309</v>
      </c>
      <c r="G2348">
        <f>tblMoeHistory[[#This Row],[LEA State and Local Amount]]+tblMoeHistory[[#This Row],[ESD State and Local Amount]]</f>
        <v>3725226.6399999978</v>
      </c>
      <c r="I2348" t="s">
        <v>241</v>
      </c>
      <c r="J2348" s="44">
        <f>IFERROR(tblMoeHistory[[#This Row],[LEA State and Local Amount]]/tblMoeHistory[[#This Row],[Child Count]],0)</f>
        <v>7847.4634889434838</v>
      </c>
      <c r="K2348">
        <f>IFERROR(tblMoeHistory[[#This Row],[ESD State and Local Amount]]/tblMoeHistory[[#This Row],[Child Count]],0)</f>
        <v>1305.4275184275184</v>
      </c>
      <c r="L2348">
        <f>IFERROR(tblMoeHistory[[#This Row],[State and Local Total Amount]]/tblMoeHistory[[#This Row],[Child Count]],0)</f>
        <v>9152.8910073710013</v>
      </c>
      <c r="N2348" t="str">
        <f t="shared" si="3"/>
        <v>Did Not Meet</v>
      </c>
      <c r="O2348">
        <v>567561</v>
      </c>
      <c r="P2348">
        <v>12491</v>
      </c>
      <c r="Q2348">
        <f>tblMoeHistory[[#This Row],[Amount of IDEA Part B, Section 611 award]]+tblMoeHistory[[#This Row],[Amount of IDEA Part B, Section 619 award]]</f>
        <v>580052</v>
      </c>
      <c r="U23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8" t="str">
        <f>IF(OR(IFERROR(SEARCH("Met",tblMoeHistory[[#This Row],[State and Local Per Capita Result]]),0)&gt;0,IFERROR(SEARCH("Met",tblMoeHistory[[#This Row],[State and Local Total Result]]),0)&gt;0),"Met","Not Met")</f>
        <v>Met</v>
      </c>
    </row>
    <row r="2349" spans="1:22" x14ac:dyDescent="0.35">
      <c r="A2349" t="s">
        <v>203</v>
      </c>
      <c r="B2349">
        <v>2055</v>
      </c>
      <c r="C2349" t="s">
        <v>1777</v>
      </c>
      <c r="D2349">
        <v>608</v>
      </c>
      <c r="E2349">
        <v>8243797.4100000039</v>
      </c>
      <c r="F2349">
        <v>239451.53</v>
      </c>
      <c r="G2349">
        <f>tblMoeHistory[[#This Row],[LEA State and Local Amount]]+tblMoeHistory[[#This Row],[ESD State and Local Amount]]</f>
        <v>8483248.9400000032</v>
      </c>
      <c r="I2349" t="s">
        <v>241</v>
      </c>
      <c r="J2349" s="44">
        <f>IFERROR(tblMoeHistory[[#This Row],[LEA State and Local Amount]]/tblMoeHistory[[#This Row],[Child Count]],0)</f>
        <v>13558.877319078954</v>
      </c>
      <c r="K2349">
        <f>IFERROR(tblMoeHistory[[#This Row],[ESD State and Local Amount]]/tblMoeHistory[[#This Row],[Child Count]],0)</f>
        <v>393.83475328947367</v>
      </c>
      <c r="L2349">
        <f>IFERROR(tblMoeHistory[[#This Row],[State and Local Total Amount]]/tblMoeHistory[[#This Row],[Child Count]],0)</f>
        <v>13952.712072368426</v>
      </c>
      <c r="N2349" t="str">
        <f t="shared" si="3"/>
        <v>Did Not Meet</v>
      </c>
      <c r="O2349">
        <v>1245372</v>
      </c>
      <c r="P2349">
        <v>36651</v>
      </c>
      <c r="Q2349">
        <f>tblMoeHistory[[#This Row],[Amount of IDEA Part B, Section 611 award]]+tblMoeHistory[[#This Row],[Amount of IDEA Part B, Section 619 award]]</f>
        <v>1282023</v>
      </c>
      <c r="U23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9" t="str">
        <f>IF(OR(IFERROR(SEARCH("Met",tblMoeHistory[[#This Row],[State and Local Per Capita Result]]),0)&gt;0,IFERROR(SEARCH("Met",tblMoeHistory[[#This Row],[State and Local Total Result]]),0)&gt;0),"Met","Not Met")</f>
        <v>Met</v>
      </c>
    </row>
    <row r="2350" spans="1:22" x14ac:dyDescent="0.35">
      <c r="A2350" t="s">
        <v>204</v>
      </c>
      <c r="B2350">
        <v>2242</v>
      </c>
      <c r="C2350" t="s">
        <v>1777</v>
      </c>
      <c r="D2350">
        <v>1343</v>
      </c>
      <c r="E2350">
        <v>13009743.749999998</v>
      </c>
      <c r="F2350">
        <v>3629408</v>
      </c>
      <c r="G2350">
        <f>tblMoeHistory[[#This Row],[LEA State and Local Amount]]+tblMoeHistory[[#This Row],[ESD State and Local Amount]]</f>
        <v>16639151.749999998</v>
      </c>
      <c r="I2350" t="s">
        <v>241</v>
      </c>
      <c r="J2350" s="44">
        <f>IFERROR(tblMoeHistory[[#This Row],[LEA State and Local Amount]]/tblMoeHistory[[#This Row],[Child Count]],0)</f>
        <v>9687.0765078183158</v>
      </c>
      <c r="K2350">
        <f>IFERROR(tblMoeHistory[[#This Row],[ESD State and Local Amount]]/tblMoeHistory[[#This Row],[Child Count]],0)</f>
        <v>2702.4631422189127</v>
      </c>
      <c r="L2350">
        <f>IFERROR(tblMoeHistory[[#This Row],[State and Local Total Amount]]/tblMoeHistory[[#This Row],[Child Count]],0)</f>
        <v>12389.539650037228</v>
      </c>
      <c r="N2350" t="str">
        <f t="shared" si="3"/>
        <v>Met</v>
      </c>
      <c r="O2350">
        <v>2454322</v>
      </c>
      <c r="P2350">
        <v>50544</v>
      </c>
      <c r="Q2350">
        <f>tblMoeHistory[[#This Row],[Amount of IDEA Part B, Section 611 award]]+tblMoeHistory[[#This Row],[Amount of IDEA Part B, Section 619 award]]</f>
        <v>2504866</v>
      </c>
      <c r="U23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0" t="str">
        <f>IF(OR(IFERROR(SEARCH("Met",tblMoeHistory[[#This Row],[State and Local Per Capita Result]]),0)&gt;0,IFERROR(SEARCH("Met",tblMoeHistory[[#This Row],[State and Local Total Result]]),0)&gt;0),"Met","Not Met")</f>
        <v>Met</v>
      </c>
    </row>
    <row r="2351" spans="1:22" x14ac:dyDescent="0.35">
      <c r="A2351" t="s">
        <v>205</v>
      </c>
      <c r="B2351">
        <v>2197</v>
      </c>
      <c r="C2351" t="s">
        <v>1777</v>
      </c>
      <c r="D2351">
        <v>352</v>
      </c>
      <c r="E2351">
        <v>3889420.1400000006</v>
      </c>
      <c r="F2351">
        <v>593778</v>
      </c>
      <c r="G2351">
        <f>tblMoeHistory[[#This Row],[LEA State and Local Amount]]+tblMoeHistory[[#This Row],[ESD State and Local Amount]]</f>
        <v>4483198.1400000006</v>
      </c>
      <c r="I2351" t="s">
        <v>241</v>
      </c>
      <c r="J2351" s="44">
        <f>IFERROR(tblMoeHistory[[#This Row],[LEA State and Local Amount]]/tblMoeHistory[[#This Row],[Child Count]],0)</f>
        <v>11049.489034090911</v>
      </c>
      <c r="K2351">
        <f>IFERROR(tblMoeHistory[[#This Row],[ESD State and Local Amount]]/tblMoeHistory[[#This Row],[Child Count]],0)</f>
        <v>1686.8693181818182</v>
      </c>
      <c r="L2351">
        <f>IFERROR(tblMoeHistory[[#This Row],[State and Local Total Amount]]/tblMoeHistory[[#This Row],[Child Count]],0)</f>
        <v>12736.358352272729</v>
      </c>
      <c r="N2351" t="str">
        <f t="shared" si="3"/>
        <v>Did Not Meet</v>
      </c>
      <c r="O2351">
        <v>521119</v>
      </c>
      <c r="P2351">
        <v>11990</v>
      </c>
      <c r="Q2351">
        <f>tblMoeHistory[[#This Row],[Amount of IDEA Part B, Section 611 award]]+tblMoeHistory[[#This Row],[Amount of IDEA Part B, Section 619 award]]</f>
        <v>533109</v>
      </c>
      <c r="U23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1" t="str">
        <f>IF(OR(IFERROR(SEARCH("Met",tblMoeHistory[[#This Row],[State and Local Per Capita Result]]),0)&gt;0,IFERROR(SEARCH("Met",tblMoeHistory[[#This Row],[State and Local Total Result]]),0)&gt;0),"Met","Not Met")</f>
        <v>Met</v>
      </c>
    </row>
    <row r="2352" spans="1:22" x14ac:dyDescent="0.35">
      <c r="A2352" t="s">
        <v>206</v>
      </c>
      <c r="B2352">
        <v>2222</v>
      </c>
      <c r="C2352" t="s">
        <v>1777</v>
      </c>
      <c r="D2352">
        <v>0</v>
      </c>
      <c r="E2352">
        <v>0</v>
      </c>
      <c r="F2352">
        <v>3700</v>
      </c>
      <c r="G2352">
        <f>tblMoeHistory[[#This Row],[LEA State and Local Amount]]+tblMoeHistory[[#This Row],[ESD State and Local Amount]]</f>
        <v>3700</v>
      </c>
      <c r="I2352" t="s">
        <v>241</v>
      </c>
      <c r="J2352" s="44">
        <f>IFERROR(tblMoeHistory[[#This Row],[LEA State and Local Amount]]/tblMoeHistory[[#This Row],[Child Count]],0)</f>
        <v>0</v>
      </c>
      <c r="K2352">
        <f>IFERROR(tblMoeHistory[[#This Row],[ESD State and Local Amount]]/tblMoeHistory[[#This Row],[Child Count]],0)</f>
        <v>0</v>
      </c>
      <c r="L2352">
        <f>IFERROR(tblMoeHistory[[#This Row],[State and Local Total Amount]]/tblMoeHistory[[#This Row],[Child Count]],0)</f>
        <v>0</v>
      </c>
      <c r="N2352" t="str">
        <f t="shared" si="3"/>
        <v>Met</v>
      </c>
      <c r="O2352">
        <v>2279</v>
      </c>
      <c r="P2352">
        <v>1</v>
      </c>
      <c r="Q2352">
        <f>tblMoeHistory[[#This Row],[Amount of IDEA Part B, Section 611 award]]+tblMoeHistory[[#This Row],[Amount of IDEA Part B, Section 619 award]]</f>
        <v>2280</v>
      </c>
      <c r="U23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2" t="str">
        <f>IF(OR(IFERROR(SEARCH("Met",tblMoeHistory[[#This Row],[State and Local Per Capita Result]]),0)&gt;0,IFERROR(SEARCH("Met",tblMoeHistory[[#This Row],[State and Local Total Result]]),0)&gt;0),"Met","Not Met")</f>
        <v>Met</v>
      </c>
    </row>
    <row r="2353" spans="1:22" x14ac:dyDescent="0.35">
      <c r="A2353" t="s">
        <v>207</v>
      </c>
      <c r="B2353">
        <v>2210</v>
      </c>
      <c r="C2353" t="s">
        <v>1777</v>
      </c>
      <c r="D2353">
        <v>3</v>
      </c>
      <c r="E2353">
        <v>10700.55</v>
      </c>
      <c r="F2353">
        <v>8168.12</v>
      </c>
      <c r="G2353">
        <f>tblMoeHistory[[#This Row],[LEA State and Local Amount]]+tblMoeHistory[[#This Row],[ESD State and Local Amount]]</f>
        <v>18868.669999999998</v>
      </c>
      <c r="I2353" t="s">
        <v>241</v>
      </c>
      <c r="J2353" s="44">
        <f>IFERROR(tblMoeHistory[[#This Row],[LEA State and Local Amount]]/tblMoeHistory[[#This Row],[Child Count]],0)</f>
        <v>3566.85</v>
      </c>
      <c r="K2353">
        <f>IFERROR(tblMoeHistory[[#This Row],[ESD State and Local Amount]]/tblMoeHistory[[#This Row],[Child Count]],0)</f>
        <v>2722.7066666666665</v>
      </c>
      <c r="L2353">
        <f>IFERROR(tblMoeHistory[[#This Row],[State and Local Total Amount]]/tblMoeHistory[[#This Row],[Child Count]],0)</f>
        <v>6289.5566666666664</v>
      </c>
      <c r="N2353" t="str">
        <f t="shared" si="3"/>
        <v>Met</v>
      </c>
      <c r="O2353">
        <v>6846</v>
      </c>
      <c r="P2353">
        <v>15</v>
      </c>
      <c r="Q2353">
        <f>tblMoeHistory[[#This Row],[Amount of IDEA Part B, Section 611 award]]+tblMoeHistory[[#This Row],[Amount of IDEA Part B, Section 619 award]]</f>
        <v>6861</v>
      </c>
      <c r="U23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3" t="str">
        <f>IF(OR(IFERROR(SEARCH("Met",tblMoeHistory[[#This Row],[State and Local Per Capita Result]]),0)&gt;0,IFERROR(SEARCH("Met",tblMoeHistory[[#This Row],[State and Local Total Result]]),0)&gt;0),"Met","Not Met")</f>
        <v>Met</v>
      </c>
    </row>
    <row r="2354" spans="1:22" x14ac:dyDescent="0.35">
      <c r="A2354" t="s">
        <v>208</v>
      </c>
      <c r="B2354">
        <v>2204</v>
      </c>
      <c r="C2354" t="s">
        <v>1777</v>
      </c>
      <c r="D2354">
        <v>153</v>
      </c>
      <c r="E2354">
        <v>1504119.5699999998</v>
      </c>
      <c r="F2354">
        <v>282110.95</v>
      </c>
      <c r="G2354">
        <f>tblMoeHistory[[#This Row],[LEA State and Local Amount]]+tblMoeHistory[[#This Row],[ESD State and Local Amount]]</f>
        <v>1786230.5199999998</v>
      </c>
      <c r="I2354" t="s">
        <v>241</v>
      </c>
      <c r="J2354" s="44">
        <f>IFERROR(tblMoeHistory[[#This Row],[LEA State and Local Amount]]/tblMoeHistory[[#This Row],[Child Count]],0)</f>
        <v>9830.8468627450966</v>
      </c>
      <c r="K2354">
        <f>IFERROR(tblMoeHistory[[#This Row],[ESD State and Local Amount]]/tblMoeHistory[[#This Row],[Child Count]],0)</f>
        <v>1843.8624183006536</v>
      </c>
      <c r="L2354">
        <f>IFERROR(tblMoeHistory[[#This Row],[State and Local Total Amount]]/tblMoeHistory[[#This Row],[Child Count]],0)</f>
        <v>11674.709281045751</v>
      </c>
      <c r="N2354" t="str">
        <f t="shared" si="3"/>
        <v>Did Not Meet</v>
      </c>
      <c r="O2354">
        <v>287918</v>
      </c>
      <c r="P2354">
        <v>6680</v>
      </c>
      <c r="Q2354">
        <f>tblMoeHistory[[#This Row],[Amount of IDEA Part B, Section 611 award]]+tblMoeHistory[[#This Row],[Amount of IDEA Part B, Section 619 award]]</f>
        <v>294598</v>
      </c>
      <c r="U23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4" t="str">
        <f>IF(OR(IFERROR(SEARCH("Met",tblMoeHistory[[#This Row],[State and Local Per Capita Result]]),0)&gt;0,IFERROR(SEARCH("Met",tblMoeHistory[[#This Row],[State and Local Total Result]]),0)&gt;0),"Met","Not Met")</f>
        <v>Met</v>
      </c>
    </row>
    <row r="2355" spans="1:22" x14ac:dyDescent="0.35">
      <c r="A2355" t="s">
        <v>209</v>
      </c>
      <c r="B2355">
        <v>2213</v>
      </c>
      <c r="C2355" t="s">
        <v>1777</v>
      </c>
      <c r="D2355">
        <v>54</v>
      </c>
      <c r="E2355">
        <v>393606.41000000003</v>
      </c>
      <c r="F2355">
        <v>81042.11</v>
      </c>
      <c r="G2355">
        <f>tblMoeHistory[[#This Row],[LEA State and Local Amount]]+tblMoeHistory[[#This Row],[ESD State and Local Amount]]</f>
        <v>474648.52</v>
      </c>
      <c r="I2355" t="s">
        <v>241</v>
      </c>
      <c r="J2355" s="44">
        <f>IFERROR(tblMoeHistory[[#This Row],[LEA State and Local Amount]]/tblMoeHistory[[#This Row],[Child Count]],0)</f>
        <v>7289.007592592593</v>
      </c>
      <c r="K2355">
        <f>IFERROR(tblMoeHistory[[#This Row],[ESD State and Local Amount]]/tblMoeHistory[[#This Row],[Child Count]],0)</f>
        <v>1500.7798148148149</v>
      </c>
      <c r="L2355">
        <f>IFERROR(tblMoeHistory[[#This Row],[State and Local Total Amount]]/tblMoeHistory[[#This Row],[Child Count]],0)</f>
        <v>8789.787407407408</v>
      </c>
      <c r="N2355" t="str">
        <f t="shared" si="3"/>
        <v>Did Not Meet</v>
      </c>
      <c r="O2355">
        <v>83671</v>
      </c>
      <c r="P2355">
        <v>685</v>
      </c>
      <c r="Q2355">
        <f>tblMoeHistory[[#This Row],[Amount of IDEA Part B, Section 611 award]]+tblMoeHistory[[#This Row],[Amount of IDEA Part B, Section 619 award]]</f>
        <v>84356</v>
      </c>
      <c r="U23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5" t="str">
        <f>IF(OR(IFERROR(SEARCH("Met",tblMoeHistory[[#This Row],[State and Local Per Capita Result]]),0)&gt;0,IFERROR(SEARCH("Met",tblMoeHistory[[#This Row],[State and Local Total Result]]),0)&gt;0),"Met","Not Met")</f>
        <v>Met</v>
      </c>
    </row>
    <row r="2356" spans="1:22" x14ac:dyDescent="0.35">
      <c r="A2356" t="s">
        <v>210</v>
      </c>
      <c r="B2356">
        <v>2116</v>
      </c>
      <c r="C2356" t="s">
        <v>1777</v>
      </c>
      <c r="D2356">
        <v>96</v>
      </c>
      <c r="E2356">
        <v>907179.99</v>
      </c>
      <c r="F2356">
        <v>308411.40999999997</v>
      </c>
      <c r="G2356">
        <f>tblMoeHistory[[#This Row],[LEA State and Local Amount]]+tblMoeHistory[[#This Row],[ESD State and Local Amount]]</f>
        <v>1215591.3999999999</v>
      </c>
      <c r="I2356" t="s">
        <v>241</v>
      </c>
      <c r="J2356" s="44">
        <f>IFERROR(tblMoeHistory[[#This Row],[LEA State and Local Amount]]/tblMoeHistory[[#This Row],[Child Count]],0)</f>
        <v>9449.7915625000005</v>
      </c>
      <c r="K2356">
        <f>IFERROR(tblMoeHistory[[#This Row],[ESD State and Local Amount]]/tblMoeHistory[[#This Row],[Child Count]],0)</f>
        <v>3212.6188541666666</v>
      </c>
      <c r="L2356">
        <f>IFERROR(tblMoeHistory[[#This Row],[State and Local Total Amount]]/tblMoeHistory[[#This Row],[Child Count]],0)</f>
        <v>12662.410416666666</v>
      </c>
      <c r="N2356" t="str">
        <f t="shared" si="3"/>
        <v>Met</v>
      </c>
      <c r="O2356">
        <v>204290</v>
      </c>
      <c r="P2356">
        <v>2491</v>
      </c>
      <c r="Q2356">
        <f>tblMoeHistory[[#This Row],[Amount of IDEA Part B, Section 611 award]]+tblMoeHistory[[#This Row],[Amount of IDEA Part B, Section 619 award]]</f>
        <v>206781</v>
      </c>
      <c r="U23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6" t="str">
        <f>IF(OR(IFERROR(SEARCH("Met",tblMoeHistory[[#This Row],[State and Local Per Capita Result]]),0)&gt;0,IFERROR(SEARCH("Met",tblMoeHistory[[#This Row],[State and Local Total Result]]),0)&gt;0),"Met","Not Met")</f>
        <v>Met</v>
      </c>
    </row>
    <row r="2357" spans="1:22" x14ac:dyDescent="0.35">
      <c r="A2357" t="s">
        <v>211</v>
      </c>
      <c r="B2357">
        <v>1947</v>
      </c>
      <c r="C2357" t="s">
        <v>1777</v>
      </c>
      <c r="D2357">
        <v>94</v>
      </c>
      <c r="E2357">
        <v>1230943.6400000004</v>
      </c>
      <c r="F2357">
        <v>84411</v>
      </c>
      <c r="G2357">
        <f>tblMoeHistory[[#This Row],[LEA State and Local Amount]]+tblMoeHistory[[#This Row],[ESD State and Local Amount]]</f>
        <v>1315354.6400000004</v>
      </c>
      <c r="I2357" t="s">
        <v>242</v>
      </c>
      <c r="J2357" s="44">
        <f>IFERROR(tblMoeHistory[[#This Row],[LEA State and Local Amount]]/tblMoeHistory[[#This Row],[Child Count]],0)</f>
        <v>13095.145106382983</v>
      </c>
      <c r="K2357">
        <f>IFERROR(tblMoeHistory[[#This Row],[ESD State and Local Amount]]/tblMoeHistory[[#This Row],[Child Count]],0)</f>
        <v>897.98936170212767</v>
      </c>
      <c r="L2357">
        <f>IFERROR(tblMoeHistory[[#This Row],[State and Local Total Amount]]/tblMoeHistory[[#This Row],[Child Count]],0)</f>
        <v>13993.134468085111</v>
      </c>
      <c r="N2357" t="str">
        <f t="shared" si="3"/>
        <v>Did Not Meet</v>
      </c>
      <c r="O2357">
        <v>143689</v>
      </c>
      <c r="P2357">
        <v>5652</v>
      </c>
      <c r="Q2357">
        <f>tblMoeHistory[[#This Row],[Amount of IDEA Part B, Section 611 award]]+tblMoeHistory[[#This Row],[Amount of IDEA Part B, Section 619 award]]</f>
        <v>149341</v>
      </c>
      <c r="U23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7" t="str">
        <f>IF(OR(IFERROR(SEARCH("Met",tblMoeHistory[[#This Row],[State and Local Per Capita Result]]),0)&gt;0,IFERROR(SEARCH("Met",tblMoeHistory[[#This Row],[State and Local Total Result]]),0)&gt;0),"Met","Not Met")</f>
        <v>Met</v>
      </c>
    </row>
    <row r="2358" spans="1:22" x14ac:dyDescent="0.35">
      <c r="A2358" t="s">
        <v>212</v>
      </c>
      <c r="B2358">
        <v>2220</v>
      </c>
      <c r="C2358" t="s">
        <v>1777</v>
      </c>
      <c r="D2358">
        <v>29</v>
      </c>
      <c r="E2358">
        <v>147377.24000000002</v>
      </c>
      <c r="F2358">
        <v>162548.58000000002</v>
      </c>
      <c r="G2358">
        <f>tblMoeHistory[[#This Row],[LEA State and Local Amount]]+tblMoeHistory[[#This Row],[ESD State and Local Amount]]</f>
        <v>309925.82000000007</v>
      </c>
      <c r="I2358" t="s">
        <v>242</v>
      </c>
      <c r="J2358" s="44">
        <f>IFERROR(tblMoeHistory[[#This Row],[LEA State and Local Amount]]/tblMoeHistory[[#This Row],[Child Count]],0)</f>
        <v>5081.9737931034488</v>
      </c>
      <c r="K2358">
        <f>IFERROR(tblMoeHistory[[#This Row],[ESD State and Local Amount]]/tblMoeHistory[[#This Row],[Child Count]],0)</f>
        <v>5605.1234482758628</v>
      </c>
      <c r="L2358">
        <f>IFERROR(tblMoeHistory[[#This Row],[State and Local Total Amount]]/tblMoeHistory[[#This Row],[Child Count]],0)</f>
        <v>10687.097241379313</v>
      </c>
      <c r="N2358" t="str">
        <f t="shared" si="3"/>
        <v>Did Not Meet</v>
      </c>
      <c r="O2358">
        <v>63922</v>
      </c>
      <c r="P2358">
        <v>2055</v>
      </c>
      <c r="Q2358">
        <f>tblMoeHistory[[#This Row],[Amount of IDEA Part B, Section 611 award]]+tblMoeHistory[[#This Row],[Amount of IDEA Part B, Section 619 award]]</f>
        <v>65977</v>
      </c>
      <c r="U23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8" t="str">
        <f>IF(OR(IFERROR(SEARCH("Met",tblMoeHistory[[#This Row],[State and Local Per Capita Result]]),0)&gt;0,IFERROR(SEARCH("Met",tblMoeHistory[[#This Row],[State and Local Total Result]]),0)&gt;0),"Met","Not Met")</f>
        <v>Met</v>
      </c>
    </row>
    <row r="2359" spans="1:22" x14ac:dyDescent="0.35">
      <c r="A2359" t="s">
        <v>213</v>
      </c>
      <c r="B2359">
        <v>1936</v>
      </c>
      <c r="C2359" t="s">
        <v>1777</v>
      </c>
      <c r="D2359">
        <v>148</v>
      </c>
      <c r="E2359">
        <v>1555305.0699999998</v>
      </c>
      <c r="F2359">
        <v>329359</v>
      </c>
      <c r="G2359">
        <f>tblMoeHistory[[#This Row],[LEA State and Local Amount]]+tblMoeHistory[[#This Row],[ESD State and Local Amount]]</f>
        <v>1884664.0699999998</v>
      </c>
      <c r="I2359" t="s">
        <v>241</v>
      </c>
      <c r="J2359" s="44">
        <f>IFERROR(tblMoeHistory[[#This Row],[LEA State and Local Amount]]/tblMoeHistory[[#This Row],[Child Count]],0)</f>
        <v>10508.81804054054</v>
      </c>
      <c r="K2359">
        <f>IFERROR(tblMoeHistory[[#This Row],[ESD State and Local Amount]]/tblMoeHistory[[#This Row],[Child Count]],0)</f>
        <v>2225.3986486486488</v>
      </c>
      <c r="L2359">
        <f>IFERROR(tblMoeHistory[[#This Row],[State and Local Total Amount]]/tblMoeHistory[[#This Row],[Child Count]],0)</f>
        <v>12734.216689189188</v>
      </c>
      <c r="N2359" t="str">
        <f t="shared" si="3"/>
        <v>Did Not Meet</v>
      </c>
      <c r="O2359">
        <v>224536</v>
      </c>
      <c r="P2359">
        <v>5448</v>
      </c>
      <c r="Q2359">
        <f>tblMoeHistory[[#This Row],[Amount of IDEA Part B, Section 611 award]]+tblMoeHistory[[#This Row],[Amount of IDEA Part B, Section 619 award]]</f>
        <v>229984</v>
      </c>
      <c r="U23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9" t="str">
        <f>IF(OR(IFERROR(SEARCH("Met",tblMoeHistory[[#This Row],[State and Local Per Capita Result]]),0)&gt;0,IFERROR(SEARCH("Met",tblMoeHistory[[#This Row],[State and Local Total Result]]),0)&gt;0),"Met","Not Met")</f>
        <v>Met</v>
      </c>
    </row>
    <row r="2360" spans="1:22" x14ac:dyDescent="0.35">
      <c r="A2360" t="s">
        <v>214</v>
      </c>
      <c r="B2360">
        <v>1922</v>
      </c>
      <c r="C2360" t="s">
        <v>1777</v>
      </c>
      <c r="D2360">
        <v>1039</v>
      </c>
      <c r="E2360">
        <v>13198498.540000001</v>
      </c>
      <c r="F2360">
        <v>0</v>
      </c>
      <c r="G2360">
        <f>tblMoeHistory[[#This Row],[LEA State and Local Amount]]+tblMoeHistory[[#This Row],[ESD State and Local Amount]]</f>
        <v>13198498.540000001</v>
      </c>
      <c r="I2360" t="s">
        <v>241</v>
      </c>
      <c r="J2360" s="44">
        <f>IFERROR(tblMoeHistory[[#This Row],[LEA State and Local Amount]]/tblMoeHistory[[#This Row],[Child Count]],0)</f>
        <v>12703.078479307027</v>
      </c>
      <c r="K2360">
        <f>IFERROR(tblMoeHistory[[#This Row],[ESD State and Local Amount]]/tblMoeHistory[[#This Row],[Child Count]],0)</f>
        <v>0</v>
      </c>
      <c r="L2360">
        <f>IFERROR(tblMoeHistory[[#This Row],[State and Local Total Amount]]/tblMoeHistory[[#This Row],[Child Count]],0)</f>
        <v>12703.078479307027</v>
      </c>
      <c r="N2360" t="str">
        <f t="shared" si="3"/>
        <v>Met</v>
      </c>
      <c r="O2360">
        <v>1761071</v>
      </c>
      <c r="P2360">
        <v>32237</v>
      </c>
      <c r="Q2360">
        <f>tblMoeHistory[[#This Row],[Amount of IDEA Part B, Section 611 award]]+tblMoeHistory[[#This Row],[Amount of IDEA Part B, Section 619 award]]</f>
        <v>1793308</v>
      </c>
      <c r="U23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0" t="str">
        <f>IF(OR(IFERROR(SEARCH("Met",tblMoeHistory[[#This Row],[State and Local Per Capita Result]]),0)&gt;0,IFERROR(SEARCH("Met",tblMoeHistory[[#This Row],[State and Local Total Result]]),0)&gt;0),"Met","Not Met")</f>
        <v>Met</v>
      </c>
    </row>
    <row r="2361" spans="1:22" x14ac:dyDescent="0.35">
      <c r="A2361" t="s">
        <v>215</v>
      </c>
      <c r="B2361">
        <v>2255</v>
      </c>
      <c r="C2361" t="s">
        <v>1777</v>
      </c>
      <c r="D2361">
        <v>126</v>
      </c>
      <c r="E2361">
        <v>1089081.3600000001</v>
      </c>
      <c r="F2361">
        <v>54332.32</v>
      </c>
      <c r="G2361">
        <f>tblMoeHistory[[#This Row],[LEA State and Local Amount]]+tblMoeHistory[[#This Row],[ESD State and Local Amount]]</f>
        <v>1143413.6800000002</v>
      </c>
      <c r="I2361" t="s">
        <v>241</v>
      </c>
      <c r="J2361" s="44">
        <f>IFERROR(tblMoeHistory[[#This Row],[LEA State and Local Amount]]/tblMoeHistory[[#This Row],[Child Count]],0)</f>
        <v>8643.5028571428575</v>
      </c>
      <c r="K2361">
        <f>IFERROR(tblMoeHistory[[#This Row],[ESD State and Local Amount]]/tblMoeHistory[[#This Row],[Child Count]],0)</f>
        <v>431.20888888888891</v>
      </c>
      <c r="L2361">
        <f>IFERROR(tblMoeHistory[[#This Row],[State and Local Total Amount]]/tblMoeHistory[[#This Row],[Child Count]],0)</f>
        <v>9074.7117460317477</v>
      </c>
      <c r="N2361" t="str">
        <f t="shared" si="3"/>
        <v>Met</v>
      </c>
      <c r="O2361">
        <v>255166</v>
      </c>
      <c r="P2361">
        <v>8894</v>
      </c>
      <c r="Q2361">
        <f>tblMoeHistory[[#This Row],[Amount of IDEA Part B, Section 611 award]]+tblMoeHistory[[#This Row],[Amount of IDEA Part B, Section 619 award]]</f>
        <v>264060</v>
      </c>
      <c r="U23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1" t="str">
        <f>IF(OR(IFERROR(SEARCH("Met",tblMoeHistory[[#This Row],[State and Local Per Capita Result]]),0)&gt;0,IFERROR(SEARCH("Met",tblMoeHistory[[#This Row],[State and Local Total Result]]),0)&gt;0),"Met","Not Met")</f>
        <v>Met</v>
      </c>
    </row>
    <row r="2362" spans="1:22" x14ac:dyDescent="0.35">
      <c r="A2362" t="s">
        <v>216</v>
      </c>
      <c r="B2362">
        <v>2002</v>
      </c>
      <c r="C2362" t="s">
        <v>1777</v>
      </c>
      <c r="D2362">
        <v>218</v>
      </c>
      <c r="E2362">
        <v>1830619.8899999997</v>
      </c>
      <c r="F2362">
        <v>409099.69999999995</v>
      </c>
      <c r="G2362">
        <f>tblMoeHistory[[#This Row],[LEA State and Local Amount]]+tblMoeHistory[[#This Row],[ESD State and Local Amount]]</f>
        <v>2239719.59</v>
      </c>
      <c r="I2362" t="s">
        <v>241</v>
      </c>
      <c r="J2362" s="44">
        <f>IFERROR(tblMoeHistory[[#This Row],[LEA State and Local Amount]]/tblMoeHistory[[#This Row],[Child Count]],0)</f>
        <v>8397.3389449541264</v>
      </c>
      <c r="K2362">
        <f>IFERROR(tblMoeHistory[[#This Row],[ESD State and Local Amount]]/tblMoeHistory[[#This Row],[Child Count]],0)</f>
        <v>1876.6041284403668</v>
      </c>
      <c r="L2362">
        <f>IFERROR(tblMoeHistory[[#This Row],[State and Local Total Amount]]/tblMoeHistory[[#This Row],[Child Count]],0)</f>
        <v>10273.943073394496</v>
      </c>
      <c r="N2362" t="str">
        <f t="shared" ref="N2362:N2425" si="4">IF(L2362&gt;=L2165,"Met","Did Not Meet")</f>
        <v>Did Not Meet</v>
      </c>
      <c r="O2362">
        <v>334262</v>
      </c>
      <c r="P2362">
        <v>14355</v>
      </c>
      <c r="Q2362">
        <f>tblMoeHistory[[#This Row],[Amount of IDEA Part B, Section 611 award]]+tblMoeHistory[[#This Row],[Amount of IDEA Part B, Section 619 award]]</f>
        <v>348617</v>
      </c>
      <c r="U23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2" t="str">
        <f>IF(OR(IFERROR(SEARCH("Met",tblMoeHistory[[#This Row],[State and Local Per Capita Result]]),0)&gt;0,IFERROR(SEARCH("Met",tblMoeHistory[[#This Row],[State and Local Total Result]]),0)&gt;0),"Met","Not Met")</f>
        <v>Met</v>
      </c>
    </row>
    <row r="2363" spans="1:22" x14ac:dyDescent="0.35">
      <c r="A2363" t="s">
        <v>217</v>
      </c>
      <c r="B2363">
        <v>2146</v>
      </c>
      <c r="C2363" t="s">
        <v>1777</v>
      </c>
      <c r="D2363">
        <v>762</v>
      </c>
      <c r="E2363">
        <v>9532208.6200000029</v>
      </c>
      <c r="F2363">
        <v>410243.48</v>
      </c>
      <c r="G2363">
        <f>tblMoeHistory[[#This Row],[LEA State and Local Amount]]+tblMoeHistory[[#This Row],[ESD State and Local Amount]]</f>
        <v>9942452.1000000034</v>
      </c>
      <c r="I2363" t="s">
        <v>241</v>
      </c>
      <c r="J2363" s="44">
        <f>IFERROR(tblMoeHistory[[#This Row],[LEA State and Local Amount]]/tblMoeHistory[[#This Row],[Child Count]],0)</f>
        <v>12509.4601312336</v>
      </c>
      <c r="K2363">
        <f>IFERROR(tblMoeHistory[[#This Row],[ESD State and Local Amount]]/tblMoeHistory[[#This Row],[Child Count]],0)</f>
        <v>538.37727034120735</v>
      </c>
      <c r="L2363">
        <f>IFERROR(tblMoeHistory[[#This Row],[State and Local Total Amount]]/tblMoeHistory[[#This Row],[Child Count]],0)</f>
        <v>13047.837401574807</v>
      </c>
      <c r="N2363" t="str">
        <f t="shared" si="4"/>
        <v>Met</v>
      </c>
      <c r="O2363">
        <v>1061122</v>
      </c>
      <c r="P2363">
        <v>16523</v>
      </c>
      <c r="Q2363">
        <f>tblMoeHistory[[#This Row],[Amount of IDEA Part B, Section 611 award]]+tblMoeHistory[[#This Row],[Amount of IDEA Part B, Section 619 award]]</f>
        <v>1077645</v>
      </c>
      <c r="U23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3" t="str">
        <f>IF(OR(IFERROR(SEARCH("Met",tblMoeHistory[[#This Row],[State and Local Per Capita Result]]),0)&gt;0,IFERROR(SEARCH("Met",tblMoeHistory[[#This Row],[State and Local Total Result]]),0)&gt;0),"Met","Not Met")</f>
        <v>Met</v>
      </c>
    </row>
    <row r="2364" spans="1:22" x14ac:dyDescent="0.35">
      <c r="A2364" t="s">
        <v>218</v>
      </c>
      <c r="B2364">
        <v>2251</v>
      </c>
      <c r="C2364" t="s">
        <v>1777</v>
      </c>
      <c r="D2364">
        <v>113</v>
      </c>
      <c r="E2364">
        <v>1580492.76</v>
      </c>
      <c r="F2364">
        <v>142458.36000000002</v>
      </c>
      <c r="G2364">
        <f>tblMoeHistory[[#This Row],[LEA State and Local Amount]]+tblMoeHistory[[#This Row],[ESD State and Local Amount]]</f>
        <v>1722951.12</v>
      </c>
      <c r="I2364" t="s">
        <v>241</v>
      </c>
      <c r="J2364" s="44">
        <f>IFERROR(tblMoeHistory[[#This Row],[LEA State and Local Amount]]/tblMoeHistory[[#This Row],[Child Count]],0)</f>
        <v>13986.661592920354</v>
      </c>
      <c r="K2364">
        <f>IFERROR(tblMoeHistory[[#This Row],[ESD State and Local Amount]]/tblMoeHistory[[#This Row],[Child Count]],0)</f>
        <v>1260.6934513274336</v>
      </c>
      <c r="L2364">
        <f>IFERROR(tblMoeHistory[[#This Row],[State and Local Total Amount]]/tblMoeHistory[[#This Row],[Child Count]],0)</f>
        <v>15247.355044247788</v>
      </c>
      <c r="N2364" t="str">
        <f t="shared" si="4"/>
        <v>Met</v>
      </c>
      <c r="O2364">
        <v>243472</v>
      </c>
      <c r="P2364">
        <v>6353</v>
      </c>
      <c r="Q2364">
        <f>tblMoeHistory[[#This Row],[Amount of IDEA Part B, Section 611 award]]+tblMoeHistory[[#This Row],[Amount of IDEA Part B, Section 619 award]]</f>
        <v>249825</v>
      </c>
      <c r="U23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4" t="str">
        <f>IF(OR(IFERROR(SEARCH("Met",tblMoeHistory[[#This Row],[State and Local Per Capita Result]]),0)&gt;0,IFERROR(SEARCH("Met",tblMoeHistory[[#This Row],[State and Local Total Result]]),0)&gt;0),"Met","Not Met")</f>
        <v>Met</v>
      </c>
    </row>
    <row r="2365" spans="1:22" x14ac:dyDescent="0.35">
      <c r="A2365" t="s">
        <v>219</v>
      </c>
      <c r="B2365">
        <v>1997</v>
      </c>
      <c r="C2365" t="s">
        <v>1777</v>
      </c>
      <c r="D2365">
        <v>38</v>
      </c>
      <c r="E2365">
        <v>277138.14</v>
      </c>
      <c r="F2365">
        <v>61935.14</v>
      </c>
      <c r="G2365">
        <f>tblMoeHistory[[#This Row],[LEA State and Local Amount]]+tblMoeHistory[[#This Row],[ESD State and Local Amount]]</f>
        <v>339073.28000000003</v>
      </c>
      <c r="I2365" t="s">
        <v>2140</v>
      </c>
      <c r="J2365" s="44">
        <f>IFERROR(tblMoeHistory[[#This Row],[LEA State and Local Amount]]/tblMoeHistory[[#This Row],[Child Count]],0)</f>
        <v>7293.1089473684215</v>
      </c>
      <c r="K2365">
        <f>IFERROR(tblMoeHistory[[#This Row],[ESD State and Local Amount]]/tblMoeHistory[[#This Row],[Child Count]],0)</f>
        <v>1629.8721052631579</v>
      </c>
      <c r="L2365">
        <f>IFERROR(tblMoeHistory[[#This Row],[State and Local Total Amount]]/tblMoeHistory[[#This Row],[Child Count]],0)</f>
        <v>8922.9810526315796</v>
      </c>
      <c r="N2365" t="str">
        <f t="shared" si="4"/>
        <v>Did Not Meet</v>
      </c>
      <c r="O2365">
        <v>66760</v>
      </c>
      <c r="P2365">
        <v>2089</v>
      </c>
      <c r="Q2365">
        <f>tblMoeHistory[[#This Row],[Amount of IDEA Part B, Section 611 award]]+tblMoeHistory[[#This Row],[Amount of IDEA Part B, Section 619 award]]</f>
        <v>68849</v>
      </c>
      <c r="U23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5" t="str">
        <f>IF(OR(IFERROR(SEARCH("Met",tblMoeHistory[[#This Row],[State and Local Per Capita Result]]),0)&gt;0,IFERROR(SEARCH("Met",tblMoeHistory[[#This Row],[State and Local Total Result]]),0)&gt;0),"Met","Not Met")</f>
        <v>Met</v>
      </c>
    </row>
    <row r="2366" spans="1:22" s="281" customFormat="1" x14ac:dyDescent="0.35">
      <c r="A2366" s="281" t="s">
        <v>14</v>
      </c>
      <c r="B2366" s="281">
        <v>2063</v>
      </c>
      <c r="C2366" s="281" t="s">
        <v>2108</v>
      </c>
      <c r="D2366" s="281">
        <v>2</v>
      </c>
      <c r="E2366" s="281">
        <v>3724.08</v>
      </c>
      <c r="F2366" s="281">
        <v>43083.519999999997</v>
      </c>
      <c r="G2366" s="281">
        <f>tblMoeHistory[[#This Row],[LEA State and Local Amount]]+tblMoeHistory[[#This Row],[ESD State and Local Amount]]</f>
        <v>46807.6</v>
      </c>
      <c r="J2366" s="281">
        <f>IFERROR(tblMoeHistory[[#This Row],[LEA State and Local Amount]]/tblMoeHistory[[#This Row],[Child Count]],0)</f>
        <v>1862.04</v>
      </c>
      <c r="K2366" s="282">
        <f>IFERROR(tblMoeHistory[[#This Row],[ESD State and Local Amount]]/tblMoeHistory[[#This Row],[Child Count]],0)</f>
        <v>21541.759999999998</v>
      </c>
      <c r="L2366" s="281">
        <f>IFERROR(tblMoeHistory[[#This Row],[State and Local Total Amount]]/tblMoeHistory[[#This Row],[Child Count]],0)</f>
        <v>23403.8</v>
      </c>
      <c r="N2366" s="281" t="str">
        <f t="shared" si="4"/>
        <v>Met</v>
      </c>
      <c r="Q2366" s="281">
        <f>tblMoeHistory[[#This Row],[Amount of IDEA Part B, Section 611 award]]+tblMoeHistory[[#This Row],[Amount of IDEA Part B, Section 619 award]]</f>
        <v>0</v>
      </c>
      <c r="U2366" s="2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6" s="281" t="str">
        <f>IF(OR(IFERROR(SEARCH("Met",tblMoeHistory[[#This Row],[State and Local Per Capita Result]]),0)&gt;0,IFERROR(SEARCH("Met",tblMoeHistory[[#This Row],[State and Local Total Result]]),0)&gt;0),"Met","Not Met")</f>
        <v>Met</v>
      </c>
    </row>
    <row r="2367" spans="1:22" x14ac:dyDescent="0.35">
      <c r="A2367" t="s">
        <v>17</v>
      </c>
      <c r="B2367">
        <v>2113</v>
      </c>
      <c r="C2367" t="s">
        <v>2108</v>
      </c>
      <c r="D2367">
        <v>35</v>
      </c>
      <c r="E2367">
        <v>304712.21999999997</v>
      </c>
      <c r="F2367">
        <v>147769.44</v>
      </c>
      <c r="G2367">
        <f>tblMoeHistory[[#This Row],[LEA State and Local Amount]]+tblMoeHistory[[#This Row],[ESD State and Local Amount]]</f>
        <v>452481.66</v>
      </c>
      <c r="J2367">
        <f>IFERROR(tblMoeHistory[[#This Row],[LEA State and Local Amount]]/tblMoeHistory[[#This Row],[Child Count]],0)</f>
        <v>8706.0634285714277</v>
      </c>
      <c r="K2367" s="44">
        <f>IFERROR(tblMoeHistory[[#This Row],[ESD State and Local Amount]]/tblMoeHistory[[#This Row],[Child Count]],0)</f>
        <v>4221.9840000000004</v>
      </c>
      <c r="L2367">
        <f>IFERROR(tblMoeHistory[[#This Row],[State and Local Total Amount]]/tblMoeHistory[[#This Row],[Child Count]],0)</f>
        <v>12928.047428571428</v>
      </c>
      <c r="N2367" t="str">
        <f t="shared" si="4"/>
        <v>Met</v>
      </c>
      <c r="Q2367">
        <f>tblMoeHistory[[#This Row],[Amount of IDEA Part B, Section 611 award]]+tblMoeHistory[[#This Row],[Amount of IDEA Part B, Section 619 award]]</f>
        <v>0</v>
      </c>
      <c r="U23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7" t="str">
        <f>IF(OR(IFERROR(SEARCH("Met",tblMoeHistory[[#This Row],[State and Local Per Capita Result]]),0)&gt;0,IFERROR(SEARCH("Met",tblMoeHistory[[#This Row],[State and Local Total Result]]),0)&gt;0),"Met","Not Met")</f>
        <v>Met</v>
      </c>
    </row>
    <row r="2368" spans="1:22" x14ac:dyDescent="0.35">
      <c r="A2368" t="s">
        <v>20</v>
      </c>
      <c r="B2368">
        <v>1899</v>
      </c>
      <c r="C2368" t="s">
        <v>2108</v>
      </c>
      <c r="D2368">
        <v>86</v>
      </c>
      <c r="E2368">
        <v>1246579</v>
      </c>
      <c r="F2368">
        <v>139423</v>
      </c>
      <c r="G2368">
        <f>tblMoeHistory[[#This Row],[LEA State and Local Amount]]+tblMoeHistory[[#This Row],[ESD State and Local Amount]]</f>
        <v>1386002</v>
      </c>
      <c r="J2368">
        <f>IFERROR(tblMoeHistory[[#This Row],[LEA State and Local Amount]]/tblMoeHistory[[#This Row],[Child Count]],0)</f>
        <v>14495.10465116279</v>
      </c>
      <c r="K2368" s="44">
        <f>IFERROR(tblMoeHistory[[#This Row],[ESD State and Local Amount]]/tblMoeHistory[[#This Row],[Child Count]],0)</f>
        <v>1621.1976744186047</v>
      </c>
      <c r="L2368">
        <f>IFERROR(tblMoeHistory[[#This Row],[State and Local Total Amount]]/tblMoeHistory[[#This Row],[Child Count]],0)</f>
        <v>16116.302325581395</v>
      </c>
      <c r="N2368" t="str">
        <f t="shared" si="4"/>
        <v>Met</v>
      </c>
      <c r="Q2368">
        <f>tblMoeHistory[[#This Row],[Amount of IDEA Part B, Section 611 award]]+tblMoeHistory[[#This Row],[Amount of IDEA Part B, Section 619 award]]</f>
        <v>0</v>
      </c>
      <c r="U23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8" t="str">
        <f>IF(OR(IFERROR(SEARCH("Met",tblMoeHistory[[#This Row],[State and Local Per Capita Result]]),0)&gt;0,IFERROR(SEARCH("Met",tblMoeHistory[[#This Row],[State and Local Total Result]]),0)&gt;0),"Met","Not Met")</f>
        <v>Met</v>
      </c>
    </row>
    <row r="2369" spans="1:22" x14ac:dyDescent="0.35">
      <c r="A2369" t="s">
        <v>21</v>
      </c>
      <c r="B2369">
        <v>2252</v>
      </c>
      <c r="C2369" t="s">
        <v>2108</v>
      </c>
      <c r="D2369">
        <v>120</v>
      </c>
      <c r="E2369">
        <v>687466.32000000007</v>
      </c>
      <c r="F2369">
        <v>150279.63999999998</v>
      </c>
      <c r="G2369">
        <f>tblMoeHistory[[#This Row],[LEA State and Local Amount]]+tblMoeHistory[[#This Row],[ESD State and Local Amount]]</f>
        <v>837745.96000000008</v>
      </c>
      <c r="J2369">
        <f>IFERROR(tblMoeHistory[[#This Row],[LEA State and Local Amount]]/tblMoeHistory[[#This Row],[Child Count]],0)</f>
        <v>5728.8860000000004</v>
      </c>
      <c r="K2369" s="44">
        <f>IFERROR(tblMoeHistory[[#This Row],[ESD State and Local Amount]]/tblMoeHistory[[#This Row],[Child Count]],0)</f>
        <v>1252.3303333333331</v>
      </c>
      <c r="L2369">
        <f>IFERROR(tblMoeHistory[[#This Row],[State and Local Total Amount]]/tblMoeHistory[[#This Row],[Child Count]],0)</f>
        <v>6981.2163333333338</v>
      </c>
      <c r="N2369" t="str">
        <f t="shared" si="4"/>
        <v>Met</v>
      </c>
      <c r="Q2369">
        <f>tblMoeHistory[[#This Row],[Amount of IDEA Part B, Section 611 award]]+tblMoeHistory[[#This Row],[Amount of IDEA Part B, Section 619 award]]</f>
        <v>0</v>
      </c>
      <c r="U23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9" t="str">
        <f>IF(OR(IFERROR(SEARCH("Met",tblMoeHistory[[#This Row],[State and Local Per Capita Result]]),0)&gt;0,IFERROR(SEARCH("Met",tblMoeHistory[[#This Row],[State and Local Total Result]]),0)&gt;0),"Met","Not Met")</f>
        <v>Met</v>
      </c>
    </row>
    <row r="2370" spans="1:22" x14ac:dyDescent="0.35">
      <c r="A2370" t="s">
        <v>23</v>
      </c>
      <c r="B2370">
        <v>2111</v>
      </c>
      <c r="C2370" t="s">
        <v>2108</v>
      </c>
      <c r="D2370">
        <v>12</v>
      </c>
      <c r="E2370">
        <v>34058.51</v>
      </c>
      <c r="F2370">
        <v>67176.639999999999</v>
      </c>
      <c r="G2370">
        <f>tblMoeHistory[[#This Row],[LEA State and Local Amount]]+tblMoeHistory[[#This Row],[ESD State and Local Amount]]</f>
        <v>101235.15</v>
      </c>
      <c r="J2370">
        <f>IFERROR(tblMoeHistory[[#This Row],[LEA State and Local Amount]]/tblMoeHistory[[#This Row],[Child Count]],0)</f>
        <v>2838.209166666667</v>
      </c>
      <c r="K2370" s="44">
        <f>IFERROR(tblMoeHistory[[#This Row],[ESD State and Local Amount]]/tblMoeHistory[[#This Row],[Child Count]],0)</f>
        <v>5598.0533333333333</v>
      </c>
      <c r="L2370">
        <f>IFERROR(tblMoeHistory[[#This Row],[State and Local Total Amount]]/tblMoeHistory[[#This Row],[Child Count]],0)</f>
        <v>8436.2624999999989</v>
      </c>
      <c r="N2370" t="str">
        <f t="shared" si="4"/>
        <v>Met</v>
      </c>
      <c r="Q2370">
        <f>tblMoeHistory[[#This Row],[Amount of IDEA Part B, Section 611 award]]+tblMoeHistory[[#This Row],[Amount of IDEA Part B, Section 619 award]]</f>
        <v>0</v>
      </c>
      <c r="U23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0" t="str">
        <f>IF(OR(IFERROR(SEARCH("Met",tblMoeHistory[[#This Row],[State and Local Per Capita Result]]),0)&gt;0,IFERROR(SEARCH("Met",tblMoeHistory[[#This Row],[State and Local Total Result]]),0)&gt;0),"Met","Not Met")</f>
        <v>Met</v>
      </c>
    </row>
    <row r="2371" spans="1:22" x14ac:dyDescent="0.35">
      <c r="A2371" t="s">
        <v>24</v>
      </c>
      <c r="B2371">
        <v>2005</v>
      </c>
      <c r="C2371" t="s">
        <v>2108</v>
      </c>
      <c r="D2371">
        <v>21</v>
      </c>
      <c r="E2371">
        <v>23157.460000000003</v>
      </c>
      <c r="F2371">
        <v>163638</v>
      </c>
      <c r="G2371">
        <f>tblMoeHistory[[#This Row],[LEA State and Local Amount]]+tblMoeHistory[[#This Row],[ESD State and Local Amount]]</f>
        <v>186795.46</v>
      </c>
      <c r="J2371">
        <f>IFERROR(tblMoeHistory[[#This Row],[LEA State and Local Amount]]/tblMoeHistory[[#This Row],[Child Count]],0)</f>
        <v>1102.7361904761906</v>
      </c>
      <c r="K2371" s="44">
        <f>IFERROR(tblMoeHistory[[#This Row],[ESD State and Local Amount]]/tblMoeHistory[[#This Row],[Child Count]],0)</f>
        <v>7792.2857142857147</v>
      </c>
      <c r="L2371">
        <f>IFERROR(tblMoeHistory[[#This Row],[State and Local Total Amount]]/tblMoeHistory[[#This Row],[Child Count]],0)</f>
        <v>8895.0219047619048</v>
      </c>
      <c r="N2371" t="str">
        <f t="shared" si="4"/>
        <v>Met</v>
      </c>
      <c r="Q2371">
        <f>tblMoeHistory[[#This Row],[Amount of IDEA Part B, Section 611 award]]+tblMoeHistory[[#This Row],[Amount of IDEA Part B, Section 619 award]]</f>
        <v>0</v>
      </c>
      <c r="U23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1" t="str">
        <f>IF(OR(IFERROR(SEARCH("Met",tblMoeHistory[[#This Row],[State and Local Per Capita Result]]),0)&gt;0,IFERROR(SEARCH("Met",tblMoeHistory[[#This Row],[State and Local Total Result]]),0)&gt;0),"Met","Not Met")</f>
        <v>Met</v>
      </c>
    </row>
    <row r="2372" spans="1:22" x14ac:dyDescent="0.35">
      <c r="A2372" t="s">
        <v>25</v>
      </c>
      <c r="B2372">
        <v>2115</v>
      </c>
      <c r="C2372" t="s">
        <v>2108</v>
      </c>
      <c r="D2372">
        <v>0</v>
      </c>
      <c r="E2372">
        <v>0</v>
      </c>
      <c r="F2372">
        <v>15128.87</v>
      </c>
      <c r="G2372">
        <f>tblMoeHistory[[#This Row],[LEA State and Local Amount]]+tblMoeHistory[[#This Row],[ESD State and Local Amount]]</f>
        <v>15128.87</v>
      </c>
      <c r="J2372">
        <f>IFERROR(tblMoeHistory[[#This Row],[LEA State and Local Amount]]/tblMoeHistory[[#This Row],[Child Count]],0)</f>
        <v>0</v>
      </c>
      <c r="K2372" s="44">
        <f>IFERROR(tblMoeHistory[[#This Row],[ESD State and Local Amount]]/tblMoeHistory[[#This Row],[Child Count]],0)</f>
        <v>0</v>
      </c>
      <c r="L2372">
        <f>IFERROR(tblMoeHistory[[#This Row],[State and Local Total Amount]]/tblMoeHistory[[#This Row],[Child Count]],0)</f>
        <v>0</v>
      </c>
      <c r="N2372" t="str">
        <f t="shared" si="4"/>
        <v>Met</v>
      </c>
      <c r="Q2372">
        <f>tblMoeHistory[[#This Row],[Amount of IDEA Part B, Section 611 award]]+tblMoeHistory[[#This Row],[Amount of IDEA Part B, Section 619 award]]</f>
        <v>0</v>
      </c>
      <c r="U23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2" t="str">
        <f>IF(OR(IFERROR(SEARCH("Met",tblMoeHistory[[#This Row],[State and Local Per Capita Result]]),0)&gt;0,IFERROR(SEARCH("Met",tblMoeHistory[[#This Row],[State and Local Total Result]]),0)&gt;0),"Met","Not Met")</f>
        <v>Met</v>
      </c>
    </row>
    <row r="2373" spans="1:22" x14ac:dyDescent="0.35">
      <c r="A2373" t="s">
        <v>26</v>
      </c>
      <c r="B2373">
        <v>2041</v>
      </c>
      <c r="C2373" t="s">
        <v>2108</v>
      </c>
      <c r="D2373">
        <v>338</v>
      </c>
      <c r="E2373">
        <v>3616909.2399999998</v>
      </c>
      <c r="F2373">
        <v>205688.95999999999</v>
      </c>
      <c r="G2373">
        <f>tblMoeHistory[[#This Row],[LEA State and Local Amount]]+tblMoeHistory[[#This Row],[ESD State and Local Amount]]</f>
        <v>3822598.1999999997</v>
      </c>
      <c r="J2373">
        <f>IFERROR(tblMoeHistory[[#This Row],[LEA State and Local Amount]]/tblMoeHistory[[#This Row],[Child Count]],0)</f>
        <v>10700.914911242602</v>
      </c>
      <c r="K2373" s="44">
        <f>IFERROR(tblMoeHistory[[#This Row],[ESD State and Local Amount]]/tblMoeHistory[[#This Row],[Child Count]],0)</f>
        <v>608.54721893491126</v>
      </c>
      <c r="L2373">
        <f>IFERROR(tblMoeHistory[[#This Row],[State and Local Total Amount]]/tblMoeHistory[[#This Row],[Child Count]],0)</f>
        <v>11309.462130177513</v>
      </c>
      <c r="N2373" t="str">
        <f t="shared" si="4"/>
        <v>Did Not Meet</v>
      </c>
      <c r="Q2373">
        <f>tblMoeHistory[[#This Row],[Amount of IDEA Part B, Section 611 award]]+tblMoeHistory[[#This Row],[Amount of IDEA Part B, Section 619 award]]</f>
        <v>0</v>
      </c>
      <c r="U23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3" t="str">
        <f>IF(OR(IFERROR(SEARCH("Met",tblMoeHistory[[#This Row],[State and Local Per Capita Result]]),0)&gt;0,IFERROR(SEARCH("Met",tblMoeHistory[[#This Row],[State and Local Total Result]]),0)&gt;0),"Met","Not Met")</f>
        <v>Not Met</v>
      </c>
    </row>
    <row r="2374" spans="1:22" x14ac:dyDescent="0.35">
      <c r="A2374" t="s">
        <v>27</v>
      </c>
      <c r="B2374">
        <v>2051</v>
      </c>
      <c r="C2374" t="s">
        <v>2108</v>
      </c>
      <c r="D2374">
        <v>0</v>
      </c>
      <c r="E2374">
        <v>0</v>
      </c>
      <c r="F2374">
        <v>12604.98</v>
      </c>
      <c r="G2374">
        <f>tblMoeHistory[[#This Row],[LEA State and Local Amount]]+tblMoeHistory[[#This Row],[ESD State and Local Amount]]</f>
        <v>12604.98</v>
      </c>
      <c r="J2374">
        <f>IFERROR(tblMoeHistory[[#This Row],[LEA State and Local Amount]]/tblMoeHistory[[#This Row],[Child Count]],0)</f>
        <v>0</v>
      </c>
      <c r="K2374" s="44">
        <f>IFERROR(tblMoeHistory[[#This Row],[ESD State and Local Amount]]/tblMoeHistory[[#This Row],[Child Count]],0)</f>
        <v>0</v>
      </c>
      <c r="L2374">
        <f>IFERROR(tblMoeHistory[[#This Row],[State and Local Total Amount]]/tblMoeHistory[[#This Row],[Child Count]],0)</f>
        <v>0</v>
      </c>
      <c r="N2374" t="str">
        <f t="shared" si="4"/>
        <v>Met</v>
      </c>
      <c r="Q2374">
        <f>tblMoeHistory[[#This Row],[Amount of IDEA Part B, Section 611 award]]+tblMoeHistory[[#This Row],[Amount of IDEA Part B, Section 619 award]]</f>
        <v>0</v>
      </c>
      <c r="U23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4" t="str">
        <f>IF(OR(IFERROR(SEARCH("Met",tblMoeHistory[[#This Row],[State and Local Per Capita Result]]),0)&gt;0,IFERROR(SEARCH("Met",tblMoeHistory[[#This Row],[State and Local Total Result]]),0)&gt;0),"Met","Not Met")</f>
        <v>Met</v>
      </c>
    </row>
    <row r="2375" spans="1:22" x14ac:dyDescent="0.35">
      <c r="A2375" t="s">
        <v>28</v>
      </c>
      <c r="B2375">
        <v>1933</v>
      </c>
      <c r="C2375" t="s">
        <v>2108</v>
      </c>
      <c r="D2375">
        <v>249</v>
      </c>
      <c r="E2375">
        <v>3852496.620000001</v>
      </c>
      <c r="F2375">
        <v>507634</v>
      </c>
      <c r="G2375">
        <f>tblMoeHistory[[#This Row],[LEA State and Local Amount]]+tblMoeHistory[[#This Row],[ESD State and Local Amount]]</f>
        <v>4360130.620000001</v>
      </c>
      <c r="J2375">
        <f>IFERROR(tblMoeHistory[[#This Row],[LEA State and Local Amount]]/tblMoeHistory[[#This Row],[Child Count]],0)</f>
        <v>15471.873975903618</v>
      </c>
      <c r="K2375" s="44">
        <f>IFERROR(tblMoeHistory[[#This Row],[ESD State and Local Amount]]/tblMoeHistory[[#This Row],[Child Count]],0)</f>
        <v>2038.6907630522089</v>
      </c>
      <c r="L2375">
        <f>IFERROR(tblMoeHistory[[#This Row],[State and Local Total Amount]]/tblMoeHistory[[#This Row],[Child Count]],0)</f>
        <v>17510.564738955829</v>
      </c>
      <c r="N2375" t="str">
        <f t="shared" si="4"/>
        <v>Met</v>
      </c>
      <c r="Q2375">
        <f>tblMoeHistory[[#This Row],[Amount of IDEA Part B, Section 611 award]]+tblMoeHistory[[#This Row],[Amount of IDEA Part B, Section 619 award]]</f>
        <v>0</v>
      </c>
      <c r="U23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5" t="str">
        <f>IF(OR(IFERROR(SEARCH("Met",tblMoeHistory[[#This Row],[State and Local Per Capita Result]]),0)&gt;0,IFERROR(SEARCH("Met",tblMoeHistory[[#This Row],[State and Local Total Result]]),0)&gt;0),"Met","Not Met")</f>
        <v>Met</v>
      </c>
    </row>
    <row r="2376" spans="1:22" x14ac:dyDescent="0.35">
      <c r="A2376" t="s">
        <v>29</v>
      </c>
      <c r="B2376">
        <v>2208</v>
      </c>
      <c r="C2376" t="s">
        <v>2108</v>
      </c>
      <c r="D2376">
        <v>76</v>
      </c>
      <c r="E2376">
        <v>840197.5</v>
      </c>
      <c r="F2376">
        <v>167623.62</v>
      </c>
      <c r="G2376">
        <f>tblMoeHistory[[#This Row],[LEA State and Local Amount]]+tblMoeHistory[[#This Row],[ESD State and Local Amount]]</f>
        <v>1007821.12</v>
      </c>
      <c r="J2376">
        <f>IFERROR(tblMoeHistory[[#This Row],[LEA State and Local Amount]]/tblMoeHistory[[#This Row],[Child Count]],0)</f>
        <v>11055.230263157895</v>
      </c>
      <c r="K2376" s="44">
        <f>IFERROR(tblMoeHistory[[#This Row],[ESD State and Local Amount]]/tblMoeHistory[[#This Row],[Child Count]],0)</f>
        <v>2205.5739473684212</v>
      </c>
      <c r="L2376">
        <f>IFERROR(tblMoeHistory[[#This Row],[State and Local Total Amount]]/tblMoeHistory[[#This Row],[Child Count]],0)</f>
        <v>13260.804210526316</v>
      </c>
      <c r="N2376" t="str">
        <f t="shared" si="4"/>
        <v>Met</v>
      </c>
      <c r="Q2376">
        <f>tblMoeHistory[[#This Row],[Amount of IDEA Part B, Section 611 award]]+tblMoeHistory[[#This Row],[Amount of IDEA Part B, Section 619 award]]</f>
        <v>0</v>
      </c>
      <c r="U23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6" t="str">
        <f>IF(OR(IFERROR(SEARCH("Met",tblMoeHistory[[#This Row],[State and Local Per Capita Result]]),0)&gt;0,IFERROR(SEARCH("Met",tblMoeHistory[[#This Row],[State and Local Total Result]]),0)&gt;0),"Met","Not Met")</f>
        <v>Met</v>
      </c>
    </row>
    <row r="2377" spans="1:22" x14ac:dyDescent="0.35">
      <c r="A2377" t="s">
        <v>30</v>
      </c>
      <c r="B2377">
        <v>1894</v>
      </c>
      <c r="C2377" t="s">
        <v>2108</v>
      </c>
      <c r="D2377">
        <v>548</v>
      </c>
      <c r="E2377">
        <v>3299840.4899999984</v>
      </c>
      <c r="F2377">
        <v>0</v>
      </c>
      <c r="G2377">
        <f>tblMoeHistory[[#This Row],[LEA State and Local Amount]]+tblMoeHistory[[#This Row],[ESD State and Local Amount]]</f>
        <v>3299840.4899999984</v>
      </c>
      <c r="J2377">
        <f>IFERROR(tblMoeHistory[[#This Row],[LEA State and Local Amount]]/tblMoeHistory[[#This Row],[Child Count]],0)</f>
        <v>6021.6067335766393</v>
      </c>
      <c r="K2377" s="44">
        <f>IFERROR(tblMoeHistory[[#This Row],[ESD State and Local Amount]]/tblMoeHistory[[#This Row],[Child Count]],0)</f>
        <v>0</v>
      </c>
      <c r="L2377">
        <f>IFERROR(tblMoeHistory[[#This Row],[State and Local Total Amount]]/tblMoeHistory[[#This Row],[Child Count]],0)</f>
        <v>6021.6067335766393</v>
      </c>
      <c r="N2377" t="str">
        <f t="shared" si="4"/>
        <v>Met</v>
      </c>
      <c r="Q2377">
        <f>tblMoeHistory[[#This Row],[Amount of IDEA Part B, Section 611 award]]+tblMoeHistory[[#This Row],[Amount of IDEA Part B, Section 619 award]]</f>
        <v>0</v>
      </c>
      <c r="U23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7" t="str">
        <f>IF(OR(IFERROR(SEARCH("Met",tblMoeHistory[[#This Row],[State and Local Per Capita Result]]),0)&gt;0,IFERROR(SEARCH("Met",tblMoeHistory[[#This Row],[State and Local Total Result]]),0)&gt;0),"Met","Not Met")</f>
        <v>Met</v>
      </c>
    </row>
    <row r="2378" spans="1:22" x14ac:dyDescent="0.35">
      <c r="A2378" t="s">
        <v>32</v>
      </c>
      <c r="B2378">
        <v>1969</v>
      </c>
      <c r="C2378" t="s">
        <v>2108</v>
      </c>
      <c r="D2378">
        <v>95</v>
      </c>
      <c r="E2378">
        <v>906363.4500000003</v>
      </c>
      <c r="F2378">
        <v>341028.06</v>
      </c>
      <c r="G2378">
        <f>tblMoeHistory[[#This Row],[LEA State and Local Amount]]+tblMoeHistory[[#This Row],[ESD State and Local Amount]]</f>
        <v>1247391.5100000002</v>
      </c>
      <c r="J2378">
        <f>IFERROR(tblMoeHistory[[#This Row],[LEA State and Local Amount]]/tblMoeHistory[[#This Row],[Child Count]],0)</f>
        <v>9540.6678947368455</v>
      </c>
      <c r="K2378" s="44">
        <f>IFERROR(tblMoeHistory[[#This Row],[ESD State and Local Amount]]/tblMoeHistory[[#This Row],[Child Count]],0)</f>
        <v>3589.7690526315791</v>
      </c>
      <c r="L2378">
        <f>IFERROR(tblMoeHistory[[#This Row],[State and Local Total Amount]]/tblMoeHistory[[#This Row],[Child Count]],0)</f>
        <v>13130.436947368424</v>
      </c>
      <c r="N2378" t="str">
        <f t="shared" si="4"/>
        <v>Did Not Meet</v>
      </c>
      <c r="Q2378">
        <f>tblMoeHistory[[#This Row],[Amount of IDEA Part B, Section 611 award]]+tblMoeHistory[[#This Row],[Amount of IDEA Part B, Section 619 award]]</f>
        <v>0</v>
      </c>
      <c r="U23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8" t="str">
        <f>IF(OR(IFERROR(SEARCH("Met",tblMoeHistory[[#This Row],[State and Local Per Capita Result]]),0)&gt;0,IFERROR(SEARCH("Met",tblMoeHistory[[#This Row],[State and Local Total Result]]),0)&gt;0),"Met","Not Met")</f>
        <v>Not Met</v>
      </c>
    </row>
    <row r="2379" spans="1:22" x14ac:dyDescent="0.35">
      <c r="A2379" t="s">
        <v>33</v>
      </c>
      <c r="B2379">
        <v>2240</v>
      </c>
      <c r="C2379" t="s">
        <v>2108</v>
      </c>
      <c r="D2379">
        <v>148</v>
      </c>
      <c r="E2379">
        <v>1922082.2800000005</v>
      </c>
      <c r="F2379">
        <v>379962</v>
      </c>
      <c r="G2379">
        <f>tblMoeHistory[[#This Row],[LEA State and Local Amount]]+tblMoeHistory[[#This Row],[ESD State and Local Amount]]</f>
        <v>2302044.2800000003</v>
      </c>
      <c r="J2379">
        <f>IFERROR(tblMoeHistory[[#This Row],[LEA State and Local Amount]]/tblMoeHistory[[#This Row],[Child Count]],0)</f>
        <v>12987.042432432436</v>
      </c>
      <c r="K2379" s="44">
        <f>IFERROR(tblMoeHistory[[#This Row],[ESD State and Local Amount]]/tblMoeHistory[[#This Row],[Child Count]],0)</f>
        <v>2567.3108108108108</v>
      </c>
      <c r="L2379">
        <f>IFERROR(tblMoeHistory[[#This Row],[State and Local Total Amount]]/tblMoeHistory[[#This Row],[Child Count]],0)</f>
        <v>15554.353243243246</v>
      </c>
      <c r="N2379" t="str">
        <f t="shared" si="4"/>
        <v>Met</v>
      </c>
      <c r="Q2379">
        <f>tblMoeHistory[[#This Row],[Amount of IDEA Part B, Section 611 award]]+tblMoeHistory[[#This Row],[Amount of IDEA Part B, Section 619 award]]</f>
        <v>0</v>
      </c>
      <c r="U23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9" t="str">
        <f>IF(OR(IFERROR(SEARCH("Met",tblMoeHistory[[#This Row],[State and Local Per Capita Result]]),0)&gt;0,IFERROR(SEARCH("Met",tblMoeHistory[[#This Row],[State and Local Total Result]]),0)&gt;0),"Met","Not Met")</f>
        <v>Met</v>
      </c>
    </row>
    <row r="2380" spans="1:22" x14ac:dyDescent="0.35">
      <c r="A2380" t="s">
        <v>34</v>
      </c>
      <c r="B2380">
        <v>2243</v>
      </c>
      <c r="C2380" t="s">
        <v>2108</v>
      </c>
      <c r="D2380">
        <v>4598</v>
      </c>
      <c r="E2380" s="44">
        <v>63365567.319999978</v>
      </c>
      <c r="F2380" s="44">
        <v>6374068</v>
      </c>
      <c r="G2380" s="44">
        <f>tblMoeHistory[[#This Row],[LEA State and Local Amount]]+tblMoeHistory[[#This Row],[ESD State and Local Amount]]</f>
        <v>69739635.319999978</v>
      </c>
      <c r="J2380">
        <f>IFERROR(tblMoeHistory[[#This Row],[LEA State and Local Amount]]/tblMoeHistory[[#This Row],[Child Count]],0)</f>
        <v>13781.11511961722</v>
      </c>
      <c r="K2380" s="44">
        <f>IFERROR(tblMoeHistory[[#This Row],[ESD State and Local Amount]]/tblMoeHistory[[#This Row],[Child Count]],0)</f>
        <v>1386.2696824706395</v>
      </c>
      <c r="L2380">
        <f>IFERROR(tblMoeHistory[[#This Row],[State and Local Total Amount]]/tblMoeHistory[[#This Row],[Child Count]],0)</f>
        <v>15167.384802087859</v>
      </c>
      <c r="N2380" t="str">
        <f t="shared" si="4"/>
        <v>Met</v>
      </c>
      <c r="Q2380">
        <f>tblMoeHistory[[#This Row],[Amount of IDEA Part B, Section 611 award]]+tblMoeHistory[[#This Row],[Amount of IDEA Part B, Section 619 award]]</f>
        <v>0</v>
      </c>
      <c r="U23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0" t="str">
        <f>IF(OR(IFERROR(SEARCH("Met",tblMoeHistory[[#This Row],[State and Local Per Capita Result]]),0)&gt;0,IFERROR(SEARCH("Met",tblMoeHistory[[#This Row],[State and Local Total Result]]),0)&gt;0),"Met","Not Met")</f>
        <v>Met</v>
      </c>
    </row>
    <row r="2381" spans="1:22" x14ac:dyDescent="0.35">
      <c r="A2381" t="s">
        <v>35</v>
      </c>
      <c r="B2381">
        <v>1976</v>
      </c>
      <c r="C2381" t="s">
        <v>2108</v>
      </c>
      <c r="D2381">
        <v>1798</v>
      </c>
      <c r="E2381" s="44">
        <v>23148947.190000001</v>
      </c>
      <c r="F2381" s="44">
        <v>3343105.5100000002</v>
      </c>
      <c r="G2381" s="44">
        <f>tblMoeHistory[[#This Row],[LEA State and Local Amount]]+tblMoeHistory[[#This Row],[ESD State and Local Amount]]</f>
        <v>26492052.700000003</v>
      </c>
      <c r="J2381">
        <f>IFERROR(tblMoeHistory[[#This Row],[LEA State and Local Amount]]/tblMoeHistory[[#This Row],[Child Count]],0)</f>
        <v>12874.831585094551</v>
      </c>
      <c r="K2381" s="44">
        <f>IFERROR(tblMoeHistory[[#This Row],[ESD State and Local Amount]]/tblMoeHistory[[#This Row],[Child Count]],0)</f>
        <v>1859.3467797552837</v>
      </c>
      <c r="L2381">
        <f>IFERROR(tblMoeHistory[[#This Row],[State and Local Total Amount]]/tblMoeHistory[[#This Row],[Child Count]],0)</f>
        <v>14734.178364849835</v>
      </c>
      <c r="N2381" t="str">
        <f t="shared" si="4"/>
        <v>Did Not Meet</v>
      </c>
      <c r="Q2381">
        <f>tblMoeHistory[[#This Row],[Amount of IDEA Part B, Section 611 award]]+tblMoeHistory[[#This Row],[Amount of IDEA Part B, Section 619 award]]</f>
        <v>0</v>
      </c>
      <c r="U23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1" t="str">
        <f>IF(OR(IFERROR(SEARCH("Met",tblMoeHistory[[#This Row],[State and Local Per Capita Result]]),0)&gt;0,IFERROR(SEARCH("Met",tblMoeHistory[[#This Row],[State and Local Total Result]]),0)&gt;0),"Met","Not Met")</f>
        <v>Not Met</v>
      </c>
    </row>
    <row r="2382" spans="1:22" x14ac:dyDescent="0.35">
      <c r="A2382" t="s">
        <v>36</v>
      </c>
      <c r="B2382">
        <v>2088</v>
      </c>
      <c r="C2382" t="s">
        <v>2108</v>
      </c>
      <c r="D2382">
        <v>941</v>
      </c>
      <c r="E2382">
        <v>13307750.550000001</v>
      </c>
      <c r="F2382">
        <v>904437</v>
      </c>
      <c r="G2382">
        <f>tblMoeHistory[[#This Row],[LEA State and Local Amount]]+tblMoeHistory[[#This Row],[ESD State and Local Amount]]</f>
        <v>14212187.550000001</v>
      </c>
      <c r="J2382">
        <f>IFERROR(tblMoeHistory[[#This Row],[LEA State and Local Amount]]/tblMoeHistory[[#This Row],[Child Count]],0)</f>
        <v>14142.136609989373</v>
      </c>
      <c r="K2382" s="44">
        <f>IFERROR(tblMoeHistory[[#This Row],[ESD State and Local Amount]]/tblMoeHistory[[#This Row],[Child Count]],0)</f>
        <v>961.14452709883108</v>
      </c>
      <c r="L2382">
        <f>IFERROR(tblMoeHistory[[#This Row],[State and Local Total Amount]]/tblMoeHistory[[#This Row],[Child Count]],0)</f>
        <v>15103.281137088205</v>
      </c>
      <c r="N2382" t="str">
        <f t="shared" si="4"/>
        <v>Met</v>
      </c>
      <c r="Q2382">
        <f>tblMoeHistory[[#This Row],[Amount of IDEA Part B, Section 611 award]]+tblMoeHistory[[#This Row],[Amount of IDEA Part B, Section 619 award]]</f>
        <v>0</v>
      </c>
      <c r="U23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2" t="str">
        <f>IF(OR(IFERROR(SEARCH("Met",tblMoeHistory[[#This Row],[State and Local Per Capita Result]]),0)&gt;0,IFERROR(SEARCH("Met",tblMoeHistory[[#This Row],[State and Local Total Result]]),0)&gt;0),"Met","Not Met")</f>
        <v>Met</v>
      </c>
    </row>
    <row r="2383" spans="1:22" x14ac:dyDescent="0.35">
      <c r="A2383" t="s">
        <v>37</v>
      </c>
      <c r="B2383">
        <v>2095</v>
      </c>
      <c r="C2383" t="s">
        <v>2108</v>
      </c>
      <c r="D2383">
        <v>42</v>
      </c>
      <c r="E2383">
        <v>348766.12999999995</v>
      </c>
      <c r="F2383">
        <v>72645</v>
      </c>
      <c r="G2383">
        <f>tblMoeHistory[[#This Row],[LEA State and Local Amount]]+tblMoeHistory[[#This Row],[ESD State and Local Amount]]</f>
        <v>421411.12999999995</v>
      </c>
      <c r="J2383">
        <f>IFERROR(tblMoeHistory[[#This Row],[LEA State and Local Amount]]/tblMoeHistory[[#This Row],[Child Count]],0)</f>
        <v>8303.9554761904747</v>
      </c>
      <c r="K2383" s="44">
        <f>IFERROR(tblMoeHistory[[#This Row],[ESD State and Local Amount]]/tblMoeHistory[[#This Row],[Child Count]],0)</f>
        <v>1729.6428571428571</v>
      </c>
      <c r="L2383">
        <f>IFERROR(tblMoeHistory[[#This Row],[State and Local Total Amount]]/tblMoeHistory[[#This Row],[Child Count]],0)</f>
        <v>10033.598333333332</v>
      </c>
      <c r="N2383" t="str">
        <f t="shared" si="4"/>
        <v>Did Not Meet</v>
      </c>
      <c r="Q2383">
        <f>tblMoeHistory[[#This Row],[Amount of IDEA Part B, Section 611 award]]+tblMoeHistory[[#This Row],[Amount of IDEA Part B, Section 619 award]]</f>
        <v>0</v>
      </c>
      <c r="U23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3" t="str">
        <f>IF(OR(IFERROR(SEARCH("Met",tblMoeHistory[[#This Row],[State and Local Per Capita Result]]),0)&gt;0,IFERROR(SEARCH("Met",tblMoeHistory[[#This Row],[State and Local Total Result]]),0)&gt;0),"Met","Not Met")</f>
        <v>Not Met</v>
      </c>
    </row>
    <row r="2384" spans="1:22" x14ac:dyDescent="0.35">
      <c r="A2384" t="s">
        <v>38</v>
      </c>
      <c r="B2384">
        <v>2052</v>
      </c>
      <c r="C2384" t="s">
        <v>2108</v>
      </c>
      <c r="D2384">
        <v>2</v>
      </c>
      <c r="E2384">
        <v>0</v>
      </c>
      <c r="F2384">
        <v>17019.96</v>
      </c>
      <c r="G2384">
        <f>tblMoeHistory[[#This Row],[LEA State and Local Amount]]+tblMoeHistory[[#This Row],[ESD State and Local Amount]]</f>
        <v>17019.96</v>
      </c>
      <c r="J2384">
        <f>IFERROR(tblMoeHistory[[#This Row],[LEA State and Local Amount]]/tblMoeHistory[[#This Row],[Child Count]],0)</f>
        <v>0</v>
      </c>
      <c r="K2384" s="44">
        <f>IFERROR(tblMoeHistory[[#This Row],[ESD State and Local Amount]]/tblMoeHistory[[#This Row],[Child Count]],0)</f>
        <v>8509.98</v>
      </c>
      <c r="L2384">
        <f>IFERROR(tblMoeHistory[[#This Row],[State and Local Total Amount]]/tblMoeHistory[[#This Row],[Child Count]],0)</f>
        <v>8509.98</v>
      </c>
      <c r="N2384" t="str">
        <f t="shared" si="4"/>
        <v>Did Not Meet</v>
      </c>
      <c r="Q2384">
        <f>tblMoeHistory[[#This Row],[Amount of IDEA Part B, Section 611 award]]+tblMoeHistory[[#This Row],[Amount of IDEA Part B, Section 619 award]]</f>
        <v>0</v>
      </c>
      <c r="U23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4" t="str">
        <f>IF(OR(IFERROR(SEARCH("Met",tblMoeHistory[[#This Row],[State and Local Per Capita Result]]),0)&gt;0,IFERROR(SEARCH("Met",tblMoeHistory[[#This Row],[State and Local Total Result]]),0)&gt;0),"Met","Not Met")</f>
        <v>Not Met</v>
      </c>
    </row>
    <row r="2385" spans="1:22" x14ac:dyDescent="0.35">
      <c r="A2385" t="s">
        <v>39</v>
      </c>
      <c r="B2385">
        <v>1974</v>
      </c>
      <c r="C2385" t="s">
        <v>2108</v>
      </c>
      <c r="D2385">
        <v>214</v>
      </c>
      <c r="E2385">
        <v>2455321.37</v>
      </c>
      <c r="F2385">
        <v>15889.35</v>
      </c>
      <c r="G2385">
        <f>tblMoeHistory[[#This Row],[LEA State and Local Amount]]+tblMoeHistory[[#This Row],[ESD State and Local Amount]]</f>
        <v>2471210.7200000002</v>
      </c>
      <c r="J2385">
        <f>IFERROR(tblMoeHistory[[#This Row],[LEA State and Local Amount]]/tblMoeHistory[[#This Row],[Child Count]],0)</f>
        <v>11473.464345794393</v>
      </c>
      <c r="K2385" s="44">
        <f>IFERROR(tblMoeHistory[[#This Row],[ESD State and Local Amount]]/tblMoeHistory[[#This Row],[Child Count]],0)</f>
        <v>74.249299065420558</v>
      </c>
      <c r="L2385">
        <f>IFERROR(tblMoeHistory[[#This Row],[State and Local Total Amount]]/tblMoeHistory[[#This Row],[Child Count]],0)</f>
        <v>11547.713644859814</v>
      </c>
      <c r="N2385" t="str">
        <f t="shared" si="4"/>
        <v>Met</v>
      </c>
      <c r="Q2385">
        <f>tblMoeHistory[[#This Row],[Amount of IDEA Part B, Section 611 award]]+tblMoeHistory[[#This Row],[Amount of IDEA Part B, Section 619 award]]</f>
        <v>0</v>
      </c>
      <c r="U23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5" t="str">
        <f>IF(OR(IFERROR(SEARCH("Met",tblMoeHistory[[#This Row],[State and Local Per Capita Result]]),0)&gt;0,IFERROR(SEARCH("Met",tblMoeHistory[[#This Row],[State and Local Total Result]]),0)&gt;0),"Met","Not Met")</f>
        <v>Met</v>
      </c>
    </row>
    <row r="2386" spans="1:22" x14ac:dyDescent="0.35">
      <c r="A2386" t="s">
        <v>40</v>
      </c>
      <c r="B2386">
        <v>1896</v>
      </c>
      <c r="C2386" t="s">
        <v>2108</v>
      </c>
      <c r="D2386">
        <v>4</v>
      </c>
      <c r="E2386">
        <v>58941</v>
      </c>
      <c r="F2386">
        <v>21168.97</v>
      </c>
      <c r="G2386">
        <f>tblMoeHistory[[#This Row],[LEA State and Local Amount]]+tblMoeHistory[[#This Row],[ESD State and Local Amount]]</f>
        <v>80109.97</v>
      </c>
      <c r="J2386">
        <f>IFERROR(tblMoeHistory[[#This Row],[LEA State and Local Amount]]/tblMoeHistory[[#This Row],[Child Count]],0)</f>
        <v>14735.25</v>
      </c>
      <c r="K2386" s="44">
        <f>IFERROR(tblMoeHistory[[#This Row],[ESD State and Local Amount]]/tblMoeHistory[[#This Row],[Child Count]],0)</f>
        <v>5292.2425000000003</v>
      </c>
      <c r="L2386">
        <f>IFERROR(tblMoeHistory[[#This Row],[State and Local Total Amount]]/tblMoeHistory[[#This Row],[Child Count]],0)</f>
        <v>20027.4925</v>
      </c>
      <c r="N2386" t="str">
        <f t="shared" si="4"/>
        <v>Met</v>
      </c>
      <c r="Q2386">
        <f>tblMoeHistory[[#This Row],[Amount of IDEA Part B, Section 611 award]]+tblMoeHistory[[#This Row],[Amount of IDEA Part B, Section 619 award]]</f>
        <v>0</v>
      </c>
      <c r="U23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6" t="str">
        <f>IF(OR(IFERROR(SEARCH("Met",tblMoeHistory[[#This Row],[State and Local Per Capita Result]]),0)&gt;0,IFERROR(SEARCH("Met",tblMoeHistory[[#This Row],[State and Local Total Result]]),0)&gt;0),"Met","Not Met")</f>
        <v>Met</v>
      </c>
    </row>
    <row r="2387" spans="1:22" x14ac:dyDescent="0.35">
      <c r="A2387" t="s">
        <v>42</v>
      </c>
      <c r="B2387">
        <v>2046</v>
      </c>
      <c r="C2387" t="s">
        <v>2108</v>
      </c>
      <c r="D2387">
        <v>53</v>
      </c>
      <c r="E2387">
        <v>282529.68</v>
      </c>
      <c r="F2387">
        <v>96011.28</v>
      </c>
      <c r="G2387">
        <f>tblMoeHistory[[#This Row],[LEA State and Local Amount]]+tblMoeHistory[[#This Row],[ESD State and Local Amount]]</f>
        <v>378540.95999999996</v>
      </c>
      <c r="J2387">
        <f>IFERROR(tblMoeHistory[[#This Row],[LEA State and Local Amount]]/tblMoeHistory[[#This Row],[Child Count]],0)</f>
        <v>5330.7486792452828</v>
      </c>
      <c r="K2387" s="44">
        <f>IFERROR(tblMoeHistory[[#This Row],[ESD State and Local Amount]]/tblMoeHistory[[#This Row],[Child Count]],0)</f>
        <v>1811.5335849056603</v>
      </c>
      <c r="L2387">
        <f>IFERROR(tblMoeHistory[[#This Row],[State and Local Total Amount]]/tblMoeHistory[[#This Row],[Child Count]],0)</f>
        <v>7142.2822641509429</v>
      </c>
      <c r="N2387" t="str">
        <f t="shared" si="4"/>
        <v>Did Not Meet</v>
      </c>
      <c r="Q2387">
        <f>tblMoeHistory[[#This Row],[Amount of IDEA Part B, Section 611 award]]+tblMoeHistory[[#This Row],[Amount of IDEA Part B, Section 619 award]]</f>
        <v>0</v>
      </c>
      <c r="U23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7" t="str">
        <f>IF(OR(IFERROR(SEARCH("Met",tblMoeHistory[[#This Row],[State and Local Per Capita Result]]),0)&gt;0,IFERROR(SEARCH("Met",tblMoeHistory[[#This Row],[State and Local Total Result]]),0)&gt;0),"Met","Not Met")</f>
        <v>Not Met</v>
      </c>
    </row>
    <row r="2388" spans="1:22" x14ac:dyDescent="0.35">
      <c r="A2388" t="s">
        <v>43</v>
      </c>
      <c r="B2388">
        <v>1995</v>
      </c>
      <c r="C2388" t="s">
        <v>2108</v>
      </c>
      <c r="D2388">
        <v>32</v>
      </c>
      <c r="E2388">
        <v>290629.18999999994</v>
      </c>
      <c r="F2388">
        <v>251505.13</v>
      </c>
      <c r="G2388">
        <f>tblMoeHistory[[#This Row],[LEA State and Local Amount]]+tblMoeHistory[[#This Row],[ESD State and Local Amount]]</f>
        <v>542134.31999999995</v>
      </c>
      <c r="J2388">
        <f>IFERROR(tblMoeHistory[[#This Row],[LEA State and Local Amount]]/tblMoeHistory[[#This Row],[Child Count]],0)</f>
        <v>9082.1621874999983</v>
      </c>
      <c r="K2388" s="44">
        <f>IFERROR(tblMoeHistory[[#This Row],[ESD State and Local Amount]]/tblMoeHistory[[#This Row],[Child Count]],0)</f>
        <v>7859.5353125000001</v>
      </c>
      <c r="L2388">
        <f>IFERROR(tblMoeHistory[[#This Row],[State and Local Total Amount]]/tblMoeHistory[[#This Row],[Child Count]],0)</f>
        <v>16941.697499999998</v>
      </c>
      <c r="N2388" t="str">
        <f t="shared" si="4"/>
        <v>Met</v>
      </c>
      <c r="Q2388">
        <f>tblMoeHistory[[#This Row],[Amount of IDEA Part B, Section 611 award]]+tblMoeHistory[[#This Row],[Amount of IDEA Part B, Section 619 award]]</f>
        <v>0</v>
      </c>
      <c r="U23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8" t="str">
        <f>IF(OR(IFERROR(SEARCH("Met",tblMoeHistory[[#This Row],[State and Local Per Capita Result]]),0)&gt;0,IFERROR(SEARCH("Met",tblMoeHistory[[#This Row],[State and Local Total Result]]),0)&gt;0),"Met","Not Met")</f>
        <v>Met</v>
      </c>
    </row>
    <row r="2389" spans="1:22" x14ac:dyDescent="0.35">
      <c r="A2389" t="s">
        <v>44</v>
      </c>
      <c r="B2389">
        <v>1929</v>
      </c>
      <c r="C2389" t="s">
        <v>2108</v>
      </c>
      <c r="D2389">
        <v>602</v>
      </c>
      <c r="E2389">
        <v>7962770.1399999987</v>
      </c>
      <c r="F2389">
        <v>899832</v>
      </c>
      <c r="G2389">
        <f>tblMoeHistory[[#This Row],[LEA State and Local Amount]]+tblMoeHistory[[#This Row],[ESD State and Local Amount]]</f>
        <v>8862602.1399999987</v>
      </c>
      <c r="J2389">
        <f>IFERROR(tblMoeHistory[[#This Row],[LEA State and Local Amount]]/tblMoeHistory[[#This Row],[Child Count]],0)</f>
        <v>13227.192923588038</v>
      </c>
      <c r="K2389" s="44">
        <f>IFERROR(tblMoeHistory[[#This Row],[ESD State and Local Amount]]/tblMoeHistory[[#This Row],[Child Count]],0)</f>
        <v>1494.7375415282393</v>
      </c>
      <c r="L2389">
        <f>IFERROR(tblMoeHistory[[#This Row],[State and Local Total Amount]]/tblMoeHistory[[#This Row],[Child Count]],0)</f>
        <v>14721.930465116277</v>
      </c>
      <c r="N2389" t="str">
        <f t="shared" si="4"/>
        <v>Met</v>
      </c>
      <c r="Q2389">
        <f>tblMoeHistory[[#This Row],[Amount of IDEA Part B, Section 611 award]]+tblMoeHistory[[#This Row],[Amount of IDEA Part B, Section 619 award]]</f>
        <v>0</v>
      </c>
      <c r="U23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9" t="str">
        <f>IF(OR(IFERROR(SEARCH("Met",tblMoeHistory[[#This Row],[State and Local Per Capita Result]]),0)&gt;0,IFERROR(SEARCH("Met",tblMoeHistory[[#This Row],[State and Local Total Result]]),0)&gt;0),"Met","Not Met")</f>
        <v>Met</v>
      </c>
    </row>
    <row r="2390" spans="1:22" x14ac:dyDescent="0.35">
      <c r="A2390" t="s">
        <v>45</v>
      </c>
      <c r="B2390">
        <v>2139</v>
      </c>
      <c r="C2390" t="s">
        <v>2108</v>
      </c>
      <c r="D2390">
        <v>400</v>
      </c>
      <c r="E2390">
        <v>4564279.6899999995</v>
      </c>
      <c r="F2390">
        <v>435631.39999999997</v>
      </c>
      <c r="G2390">
        <f>tblMoeHistory[[#This Row],[LEA State and Local Amount]]+tblMoeHistory[[#This Row],[ESD State and Local Amount]]</f>
        <v>4999911.09</v>
      </c>
      <c r="J2390">
        <f>IFERROR(tblMoeHistory[[#This Row],[LEA State and Local Amount]]/tblMoeHistory[[#This Row],[Child Count]],0)</f>
        <v>11410.699224999998</v>
      </c>
      <c r="K2390" s="44">
        <f>IFERROR(tblMoeHistory[[#This Row],[ESD State and Local Amount]]/tblMoeHistory[[#This Row],[Child Count]],0)</f>
        <v>1089.0784999999998</v>
      </c>
      <c r="L2390">
        <f>IFERROR(tblMoeHistory[[#This Row],[State and Local Total Amount]]/tblMoeHistory[[#This Row],[Child Count]],0)</f>
        <v>12499.777725</v>
      </c>
      <c r="N2390" t="str">
        <f t="shared" si="4"/>
        <v>Met</v>
      </c>
      <c r="Q2390">
        <f>tblMoeHistory[[#This Row],[Amount of IDEA Part B, Section 611 award]]+tblMoeHistory[[#This Row],[Amount of IDEA Part B, Section 619 award]]</f>
        <v>0</v>
      </c>
      <c r="U23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0" t="str">
        <f>IF(OR(IFERROR(SEARCH("Met",tblMoeHistory[[#This Row],[State and Local Per Capita Result]]),0)&gt;0,IFERROR(SEARCH("Met",tblMoeHistory[[#This Row],[State and Local Total Result]]),0)&gt;0),"Met","Not Met")</f>
        <v>Met</v>
      </c>
    </row>
    <row r="2391" spans="1:22" x14ac:dyDescent="0.35">
      <c r="A2391" t="s">
        <v>46</v>
      </c>
      <c r="B2391">
        <v>2185</v>
      </c>
      <c r="C2391" t="s">
        <v>2108</v>
      </c>
      <c r="D2391">
        <v>783</v>
      </c>
      <c r="E2391">
        <v>13730681.820000006</v>
      </c>
      <c r="F2391">
        <v>2060723.03</v>
      </c>
      <c r="G2391">
        <f>tblMoeHistory[[#This Row],[LEA State and Local Amount]]+tblMoeHistory[[#This Row],[ESD State and Local Amount]]</f>
        <v>15791404.850000005</v>
      </c>
      <c r="J2391">
        <f>IFERROR(tblMoeHistory[[#This Row],[LEA State and Local Amount]]/tblMoeHistory[[#This Row],[Child Count]],0)</f>
        <v>17535.992107279701</v>
      </c>
      <c r="K2391" s="44">
        <f>IFERROR(tblMoeHistory[[#This Row],[ESD State and Local Amount]]/tblMoeHistory[[#This Row],[Child Count]],0)</f>
        <v>2631.8301787994892</v>
      </c>
      <c r="L2391">
        <f>IFERROR(tblMoeHistory[[#This Row],[State and Local Total Amount]]/tblMoeHistory[[#This Row],[Child Count]],0)</f>
        <v>20167.82228607919</v>
      </c>
      <c r="N2391" t="str">
        <f t="shared" si="4"/>
        <v>Met</v>
      </c>
      <c r="Q2391">
        <f>tblMoeHistory[[#This Row],[Amount of IDEA Part B, Section 611 award]]+tblMoeHistory[[#This Row],[Amount of IDEA Part B, Section 619 award]]</f>
        <v>0</v>
      </c>
      <c r="U23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1" t="str">
        <f>IF(OR(IFERROR(SEARCH("Met",tblMoeHistory[[#This Row],[State and Local Per Capita Result]]),0)&gt;0,IFERROR(SEARCH("Met",tblMoeHistory[[#This Row],[State and Local Total Result]]),0)&gt;0),"Met","Not Met")</f>
        <v>Met</v>
      </c>
    </row>
    <row r="2392" spans="1:22" x14ac:dyDescent="0.35">
      <c r="A2392" t="s">
        <v>47</v>
      </c>
      <c r="B2392">
        <v>1972</v>
      </c>
      <c r="C2392" t="s">
        <v>2108</v>
      </c>
      <c r="D2392">
        <v>48</v>
      </c>
      <c r="E2392">
        <v>263133.75</v>
      </c>
      <c r="F2392">
        <v>257102.83</v>
      </c>
      <c r="G2392">
        <f>tblMoeHistory[[#This Row],[LEA State and Local Amount]]+tblMoeHistory[[#This Row],[ESD State and Local Amount]]</f>
        <v>520236.57999999996</v>
      </c>
      <c r="J2392">
        <f>IFERROR(tblMoeHistory[[#This Row],[LEA State and Local Amount]]/tblMoeHistory[[#This Row],[Child Count]],0)</f>
        <v>5481.953125</v>
      </c>
      <c r="K2392" s="44">
        <f>IFERROR(tblMoeHistory[[#This Row],[ESD State and Local Amount]]/tblMoeHistory[[#This Row],[Child Count]],0)</f>
        <v>5356.3089583333331</v>
      </c>
      <c r="L2392">
        <f>IFERROR(tblMoeHistory[[#This Row],[State and Local Total Amount]]/tblMoeHistory[[#This Row],[Child Count]],0)</f>
        <v>10838.262083333333</v>
      </c>
      <c r="N2392" t="str">
        <f t="shared" si="4"/>
        <v>Met</v>
      </c>
      <c r="Q2392">
        <f>tblMoeHistory[[#This Row],[Amount of IDEA Part B, Section 611 award]]+tblMoeHistory[[#This Row],[Amount of IDEA Part B, Section 619 award]]</f>
        <v>0</v>
      </c>
      <c r="U23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2" t="str">
        <f>IF(OR(IFERROR(SEARCH("Met",tblMoeHistory[[#This Row],[State and Local Per Capita Result]]),0)&gt;0,IFERROR(SEARCH("Met",tblMoeHistory[[#This Row],[State and Local Total Result]]),0)&gt;0),"Met","Not Met")</f>
        <v>Met</v>
      </c>
    </row>
    <row r="2393" spans="1:22" x14ac:dyDescent="0.35">
      <c r="A2393" t="s">
        <v>48</v>
      </c>
      <c r="B2393">
        <v>2105</v>
      </c>
      <c r="C2393" t="s">
        <v>2108</v>
      </c>
      <c r="D2393">
        <v>94</v>
      </c>
      <c r="E2393">
        <v>866845.57</v>
      </c>
      <c r="F2393">
        <v>138524</v>
      </c>
      <c r="G2393">
        <f>tblMoeHistory[[#This Row],[LEA State and Local Amount]]+tblMoeHistory[[#This Row],[ESD State and Local Amount]]</f>
        <v>1005369.57</v>
      </c>
      <c r="J2393">
        <f>IFERROR(tblMoeHistory[[#This Row],[LEA State and Local Amount]]/tblMoeHistory[[#This Row],[Child Count]],0)</f>
        <v>9221.7613829787224</v>
      </c>
      <c r="K2393" s="44">
        <f>IFERROR(tblMoeHistory[[#This Row],[ESD State and Local Amount]]/tblMoeHistory[[#This Row],[Child Count]],0)</f>
        <v>1473.6595744680851</v>
      </c>
      <c r="L2393">
        <f>IFERROR(tblMoeHistory[[#This Row],[State and Local Total Amount]]/tblMoeHistory[[#This Row],[Child Count]],0)</f>
        <v>10695.420957446808</v>
      </c>
      <c r="N2393" t="str">
        <f t="shared" si="4"/>
        <v>Met</v>
      </c>
      <c r="Q2393">
        <f>tblMoeHistory[[#This Row],[Amount of IDEA Part B, Section 611 award]]+tblMoeHistory[[#This Row],[Amount of IDEA Part B, Section 619 award]]</f>
        <v>0</v>
      </c>
      <c r="U23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3" t="str">
        <f>IF(OR(IFERROR(SEARCH("Met",tblMoeHistory[[#This Row],[State and Local Per Capita Result]]),0)&gt;0,IFERROR(SEARCH("Met",tblMoeHistory[[#This Row],[State and Local Total Result]]),0)&gt;0),"Met","Not Met")</f>
        <v>Met</v>
      </c>
    </row>
    <row r="2394" spans="1:22" x14ac:dyDescent="0.35">
      <c r="A2394" t="s">
        <v>49</v>
      </c>
      <c r="B2394">
        <v>2042</v>
      </c>
      <c r="C2394" t="s">
        <v>2108</v>
      </c>
      <c r="D2394">
        <v>653</v>
      </c>
      <c r="E2394">
        <v>3573816.040000001</v>
      </c>
      <c r="F2394">
        <v>1112630.57</v>
      </c>
      <c r="G2394">
        <f>tblMoeHistory[[#This Row],[LEA State and Local Amount]]+tblMoeHistory[[#This Row],[ESD State and Local Amount]]</f>
        <v>4686446.6100000013</v>
      </c>
      <c r="J2394">
        <f>IFERROR(tblMoeHistory[[#This Row],[LEA State and Local Amount]]/tblMoeHistory[[#This Row],[Child Count]],0)</f>
        <v>5472.918897396632</v>
      </c>
      <c r="K2394" s="44">
        <f>IFERROR(tblMoeHistory[[#This Row],[ESD State and Local Amount]]/tblMoeHistory[[#This Row],[Child Count]],0)</f>
        <v>1703.875298621746</v>
      </c>
      <c r="L2394">
        <f>IFERROR(tblMoeHistory[[#This Row],[State and Local Total Amount]]/tblMoeHistory[[#This Row],[Child Count]],0)</f>
        <v>7176.7941960183789</v>
      </c>
      <c r="N2394" t="str">
        <f t="shared" si="4"/>
        <v>Did Not Meet</v>
      </c>
      <c r="Q2394">
        <f>tblMoeHistory[[#This Row],[Amount of IDEA Part B, Section 611 award]]+tblMoeHistory[[#This Row],[Amount of IDEA Part B, Section 619 award]]</f>
        <v>0</v>
      </c>
      <c r="U23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4" t="str">
        <f>IF(OR(IFERROR(SEARCH("Met",tblMoeHistory[[#This Row],[State and Local Per Capita Result]]),0)&gt;0,IFERROR(SEARCH("Met",tblMoeHistory[[#This Row],[State and Local Total Result]]),0)&gt;0),"Met","Not Met")</f>
        <v>Not Met</v>
      </c>
    </row>
    <row r="2395" spans="1:22" x14ac:dyDescent="0.35">
      <c r="A2395" t="s">
        <v>50</v>
      </c>
      <c r="B2395">
        <v>2191</v>
      </c>
      <c r="C2395" t="s">
        <v>2108</v>
      </c>
      <c r="D2395">
        <v>395</v>
      </c>
      <c r="E2395">
        <v>7426356.910000002</v>
      </c>
      <c r="F2395">
        <v>574971.34000000008</v>
      </c>
      <c r="G2395">
        <f>tblMoeHistory[[#This Row],[LEA State and Local Amount]]+tblMoeHistory[[#This Row],[ESD State and Local Amount]]</f>
        <v>8001328.2500000019</v>
      </c>
      <c r="J2395">
        <f>IFERROR(tblMoeHistory[[#This Row],[LEA State and Local Amount]]/tblMoeHistory[[#This Row],[Child Count]],0)</f>
        <v>18800.903569620259</v>
      </c>
      <c r="K2395" s="44">
        <f>IFERROR(tblMoeHistory[[#This Row],[ESD State and Local Amount]]/tblMoeHistory[[#This Row],[Child Count]],0)</f>
        <v>1455.6236455696205</v>
      </c>
      <c r="L2395">
        <f>IFERROR(tblMoeHistory[[#This Row],[State and Local Total Amount]]/tblMoeHistory[[#This Row],[Child Count]],0)</f>
        <v>20256.527215189879</v>
      </c>
      <c r="N2395" t="str">
        <f t="shared" si="4"/>
        <v>Met</v>
      </c>
      <c r="Q2395">
        <f>tblMoeHistory[[#This Row],[Amount of IDEA Part B, Section 611 award]]+tblMoeHistory[[#This Row],[Amount of IDEA Part B, Section 619 award]]</f>
        <v>0</v>
      </c>
      <c r="U23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5" t="str">
        <f>IF(OR(IFERROR(SEARCH("Met",tblMoeHistory[[#This Row],[State and Local Per Capita Result]]),0)&gt;0,IFERROR(SEARCH("Met",tblMoeHistory[[#This Row],[State and Local Total Result]]),0)&gt;0),"Met","Not Met")</f>
        <v>Met</v>
      </c>
    </row>
    <row r="2396" spans="1:22" x14ac:dyDescent="0.35">
      <c r="A2396" t="s">
        <v>51</v>
      </c>
      <c r="B2396">
        <v>1945</v>
      </c>
      <c r="C2396" t="s">
        <v>2108</v>
      </c>
      <c r="D2396">
        <v>122</v>
      </c>
      <c r="E2396">
        <v>1841019.0699999994</v>
      </c>
      <c r="F2396">
        <v>275905</v>
      </c>
      <c r="G2396">
        <f>tblMoeHistory[[#This Row],[LEA State and Local Amount]]+tblMoeHistory[[#This Row],[ESD State and Local Amount]]</f>
        <v>2116924.0699999994</v>
      </c>
      <c r="J2396">
        <f>IFERROR(tblMoeHistory[[#This Row],[LEA State and Local Amount]]/tblMoeHistory[[#This Row],[Child Count]],0)</f>
        <v>15090.320245901634</v>
      </c>
      <c r="K2396" s="44">
        <f>IFERROR(tblMoeHistory[[#This Row],[ESD State and Local Amount]]/tblMoeHistory[[#This Row],[Child Count]],0)</f>
        <v>2261.5163934426228</v>
      </c>
      <c r="L2396">
        <f>IFERROR(tblMoeHistory[[#This Row],[State and Local Total Amount]]/tblMoeHistory[[#This Row],[Child Count]],0)</f>
        <v>17351.836639344256</v>
      </c>
      <c r="N2396" t="str">
        <f t="shared" si="4"/>
        <v>Did Not Meet</v>
      </c>
      <c r="Q2396">
        <f>tblMoeHistory[[#This Row],[Amount of IDEA Part B, Section 611 award]]+tblMoeHistory[[#This Row],[Amount of IDEA Part B, Section 619 award]]</f>
        <v>0</v>
      </c>
      <c r="U23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6" t="str">
        <f>IF(OR(IFERROR(SEARCH("Met",tblMoeHistory[[#This Row],[State and Local Per Capita Result]]),0)&gt;0,IFERROR(SEARCH("Met",tblMoeHistory[[#This Row],[State and Local Total Result]]),0)&gt;0),"Met","Not Met")</f>
        <v>Not Met</v>
      </c>
    </row>
    <row r="2397" spans="1:22" x14ac:dyDescent="0.35">
      <c r="A2397" t="s">
        <v>52</v>
      </c>
      <c r="B2397">
        <v>1927</v>
      </c>
      <c r="C2397" t="s">
        <v>2108</v>
      </c>
      <c r="D2397">
        <v>87</v>
      </c>
      <c r="E2397">
        <v>1143272.5000000002</v>
      </c>
      <c r="F2397">
        <v>61951</v>
      </c>
      <c r="G2397">
        <f>tblMoeHistory[[#This Row],[LEA State and Local Amount]]+tblMoeHistory[[#This Row],[ESD State and Local Amount]]</f>
        <v>1205223.5000000002</v>
      </c>
      <c r="J2397">
        <f>IFERROR(tblMoeHistory[[#This Row],[LEA State and Local Amount]]/tblMoeHistory[[#This Row],[Child Count]],0)</f>
        <v>13141.063218390807</v>
      </c>
      <c r="K2397" s="44">
        <f>IFERROR(tblMoeHistory[[#This Row],[ESD State and Local Amount]]/tblMoeHistory[[#This Row],[Child Count]],0)</f>
        <v>712.080459770115</v>
      </c>
      <c r="L2397">
        <f>IFERROR(tblMoeHistory[[#This Row],[State and Local Total Amount]]/tblMoeHistory[[#This Row],[Child Count]],0)</f>
        <v>13853.143678160923</v>
      </c>
      <c r="N2397" t="str">
        <f t="shared" si="4"/>
        <v>Met</v>
      </c>
      <c r="Q2397">
        <f>tblMoeHistory[[#This Row],[Amount of IDEA Part B, Section 611 award]]+tblMoeHistory[[#This Row],[Amount of IDEA Part B, Section 619 award]]</f>
        <v>0</v>
      </c>
      <c r="U23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7" t="str">
        <f>IF(OR(IFERROR(SEARCH("Met",tblMoeHistory[[#This Row],[State and Local Per Capita Result]]),0)&gt;0,IFERROR(SEARCH("Met",tblMoeHistory[[#This Row],[State and Local Total Result]]),0)&gt;0),"Met","Not Met")</f>
        <v>Met</v>
      </c>
    </row>
    <row r="2398" spans="1:22" x14ac:dyDescent="0.35">
      <c r="A2398" t="s">
        <v>53</v>
      </c>
      <c r="B2398">
        <v>2006</v>
      </c>
      <c r="C2398" t="s">
        <v>2108</v>
      </c>
      <c r="D2398">
        <v>12</v>
      </c>
      <c r="E2398">
        <v>8620.0499999999993</v>
      </c>
      <c r="F2398">
        <v>145978</v>
      </c>
      <c r="G2398">
        <f>tblMoeHistory[[#This Row],[LEA State and Local Amount]]+tblMoeHistory[[#This Row],[ESD State and Local Amount]]</f>
        <v>154598.04999999999</v>
      </c>
      <c r="J2398">
        <f>IFERROR(tblMoeHistory[[#This Row],[LEA State and Local Amount]]/tblMoeHistory[[#This Row],[Child Count]],0)</f>
        <v>718.33749999999998</v>
      </c>
      <c r="K2398" s="44">
        <f>IFERROR(tblMoeHistory[[#This Row],[ESD State and Local Amount]]/tblMoeHistory[[#This Row],[Child Count]],0)</f>
        <v>12164.833333333334</v>
      </c>
      <c r="L2398">
        <f>IFERROR(tblMoeHistory[[#This Row],[State and Local Total Amount]]/tblMoeHistory[[#This Row],[Child Count]],0)</f>
        <v>12883.170833333332</v>
      </c>
      <c r="N2398" t="str">
        <f t="shared" si="4"/>
        <v>Did Not Meet</v>
      </c>
      <c r="Q2398">
        <f>tblMoeHistory[[#This Row],[Amount of IDEA Part B, Section 611 award]]+tblMoeHistory[[#This Row],[Amount of IDEA Part B, Section 619 award]]</f>
        <v>0</v>
      </c>
      <c r="U23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8" t="str">
        <f>IF(OR(IFERROR(SEARCH("Met",tblMoeHistory[[#This Row],[State and Local Per Capita Result]]),0)&gt;0,IFERROR(SEARCH("Met",tblMoeHistory[[#This Row],[State and Local Total Result]]),0)&gt;0),"Met","Not Met")</f>
        <v>Not Met</v>
      </c>
    </row>
    <row r="2399" spans="1:22" x14ac:dyDescent="0.35">
      <c r="A2399" t="s">
        <v>54</v>
      </c>
      <c r="B2399">
        <v>1965</v>
      </c>
      <c r="C2399" t="s">
        <v>2108</v>
      </c>
      <c r="D2399">
        <v>480</v>
      </c>
      <c r="E2399">
        <v>5210152.8600000003</v>
      </c>
      <c r="F2399">
        <v>1570207.01</v>
      </c>
      <c r="G2399">
        <f>tblMoeHistory[[#This Row],[LEA State and Local Amount]]+tblMoeHistory[[#This Row],[ESD State and Local Amount]]</f>
        <v>6780359.8700000001</v>
      </c>
      <c r="J2399">
        <f>IFERROR(tblMoeHistory[[#This Row],[LEA State and Local Amount]]/tblMoeHistory[[#This Row],[Child Count]],0)</f>
        <v>10854.485125000001</v>
      </c>
      <c r="K2399" s="44">
        <f>IFERROR(tblMoeHistory[[#This Row],[ESD State and Local Amount]]/tblMoeHistory[[#This Row],[Child Count]],0)</f>
        <v>3271.2646041666667</v>
      </c>
      <c r="L2399">
        <f>IFERROR(tblMoeHistory[[#This Row],[State and Local Total Amount]]/tblMoeHistory[[#This Row],[Child Count]],0)</f>
        <v>14125.749729166668</v>
      </c>
      <c r="N2399" t="str">
        <f t="shared" si="4"/>
        <v>Met</v>
      </c>
      <c r="Q2399">
        <f>tblMoeHistory[[#This Row],[Amount of IDEA Part B, Section 611 award]]+tblMoeHistory[[#This Row],[Amount of IDEA Part B, Section 619 award]]</f>
        <v>0</v>
      </c>
      <c r="U23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9" t="str">
        <f>IF(OR(IFERROR(SEARCH("Met",tblMoeHistory[[#This Row],[State and Local Per Capita Result]]),0)&gt;0,IFERROR(SEARCH("Met",tblMoeHistory[[#This Row],[State and Local Total Result]]),0)&gt;0),"Met","Not Met")</f>
        <v>Met</v>
      </c>
    </row>
    <row r="2400" spans="1:22" x14ac:dyDescent="0.35">
      <c r="A2400" t="s">
        <v>55</v>
      </c>
      <c r="B2400">
        <v>1964</v>
      </c>
      <c r="C2400" t="s">
        <v>2108</v>
      </c>
      <c r="D2400">
        <v>179</v>
      </c>
      <c r="E2400">
        <v>1635728.5099999995</v>
      </c>
      <c r="F2400">
        <v>384968.24</v>
      </c>
      <c r="G2400">
        <f>tblMoeHistory[[#This Row],[LEA State and Local Amount]]+tblMoeHistory[[#This Row],[ESD State and Local Amount]]</f>
        <v>2020696.7499999995</v>
      </c>
      <c r="J2400">
        <f>IFERROR(tblMoeHistory[[#This Row],[LEA State and Local Amount]]/tblMoeHistory[[#This Row],[Child Count]],0)</f>
        <v>9138.1481005586575</v>
      </c>
      <c r="K2400" s="44">
        <f>IFERROR(tblMoeHistory[[#This Row],[ESD State and Local Amount]]/tblMoeHistory[[#This Row],[Child Count]],0)</f>
        <v>2150.6605586592177</v>
      </c>
      <c r="L2400">
        <f>IFERROR(tblMoeHistory[[#This Row],[State and Local Total Amount]]/tblMoeHistory[[#This Row],[Child Count]],0)</f>
        <v>11288.808659217875</v>
      </c>
      <c r="N2400" t="str">
        <f t="shared" si="4"/>
        <v>Met</v>
      </c>
      <c r="Q2400">
        <f>tblMoeHistory[[#This Row],[Amount of IDEA Part B, Section 611 award]]+tblMoeHistory[[#This Row],[Amount of IDEA Part B, Section 619 award]]</f>
        <v>0</v>
      </c>
      <c r="U24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0" t="str">
        <f>IF(OR(IFERROR(SEARCH("Met",tblMoeHistory[[#This Row],[State and Local Per Capita Result]]),0)&gt;0,IFERROR(SEARCH("Met",tblMoeHistory[[#This Row],[State and Local Total Result]]),0)&gt;0),"Met","Not Met")</f>
        <v>Met</v>
      </c>
    </row>
    <row r="2401" spans="1:22" x14ac:dyDescent="0.35">
      <c r="A2401" t="s">
        <v>56</v>
      </c>
      <c r="B2401">
        <v>2186</v>
      </c>
      <c r="C2401" t="s">
        <v>2108</v>
      </c>
      <c r="D2401">
        <v>159</v>
      </c>
      <c r="E2401">
        <v>1442970.75</v>
      </c>
      <c r="F2401">
        <v>76375.360000000001</v>
      </c>
      <c r="G2401">
        <f>tblMoeHistory[[#This Row],[LEA State and Local Amount]]+tblMoeHistory[[#This Row],[ESD State and Local Amount]]</f>
        <v>1519346.11</v>
      </c>
      <c r="J2401">
        <f>IFERROR(tblMoeHistory[[#This Row],[LEA State and Local Amount]]/tblMoeHistory[[#This Row],[Child Count]],0)</f>
        <v>9075.2877358490568</v>
      </c>
      <c r="K2401" s="44">
        <f>IFERROR(tblMoeHistory[[#This Row],[ESD State and Local Amount]]/tblMoeHistory[[#This Row],[Child Count]],0)</f>
        <v>480.34817610062896</v>
      </c>
      <c r="L2401">
        <f>IFERROR(tblMoeHistory[[#This Row],[State and Local Total Amount]]/tblMoeHistory[[#This Row],[Child Count]],0)</f>
        <v>9555.6359119496865</v>
      </c>
      <c r="N2401" t="str">
        <f t="shared" si="4"/>
        <v>Did Not Meet</v>
      </c>
      <c r="Q2401">
        <f>tblMoeHistory[[#This Row],[Amount of IDEA Part B, Section 611 award]]+tblMoeHistory[[#This Row],[Amount of IDEA Part B, Section 619 award]]</f>
        <v>0</v>
      </c>
      <c r="U24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1" t="str">
        <f>IF(OR(IFERROR(SEARCH("Met",tblMoeHistory[[#This Row],[State and Local Per Capita Result]]),0)&gt;0,IFERROR(SEARCH("Met",tblMoeHistory[[#This Row],[State and Local Total Result]]),0)&gt;0),"Met","Not Met")</f>
        <v>Not Met</v>
      </c>
    </row>
    <row r="2402" spans="1:22" x14ac:dyDescent="0.35">
      <c r="A2402" t="s">
        <v>58</v>
      </c>
      <c r="B2402">
        <v>1901</v>
      </c>
      <c r="C2402" t="s">
        <v>2108</v>
      </c>
      <c r="D2402">
        <v>718</v>
      </c>
      <c r="E2402">
        <v>12434946.610000003</v>
      </c>
      <c r="F2402">
        <v>1125728</v>
      </c>
      <c r="G2402">
        <f>tblMoeHistory[[#This Row],[LEA State and Local Amount]]+tblMoeHistory[[#This Row],[ESD State and Local Amount]]</f>
        <v>13560674.610000003</v>
      </c>
      <c r="J2402">
        <f>IFERROR(tblMoeHistory[[#This Row],[LEA State and Local Amount]]/tblMoeHistory[[#This Row],[Child Count]],0)</f>
        <v>17318.867144846801</v>
      </c>
      <c r="K2402" s="44">
        <f>IFERROR(tblMoeHistory[[#This Row],[ESD State and Local Amount]]/tblMoeHistory[[#This Row],[Child Count]],0)</f>
        <v>1567.8662952646239</v>
      </c>
      <c r="L2402">
        <f>IFERROR(tblMoeHistory[[#This Row],[State and Local Total Amount]]/tblMoeHistory[[#This Row],[Child Count]],0)</f>
        <v>18886.733440111424</v>
      </c>
      <c r="N2402" t="str">
        <f t="shared" si="4"/>
        <v>Met</v>
      </c>
      <c r="Q2402">
        <f>tblMoeHistory[[#This Row],[Amount of IDEA Part B, Section 611 award]]+tblMoeHistory[[#This Row],[Amount of IDEA Part B, Section 619 award]]</f>
        <v>0</v>
      </c>
      <c r="U24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2" t="str">
        <f>IF(OR(IFERROR(SEARCH("Met",tblMoeHistory[[#This Row],[State and Local Per Capita Result]]),0)&gt;0,IFERROR(SEARCH("Met",tblMoeHistory[[#This Row],[State and Local Total Result]]),0)&gt;0),"Met","Not Met")</f>
        <v>Met</v>
      </c>
    </row>
    <row r="2403" spans="1:22" x14ac:dyDescent="0.35">
      <c r="A2403" t="s">
        <v>59</v>
      </c>
      <c r="B2403">
        <v>2216</v>
      </c>
      <c r="C2403" t="s">
        <v>2108</v>
      </c>
      <c r="D2403">
        <v>38</v>
      </c>
      <c r="E2403">
        <v>157678.78999999998</v>
      </c>
      <c r="F2403">
        <v>78195.56</v>
      </c>
      <c r="G2403">
        <f>tblMoeHistory[[#This Row],[LEA State and Local Amount]]+tblMoeHistory[[#This Row],[ESD State and Local Amount]]</f>
        <v>235874.34999999998</v>
      </c>
      <c r="J2403">
        <f>IFERROR(tblMoeHistory[[#This Row],[LEA State and Local Amount]]/tblMoeHistory[[#This Row],[Child Count]],0)</f>
        <v>4149.4418421052624</v>
      </c>
      <c r="K2403" s="44">
        <f>IFERROR(tblMoeHistory[[#This Row],[ESD State and Local Amount]]/tblMoeHistory[[#This Row],[Child Count]],0)</f>
        <v>2057.777894736842</v>
      </c>
      <c r="L2403">
        <f>IFERROR(tblMoeHistory[[#This Row],[State and Local Total Amount]]/tblMoeHistory[[#This Row],[Child Count]],0)</f>
        <v>6207.2197368421048</v>
      </c>
      <c r="N2403" t="str">
        <f t="shared" si="4"/>
        <v>Met</v>
      </c>
      <c r="Q2403">
        <f>tblMoeHistory[[#This Row],[Amount of IDEA Part B, Section 611 award]]+tblMoeHistory[[#This Row],[Amount of IDEA Part B, Section 619 award]]</f>
        <v>0</v>
      </c>
      <c r="U24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3" t="str">
        <f>IF(OR(IFERROR(SEARCH("Met",tblMoeHistory[[#This Row],[State and Local Per Capita Result]]),0)&gt;0,IFERROR(SEARCH("Met",tblMoeHistory[[#This Row],[State and Local Total Result]]),0)&gt;0),"Met","Not Met")</f>
        <v>Met</v>
      </c>
    </row>
    <row r="2404" spans="1:22" x14ac:dyDescent="0.35">
      <c r="A2404" t="s">
        <v>60</v>
      </c>
      <c r="B2404">
        <v>2086</v>
      </c>
      <c r="C2404" t="s">
        <v>2108</v>
      </c>
      <c r="D2404">
        <v>187</v>
      </c>
      <c r="E2404">
        <v>2855182.8499999987</v>
      </c>
      <c r="F2404">
        <v>529466</v>
      </c>
      <c r="G2404">
        <f>tblMoeHistory[[#This Row],[LEA State and Local Amount]]+tblMoeHistory[[#This Row],[ESD State and Local Amount]]</f>
        <v>3384648.8499999987</v>
      </c>
      <c r="J2404">
        <f>IFERROR(tblMoeHistory[[#This Row],[LEA State and Local Amount]]/tblMoeHistory[[#This Row],[Child Count]],0)</f>
        <v>15268.357486631008</v>
      </c>
      <c r="K2404" s="44">
        <f>IFERROR(tblMoeHistory[[#This Row],[ESD State and Local Amount]]/tblMoeHistory[[#This Row],[Child Count]],0)</f>
        <v>2831.3689839572194</v>
      </c>
      <c r="L2404">
        <f>IFERROR(tblMoeHistory[[#This Row],[State and Local Total Amount]]/tblMoeHistory[[#This Row],[Child Count]],0)</f>
        <v>18099.72647058823</v>
      </c>
      <c r="N2404" t="str">
        <f t="shared" si="4"/>
        <v>Did Not Meet</v>
      </c>
      <c r="Q2404">
        <f>tblMoeHistory[[#This Row],[Amount of IDEA Part B, Section 611 award]]+tblMoeHistory[[#This Row],[Amount of IDEA Part B, Section 619 award]]</f>
        <v>0</v>
      </c>
      <c r="U24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4" t="str">
        <f>IF(OR(IFERROR(SEARCH("Met",tblMoeHistory[[#This Row],[State and Local Per Capita Result]]),0)&gt;0,IFERROR(SEARCH("Met",tblMoeHistory[[#This Row],[State and Local Total Result]]),0)&gt;0),"Met","Not Met")</f>
        <v>Not Met</v>
      </c>
    </row>
    <row r="2405" spans="1:22" x14ac:dyDescent="0.35">
      <c r="A2405" t="s">
        <v>61</v>
      </c>
      <c r="B2405">
        <v>1970</v>
      </c>
      <c r="C2405" t="s">
        <v>2108</v>
      </c>
      <c r="D2405">
        <v>448</v>
      </c>
      <c r="E2405">
        <v>4450440.6100000003</v>
      </c>
      <c r="F2405">
        <v>314515.16000000003</v>
      </c>
      <c r="G2405">
        <f>tblMoeHistory[[#This Row],[LEA State and Local Amount]]+tblMoeHistory[[#This Row],[ESD State and Local Amount]]</f>
        <v>4764955.7700000005</v>
      </c>
      <c r="J2405">
        <f>IFERROR(tblMoeHistory[[#This Row],[LEA State and Local Amount]]/tblMoeHistory[[#This Row],[Child Count]],0)</f>
        <v>9934.0192187500015</v>
      </c>
      <c r="K2405" s="44">
        <f>IFERROR(tblMoeHistory[[#This Row],[ESD State and Local Amount]]/tblMoeHistory[[#This Row],[Child Count]],0)</f>
        <v>702.04276785714296</v>
      </c>
      <c r="L2405">
        <f>IFERROR(tblMoeHistory[[#This Row],[State and Local Total Amount]]/tblMoeHistory[[#This Row],[Child Count]],0)</f>
        <v>10636.061986607145</v>
      </c>
      <c r="N2405" t="str">
        <f t="shared" si="4"/>
        <v>Met</v>
      </c>
      <c r="Q2405">
        <f>tblMoeHistory[[#This Row],[Amount of IDEA Part B, Section 611 award]]+tblMoeHistory[[#This Row],[Amount of IDEA Part B, Section 619 award]]</f>
        <v>0</v>
      </c>
      <c r="U24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5" t="str">
        <f>IF(OR(IFERROR(SEARCH("Met",tblMoeHistory[[#This Row],[State and Local Per Capita Result]]),0)&gt;0,IFERROR(SEARCH("Met",tblMoeHistory[[#This Row],[State and Local Total Result]]),0)&gt;0),"Met","Not Met")</f>
        <v>Met</v>
      </c>
    </row>
    <row r="2406" spans="1:22" x14ac:dyDescent="0.35">
      <c r="A2406" t="s">
        <v>62</v>
      </c>
      <c r="B2406">
        <v>2089</v>
      </c>
      <c r="C2406" t="s">
        <v>2108</v>
      </c>
      <c r="D2406">
        <v>37</v>
      </c>
      <c r="E2406">
        <v>446710.95000000013</v>
      </c>
      <c r="F2406">
        <v>214752</v>
      </c>
      <c r="G2406">
        <f>tblMoeHistory[[#This Row],[LEA State and Local Amount]]+tblMoeHistory[[#This Row],[ESD State and Local Amount]]</f>
        <v>661462.95000000019</v>
      </c>
      <c r="J2406">
        <f>IFERROR(tblMoeHistory[[#This Row],[LEA State and Local Amount]]/tblMoeHistory[[#This Row],[Child Count]],0)</f>
        <v>12073.268918918922</v>
      </c>
      <c r="K2406" s="44">
        <f>IFERROR(tblMoeHistory[[#This Row],[ESD State and Local Amount]]/tblMoeHistory[[#This Row],[Child Count]],0)</f>
        <v>5804.1081081081084</v>
      </c>
      <c r="L2406">
        <f>IFERROR(tblMoeHistory[[#This Row],[State and Local Total Amount]]/tblMoeHistory[[#This Row],[Child Count]],0)</f>
        <v>17877.377027027032</v>
      </c>
      <c r="N2406" t="str">
        <f t="shared" si="4"/>
        <v>Met</v>
      </c>
      <c r="Q2406">
        <f>tblMoeHistory[[#This Row],[Amount of IDEA Part B, Section 611 award]]+tblMoeHistory[[#This Row],[Amount of IDEA Part B, Section 619 award]]</f>
        <v>0</v>
      </c>
      <c r="U24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6" t="str">
        <f>IF(OR(IFERROR(SEARCH("Met",tblMoeHistory[[#This Row],[State and Local Per Capita Result]]),0)&gt;0,IFERROR(SEARCH("Met",tblMoeHistory[[#This Row],[State and Local Total Result]]),0)&gt;0),"Met","Not Met")</f>
        <v>Met</v>
      </c>
    </row>
    <row r="2407" spans="1:22" x14ac:dyDescent="0.35">
      <c r="A2407" t="s">
        <v>63</v>
      </c>
      <c r="B2407">
        <v>2050</v>
      </c>
      <c r="C2407" t="s">
        <v>2108</v>
      </c>
      <c r="D2407">
        <v>94</v>
      </c>
      <c r="E2407">
        <v>608752.04999999993</v>
      </c>
      <c r="F2407">
        <v>298686.71000000002</v>
      </c>
      <c r="G2407">
        <f>tblMoeHistory[[#This Row],[LEA State and Local Amount]]+tblMoeHistory[[#This Row],[ESD State and Local Amount]]</f>
        <v>907438.76</v>
      </c>
      <c r="J2407">
        <f>IFERROR(tblMoeHistory[[#This Row],[LEA State and Local Amount]]/tblMoeHistory[[#This Row],[Child Count]],0)</f>
        <v>6476.0856382978718</v>
      </c>
      <c r="K2407" s="44">
        <f>IFERROR(tblMoeHistory[[#This Row],[ESD State and Local Amount]]/tblMoeHistory[[#This Row],[Child Count]],0)</f>
        <v>3177.5181914893619</v>
      </c>
      <c r="L2407">
        <f>IFERROR(tblMoeHistory[[#This Row],[State and Local Total Amount]]/tblMoeHistory[[#This Row],[Child Count]],0)</f>
        <v>9653.6038297872346</v>
      </c>
      <c r="N2407" t="str">
        <f t="shared" si="4"/>
        <v>Met</v>
      </c>
      <c r="Q2407">
        <f>tblMoeHistory[[#This Row],[Amount of IDEA Part B, Section 611 award]]+tblMoeHistory[[#This Row],[Amount of IDEA Part B, Section 619 award]]</f>
        <v>0</v>
      </c>
      <c r="U24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7" t="str">
        <f>IF(OR(IFERROR(SEARCH("Met",tblMoeHistory[[#This Row],[State and Local Per Capita Result]]),0)&gt;0,IFERROR(SEARCH("Met",tblMoeHistory[[#This Row],[State and Local Total Result]]),0)&gt;0),"Met","Not Met")</f>
        <v>Met</v>
      </c>
    </row>
    <row r="2408" spans="1:22" x14ac:dyDescent="0.35">
      <c r="A2408" t="s">
        <v>64</v>
      </c>
      <c r="B2408">
        <v>2190</v>
      </c>
      <c r="C2408" t="s">
        <v>2108</v>
      </c>
      <c r="D2408">
        <v>500</v>
      </c>
      <c r="E2408">
        <v>6815939.8300000019</v>
      </c>
      <c r="F2408">
        <v>566726.94999999995</v>
      </c>
      <c r="G2408">
        <f>tblMoeHistory[[#This Row],[LEA State and Local Amount]]+tblMoeHistory[[#This Row],[ESD State and Local Amount]]</f>
        <v>7382666.7800000021</v>
      </c>
      <c r="J2408">
        <f>IFERROR(tblMoeHistory[[#This Row],[LEA State and Local Amount]]/tblMoeHistory[[#This Row],[Child Count]],0)</f>
        <v>13631.879660000004</v>
      </c>
      <c r="K2408" s="44">
        <f>IFERROR(tblMoeHistory[[#This Row],[ESD State and Local Amount]]/tblMoeHistory[[#This Row],[Child Count]],0)</f>
        <v>1133.4539</v>
      </c>
      <c r="L2408">
        <f>IFERROR(tblMoeHistory[[#This Row],[State and Local Total Amount]]/tblMoeHistory[[#This Row],[Child Count]],0)</f>
        <v>14765.333560000005</v>
      </c>
      <c r="N2408" t="str">
        <f t="shared" si="4"/>
        <v>Met</v>
      </c>
      <c r="Q2408">
        <f>tblMoeHistory[[#This Row],[Amount of IDEA Part B, Section 611 award]]+tblMoeHistory[[#This Row],[Amount of IDEA Part B, Section 619 award]]</f>
        <v>0</v>
      </c>
      <c r="U24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8" t="str">
        <f>IF(OR(IFERROR(SEARCH("Met",tblMoeHistory[[#This Row],[State and Local Per Capita Result]]),0)&gt;0,IFERROR(SEARCH("Met",tblMoeHistory[[#This Row],[State and Local Total Result]]),0)&gt;0),"Met","Not Met")</f>
        <v>Met</v>
      </c>
    </row>
    <row r="2409" spans="1:22" x14ac:dyDescent="0.35">
      <c r="A2409" t="s">
        <v>65</v>
      </c>
      <c r="B2409">
        <v>2187</v>
      </c>
      <c r="C2409" t="s">
        <v>2108</v>
      </c>
      <c r="D2409">
        <v>1124</v>
      </c>
      <c r="E2409">
        <v>28070777.49000001</v>
      </c>
      <c r="F2409">
        <v>1707984.0799999998</v>
      </c>
      <c r="G2409">
        <f>tblMoeHistory[[#This Row],[LEA State and Local Amount]]+tblMoeHistory[[#This Row],[ESD State and Local Amount]]</f>
        <v>29778761.570000008</v>
      </c>
      <c r="J2409">
        <f>IFERROR(tblMoeHistory[[#This Row],[LEA State and Local Amount]]/tblMoeHistory[[#This Row],[Child Count]],0)</f>
        <v>24974.001325622783</v>
      </c>
      <c r="K2409" s="44">
        <f>IFERROR(tblMoeHistory[[#This Row],[ESD State and Local Amount]]/tblMoeHistory[[#This Row],[Child Count]],0)</f>
        <v>1519.558790035587</v>
      </c>
      <c r="L2409">
        <f>IFERROR(tblMoeHistory[[#This Row],[State and Local Total Amount]]/tblMoeHistory[[#This Row],[Child Count]],0)</f>
        <v>26493.560115658369</v>
      </c>
      <c r="N2409" t="str">
        <f t="shared" si="4"/>
        <v>Met</v>
      </c>
      <c r="Q2409">
        <f>tblMoeHistory[[#This Row],[Amount of IDEA Part B, Section 611 award]]+tblMoeHistory[[#This Row],[Amount of IDEA Part B, Section 619 award]]</f>
        <v>0</v>
      </c>
      <c r="U24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9" t="str">
        <f>IF(OR(IFERROR(SEARCH("Met",tblMoeHistory[[#This Row],[State and Local Per Capita Result]]),0)&gt;0,IFERROR(SEARCH("Met",tblMoeHistory[[#This Row],[State and Local Total Result]]),0)&gt;0),"Met","Not Met")</f>
        <v>Met</v>
      </c>
    </row>
    <row r="2410" spans="1:22" x14ac:dyDescent="0.35">
      <c r="A2410" t="s">
        <v>66</v>
      </c>
      <c r="B2410">
        <v>2253</v>
      </c>
      <c r="C2410" t="s">
        <v>2108</v>
      </c>
      <c r="D2410">
        <v>117</v>
      </c>
      <c r="E2410">
        <v>1312735.1800000002</v>
      </c>
      <c r="F2410">
        <v>39409</v>
      </c>
      <c r="G2410">
        <f>tblMoeHistory[[#This Row],[LEA State and Local Amount]]+tblMoeHistory[[#This Row],[ESD State and Local Amount]]</f>
        <v>1352144.1800000002</v>
      </c>
      <c r="J2410">
        <f>IFERROR(tblMoeHistory[[#This Row],[LEA State and Local Amount]]/tblMoeHistory[[#This Row],[Child Count]],0)</f>
        <v>11219.958803418805</v>
      </c>
      <c r="K2410" s="44">
        <f>IFERROR(tblMoeHistory[[#This Row],[ESD State and Local Amount]]/tblMoeHistory[[#This Row],[Child Count]],0)</f>
        <v>336.82905982905982</v>
      </c>
      <c r="L2410">
        <f>IFERROR(tblMoeHistory[[#This Row],[State and Local Total Amount]]/tblMoeHistory[[#This Row],[Child Count]],0)</f>
        <v>11556.787863247864</v>
      </c>
      <c r="N2410" t="str">
        <f t="shared" si="4"/>
        <v>Met</v>
      </c>
      <c r="Q2410">
        <f>tblMoeHistory[[#This Row],[Amount of IDEA Part B, Section 611 award]]+tblMoeHistory[[#This Row],[Amount of IDEA Part B, Section 619 award]]</f>
        <v>0</v>
      </c>
      <c r="U24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0" t="str">
        <f>IF(OR(IFERROR(SEARCH("Met",tblMoeHistory[[#This Row],[State and Local Per Capita Result]]),0)&gt;0,IFERROR(SEARCH("Met",tblMoeHistory[[#This Row],[State and Local Total Result]]),0)&gt;0),"Met","Not Met")</f>
        <v>Met</v>
      </c>
    </row>
    <row r="2411" spans="1:22" x14ac:dyDescent="0.35">
      <c r="A2411" t="s">
        <v>67</v>
      </c>
      <c r="B2411">
        <v>2011</v>
      </c>
      <c r="C2411" t="s">
        <v>2108</v>
      </c>
      <c r="D2411">
        <v>10</v>
      </c>
      <c r="E2411">
        <v>23541.940000000002</v>
      </c>
      <c r="F2411">
        <v>111594.6</v>
      </c>
      <c r="G2411">
        <f>tblMoeHistory[[#This Row],[LEA State and Local Amount]]+tblMoeHistory[[#This Row],[ESD State and Local Amount]]</f>
        <v>135136.54</v>
      </c>
      <c r="J2411">
        <f>IFERROR(tblMoeHistory[[#This Row],[LEA State and Local Amount]]/tblMoeHistory[[#This Row],[Child Count]],0)</f>
        <v>2354.1940000000004</v>
      </c>
      <c r="K2411" s="44">
        <f>IFERROR(tblMoeHistory[[#This Row],[ESD State and Local Amount]]/tblMoeHistory[[#This Row],[Child Count]],0)</f>
        <v>11159.460000000001</v>
      </c>
      <c r="L2411">
        <f>IFERROR(tblMoeHistory[[#This Row],[State and Local Total Amount]]/tblMoeHistory[[#This Row],[Child Count]],0)</f>
        <v>13513.654</v>
      </c>
      <c r="N2411" t="str">
        <f t="shared" si="4"/>
        <v>Did Not Meet</v>
      </c>
      <c r="Q2411">
        <f>tblMoeHistory[[#This Row],[Amount of IDEA Part B, Section 611 award]]+tblMoeHistory[[#This Row],[Amount of IDEA Part B, Section 619 award]]</f>
        <v>0</v>
      </c>
      <c r="U24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1" t="str">
        <f>IF(OR(IFERROR(SEARCH("Met",tblMoeHistory[[#This Row],[State and Local Per Capita Result]]),0)&gt;0,IFERROR(SEARCH("Met",tblMoeHistory[[#This Row],[State and Local Total Result]]),0)&gt;0),"Met","Not Met")</f>
        <v>Not Met</v>
      </c>
    </row>
    <row r="2412" spans="1:22" x14ac:dyDescent="0.35">
      <c r="A2412" t="s">
        <v>68</v>
      </c>
      <c r="B2412">
        <v>2017</v>
      </c>
      <c r="C2412" t="s">
        <v>2108</v>
      </c>
      <c r="D2412">
        <v>1</v>
      </c>
      <c r="E2412">
        <v>0</v>
      </c>
      <c r="F2412">
        <v>12856.869999999999</v>
      </c>
      <c r="G2412">
        <f>tblMoeHistory[[#This Row],[LEA State and Local Amount]]+tblMoeHistory[[#This Row],[ESD State and Local Amount]]</f>
        <v>12856.869999999999</v>
      </c>
      <c r="J2412">
        <f>IFERROR(tblMoeHistory[[#This Row],[LEA State and Local Amount]]/tblMoeHistory[[#This Row],[Child Count]],0)</f>
        <v>0</v>
      </c>
      <c r="K2412" s="44">
        <f>IFERROR(tblMoeHistory[[#This Row],[ESD State and Local Amount]]/tblMoeHistory[[#This Row],[Child Count]],0)</f>
        <v>12856.869999999999</v>
      </c>
      <c r="L2412">
        <f>IFERROR(tblMoeHistory[[#This Row],[State and Local Total Amount]]/tblMoeHistory[[#This Row],[Child Count]],0)</f>
        <v>12856.869999999999</v>
      </c>
      <c r="N2412" t="str">
        <f t="shared" si="4"/>
        <v>Met</v>
      </c>
      <c r="Q2412">
        <f>tblMoeHistory[[#This Row],[Amount of IDEA Part B, Section 611 award]]+tblMoeHistory[[#This Row],[Amount of IDEA Part B, Section 619 award]]</f>
        <v>0</v>
      </c>
      <c r="U24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2" t="str">
        <f>IF(OR(IFERROR(SEARCH("Met",tblMoeHistory[[#This Row],[State and Local Per Capita Result]]),0)&gt;0,IFERROR(SEARCH("Met",tblMoeHistory[[#This Row],[State and Local Total Result]]),0)&gt;0),"Met","Not Met")</f>
        <v>Met</v>
      </c>
    </row>
    <row r="2413" spans="1:22" x14ac:dyDescent="0.35">
      <c r="A2413" t="s">
        <v>69</v>
      </c>
      <c r="B2413">
        <v>2021</v>
      </c>
      <c r="C2413" t="s">
        <v>2108</v>
      </c>
      <c r="D2413">
        <v>0</v>
      </c>
      <c r="E2413">
        <v>0</v>
      </c>
      <c r="F2413">
        <v>9906</v>
      </c>
      <c r="G2413">
        <f>tblMoeHistory[[#This Row],[LEA State and Local Amount]]+tblMoeHistory[[#This Row],[ESD State and Local Amount]]</f>
        <v>9906</v>
      </c>
      <c r="J2413">
        <f>IFERROR(tblMoeHistory[[#This Row],[LEA State and Local Amount]]/tblMoeHistory[[#This Row],[Child Count]],0)</f>
        <v>0</v>
      </c>
      <c r="K2413" s="44">
        <f>IFERROR(tblMoeHistory[[#This Row],[ESD State and Local Amount]]/tblMoeHistory[[#This Row],[Child Count]],0)</f>
        <v>0</v>
      </c>
      <c r="L2413">
        <f>IFERROR(tblMoeHistory[[#This Row],[State and Local Total Amount]]/tblMoeHistory[[#This Row],[Child Count]],0)</f>
        <v>0</v>
      </c>
      <c r="N2413" t="str">
        <f t="shared" si="4"/>
        <v>Did Not Meet</v>
      </c>
      <c r="Q2413">
        <f>tblMoeHistory[[#This Row],[Amount of IDEA Part B, Section 611 award]]+tblMoeHistory[[#This Row],[Amount of IDEA Part B, Section 619 award]]</f>
        <v>0</v>
      </c>
      <c r="U24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3" t="str">
        <f>IF(OR(IFERROR(SEARCH("Met",tblMoeHistory[[#This Row],[State and Local Per Capita Result]]),0)&gt;0,IFERROR(SEARCH("Met",tblMoeHistory[[#This Row],[State and Local Total Result]]),0)&gt;0),"Met","Not Met")</f>
        <v>Not Met</v>
      </c>
    </row>
    <row r="2414" spans="1:22" x14ac:dyDescent="0.35">
      <c r="A2414" t="s">
        <v>70</v>
      </c>
      <c r="B2414">
        <v>1993</v>
      </c>
      <c r="C2414" t="s">
        <v>2108</v>
      </c>
      <c r="D2414">
        <v>45</v>
      </c>
      <c r="E2414">
        <v>193180.32</v>
      </c>
      <c r="F2414">
        <v>82802.36</v>
      </c>
      <c r="G2414">
        <f>tblMoeHistory[[#This Row],[LEA State and Local Amount]]+tblMoeHistory[[#This Row],[ESD State and Local Amount]]</f>
        <v>275982.68</v>
      </c>
      <c r="J2414">
        <f>IFERROR(tblMoeHistory[[#This Row],[LEA State and Local Amount]]/tblMoeHistory[[#This Row],[Child Count]],0)</f>
        <v>4292.8959999999997</v>
      </c>
      <c r="K2414" s="44">
        <f>IFERROR(tblMoeHistory[[#This Row],[ESD State and Local Amount]]/tblMoeHistory[[#This Row],[Child Count]],0)</f>
        <v>1840.0524444444445</v>
      </c>
      <c r="L2414">
        <f>IFERROR(tblMoeHistory[[#This Row],[State and Local Total Amount]]/tblMoeHistory[[#This Row],[Child Count]],0)</f>
        <v>6132.9484444444442</v>
      </c>
      <c r="N2414" t="str">
        <f t="shared" si="4"/>
        <v>Met</v>
      </c>
      <c r="Q2414">
        <f>tblMoeHistory[[#This Row],[Amount of IDEA Part B, Section 611 award]]+tblMoeHistory[[#This Row],[Amount of IDEA Part B, Section 619 award]]</f>
        <v>0</v>
      </c>
      <c r="U24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4" t="str">
        <f>IF(OR(IFERROR(SEARCH("Met",tblMoeHistory[[#This Row],[State and Local Per Capita Result]]),0)&gt;0,IFERROR(SEARCH("Met",tblMoeHistory[[#This Row],[State and Local Total Result]]),0)&gt;0),"Met","Not Met")</f>
        <v>Met</v>
      </c>
    </row>
    <row r="2415" spans="1:22" x14ac:dyDescent="0.35">
      <c r="A2415" t="s">
        <v>71</v>
      </c>
      <c r="B2415">
        <v>1991</v>
      </c>
      <c r="C2415" t="s">
        <v>2108</v>
      </c>
      <c r="D2415">
        <v>751</v>
      </c>
      <c r="E2415">
        <v>7099157.9699999988</v>
      </c>
      <c r="F2415">
        <v>2164475.69</v>
      </c>
      <c r="G2415">
        <f>tblMoeHistory[[#This Row],[LEA State and Local Amount]]+tblMoeHistory[[#This Row],[ESD State and Local Amount]]</f>
        <v>9263633.6599999983</v>
      </c>
      <c r="J2415">
        <f>IFERROR(tblMoeHistory[[#This Row],[LEA State and Local Amount]]/tblMoeHistory[[#This Row],[Child Count]],0)</f>
        <v>9452.9400399467359</v>
      </c>
      <c r="K2415" s="44">
        <f>IFERROR(tblMoeHistory[[#This Row],[ESD State and Local Amount]]/tblMoeHistory[[#This Row],[Child Count]],0)</f>
        <v>2882.1247536617843</v>
      </c>
      <c r="L2415">
        <f>IFERROR(tblMoeHistory[[#This Row],[State and Local Total Amount]]/tblMoeHistory[[#This Row],[Child Count]],0)</f>
        <v>12335.064793608519</v>
      </c>
      <c r="N2415" t="str">
        <f t="shared" si="4"/>
        <v>Did Not Meet</v>
      </c>
      <c r="Q2415">
        <f>tblMoeHistory[[#This Row],[Amount of IDEA Part B, Section 611 award]]+tblMoeHistory[[#This Row],[Amount of IDEA Part B, Section 619 award]]</f>
        <v>0</v>
      </c>
      <c r="U24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5" t="str">
        <f>IF(OR(IFERROR(SEARCH("Met",tblMoeHistory[[#This Row],[State and Local Per Capita Result]]),0)&gt;0,IFERROR(SEARCH("Met",tblMoeHistory[[#This Row],[State and Local Total Result]]),0)&gt;0),"Met","Not Met")</f>
        <v>Not Met</v>
      </c>
    </row>
    <row r="2416" spans="1:22" x14ac:dyDescent="0.35">
      <c r="A2416" t="s">
        <v>72</v>
      </c>
      <c r="B2416">
        <v>2019</v>
      </c>
      <c r="C2416" t="s">
        <v>2108</v>
      </c>
      <c r="D2416">
        <v>0</v>
      </c>
      <c r="E2416">
        <v>0</v>
      </c>
      <c r="F2416">
        <v>14431.36</v>
      </c>
      <c r="G2416">
        <f>tblMoeHistory[[#This Row],[LEA State and Local Amount]]+tblMoeHistory[[#This Row],[ESD State and Local Amount]]</f>
        <v>14431.36</v>
      </c>
      <c r="J2416">
        <f>IFERROR(tblMoeHistory[[#This Row],[LEA State and Local Amount]]/tblMoeHistory[[#This Row],[Child Count]],0)</f>
        <v>0</v>
      </c>
      <c r="K2416" s="44">
        <f>IFERROR(tblMoeHistory[[#This Row],[ESD State and Local Amount]]/tblMoeHistory[[#This Row],[Child Count]],0)</f>
        <v>0</v>
      </c>
      <c r="L2416">
        <f>IFERROR(tblMoeHistory[[#This Row],[State and Local Total Amount]]/tblMoeHistory[[#This Row],[Child Count]],0)</f>
        <v>0</v>
      </c>
      <c r="N2416" t="str">
        <f t="shared" si="4"/>
        <v>Did Not Meet</v>
      </c>
      <c r="Q2416">
        <f>tblMoeHistory[[#This Row],[Amount of IDEA Part B, Section 611 award]]+tblMoeHistory[[#This Row],[Amount of IDEA Part B, Section 619 award]]</f>
        <v>0</v>
      </c>
      <c r="U24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6" t="str">
        <f>IF(OR(IFERROR(SEARCH("Met",tblMoeHistory[[#This Row],[State and Local Per Capita Result]]),0)&gt;0,IFERROR(SEARCH("Met",tblMoeHistory[[#This Row],[State and Local Total Result]]),0)&gt;0),"Met","Not Met")</f>
        <v>Not Met</v>
      </c>
    </row>
    <row r="2417" spans="1:22" x14ac:dyDescent="0.35">
      <c r="A2417" t="s">
        <v>73</v>
      </c>
      <c r="B2417">
        <v>2229</v>
      </c>
      <c r="C2417" t="s">
        <v>2108</v>
      </c>
      <c r="D2417">
        <v>61</v>
      </c>
      <c r="E2417">
        <v>337722.95999999996</v>
      </c>
      <c r="F2417">
        <v>14880</v>
      </c>
      <c r="G2417">
        <f>tblMoeHistory[[#This Row],[LEA State and Local Amount]]+tblMoeHistory[[#This Row],[ESD State and Local Amount]]</f>
        <v>352602.95999999996</v>
      </c>
      <c r="J2417">
        <f>IFERROR(tblMoeHistory[[#This Row],[LEA State and Local Amount]]/tblMoeHistory[[#This Row],[Child Count]],0)</f>
        <v>5536.4419672131144</v>
      </c>
      <c r="K2417" s="44">
        <f>IFERROR(tblMoeHistory[[#This Row],[ESD State and Local Amount]]/tblMoeHistory[[#This Row],[Child Count]],0)</f>
        <v>243.9344262295082</v>
      </c>
      <c r="L2417">
        <f>IFERROR(tblMoeHistory[[#This Row],[State and Local Total Amount]]/tblMoeHistory[[#This Row],[Child Count]],0)</f>
        <v>5780.3763934426224</v>
      </c>
      <c r="N2417" t="str">
        <f t="shared" si="4"/>
        <v>Met</v>
      </c>
      <c r="Q2417">
        <f>tblMoeHistory[[#This Row],[Amount of IDEA Part B, Section 611 award]]+tblMoeHistory[[#This Row],[Amount of IDEA Part B, Section 619 award]]</f>
        <v>0</v>
      </c>
      <c r="U24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7" t="str">
        <f>IF(OR(IFERROR(SEARCH("Met",tblMoeHistory[[#This Row],[State and Local Per Capita Result]]),0)&gt;0,IFERROR(SEARCH("Met",tblMoeHistory[[#This Row],[State and Local Total Result]]),0)&gt;0),"Met","Not Met")</f>
        <v>Met</v>
      </c>
    </row>
    <row r="2418" spans="1:22" x14ac:dyDescent="0.35">
      <c r="A2418" t="s">
        <v>74</v>
      </c>
      <c r="B2418">
        <v>2043</v>
      </c>
      <c r="C2418" t="s">
        <v>2108</v>
      </c>
      <c r="D2418">
        <v>597</v>
      </c>
      <c r="E2418">
        <v>4725754.8699999992</v>
      </c>
      <c r="F2418">
        <v>373116.99999999994</v>
      </c>
      <c r="G2418">
        <f>tblMoeHistory[[#This Row],[LEA State and Local Amount]]+tblMoeHistory[[#This Row],[ESD State and Local Amount]]</f>
        <v>5098871.8699999992</v>
      </c>
      <c r="J2418">
        <f>IFERROR(tblMoeHistory[[#This Row],[LEA State and Local Amount]]/tblMoeHistory[[#This Row],[Child Count]],0)</f>
        <v>7915.8373031825786</v>
      </c>
      <c r="K2418" s="44">
        <f>IFERROR(tblMoeHistory[[#This Row],[ESD State and Local Amount]]/tblMoeHistory[[#This Row],[Child Count]],0)</f>
        <v>624.98659966499156</v>
      </c>
      <c r="L2418">
        <f>IFERROR(tblMoeHistory[[#This Row],[State and Local Total Amount]]/tblMoeHistory[[#This Row],[Child Count]],0)</f>
        <v>8540.8239028475691</v>
      </c>
      <c r="N2418" t="str">
        <f t="shared" si="4"/>
        <v>Met</v>
      </c>
      <c r="Q2418">
        <f>tblMoeHistory[[#This Row],[Amount of IDEA Part B, Section 611 award]]+tblMoeHistory[[#This Row],[Amount of IDEA Part B, Section 619 award]]</f>
        <v>0</v>
      </c>
      <c r="U24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8" t="str">
        <f>IF(OR(IFERROR(SEARCH("Met",tblMoeHistory[[#This Row],[State and Local Per Capita Result]]),0)&gt;0,IFERROR(SEARCH("Met",tblMoeHistory[[#This Row],[State and Local Total Result]]),0)&gt;0),"Met","Not Met")</f>
        <v>Met</v>
      </c>
    </row>
    <row r="2419" spans="1:22" x14ac:dyDescent="0.35">
      <c r="A2419" t="s">
        <v>75</v>
      </c>
      <c r="B2419">
        <v>2203</v>
      </c>
      <c r="C2419" t="s">
        <v>2108</v>
      </c>
      <c r="D2419">
        <v>40</v>
      </c>
      <c r="E2419">
        <v>193500.93000000002</v>
      </c>
      <c r="F2419">
        <v>90724.12</v>
      </c>
      <c r="G2419">
        <f>tblMoeHistory[[#This Row],[LEA State and Local Amount]]+tblMoeHistory[[#This Row],[ESD State and Local Amount]]</f>
        <v>284225.05000000005</v>
      </c>
      <c r="J2419">
        <f>IFERROR(tblMoeHistory[[#This Row],[LEA State and Local Amount]]/tblMoeHistory[[#This Row],[Child Count]],0)</f>
        <v>4837.5232500000002</v>
      </c>
      <c r="K2419" s="44">
        <f>IFERROR(tblMoeHistory[[#This Row],[ESD State and Local Amount]]/tblMoeHistory[[#This Row],[Child Count]],0)</f>
        <v>2268.1030000000001</v>
      </c>
      <c r="L2419">
        <f>IFERROR(tblMoeHistory[[#This Row],[State and Local Total Amount]]/tblMoeHistory[[#This Row],[Child Count]],0)</f>
        <v>7105.6262500000012</v>
      </c>
      <c r="N2419" t="str">
        <f t="shared" si="4"/>
        <v>Met</v>
      </c>
      <c r="Q2419">
        <f>tblMoeHistory[[#This Row],[Amount of IDEA Part B, Section 611 award]]+tblMoeHistory[[#This Row],[Amount of IDEA Part B, Section 619 award]]</f>
        <v>0</v>
      </c>
      <c r="U24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9" t="str">
        <f>IF(OR(IFERROR(SEARCH("Met",tblMoeHistory[[#This Row],[State and Local Per Capita Result]]),0)&gt;0,IFERROR(SEARCH("Met",tblMoeHistory[[#This Row],[State and Local Total Result]]),0)&gt;0),"Met","Not Met")</f>
        <v>Met</v>
      </c>
    </row>
    <row r="2420" spans="1:22" x14ac:dyDescent="0.35">
      <c r="A2420" t="s">
        <v>76</v>
      </c>
      <c r="B2420">
        <v>2217</v>
      </c>
      <c r="C2420" t="s">
        <v>2108</v>
      </c>
      <c r="D2420">
        <v>60</v>
      </c>
      <c r="E2420">
        <v>376233.83999999997</v>
      </c>
      <c r="F2420">
        <v>117509.35</v>
      </c>
      <c r="G2420">
        <f>tblMoeHistory[[#This Row],[LEA State and Local Amount]]+tblMoeHistory[[#This Row],[ESD State and Local Amount]]</f>
        <v>493743.18999999994</v>
      </c>
      <c r="J2420">
        <f>IFERROR(tblMoeHistory[[#This Row],[LEA State and Local Amount]]/tblMoeHistory[[#This Row],[Child Count]],0)</f>
        <v>6270.5639999999994</v>
      </c>
      <c r="K2420" s="44">
        <f>IFERROR(tblMoeHistory[[#This Row],[ESD State and Local Amount]]/tblMoeHistory[[#This Row],[Child Count]],0)</f>
        <v>1958.4891666666667</v>
      </c>
      <c r="L2420">
        <f>IFERROR(tblMoeHistory[[#This Row],[State and Local Total Amount]]/tblMoeHistory[[#This Row],[Child Count]],0)</f>
        <v>8229.0531666666666</v>
      </c>
      <c r="N2420" t="str">
        <f t="shared" si="4"/>
        <v>Met</v>
      </c>
      <c r="Q2420">
        <f>tblMoeHistory[[#This Row],[Amount of IDEA Part B, Section 611 award]]+tblMoeHistory[[#This Row],[Amount of IDEA Part B, Section 619 award]]</f>
        <v>0</v>
      </c>
      <c r="U24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0" t="str">
        <f>IF(OR(IFERROR(SEARCH("Met",tblMoeHistory[[#This Row],[State and Local Per Capita Result]]),0)&gt;0,IFERROR(SEARCH("Met",tblMoeHistory[[#This Row],[State and Local Total Result]]),0)&gt;0),"Met","Not Met")</f>
        <v>Met</v>
      </c>
    </row>
    <row r="2421" spans="1:22" x14ac:dyDescent="0.35">
      <c r="A2421" t="s">
        <v>77</v>
      </c>
      <c r="B2421">
        <v>1998</v>
      </c>
      <c r="C2421" t="s">
        <v>2108</v>
      </c>
      <c r="D2421">
        <v>24</v>
      </c>
      <c r="E2421">
        <v>171181.21</v>
      </c>
      <c r="F2421">
        <v>428125.43</v>
      </c>
      <c r="G2421">
        <f>tblMoeHistory[[#This Row],[LEA State and Local Amount]]+tblMoeHistory[[#This Row],[ESD State and Local Amount]]</f>
        <v>599306.64</v>
      </c>
      <c r="J2421">
        <f>IFERROR(tblMoeHistory[[#This Row],[LEA State and Local Amount]]/tblMoeHistory[[#This Row],[Child Count]],0)</f>
        <v>7132.550416666666</v>
      </c>
      <c r="K2421" s="44">
        <f>IFERROR(tblMoeHistory[[#This Row],[ESD State and Local Amount]]/tblMoeHistory[[#This Row],[Child Count]],0)</f>
        <v>17838.559583333332</v>
      </c>
      <c r="L2421">
        <f>IFERROR(tblMoeHistory[[#This Row],[State and Local Total Amount]]/tblMoeHistory[[#This Row],[Child Count]],0)</f>
        <v>24971.11</v>
      </c>
      <c r="N2421" t="str">
        <f t="shared" si="4"/>
        <v>Met</v>
      </c>
      <c r="Q2421">
        <f>tblMoeHistory[[#This Row],[Amount of IDEA Part B, Section 611 award]]+tblMoeHistory[[#This Row],[Amount of IDEA Part B, Section 619 award]]</f>
        <v>0</v>
      </c>
      <c r="U24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1" t="str">
        <f>IF(OR(IFERROR(SEARCH("Met",tblMoeHistory[[#This Row],[State and Local Per Capita Result]]),0)&gt;0,IFERROR(SEARCH("Met",tblMoeHistory[[#This Row],[State and Local Total Result]]),0)&gt;0),"Met","Not Met")</f>
        <v>Met</v>
      </c>
    </row>
    <row r="2422" spans="1:22" x14ac:dyDescent="0.35">
      <c r="A2422" t="s">
        <v>78</v>
      </c>
      <c r="B2422">
        <v>2221</v>
      </c>
      <c r="C2422" t="s">
        <v>2108</v>
      </c>
      <c r="D2422">
        <v>75</v>
      </c>
      <c r="E2422">
        <v>218969.54999999996</v>
      </c>
      <c r="F2422">
        <v>431120.13</v>
      </c>
      <c r="G2422">
        <f>tblMoeHistory[[#This Row],[LEA State and Local Amount]]+tblMoeHistory[[#This Row],[ESD State and Local Amount]]</f>
        <v>650089.67999999993</v>
      </c>
      <c r="J2422">
        <f>IFERROR(tblMoeHistory[[#This Row],[LEA State and Local Amount]]/tblMoeHistory[[#This Row],[Child Count]],0)</f>
        <v>2919.5939999999996</v>
      </c>
      <c r="K2422" s="44">
        <f>IFERROR(tblMoeHistory[[#This Row],[ESD State and Local Amount]]/tblMoeHistory[[#This Row],[Child Count]],0)</f>
        <v>5748.2683999999999</v>
      </c>
      <c r="L2422">
        <f>IFERROR(tblMoeHistory[[#This Row],[State and Local Total Amount]]/tblMoeHistory[[#This Row],[Child Count]],0)</f>
        <v>8667.8624</v>
      </c>
      <c r="N2422" t="str">
        <f t="shared" si="4"/>
        <v>Did Not Meet</v>
      </c>
      <c r="Q2422">
        <f>tblMoeHistory[[#This Row],[Amount of IDEA Part B, Section 611 award]]+tblMoeHistory[[#This Row],[Amount of IDEA Part B, Section 619 award]]</f>
        <v>0</v>
      </c>
      <c r="U24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2" t="str">
        <f>IF(OR(IFERROR(SEARCH("Met",tblMoeHistory[[#This Row],[State and Local Per Capita Result]]),0)&gt;0,IFERROR(SEARCH("Met",tblMoeHistory[[#This Row],[State and Local Total Result]]),0)&gt;0),"Met","Not Met")</f>
        <v>Not Met</v>
      </c>
    </row>
    <row r="2423" spans="1:22" x14ac:dyDescent="0.35">
      <c r="A2423" t="s">
        <v>79</v>
      </c>
      <c r="B2423">
        <v>1930</v>
      </c>
      <c r="C2423" t="s">
        <v>2108</v>
      </c>
      <c r="D2423">
        <v>376</v>
      </c>
      <c r="E2423">
        <v>3415602.59</v>
      </c>
      <c r="F2423">
        <v>231475</v>
      </c>
      <c r="G2423">
        <f>tblMoeHistory[[#This Row],[LEA State and Local Amount]]+tblMoeHistory[[#This Row],[ESD State and Local Amount]]</f>
        <v>3647077.59</v>
      </c>
      <c r="J2423">
        <f>IFERROR(tblMoeHistory[[#This Row],[LEA State and Local Amount]]/tblMoeHistory[[#This Row],[Child Count]],0)</f>
        <v>9084.0494414893619</v>
      </c>
      <c r="K2423" s="44">
        <f>IFERROR(tblMoeHistory[[#This Row],[ESD State and Local Amount]]/tblMoeHistory[[#This Row],[Child Count]],0)</f>
        <v>615.625</v>
      </c>
      <c r="L2423">
        <f>IFERROR(tblMoeHistory[[#This Row],[State and Local Total Amount]]/tblMoeHistory[[#This Row],[Child Count]],0)</f>
        <v>9699.6744414893619</v>
      </c>
      <c r="N2423" t="str">
        <f t="shared" si="4"/>
        <v>Met</v>
      </c>
      <c r="Q2423">
        <f>tblMoeHistory[[#This Row],[Amount of IDEA Part B, Section 611 award]]+tblMoeHistory[[#This Row],[Amount of IDEA Part B, Section 619 award]]</f>
        <v>0</v>
      </c>
      <c r="U24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3" t="str">
        <f>IF(OR(IFERROR(SEARCH("Met",tblMoeHistory[[#This Row],[State and Local Per Capita Result]]),0)&gt;0,IFERROR(SEARCH("Met",tblMoeHistory[[#This Row],[State and Local Total Result]]),0)&gt;0),"Met","Not Met")</f>
        <v>Met</v>
      </c>
    </row>
    <row r="2424" spans="1:22" x14ac:dyDescent="0.35">
      <c r="A2424" t="s">
        <v>80</v>
      </c>
      <c r="B2424">
        <v>2082</v>
      </c>
      <c r="C2424" t="s">
        <v>2108</v>
      </c>
      <c r="D2424">
        <v>2228</v>
      </c>
      <c r="E2424">
        <v>29732558.810000006</v>
      </c>
      <c r="F2424">
        <v>5293810</v>
      </c>
      <c r="G2424">
        <f>tblMoeHistory[[#This Row],[LEA State and Local Amount]]+tblMoeHistory[[#This Row],[ESD State and Local Amount]]</f>
        <v>35026368.810000002</v>
      </c>
      <c r="J2424">
        <f>IFERROR(tblMoeHistory[[#This Row],[LEA State and Local Amount]]/tblMoeHistory[[#This Row],[Child Count]],0)</f>
        <v>13344.95458258528</v>
      </c>
      <c r="K2424" s="44">
        <f>IFERROR(tblMoeHistory[[#This Row],[ESD State and Local Amount]]/tblMoeHistory[[#This Row],[Child Count]],0)</f>
        <v>2376.0368043087969</v>
      </c>
      <c r="L2424">
        <f>IFERROR(tblMoeHistory[[#This Row],[State and Local Total Amount]]/tblMoeHistory[[#This Row],[Child Count]],0)</f>
        <v>15720.991386894077</v>
      </c>
      <c r="N2424" t="str">
        <f t="shared" si="4"/>
        <v>Met</v>
      </c>
      <c r="Q2424">
        <f>tblMoeHistory[[#This Row],[Amount of IDEA Part B, Section 611 award]]+tblMoeHistory[[#This Row],[Amount of IDEA Part B, Section 619 award]]</f>
        <v>0</v>
      </c>
      <c r="U24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4" t="str">
        <f>IF(OR(IFERROR(SEARCH("Met",tblMoeHistory[[#This Row],[State and Local Per Capita Result]]),0)&gt;0,IFERROR(SEARCH("Met",tblMoeHistory[[#This Row],[State and Local Total Result]]),0)&gt;0),"Met","Not Met")</f>
        <v>Met</v>
      </c>
    </row>
    <row r="2425" spans="1:22" x14ac:dyDescent="0.35">
      <c r="A2425" t="s">
        <v>81</v>
      </c>
      <c r="B2425">
        <v>2193</v>
      </c>
      <c r="C2425" t="s">
        <v>2108</v>
      </c>
      <c r="D2425">
        <v>32</v>
      </c>
      <c r="E2425">
        <v>367120.48</v>
      </c>
      <c r="F2425">
        <v>86646.8</v>
      </c>
      <c r="G2425">
        <f>tblMoeHistory[[#This Row],[LEA State and Local Amount]]+tblMoeHistory[[#This Row],[ESD State and Local Amount]]</f>
        <v>453767.27999999997</v>
      </c>
      <c r="J2425">
        <f>IFERROR(tblMoeHistory[[#This Row],[LEA State and Local Amount]]/tblMoeHistory[[#This Row],[Child Count]],0)</f>
        <v>11472.514999999999</v>
      </c>
      <c r="K2425" s="44">
        <f>IFERROR(tblMoeHistory[[#This Row],[ESD State and Local Amount]]/tblMoeHistory[[#This Row],[Child Count]],0)</f>
        <v>2707.7125000000001</v>
      </c>
      <c r="L2425">
        <f>IFERROR(tblMoeHistory[[#This Row],[State and Local Total Amount]]/tblMoeHistory[[#This Row],[Child Count]],0)</f>
        <v>14180.227499999999</v>
      </c>
      <c r="N2425" t="str">
        <f t="shared" si="4"/>
        <v>Met</v>
      </c>
      <c r="Q2425">
        <f>tblMoeHistory[[#This Row],[Amount of IDEA Part B, Section 611 award]]+tblMoeHistory[[#This Row],[Amount of IDEA Part B, Section 619 award]]</f>
        <v>0</v>
      </c>
      <c r="U24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5" t="str">
        <f>IF(OR(IFERROR(SEARCH("Met",tblMoeHistory[[#This Row],[State and Local Per Capita Result]]),0)&gt;0,IFERROR(SEARCH("Met",tblMoeHistory[[#This Row],[State and Local Total Result]]),0)&gt;0),"Met","Not Met")</f>
        <v>Met</v>
      </c>
    </row>
    <row r="2426" spans="1:22" x14ac:dyDescent="0.35">
      <c r="A2426" t="s">
        <v>82</v>
      </c>
      <c r="B2426">
        <v>2084</v>
      </c>
      <c r="C2426" t="s">
        <v>2108</v>
      </c>
      <c r="D2426">
        <v>238</v>
      </c>
      <c r="E2426">
        <v>3623653.1899999995</v>
      </c>
      <c r="F2426">
        <v>333896</v>
      </c>
      <c r="G2426">
        <f>tblMoeHistory[[#This Row],[LEA State and Local Amount]]+tblMoeHistory[[#This Row],[ESD State and Local Amount]]</f>
        <v>3957549.1899999995</v>
      </c>
      <c r="J2426">
        <f>IFERROR(tblMoeHistory[[#This Row],[LEA State and Local Amount]]/tblMoeHistory[[#This Row],[Child Count]],0)</f>
        <v>15225.43357142857</v>
      </c>
      <c r="K2426" s="44">
        <f>IFERROR(tblMoeHistory[[#This Row],[ESD State and Local Amount]]/tblMoeHistory[[#This Row],[Child Count]],0)</f>
        <v>1402.9243697478992</v>
      </c>
      <c r="L2426">
        <f>IFERROR(tblMoeHistory[[#This Row],[State and Local Total Amount]]/tblMoeHistory[[#This Row],[Child Count]],0)</f>
        <v>16628.357941176469</v>
      </c>
      <c r="N2426" t="str">
        <f t="shared" ref="N2426:N2489" si="5">IF(L2426&gt;=L2229,"Met","Did Not Meet")</f>
        <v>Met</v>
      </c>
      <c r="Q2426">
        <f>tblMoeHistory[[#This Row],[Amount of IDEA Part B, Section 611 award]]+tblMoeHistory[[#This Row],[Amount of IDEA Part B, Section 619 award]]</f>
        <v>0</v>
      </c>
      <c r="U24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6" t="str">
        <f>IF(OR(IFERROR(SEARCH("Met",tblMoeHistory[[#This Row],[State and Local Per Capita Result]]),0)&gt;0,IFERROR(SEARCH("Met",tblMoeHistory[[#This Row],[State and Local Total Result]]),0)&gt;0),"Met","Not Met")</f>
        <v>Met</v>
      </c>
    </row>
    <row r="2427" spans="1:22" x14ac:dyDescent="0.35">
      <c r="A2427" t="s">
        <v>83</v>
      </c>
      <c r="B2427">
        <v>2241</v>
      </c>
      <c r="C2427" t="s">
        <v>2108</v>
      </c>
      <c r="D2427">
        <v>818</v>
      </c>
      <c r="E2427">
        <v>11713428.230000012</v>
      </c>
      <c r="F2427">
        <v>379667</v>
      </c>
      <c r="G2427">
        <f>tblMoeHistory[[#This Row],[LEA State and Local Amount]]+tblMoeHistory[[#This Row],[ESD State and Local Amount]]</f>
        <v>12093095.230000012</v>
      </c>
      <c r="J2427">
        <f>IFERROR(tblMoeHistory[[#This Row],[LEA State and Local Amount]]/tblMoeHistory[[#This Row],[Child Count]],0)</f>
        <v>14319.594413202949</v>
      </c>
      <c r="K2427" s="44">
        <f>IFERROR(tblMoeHistory[[#This Row],[ESD State and Local Amount]]/tblMoeHistory[[#This Row],[Child Count]],0)</f>
        <v>464.14058679706602</v>
      </c>
      <c r="L2427">
        <f>IFERROR(tblMoeHistory[[#This Row],[State and Local Total Amount]]/tblMoeHistory[[#This Row],[Child Count]],0)</f>
        <v>14783.735000000013</v>
      </c>
      <c r="N2427" t="str">
        <f t="shared" si="5"/>
        <v>Met</v>
      </c>
      <c r="Q2427">
        <f>tblMoeHistory[[#This Row],[Amount of IDEA Part B, Section 611 award]]+tblMoeHistory[[#This Row],[Amount of IDEA Part B, Section 619 award]]</f>
        <v>0</v>
      </c>
      <c r="U24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7" t="str">
        <f>IF(OR(IFERROR(SEARCH("Met",tblMoeHistory[[#This Row],[State and Local Per Capita Result]]),0)&gt;0,IFERROR(SEARCH("Met",tblMoeHistory[[#This Row],[State and Local Total Result]]),0)&gt;0),"Met","Not Met")</f>
        <v>Met</v>
      </c>
    </row>
    <row r="2428" spans="1:22" x14ac:dyDescent="0.35">
      <c r="A2428" t="s">
        <v>84</v>
      </c>
      <c r="B2428">
        <v>2248</v>
      </c>
      <c r="C2428" t="s">
        <v>2108</v>
      </c>
      <c r="D2428">
        <v>112</v>
      </c>
      <c r="E2428">
        <v>950702.02</v>
      </c>
      <c r="F2428">
        <v>100164</v>
      </c>
      <c r="G2428">
        <f>tblMoeHistory[[#This Row],[LEA State and Local Amount]]+tblMoeHistory[[#This Row],[ESD State and Local Amount]]</f>
        <v>1050866.02</v>
      </c>
      <c r="J2428">
        <f>IFERROR(tblMoeHistory[[#This Row],[LEA State and Local Amount]]/tblMoeHistory[[#This Row],[Child Count]],0)</f>
        <v>8488.4108928571422</v>
      </c>
      <c r="K2428" s="44">
        <f>IFERROR(tblMoeHistory[[#This Row],[ESD State and Local Amount]]/tblMoeHistory[[#This Row],[Child Count]],0)</f>
        <v>894.32142857142856</v>
      </c>
      <c r="L2428">
        <f>IFERROR(tblMoeHistory[[#This Row],[State and Local Total Amount]]/tblMoeHistory[[#This Row],[Child Count]],0)</f>
        <v>9382.7323214285716</v>
      </c>
      <c r="N2428" t="str">
        <f t="shared" si="5"/>
        <v>Met</v>
      </c>
      <c r="Q2428">
        <f>tblMoeHistory[[#This Row],[Amount of IDEA Part B, Section 611 award]]+tblMoeHistory[[#This Row],[Amount of IDEA Part B, Section 619 award]]</f>
        <v>0</v>
      </c>
      <c r="U24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8" t="str">
        <f>IF(OR(IFERROR(SEARCH("Met",tblMoeHistory[[#This Row],[State and Local Per Capita Result]]),0)&gt;0,IFERROR(SEARCH("Met",tblMoeHistory[[#This Row],[State and Local Total Result]]),0)&gt;0),"Met","Not Met")</f>
        <v>Met</v>
      </c>
    </row>
    <row r="2429" spans="1:22" x14ac:dyDescent="0.35">
      <c r="A2429" t="s">
        <v>85</v>
      </c>
      <c r="B2429">
        <v>2020</v>
      </c>
      <c r="C2429" t="s">
        <v>2108</v>
      </c>
      <c r="D2429">
        <v>2</v>
      </c>
      <c r="E2429">
        <v>0</v>
      </c>
      <c r="F2429">
        <v>12486.189999999999</v>
      </c>
      <c r="G2429">
        <f>tblMoeHistory[[#This Row],[LEA State and Local Amount]]+tblMoeHistory[[#This Row],[ESD State and Local Amount]]</f>
        <v>12486.189999999999</v>
      </c>
      <c r="J2429">
        <f>IFERROR(tblMoeHistory[[#This Row],[LEA State and Local Amount]]/tblMoeHistory[[#This Row],[Child Count]],0)</f>
        <v>0</v>
      </c>
      <c r="K2429" s="44">
        <f>IFERROR(tblMoeHistory[[#This Row],[ESD State and Local Amount]]/tblMoeHistory[[#This Row],[Child Count]],0)</f>
        <v>6243.0949999999993</v>
      </c>
      <c r="L2429">
        <f>IFERROR(tblMoeHistory[[#This Row],[State and Local Total Amount]]/tblMoeHistory[[#This Row],[Child Count]],0)</f>
        <v>6243.0949999999993</v>
      </c>
      <c r="N2429" t="str">
        <f t="shared" si="5"/>
        <v>Did Not Meet</v>
      </c>
      <c r="Q2429">
        <f>tblMoeHistory[[#This Row],[Amount of IDEA Part B, Section 611 award]]+tblMoeHistory[[#This Row],[Amount of IDEA Part B, Section 619 award]]</f>
        <v>0</v>
      </c>
      <c r="U24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9" t="str">
        <f>IF(OR(IFERROR(SEARCH("Met",tblMoeHistory[[#This Row],[State and Local Per Capita Result]]),0)&gt;0,IFERROR(SEARCH("Met",tblMoeHistory[[#This Row],[State and Local Total Result]]),0)&gt;0),"Met","Not Met")</f>
        <v>Not Met</v>
      </c>
    </row>
    <row r="2430" spans="1:22" x14ac:dyDescent="0.35">
      <c r="A2430" t="s">
        <v>86</v>
      </c>
      <c r="B2430">
        <v>2245</v>
      </c>
      <c r="C2430" t="s">
        <v>2108</v>
      </c>
      <c r="D2430">
        <v>86</v>
      </c>
      <c r="E2430">
        <v>1226117.1300000001</v>
      </c>
      <c r="F2430">
        <v>0</v>
      </c>
      <c r="G2430">
        <f>tblMoeHistory[[#This Row],[LEA State and Local Amount]]+tblMoeHistory[[#This Row],[ESD State and Local Amount]]</f>
        <v>1226117.1300000001</v>
      </c>
      <c r="J2430">
        <f>IFERROR(tblMoeHistory[[#This Row],[LEA State and Local Amount]]/tblMoeHistory[[#This Row],[Child Count]],0)</f>
        <v>14257.175930232559</v>
      </c>
      <c r="K2430" s="44">
        <f>IFERROR(tblMoeHistory[[#This Row],[ESD State and Local Amount]]/tblMoeHistory[[#This Row],[Child Count]],0)</f>
        <v>0</v>
      </c>
      <c r="L2430">
        <f>IFERROR(tblMoeHistory[[#This Row],[State and Local Total Amount]]/tblMoeHistory[[#This Row],[Child Count]],0)</f>
        <v>14257.175930232559</v>
      </c>
      <c r="N2430" t="str">
        <f t="shared" si="5"/>
        <v>Met</v>
      </c>
      <c r="Q2430">
        <f>tblMoeHistory[[#This Row],[Amount of IDEA Part B, Section 611 award]]+tblMoeHistory[[#This Row],[Amount of IDEA Part B, Section 619 award]]</f>
        <v>0</v>
      </c>
      <c r="U24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0" t="str">
        <f>IF(OR(IFERROR(SEARCH("Met",tblMoeHistory[[#This Row],[State and Local Per Capita Result]]),0)&gt;0,IFERROR(SEARCH("Met",tblMoeHistory[[#This Row],[State and Local Total Result]]),0)&gt;0),"Met","Not Met")</f>
        <v>Met</v>
      </c>
    </row>
    <row r="2431" spans="1:22" x14ac:dyDescent="0.35">
      <c r="A2431" t="s">
        <v>87</v>
      </c>
      <c r="B2431">
        <v>2137</v>
      </c>
      <c r="C2431" t="s">
        <v>2108</v>
      </c>
      <c r="D2431">
        <v>180</v>
      </c>
      <c r="E2431">
        <v>1455186.54</v>
      </c>
      <c r="F2431">
        <v>410823.45</v>
      </c>
      <c r="G2431">
        <f>tblMoeHistory[[#This Row],[LEA State and Local Amount]]+tblMoeHistory[[#This Row],[ESD State and Local Amount]]</f>
        <v>1866009.99</v>
      </c>
      <c r="J2431">
        <f>IFERROR(tblMoeHistory[[#This Row],[LEA State and Local Amount]]/tblMoeHistory[[#This Row],[Child Count]],0)</f>
        <v>8084.3696666666665</v>
      </c>
      <c r="K2431" s="44">
        <f>IFERROR(tblMoeHistory[[#This Row],[ESD State and Local Amount]]/tblMoeHistory[[#This Row],[Child Count]],0)</f>
        <v>2282.3525</v>
      </c>
      <c r="L2431">
        <f>IFERROR(tblMoeHistory[[#This Row],[State and Local Total Amount]]/tblMoeHistory[[#This Row],[Child Count]],0)</f>
        <v>10366.722166666666</v>
      </c>
      <c r="N2431" t="str">
        <f t="shared" si="5"/>
        <v>Met</v>
      </c>
      <c r="Q2431">
        <f>tblMoeHistory[[#This Row],[Amount of IDEA Part B, Section 611 award]]+tblMoeHistory[[#This Row],[Amount of IDEA Part B, Section 619 award]]</f>
        <v>0</v>
      </c>
      <c r="U24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1" t="str">
        <f>IF(OR(IFERROR(SEARCH("Met",tblMoeHistory[[#This Row],[State and Local Per Capita Result]]),0)&gt;0,IFERROR(SEARCH("Met",tblMoeHistory[[#This Row],[State and Local Total Result]]),0)&gt;0),"Met","Not Met")</f>
        <v>Met</v>
      </c>
    </row>
    <row r="2432" spans="1:22" x14ac:dyDescent="0.35">
      <c r="A2432" t="s">
        <v>88</v>
      </c>
      <c r="B2432">
        <v>1931</v>
      </c>
      <c r="C2432" t="s">
        <v>2108</v>
      </c>
      <c r="D2432">
        <v>264</v>
      </c>
      <c r="E2432">
        <v>3300455.1000000006</v>
      </c>
      <c r="F2432">
        <v>351312</v>
      </c>
      <c r="G2432">
        <f>tblMoeHistory[[#This Row],[LEA State and Local Amount]]+tblMoeHistory[[#This Row],[ESD State and Local Amount]]</f>
        <v>3651767.1000000006</v>
      </c>
      <c r="J2432">
        <f>IFERROR(tblMoeHistory[[#This Row],[LEA State and Local Amount]]/tblMoeHistory[[#This Row],[Child Count]],0)</f>
        <v>12501.723863636365</v>
      </c>
      <c r="K2432" s="44">
        <f>IFERROR(tblMoeHistory[[#This Row],[ESD State and Local Amount]]/tblMoeHistory[[#This Row],[Child Count]],0)</f>
        <v>1330.7272727272727</v>
      </c>
      <c r="L2432">
        <f>IFERROR(tblMoeHistory[[#This Row],[State and Local Total Amount]]/tblMoeHistory[[#This Row],[Child Count]],0)</f>
        <v>13832.451136363639</v>
      </c>
      <c r="N2432" t="str">
        <f t="shared" si="5"/>
        <v>Met</v>
      </c>
      <c r="Q2432">
        <f>tblMoeHistory[[#This Row],[Amount of IDEA Part B, Section 611 award]]+tblMoeHistory[[#This Row],[Amount of IDEA Part B, Section 619 award]]</f>
        <v>0</v>
      </c>
      <c r="U24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2" t="str">
        <f>IF(OR(IFERROR(SEARCH("Met",tblMoeHistory[[#This Row],[State and Local Per Capita Result]]),0)&gt;0,IFERROR(SEARCH("Met",tblMoeHistory[[#This Row],[State and Local Total Result]]),0)&gt;0),"Met","Not Met")</f>
        <v>Met</v>
      </c>
    </row>
    <row r="2433" spans="1:22" x14ac:dyDescent="0.35">
      <c r="A2433" t="s">
        <v>89</v>
      </c>
      <c r="B2433">
        <v>2000</v>
      </c>
      <c r="C2433" t="s">
        <v>2108</v>
      </c>
      <c r="D2433">
        <v>49</v>
      </c>
      <c r="E2433">
        <v>414599.10000000003</v>
      </c>
      <c r="F2433">
        <v>66689.37</v>
      </c>
      <c r="G2433">
        <f>tblMoeHistory[[#This Row],[LEA State and Local Amount]]+tblMoeHistory[[#This Row],[ESD State and Local Amount]]</f>
        <v>481288.47000000003</v>
      </c>
      <c r="J2433">
        <f>IFERROR(tblMoeHistory[[#This Row],[LEA State and Local Amount]]/tblMoeHistory[[#This Row],[Child Count]],0)</f>
        <v>8461.2061224489808</v>
      </c>
      <c r="K2433" s="44">
        <f>IFERROR(tblMoeHistory[[#This Row],[ESD State and Local Amount]]/tblMoeHistory[[#This Row],[Child Count]],0)</f>
        <v>1361.0075510204081</v>
      </c>
      <c r="L2433">
        <f>IFERROR(tblMoeHistory[[#This Row],[State and Local Total Amount]]/tblMoeHistory[[#This Row],[Child Count]],0)</f>
        <v>9822.2136734693886</v>
      </c>
      <c r="N2433" t="str">
        <f t="shared" si="5"/>
        <v>Met</v>
      </c>
      <c r="Q2433">
        <f>tblMoeHistory[[#This Row],[Amount of IDEA Part B, Section 611 award]]+tblMoeHistory[[#This Row],[Amount of IDEA Part B, Section 619 award]]</f>
        <v>0</v>
      </c>
      <c r="U24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3" t="str">
        <f>IF(OR(IFERROR(SEARCH("Met",tblMoeHistory[[#This Row],[State and Local Per Capita Result]]),0)&gt;0,IFERROR(SEARCH("Met",tblMoeHistory[[#This Row],[State and Local Total Result]]),0)&gt;0),"Met","Not Met")</f>
        <v>Met</v>
      </c>
    </row>
    <row r="2434" spans="1:22" x14ac:dyDescent="0.35">
      <c r="A2434" t="s">
        <v>90</v>
      </c>
      <c r="B2434">
        <v>1992</v>
      </c>
      <c r="C2434" t="s">
        <v>2108</v>
      </c>
      <c r="D2434">
        <v>107</v>
      </c>
      <c r="E2434">
        <v>1021234.8399999997</v>
      </c>
      <c r="F2434">
        <v>200123.67</v>
      </c>
      <c r="G2434">
        <f>tblMoeHistory[[#This Row],[LEA State and Local Amount]]+tblMoeHistory[[#This Row],[ESD State and Local Amount]]</f>
        <v>1221358.5099999998</v>
      </c>
      <c r="J2434">
        <f>IFERROR(tblMoeHistory[[#This Row],[LEA State and Local Amount]]/tblMoeHistory[[#This Row],[Child Count]],0)</f>
        <v>9544.2508411214931</v>
      </c>
      <c r="K2434" s="44">
        <f>IFERROR(tblMoeHistory[[#This Row],[ESD State and Local Amount]]/tblMoeHistory[[#This Row],[Child Count]],0)</f>
        <v>1870.3146728971965</v>
      </c>
      <c r="L2434">
        <f>IFERROR(tblMoeHistory[[#This Row],[State and Local Total Amount]]/tblMoeHistory[[#This Row],[Child Count]],0)</f>
        <v>11414.56551401869</v>
      </c>
      <c r="N2434" t="str">
        <f t="shared" si="5"/>
        <v>Did Not Meet</v>
      </c>
      <c r="Q2434">
        <f>tblMoeHistory[[#This Row],[Amount of IDEA Part B, Section 611 award]]+tblMoeHistory[[#This Row],[Amount of IDEA Part B, Section 619 award]]</f>
        <v>0</v>
      </c>
      <c r="U24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4" t="str">
        <f>IF(OR(IFERROR(SEARCH("Met",tblMoeHistory[[#This Row],[State and Local Per Capita Result]]),0)&gt;0,IFERROR(SEARCH("Met",tblMoeHistory[[#This Row],[State and Local Total Result]]),0)&gt;0),"Met","Not Met")</f>
        <v>Not Met</v>
      </c>
    </row>
    <row r="2435" spans="1:22" x14ac:dyDescent="0.35">
      <c r="A2435" t="s">
        <v>91</v>
      </c>
      <c r="B2435">
        <v>2054</v>
      </c>
      <c r="C2435" t="s">
        <v>2108</v>
      </c>
      <c r="D2435">
        <v>817</v>
      </c>
      <c r="E2435">
        <v>8781540.9399999976</v>
      </c>
      <c r="F2435">
        <v>432150.38</v>
      </c>
      <c r="G2435">
        <f>tblMoeHistory[[#This Row],[LEA State and Local Amount]]+tblMoeHistory[[#This Row],[ESD State and Local Amount]]</f>
        <v>9213691.3199999984</v>
      </c>
      <c r="J2435">
        <f>IFERROR(tblMoeHistory[[#This Row],[LEA State and Local Amount]]/tblMoeHistory[[#This Row],[Child Count]],0)</f>
        <v>10748.520122399017</v>
      </c>
      <c r="K2435" s="44">
        <f>IFERROR(tblMoeHistory[[#This Row],[ESD State and Local Amount]]/tblMoeHistory[[#This Row],[Child Count]],0)</f>
        <v>528.94783353733169</v>
      </c>
      <c r="L2435">
        <f>IFERROR(tblMoeHistory[[#This Row],[State and Local Total Amount]]/tblMoeHistory[[#This Row],[Child Count]],0)</f>
        <v>11277.46795593635</v>
      </c>
      <c r="N2435" t="str">
        <f t="shared" si="5"/>
        <v>Met</v>
      </c>
      <c r="Q2435">
        <f>tblMoeHistory[[#This Row],[Amount of IDEA Part B, Section 611 award]]+tblMoeHistory[[#This Row],[Amount of IDEA Part B, Section 619 award]]</f>
        <v>0</v>
      </c>
      <c r="U24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5" t="str">
        <f>IF(OR(IFERROR(SEARCH("Met",tblMoeHistory[[#This Row],[State and Local Per Capita Result]]),0)&gt;0,IFERROR(SEARCH("Met",tblMoeHistory[[#This Row],[State and Local Total Result]]),0)&gt;0),"Met","Not Met")</f>
        <v>Met</v>
      </c>
    </row>
    <row r="2436" spans="1:22" x14ac:dyDescent="0.35">
      <c r="A2436" t="s">
        <v>92</v>
      </c>
      <c r="B2436">
        <v>2100</v>
      </c>
      <c r="C2436" t="s">
        <v>2108</v>
      </c>
      <c r="D2436">
        <v>1307</v>
      </c>
      <c r="E2436">
        <v>16668128.04000001</v>
      </c>
      <c r="F2436">
        <v>1782172</v>
      </c>
      <c r="G2436">
        <f>tblMoeHistory[[#This Row],[LEA State and Local Amount]]+tblMoeHistory[[#This Row],[ESD State and Local Amount]]</f>
        <v>18450300.04000001</v>
      </c>
      <c r="J2436">
        <f>IFERROR(tblMoeHistory[[#This Row],[LEA State and Local Amount]]/tblMoeHistory[[#This Row],[Child Count]],0)</f>
        <v>12752.967130833978</v>
      </c>
      <c r="K2436" s="44">
        <f>IFERROR(tblMoeHistory[[#This Row],[ESD State and Local Amount]]/tblMoeHistory[[#This Row],[Child Count]],0)</f>
        <v>1363.5592960979343</v>
      </c>
      <c r="L2436">
        <f>IFERROR(tblMoeHistory[[#This Row],[State and Local Total Amount]]/tblMoeHistory[[#This Row],[Child Count]],0)</f>
        <v>14116.526426931912</v>
      </c>
      <c r="N2436" t="str">
        <f t="shared" si="5"/>
        <v>Met</v>
      </c>
      <c r="Q2436">
        <f>tblMoeHistory[[#This Row],[Amount of IDEA Part B, Section 611 award]]+tblMoeHistory[[#This Row],[Amount of IDEA Part B, Section 619 award]]</f>
        <v>0</v>
      </c>
      <c r="U24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6" t="str">
        <f>IF(OR(IFERROR(SEARCH("Met",tblMoeHistory[[#This Row],[State and Local Per Capita Result]]),0)&gt;0,IFERROR(SEARCH("Met",tblMoeHistory[[#This Row],[State and Local Total Result]]),0)&gt;0),"Met","Not Met")</f>
        <v>Met</v>
      </c>
    </row>
    <row r="2437" spans="1:22" x14ac:dyDescent="0.35">
      <c r="A2437" t="s">
        <v>93</v>
      </c>
      <c r="B2437">
        <v>2183</v>
      </c>
      <c r="C2437" t="s">
        <v>2108</v>
      </c>
      <c r="D2437">
        <v>1581</v>
      </c>
      <c r="E2437">
        <v>21173745.699999999</v>
      </c>
      <c r="F2437">
        <v>1692976.3</v>
      </c>
      <c r="G2437">
        <f>tblMoeHistory[[#This Row],[LEA State and Local Amount]]+tblMoeHistory[[#This Row],[ESD State and Local Amount]]</f>
        <v>22866722</v>
      </c>
      <c r="J2437">
        <f>IFERROR(tblMoeHistory[[#This Row],[LEA State and Local Amount]]/tblMoeHistory[[#This Row],[Child Count]],0)</f>
        <v>13392.628526249209</v>
      </c>
      <c r="K2437" s="44">
        <f>IFERROR(tblMoeHistory[[#This Row],[ESD State and Local Amount]]/tblMoeHistory[[#This Row],[Child Count]],0)</f>
        <v>1070.8262492093611</v>
      </c>
      <c r="L2437">
        <f>IFERROR(tblMoeHistory[[#This Row],[State and Local Total Amount]]/tblMoeHistory[[#This Row],[Child Count]],0)</f>
        <v>14463.454775458571</v>
      </c>
      <c r="N2437" t="str">
        <f t="shared" si="5"/>
        <v>Met</v>
      </c>
      <c r="Q2437">
        <f>tblMoeHistory[[#This Row],[Amount of IDEA Part B, Section 611 award]]+tblMoeHistory[[#This Row],[Amount of IDEA Part B, Section 619 award]]</f>
        <v>0</v>
      </c>
      <c r="U24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7" t="str">
        <f>IF(OR(IFERROR(SEARCH("Met",tblMoeHistory[[#This Row],[State and Local Per Capita Result]]),0)&gt;0,IFERROR(SEARCH("Met",tblMoeHistory[[#This Row],[State and Local Total Result]]),0)&gt;0),"Met","Not Met")</f>
        <v>Met</v>
      </c>
    </row>
    <row r="2438" spans="1:22" x14ac:dyDescent="0.35">
      <c r="A2438" t="s">
        <v>94</v>
      </c>
      <c r="B2438">
        <v>2014</v>
      </c>
      <c r="C2438" t="s">
        <v>2108</v>
      </c>
      <c r="D2438">
        <v>111</v>
      </c>
      <c r="E2438">
        <v>1219762.1499999999</v>
      </c>
      <c r="F2438">
        <v>0</v>
      </c>
      <c r="G2438">
        <f>tblMoeHistory[[#This Row],[LEA State and Local Amount]]+tblMoeHistory[[#This Row],[ESD State and Local Amount]]</f>
        <v>1219762.1499999999</v>
      </c>
      <c r="J2438">
        <f>IFERROR(tblMoeHistory[[#This Row],[LEA State and Local Amount]]/tblMoeHistory[[#This Row],[Child Count]],0)</f>
        <v>10988.848198198197</v>
      </c>
      <c r="K2438" s="44">
        <f>IFERROR(tblMoeHistory[[#This Row],[ESD State and Local Amount]]/tblMoeHistory[[#This Row],[Child Count]],0)</f>
        <v>0</v>
      </c>
      <c r="L2438">
        <f>IFERROR(tblMoeHistory[[#This Row],[State and Local Total Amount]]/tblMoeHistory[[#This Row],[Child Count]],0)</f>
        <v>10988.848198198197</v>
      </c>
      <c r="N2438" t="str">
        <f t="shared" si="5"/>
        <v>Met</v>
      </c>
      <c r="Q2438">
        <f>tblMoeHistory[[#This Row],[Amount of IDEA Part B, Section 611 award]]+tblMoeHistory[[#This Row],[Amount of IDEA Part B, Section 619 award]]</f>
        <v>0</v>
      </c>
      <c r="U24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8" t="str">
        <f>IF(OR(IFERROR(SEARCH("Met",tblMoeHistory[[#This Row],[State and Local Per Capita Result]]),0)&gt;0,IFERROR(SEARCH("Met",tblMoeHistory[[#This Row],[State and Local Total Result]]),0)&gt;0),"Met","Not Met")</f>
        <v>Met</v>
      </c>
    </row>
    <row r="2439" spans="1:22" x14ac:dyDescent="0.35">
      <c r="A2439" t="s">
        <v>95</v>
      </c>
      <c r="B2439">
        <v>2015</v>
      </c>
      <c r="C2439" t="s">
        <v>2108</v>
      </c>
      <c r="D2439">
        <v>97</v>
      </c>
      <c r="E2439">
        <v>571439.20000000007</v>
      </c>
      <c r="F2439">
        <v>208981.61</v>
      </c>
      <c r="G2439">
        <f>tblMoeHistory[[#This Row],[LEA State and Local Amount]]+tblMoeHistory[[#This Row],[ESD State and Local Amount]]</f>
        <v>780420.81</v>
      </c>
      <c r="J2439">
        <f>IFERROR(tblMoeHistory[[#This Row],[LEA State and Local Amount]]/tblMoeHistory[[#This Row],[Child Count]],0)</f>
        <v>5891.1257731958767</v>
      </c>
      <c r="K2439" s="44">
        <f>IFERROR(tblMoeHistory[[#This Row],[ESD State and Local Amount]]/tblMoeHistory[[#This Row],[Child Count]],0)</f>
        <v>2154.4495876288656</v>
      </c>
      <c r="L2439">
        <f>IFERROR(tblMoeHistory[[#This Row],[State and Local Total Amount]]/tblMoeHistory[[#This Row],[Child Count]],0)</f>
        <v>8045.5753608247433</v>
      </c>
      <c r="N2439" t="str">
        <f t="shared" si="5"/>
        <v>Met</v>
      </c>
      <c r="Q2439">
        <f>tblMoeHistory[[#This Row],[Amount of IDEA Part B, Section 611 award]]+tblMoeHistory[[#This Row],[Amount of IDEA Part B, Section 619 award]]</f>
        <v>0</v>
      </c>
      <c r="U24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9" t="str">
        <f>IF(OR(IFERROR(SEARCH("Met",tblMoeHistory[[#This Row],[State and Local Per Capita Result]]),0)&gt;0,IFERROR(SEARCH("Met",tblMoeHistory[[#This Row],[State and Local Total Result]]),0)&gt;0),"Met","Not Met")</f>
        <v>Met</v>
      </c>
    </row>
    <row r="2440" spans="1:22" x14ac:dyDescent="0.35">
      <c r="A2440" t="s">
        <v>96</v>
      </c>
      <c r="B2440">
        <v>2023</v>
      </c>
      <c r="C2440" t="s">
        <v>2108</v>
      </c>
      <c r="D2440">
        <v>95</v>
      </c>
      <c r="E2440">
        <v>1269570.7299999997</v>
      </c>
      <c r="F2440">
        <v>217465.55000000002</v>
      </c>
      <c r="G2440">
        <f>tblMoeHistory[[#This Row],[LEA State and Local Amount]]+tblMoeHistory[[#This Row],[ESD State and Local Amount]]</f>
        <v>1487036.2799999998</v>
      </c>
      <c r="J2440">
        <f>IFERROR(tblMoeHistory[[#This Row],[LEA State and Local Amount]]/tblMoeHistory[[#This Row],[Child Count]],0)</f>
        <v>13363.90242105263</v>
      </c>
      <c r="K2440" s="44">
        <f>IFERROR(tblMoeHistory[[#This Row],[ESD State and Local Amount]]/tblMoeHistory[[#This Row],[Child Count]],0)</f>
        <v>2289.1110526315792</v>
      </c>
      <c r="L2440">
        <f>IFERROR(tblMoeHistory[[#This Row],[State and Local Total Amount]]/tblMoeHistory[[#This Row],[Child Count]],0)</f>
        <v>15653.013473684208</v>
      </c>
      <c r="N2440" t="str">
        <f t="shared" si="5"/>
        <v>Met</v>
      </c>
      <c r="Q2440">
        <f>tblMoeHistory[[#This Row],[Amount of IDEA Part B, Section 611 award]]+tblMoeHistory[[#This Row],[Amount of IDEA Part B, Section 619 award]]</f>
        <v>0</v>
      </c>
      <c r="U24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0" t="str">
        <f>IF(OR(IFERROR(SEARCH("Met",tblMoeHistory[[#This Row],[State and Local Per Capita Result]]),0)&gt;0,IFERROR(SEARCH("Met",tblMoeHistory[[#This Row],[State and Local Total Result]]),0)&gt;0),"Met","Not Met")</f>
        <v>Met</v>
      </c>
    </row>
    <row r="2441" spans="1:22" x14ac:dyDescent="0.35">
      <c r="A2441" t="s">
        <v>97</v>
      </c>
      <c r="B2441">
        <v>2114</v>
      </c>
      <c r="C2441" t="s">
        <v>2108</v>
      </c>
      <c r="D2441">
        <v>21</v>
      </c>
      <c r="E2441">
        <v>101136.11000000002</v>
      </c>
      <c r="F2441">
        <v>82400.399999999994</v>
      </c>
      <c r="G2441">
        <f>tblMoeHistory[[#This Row],[LEA State and Local Amount]]+tblMoeHistory[[#This Row],[ESD State and Local Amount]]</f>
        <v>183536.51</v>
      </c>
      <c r="J2441">
        <f>IFERROR(tblMoeHistory[[#This Row],[LEA State and Local Amount]]/tblMoeHistory[[#This Row],[Child Count]],0)</f>
        <v>4816.0052380952384</v>
      </c>
      <c r="K2441" s="44">
        <f>IFERROR(tblMoeHistory[[#This Row],[ESD State and Local Amount]]/tblMoeHistory[[#This Row],[Child Count]],0)</f>
        <v>3923.8285714285712</v>
      </c>
      <c r="L2441">
        <f>IFERROR(tblMoeHistory[[#This Row],[State and Local Total Amount]]/tblMoeHistory[[#This Row],[Child Count]],0)</f>
        <v>8739.8338095238105</v>
      </c>
      <c r="N2441" t="str">
        <f t="shared" si="5"/>
        <v>Met</v>
      </c>
      <c r="Q2441">
        <f>tblMoeHistory[[#This Row],[Amount of IDEA Part B, Section 611 award]]+tblMoeHistory[[#This Row],[Amount of IDEA Part B, Section 619 award]]</f>
        <v>0</v>
      </c>
      <c r="U24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1" t="str">
        <f>IF(OR(IFERROR(SEARCH("Met",tblMoeHistory[[#This Row],[State and Local Per Capita Result]]),0)&gt;0,IFERROR(SEARCH("Met",tblMoeHistory[[#This Row],[State and Local Total Result]]),0)&gt;0),"Met","Not Met")</f>
        <v>Met</v>
      </c>
    </row>
    <row r="2442" spans="1:22" x14ac:dyDescent="0.35">
      <c r="A2442" t="s">
        <v>98</v>
      </c>
      <c r="B2442">
        <v>2099</v>
      </c>
      <c r="C2442" t="s">
        <v>2108</v>
      </c>
      <c r="D2442">
        <v>111</v>
      </c>
      <c r="E2442">
        <v>1229764.0200000003</v>
      </c>
      <c r="F2442">
        <v>176713</v>
      </c>
      <c r="G2442">
        <f>tblMoeHistory[[#This Row],[LEA State and Local Amount]]+tblMoeHistory[[#This Row],[ESD State and Local Amount]]</f>
        <v>1406477.0200000003</v>
      </c>
      <c r="J2442">
        <f>IFERROR(tblMoeHistory[[#This Row],[LEA State and Local Amount]]/tblMoeHistory[[#This Row],[Child Count]],0)</f>
        <v>11078.955135135137</v>
      </c>
      <c r="K2442" s="44">
        <f>IFERROR(tblMoeHistory[[#This Row],[ESD State and Local Amount]]/tblMoeHistory[[#This Row],[Child Count]],0)</f>
        <v>1592.0090090090091</v>
      </c>
      <c r="L2442">
        <f>IFERROR(tblMoeHistory[[#This Row],[State and Local Total Amount]]/tblMoeHistory[[#This Row],[Child Count]],0)</f>
        <v>12670.964144144147</v>
      </c>
      <c r="N2442" t="str">
        <f t="shared" si="5"/>
        <v>Did Not Meet</v>
      </c>
      <c r="Q2442">
        <f>tblMoeHistory[[#This Row],[Amount of IDEA Part B, Section 611 award]]+tblMoeHistory[[#This Row],[Amount of IDEA Part B, Section 619 award]]</f>
        <v>0</v>
      </c>
      <c r="U24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2" t="str">
        <f>IF(OR(IFERROR(SEARCH("Met",tblMoeHistory[[#This Row],[State and Local Per Capita Result]]),0)&gt;0,IFERROR(SEARCH("Met",tblMoeHistory[[#This Row],[State and Local Total Result]]),0)&gt;0),"Met","Not Met")</f>
        <v>Not Met</v>
      </c>
    </row>
    <row r="2443" spans="1:22" x14ac:dyDescent="0.35">
      <c r="A2443" t="s">
        <v>99</v>
      </c>
      <c r="B2443">
        <v>2201</v>
      </c>
      <c r="C2443" t="s">
        <v>2108</v>
      </c>
      <c r="D2443">
        <v>17</v>
      </c>
      <c r="E2443">
        <v>139500.19999999998</v>
      </c>
      <c r="F2443">
        <v>41041.859999999993</v>
      </c>
      <c r="G2443">
        <f>tblMoeHistory[[#This Row],[LEA State and Local Amount]]+tblMoeHistory[[#This Row],[ESD State and Local Amount]]</f>
        <v>180542.05999999997</v>
      </c>
      <c r="J2443">
        <f>IFERROR(tblMoeHistory[[#This Row],[LEA State and Local Amount]]/tblMoeHistory[[#This Row],[Child Count]],0)</f>
        <v>8205.894117647058</v>
      </c>
      <c r="K2443" s="44">
        <f>IFERROR(tblMoeHistory[[#This Row],[ESD State and Local Amount]]/tblMoeHistory[[#This Row],[Child Count]],0)</f>
        <v>2414.2270588235292</v>
      </c>
      <c r="L2443">
        <f>IFERROR(tblMoeHistory[[#This Row],[State and Local Total Amount]]/tblMoeHistory[[#This Row],[Child Count]],0)</f>
        <v>10620.121176470586</v>
      </c>
      <c r="N2443" t="str">
        <f t="shared" si="5"/>
        <v>Met</v>
      </c>
      <c r="Q2443">
        <f>tblMoeHistory[[#This Row],[Amount of IDEA Part B, Section 611 award]]+tblMoeHistory[[#This Row],[Amount of IDEA Part B, Section 619 award]]</f>
        <v>0</v>
      </c>
      <c r="U24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3" t="str">
        <f>IF(OR(IFERROR(SEARCH("Met",tblMoeHistory[[#This Row],[State and Local Per Capita Result]]),0)&gt;0,IFERROR(SEARCH("Met",tblMoeHistory[[#This Row],[State and Local Total Result]]),0)&gt;0),"Met","Not Met")</f>
        <v>Met</v>
      </c>
    </row>
    <row r="2444" spans="1:22" x14ac:dyDescent="0.35">
      <c r="A2444" t="s">
        <v>100</v>
      </c>
      <c r="B2444">
        <v>2206</v>
      </c>
      <c r="C2444" t="s">
        <v>2108</v>
      </c>
      <c r="D2444">
        <v>665</v>
      </c>
      <c r="E2444">
        <v>8421428.4700000044</v>
      </c>
      <c r="F2444">
        <v>0</v>
      </c>
      <c r="G2444">
        <f>tblMoeHistory[[#This Row],[LEA State and Local Amount]]+tblMoeHistory[[#This Row],[ESD State and Local Amount]]</f>
        <v>8421428.4700000044</v>
      </c>
      <c r="J2444">
        <f>IFERROR(tblMoeHistory[[#This Row],[LEA State and Local Amount]]/tblMoeHistory[[#This Row],[Child Count]],0)</f>
        <v>12663.802210526323</v>
      </c>
      <c r="K2444" s="44">
        <f>IFERROR(tblMoeHistory[[#This Row],[ESD State and Local Amount]]/tblMoeHistory[[#This Row],[Child Count]],0)</f>
        <v>0</v>
      </c>
      <c r="L2444">
        <f>IFERROR(tblMoeHistory[[#This Row],[State and Local Total Amount]]/tblMoeHistory[[#This Row],[Child Count]],0)</f>
        <v>12663.802210526323</v>
      </c>
      <c r="N2444" t="str">
        <f t="shared" si="5"/>
        <v>Met</v>
      </c>
      <c r="Q2444">
        <f>tblMoeHistory[[#This Row],[Amount of IDEA Part B, Section 611 award]]+tblMoeHistory[[#This Row],[Amount of IDEA Part B, Section 619 award]]</f>
        <v>0</v>
      </c>
      <c r="U24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4" t="str">
        <f>IF(OR(IFERROR(SEARCH("Met",tblMoeHistory[[#This Row],[State and Local Per Capita Result]]),0)&gt;0,IFERROR(SEARCH("Met",tblMoeHistory[[#This Row],[State and Local Total Result]]),0)&gt;0),"Met","Not Met")</f>
        <v>Met</v>
      </c>
    </row>
    <row r="2445" spans="1:22" x14ac:dyDescent="0.35">
      <c r="A2445" t="s">
        <v>101</v>
      </c>
      <c r="B2445">
        <v>2239</v>
      </c>
      <c r="C2445" t="s">
        <v>2108</v>
      </c>
      <c r="D2445">
        <v>2714</v>
      </c>
      <c r="E2445">
        <v>42642510.900000036</v>
      </c>
      <c r="F2445">
        <v>4590075</v>
      </c>
      <c r="G2445">
        <f>tblMoeHistory[[#This Row],[LEA State and Local Amount]]+tblMoeHistory[[#This Row],[ESD State and Local Amount]]</f>
        <v>47232585.900000036</v>
      </c>
      <c r="J2445">
        <f>IFERROR(tblMoeHistory[[#This Row],[LEA State and Local Amount]]/tblMoeHistory[[#This Row],[Child Count]],0)</f>
        <v>15712.052652910847</v>
      </c>
      <c r="K2445" s="44">
        <f>IFERROR(tblMoeHistory[[#This Row],[ESD State and Local Amount]]/tblMoeHistory[[#This Row],[Child Count]],0)</f>
        <v>1691.2582903463522</v>
      </c>
      <c r="L2445">
        <f>IFERROR(tblMoeHistory[[#This Row],[State and Local Total Amount]]/tblMoeHistory[[#This Row],[Child Count]],0)</f>
        <v>17403.310943257198</v>
      </c>
      <c r="N2445" t="str">
        <f t="shared" si="5"/>
        <v>Met</v>
      </c>
      <c r="Q2445">
        <f>tblMoeHistory[[#This Row],[Amount of IDEA Part B, Section 611 award]]+tblMoeHistory[[#This Row],[Amount of IDEA Part B, Section 619 award]]</f>
        <v>0</v>
      </c>
      <c r="U24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5" t="str">
        <f>IF(OR(IFERROR(SEARCH("Met",tblMoeHistory[[#This Row],[State and Local Per Capita Result]]),0)&gt;0,IFERROR(SEARCH("Met",tblMoeHistory[[#This Row],[State and Local Total Result]]),0)&gt;0),"Met","Not Met")</f>
        <v>Met</v>
      </c>
    </row>
    <row r="2446" spans="1:22" x14ac:dyDescent="0.35">
      <c r="A2446" t="s">
        <v>102</v>
      </c>
      <c r="B2446">
        <v>2024</v>
      </c>
      <c r="C2446" t="s">
        <v>2108</v>
      </c>
      <c r="D2446">
        <v>502</v>
      </c>
      <c r="E2446">
        <v>5291104.78</v>
      </c>
      <c r="F2446">
        <v>0</v>
      </c>
      <c r="G2446">
        <f>tblMoeHistory[[#This Row],[LEA State and Local Amount]]+tblMoeHistory[[#This Row],[ESD State and Local Amount]]</f>
        <v>5291104.78</v>
      </c>
      <c r="J2446">
        <f>IFERROR(tblMoeHistory[[#This Row],[LEA State and Local Amount]]/tblMoeHistory[[#This Row],[Child Count]],0)</f>
        <v>10540.049362549802</v>
      </c>
      <c r="K2446" s="44">
        <f>IFERROR(tblMoeHistory[[#This Row],[ESD State and Local Amount]]/tblMoeHistory[[#This Row],[Child Count]],0)</f>
        <v>0</v>
      </c>
      <c r="L2446">
        <f>IFERROR(tblMoeHistory[[#This Row],[State and Local Total Amount]]/tblMoeHistory[[#This Row],[Child Count]],0)</f>
        <v>10540.049362549802</v>
      </c>
      <c r="N2446" t="str">
        <f t="shared" si="5"/>
        <v>Met</v>
      </c>
      <c r="Q2446">
        <f>tblMoeHistory[[#This Row],[Amount of IDEA Part B, Section 611 award]]+tblMoeHistory[[#This Row],[Amount of IDEA Part B, Section 619 award]]</f>
        <v>0</v>
      </c>
      <c r="U24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6" t="str">
        <f>IF(OR(IFERROR(SEARCH("Met",tblMoeHistory[[#This Row],[State and Local Per Capita Result]]),0)&gt;0,IFERROR(SEARCH("Met",tblMoeHistory[[#This Row],[State and Local Total Result]]),0)&gt;0),"Met","Not Met")</f>
        <v>Met</v>
      </c>
    </row>
    <row r="2447" spans="1:22" x14ac:dyDescent="0.35">
      <c r="A2447" t="s">
        <v>103</v>
      </c>
      <c r="B2447">
        <v>1895</v>
      </c>
      <c r="C2447" t="s">
        <v>2108</v>
      </c>
      <c r="D2447">
        <v>8</v>
      </c>
      <c r="E2447">
        <v>87041.739999999991</v>
      </c>
      <c r="F2447">
        <v>62421.169999999991</v>
      </c>
      <c r="G2447">
        <f>tblMoeHistory[[#This Row],[LEA State and Local Amount]]+tblMoeHistory[[#This Row],[ESD State and Local Amount]]</f>
        <v>149462.90999999997</v>
      </c>
      <c r="J2447">
        <f>IFERROR(tblMoeHistory[[#This Row],[LEA State and Local Amount]]/tblMoeHistory[[#This Row],[Child Count]],0)</f>
        <v>10880.217499999999</v>
      </c>
      <c r="K2447" s="44">
        <f>IFERROR(tblMoeHistory[[#This Row],[ESD State and Local Amount]]/tblMoeHistory[[#This Row],[Child Count]],0)</f>
        <v>7802.6462499999989</v>
      </c>
      <c r="L2447">
        <f>IFERROR(tblMoeHistory[[#This Row],[State and Local Total Amount]]/tblMoeHistory[[#This Row],[Child Count]],0)</f>
        <v>18682.863749999997</v>
      </c>
      <c r="N2447" t="str">
        <f t="shared" si="5"/>
        <v>Met</v>
      </c>
      <c r="Q2447">
        <f>tblMoeHistory[[#This Row],[Amount of IDEA Part B, Section 611 award]]+tblMoeHistory[[#This Row],[Amount of IDEA Part B, Section 619 award]]</f>
        <v>0</v>
      </c>
      <c r="U24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7" t="str">
        <f>IF(OR(IFERROR(SEARCH("Met",tblMoeHistory[[#This Row],[State and Local Per Capita Result]]),0)&gt;0,IFERROR(SEARCH("Met",tblMoeHistory[[#This Row],[State and Local Total Result]]),0)&gt;0),"Met","Not Met")</f>
        <v>Met</v>
      </c>
    </row>
    <row r="2448" spans="1:22" x14ac:dyDescent="0.35">
      <c r="A2448" t="s">
        <v>104</v>
      </c>
      <c r="B2448">
        <v>2215</v>
      </c>
      <c r="C2448" t="s">
        <v>2108</v>
      </c>
      <c r="D2448">
        <v>29</v>
      </c>
      <c r="E2448">
        <v>160964.74</v>
      </c>
      <c r="F2448">
        <v>76945.06</v>
      </c>
      <c r="G2448">
        <f>tblMoeHistory[[#This Row],[LEA State and Local Amount]]+tblMoeHistory[[#This Row],[ESD State and Local Amount]]</f>
        <v>237909.8</v>
      </c>
      <c r="J2448">
        <f>IFERROR(tblMoeHistory[[#This Row],[LEA State and Local Amount]]/tblMoeHistory[[#This Row],[Child Count]],0)</f>
        <v>5550.5082758620683</v>
      </c>
      <c r="K2448" s="44">
        <f>IFERROR(tblMoeHistory[[#This Row],[ESD State and Local Amount]]/tblMoeHistory[[#This Row],[Child Count]],0)</f>
        <v>2653.2779310344827</v>
      </c>
      <c r="L2448">
        <f>IFERROR(tblMoeHistory[[#This Row],[State and Local Total Amount]]/tblMoeHistory[[#This Row],[Child Count]],0)</f>
        <v>8203.7862068965514</v>
      </c>
      <c r="N2448" t="str">
        <f t="shared" si="5"/>
        <v>Met</v>
      </c>
      <c r="Q2448">
        <f>tblMoeHistory[[#This Row],[Amount of IDEA Part B, Section 611 award]]+tblMoeHistory[[#This Row],[Amount of IDEA Part B, Section 619 award]]</f>
        <v>0</v>
      </c>
      <c r="U24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8" t="str">
        <f>IF(OR(IFERROR(SEARCH("Met",tblMoeHistory[[#This Row],[State and Local Per Capita Result]]),0)&gt;0,IFERROR(SEARCH("Met",tblMoeHistory[[#This Row],[State and Local Total Result]]),0)&gt;0),"Met","Not Met")</f>
        <v>Met</v>
      </c>
    </row>
    <row r="2449" spans="1:22" x14ac:dyDescent="0.35">
      <c r="A2449" t="s">
        <v>105</v>
      </c>
      <c r="B2449">
        <v>3997</v>
      </c>
      <c r="C2449" t="s">
        <v>2108</v>
      </c>
      <c r="D2449">
        <v>21</v>
      </c>
      <c r="E2449">
        <v>176842.49000000002</v>
      </c>
      <c r="F2449">
        <v>60050.729999999996</v>
      </c>
      <c r="G2449">
        <f>tblMoeHistory[[#This Row],[LEA State and Local Amount]]+tblMoeHistory[[#This Row],[ESD State and Local Amount]]</f>
        <v>236893.22000000003</v>
      </c>
      <c r="J2449">
        <f>IFERROR(tblMoeHistory[[#This Row],[LEA State and Local Amount]]/tblMoeHistory[[#This Row],[Child Count]],0)</f>
        <v>8421.0709523809528</v>
      </c>
      <c r="K2449" s="44">
        <f>IFERROR(tblMoeHistory[[#This Row],[ESD State and Local Amount]]/tblMoeHistory[[#This Row],[Child Count]],0)</f>
        <v>2859.5585714285712</v>
      </c>
      <c r="L2449">
        <f>IFERROR(tblMoeHistory[[#This Row],[State and Local Total Amount]]/tblMoeHistory[[#This Row],[Child Count]],0)</f>
        <v>11280.629523809524</v>
      </c>
      <c r="N2449" t="str">
        <f t="shared" si="5"/>
        <v>Did Not Meet</v>
      </c>
      <c r="Q2449">
        <f>tblMoeHistory[[#This Row],[Amount of IDEA Part B, Section 611 award]]+tblMoeHistory[[#This Row],[Amount of IDEA Part B, Section 619 award]]</f>
        <v>0</v>
      </c>
      <c r="U24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9" t="str">
        <f>IF(OR(IFERROR(SEARCH("Met",tblMoeHistory[[#This Row],[State and Local Per Capita Result]]),0)&gt;0,IFERROR(SEARCH("Met",tblMoeHistory[[#This Row],[State and Local Total Result]]),0)&gt;0),"Met","Not Met")</f>
        <v>Not Met</v>
      </c>
    </row>
    <row r="2450" spans="1:22" x14ac:dyDescent="0.35">
      <c r="A2450" t="s">
        <v>106</v>
      </c>
      <c r="B2450">
        <v>2053</v>
      </c>
      <c r="C2450" t="s">
        <v>2108</v>
      </c>
      <c r="D2450">
        <v>477</v>
      </c>
      <c r="E2450">
        <v>4942242.3099999987</v>
      </c>
      <c r="F2450">
        <v>1224521.6099999999</v>
      </c>
      <c r="G2450">
        <f>tblMoeHistory[[#This Row],[LEA State and Local Amount]]+tblMoeHistory[[#This Row],[ESD State and Local Amount]]</f>
        <v>6166763.9199999981</v>
      </c>
      <c r="J2450">
        <f>IFERROR(tblMoeHistory[[#This Row],[LEA State and Local Amount]]/tblMoeHistory[[#This Row],[Child Count]],0)</f>
        <v>10361.094989517816</v>
      </c>
      <c r="K2450" s="44">
        <f>IFERROR(tblMoeHistory[[#This Row],[ESD State and Local Amount]]/tblMoeHistory[[#This Row],[Child Count]],0)</f>
        <v>2567.1312578616348</v>
      </c>
      <c r="L2450">
        <f>IFERROR(tblMoeHistory[[#This Row],[State and Local Total Amount]]/tblMoeHistory[[#This Row],[Child Count]],0)</f>
        <v>12928.226247379451</v>
      </c>
      <c r="N2450" t="str">
        <f t="shared" si="5"/>
        <v>Met</v>
      </c>
      <c r="Q2450">
        <f>tblMoeHistory[[#This Row],[Amount of IDEA Part B, Section 611 award]]+tblMoeHistory[[#This Row],[Amount of IDEA Part B, Section 619 award]]</f>
        <v>0</v>
      </c>
      <c r="U24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0" t="str">
        <f>IF(OR(IFERROR(SEARCH("Met",tblMoeHistory[[#This Row],[State and Local Per Capita Result]]),0)&gt;0,IFERROR(SEARCH("Met",tblMoeHistory[[#This Row],[State and Local Total Result]]),0)&gt;0),"Met","Not Met")</f>
        <v>Met</v>
      </c>
    </row>
    <row r="2451" spans="1:22" x14ac:dyDescent="0.35">
      <c r="A2451" t="s">
        <v>107</v>
      </c>
      <c r="B2451">
        <v>2140</v>
      </c>
      <c r="C2451" t="s">
        <v>2108</v>
      </c>
      <c r="D2451">
        <v>112</v>
      </c>
      <c r="E2451">
        <v>1283306.2399999998</v>
      </c>
      <c r="F2451">
        <v>232116.83000000002</v>
      </c>
      <c r="G2451">
        <f>tblMoeHistory[[#This Row],[LEA State and Local Amount]]+tblMoeHistory[[#This Row],[ESD State and Local Amount]]</f>
        <v>1515423.0699999998</v>
      </c>
      <c r="J2451">
        <f>IFERROR(tblMoeHistory[[#This Row],[LEA State and Local Amount]]/tblMoeHistory[[#This Row],[Child Count]],0)</f>
        <v>11458.091428571426</v>
      </c>
      <c r="K2451" s="44">
        <f>IFERROR(tblMoeHistory[[#This Row],[ESD State and Local Amount]]/tblMoeHistory[[#This Row],[Child Count]],0)</f>
        <v>2072.4716964285717</v>
      </c>
      <c r="L2451">
        <f>IFERROR(tblMoeHistory[[#This Row],[State and Local Total Amount]]/tblMoeHistory[[#This Row],[Child Count]],0)</f>
        <v>13530.563124999999</v>
      </c>
      <c r="N2451" t="str">
        <f t="shared" si="5"/>
        <v>Did Not Meet</v>
      </c>
      <c r="Q2451">
        <f>tblMoeHistory[[#This Row],[Amount of IDEA Part B, Section 611 award]]+tblMoeHistory[[#This Row],[Amount of IDEA Part B, Section 619 award]]</f>
        <v>0</v>
      </c>
      <c r="U24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1" t="str">
        <f>IF(OR(IFERROR(SEARCH("Met",tblMoeHistory[[#This Row],[State and Local Per Capita Result]]),0)&gt;0,IFERROR(SEARCH("Met",tblMoeHistory[[#This Row],[State and Local Total Result]]),0)&gt;0),"Met","Not Met")</f>
        <v>Not Met</v>
      </c>
    </row>
    <row r="2452" spans="1:22" x14ac:dyDescent="0.35">
      <c r="A2452" t="s">
        <v>108</v>
      </c>
      <c r="B2452">
        <v>1934</v>
      </c>
      <c r="C2452" t="s">
        <v>2108</v>
      </c>
      <c r="D2452">
        <v>25</v>
      </c>
      <c r="E2452">
        <v>364573.31000000006</v>
      </c>
      <c r="F2452">
        <v>81379</v>
      </c>
      <c r="G2452">
        <f>tblMoeHistory[[#This Row],[LEA State and Local Amount]]+tblMoeHistory[[#This Row],[ESD State and Local Amount]]</f>
        <v>445952.31000000006</v>
      </c>
      <c r="J2452">
        <f>IFERROR(tblMoeHistory[[#This Row],[LEA State and Local Amount]]/tblMoeHistory[[#This Row],[Child Count]],0)</f>
        <v>14582.932400000002</v>
      </c>
      <c r="K2452" s="44">
        <f>IFERROR(tblMoeHistory[[#This Row],[ESD State and Local Amount]]/tblMoeHistory[[#This Row],[Child Count]],0)</f>
        <v>3255.16</v>
      </c>
      <c r="L2452">
        <f>IFERROR(tblMoeHistory[[#This Row],[State and Local Total Amount]]/tblMoeHistory[[#This Row],[Child Count]],0)</f>
        <v>17838.092400000001</v>
      </c>
      <c r="N2452" t="str">
        <f t="shared" si="5"/>
        <v>Met</v>
      </c>
      <c r="Q2452">
        <f>tblMoeHistory[[#This Row],[Amount of IDEA Part B, Section 611 award]]+tblMoeHistory[[#This Row],[Amount of IDEA Part B, Section 619 award]]</f>
        <v>0</v>
      </c>
      <c r="U24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2" t="str">
        <f>IF(OR(IFERROR(SEARCH("Met",tblMoeHistory[[#This Row],[State and Local Per Capita Result]]),0)&gt;0,IFERROR(SEARCH("Met",tblMoeHistory[[#This Row],[State and Local Total Result]]),0)&gt;0),"Met","Not Met")</f>
        <v>Met</v>
      </c>
    </row>
    <row r="2453" spans="1:22" x14ac:dyDescent="0.35">
      <c r="A2453" t="s">
        <v>109</v>
      </c>
      <c r="B2453">
        <v>2008</v>
      </c>
      <c r="C2453" t="s">
        <v>2108</v>
      </c>
      <c r="D2453">
        <v>72</v>
      </c>
      <c r="E2453">
        <v>1164473.8999999999</v>
      </c>
      <c r="F2453">
        <v>133839.73000000001</v>
      </c>
      <c r="G2453">
        <f>tblMoeHistory[[#This Row],[LEA State and Local Amount]]+tblMoeHistory[[#This Row],[ESD State and Local Amount]]</f>
        <v>1298313.6299999999</v>
      </c>
      <c r="J2453">
        <f>IFERROR(tblMoeHistory[[#This Row],[LEA State and Local Amount]]/tblMoeHistory[[#This Row],[Child Count]],0)</f>
        <v>16173.24861111111</v>
      </c>
      <c r="K2453" s="44">
        <f>IFERROR(tblMoeHistory[[#This Row],[ESD State and Local Amount]]/tblMoeHistory[[#This Row],[Child Count]],0)</f>
        <v>1858.8851388888891</v>
      </c>
      <c r="L2453">
        <f>IFERROR(tblMoeHistory[[#This Row],[State and Local Total Amount]]/tblMoeHistory[[#This Row],[Child Count]],0)</f>
        <v>18032.133749999997</v>
      </c>
      <c r="N2453" t="str">
        <f t="shared" si="5"/>
        <v>Met</v>
      </c>
      <c r="Q2453">
        <f>tblMoeHistory[[#This Row],[Amount of IDEA Part B, Section 611 award]]+tblMoeHistory[[#This Row],[Amount of IDEA Part B, Section 619 award]]</f>
        <v>0</v>
      </c>
      <c r="U24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3" t="str">
        <f>IF(OR(IFERROR(SEARCH("Met",tblMoeHistory[[#This Row],[State and Local Per Capita Result]]),0)&gt;0,IFERROR(SEARCH("Met",tblMoeHistory[[#This Row],[State and Local Total Result]]),0)&gt;0),"Met","Not Met")</f>
        <v>Met</v>
      </c>
    </row>
    <row r="2454" spans="1:22" x14ac:dyDescent="0.35">
      <c r="A2454" t="s">
        <v>110</v>
      </c>
      <c r="B2454">
        <v>2107</v>
      </c>
      <c r="C2454" t="s">
        <v>2108</v>
      </c>
      <c r="D2454">
        <v>4</v>
      </c>
      <c r="E2454">
        <v>26392.270000000004</v>
      </c>
      <c r="F2454">
        <v>90955.58</v>
      </c>
      <c r="G2454">
        <f>tblMoeHistory[[#This Row],[LEA State and Local Amount]]+tblMoeHistory[[#This Row],[ESD State and Local Amount]]</f>
        <v>117347.85</v>
      </c>
      <c r="J2454">
        <f>IFERROR(tblMoeHistory[[#This Row],[LEA State and Local Amount]]/tblMoeHistory[[#This Row],[Child Count]],0)</f>
        <v>6598.067500000001</v>
      </c>
      <c r="K2454" s="44">
        <f>IFERROR(tblMoeHistory[[#This Row],[ESD State and Local Amount]]/tblMoeHistory[[#This Row],[Child Count]],0)</f>
        <v>22738.895</v>
      </c>
      <c r="L2454">
        <f>IFERROR(tblMoeHistory[[#This Row],[State and Local Total Amount]]/tblMoeHistory[[#This Row],[Child Count]],0)</f>
        <v>29336.962500000001</v>
      </c>
      <c r="N2454" t="str">
        <f t="shared" si="5"/>
        <v>Met</v>
      </c>
      <c r="Q2454">
        <f>tblMoeHistory[[#This Row],[Amount of IDEA Part B, Section 611 award]]+tblMoeHistory[[#This Row],[Amount of IDEA Part B, Section 619 award]]</f>
        <v>0</v>
      </c>
      <c r="U24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4" t="str">
        <f>IF(OR(IFERROR(SEARCH("Met",tblMoeHistory[[#This Row],[State and Local Per Capita Result]]),0)&gt;0,IFERROR(SEARCH("Met",tblMoeHistory[[#This Row],[State and Local Total Result]]),0)&gt;0),"Met","Not Met")</f>
        <v>Met</v>
      </c>
    </row>
    <row r="2455" spans="1:22" x14ac:dyDescent="0.35">
      <c r="A2455" t="s">
        <v>111</v>
      </c>
      <c r="B2455">
        <v>2219</v>
      </c>
      <c r="C2455" t="s">
        <v>2108</v>
      </c>
      <c r="D2455">
        <v>27</v>
      </c>
      <c r="E2455">
        <v>108792.33</v>
      </c>
      <c r="F2455">
        <v>155223.87</v>
      </c>
      <c r="G2455">
        <f>tblMoeHistory[[#This Row],[LEA State and Local Amount]]+tblMoeHistory[[#This Row],[ESD State and Local Amount]]</f>
        <v>264016.2</v>
      </c>
      <c r="J2455">
        <f>IFERROR(tblMoeHistory[[#This Row],[LEA State and Local Amount]]/tblMoeHistory[[#This Row],[Child Count]],0)</f>
        <v>4029.3455555555556</v>
      </c>
      <c r="K2455" s="44">
        <f>IFERROR(tblMoeHistory[[#This Row],[ESD State and Local Amount]]/tblMoeHistory[[#This Row],[Child Count]],0)</f>
        <v>5749.0322222222221</v>
      </c>
      <c r="L2455">
        <f>IFERROR(tblMoeHistory[[#This Row],[State and Local Total Amount]]/tblMoeHistory[[#This Row],[Child Count]],0)</f>
        <v>9778.3777777777777</v>
      </c>
      <c r="N2455" t="str">
        <f t="shared" si="5"/>
        <v>Met</v>
      </c>
      <c r="Q2455">
        <f>tblMoeHistory[[#This Row],[Amount of IDEA Part B, Section 611 award]]+tblMoeHistory[[#This Row],[Amount of IDEA Part B, Section 619 award]]</f>
        <v>0</v>
      </c>
      <c r="U24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5" t="str">
        <f>IF(OR(IFERROR(SEARCH("Met",tblMoeHistory[[#This Row],[State and Local Per Capita Result]]),0)&gt;0,IFERROR(SEARCH("Met",tblMoeHistory[[#This Row],[State and Local Total Result]]),0)&gt;0),"Met","Not Met")</f>
        <v>Met</v>
      </c>
    </row>
    <row r="2456" spans="1:22" x14ac:dyDescent="0.35">
      <c r="A2456" t="s">
        <v>112</v>
      </c>
      <c r="B2456">
        <v>2091</v>
      </c>
      <c r="C2456" t="s">
        <v>2108</v>
      </c>
      <c r="D2456">
        <v>278</v>
      </c>
      <c r="E2456">
        <v>2031059.4300000002</v>
      </c>
      <c r="F2456">
        <v>792907</v>
      </c>
      <c r="G2456">
        <f>tblMoeHistory[[#This Row],[LEA State and Local Amount]]+tblMoeHistory[[#This Row],[ESD State and Local Amount]]</f>
        <v>2823966.43</v>
      </c>
      <c r="J2456">
        <f>IFERROR(tblMoeHistory[[#This Row],[LEA State and Local Amount]]/tblMoeHistory[[#This Row],[Child Count]],0)</f>
        <v>7305.9691726618712</v>
      </c>
      <c r="K2456" s="44">
        <f>IFERROR(tblMoeHistory[[#This Row],[ESD State and Local Amount]]/tblMoeHistory[[#This Row],[Child Count]],0)</f>
        <v>2852.18345323741</v>
      </c>
      <c r="L2456">
        <f>IFERROR(tblMoeHistory[[#This Row],[State and Local Total Amount]]/tblMoeHistory[[#This Row],[Child Count]],0)</f>
        <v>10158.152625899282</v>
      </c>
      <c r="N2456" t="str">
        <f t="shared" si="5"/>
        <v>Did Not Meet</v>
      </c>
      <c r="Q2456">
        <f>tblMoeHistory[[#This Row],[Amount of IDEA Part B, Section 611 award]]+tblMoeHistory[[#This Row],[Amount of IDEA Part B, Section 619 award]]</f>
        <v>0</v>
      </c>
      <c r="U24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6" t="str">
        <f>IF(OR(IFERROR(SEARCH("Met",tblMoeHistory[[#This Row],[State and Local Per Capita Result]]),0)&gt;0,IFERROR(SEARCH("Met",tblMoeHistory[[#This Row],[State and Local Total Result]]),0)&gt;0),"Met","Not Met")</f>
        <v>Not Met</v>
      </c>
    </row>
    <row r="2457" spans="1:22" x14ac:dyDescent="0.35">
      <c r="A2457" t="s">
        <v>113</v>
      </c>
      <c r="B2457">
        <v>2109</v>
      </c>
      <c r="C2457" t="s">
        <v>2108</v>
      </c>
      <c r="D2457">
        <v>0</v>
      </c>
      <c r="E2457">
        <v>0</v>
      </c>
      <c r="F2457">
        <v>11601.070000000002</v>
      </c>
      <c r="G2457">
        <f>tblMoeHistory[[#This Row],[LEA State and Local Amount]]+tblMoeHistory[[#This Row],[ESD State and Local Amount]]</f>
        <v>11601.070000000002</v>
      </c>
      <c r="J2457">
        <f>IFERROR(tblMoeHistory[[#This Row],[LEA State and Local Amount]]/tblMoeHistory[[#This Row],[Child Count]],0)</f>
        <v>0</v>
      </c>
      <c r="K2457" s="44">
        <f>IFERROR(tblMoeHistory[[#This Row],[ESD State and Local Amount]]/tblMoeHistory[[#This Row],[Child Count]],0)</f>
        <v>0</v>
      </c>
      <c r="L2457">
        <f>IFERROR(tblMoeHistory[[#This Row],[State and Local Total Amount]]/tblMoeHistory[[#This Row],[Child Count]],0)</f>
        <v>0</v>
      </c>
      <c r="N2457" t="str">
        <f t="shared" si="5"/>
        <v>Met</v>
      </c>
      <c r="Q2457">
        <f>tblMoeHistory[[#This Row],[Amount of IDEA Part B, Section 611 award]]+tblMoeHistory[[#This Row],[Amount of IDEA Part B, Section 619 award]]</f>
        <v>0</v>
      </c>
      <c r="U24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7" t="str">
        <f>IF(OR(IFERROR(SEARCH("Met",tblMoeHistory[[#This Row],[State and Local Per Capita Result]]),0)&gt;0,IFERROR(SEARCH("Met",tblMoeHistory[[#This Row],[State and Local Total Result]]),0)&gt;0),"Met","Not Met")</f>
        <v>Met</v>
      </c>
    </row>
    <row r="2458" spans="1:22" x14ac:dyDescent="0.35">
      <c r="A2458" t="s">
        <v>114</v>
      </c>
      <c r="B2458">
        <v>2057</v>
      </c>
      <c r="C2458" t="s">
        <v>2108</v>
      </c>
      <c r="D2458">
        <v>1082</v>
      </c>
      <c r="E2458">
        <v>9734175.6199999973</v>
      </c>
      <c r="F2458">
        <v>548591.42999999993</v>
      </c>
      <c r="G2458">
        <f>tblMoeHistory[[#This Row],[LEA State and Local Amount]]+tblMoeHistory[[#This Row],[ESD State and Local Amount]]</f>
        <v>10282767.049999997</v>
      </c>
      <c r="J2458">
        <f>IFERROR(tblMoeHistory[[#This Row],[LEA State and Local Amount]]/tblMoeHistory[[#This Row],[Child Count]],0)</f>
        <v>8996.4654528650626</v>
      </c>
      <c r="K2458" s="44">
        <f>IFERROR(tblMoeHistory[[#This Row],[ESD State and Local Amount]]/tblMoeHistory[[#This Row],[Child Count]],0)</f>
        <v>507.01610905730121</v>
      </c>
      <c r="L2458">
        <f>IFERROR(tblMoeHistory[[#This Row],[State and Local Total Amount]]/tblMoeHistory[[#This Row],[Child Count]],0)</f>
        <v>9503.4815619223627</v>
      </c>
      <c r="N2458" t="str">
        <f t="shared" si="5"/>
        <v>Met</v>
      </c>
      <c r="Q2458">
        <f>tblMoeHistory[[#This Row],[Amount of IDEA Part B, Section 611 award]]+tblMoeHistory[[#This Row],[Amount of IDEA Part B, Section 619 award]]</f>
        <v>0</v>
      </c>
      <c r="U24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8" t="str">
        <f>IF(OR(IFERROR(SEARCH("Met",tblMoeHistory[[#This Row],[State and Local Per Capita Result]]),0)&gt;0,IFERROR(SEARCH("Met",tblMoeHistory[[#This Row],[State and Local Total Result]]),0)&gt;0),"Met","Not Met")</f>
        <v>Met</v>
      </c>
    </row>
    <row r="2459" spans="1:22" x14ac:dyDescent="0.35">
      <c r="A2459" t="s">
        <v>115</v>
      </c>
      <c r="B2459">
        <v>2056</v>
      </c>
      <c r="C2459" t="s">
        <v>2108</v>
      </c>
      <c r="D2459">
        <v>430</v>
      </c>
      <c r="E2459">
        <v>4054368.2800000012</v>
      </c>
      <c r="F2459">
        <v>457578.13000000006</v>
      </c>
      <c r="G2459">
        <f>tblMoeHistory[[#This Row],[LEA State and Local Amount]]+tblMoeHistory[[#This Row],[ESD State and Local Amount]]</f>
        <v>4511946.4100000011</v>
      </c>
      <c r="J2459">
        <f>IFERROR(tblMoeHistory[[#This Row],[LEA State and Local Amount]]/tblMoeHistory[[#This Row],[Child Count]],0)</f>
        <v>9428.7634418604684</v>
      </c>
      <c r="K2459" s="44">
        <f>IFERROR(tblMoeHistory[[#This Row],[ESD State and Local Amount]]/tblMoeHistory[[#This Row],[Child Count]],0)</f>
        <v>1064.1351860465118</v>
      </c>
      <c r="L2459">
        <f>IFERROR(tblMoeHistory[[#This Row],[State and Local Total Amount]]/tblMoeHistory[[#This Row],[Child Count]],0)</f>
        <v>10492.89862790698</v>
      </c>
      <c r="N2459" t="str">
        <f t="shared" si="5"/>
        <v>Met</v>
      </c>
      <c r="Q2459">
        <f>tblMoeHistory[[#This Row],[Amount of IDEA Part B, Section 611 award]]+tblMoeHistory[[#This Row],[Amount of IDEA Part B, Section 619 award]]</f>
        <v>0</v>
      </c>
      <c r="U24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9" t="str">
        <f>IF(OR(IFERROR(SEARCH("Met",tblMoeHistory[[#This Row],[State and Local Per Capita Result]]),0)&gt;0,IFERROR(SEARCH("Met",tblMoeHistory[[#This Row],[State and Local Total Result]]),0)&gt;0),"Met","Not Met")</f>
        <v>Met</v>
      </c>
    </row>
    <row r="2460" spans="1:22" x14ac:dyDescent="0.35">
      <c r="A2460" t="s">
        <v>116</v>
      </c>
      <c r="B2460">
        <v>2262</v>
      </c>
      <c r="C2460" t="s">
        <v>2108</v>
      </c>
      <c r="D2460">
        <v>99</v>
      </c>
      <c r="E2460">
        <v>942127.41999999993</v>
      </c>
      <c r="F2460">
        <v>45411</v>
      </c>
      <c r="G2460">
        <f>tblMoeHistory[[#This Row],[LEA State and Local Amount]]+tblMoeHistory[[#This Row],[ESD State and Local Amount]]</f>
        <v>987538.41999999993</v>
      </c>
      <c r="J2460">
        <f>IFERROR(tblMoeHistory[[#This Row],[LEA State and Local Amount]]/tblMoeHistory[[#This Row],[Child Count]],0)</f>
        <v>9516.4385858585847</v>
      </c>
      <c r="K2460" s="44">
        <f>IFERROR(tblMoeHistory[[#This Row],[ESD State and Local Amount]]/tblMoeHistory[[#This Row],[Child Count]],0)</f>
        <v>458.69696969696969</v>
      </c>
      <c r="L2460">
        <f>IFERROR(tblMoeHistory[[#This Row],[State and Local Total Amount]]/tblMoeHistory[[#This Row],[Child Count]],0)</f>
        <v>9975.1355555555547</v>
      </c>
      <c r="N2460" t="str">
        <f t="shared" si="5"/>
        <v>Did Not Meet</v>
      </c>
      <c r="Q2460">
        <f>tblMoeHistory[[#This Row],[Amount of IDEA Part B, Section 611 award]]+tblMoeHistory[[#This Row],[Amount of IDEA Part B, Section 619 award]]</f>
        <v>0</v>
      </c>
      <c r="U24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0" t="str">
        <f>IF(OR(IFERROR(SEARCH("Met",tblMoeHistory[[#This Row],[State and Local Per Capita Result]]),0)&gt;0,IFERROR(SEARCH("Met",tblMoeHistory[[#This Row],[State and Local Total Result]]),0)&gt;0),"Met","Not Met")</f>
        <v>Not Met</v>
      </c>
    </row>
    <row r="2461" spans="1:22" x14ac:dyDescent="0.35">
      <c r="A2461" t="s">
        <v>117</v>
      </c>
      <c r="B2461">
        <v>2212</v>
      </c>
      <c r="C2461" t="s">
        <v>2108</v>
      </c>
      <c r="D2461">
        <v>391</v>
      </c>
      <c r="E2461">
        <v>3489904.91</v>
      </c>
      <c r="F2461">
        <v>781910</v>
      </c>
      <c r="G2461">
        <f>tblMoeHistory[[#This Row],[LEA State and Local Amount]]+tblMoeHistory[[#This Row],[ESD State and Local Amount]]</f>
        <v>4271814.91</v>
      </c>
      <c r="J2461">
        <f>IFERROR(tblMoeHistory[[#This Row],[LEA State and Local Amount]]/tblMoeHistory[[#This Row],[Child Count]],0)</f>
        <v>8925.5880051150907</v>
      </c>
      <c r="K2461" s="44">
        <f>IFERROR(tblMoeHistory[[#This Row],[ESD State and Local Amount]]/tblMoeHistory[[#This Row],[Child Count]],0)</f>
        <v>1999.7698209718669</v>
      </c>
      <c r="L2461">
        <f>IFERROR(tblMoeHistory[[#This Row],[State and Local Total Amount]]/tblMoeHistory[[#This Row],[Child Count]],0)</f>
        <v>10925.357826086956</v>
      </c>
      <c r="N2461" t="str">
        <f t="shared" si="5"/>
        <v>Did Not Meet</v>
      </c>
      <c r="Q2461">
        <f>tblMoeHistory[[#This Row],[Amount of IDEA Part B, Section 611 award]]+tblMoeHistory[[#This Row],[Amount of IDEA Part B, Section 619 award]]</f>
        <v>0</v>
      </c>
      <c r="U24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1" t="str">
        <f>IF(OR(IFERROR(SEARCH("Met",tblMoeHistory[[#This Row],[State and Local Per Capita Result]]),0)&gt;0,IFERROR(SEARCH("Met",tblMoeHistory[[#This Row],[State and Local Total Result]]),0)&gt;0),"Met","Not Met")</f>
        <v>Not Met</v>
      </c>
    </row>
    <row r="2462" spans="1:22" x14ac:dyDescent="0.35">
      <c r="A2462" t="s">
        <v>118</v>
      </c>
      <c r="B2462">
        <v>2059</v>
      </c>
      <c r="C2462" t="s">
        <v>2108</v>
      </c>
      <c r="D2462">
        <v>113</v>
      </c>
      <c r="E2462">
        <v>907147.7899999998</v>
      </c>
      <c r="F2462">
        <v>306293.17000000004</v>
      </c>
      <c r="G2462">
        <f>tblMoeHistory[[#This Row],[LEA State and Local Amount]]+tblMoeHistory[[#This Row],[ESD State and Local Amount]]</f>
        <v>1213440.96</v>
      </c>
      <c r="J2462">
        <f>IFERROR(tblMoeHistory[[#This Row],[LEA State and Local Amount]]/tblMoeHistory[[#This Row],[Child Count]],0)</f>
        <v>8027.8565486725647</v>
      </c>
      <c r="K2462" s="44">
        <f>IFERROR(tblMoeHistory[[#This Row],[ESD State and Local Amount]]/tblMoeHistory[[#This Row],[Child Count]],0)</f>
        <v>2710.559026548673</v>
      </c>
      <c r="L2462">
        <f>IFERROR(tblMoeHistory[[#This Row],[State and Local Total Amount]]/tblMoeHistory[[#This Row],[Child Count]],0)</f>
        <v>10738.415575221239</v>
      </c>
      <c r="N2462" t="str">
        <f t="shared" si="5"/>
        <v>Met</v>
      </c>
      <c r="Q2462">
        <f>tblMoeHistory[[#This Row],[Amount of IDEA Part B, Section 611 award]]+tblMoeHistory[[#This Row],[Amount of IDEA Part B, Section 619 award]]</f>
        <v>0</v>
      </c>
      <c r="U24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2" t="str">
        <f>IF(OR(IFERROR(SEARCH("Met",tblMoeHistory[[#This Row],[State and Local Per Capita Result]]),0)&gt;0,IFERROR(SEARCH("Met",tblMoeHistory[[#This Row],[State and Local Total Result]]),0)&gt;0),"Met","Not Met")</f>
        <v>Met</v>
      </c>
    </row>
    <row r="2463" spans="1:22" x14ac:dyDescent="0.35">
      <c r="A2463" t="s">
        <v>119</v>
      </c>
      <c r="B2463">
        <v>1923</v>
      </c>
      <c r="C2463" t="s">
        <v>2108</v>
      </c>
      <c r="D2463">
        <v>756</v>
      </c>
      <c r="E2463">
        <v>21940884.360000003</v>
      </c>
      <c r="F2463">
        <v>219120</v>
      </c>
      <c r="G2463">
        <f>tblMoeHistory[[#This Row],[LEA State and Local Amount]]+tblMoeHistory[[#This Row],[ESD State and Local Amount]]</f>
        <v>22160004.360000003</v>
      </c>
      <c r="J2463">
        <f>IFERROR(tblMoeHistory[[#This Row],[LEA State and Local Amount]]/tblMoeHistory[[#This Row],[Child Count]],0)</f>
        <v>29022.333809523814</v>
      </c>
      <c r="K2463" s="44">
        <f>IFERROR(tblMoeHistory[[#This Row],[ESD State and Local Amount]]/tblMoeHistory[[#This Row],[Child Count]],0)</f>
        <v>289.84126984126982</v>
      </c>
      <c r="L2463">
        <f>IFERROR(tblMoeHistory[[#This Row],[State and Local Total Amount]]/tblMoeHistory[[#This Row],[Child Count]],0)</f>
        <v>29312.175079365083</v>
      </c>
      <c r="N2463" t="str">
        <f t="shared" si="5"/>
        <v>Met</v>
      </c>
      <c r="Q2463">
        <f>tblMoeHistory[[#This Row],[Amount of IDEA Part B, Section 611 award]]+tblMoeHistory[[#This Row],[Amount of IDEA Part B, Section 619 award]]</f>
        <v>0</v>
      </c>
      <c r="U24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3" t="str">
        <f>IF(OR(IFERROR(SEARCH("Met",tblMoeHistory[[#This Row],[State and Local Per Capita Result]]),0)&gt;0,IFERROR(SEARCH("Met",tblMoeHistory[[#This Row],[State and Local Total Result]]),0)&gt;0),"Met","Not Met")</f>
        <v>Met</v>
      </c>
    </row>
    <row r="2464" spans="1:22" x14ac:dyDescent="0.35">
      <c r="A2464" t="s">
        <v>120</v>
      </c>
      <c r="B2464">
        <v>2101</v>
      </c>
      <c r="C2464" t="s">
        <v>2108</v>
      </c>
      <c r="D2464">
        <v>655</v>
      </c>
      <c r="E2464">
        <v>6858040.2200000044</v>
      </c>
      <c r="F2464">
        <v>996685</v>
      </c>
      <c r="G2464">
        <f>tblMoeHistory[[#This Row],[LEA State and Local Amount]]+tblMoeHistory[[#This Row],[ESD State and Local Amount]]</f>
        <v>7854725.2200000044</v>
      </c>
      <c r="J2464">
        <f>IFERROR(tblMoeHistory[[#This Row],[LEA State and Local Amount]]/tblMoeHistory[[#This Row],[Child Count]],0)</f>
        <v>10470.290412213748</v>
      </c>
      <c r="K2464" s="44">
        <f>IFERROR(tblMoeHistory[[#This Row],[ESD State and Local Amount]]/tblMoeHistory[[#This Row],[Child Count]],0)</f>
        <v>1521.6564885496184</v>
      </c>
      <c r="L2464">
        <f>IFERROR(tblMoeHistory[[#This Row],[State and Local Total Amount]]/tblMoeHistory[[#This Row],[Child Count]],0)</f>
        <v>11991.946900763365</v>
      </c>
      <c r="N2464" t="str">
        <f t="shared" si="5"/>
        <v>Met</v>
      </c>
      <c r="Q2464">
        <f>tblMoeHistory[[#This Row],[Amount of IDEA Part B, Section 611 award]]+tblMoeHistory[[#This Row],[Amount of IDEA Part B, Section 619 award]]</f>
        <v>0</v>
      </c>
      <c r="U24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4" t="str">
        <f>IF(OR(IFERROR(SEARCH("Met",tblMoeHistory[[#This Row],[State and Local Per Capita Result]]),0)&gt;0,IFERROR(SEARCH("Met",tblMoeHistory[[#This Row],[State and Local Total Result]]),0)&gt;0),"Met","Not Met")</f>
        <v>Met</v>
      </c>
    </row>
    <row r="2465" spans="1:22" x14ac:dyDescent="0.35">
      <c r="A2465" t="s">
        <v>121</v>
      </c>
      <c r="B2465">
        <v>2097</v>
      </c>
      <c r="C2465" t="s">
        <v>2108</v>
      </c>
      <c r="D2465">
        <v>699</v>
      </c>
      <c r="E2465">
        <v>8448071.6500000041</v>
      </c>
      <c r="F2465">
        <v>1067567</v>
      </c>
      <c r="G2465">
        <f>tblMoeHistory[[#This Row],[LEA State and Local Amount]]+tblMoeHistory[[#This Row],[ESD State and Local Amount]]</f>
        <v>9515638.6500000041</v>
      </c>
      <c r="J2465">
        <f>IFERROR(tblMoeHistory[[#This Row],[LEA State and Local Amount]]/tblMoeHistory[[#This Row],[Child Count]],0)</f>
        <v>12085.939413447788</v>
      </c>
      <c r="K2465" s="44">
        <f>IFERROR(tblMoeHistory[[#This Row],[ESD State and Local Amount]]/tblMoeHistory[[#This Row],[Child Count]],0)</f>
        <v>1527.277539341917</v>
      </c>
      <c r="L2465">
        <f>IFERROR(tblMoeHistory[[#This Row],[State and Local Total Amount]]/tblMoeHistory[[#This Row],[Child Count]],0)</f>
        <v>13613.216952789706</v>
      </c>
      <c r="N2465" t="str">
        <f t="shared" si="5"/>
        <v>Met</v>
      </c>
      <c r="Q2465">
        <f>tblMoeHistory[[#This Row],[Amount of IDEA Part B, Section 611 award]]+tblMoeHistory[[#This Row],[Amount of IDEA Part B, Section 619 award]]</f>
        <v>0</v>
      </c>
      <c r="U24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5" t="str">
        <f>IF(OR(IFERROR(SEARCH("Met",tblMoeHistory[[#This Row],[State and Local Per Capita Result]]),0)&gt;0,IFERROR(SEARCH("Met",tblMoeHistory[[#This Row],[State and Local Total Result]]),0)&gt;0),"Met","Not Met")</f>
        <v>Met</v>
      </c>
    </row>
    <row r="2466" spans="1:22" x14ac:dyDescent="0.35">
      <c r="A2466" t="s">
        <v>122</v>
      </c>
      <c r="B2466">
        <v>2012</v>
      </c>
      <c r="C2466" t="s">
        <v>2108</v>
      </c>
      <c r="D2466">
        <v>1</v>
      </c>
      <c r="E2466">
        <v>66.430000000000007</v>
      </c>
      <c r="F2466">
        <v>76476.069999999992</v>
      </c>
      <c r="G2466">
        <f>tblMoeHistory[[#This Row],[LEA State and Local Amount]]+tblMoeHistory[[#This Row],[ESD State and Local Amount]]</f>
        <v>76542.499999999985</v>
      </c>
      <c r="J2466">
        <f>IFERROR(tblMoeHistory[[#This Row],[LEA State and Local Amount]]/tblMoeHistory[[#This Row],[Child Count]],0)</f>
        <v>66.430000000000007</v>
      </c>
      <c r="K2466" s="44">
        <f>IFERROR(tblMoeHistory[[#This Row],[ESD State and Local Amount]]/tblMoeHistory[[#This Row],[Child Count]],0)</f>
        <v>76476.069999999992</v>
      </c>
      <c r="L2466">
        <f>IFERROR(tblMoeHistory[[#This Row],[State and Local Total Amount]]/tblMoeHistory[[#This Row],[Child Count]],0)</f>
        <v>76542.499999999985</v>
      </c>
      <c r="N2466" t="str">
        <f t="shared" si="5"/>
        <v>Met</v>
      </c>
      <c r="Q2466">
        <f>tblMoeHistory[[#This Row],[Amount of IDEA Part B, Section 611 award]]+tblMoeHistory[[#This Row],[Amount of IDEA Part B, Section 619 award]]</f>
        <v>0</v>
      </c>
      <c r="U24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6" t="str">
        <f>IF(OR(IFERROR(SEARCH("Met",tblMoeHistory[[#This Row],[State and Local Per Capita Result]]),0)&gt;0,IFERROR(SEARCH("Met",tblMoeHistory[[#This Row],[State and Local Total Result]]),0)&gt;0),"Met","Not Met")</f>
        <v>Met</v>
      </c>
    </row>
    <row r="2467" spans="1:22" x14ac:dyDescent="0.35">
      <c r="A2467" t="s">
        <v>123</v>
      </c>
      <c r="B2467">
        <v>2092</v>
      </c>
      <c r="C2467" t="s">
        <v>2108</v>
      </c>
      <c r="D2467">
        <v>121</v>
      </c>
      <c r="E2467">
        <v>651664.77999999991</v>
      </c>
      <c r="F2467">
        <v>325305</v>
      </c>
      <c r="G2467">
        <f>tblMoeHistory[[#This Row],[LEA State and Local Amount]]+tblMoeHistory[[#This Row],[ESD State and Local Amount]]</f>
        <v>976969.77999999991</v>
      </c>
      <c r="J2467">
        <f>IFERROR(tblMoeHistory[[#This Row],[LEA State and Local Amount]]/tblMoeHistory[[#This Row],[Child Count]],0)</f>
        <v>5385.6593388429746</v>
      </c>
      <c r="K2467" s="44">
        <f>IFERROR(tblMoeHistory[[#This Row],[ESD State and Local Amount]]/tblMoeHistory[[#This Row],[Child Count]],0)</f>
        <v>2688.4710743801652</v>
      </c>
      <c r="L2467">
        <f>IFERROR(tblMoeHistory[[#This Row],[State and Local Total Amount]]/tblMoeHistory[[#This Row],[Child Count]],0)</f>
        <v>8074.1304132231398</v>
      </c>
      <c r="N2467" t="str">
        <f t="shared" si="5"/>
        <v>Met</v>
      </c>
      <c r="Q2467">
        <f>tblMoeHistory[[#This Row],[Amount of IDEA Part B, Section 611 award]]+tblMoeHistory[[#This Row],[Amount of IDEA Part B, Section 619 award]]</f>
        <v>0</v>
      </c>
      <c r="U24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7" t="str">
        <f>IF(OR(IFERROR(SEARCH("Met",tblMoeHistory[[#This Row],[State and Local Per Capita Result]]),0)&gt;0,IFERROR(SEARCH("Met",tblMoeHistory[[#This Row],[State and Local Total Result]]),0)&gt;0),"Met","Not Met")</f>
        <v>Met</v>
      </c>
    </row>
    <row r="2468" spans="1:22" x14ac:dyDescent="0.35">
      <c r="A2468" t="s">
        <v>124</v>
      </c>
      <c r="B2468">
        <v>2112</v>
      </c>
      <c r="C2468" t="s">
        <v>2108</v>
      </c>
      <c r="D2468">
        <v>0</v>
      </c>
      <c r="E2468">
        <v>0</v>
      </c>
      <c r="F2468">
        <v>1017.6800000000001</v>
      </c>
      <c r="G2468">
        <f>tblMoeHistory[[#This Row],[LEA State and Local Amount]]+tblMoeHistory[[#This Row],[ESD State and Local Amount]]</f>
        <v>1017.6800000000001</v>
      </c>
      <c r="J2468">
        <f>IFERROR(tblMoeHistory[[#This Row],[LEA State and Local Amount]]/tblMoeHistory[[#This Row],[Child Count]],0)</f>
        <v>0</v>
      </c>
      <c r="K2468" s="44">
        <f>IFERROR(tblMoeHistory[[#This Row],[ESD State and Local Amount]]/tblMoeHistory[[#This Row],[Child Count]],0)</f>
        <v>0</v>
      </c>
      <c r="L2468">
        <f>IFERROR(tblMoeHistory[[#This Row],[State and Local Total Amount]]/tblMoeHistory[[#This Row],[Child Count]],0)</f>
        <v>0</v>
      </c>
      <c r="N2468" t="str">
        <f t="shared" si="5"/>
        <v>Met</v>
      </c>
      <c r="Q2468">
        <f>tblMoeHistory[[#This Row],[Amount of IDEA Part B, Section 611 award]]+tblMoeHistory[[#This Row],[Amount of IDEA Part B, Section 619 award]]</f>
        <v>0</v>
      </c>
      <c r="U24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8" t="str">
        <f>IF(OR(IFERROR(SEARCH("Met",tblMoeHistory[[#This Row],[State and Local Per Capita Result]]),0)&gt;0,IFERROR(SEARCH("Met",tblMoeHistory[[#This Row],[State and Local Total Result]]),0)&gt;0),"Met","Not Met")</f>
        <v>Met</v>
      </c>
    </row>
    <row r="2469" spans="1:22" x14ac:dyDescent="0.35">
      <c r="A2469" t="s">
        <v>125</v>
      </c>
      <c r="B2469">
        <v>2085</v>
      </c>
      <c r="C2469" t="s">
        <v>2108</v>
      </c>
      <c r="D2469">
        <v>26</v>
      </c>
      <c r="E2469">
        <v>334110.67</v>
      </c>
      <c r="F2469">
        <v>77253</v>
      </c>
      <c r="G2469">
        <f>tblMoeHistory[[#This Row],[LEA State and Local Amount]]+tblMoeHistory[[#This Row],[ESD State and Local Amount]]</f>
        <v>411363.67</v>
      </c>
      <c r="J2469">
        <f>IFERROR(tblMoeHistory[[#This Row],[LEA State and Local Amount]]/tblMoeHistory[[#This Row],[Child Count]],0)</f>
        <v>12850.410384615385</v>
      </c>
      <c r="K2469" s="44">
        <f>IFERROR(tblMoeHistory[[#This Row],[ESD State and Local Amount]]/tblMoeHistory[[#This Row],[Child Count]],0)</f>
        <v>2971.2692307692309</v>
      </c>
      <c r="L2469">
        <f>IFERROR(tblMoeHistory[[#This Row],[State and Local Total Amount]]/tblMoeHistory[[#This Row],[Child Count]],0)</f>
        <v>15821.679615384615</v>
      </c>
      <c r="N2469" t="str">
        <f t="shared" si="5"/>
        <v>Did Not Meet</v>
      </c>
      <c r="Q2469">
        <f>tblMoeHistory[[#This Row],[Amount of IDEA Part B, Section 611 award]]+tblMoeHistory[[#This Row],[Amount of IDEA Part B, Section 619 award]]</f>
        <v>0</v>
      </c>
      <c r="U24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9" t="str">
        <f>IF(OR(IFERROR(SEARCH("Met",tblMoeHistory[[#This Row],[State and Local Per Capita Result]]),0)&gt;0,IFERROR(SEARCH("Met",tblMoeHistory[[#This Row],[State and Local Total Result]]),0)&gt;0),"Met","Not Met")</f>
        <v>Not Met</v>
      </c>
    </row>
    <row r="2470" spans="1:22" x14ac:dyDescent="0.35">
      <c r="A2470" t="s">
        <v>126</v>
      </c>
      <c r="B2470">
        <v>2094</v>
      </c>
      <c r="C2470" t="s">
        <v>2108</v>
      </c>
      <c r="D2470">
        <v>97</v>
      </c>
      <c r="E2470">
        <v>691576.56000000017</v>
      </c>
      <c r="F2470">
        <v>267064</v>
      </c>
      <c r="G2470">
        <f>tblMoeHistory[[#This Row],[LEA State and Local Amount]]+tblMoeHistory[[#This Row],[ESD State and Local Amount]]</f>
        <v>958640.56000000017</v>
      </c>
      <c r="J2470">
        <f>IFERROR(tblMoeHistory[[#This Row],[LEA State and Local Amount]]/tblMoeHistory[[#This Row],[Child Count]],0)</f>
        <v>7129.6552577319608</v>
      </c>
      <c r="K2470" s="44">
        <f>IFERROR(tblMoeHistory[[#This Row],[ESD State and Local Amount]]/tblMoeHistory[[#This Row],[Child Count]],0)</f>
        <v>2753.2371134020618</v>
      </c>
      <c r="L2470">
        <f>IFERROR(tblMoeHistory[[#This Row],[State and Local Total Amount]]/tblMoeHistory[[#This Row],[Child Count]],0)</f>
        <v>9882.8923711340231</v>
      </c>
      <c r="N2470" t="str">
        <f t="shared" si="5"/>
        <v>Met</v>
      </c>
      <c r="Q2470">
        <f>tblMoeHistory[[#This Row],[Amount of IDEA Part B, Section 611 award]]+tblMoeHistory[[#This Row],[Amount of IDEA Part B, Section 619 award]]</f>
        <v>0</v>
      </c>
      <c r="U24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0" t="str">
        <f>IF(OR(IFERROR(SEARCH("Met",tblMoeHistory[[#This Row],[State and Local Per Capita Result]]),0)&gt;0,IFERROR(SEARCH("Met",tblMoeHistory[[#This Row],[State and Local Total Result]]),0)&gt;0),"Met","Not Met")</f>
        <v>Met</v>
      </c>
    </row>
    <row r="2471" spans="1:22" x14ac:dyDescent="0.35">
      <c r="A2471" t="s">
        <v>127</v>
      </c>
      <c r="B2471">
        <v>2090</v>
      </c>
      <c r="C2471" t="s">
        <v>2108</v>
      </c>
      <c r="D2471">
        <v>33</v>
      </c>
      <c r="E2471">
        <v>481928.11999999994</v>
      </c>
      <c r="F2471">
        <v>126107</v>
      </c>
      <c r="G2471">
        <f>tblMoeHistory[[#This Row],[LEA State and Local Amount]]+tblMoeHistory[[#This Row],[ESD State and Local Amount]]</f>
        <v>608035.11999999988</v>
      </c>
      <c r="J2471">
        <f>IFERROR(tblMoeHistory[[#This Row],[LEA State and Local Amount]]/tblMoeHistory[[#This Row],[Child Count]],0)</f>
        <v>14603.882424242422</v>
      </c>
      <c r="K2471" s="44">
        <f>IFERROR(tblMoeHistory[[#This Row],[ESD State and Local Amount]]/tblMoeHistory[[#This Row],[Child Count]],0)</f>
        <v>3821.4242424242425</v>
      </c>
      <c r="L2471">
        <f>IFERROR(tblMoeHistory[[#This Row],[State and Local Total Amount]]/tblMoeHistory[[#This Row],[Child Count]],0)</f>
        <v>18425.306666666664</v>
      </c>
      <c r="N2471" t="str">
        <f t="shared" si="5"/>
        <v>Did Not Meet</v>
      </c>
      <c r="Q2471">
        <f>tblMoeHistory[[#This Row],[Amount of IDEA Part B, Section 611 award]]+tblMoeHistory[[#This Row],[Amount of IDEA Part B, Section 619 award]]</f>
        <v>0</v>
      </c>
      <c r="U24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1" t="str">
        <f>IF(OR(IFERROR(SEARCH("Met",tblMoeHistory[[#This Row],[State and Local Per Capita Result]]),0)&gt;0,IFERROR(SEARCH("Met",tblMoeHistory[[#This Row],[State and Local Total Result]]),0)&gt;0),"Met","Not Met")</f>
        <v>Not Met</v>
      </c>
    </row>
    <row r="2472" spans="1:22" x14ac:dyDescent="0.35">
      <c r="A2472" t="s">
        <v>128</v>
      </c>
      <c r="B2472">
        <v>2256</v>
      </c>
      <c r="C2472" t="s">
        <v>2108</v>
      </c>
      <c r="D2472">
        <v>895</v>
      </c>
      <c r="E2472">
        <v>9331041.4000000022</v>
      </c>
      <c r="F2472">
        <v>495873.73</v>
      </c>
      <c r="G2472">
        <f>tblMoeHistory[[#This Row],[LEA State and Local Amount]]+tblMoeHistory[[#This Row],[ESD State and Local Amount]]</f>
        <v>9826915.1300000027</v>
      </c>
      <c r="J2472">
        <f>IFERROR(tblMoeHistory[[#This Row],[LEA State and Local Amount]]/tblMoeHistory[[#This Row],[Child Count]],0)</f>
        <v>10425.744581005589</v>
      </c>
      <c r="K2472" s="44">
        <f>IFERROR(tblMoeHistory[[#This Row],[ESD State and Local Amount]]/tblMoeHistory[[#This Row],[Child Count]],0)</f>
        <v>554.04886033519551</v>
      </c>
      <c r="L2472">
        <f>IFERROR(tblMoeHistory[[#This Row],[State and Local Total Amount]]/tblMoeHistory[[#This Row],[Child Count]],0)</f>
        <v>10979.793441340786</v>
      </c>
      <c r="N2472" t="str">
        <f t="shared" si="5"/>
        <v>Met</v>
      </c>
      <c r="Q2472">
        <f>tblMoeHistory[[#This Row],[Amount of IDEA Part B, Section 611 award]]+tblMoeHistory[[#This Row],[Amount of IDEA Part B, Section 619 award]]</f>
        <v>0</v>
      </c>
      <c r="U24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2" t="str">
        <f>IF(OR(IFERROR(SEARCH("Met",tblMoeHistory[[#This Row],[State and Local Per Capita Result]]),0)&gt;0,IFERROR(SEARCH("Met",tblMoeHistory[[#This Row],[State and Local Total Result]]),0)&gt;0),"Met","Not Met")</f>
        <v>Met</v>
      </c>
    </row>
    <row r="2473" spans="1:22" x14ac:dyDescent="0.35">
      <c r="A2473" t="s">
        <v>129</v>
      </c>
      <c r="B2473">
        <v>2048</v>
      </c>
      <c r="C2473" t="s">
        <v>2108</v>
      </c>
      <c r="D2473">
        <v>2107</v>
      </c>
      <c r="E2473">
        <v>21919305.630000021</v>
      </c>
      <c r="F2473">
        <v>1844655.59</v>
      </c>
      <c r="G2473">
        <f>tblMoeHistory[[#This Row],[LEA State and Local Amount]]+tblMoeHistory[[#This Row],[ESD State and Local Amount]]</f>
        <v>23763961.220000021</v>
      </c>
      <c r="J2473">
        <f>IFERROR(tblMoeHistory[[#This Row],[LEA State and Local Amount]]/tblMoeHistory[[#This Row],[Child Count]],0)</f>
        <v>10403.087626957769</v>
      </c>
      <c r="K2473" s="44">
        <f>IFERROR(tblMoeHistory[[#This Row],[ESD State and Local Amount]]/tblMoeHistory[[#This Row],[Child Count]],0)</f>
        <v>875.48912672045572</v>
      </c>
      <c r="L2473">
        <f>IFERROR(tblMoeHistory[[#This Row],[State and Local Total Amount]]/tblMoeHistory[[#This Row],[Child Count]],0)</f>
        <v>11278.576753678226</v>
      </c>
      <c r="N2473" t="str">
        <f t="shared" si="5"/>
        <v>Met</v>
      </c>
      <c r="Q2473">
        <f>tblMoeHistory[[#This Row],[Amount of IDEA Part B, Section 611 award]]+tblMoeHistory[[#This Row],[Amount of IDEA Part B, Section 619 award]]</f>
        <v>0</v>
      </c>
      <c r="U24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3" t="str">
        <f>IF(OR(IFERROR(SEARCH("Met",tblMoeHistory[[#This Row],[State and Local Per Capita Result]]),0)&gt;0,IFERROR(SEARCH("Met",tblMoeHistory[[#This Row],[State and Local Total Result]]),0)&gt;0),"Met","Not Met")</f>
        <v>Met</v>
      </c>
    </row>
    <row r="2474" spans="1:22" x14ac:dyDescent="0.35">
      <c r="A2474" t="s">
        <v>130</v>
      </c>
      <c r="B2474">
        <v>2205</v>
      </c>
      <c r="C2474" t="s">
        <v>2108</v>
      </c>
      <c r="D2474">
        <v>237</v>
      </c>
      <c r="E2474">
        <v>2094794.7400000002</v>
      </c>
      <c r="F2474">
        <v>467445.27999999997</v>
      </c>
      <c r="G2474">
        <f>tblMoeHistory[[#This Row],[LEA State and Local Amount]]+tblMoeHistory[[#This Row],[ESD State and Local Amount]]</f>
        <v>2562240.02</v>
      </c>
      <c r="J2474">
        <f>IFERROR(tblMoeHistory[[#This Row],[LEA State and Local Amount]]/tblMoeHistory[[#This Row],[Child Count]],0)</f>
        <v>8838.7963713080171</v>
      </c>
      <c r="K2474" s="44">
        <f>IFERROR(tblMoeHistory[[#This Row],[ESD State and Local Amount]]/tblMoeHistory[[#This Row],[Child Count]],0)</f>
        <v>1972.3429535864977</v>
      </c>
      <c r="L2474">
        <f>IFERROR(tblMoeHistory[[#This Row],[State and Local Total Amount]]/tblMoeHistory[[#This Row],[Child Count]],0)</f>
        <v>10811.139324894515</v>
      </c>
      <c r="N2474" t="str">
        <f t="shared" si="5"/>
        <v>Met</v>
      </c>
      <c r="Q2474">
        <f>tblMoeHistory[[#This Row],[Amount of IDEA Part B, Section 611 award]]+tblMoeHistory[[#This Row],[Amount of IDEA Part B, Section 619 award]]</f>
        <v>0</v>
      </c>
      <c r="U24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4" t="str">
        <f>IF(OR(IFERROR(SEARCH("Met",tblMoeHistory[[#This Row],[State and Local Per Capita Result]]),0)&gt;0,IFERROR(SEARCH("Met",tblMoeHistory[[#This Row],[State and Local Total Result]]),0)&gt;0),"Met","Not Met")</f>
        <v>Met</v>
      </c>
    </row>
    <row r="2475" spans="1:22" x14ac:dyDescent="0.35">
      <c r="A2475" t="s">
        <v>131</v>
      </c>
      <c r="B2475">
        <v>2249</v>
      </c>
      <c r="C2475" t="s">
        <v>2108</v>
      </c>
      <c r="D2475">
        <v>160</v>
      </c>
      <c r="E2475">
        <v>28003.089999999997</v>
      </c>
      <c r="F2475">
        <v>66880</v>
      </c>
      <c r="G2475">
        <f>tblMoeHistory[[#This Row],[LEA State and Local Amount]]+tblMoeHistory[[#This Row],[ESD State and Local Amount]]</f>
        <v>94883.09</v>
      </c>
      <c r="J2475">
        <f>IFERROR(tblMoeHistory[[#This Row],[LEA State and Local Amount]]/tblMoeHistory[[#This Row],[Child Count]],0)</f>
        <v>175.01931249999998</v>
      </c>
      <c r="K2475" s="44">
        <f>IFERROR(tblMoeHistory[[#This Row],[ESD State and Local Amount]]/tblMoeHistory[[#This Row],[Child Count]],0)</f>
        <v>418</v>
      </c>
      <c r="L2475">
        <f>IFERROR(tblMoeHistory[[#This Row],[State and Local Total Amount]]/tblMoeHistory[[#This Row],[Child Count]],0)</f>
        <v>593.01931249999996</v>
      </c>
      <c r="N2475" t="str">
        <f t="shared" si="5"/>
        <v>Met</v>
      </c>
      <c r="Q2475">
        <f>tblMoeHistory[[#This Row],[Amount of IDEA Part B, Section 611 award]]+tblMoeHistory[[#This Row],[Amount of IDEA Part B, Section 619 award]]</f>
        <v>0</v>
      </c>
      <c r="U24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5" t="str">
        <f>IF(OR(IFERROR(SEARCH("Met",tblMoeHistory[[#This Row],[State and Local Per Capita Result]]),0)&gt;0,IFERROR(SEARCH("Met",tblMoeHistory[[#This Row],[State and Local Total Result]]),0)&gt;0),"Met","Not Met")</f>
        <v>Met</v>
      </c>
    </row>
    <row r="2476" spans="1:22" x14ac:dyDescent="0.35">
      <c r="A2476" t="s">
        <v>132</v>
      </c>
      <c r="B2476">
        <v>1925</v>
      </c>
      <c r="C2476" t="s">
        <v>2108</v>
      </c>
      <c r="D2476">
        <v>422</v>
      </c>
      <c r="E2476">
        <v>5488251.4700000044</v>
      </c>
      <c r="F2476">
        <v>607473</v>
      </c>
      <c r="G2476">
        <f>tblMoeHistory[[#This Row],[LEA State and Local Amount]]+tblMoeHistory[[#This Row],[ESD State and Local Amount]]</f>
        <v>6095724.4700000044</v>
      </c>
      <c r="J2476">
        <f>IFERROR(tblMoeHistory[[#This Row],[LEA State and Local Amount]]/tblMoeHistory[[#This Row],[Child Count]],0)</f>
        <v>13005.335236966836</v>
      </c>
      <c r="K2476" s="44">
        <f>IFERROR(tblMoeHistory[[#This Row],[ESD State and Local Amount]]/tblMoeHistory[[#This Row],[Child Count]],0)</f>
        <v>1439.5094786729858</v>
      </c>
      <c r="L2476">
        <f>IFERROR(tblMoeHistory[[#This Row],[State and Local Total Amount]]/tblMoeHistory[[#This Row],[Child Count]],0)</f>
        <v>14444.844715639822</v>
      </c>
      <c r="N2476" t="str">
        <f t="shared" si="5"/>
        <v>Met</v>
      </c>
      <c r="Q2476">
        <f>tblMoeHistory[[#This Row],[Amount of IDEA Part B, Section 611 award]]+tblMoeHistory[[#This Row],[Amount of IDEA Part B, Section 619 award]]</f>
        <v>0</v>
      </c>
      <c r="U24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6" t="str">
        <f>IF(OR(IFERROR(SEARCH("Met",tblMoeHistory[[#This Row],[State and Local Per Capita Result]]),0)&gt;0,IFERROR(SEARCH("Met",tblMoeHistory[[#This Row],[State and Local Total Result]]),0)&gt;0),"Met","Not Met")</f>
        <v>Met</v>
      </c>
    </row>
    <row r="2477" spans="1:22" x14ac:dyDescent="0.35">
      <c r="A2477" t="s">
        <v>133</v>
      </c>
      <c r="B2477">
        <v>1898</v>
      </c>
      <c r="C2477" t="s">
        <v>2108</v>
      </c>
      <c r="D2477">
        <v>50</v>
      </c>
      <c r="E2477">
        <v>696293.16000000015</v>
      </c>
      <c r="F2477">
        <v>72467</v>
      </c>
      <c r="G2477">
        <f>tblMoeHistory[[#This Row],[LEA State and Local Amount]]+tblMoeHistory[[#This Row],[ESD State and Local Amount]]</f>
        <v>768760.16000000015</v>
      </c>
      <c r="J2477">
        <f>IFERROR(tblMoeHistory[[#This Row],[LEA State and Local Amount]]/tblMoeHistory[[#This Row],[Child Count]],0)</f>
        <v>13925.863200000003</v>
      </c>
      <c r="K2477" s="44">
        <f>IFERROR(tblMoeHistory[[#This Row],[ESD State and Local Amount]]/tblMoeHistory[[#This Row],[Child Count]],0)</f>
        <v>1449.34</v>
      </c>
      <c r="L2477">
        <f>IFERROR(tblMoeHistory[[#This Row],[State and Local Total Amount]]/tblMoeHistory[[#This Row],[Child Count]],0)</f>
        <v>15375.203200000004</v>
      </c>
      <c r="N2477" t="str">
        <f t="shared" si="5"/>
        <v>Did Not Meet</v>
      </c>
      <c r="Q2477">
        <f>tblMoeHistory[[#This Row],[Amount of IDEA Part B, Section 611 award]]+tblMoeHistory[[#This Row],[Amount of IDEA Part B, Section 619 award]]</f>
        <v>0</v>
      </c>
      <c r="U24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7" t="str">
        <f>IF(OR(IFERROR(SEARCH("Met",tblMoeHistory[[#This Row],[State and Local Per Capita Result]]),0)&gt;0,IFERROR(SEARCH("Met",tblMoeHistory[[#This Row],[State and Local Total Result]]),0)&gt;0),"Met","Not Met")</f>
        <v>Not Met</v>
      </c>
    </row>
    <row r="2478" spans="1:22" x14ac:dyDescent="0.35">
      <c r="A2478" t="s">
        <v>134</v>
      </c>
      <c r="B2478">
        <v>2010</v>
      </c>
      <c r="C2478" t="s">
        <v>2108</v>
      </c>
      <c r="D2478">
        <v>9</v>
      </c>
      <c r="E2478">
        <v>594.69000000000005</v>
      </c>
      <c r="F2478">
        <v>67163.89</v>
      </c>
      <c r="G2478">
        <f>tblMoeHistory[[#This Row],[LEA State and Local Amount]]+tblMoeHistory[[#This Row],[ESD State and Local Amount]]</f>
        <v>67758.58</v>
      </c>
      <c r="J2478">
        <f>IFERROR(tblMoeHistory[[#This Row],[LEA State and Local Amount]]/tblMoeHistory[[#This Row],[Child Count]],0)</f>
        <v>66.076666666666668</v>
      </c>
      <c r="K2478" s="44">
        <f>IFERROR(tblMoeHistory[[#This Row],[ESD State and Local Amount]]/tblMoeHistory[[#This Row],[Child Count]],0)</f>
        <v>7462.6544444444444</v>
      </c>
      <c r="L2478">
        <f>IFERROR(tblMoeHistory[[#This Row],[State and Local Total Amount]]/tblMoeHistory[[#This Row],[Child Count]],0)</f>
        <v>7528.7311111111112</v>
      </c>
      <c r="N2478" t="str">
        <f t="shared" si="5"/>
        <v>Met</v>
      </c>
      <c r="Q2478">
        <f>tblMoeHistory[[#This Row],[Amount of IDEA Part B, Section 611 award]]+tblMoeHistory[[#This Row],[Amount of IDEA Part B, Section 619 award]]</f>
        <v>0</v>
      </c>
      <c r="U24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8" t="str">
        <f>IF(OR(IFERROR(SEARCH("Met",tblMoeHistory[[#This Row],[State and Local Per Capita Result]]),0)&gt;0,IFERROR(SEARCH("Met",tblMoeHistory[[#This Row],[State and Local Total Result]]),0)&gt;0),"Met","Not Met")</f>
        <v>Met</v>
      </c>
    </row>
    <row r="2479" spans="1:22" x14ac:dyDescent="0.35">
      <c r="A2479" t="s">
        <v>135</v>
      </c>
      <c r="B2479">
        <v>2147</v>
      </c>
      <c r="C2479" t="s">
        <v>2108</v>
      </c>
      <c r="D2479">
        <v>369</v>
      </c>
      <c r="E2479">
        <v>1839777.82</v>
      </c>
      <c r="F2479">
        <v>727953.1</v>
      </c>
      <c r="G2479">
        <f>tblMoeHistory[[#This Row],[LEA State and Local Amount]]+tblMoeHistory[[#This Row],[ESD State and Local Amount]]</f>
        <v>2567730.92</v>
      </c>
      <c r="J2479">
        <f>IFERROR(tblMoeHistory[[#This Row],[LEA State and Local Amount]]/tblMoeHistory[[#This Row],[Child Count]],0)</f>
        <v>4985.8477506775071</v>
      </c>
      <c r="K2479" s="44">
        <f>IFERROR(tblMoeHistory[[#This Row],[ESD State and Local Amount]]/tblMoeHistory[[#This Row],[Child Count]],0)</f>
        <v>1972.7726287262872</v>
      </c>
      <c r="L2479">
        <f>IFERROR(tblMoeHistory[[#This Row],[State and Local Total Amount]]/tblMoeHistory[[#This Row],[Child Count]],0)</f>
        <v>6958.6203794037938</v>
      </c>
      <c r="N2479" t="str">
        <f t="shared" si="5"/>
        <v>Met</v>
      </c>
      <c r="Q2479">
        <f>tblMoeHistory[[#This Row],[Amount of IDEA Part B, Section 611 award]]+tblMoeHistory[[#This Row],[Amount of IDEA Part B, Section 619 award]]</f>
        <v>0</v>
      </c>
      <c r="U24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9" t="str">
        <f>IF(OR(IFERROR(SEARCH("Met",tblMoeHistory[[#This Row],[State and Local Per Capita Result]]),0)&gt;0,IFERROR(SEARCH("Met",tblMoeHistory[[#This Row],[State and Local Total Result]]),0)&gt;0),"Met","Not Met")</f>
        <v>Met</v>
      </c>
    </row>
    <row r="2480" spans="1:22" x14ac:dyDescent="0.35">
      <c r="A2480" t="s">
        <v>136</v>
      </c>
      <c r="B2480">
        <v>2145</v>
      </c>
      <c r="C2480" t="s">
        <v>2108</v>
      </c>
      <c r="D2480">
        <v>95</v>
      </c>
      <c r="E2480">
        <v>586548.06000000006</v>
      </c>
      <c r="F2480">
        <v>164717.11999999997</v>
      </c>
      <c r="G2480">
        <f>tblMoeHistory[[#This Row],[LEA State and Local Amount]]+tblMoeHistory[[#This Row],[ESD State and Local Amount]]</f>
        <v>751265.18</v>
      </c>
      <c r="J2480">
        <f>IFERROR(tblMoeHistory[[#This Row],[LEA State and Local Amount]]/tblMoeHistory[[#This Row],[Child Count]],0)</f>
        <v>6174.1901052631583</v>
      </c>
      <c r="K2480" s="44">
        <f>IFERROR(tblMoeHistory[[#This Row],[ESD State and Local Amount]]/tblMoeHistory[[#This Row],[Child Count]],0)</f>
        <v>1733.8644210526313</v>
      </c>
      <c r="L2480">
        <f>IFERROR(tblMoeHistory[[#This Row],[State and Local Total Amount]]/tblMoeHistory[[#This Row],[Child Count]],0)</f>
        <v>7908.0545263157901</v>
      </c>
      <c r="N2480" t="str">
        <f t="shared" si="5"/>
        <v>Did Not Meet</v>
      </c>
      <c r="Q2480">
        <f>tblMoeHistory[[#This Row],[Amount of IDEA Part B, Section 611 award]]+tblMoeHistory[[#This Row],[Amount of IDEA Part B, Section 619 award]]</f>
        <v>0</v>
      </c>
      <c r="U24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0" t="str">
        <f>IF(OR(IFERROR(SEARCH("Met",tblMoeHistory[[#This Row],[State and Local Per Capita Result]]),0)&gt;0,IFERROR(SEARCH("Met",tblMoeHistory[[#This Row],[State and Local Total Result]]),0)&gt;0),"Met","Not Met")</f>
        <v>Not Met</v>
      </c>
    </row>
    <row r="2481" spans="1:22" x14ac:dyDescent="0.35">
      <c r="A2481" t="s">
        <v>137</v>
      </c>
      <c r="B2481">
        <v>1968</v>
      </c>
      <c r="C2481" t="s">
        <v>2108</v>
      </c>
      <c r="D2481">
        <v>81</v>
      </c>
      <c r="E2481">
        <v>530974.31999999983</v>
      </c>
      <c r="F2481">
        <v>195588.05</v>
      </c>
      <c r="G2481">
        <f>tblMoeHistory[[#This Row],[LEA State and Local Amount]]+tblMoeHistory[[#This Row],[ESD State and Local Amount]]</f>
        <v>726562.36999999988</v>
      </c>
      <c r="J2481">
        <f>IFERROR(tblMoeHistory[[#This Row],[LEA State and Local Amount]]/tblMoeHistory[[#This Row],[Child Count]],0)</f>
        <v>6555.2385185185167</v>
      </c>
      <c r="K2481" s="44">
        <f>IFERROR(tblMoeHistory[[#This Row],[ESD State and Local Amount]]/tblMoeHistory[[#This Row],[Child Count]],0)</f>
        <v>2414.6672839506173</v>
      </c>
      <c r="L2481">
        <f>IFERROR(tblMoeHistory[[#This Row],[State and Local Total Amount]]/tblMoeHistory[[#This Row],[Child Count]],0)</f>
        <v>8969.9058024691349</v>
      </c>
      <c r="N2481" t="str">
        <f t="shared" si="5"/>
        <v>Did Not Meet</v>
      </c>
      <c r="Q2481">
        <f>tblMoeHistory[[#This Row],[Amount of IDEA Part B, Section 611 award]]+tblMoeHistory[[#This Row],[Amount of IDEA Part B, Section 619 award]]</f>
        <v>0</v>
      </c>
      <c r="U24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1" t="str">
        <f>IF(OR(IFERROR(SEARCH("Met",tblMoeHistory[[#This Row],[State and Local Per Capita Result]]),0)&gt;0,IFERROR(SEARCH("Met",tblMoeHistory[[#This Row],[State and Local Total Result]]),0)&gt;0),"Met","Not Met")</f>
        <v>Not Met</v>
      </c>
    </row>
    <row r="2482" spans="1:22" x14ac:dyDescent="0.35">
      <c r="A2482" t="s">
        <v>138</v>
      </c>
      <c r="B2482">
        <v>2198</v>
      </c>
      <c r="C2482" t="s">
        <v>2108</v>
      </c>
      <c r="D2482">
        <v>103</v>
      </c>
      <c r="E2482">
        <v>2060434.2</v>
      </c>
      <c r="F2482">
        <v>296050</v>
      </c>
      <c r="G2482">
        <f>tblMoeHistory[[#This Row],[LEA State and Local Amount]]+tblMoeHistory[[#This Row],[ESD State and Local Amount]]</f>
        <v>2356484.2000000002</v>
      </c>
      <c r="J2482">
        <f>IFERROR(tblMoeHistory[[#This Row],[LEA State and Local Amount]]/tblMoeHistory[[#This Row],[Child Count]],0)</f>
        <v>20004.215533980583</v>
      </c>
      <c r="K2482" s="44">
        <f>IFERROR(tblMoeHistory[[#This Row],[ESD State and Local Amount]]/tblMoeHistory[[#This Row],[Child Count]],0)</f>
        <v>2874.2718446601943</v>
      </c>
      <c r="L2482">
        <f>IFERROR(tblMoeHistory[[#This Row],[State and Local Total Amount]]/tblMoeHistory[[#This Row],[Child Count]],0)</f>
        <v>22878.487378640777</v>
      </c>
      <c r="N2482" t="str">
        <f t="shared" si="5"/>
        <v>Met</v>
      </c>
      <c r="Q2482">
        <f>tblMoeHistory[[#This Row],[Amount of IDEA Part B, Section 611 award]]+tblMoeHistory[[#This Row],[Amount of IDEA Part B, Section 619 award]]</f>
        <v>0</v>
      </c>
      <c r="U24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2" t="str">
        <f>IF(OR(IFERROR(SEARCH("Met",tblMoeHistory[[#This Row],[State and Local Per Capita Result]]),0)&gt;0,IFERROR(SEARCH("Met",tblMoeHistory[[#This Row],[State and Local Total Result]]),0)&gt;0),"Met","Not Met")</f>
        <v>Met</v>
      </c>
    </row>
    <row r="2483" spans="1:22" x14ac:dyDescent="0.35">
      <c r="A2483" t="s">
        <v>139</v>
      </c>
      <c r="B2483">
        <v>2199</v>
      </c>
      <c r="C2483" t="s">
        <v>2108</v>
      </c>
      <c r="D2483">
        <v>65</v>
      </c>
      <c r="E2483">
        <v>922161.98</v>
      </c>
      <c r="F2483">
        <v>153267</v>
      </c>
      <c r="G2483">
        <f>tblMoeHistory[[#This Row],[LEA State and Local Amount]]+tblMoeHistory[[#This Row],[ESD State and Local Amount]]</f>
        <v>1075428.98</v>
      </c>
      <c r="J2483">
        <f>IFERROR(tblMoeHistory[[#This Row],[LEA State and Local Amount]]/tblMoeHistory[[#This Row],[Child Count]],0)</f>
        <v>14187.107384615385</v>
      </c>
      <c r="K2483" s="44">
        <f>IFERROR(tblMoeHistory[[#This Row],[ESD State and Local Amount]]/tblMoeHistory[[#This Row],[Child Count]],0)</f>
        <v>2357.9538461538464</v>
      </c>
      <c r="L2483">
        <f>IFERROR(tblMoeHistory[[#This Row],[State and Local Total Amount]]/tblMoeHistory[[#This Row],[Child Count]],0)</f>
        <v>16545.061230769232</v>
      </c>
      <c r="N2483" t="str">
        <f t="shared" si="5"/>
        <v>Met</v>
      </c>
      <c r="Q2483">
        <f>tblMoeHistory[[#This Row],[Amount of IDEA Part B, Section 611 award]]+tblMoeHistory[[#This Row],[Amount of IDEA Part B, Section 619 award]]</f>
        <v>0</v>
      </c>
      <c r="U24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3" t="str">
        <f>IF(OR(IFERROR(SEARCH("Met",tblMoeHistory[[#This Row],[State and Local Per Capita Result]]),0)&gt;0,IFERROR(SEARCH("Met",tblMoeHistory[[#This Row],[State and Local Total Result]]),0)&gt;0),"Met","Not Met")</f>
        <v>Met</v>
      </c>
    </row>
    <row r="2484" spans="1:22" x14ac:dyDescent="0.35">
      <c r="A2484" t="s">
        <v>140</v>
      </c>
      <c r="B2484">
        <v>2254</v>
      </c>
      <c r="C2484" t="s">
        <v>2108</v>
      </c>
      <c r="D2484">
        <v>644</v>
      </c>
      <c r="E2484">
        <v>7809344.5100000026</v>
      </c>
      <c r="F2484">
        <v>633659.62</v>
      </c>
      <c r="G2484">
        <f>tblMoeHistory[[#This Row],[LEA State and Local Amount]]+tblMoeHistory[[#This Row],[ESD State and Local Amount]]</f>
        <v>8443004.1300000027</v>
      </c>
      <c r="J2484">
        <f>IFERROR(tblMoeHistory[[#This Row],[LEA State and Local Amount]]/tblMoeHistory[[#This Row],[Child Count]],0)</f>
        <v>12126.311350931681</v>
      </c>
      <c r="K2484" s="44">
        <f>IFERROR(tblMoeHistory[[#This Row],[ESD State and Local Amount]]/tblMoeHistory[[#This Row],[Child Count]],0)</f>
        <v>983.94350931677013</v>
      </c>
      <c r="L2484">
        <f>IFERROR(tblMoeHistory[[#This Row],[State and Local Total Amount]]/tblMoeHistory[[#This Row],[Child Count]],0)</f>
        <v>13110.254860248451</v>
      </c>
      <c r="N2484" t="str">
        <f t="shared" si="5"/>
        <v>Met</v>
      </c>
      <c r="Q2484">
        <f>tblMoeHistory[[#This Row],[Amount of IDEA Part B, Section 611 award]]+tblMoeHistory[[#This Row],[Amount of IDEA Part B, Section 619 award]]</f>
        <v>0</v>
      </c>
      <c r="U24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4" t="str">
        <f>IF(OR(IFERROR(SEARCH("Met",tblMoeHistory[[#This Row],[State and Local Per Capita Result]]),0)&gt;0,IFERROR(SEARCH("Met",tblMoeHistory[[#This Row],[State and Local Total Result]]),0)&gt;0),"Met","Not Met")</f>
        <v>Met</v>
      </c>
    </row>
    <row r="2485" spans="1:22" x14ac:dyDescent="0.35">
      <c r="A2485" t="s">
        <v>141</v>
      </c>
      <c r="B2485">
        <v>1966</v>
      </c>
      <c r="C2485" t="s">
        <v>2108</v>
      </c>
      <c r="D2485">
        <v>553</v>
      </c>
      <c r="E2485">
        <v>4944539.3799999971</v>
      </c>
      <c r="F2485">
        <v>1081400.8600000001</v>
      </c>
      <c r="G2485">
        <f>tblMoeHistory[[#This Row],[LEA State and Local Amount]]+tblMoeHistory[[#This Row],[ESD State and Local Amount]]</f>
        <v>6025940.2399999974</v>
      </c>
      <c r="J2485">
        <f>IFERROR(tblMoeHistory[[#This Row],[LEA State and Local Amount]]/tblMoeHistory[[#This Row],[Child Count]],0)</f>
        <v>8941.3008679927607</v>
      </c>
      <c r="K2485" s="44">
        <f>IFERROR(tblMoeHistory[[#This Row],[ESD State and Local Amount]]/tblMoeHistory[[#This Row],[Child Count]],0)</f>
        <v>1955.5169258589513</v>
      </c>
      <c r="L2485">
        <f>IFERROR(tblMoeHistory[[#This Row],[State and Local Total Amount]]/tblMoeHistory[[#This Row],[Child Count]],0)</f>
        <v>10896.817793851713</v>
      </c>
      <c r="N2485" t="str">
        <f t="shared" si="5"/>
        <v>Met</v>
      </c>
      <c r="Q2485">
        <f>tblMoeHistory[[#This Row],[Amount of IDEA Part B, Section 611 award]]+tblMoeHistory[[#This Row],[Amount of IDEA Part B, Section 619 award]]</f>
        <v>0</v>
      </c>
      <c r="U24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5" t="str">
        <f>IF(OR(IFERROR(SEARCH("Met",tblMoeHistory[[#This Row],[State and Local Per Capita Result]]),0)&gt;0,IFERROR(SEARCH("Met",tblMoeHistory[[#This Row],[State and Local Total Result]]),0)&gt;0),"Met","Not Met")</f>
        <v>Met</v>
      </c>
    </row>
    <row r="2486" spans="1:22" x14ac:dyDescent="0.35">
      <c r="A2486" t="s">
        <v>142</v>
      </c>
      <c r="B2486">
        <v>1924</v>
      </c>
      <c r="C2486" t="s">
        <v>2108</v>
      </c>
      <c r="D2486">
        <v>2792</v>
      </c>
      <c r="E2486">
        <v>33792807.350000061</v>
      </c>
      <c r="F2486">
        <v>3438831</v>
      </c>
      <c r="G2486">
        <f>tblMoeHistory[[#This Row],[LEA State and Local Amount]]+tblMoeHistory[[#This Row],[ESD State and Local Amount]]</f>
        <v>37231638.350000061</v>
      </c>
      <c r="J2486">
        <f>IFERROR(tblMoeHistory[[#This Row],[LEA State and Local Amount]]/tblMoeHistory[[#This Row],[Child Count]],0)</f>
        <v>12103.441027936984</v>
      </c>
      <c r="K2486" s="44">
        <f>IFERROR(tblMoeHistory[[#This Row],[ESD State and Local Amount]]/tblMoeHistory[[#This Row],[Child Count]],0)</f>
        <v>1231.672994269341</v>
      </c>
      <c r="L2486">
        <f>IFERROR(tblMoeHistory[[#This Row],[State and Local Total Amount]]/tblMoeHistory[[#This Row],[Child Count]],0)</f>
        <v>13335.114022206326</v>
      </c>
      <c r="N2486" t="str">
        <f t="shared" si="5"/>
        <v>Did Not Meet</v>
      </c>
      <c r="Q2486">
        <f>tblMoeHistory[[#This Row],[Amount of IDEA Part B, Section 611 award]]+tblMoeHistory[[#This Row],[Amount of IDEA Part B, Section 619 award]]</f>
        <v>0</v>
      </c>
      <c r="U24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6" t="str">
        <f>IF(OR(IFERROR(SEARCH("Met",tblMoeHistory[[#This Row],[State and Local Per Capita Result]]),0)&gt;0,IFERROR(SEARCH("Met",tblMoeHistory[[#This Row],[State and Local Total Result]]),0)&gt;0),"Met","Not Met")</f>
        <v>Not Met</v>
      </c>
    </row>
    <row r="2487" spans="1:22" x14ac:dyDescent="0.35">
      <c r="A2487" t="s">
        <v>143</v>
      </c>
      <c r="B2487">
        <v>1996</v>
      </c>
      <c r="C2487" t="s">
        <v>2108</v>
      </c>
      <c r="D2487">
        <v>74</v>
      </c>
      <c r="E2487">
        <v>443447.79</v>
      </c>
      <c r="F2487">
        <v>55472.05999999999</v>
      </c>
      <c r="G2487">
        <f>tblMoeHistory[[#This Row],[LEA State and Local Amount]]+tblMoeHistory[[#This Row],[ESD State and Local Amount]]</f>
        <v>498919.85</v>
      </c>
      <c r="J2487">
        <f>IFERROR(tblMoeHistory[[#This Row],[LEA State and Local Amount]]/tblMoeHistory[[#This Row],[Child Count]],0)</f>
        <v>5992.5377027027025</v>
      </c>
      <c r="K2487" s="44">
        <f>IFERROR(tblMoeHistory[[#This Row],[ESD State and Local Amount]]/tblMoeHistory[[#This Row],[Child Count]],0)</f>
        <v>749.62243243243233</v>
      </c>
      <c r="L2487">
        <f>IFERROR(tblMoeHistory[[#This Row],[State and Local Total Amount]]/tblMoeHistory[[#This Row],[Child Count]],0)</f>
        <v>6742.1601351351346</v>
      </c>
      <c r="N2487" t="str">
        <f t="shared" si="5"/>
        <v>Did Not Meet</v>
      </c>
      <c r="Q2487">
        <f>tblMoeHistory[[#This Row],[Amount of IDEA Part B, Section 611 award]]+tblMoeHistory[[#This Row],[Amount of IDEA Part B, Section 619 award]]</f>
        <v>0</v>
      </c>
      <c r="U24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7" t="str">
        <f>IF(OR(IFERROR(SEARCH("Met",tblMoeHistory[[#This Row],[State and Local Per Capita Result]]),0)&gt;0,IFERROR(SEARCH("Met",tblMoeHistory[[#This Row],[State and Local Total Result]]),0)&gt;0),"Met","Not Met")</f>
        <v>Not Met</v>
      </c>
    </row>
    <row r="2488" spans="1:22" x14ac:dyDescent="0.35">
      <c r="A2488" t="s">
        <v>144</v>
      </c>
      <c r="B2488">
        <v>2061</v>
      </c>
      <c r="C2488" t="s">
        <v>2108</v>
      </c>
      <c r="D2488">
        <v>50</v>
      </c>
      <c r="E2488">
        <v>403048.60000000009</v>
      </c>
      <c r="F2488">
        <v>169242.89</v>
      </c>
      <c r="G2488">
        <f>tblMoeHistory[[#This Row],[LEA State and Local Amount]]+tblMoeHistory[[#This Row],[ESD State and Local Amount]]</f>
        <v>572291.49000000011</v>
      </c>
      <c r="J2488">
        <f>IFERROR(tblMoeHistory[[#This Row],[LEA State and Local Amount]]/tblMoeHistory[[#This Row],[Child Count]],0)</f>
        <v>8060.9720000000016</v>
      </c>
      <c r="K2488" s="44">
        <f>IFERROR(tblMoeHistory[[#This Row],[ESD State and Local Amount]]/tblMoeHistory[[#This Row],[Child Count]],0)</f>
        <v>3384.8578000000002</v>
      </c>
      <c r="L2488">
        <f>IFERROR(tblMoeHistory[[#This Row],[State and Local Total Amount]]/tblMoeHistory[[#This Row],[Child Count]],0)</f>
        <v>11445.829800000001</v>
      </c>
      <c r="N2488" t="str">
        <f t="shared" si="5"/>
        <v>Met</v>
      </c>
      <c r="Q2488">
        <f>tblMoeHistory[[#This Row],[Amount of IDEA Part B, Section 611 award]]+tblMoeHistory[[#This Row],[Amount of IDEA Part B, Section 619 award]]</f>
        <v>0</v>
      </c>
      <c r="U24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8" t="str">
        <f>IF(OR(IFERROR(SEARCH("Met",tblMoeHistory[[#This Row],[State and Local Per Capita Result]]),0)&gt;0,IFERROR(SEARCH("Met",tblMoeHistory[[#This Row],[State and Local Total Result]]),0)&gt;0),"Met","Not Met")</f>
        <v>Met</v>
      </c>
    </row>
    <row r="2489" spans="1:22" x14ac:dyDescent="0.35">
      <c r="A2489" t="s">
        <v>145</v>
      </c>
      <c r="B2489">
        <v>2141</v>
      </c>
      <c r="C2489" t="s">
        <v>2108</v>
      </c>
      <c r="D2489">
        <v>275</v>
      </c>
      <c r="E2489">
        <v>2921612.59</v>
      </c>
      <c r="F2489">
        <v>642652.57999999996</v>
      </c>
      <c r="G2489">
        <f>tblMoeHistory[[#This Row],[LEA State and Local Amount]]+tblMoeHistory[[#This Row],[ESD State and Local Amount]]</f>
        <v>3564265.17</v>
      </c>
      <c r="J2489">
        <f>IFERROR(tblMoeHistory[[#This Row],[LEA State and Local Amount]]/tblMoeHistory[[#This Row],[Child Count]],0)</f>
        <v>10624.045781818182</v>
      </c>
      <c r="K2489" s="44">
        <f>IFERROR(tblMoeHistory[[#This Row],[ESD State and Local Amount]]/tblMoeHistory[[#This Row],[Child Count]],0)</f>
        <v>2336.9184727272727</v>
      </c>
      <c r="L2489">
        <f>IFERROR(tblMoeHistory[[#This Row],[State and Local Total Amount]]/tblMoeHistory[[#This Row],[Child Count]],0)</f>
        <v>12960.964254545454</v>
      </c>
      <c r="N2489" t="str">
        <f t="shared" si="5"/>
        <v>Met</v>
      </c>
      <c r="Q2489">
        <f>tblMoeHistory[[#This Row],[Amount of IDEA Part B, Section 611 award]]+tblMoeHistory[[#This Row],[Amount of IDEA Part B, Section 619 award]]</f>
        <v>0</v>
      </c>
      <c r="U24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9" t="str">
        <f>IF(OR(IFERROR(SEARCH("Met",tblMoeHistory[[#This Row],[State and Local Per Capita Result]]),0)&gt;0,IFERROR(SEARCH("Met",tblMoeHistory[[#This Row],[State and Local Total Result]]),0)&gt;0),"Met","Not Met")</f>
        <v>Met</v>
      </c>
    </row>
    <row r="2490" spans="1:22" x14ac:dyDescent="0.35">
      <c r="A2490" t="s">
        <v>146</v>
      </c>
      <c r="B2490">
        <v>2214</v>
      </c>
      <c r="C2490" t="s">
        <v>2108</v>
      </c>
      <c r="D2490">
        <v>36</v>
      </c>
      <c r="E2490">
        <v>320285.17</v>
      </c>
      <c r="F2490">
        <v>104116.73</v>
      </c>
      <c r="G2490">
        <f>tblMoeHistory[[#This Row],[LEA State and Local Amount]]+tblMoeHistory[[#This Row],[ESD State and Local Amount]]</f>
        <v>424401.89999999997</v>
      </c>
      <c r="J2490">
        <f>IFERROR(tblMoeHistory[[#This Row],[LEA State and Local Amount]]/tblMoeHistory[[#This Row],[Child Count]],0)</f>
        <v>8896.8102777777767</v>
      </c>
      <c r="K2490" s="44">
        <f>IFERROR(tblMoeHistory[[#This Row],[ESD State and Local Amount]]/tblMoeHistory[[#This Row],[Child Count]],0)</f>
        <v>2892.131388888889</v>
      </c>
      <c r="L2490">
        <f>IFERROR(tblMoeHistory[[#This Row],[State and Local Total Amount]]/tblMoeHistory[[#This Row],[Child Count]],0)</f>
        <v>11788.941666666666</v>
      </c>
      <c r="N2490" t="str">
        <f t="shared" ref="N2490:N2553" si="6">IF(L2490&gt;=L2293,"Met","Did Not Meet")</f>
        <v>Met</v>
      </c>
      <c r="Q2490">
        <f>tblMoeHistory[[#This Row],[Amount of IDEA Part B, Section 611 award]]+tblMoeHistory[[#This Row],[Amount of IDEA Part B, Section 619 award]]</f>
        <v>0</v>
      </c>
      <c r="U24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0" t="str">
        <f>IF(OR(IFERROR(SEARCH("Met",tblMoeHistory[[#This Row],[State and Local Per Capita Result]]),0)&gt;0,IFERROR(SEARCH("Met",tblMoeHistory[[#This Row],[State and Local Total Result]]),0)&gt;0),"Met","Not Met")</f>
        <v>Met</v>
      </c>
    </row>
    <row r="2491" spans="1:22" x14ac:dyDescent="0.35">
      <c r="A2491" t="s">
        <v>147</v>
      </c>
      <c r="B2491">
        <v>2143</v>
      </c>
      <c r="C2491" t="s">
        <v>2108</v>
      </c>
      <c r="D2491">
        <v>319</v>
      </c>
      <c r="E2491">
        <v>2907547.5299999989</v>
      </c>
      <c r="F2491">
        <v>204190.05</v>
      </c>
      <c r="G2491">
        <f>tblMoeHistory[[#This Row],[LEA State and Local Amount]]+tblMoeHistory[[#This Row],[ESD State and Local Amount]]</f>
        <v>3111737.5799999987</v>
      </c>
      <c r="J2491">
        <f>IFERROR(tblMoeHistory[[#This Row],[LEA State and Local Amount]]/tblMoeHistory[[#This Row],[Child Count]],0)</f>
        <v>9114.569059561125</v>
      </c>
      <c r="K2491" s="44">
        <f>IFERROR(tblMoeHistory[[#This Row],[ESD State and Local Amount]]/tblMoeHistory[[#This Row],[Child Count]],0)</f>
        <v>640.09420062695926</v>
      </c>
      <c r="L2491">
        <f>IFERROR(tblMoeHistory[[#This Row],[State and Local Total Amount]]/tblMoeHistory[[#This Row],[Child Count]],0)</f>
        <v>9754.6632601880829</v>
      </c>
      <c r="N2491" t="str">
        <f t="shared" si="6"/>
        <v>Met</v>
      </c>
      <c r="Q2491">
        <f>tblMoeHistory[[#This Row],[Amount of IDEA Part B, Section 611 award]]+tblMoeHistory[[#This Row],[Amount of IDEA Part B, Section 619 award]]</f>
        <v>0</v>
      </c>
      <c r="U24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1" t="str">
        <f>IF(OR(IFERROR(SEARCH("Met",tblMoeHistory[[#This Row],[State and Local Per Capita Result]]),0)&gt;0,IFERROR(SEARCH("Met",tblMoeHistory[[#This Row],[State and Local Total Result]]),0)&gt;0),"Met","Not Met")</f>
        <v>Met</v>
      </c>
    </row>
    <row r="2492" spans="1:22" x14ac:dyDescent="0.35">
      <c r="A2492" t="s">
        <v>148</v>
      </c>
      <c r="B2492">
        <v>4131</v>
      </c>
      <c r="C2492" t="s">
        <v>2108</v>
      </c>
      <c r="D2492">
        <v>435</v>
      </c>
      <c r="E2492">
        <v>4945152.67</v>
      </c>
      <c r="F2492">
        <v>108676</v>
      </c>
      <c r="G2492">
        <f>tblMoeHistory[[#This Row],[LEA State and Local Amount]]+tblMoeHistory[[#This Row],[ESD State and Local Amount]]</f>
        <v>5053828.67</v>
      </c>
      <c r="J2492">
        <f>IFERROR(tblMoeHistory[[#This Row],[LEA State and Local Amount]]/tblMoeHistory[[#This Row],[Child Count]],0)</f>
        <v>11368.167057471264</v>
      </c>
      <c r="K2492" s="44">
        <f>IFERROR(tblMoeHistory[[#This Row],[ESD State and Local Amount]]/tblMoeHistory[[#This Row],[Child Count]],0)</f>
        <v>249.82988505747127</v>
      </c>
      <c r="L2492">
        <f>IFERROR(tblMoeHistory[[#This Row],[State and Local Total Amount]]/tblMoeHistory[[#This Row],[Child Count]],0)</f>
        <v>11617.996942528736</v>
      </c>
      <c r="N2492" t="str">
        <f t="shared" si="6"/>
        <v>Met</v>
      </c>
      <c r="Q2492">
        <f>tblMoeHistory[[#This Row],[Amount of IDEA Part B, Section 611 award]]+tblMoeHistory[[#This Row],[Amount of IDEA Part B, Section 619 award]]</f>
        <v>0</v>
      </c>
      <c r="U24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2" t="str">
        <f>IF(OR(IFERROR(SEARCH("Met",tblMoeHistory[[#This Row],[State and Local Per Capita Result]]),0)&gt;0,IFERROR(SEARCH("Met",tblMoeHistory[[#This Row],[State and Local Total Result]]),0)&gt;0),"Met","Not Met")</f>
        <v>Met</v>
      </c>
    </row>
    <row r="2493" spans="1:22" x14ac:dyDescent="0.35">
      <c r="A2493" t="s">
        <v>149</v>
      </c>
      <c r="B2493">
        <v>2110</v>
      </c>
      <c r="C2493" t="s">
        <v>2108</v>
      </c>
      <c r="D2493">
        <v>150</v>
      </c>
      <c r="E2493">
        <v>0</v>
      </c>
      <c r="F2493">
        <v>572013.22</v>
      </c>
      <c r="G2493">
        <f>tblMoeHistory[[#This Row],[LEA State and Local Amount]]+tblMoeHistory[[#This Row],[ESD State and Local Amount]]</f>
        <v>572013.22</v>
      </c>
      <c r="J2493">
        <f>IFERROR(tblMoeHistory[[#This Row],[LEA State and Local Amount]]/tblMoeHistory[[#This Row],[Child Count]],0)</f>
        <v>0</v>
      </c>
      <c r="K2493" s="44">
        <f>IFERROR(tblMoeHistory[[#This Row],[ESD State and Local Amount]]/tblMoeHistory[[#This Row],[Child Count]],0)</f>
        <v>3813.4214666666667</v>
      </c>
      <c r="L2493">
        <f>IFERROR(tblMoeHistory[[#This Row],[State and Local Total Amount]]/tblMoeHistory[[#This Row],[Child Count]],0)</f>
        <v>3813.4214666666667</v>
      </c>
      <c r="N2493" t="str">
        <f t="shared" si="6"/>
        <v>Did Not Meet</v>
      </c>
      <c r="Q2493">
        <f>tblMoeHistory[[#This Row],[Amount of IDEA Part B, Section 611 award]]+tblMoeHistory[[#This Row],[Amount of IDEA Part B, Section 619 award]]</f>
        <v>0</v>
      </c>
      <c r="U24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3" t="str">
        <f>IF(OR(IFERROR(SEARCH("Met",tblMoeHistory[[#This Row],[State and Local Per Capita Result]]),0)&gt;0,IFERROR(SEARCH("Met",tblMoeHistory[[#This Row],[State and Local Total Result]]),0)&gt;0),"Met","Not Met")</f>
        <v>Not Met</v>
      </c>
    </row>
    <row r="2494" spans="1:22" x14ac:dyDescent="0.35">
      <c r="A2494" t="s">
        <v>150</v>
      </c>
      <c r="B2494">
        <v>1990</v>
      </c>
      <c r="C2494" t="s">
        <v>2108</v>
      </c>
      <c r="D2494">
        <v>116</v>
      </c>
      <c r="E2494">
        <v>412132.04</v>
      </c>
      <c r="F2494">
        <v>201270.29000000004</v>
      </c>
      <c r="G2494">
        <f>tblMoeHistory[[#This Row],[LEA State and Local Amount]]+tblMoeHistory[[#This Row],[ESD State and Local Amount]]</f>
        <v>613402.33000000007</v>
      </c>
      <c r="J2494">
        <f>IFERROR(tblMoeHistory[[#This Row],[LEA State and Local Amount]]/tblMoeHistory[[#This Row],[Child Count]],0)</f>
        <v>3552.8624137931033</v>
      </c>
      <c r="K2494" s="44">
        <f>IFERROR(tblMoeHistory[[#This Row],[ESD State and Local Amount]]/tblMoeHistory[[#This Row],[Child Count]],0)</f>
        <v>1735.0887068965521</v>
      </c>
      <c r="L2494">
        <f>IFERROR(tblMoeHistory[[#This Row],[State and Local Total Amount]]/tblMoeHistory[[#This Row],[Child Count]],0)</f>
        <v>5287.9511206896559</v>
      </c>
      <c r="N2494" t="str">
        <f t="shared" si="6"/>
        <v>Did Not Meet</v>
      </c>
      <c r="Q2494">
        <f>tblMoeHistory[[#This Row],[Amount of IDEA Part B, Section 611 award]]+tblMoeHistory[[#This Row],[Amount of IDEA Part B, Section 619 award]]</f>
        <v>0</v>
      </c>
      <c r="U24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4" t="str">
        <f>IF(OR(IFERROR(SEARCH("Met",tblMoeHistory[[#This Row],[State and Local Per Capita Result]]),0)&gt;0,IFERROR(SEARCH("Met",tblMoeHistory[[#This Row],[State and Local Total Result]]),0)&gt;0),"Met","Not Met")</f>
        <v>Not Met</v>
      </c>
    </row>
    <row r="2495" spans="1:22" x14ac:dyDescent="0.35">
      <c r="A2495" t="s">
        <v>151</v>
      </c>
      <c r="B2495">
        <v>2093</v>
      </c>
      <c r="C2495" t="s">
        <v>2108</v>
      </c>
      <c r="D2495">
        <v>97</v>
      </c>
      <c r="E2495">
        <v>344036.74000000005</v>
      </c>
      <c r="F2495">
        <v>259564</v>
      </c>
      <c r="G2495">
        <f>tblMoeHistory[[#This Row],[LEA State and Local Amount]]+tblMoeHistory[[#This Row],[ESD State and Local Amount]]</f>
        <v>603600.74</v>
      </c>
      <c r="J2495">
        <f>IFERROR(tblMoeHistory[[#This Row],[LEA State and Local Amount]]/tblMoeHistory[[#This Row],[Child Count]],0)</f>
        <v>3546.7705154639179</v>
      </c>
      <c r="K2495" s="44">
        <f>IFERROR(tblMoeHistory[[#This Row],[ESD State and Local Amount]]/tblMoeHistory[[#This Row],[Child Count]],0)</f>
        <v>2675.9175257731958</v>
      </c>
      <c r="L2495">
        <f>IFERROR(tblMoeHistory[[#This Row],[State and Local Total Amount]]/tblMoeHistory[[#This Row],[Child Count]],0)</f>
        <v>6222.6880412371129</v>
      </c>
      <c r="N2495" t="str">
        <f t="shared" si="6"/>
        <v>Did Not Meet</v>
      </c>
      <c r="Q2495">
        <f>tblMoeHistory[[#This Row],[Amount of IDEA Part B, Section 611 award]]+tblMoeHistory[[#This Row],[Amount of IDEA Part B, Section 619 award]]</f>
        <v>0</v>
      </c>
      <c r="U24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5" t="str">
        <f>IF(OR(IFERROR(SEARCH("Met",tblMoeHistory[[#This Row],[State and Local Per Capita Result]]),0)&gt;0,IFERROR(SEARCH("Met",tblMoeHistory[[#This Row],[State and Local Total Result]]),0)&gt;0),"Met","Not Met")</f>
        <v>Not Met</v>
      </c>
    </row>
    <row r="2496" spans="1:22" x14ac:dyDescent="0.35">
      <c r="A2496" t="s">
        <v>152</v>
      </c>
      <c r="B2496">
        <v>2108</v>
      </c>
      <c r="C2496" t="s">
        <v>2108</v>
      </c>
      <c r="D2496">
        <v>364</v>
      </c>
      <c r="E2496">
        <v>3829631.5399999977</v>
      </c>
      <c r="F2496">
        <v>84904.36</v>
      </c>
      <c r="G2496">
        <f>tblMoeHistory[[#This Row],[LEA State and Local Amount]]+tblMoeHistory[[#This Row],[ESD State and Local Amount]]</f>
        <v>3914535.8999999976</v>
      </c>
      <c r="J2496">
        <f>IFERROR(tblMoeHistory[[#This Row],[LEA State and Local Amount]]/tblMoeHistory[[#This Row],[Child Count]],0)</f>
        <v>10520.965769230763</v>
      </c>
      <c r="K2496" s="44">
        <f>IFERROR(tblMoeHistory[[#This Row],[ESD State and Local Amount]]/tblMoeHistory[[#This Row],[Child Count]],0)</f>
        <v>233.25373626373627</v>
      </c>
      <c r="L2496">
        <f>IFERROR(tblMoeHistory[[#This Row],[State and Local Total Amount]]/tblMoeHistory[[#This Row],[Child Count]],0)</f>
        <v>10754.219505494499</v>
      </c>
      <c r="N2496" t="str">
        <f t="shared" si="6"/>
        <v>Did Not Meet</v>
      </c>
      <c r="Q2496">
        <f>tblMoeHistory[[#This Row],[Amount of IDEA Part B, Section 611 award]]+tblMoeHistory[[#This Row],[Amount of IDEA Part B, Section 619 award]]</f>
        <v>0</v>
      </c>
      <c r="U24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6" t="str">
        <f>IF(OR(IFERROR(SEARCH("Met",tblMoeHistory[[#This Row],[State and Local Per Capita Result]]),0)&gt;0,IFERROR(SEARCH("Met",tblMoeHistory[[#This Row],[State and Local Total Result]]),0)&gt;0),"Met","Not Met")</f>
        <v>Not Met</v>
      </c>
    </row>
    <row r="2497" spans="1:22" x14ac:dyDescent="0.35">
      <c r="A2497" t="s">
        <v>153</v>
      </c>
      <c r="B2497">
        <v>1928</v>
      </c>
      <c r="C2497" t="s">
        <v>2108</v>
      </c>
      <c r="D2497">
        <v>1090</v>
      </c>
      <c r="E2497">
        <v>15470003.719999999</v>
      </c>
      <c r="F2497">
        <v>1626155</v>
      </c>
      <c r="G2497">
        <f>tblMoeHistory[[#This Row],[LEA State and Local Amount]]+tblMoeHistory[[#This Row],[ESD State and Local Amount]]</f>
        <v>17096158.719999999</v>
      </c>
      <c r="J2497">
        <f>IFERROR(tblMoeHistory[[#This Row],[LEA State and Local Amount]]/tblMoeHistory[[#This Row],[Child Count]],0)</f>
        <v>14192.663963302752</v>
      </c>
      <c r="K2497" s="44">
        <f>IFERROR(tblMoeHistory[[#This Row],[ESD State and Local Amount]]/tblMoeHistory[[#This Row],[Child Count]],0)</f>
        <v>1491.8853211009175</v>
      </c>
      <c r="L2497">
        <f>IFERROR(tblMoeHistory[[#This Row],[State and Local Total Amount]]/tblMoeHistory[[#This Row],[Child Count]],0)</f>
        <v>15684.549284403669</v>
      </c>
      <c r="N2497" t="str">
        <f t="shared" si="6"/>
        <v>Met</v>
      </c>
      <c r="Q2497">
        <f>tblMoeHistory[[#This Row],[Amount of IDEA Part B, Section 611 award]]+tblMoeHistory[[#This Row],[Amount of IDEA Part B, Section 619 award]]</f>
        <v>0</v>
      </c>
      <c r="U24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7" t="str">
        <f>IF(OR(IFERROR(SEARCH("Met",tblMoeHistory[[#This Row],[State and Local Per Capita Result]]),0)&gt;0,IFERROR(SEARCH("Met",tblMoeHistory[[#This Row],[State and Local Total Result]]),0)&gt;0),"Met","Not Met")</f>
        <v>Met</v>
      </c>
    </row>
    <row r="2498" spans="1:22" x14ac:dyDescent="0.35">
      <c r="A2498" t="s">
        <v>154</v>
      </c>
      <c r="B2498">
        <v>1926</v>
      </c>
      <c r="C2498" t="s">
        <v>2108</v>
      </c>
      <c r="D2498">
        <v>589</v>
      </c>
      <c r="E2498">
        <v>8789492.5700000059</v>
      </c>
      <c r="F2498">
        <v>1223857</v>
      </c>
      <c r="G2498">
        <f>tblMoeHistory[[#This Row],[LEA State and Local Amount]]+tblMoeHistory[[#This Row],[ESD State and Local Amount]]</f>
        <v>10013349.570000006</v>
      </c>
      <c r="J2498">
        <f>IFERROR(tblMoeHistory[[#This Row],[LEA State and Local Amount]]/tblMoeHistory[[#This Row],[Child Count]],0)</f>
        <v>14922.737809847209</v>
      </c>
      <c r="K2498" s="44">
        <f>IFERROR(tblMoeHistory[[#This Row],[ESD State and Local Amount]]/tblMoeHistory[[#This Row],[Child Count]],0)</f>
        <v>2077.855687606112</v>
      </c>
      <c r="L2498">
        <f>IFERROR(tblMoeHistory[[#This Row],[State and Local Total Amount]]/tblMoeHistory[[#This Row],[Child Count]],0)</f>
        <v>17000.593497453319</v>
      </c>
      <c r="N2498" t="str">
        <f t="shared" si="6"/>
        <v>Met</v>
      </c>
      <c r="Q2498">
        <f>tblMoeHistory[[#This Row],[Amount of IDEA Part B, Section 611 award]]+tblMoeHistory[[#This Row],[Amount of IDEA Part B, Section 619 award]]</f>
        <v>0</v>
      </c>
      <c r="U24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8" t="str">
        <f>IF(OR(IFERROR(SEARCH("Met",tblMoeHistory[[#This Row],[State and Local Per Capita Result]]),0)&gt;0,IFERROR(SEARCH("Met",tblMoeHistory[[#This Row],[State and Local Total Result]]),0)&gt;0),"Met","Not Met")</f>
        <v>Met</v>
      </c>
    </row>
    <row r="2499" spans="1:22" x14ac:dyDescent="0.35">
      <c r="A2499" t="s">
        <v>155</v>
      </c>
      <c r="B2499">
        <v>2060</v>
      </c>
      <c r="C2499" t="s">
        <v>2108</v>
      </c>
      <c r="D2499">
        <v>26</v>
      </c>
      <c r="E2499">
        <v>219258.63</v>
      </c>
      <c r="F2499">
        <v>83219.899999999994</v>
      </c>
      <c r="G2499">
        <f>tblMoeHistory[[#This Row],[LEA State and Local Amount]]+tblMoeHistory[[#This Row],[ESD State and Local Amount]]</f>
        <v>302478.53000000003</v>
      </c>
      <c r="J2499">
        <f>IFERROR(tblMoeHistory[[#This Row],[LEA State and Local Amount]]/tblMoeHistory[[#This Row],[Child Count]],0)</f>
        <v>8433.0242307692315</v>
      </c>
      <c r="K2499" s="44">
        <f>IFERROR(tblMoeHistory[[#This Row],[ESD State and Local Amount]]/tblMoeHistory[[#This Row],[Child Count]],0)</f>
        <v>3200.7653846153844</v>
      </c>
      <c r="L2499">
        <f>IFERROR(tblMoeHistory[[#This Row],[State and Local Total Amount]]/tblMoeHistory[[#This Row],[Child Count]],0)</f>
        <v>11633.789615384616</v>
      </c>
      <c r="N2499" t="str">
        <f t="shared" si="6"/>
        <v>Met</v>
      </c>
      <c r="Q2499">
        <f>tblMoeHistory[[#This Row],[Amount of IDEA Part B, Section 611 award]]+tblMoeHistory[[#This Row],[Amount of IDEA Part B, Section 619 award]]</f>
        <v>0</v>
      </c>
      <c r="U24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9" t="str">
        <f>IF(OR(IFERROR(SEARCH("Met",tblMoeHistory[[#This Row],[State and Local Per Capita Result]]),0)&gt;0,IFERROR(SEARCH("Met",tblMoeHistory[[#This Row],[State and Local Total Result]]),0)&gt;0),"Met","Not Met")</f>
        <v>Met</v>
      </c>
    </row>
    <row r="2500" spans="1:22" x14ac:dyDescent="0.35">
      <c r="A2500" t="s">
        <v>156</v>
      </c>
      <c r="B2500">
        <v>2181</v>
      </c>
      <c r="C2500" t="s">
        <v>2108</v>
      </c>
      <c r="D2500">
        <v>411</v>
      </c>
      <c r="E2500">
        <v>6331858.2899999982</v>
      </c>
      <c r="F2500">
        <v>1165855.18</v>
      </c>
      <c r="G2500">
        <f>tblMoeHistory[[#This Row],[LEA State and Local Amount]]+tblMoeHistory[[#This Row],[ESD State and Local Amount]]</f>
        <v>7497713.4699999979</v>
      </c>
      <c r="J2500">
        <f>IFERROR(tblMoeHistory[[#This Row],[LEA State and Local Amount]]/tblMoeHistory[[#This Row],[Child Count]],0)</f>
        <v>15405.981240875908</v>
      </c>
      <c r="K2500" s="44">
        <f>IFERROR(tblMoeHistory[[#This Row],[ESD State and Local Amount]]/tblMoeHistory[[#This Row],[Child Count]],0)</f>
        <v>2836.6306082725059</v>
      </c>
      <c r="L2500">
        <f>IFERROR(tblMoeHistory[[#This Row],[State and Local Total Amount]]/tblMoeHistory[[#This Row],[Child Count]],0)</f>
        <v>18242.611849148412</v>
      </c>
      <c r="N2500" t="str">
        <f t="shared" si="6"/>
        <v>Met</v>
      </c>
      <c r="Q2500">
        <f>tblMoeHistory[[#This Row],[Amount of IDEA Part B, Section 611 award]]+tblMoeHistory[[#This Row],[Amount of IDEA Part B, Section 619 award]]</f>
        <v>0</v>
      </c>
      <c r="U25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0" t="str">
        <f>IF(OR(IFERROR(SEARCH("Met",tblMoeHistory[[#This Row],[State and Local Per Capita Result]]),0)&gt;0,IFERROR(SEARCH("Met",tblMoeHistory[[#This Row],[State and Local Total Result]]),0)&gt;0),"Met","Not Met")</f>
        <v>Met</v>
      </c>
    </row>
    <row r="2501" spans="1:22" x14ac:dyDescent="0.35">
      <c r="A2501" t="s">
        <v>157</v>
      </c>
      <c r="B2501">
        <v>2207</v>
      </c>
      <c r="C2501" t="s">
        <v>2108</v>
      </c>
      <c r="D2501">
        <v>448</v>
      </c>
      <c r="E2501">
        <v>5928160.9700000035</v>
      </c>
      <c r="F2501">
        <v>927978.2</v>
      </c>
      <c r="G2501">
        <f>tblMoeHistory[[#This Row],[LEA State and Local Amount]]+tblMoeHistory[[#This Row],[ESD State and Local Amount]]</f>
        <v>6856139.1700000037</v>
      </c>
      <c r="J2501">
        <f>IFERROR(tblMoeHistory[[#This Row],[LEA State and Local Amount]]/tblMoeHistory[[#This Row],[Child Count]],0)</f>
        <v>13232.502165178579</v>
      </c>
      <c r="K2501" s="44">
        <f>IFERROR(tblMoeHistory[[#This Row],[ESD State and Local Amount]]/tblMoeHistory[[#This Row],[Child Count]],0)</f>
        <v>2071.3799107142854</v>
      </c>
      <c r="L2501">
        <f>IFERROR(tblMoeHistory[[#This Row],[State and Local Total Amount]]/tblMoeHistory[[#This Row],[Child Count]],0)</f>
        <v>15303.882075892865</v>
      </c>
      <c r="N2501" t="str">
        <f t="shared" si="6"/>
        <v>Met</v>
      </c>
      <c r="Q2501">
        <f>tblMoeHistory[[#This Row],[Amount of IDEA Part B, Section 611 award]]+tblMoeHistory[[#This Row],[Amount of IDEA Part B, Section 619 award]]</f>
        <v>0</v>
      </c>
      <c r="U25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1" t="str">
        <f>IF(OR(IFERROR(SEARCH("Met",tblMoeHistory[[#This Row],[State and Local Per Capita Result]]),0)&gt;0,IFERROR(SEARCH("Met",tblMoeHistory[[#This Row],[State and Local Total Result]]),0)&gt;0),"Met","Not Met")</f>
        <v>Met</v>
      </c>
    </row>
    <row r="2502" spans="1:22" x14ac:dyDescent="0.35">
      <c r="A2502" t="s">
        <v>158</v>
      </c>
      <c r="B2502">
        <v>2192</v>
      </c>
      <c r="C2502" t="s">
        <v>2108</v>
      </c>
      <c r="D2502">
        <v>30</v>
      </c>
      <c r="E2502">
        <v>630328.84</v>
      </c>
      <c r="F2502">
        <v>39426.449999999997</v>
      </c>
      <c r="G2502">
        <f>tblMoeHistory[[#This Row],[LEA State and Local Amount]]+tblMoeHistory[[#This Row],[ESD State and Local Amount]]</f>
        <v>669755.28999999992</v>
      </c>
      <c r="J2502">
        <f>IFERROR(tblMoeHistory[[#This Row],[LEA State and Local Amount]]/tblMoeHistory[[#This Row],[Child Count]],0)</f>
        <v>21010.961333333333</v>
      </c>
      <c r="K2502" s="44">
        <f>IFERROR(tblMoeHistory[[#This Row],[ESD State and Local Amount]]/tblMoeHistory[[#This Row],[Child Count]],0)</f>
        <v>1314.2149999999999</v>
      </c>
      <c r="L2502">
        <f>IFERROR(tblMoeHistory[[#This Row],[State and Local Total Amount]]/tblMoeHistory[[#This Row],[Child Count]],0)</f>
        <v>22325.176333333329</v>
      </c>
      <c r="N2502" t="str">
        <f t="shared" si="6"/>
        <v>Did Not Meet</v>
      </c>
      <c r="Q2502">
        <f>tblMoeHistory[[#This Row],[Amount of IDEA Part B, Section 611 award]]+tblMoeHistory[[#This Row],[Amount of IDEA Part B, Section 619 award]]</f>
        <v>0</v>
      </c>
      <c r="U25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2" t="str">
        <f>IF(OR(IFERROR(SEARCH("Met",tblMoeHistory[[#This Row],[State and Local Per Capita Result]]),0)&gt;0,IFERROR(SEARCH("Met",tblMoeHistory[[#This Row],[State and Local Total Result]]),0)&gt;0),"Met","Not Met")</f>
        <v>Not Met</v>
      </c>
    </row>
    <row r="2503" spans="1:22" x14ac:dyDescent="0.35">
      <c r="A2503" t="s">
        <v>160</v>
      </c>
      <c r="B2503">
        <v>1900</v>
      </c>
      <c r="C2503" t="s">
        <v>2108</v>
      </c>
      <c r="D2503">
        <v>190</v>
      </c>
      <c r="E2503">
        <v>2558805.0699999998</v>
      </c>
      <c r="F2503">
        <v>244336</v>
      </c>
      <c r="G2503">
        <f>tblMoeHistory[[#This Row],[LEA State and Local Amount]]+tblMoeHistory[[#This Row],[ESD State and Local Amount]]</f>
        <v>2803141.07</v>
      </c>
      <c r="J2503">
        <f>IFERROR(tblMoeHistory[[#This Row],[LEA State and Local Amount]]/tblMoeHistory[[#This Row],[Child Count]],0)</f>
        <v>13467.395105263156</v>
      </c>
      <c r="K2503" s="44">
        <f>IFERROR(tblMoeHistory[[#This Row],[ESD State and Local Amount]]/tblMoeHistory[[#This Row],[Child Count]],0)</f>
        <v>1285.9789473684211</v>
      </c>
      <c r="L2503">
        <f>IFERROR(tblMoeHistory[[#This Row],[State and Local Total Amount]]/tblMoeHistory[[#This Row],[Child Count]],0)</f>
        <v>14753.374052631578</v>
      </c>
      <c r="N2503" t="str">
        <f t="shared" si="6"/>
        <v>Met</v>
      </c>
      <c r="Q2503">
        <f>tblMoeHistory[[#This Row],[Amount of IDEA Part B, Section 611 award]]+tblMoeHistory[[#This Row],[Amount of IDEA Part B, Section 619 award]]</f>
        <v>0</v>
      </c>
      <c r="U25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3" t="str">
        <f>IF(OR(IFERROR(SEARCH("Met",tblMoeHistory[[#This Row],[State and Local Per Capita Result]]),0)&gt;0,IFERROR(SEARCH("Met",tblMoeHistory[[#This Row],[State and Local Total Result]]),0)&gt;0),"Met","Not Met")</f>
        <v>Met</v>
      </c>
    </row>
    <row r="2504" spans="1:22" x14ac:dyDescent="0.35">
      <c r="A2504" t="s">
        <v>161</v>
      </c>
      <c r="B2504">
        <v>2039</v>
      </c>
      <c r="C2504" t="s">
        <v>2108</v>
      </c>
      <c r="D2504">
        <v>364</v>
      </c>
      <c r="E2504">
        <v>4345268.3900000025</v>
      </c>
      <c r="F2504">
        <v>380290.79</v>
      </c>
      <c r="G2504">
        <f>tblMoeHistory[[#This Row],[LEA State and Local Amount]]+tblMoeHistory[[#This Row],[ESD State and Local Amount]]</f>
        <v>4725559.1800000025</v>
      </c>
      <c r="J2504">
        <f>IFERROR(tblMoeHistory[[#This Row],[LEA State and Local Amount]]/tblMoeHistory[[#This Row],[Child Count]],0)</f>
        <v>11937.550521978028</v>
      </c>
      <c r="K2504" s="44">
        <f>IFERROR(tblMoeHistory[[#This Row],[ESD State and Local Amount]]/tblMoeHistory[[#This Row],[Child Count]],0)</f>
        <v>1044.7549175824174</v>
      </c>
      <c r="L2504">
        <f>IFERROR(tblMoeHistory[[#This Row],[State and Local Total Amount]]/tblMoeHistory[[#This Row],[Child Count]],0)</f>
        <v>12982.305439560447</v>
      </c>
      <c r="N2504" t="str">
        <f t="shared" si="6"/>
        <v>Met</v>
      </c>
      <c r="Q2504">
        <f>tblMoeHistory[[#This Row],[Amount of IDEA Part B, Section 611 award]]+tblMoeHistory[[#This Row],[Amount of IDEA Part B, Section 619 award]]</f>
        <v>0</v>
      </c>
      <c r="U25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4" t="str">
        <f>IF(OR(IFERROR(SEARCH("Met",tblMoeHistory[[#This Row],[State and Local Per Capita Result]]),0)&gt;0,IFERROR(SEARCH("Met",tblMoeHistory[[#This Row],[State and Local Total Result]]),0)&gt;0),"Met","Not Met")</f>
        <v>Met</v>
      </c>
    </row>
    <row r="2505" spans="1:22" x14ac:dyDescent="0.35">
      <c r="A2505" t="s">
        <v>162</v>
      </c>
      <c r="B2505">
        <v>2202</v>
      </c>
      <c r="C2505" t="s">
        <v>2108</v>
      </c>
      <c r="D2505">
        <v>46</v>
      </c>
      <c r="E2505">
        <v>378774.29</v>
      </c>
      <c r="F2505">
        <v>119669.44</v>
      </c>
      <c r="G2505">
        <f>tblMoeHistory[[#This Row],[LEA State and Local Amount]]+tblMoeHistory[[#This Row],[ESD State and Local Amount]]</f>
        <v>498443.73</v>
      </c>
      <c r="J2505">
        <f>IFERROR(tblMoeHistory[[#This Row],[LEA State and Local Amount]]/tblMoeHistory[[#This Row],[Child Count]],0)</f>
        <v>8234.2236956521738</v>
      </c>
      <c r="K2505" s="44">
        <f>IFERROR(tblMoeHistory[[#This Row],[ESD State and Local Amount]]/tblMoeHistory[[#This Row],[Child Count]],0)</f>
        <v>2601.5095652173914</v>
      </c>
      <c r="L2505">
        <f>IFERROR(tblMoeHistory[[#This Row],[State and Local Total Amount]]/tblMoeHistory[[#This Row],[Child Count]],0)</f>
        <v>10835.733260869565</v>
      </c>
      <c r="N2505" t="str">
        <f t="shared" si="6"/>
        <v>Did Not Meet</v>
      </c>
      <c r="Q2505">
        <f>tblMoeHistory[[#This Row],[Amount of IDEA Part B, Section 611 award]]+tblMoeHistory[[#This Row],[Amount of IDEA Part B, Section 619 award]]</f>
        <v>0</v>
      </c>
      <c r="U25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5" t="str">
        <f>IF(OR(IFERROR(SEARCH("Met",tblMoeHistory[[#This Row],[State and Local Per Capita Result]]),0)&gt;0,IFERROR(SEARCH("Met",tblMoeHistory[[#This Row],[State and Local Total Result]]),0)&gt;0),"Met","Not Met")</f>
        <v>Not Met</v>
      </c>
    </row>
    <row r="2506" spans="1:22" x14ac:dyDescent="0.35">
      <c r="A2506" t="s">
        <v>163</v>
      </c>
      <c r="B2506">
        <v>2016</v>
      </c>
      <c r="C2506" t="s">
        <v>2108</v>
      </c>
      <c r="D2506">
        <v>0</v>
      </c>
      <c r="E2506">
        <v>0</v>
      </c>
      <c r="F2506">
        <v>10786.86</v>
      </c>
      <c r="G2506">
        <f>tblMoeHistory[[#This Row],[LEA State and Local Amount]]+tblMoeHistory[[#This Row],[ESD State and Local Amount]]</f>
        <v>10786.86</v>
      </c>
      <c r="J2506">
        <f>IFERROR(tblMoeHistory[[#This Row],[LEA State and Local Amount]]/tblMoeHistory[[#This Row],[Child Count]],0)</f>
        <v>0</v>
      </c>
      <c r="K2506" s="44">
        <f>IFERROR(tblMoeHistory[[#This Row],[ESD State and Local Amount]]/tblMoeHistory[[#This Row],[Child Count]],0)</f>
        <v>0</v>
      </c>
      <c r="L2506">
        <f>IFERROR(tblMoeHistory[[#This Row],[State and Local Total Amount]]/tblMoeHistory[[#This Row],[Child Count]],0)</f>
        <v>0</v>
      </c>
      <c r="N2506" t="str">
        <f t="shared" si="6"/>
        <v>Met</v>
      </c>
      <c r="Q2506">
        <f>tblMoeHistory[[#This Row],[Amount of IDEA Part B, Section 611 award]]+tblMoeHistory[[#This Row],[Amount of IDEA Part B, Section 619 award]]</f>
        <v>0</v>
      </c>
      <c r="U25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6" t="str">
        <f>IF(OR(IFERROR(SEARCH("Met",tblMoeHistory[[#This Row],[State and Local Per Capita Result]]),0)&gt;0,IFERROR(SEARCH("Met",tblMoeHistory[[#This Row],[State and Local Total Result]]),0)&gt;0),"Met","Not Met")</f>
        <v>Met</v>
      </c>
    </row>
    <row r="2507" spans="1:22" x14ac:dyDescent="0.35">
      <c r="A2507" t="s">
        <v>164</v>
      </c>
      <c r="B2507">
        <v>1897</v>
      </c>
      <c r="C2507" t="s">
        <v>2108</v>
      </c>
      <c r="D2507">
        <v>37</v>
      </c>
      <c r="E2507">
        <v>253476.59</v>
      </c>
      <c r="F2507">
        <v>0</v>
      </c>
      <c r="G2507">
        <f>tblMoeHistory[[#This Row],[LEA State and Local Amount]]+tblMoeHistory[[#This Row],[ESD State and Local Amount]]</f>
        <v>253476.59</v>
      </c>
      <c r="J2507">
        <f>IFERROR(tblMoeHistory[[#This Row],[LEA State and Local Amount]]/tblMoeHistory[[#This Row],[Child Count]],0)</f>
        <v>6850.7186486486489</v>
      </c>
      <c r="K2507" s="44">
        <f>IFERROR(tblMoeHistory[[#This Row],[ESD State and Local Amount]]/tblMoeHistory[[#This Row],[Child Count]],0)</f>
        <v>0</v>
      </c>
      <c r="L2507">
        <f>IFERROR(tblMoeHistory[[#This Row],[State and Local Total Amount]]/tblMoeHistory[[#This Row],[Child Count]],0)</f>
        <v>6850.7186486486489</v>
      </c>
      <c r="N2507" t="str">
        <f t="shared" si="6"/>
        <v>Did Not Meet</v>
      </c>
      <c r="Q2507">
        <f>tblMoeHistory[[#This Row],[Amount of IDEA Part B, Section 611 award]]+tblMoeHistory[[#This Row],[Amount of IDEA Part B, Section 619 award]]</f>
        <v>0</v>
      </c>
      <c r="U25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7" t="str">
        <f>IF(OR(IFERROR(SEARCH("Met",tblMoeHistory[[#This Row],[State and Local Per Capita Result]]),0)&gt;0,IFERROR(SEARCH("Met",tblMoeHistory[[#This Row],[State and Local Total Result]]),0)&gt;0),"Met","Not Met")</f>
        <v>Not Met</v>
      </c>
    </row>
    <row r="2508" spans="1:22" x14ac:dyDescent="0.35">
      <c r="A2508" t="s">
        <v>165</v>
      </c>
      <c r="B2508">
        <v>2047</v>
      </c>
      <c r="C2508" t="s">
        <v>2108</v>
      </c>
      <c r="D2508">
        <v>2</v>
      </c>
      <c r="E2508">
        <v>18133</v>
      </c>
      <c r="F2508">
        <v>6380.86</v>
      </c>
      <c r="G2508">
        <f>tblMoeHistory[[#This Row],[LEA State and Local Amount]]+tblMoeHistory[[#This Row],[ESD State and Local Amount]]</f>
        <v>24513.86</v>
      </c>
      <c r="J2508">
        <f>IFERROR(tblMoeHistory[[#This Row],[LEA State and Local Amount]]/tblMoeHistory[[#This Row],[Child Count]],0)</f>
        <v>9066.5</v>
      </c>
      <c r="K2508" s="44">
        <f>IFERROR(tblMoeHistory[[#This Row],[ESD State and Local Amount]]/tblMoeHistory[[#This Row],[Child Count]],0)</f>
        <v>3190.43</v>
      </c>
      <c r="L2508">
        <f>IFERROR(tblMoeHistory[[#This Row],[State and Local Total Amount]]/tblMoeHistory[[#This Row],[Child Count]],0)</f>
        <v>12256.93</v>
      </c>
      <c r="N2508" t="str">
        <f t="shared" si="6"/>
        <v>Met</v>
      </c>
      <c r="Q2508">
        <f>tblMoeHistory[[#This Row],[Amount of IDEA Part B, Section 611 award]]+tblMoeHistory[[#This Row],[Amount of IDEA Part B, Section 619 award]]</f>
        <v>0</v>
      </c>
      <c r="U25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8" t="str">
        <f>IF(OR(IFERROR(SEARCH("Met",tblMoeHistory[[#This Row],[State and Local Per Capita Result]]),0)&gt;0,IFERROR(SEARCH("Met",tblMoeHistory[[#This Row],[State and Local Total Result]]),0)&gt;0),"Met","Not Met")</f>
        <v>Met</v>
      </c>
    </row>
    <row r="2509" spans="1:22" x14ac:dyDescent="0.35">
      <c r="A2509" t="s">
        <v>166</v>
      </c>
      <c r="B2509">
        <v>2081</v>
      </c>
      <c r="C2509" t="s">
        <v>2108</v>
      </c>
      <c r="D2509">
        <v>148</v>
      </c>
      <c r="E2509">
        <v>1108708.1299999999</v>
      </c>
      <c r="F2509">
        <v>444670</v>
      </c>
      <c r="G2509">
        <f>tblMoeHistory[[#This Row],[LEA State and Local Amount]]+tblMoeHistory[[#This Row],[ESD State and Local Amount]]</f>
        <v>1553378.13</v>
      </c>
      <c r="J2509">
        <f>IFERROR(tblMoeHistory[[#This Row],[LEA State and Local Amount]]/tblMoeHistory[[#This Row],[Child Count]],0)</f>
        <v>7491.2711486486478</v>
      </c>
      <c r="K2509" s="44">
        <f>IFERROR(tblMoeHistory[[#This Row],[ESD State and Local Amount]]/tblMoeHistory[[#This Row],[Child Count]],0)</f>
        <v>3004.5270270270271</v>
      </c>
      <c r="L2509">
        <f>IFERROR(tblMoeHistory[[#This Row],[State and Local Total Amount]]/tblMoeHistory[[#This Row],[Child Count]],0)</f>
        <v>10495.798175675674</v>
      </c>
      <c r="N2509" t="str">
        <f t="shared" si="6"/>
        <v>Met</v>
      </c>
      <c r="Q2509">
        <f>tblMoeHistory[[#This Row],[Amount of IDEA Part B, Section 611 award]]+tblMoeHistory[[#This Row],[Amount of IDEA Part B, Section 619 award]]</f>
        <v>0</v>
      </c>
      <c r="U25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9" t="str">
        <f>IF(OR(IFERROR(SEARCH("Met",tblMoeHistory[[#This Row],[State and Local Per Capita Result]]),0)&gt;0,IFERROR(SEARCH("Met",tblMoeHistory[[#This Row],[State and Local Total Result]]),0)&gt;0),"Met","Not Met")</f>
        <v>Met</v>
      </c>
    </row>
    <row r="2510" spans="1:22" x14ac:dyDescent="0.35">
      <c r="A2510" t="s">
        <v>167</v>
      </c>
      <c r="B2510">
        <v>2062</v>
      </c>
      <c r="C2510" t="s">
        <v>2108</v>
      </c>
      <c r="D2510">
        <v>1</v>
      </c>
      <c r="E2510">
        <v>0</v>
      </c>
      <c r="F2510">
        <v>28703.21</v>
      </c>
      <c r="G2510">
        <f>tblMoeHistory[[#This Row],[LEA State and Local Amount]]+tblMoeHistory[[#This Row],[ESD State and Local Amount]]</f>
        <v>28703.21</v>
      </c>
      <c r="J2510">
        <f>IFERROR(tblMoeHistory[[#This Row],[LEA State and Local Amount]]/tblMoeHistory[[#This Row],[Child Count]],0)</f>
        <v>0</v>
      </c>
      <c r="K2510" s="44">
        <f>IFERROR(tblMoeHistory[[#This Row],[ESD State and Local Amount]]/tblMoeHistory[[#This Row],[Child Count]],0)</f>
        <v>28703.21</v>
      </c>
      <c r="L2510">
        <f>IFERROR(tblMoeHistory[[#This Row],[State and Local Total Amount]]/tblMoeHistory[[#This Row],[Child Count]],0)</f>
        <v>28703.21</v>
      </c>
      <c r="N2510" t="str">
        <f t="shared" si="6"/>
        <v>Met</v>
      </c>
      <c r="Q2510">
        <f>tblMoeHistory[[#This Row],[Amount of IDEA Part B, Section 611 award]]+tblMoeHistory[[#This Row],[Amount of IDEA Part B, Section 619 award]]</f>
        <v>0</v>
      </c>
      <c r="U25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0" t="str">
        <f>IF(OR(IFERROR(SEARCH("Met",tblMoeHistory[[#This Row],[State and Local Per Capita Result]]),0)&gt;0,IFERROR(SEARCH("Met",tblMoeHistory[[#This Row],[State and Local Total Result]]),0)&gt;0),"Met","Not Met")</f>
        <v>Met</v>
      </c>
    </row>
    <row r="2511" spans="1:22" x14ac:dyDescent="0.35">
      <c r="A2511" t="s">
        <v>168</v>
      </c>
      <c r="B2511">
        <v>1973</v>
      </c>
      <c r="C2511" t="s">
        <v>2108</v>
      </c>
      <c r="D2511">
        <v>33</v>
      </c>
      <c r="E2511">
        <v>315646</v>
      </c>
      <c r="F2511">
        <v>153304.93</v>
      </c>
      <c r="G2511">
        <f>tblMoeHistory[[#This Row],[LEA State and Local Amount]]+tblMoeHistory[[#This Row],[ESD State and Local Amount]]</f>
        <v>468950.93</v>
      </c>
      <c r="J2511">
        <f>IFERROR(tblMoeHistory[[#This Row],[LEA State and Local Amount]]/tblMoeHistory[[#This Row],[Child Count]],0)</f>
        <v>9565.0303030303039</v>
      </c>
      <c r="K2511" s="44">
        <f>IFERROR(tblMoeHistory[[#This Row],[ESD State and Local Amount]]/tblMoeHistory[[#This Row],[Child Count]],0)</f>
        <v>4645.6039393939391</v>
      </c>
      <c r="L2511">
        <f>IFERROR(tblMoeHistory[[#This Row],[State and Local Total Amount]]/tblMoeHistory[[#This Row],[Child Count]],0)</f>
        <v>14210.634242424243</v>
      </c>
      <c r="N2511" t="str">
        <f t="shared" si="6"/>
        <v>Did Not Meet</v>
      </c>
      <c r="Q2511">
        <f>tblMoeHistory[[#This Row],[Amount of IDEA Part B, Section 611 award]]+tblMoeHistory[[#This Row],[Amount of IDEA Part B, Section 619 award]]</f>
        <v>0</v>
      </c>
      <c r="U25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1" t="str">
        <f>IF(OR(IFERROR(SEARCH("Met",tblMoeHistory[[#This Row],[State and Local Per Capita Result]]),0)&gt;0,IFERROR(SEARCH("Met",tblMoeHistory[[#This Row],[State and Local Total Result]]),0)&gt;0),"Met","Not Met")</f>
        <v>Not Met</v>
      </c>
    </row>
    <row r="2512" spans="1:22" x14ac:dyDescent="0.35">
      <c r="A2512" t="s">
        <v>169</v>
      </c>
      <c r="B2512">
        <v>2180</v>
      </c>
      <c r="C2512" t="s">
        <v>2108</v>
      </c>
      <c r="D2512">
        <v>7184</v>
      </c>
      <c r="E2512">
        <v>116263475.94999997</v>
      </c>
      <c r="F2512">
        <v>4071879.8099999996</v>
      </c>
      <c r="G2512">
        <f>tblMoeHistory[[#This Row],[LEA State and Local Amount]]+tblMoeHistory[[#This Row],[ESD State and Local Amount]]</f>
        <v>120335355.75999998</v>
      </c>
      <c r="J2512">
        <f>IFERROR(tblMoeHistory[[#This Row],[LEA State and Local Amount]]/tblMoeHistory[[#This Row],[Child Count]],0)</f>
        <v>16183.66870128062</v>
      </c>
      <c r="K2512" s="44">
        <f>IFERROR(tblMoeHistory[[#This Row],[ESD State and Local Amount]]/tblMoeHistory[[#This Row],[Child Count]],0)</f>
        <v>566.79841453229392</v>
      </c>
      <c r="L2512">
        <f>IFERROR(tblMoeHistory[[#This Row],[State and Local Total Amount]]/tblMoeHistory[[#This Row],[Child Count]],0)</f>
        <v>16750.467115812913</v>
      </c>
      <c r="N2512" t="str">
        <f t="shared" si="6"/>
        <v>Met</v>
      </c>
      <c r="Q2512">
        <f>tblMoeHistory[[#This Row],[Amount of IDEA Part B, Section 611 award]]+tblMoeHistory[[#This Row],[Amount of IDEA Part B, Section 619 award]]</f>
        <v>0</v>
      </c>
      <c r="U25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2" t="str">
        <f>IF(OR(IFERROR(SEARCH("Met",tblMoeHistory[[#This Row],[State and Local Per Capita Result]]),0)&gt;0,IFERROR(SEARCH("Met",tblMoeHistory[[#This Row],[State and Local Total Result]]),0)&gt;0),"Met","Not Met")</f>
        <v>Met</v>
      </c>
    </row>
    <row r="2513" spans="1:22" x14ac:dyDescent="0.35">
      <c r="A2513" t="s">
        <v>170</v>
      </c>
      <c r="B2513">
        <v>1967</v>
      </c>
      <c r="C2513" t="s">
        <v>2108</v>
      </c>
      <c r="D2513">
        <v>19</v>
      </c>
      <c r="E2513">
        <v>99046.439999999988</v>
      </c>
      <c r="F2513">
        <v>49377.279999999999</v>
      </c>
      <c r="G2513">
        <f>tblMoeHistory[[#This Row],[LEA State and Local Amount]]+tblMoeHistory[[#This Row],[ESD State and Local Amount]]</f>
        <v>148423.71999999997</v>
      </c>
      <c r="J2513">
        <f>IFERROR(tblMoeHistory[[#This Row],[LEA State and Local Amount]]/tblMoeHistory[[#This Row],[Child Count]],0)</f>
        <v>5212.9705263157884</v>
      </c>
      <c r="K2513" s="44">
        <f>IFERROR(tblMoeHistory[[#This Row],[ESD State and Local Amount]]/tblMoeHistory[[#This Row],[Child Count]],0)</f>
        <v>2598.8042105263157</v>
      </c>
      <c r="L2513">
        <f>IFERROR(tblMoeHistory[[#This Row],[State and Local Total Amount]]/tblMoeHistory[[#This Row],[Child Count]],0)</f>
        <v>7811.7747368421042</v>
      </c>
      <c r="N2513" t="str">
        <f t="shared" si="6"/>
        <v>Met</v>
      </c>
      <c r="Q2513">
        <f>tblMoeHistory[[#This Row],[Amount of IDEA Part B, Section 611 award]]+tblMoeHistory[[#This Row],[Amount of IDEA Part B, Section 619 award]]</f>
        <v>0</v>
      </c>
      <c r="U25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3" t="str">
        <f>IF(OR(IFERROR(SEARCH("Met",tblMoeHistory[[#This Row],[State and Local Per Capita Result]]),0)&gt;0,IFERROR(SEARCH("Met",tblMoeHistory[[#This Row],[State and Local Total Result]]),0)&gt;0),"Met","Not Met")</f>
        <v>Met</v>
      </c>
    </row>
    <row r="2514" spans="1:22" x14ac:dyDescent="0.35">
      <c r="A2514" t="s">
        <v>171</v>
      </c>
      <c r="B2514">
        <v>2009</v>
      </c>
      <c r="C2514" t="s">
        <v>2108</v>
      </c>
      <c r="D2514">
        <v>146</v>
      </c>
      <c r="E2514">
        <v>545083.65999999992</v>
      </c>
      <c r="F2514">
        <v>150843.13</v>
      </c>
      <c r="G2514">
        <f>tblMoeHistory[[#This Row],[LEA State and Local Amount]]+tblMoeHistory[[#This Row],[ESD State and Local Amount]]</f>
        <v>695926.78999999992</v>
      </c>
      <c r="J2514">
        <f>IFERROR(tblMoeHistory[[#This Row],[LEA State and Local Amount]]/tblMoeHistory[[#This Row],[Child Count]],0)</f>
        <v>3733.4497260273965</v>
      </c>
      <c r="K2514" s="44">
        <f>IFERROR(tblMoeHistory[[#This Row],[ESD State and Local Amount]]/tblMoeHistory[[#This Row],[Child Count]],0)</f>
        <v>1033.1721232876712</v>
      </c>
      <c r="L2514">
        <f>IFERROR(tblMoeHistory[[#This Row],[State and Local Total Amount]]/tblMoeHistory[[#This Row],[Child Count]],0)</f>
        <v>4766.6218493150682</v>
      </c>
      <c r="N2514" t="str">
        <f t="shared" si="6"/>
        <v>Met</v>
      </c>
      <c r="Q2514">
        <f>tblMoeHistory[[#This Row],[Amount of IDEA Part B, Section 611 award]]+tblMoeHistory[[#This Row],[Amount of IDEA Part B, Section 619 award]]</f>
        <v>0</v>
      </c>
      <c r="U25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4" t="str">
        <f>IF(OR(IFERROR(SEARCH("Met",tblMoeHistory[[#This Row],[State and Local Per Capita Result]]),0)&gt;0,IFERROR(SEARCH("Met",tblMoeHistory[[#This Row],[State and Local Total Result]]),0)&gt;0),"Met","Not Met")</f>
        <v>Met</v>
      </c>
    </row>
    <row r="2515" spans="1:22" x14ac:dyDescent="0.35">
      <c r="A2515" t="s">
        <v>172</v>
      </c>
      <c r="B2515">
        <v>2045</v>
      </c>
      <c r="C2515" t="s">
        <v>2108</v>
      </c>
      <c r="D2515">
        <v>32</v>
      </c>
      <c r="E2515">
        <v>251601.19999999998</v>
      </c>
      <c r="F2515">
        <v>104604.05</v>
      </c>
      <c r="G2515">
        <f>tblMoeHistory[[#This Row],[LEA State and Local Amount]]+tblMoeHistory[[#This Row],[ESD State and Local Amount]]</f>
        <v>356205.25</v>
      </c>
      <c r="J2515">
        <f>IFERROR(tblMoeHistory[[#This Row],[LEA State and Local Amount]]/tblMoeHistory[[#This Row],[Child Count]],0)</f>
        <v>7862.5374999999995</v>
      </c>
      <c r="K2515" s="44">
        <f>IFERROR(tblMoeHistory[[#This Row],[ESD State and Local Amount]]/tblMoeHistory[[#This Row],[Child Count]],0)</f>
        <v>3268.8765625000001</v>
      </c>
      <c r="L2515">
        <f>IFERROR(tblMoeHistory[[#This Row],[State and Local Total Amount]]/tblMoeHistory[[#This Row],[Child Count]],0)</f>
        <v>11131.4140625</v>
      </c>
      <c r="N2515" t="str">
        <f t="shared" si="6"/>
        <v>Did Not Meet</v>
      </c>
      <c r="Q2515">
        <f>tblMoeHistory[[#This Row],[Amount of IDEA Part B, Section 611 award]]+tblMoeHistory[[#This Row],[Amount of IDEA Part B, Section 619 award]]</f>
        <v>0</v>
      </c>
      <c r="U25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5" t="str">
        <f>IF(OR(IFERROR(SEARCH("Met",tblMoeHistory[[#This Row],[State and Local Per Capita Result]]),0)&gt;0,IFERROR(SEARCH("Met",tblMoeHistory[[#This Row],[State and Local Total Result]]),0)&gt;0),"Met","Not Met")</f>
        <v>Not Met</v>
      </c>
    </row>
    <row r="2516" spans="1:22" x14ac:dyDescent="0.35">
      <c r="A2516" t="s">
        <v>173</v>
      </c>
      <c r="B2516">
        <v>1946</v>
      </c>
      <c r="C2516" t="s">
        <v>2108</v>
      </c>
      <c r="D2516">
        <v>156</v>
      </c>
      <c r="E2516">
        <v>1829287.9600000004</v>
      </c>
      <c r="F2516">
        <v>163220</v>
      </c>
      <c r="G2516">
        <f>tblMoeHistory[[#This Row],[LEA State and Local Amount]]+tblMoeHistory[[#This Row],[ESD State and Local Amount]]</f>
        <v>1992507.9600000004</v>
      </c>
      <c r="J2516">
        <f>IFERROR(tblMoeHistory[[#This Row],[LEA State and Local Amount]]/tblMoeHistory[[#This Row],[Child Count]],0)</f>
        <v>11726.204871794875</v>
      </c>
      <c r="K2516" s="44">
        <f>IFERROR(tblMoeHistory[[#This Row],[ESD State and Local Amount]]/tblMoeHistory[[#This Row],[Child Count]],0)</f>
        <v>1046.2820512820513</v>
      </c>
      <c r="L2516">
        <f>IFERROR(tblMoeHistory[[#This Row],[State and Local Total Amount]]/tblMoeHistory[[#This Row],[Child Count]],0)</f>
        <v>12772.486923076925</v>
      </c>
      <c r="N2516" t="str">
        <f t="shared" si="6"/>
        <v>Met</v>
      </c>
      <c r="Q2516">
        <f>tblMoeHistory[[#This Row],[Amount of IDEA Part B, Section 611 award]]+tblMoeHistory[[#This Row],[Amount of IDEA Part B, Section 619 award]]</f>
        <v>0</v>
      </c>
      <c r="U25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6" t="str">
        <f>IF(OR(IFERROR(SEARCH("Met",tblMoeHistory[[#This Row],[State and Local Per Capita Result]]),0)&gt;0,IFERROR(SEARCH("Met",tblMoeHistory[[#This Row],[State and Local Total Result]]),0)&gt;0),"Met","Not Met")</f>
        <v>Met</v>
      </c>
    </row>
    <row r="2517" spans="1:22" x14ac:dyDescent="0.35">
      <c r="A2517" t="s">
        <v>174</v>
      </c>
      <c r="B2517">
        <v>1977</v>
      </c>
      <c r="C2517" t="s">
        <v>2108</v>
      </c>
      <c r="D2517">
        <v>870</v>
      </c>
      <c r="E2517">
        <v>12780169.529999988</v>
      </c>
      <c r="F2517">
        <v>1330368.71</v>
      </c>
      <c r="G2517">
        <f>tblMoeHistory[[#This Row],[LEA State and Local Amount]]+tblMoeHistory[[#This Row],[ESD State and Local Amount]]</f>
        <v>14110538.239999987</v>
      </c>
      <c r="J2517">
        <f>IFERROR(tblMoeHistory[[#This Row],[LEA State and Local Amount]]/tblMoeHistory[[#This Row],[Child Count]],0)</f>
        <v>14689.850034482744</v>
      </c>
      <c r="K2517" s="44">
        <f>IFERROR(tblMoeHistory[[#This Row],[ESD State and Local Amount]]/tblMoeHistory[[#This Row],[Child Count]],0)</f>
        <v>1529.1594367816092</v>
      </c>
      <c r="L2517">
        <f>IFERROR(tblMoeHistory[[#This Row],[State and Local Total Amount]]/tblMoeHistory[[#This Row],[Child Count]],0)</f>
        <v>16219.009471264353</v>
      </c>
      <c r="N2517" t="str">
        <f t="shared" si="6"/>
        <v>Met</v>
      </c>
      <c r="Q2517">
        <f>tblMoeHistory[[#This Row],[Amount of IDEA Part B, Section 611 award]]+tblMoeHistory[[#This Row],[Amount of IDEA Part B, Section 619 award]]</f>
        <v>0</v>
      </c>
      <c r="U25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7" t="str">
        <f>IF(OR(IFERROR(SEARCH("Met",tblMoeHistory[[#This Row],[State and Local Per Capita Result]]),0)&gt;0,IFERROR(SEARCH("Met",tblMoeHistory[[#This Row],[State and Local Total Result]]),0)&gt;0),"Met","Not Met")</f>
        <v>Met</v>
      </c>
    </row>
    <row r="2518" spans="1:22" x14ac:dyDescent="0.35">
      <c r="A2518" t="s">
        <v>175</v>
      </c>
      <c r="B2518">
        <v>2001</v>
      </c>
      <c r="C2518" t="s">
        <v>2108</v>
      </c>
      <c r="D2518">
        <v>119</v>
      </c>
      <c r="E2518">
        <v>1782011.4399999997</v>
      </c>
      <c r="F2518">
        <v>220904.54</v>
      </c>
      <c r="G2518">
        <f>tblMoeHistory[[#This Row],[LEA State and Local Amount]]+tblMoeHistory[[#This Row],[ESD State and Local Amount]]</f>
        <v>2002915.9799999997</v>
      </c>
      <c r="J2518">
        <f>IFERROR(tblMoeHistory[[#This Row],[LEA State and Local Amount]]/tblMoeHistory[[#This Row],[Child Count]],0)</f>
        <v>14974.886050420166</v>
      </c>
      <c r="K2518" s="44">
        <f>IFERROR(tblMoeHistory[[#This Row],[ESD State and Local Amount]]/tblMoeHistory[[#This Row],[Child Count]],0)</f>
        <v>1856.3406722689076</v>
      </c>
      <c r="L2518">
        <f>IFERROR(tblMoeHistory[[#This Row],[State and Local Total Amount]]/tblMoeHistory[[#This Row],[Child Count]],0)</f>
        <v>16831.226722689073</v>
      </c>
      <c r="N2518" t="str">
        <f t="shared" si="6"/>
        <v>Met</v>
      </c>
      <c r="Q2518">
        <f>tblMoeHistory[[#This Row],[Amount of IDEA Part B, Section 611 award]]+tblMoeHistory[[#This Row],[Amount of IDEA Part B, Section 619 award]]</f>
        <v>0</v>
      </c>
      <c r="U25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8" t="str">
        <f>IF(OR(IFERROR(SEARCH("Met",tblMoeHistory[[#This Row],[State and Local Per Capita Result]]),0)&gt;0,IFERROR(SEARCH("Met",tblMoeHistory[[#This Row],[State and Local Total Result]]),0)&gt;0),"Met","Not Met")</f>
        <v>Met</v>
      </c>
    </row>
    <row r="2519" spans="1:22" x14ac:dyDescent="0.35">
      <c r="A2519" t="s">
        <v>176</v>
      </c>
      <c r="B2519">
        <v>2182</v>
      </c>
      <c r="C2519" t="s">
        <v>2108</v>
      </c>
      <c r="D2519">
        <v>1572</v>
      </c>
      <c r="E2519">
        <v>21295435.450000003</v>
      </c>
      <c r="F2519">
        <v>3356733.16</v>
      </c>
      <c r="G2519">
        <f>tblMoeHistory[[#This Row],[LEA State and Local Amount]]+tblMoeHistory[[#This Row],[ESD State and Local Amount]]</f>
        <v>24652168.610000003</v>
      </c>
      <c r="J2519">
        <f>IFERROR(tblMoeHistory[[#This Row],[LEA State and Local Amount]]/tblMoeHistory[[#This Row],[Child Count]],0)</f>
        <v>13546.714662849874</v>
      </c>
      <c r="K2519" s="44">
        <f>IFERROR(tblMoeHistory[[#This Row],[ESD State and Local Amount]]/tblMoeHistory[[#This Row],[Child Count]],0)</f>
        <v>2135.3264376590332</v>
      </c>
      <c r="L2519">
        <f>IFERROR(tblMoeHistory[[#This Row],[State and Local Total Amount]]/tblMoeHistory[[#This Row],[Child Count]],0)</f>
        <v>15682.041100508908</v>
      </c>
      <c r="N2519" t="str">
        <f t="shared" si="6"/>
        <v>Met</v>
      </c>
      <c r="Q2519">
        <f>tblMoeHistory[[#This Row],[Amount of IDEA Part B, Section 611 award]]+tblMoeHistory[[#This Row],[Amount of IDEA Part B, Section 619 award]]</f>
        <v>0</v>
      </c>
      <c r="U25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9" t="str">
        <f>IF(OR(IFERROR(SEARCH("Met",tblMoeHistory[[#This Row],[State and Local Per Capita Result]]),0)&gt;0,IFERROR(SEARCH("Met",tblMoeHistory[[#This Row],[State and Local Total Result]]),0)&gt;0),"Met","Not Met")</f>
        <v>Met</v>
      </c>
    </row>
    <row r="2520" spans="1:22" x14ac:dyDescent="0.35">
      <c r="A2520" t="s">
        <v>177</v>
      </c>
      <c r="B2520">
        <v>1999</v>
      </c>
      <c r="C2520" t="s">
        <v>2108</v>
      </c>
      <c r="D2520">
        <v>75</v>
      </c>
      <c r="E2520">
        <v>566483.27</v>
      </c>
      <c r="F2520">
        <v>73470.260000000009</v>
      </c>
      <c r="G2520">
        <f>tblMoeHistory[[#This Row],[LEA State and Local Amount]]+tblMoeHistory[[#This Row],[ESD State and Local Amount]]</f>
        <v>639953.53</v>
      </c>
      <c r="J2520">
        <f>IFERROR(tblMoeHistory[[#This Row],[LEA State and Local Amount]]/tblMoeHistory[[#This Row],[Child Count]],0)</f>
        <v>7553.1102666666666</v>
      </c>
      <c r="K2520" s="44">
        <f>IFERROR(tblMoeHistory[[#This Row],[ESD State and Local Amount]]/tblMoeHistory[[#This Row],[Child Count]],0)</f>
        <v>979.6034666666668</v>
      </c>
      <c r="L2520">
        <f>IFERROR(tblMoeHistory[[#This Row],[State and Local Total Amount]]/tblMoeHistory[[#This Row],[Child Count]],0)</f>
        <v>8532.7137333333339</v>
      </c>
      <c r="N2520" t="str">
        <f t="shared" si="6"/>
        <v>Did Not Meet</v>
      </c>
      <c r="Q2520">
        <f>tblMoeHistory[[#This Row],[Amount of IDEA Part B, Section 611 award]]+tblMoeHistory[[#This Row],[Amount of IDEA Part B, Section 619 award]]</f>
        <v>0</v>
      </c>
      <c r="U25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0" t="str">
        <f>IF(OR(IFERROR(SEARCH("Met",tblMoeHistory[[#This Row],[State and Local Per Capita Result]]),0)&gt;0,IFERROR(SEARCH("Met",tblMoeHistory[[#This Row],[State and Local Total Result]]),0)&gt;0),"Met","Not Met")</f>
        <v>Not Met</v>
      </c>
    </row>
    <row r="2521" spans="1:22" x14ac:dyDescent="0.35">
      <c r="A2521" t="s">
        <v>178</v>
      </c>
      <c r="B2521">
        <v>2188</v>
      </c>
      <c r="C2521" t="s">
        <v>2108</v>
      </c>
      <c r="D2521">
        <v>57</v>
      </c>
      <c r="E2521">
        <v>547418.76000000013</v>
      </c>
      <c r="F2521">
        <v>324834.34999999998</v>
      </c>
      <c r="G2521">
        <f>tblMoeHistory[[#This Row],[LEA State and Local Amount]]+tblMoeHistory[[#This Row],[ESD State and Local Amount]]</f>
        <v>872253.1100000001</v>
      </c>
      <c r="J2521">
        <f>IFERROR(tblMoeHistory[[#This Row],[LEA State and Local Amount]]/tblMoeHistory[[#This Row],[Child Count]],0)</f>
        <v>9603.8378947368437</v>
      </c>
      <c r="K2521" s="44">
        <f>IFERROR(tblMoeHistory[[#This Row],[ESD State and Local Amount]]/tblMoeHistory[[#This Row],[Child Count]],0)</f>
        <v>5698.8482456140346</v>
      </c>
      <c r="L2521">
        <f>IFERROR(tblMoeHistory[[#This Row],[State and Local Total Amount]]/tblMoeHistory[[#This Row],[Child Count]],0)</f>
        <v>15302.686140350879</v>
      </c>
      <c r="N2521" t="str">
        <f t="shared" si="6"/>
        <v>Met</v>
      </c>
      <c r="Q2521">
        <f>tblMoeHistory[[#This Row],[Amount of IDEA Part B, Section 611 award]]+tblMoeHistory[[#This Row],[Amount of IDEA Part B, Section 619 award]]</f>
        <v>0</v>
      </c>
      <c r="U25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1" t="str">
        <f>IF(OR(IFERROR(SEARCH("Met",tblMoeHistory[[#This Row],[State and Local Per Capita Result]]),0)&gt;0,IFERROR(SEARCH("Met",tblMoeHistory[[#This Row],[State and Local Total Result]]),0)&gt;0),"Met","Not Met")</f>
        <v>Met</v>
      </c>
    </row>
    <row r="2522" spans="1:22" x14ac:dyDescent="0.35">
      <c r="A2522" t="s">
        <v>179</v>
      </c>
      <c r="B2522">
        <v>2044</v>
      </c>
      <c r="C2522" t="s">
        <v>2108</v>
      </c>
      <c r="D2522">
        <v>156</v>
      </c>
      <c r="E2522">
        <v>1275524.6099999999</v>
      </c>
      <c r="F2522">
        <v>469384.44999999995</v>
      </c>
      <c r="G2522">
        <f>tblMoeHistory[[#This Row],[LEA State and Local Amount]]+tblMoeHistory[[#This Row],[ESD State and Local Amount]]</f>
        <v>1744909.0599999998</v>
      </c>
      <c r="J2522">
        <f>IFERROR(tblMoeHistory[[#This Row],[LEA State and Local Amount]]/tblMoeHistory[[#This Row],[Child Count]],0)</f>
        <v>8176.4398076923071</v>
      </c>
      <c r="K2522" s="44">
        <f>IFERROR(tblMoeHistory[[#This Row],[ESD State and Local Amount]]/tblMoeHistory[[#This Row],[Child Count]],0)</f>
        <v>3008.874679487179</v>
      </c>
      <c r="L2522">
        <f>IFERROR(tblMoeHistory[[#This Row],[State and Local Total Amount]]/tblMoeHistory[[#This Row],[Child Count]],0)</f>
        <v>11185.314487179487</v>
      </c>
      <c r="N2522" t="str">
        <f t="shared" si="6"/>
        <v>Did Not Meet</v>
      </c>
      <c r="Q2522">
        <f>tblMoeHistory[[#This Row],[Amount of IDEA Part B, Section 611 award]]+tblMoeHistory[[#This Row],[Amount of IDEA Part B, Section 619 award]]</f>
        <v>0</v>
      </c>
      <c r="U25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2" t="str">
        <f>IF(OR(IFERROR(SEARCH("Met",tblMoeHistory[[#This Row],[State and Local Per Capita Result]]),0)&gt;0,IFERROR(SEARCH("Met",tblMoeHistory[[#This Row],[State and Local Total Result]]),0)&gt;0),"Met","Not Met")</f>
        <v>Not Met</v>
      </c>
    </row>
    <row r="2523" spans="1:22" x14ac:dyDescent="0.35">
      <c r="A2523" t="s">
        <v>180</v>
      </c>
      <c r="B2523">
        <v>2142</v>
      </c>
      <c r="C2523" t="s">
        <v>2108</v>
      </c>
      <c r="D2523">
        <v>6540</v>
      </c>
      <c r="E2523">
        <v>96992759.539999992</v>
      </c>
      <c r="F2523">
        <v>37488.9</v>
      </c>
      <c r="G2523">
        <f>tblMoeHistory[[#This Row],[LEA State and Local Amount]]+tblMoeHistory[[#This Row],[ESD State and Local Amount]]</f>
        <v>97030248.439999998</v>
      </c>
      <c r="J2523">
        <f>IFERROR(tblMoeHistory[[#This Row],[LEA State and Local Amount]]/tblMoeHistory[[#This Row],[Child Count]],0)</f>
        <v>14830.69717737003</v>
      </c>
      <c r="K2523" s="44">
        <f>IFERROR(tblMoeHistory[[#This Row],[ESD State and Local Amount]]/tblMoeHistory[[#This Row],[Child Count]],0)</f>
        <v>5.7322477064220188</v>
      </c>
      <c r="L2523">
        <f>IFERROR(tblMoeHistory[[#This Row],[State and Local Total Amount]]/tblMoeHistory[[#This Row],[Child Count]],0)</f>
        <v>14836.429425076452</v>
      </c>
      <c r="N2523" t="str">
        <f t="shared" si="6"/>
        <v>Met</v>
      </c>
      <c r="Q2523">
        <f>tblMoeHistory[[#This Row],[Amount of IDEA Part B, Section 611 award]]+tblMoeHistory[[#This Row],[Amount of IDEA Part B, Section 619 award]]</f>
        <v>0</v>
      </c>
      <c r="U25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3" t="str">
        <f>IF(OR(IFERROR(SEARCH("Met",tblMoeHistory[[#This Row],[State and Local Per Capita Result]]),0)&gt;0,IFERROR(SEARCH("Met",tblMoeHistory[[#This Row],[State and Local Total Result]]),0)&gt;0),"Met","Not Met")</f>
        <v>Met</v>
      </c>
    </row>
    <row r="2524" spans="1:22" x14ac:dyDescent="0.35">
      <c r="A2524" t="s">
        <v>181</v>
      </c>
      <c r="B2524">
        <v>2104</v>
      </c>
      <c r="C2524" t="s">
        <v>2108</v>
      </c>
      <c r="D2524">
        <v>502</v>
      </c>
      <c r="E2524">
        <v>3269364.4600000014</v>
      </c>
      <c r="F2524">
        <v>737752</v>
      </c>
      <c r="G2524">
        <f>tblMoeHistory[[#This Row],[LEA State and Local Amount]]+tblMoeHistory[[#This Row],[ESD State and Local Amount]]</f>
        <v>4007116.4600000014</v>
      </c>
      <c r="J2524">
        <f>IFERROR(tblMoeHistory[[#This Row],[LEA State and Local Amount]]/tblMoeHistory[[#This Row],[Child Count]],0)</f>
        <v>6512.6782071713178</v>
      </c>
      <c r="K2524" s="44">
        <f>IFERROR(tblMoeHistory[[#This Row],[ESD State and Local Amount]]/tblMoeHistory[[#This Row],[Child Count]],0)</f>
        <v>1469.6254980079682</v>
      </c>
      <c r="L2524">
        <f>IFERROR(tblMoeHistory[[#This Row],[State and Local Total Amount]]/tblMoeHistory[[#This Row],[Child Count]],0)</f>
        <v>7982.3037051792853</v>
      </c>
      <c r="N2524" t="str">
        <f t="shared" si="6"/>
        <v>Did Not Meet</v>
      </c>
      <c r="Q2524">
        <f>tblMoeHistory[[#This Row],[Amount of IDEA Part B, Section 611 award]]+tblMoeHistory[[#This Row],[Amount of IDEA Part B, Section 619 award]]</f>
        <v>0</v>
      </c>
      <c r="U25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4" t="str">
        <f>IF(OR(IFERROR(SEARCH("Met",tblMoeHistory[[#This Row],[State and Local Per Capita Result]]),0)&gt;0,IFERROR(SEARCH("Met",tblMoeHistory[[#This Row],[State and Local Total Result]]),0)&gt;0),"Met","Not Met")</f>
        <v>Not Met</v>
      </c>
    </row>
    <row r="2525" spans="1:22" x14ac:dyDescent="0.35">
      <c r="A2525" t="s">
        <v>182</v>
      </c>
      <c r="B2525">
        <v>1944</v>
      </c>
      <c r="C2525" t="s">
        <v>2108</v>
      </c>
      <c r="D2525">
        <v>363</v>
      </c>
      <c r="E2525">
        <v>4565963.93</v>
      </c>
      <c r="F2525">
        <v>765349</v>
      </c>
      <c r="G2525">
        <f>tblMoeHistory[[#This Row],[LEA State and Local Amount]]+tblMoeHistory[[#This Row],[ESD State and Local Amount]]</f>
        <v>5331312.93</v>
      </c>
      <c r="J2525">
        <f>IFERROR(tblMoeHistory[[#This Row],[LEA State and Local Amount]]/tblMoeHistory[[#This Row],[Child Count]],0)</f>
        <v>12578.413030303029</v>
      </c>
      <c r="K2525" s="44">
        <f>IFERROR(tblMoeHistory[[#This Row],[ESD State and Local Amount]]/tblMoeHistory[[#This Row],[Child Count]],0)</f>
        <v>2108.3994490358127</v>
      </c>
      <c r="L2525">
        <f>IFERROR(tblMoeHistory[[#This Row],[State and Local Total Amount]]/tblMoeHistory[[#This Row],[Child Count]],0)</f>
        <v>14686.812479338842</v>
      </c>
      <c r="N2525" t="str">
        <f t="shared" si="6"/>
        <v>Met</v>
      </c>
      <c r="Q2525">
        <f>tblMoeHistory[[#This Row],[Amount of IDEA Part B, Section 611 award]]+tblMoeHistory[[#This Row],[Amount of IDEA Part B, Section 619 award]]</f>
        <v>0</v>
      </c>
      <c r="U25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5" t="str">
        <f>IF(OR(IFERROR(SEARCH("Met",tblMoeHistory[[#This Row],[State and Local Per Capita Result]]),0)&gt;0,IFERROR(SEARCH("Met",tblMoeHistory[[#This Row],[State and Local Total Result]]),0)&gt;0),"Met","Not Met")</f>
        <v>Met</v>
      </c>
    </row>
    <row r="2526" spans="1:22" x14ac:dyDescent="0.35">
      <c r="A2526" t="s">
        <v>183</v>
      </c>
      <c r="B2526">
        <v>2103</v>
      </c>
      <c r="C2526" t="s">
        <v>2108</v>
      </c>
      <c r="D2526">
        <v>250</v>
      </c>
      <c r="E2526">
        <v>1616412.1799999997</v>
      </c>
      <c r="F2526">
        <v>411539</v>
      </c>
      <c r="G2526">
        <f>tblMoeHistory[[#This Row],[LEA State and Local Amount]]+tblMoeHistory[[#This Row],[ESD State and Local Amount]]</f>
        <v>2027951.1799999997</v>
      </c>
      <c r="J2526">
        <f>IFERROR(tblMoeHistory[[#This Row],[LEA State and Local Amount]]/tblMoeHistory[[#This Row],[Child Count]],0)</f>
        <v>6465.6487199999992</v>
      </c>
      <c r="K2526" s="44">
        <f>IFERROR(tblMoeHistory[[#This Row],[ESD State and Local Amount]]/tblMoeHistory[[#This Row],[Child Count]],0)</f>
        <v>1646.1559999999999</v>
      </c>
      <c r="L2526">
        <f>IFERROR(tblMoeHistory[[#This Row],[State and Local Total Amount]]/tblMoeHistory[[#This Row],[Child Count]],0)</f>
        <v>8111.8047199999992</v>
      </c>
      <c r="N2526" t="str">
        <f t="shared" si="6"/>
        <v>Met</v>
      </c>
      <c r="Q2526">
        <f>tblMoeHistory[[#This Row],[Amount of IDEA Part B, Section 611 award]]+tblMoeHistory[[#This Row],[Amount of IDEA Part B, Section 619 award]]</f>
        <v>0</v>
      </c>
      <c r="U25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6" t="str">
        <f>IF(OR(IFERROR(SEARCH("Met",tblMoeHistory[[#This Row],[State and Local Per Capita Result]]),0)&gt;0,IFERROR(SEARCH("Met",tblMoeHistory[[#This Row],[State and Local Total Result]]),0)&gt;0),"Met","Not Met")</f>
        <v>Met</v>
      </c>
    </row>
    <row r="2527" spans="1:22" x14ac:dyDescent="0.35">
      <c r="A2527" t="s">
        <v>184</v>
      </c>
      <c r="B2527">
        <v>1935</v>
      </c>
      <c r="C2527" t="s">
        <v>2108</v>
      </c>
      <c r="D2527">
        <v>200</v>
      </c>
      <c r="E2527">
        <v>3240933.9799999991</v>
      </c>
      <c r="F2527">
        <v>479068.6</v>
      </c>
      <c r="G2527">
        <f>tblMoeHistory[[#This Row],[LEA State and Local Amount]]+tblMoeHistory[[#This Row],[ESD State and Local Amount]]</f>
        <v>3720002.5799999991</v>
      </c>
      <c r="J2527">
        <f>IFERROR(tblMoeHistory[[#This Row],[LEA State and Local Amount]]/tblMoeHistory[[#This Row],[Child Count]],0)</f>
        <v>16204.669899999995</v>
      </c>
      <c r="K2527" s="44">
        <f>IFERROR(tblMoeHistory[[#This Row],[ESD State and Local Amount]]/tblMoeHistory[[#This Row],[Child Count]],0)</f>
        <v>2395.3429999999998</v>
      </c>
      <c r="L2527">
        <f>IFERROR(tblMoeHistory[[#This Row],[State and Local Total Amount]]/tblMoeHistory[[#This Row],[Child Count]],0)</f>
        <v>18600.012899999994</v>
      </c>
      <c r="N2527" t="str">
        <f t="shared" si="6"/>
        <v>Met</v>
      </c>
      <c r="Q2527">
        <f>tblMoeHistory[[#This Row],[Amount of IDEA Part B, Section 611 award]]+tblMoeHistory[[#This Row],[Amount of IDEA Part B, Section 619 award]]</f>
        <v>0</v>
      </c>
      <c r="U25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7" t="str">
        <f>IF(OR(IFERROR(SEARCH("Met",tblMoeHistory[[#This Row],[State and Local Per Capita Result]]),0)&gt;0,IFERROR(SEARCH("Met",tblMoeHistory[[#This Row],[State and Local Total Result]]),0)&gt;0),"Met","Not Met")</f>
        <v>Met</v>
      </c>
    </row>
    <row r="2528" spans="1:22" x14ac:dyDescent="0.35">
      <c r="A2528" t="s">
        <v>185</v>
      </c>
      <c r="B2528">
        <v>2257</v>
      </c>
      <c r="C2528" t="s">
        <v>2108</v>
      </c>
      <c r="D2528">
        <v>138</v>
      </c>
      <c r="E2528">
        <v>1505647.1999999997</v>
      </c>
      <c r="F2528">
        <v>228306.28999999998</v>
      </c>
      <c r="G2528">
        <f>tblMoeHistory[[#This Row],[LEA State and Local Amount]]+tblMoeHistory[[#This Row],[ESD State and Local Amount]]</f>
        <v>1733953.4899999998</v>
      </c>
      <c r="J2528">
        <f>IFERROR(tblMoeHistory[[#This Row],[LEA State and Local Amount]]/tblMoeHistory[[#This Row],[Child Count]],0)</f>
        <v>10910.486956521738</v>
      </c>
      <c r="K2528" s="44">
        <f>IFERROR(tblMoeHistory[[#This Row],[ESD State and Local Amount]]/tblMoeHistory[[#This Row],[Child Count]],0)</f>
        <v>1654.3934057971012</v>
      </c>
      <c r="L2528">
        <f>IFERROR(tblMoeHistory[[#This Row],[State and Local Total Amount]]/tblMoeHistory[[#This Row],[Child Count]],0)</f>
        <v>12564.88036231884</v>
      </c>
      <c r="N2528" t="str">
        <f t="shared" si="6"/>
        <v>Met</v>
      </c>
      <c r="Q2528">
        <f>tblMoeHistory[[#This Row],[Amount of IDEA Part B, Section 611 award]]+tblMoeHistory[[#This Row],[Amount of IDEA Part B, Section 619 award]]</f>
        <v>0</v>
      </c>
      <c r="U25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8" t="str">
        <f>IF(OR(IFERROR(SEARCH("Met",tblMoeHistory[[#This Row],[State and Local Per Capita Result]]),0)&gt;0,IFERROR(SEARCH("Met",tblMoeHistory[[#This Row],[State and Local Total Result]]),0)&gt;0),"Met","Not Met")</f>
        <v>Met</v>
      </c>
    </row>
    <row r="2529" spans="1:22" x14ac:dyDescent="0.35">
      <c r="A2529" t="s">
        <v>186</v>
      </c>
      <c r="B2529">
        <v>2195</v>
      </c>
      <c r="C2529" t="s">
        <v>2108</v>
      </c>
      <c r="D2529">
        <v>41</v>
      </c>
      <c r="E2529">
        <v>8342.51</v>
      </c>
      <c r="F2529">
        <v>291134</v>
      </c>
      <c r="G2529">
        <f>tblMoeHistory[[#This Row],[LEA State and Local Amount]]+tblMoeHistory[[#This Row],[ESD State and Local Amount]]</f>
        <v>299476.51</v>
      </c>
      <c r="J2529">
        <f>IFERROR(tblMoeHistory[[#This Row],[LEA State and Local Amount]]/tblMoeHistory[[#This Row],[Child Count]],0)</f>
        <v>203.47585365853658</v>
      </c>
      <c r="K2529" s="44">
        <f>IFERROR(tblMoeHistory[[#This Row],[ESD State and Local Amount]]/tblMoeHistory[[#This Row],[Child Count]],0)</f>
        <v>7100.8292682926831</v>
      </c>
      <c r="L2529">
        <f>IFERROR(tblMoeHistory[[#This Row],[State and Local Total Amount]]/tblMoeHistory[[#This Row],[Child Count]],0)</f>
        <v>7304.3051219512199</v>
      </c>
      <c r="N2529" t="str">
        <f t="shared" si="6"/>
        <v>Met</v>
      </c>
      <c r="Q2529">
        <f>tblMoeHistory[[#This Row],[Amount of IDEA Part B, Section 611 award]]+tblMoeHistory[[#This Row],[Amount of IDEA Part B, Section 619 award]]</f>
        <v>0</v>
      </c>
      <c r="U25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9" t="str">
        <f>IF(OR(IFERROR(SEARCH("Met",tblMoeHistory[[#This Row],[State and Local Per Capita Result]]),0)&gt;0,IFERROR(SEARCH("Met",tblMoeHistory[[#This Row],[State and Local Total Result]]),0)&gt;0),"Met","Not Met")</f>
        <v>Met</v>
      </c>
    </row>
    <row r="2530" spans="1:22" x14ac:dyDescent="0.35">
      <c r="A2530" t="s">
        <v>187</v>
      </c>
      <c r="B2530">
        <v>2244</v>
      </c>
      <c r="C2530" t="s">
        <v>2108</v>
      </c>
      <c r="D2530">
        <v>553</v>
      </c>
      <c r="E2530">
        <v>6843755.3100000005</v>
      </c>
      <c r="F2530">
        <v>919334</v>
      </c>
      <c r="G2530">
        <f>tblMoeHistory[[#This Row],[LEA State and Local Amount]]+tblMoeHistory[[#This Row],[ESD State and Local Amount]]</f>
        <v>7763089.3100000005</v>
      </c>
      <c r="J2530">
        <f>IFERROR(tblMoeHistory[[#This Row],[LEA State and Local Amount]]/tblMoeHistory[[#This Row],[Child Count]],0)</f>
        <v>12375.687721518989</v>
      </c>
      <c r="K2530" s="44">
        <f>IFERROR(tblMoeHistory[[#This Row],[ESD State and Local Amount]]/tblMoeHistory[[#This Row],[Child Count]],0)</f>
        <v>1662.4484629294757</v>
      </c>
      <c r="L2530">
        <f>IFERROR(tblMoeHistory[[#This Row],[State and Local Total Amount]]/tblMoeHistory[[#This Row],[Child Count]],0)</f>
        <v>14038.136184448464</v>
      </c>
      <c r="N2530" t="str">
        <f t="shared" si="6"/>
        <v>Did Not Meet</v>
      </c>
      <c r="Q2530">
        <f>tblMoeHistory[[#This Row],[Amount of IDEA Part B, Section 611 award]]+tblMoeHistory[[#This Row],[Amount of IDEA Part B, Section 619 award]]</f>
        <v>0</v>
      </c>
      <c r="U25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0" t="str">
        <f>IF(OR(IFERROR(SEARCH("Met",tblMoeHistory[[#This Row],[State and Local Per Capita Result]]),0)&gt;0,IFERROR(SEARCH("Met",tblMoeHistory[[#This Row],[State and Local Total Result]]),0)&gt;0),"Met","Not Met")</f>
        <v>Not Met</v>
      </c>
    </row>
    <row r="2531" spans="1:22" x14ac:dyDescent="0.35">
      <c r="A2531" t="s">
        <v>188</v>
      </c>
      <c r="B2531">
        <v>2138</v>
      </c>
      <c r="C2531" t="s">
        <v>2108</v>
      </c>
      <c r="D2531">
        <v>480</v>
      </c>
      <c r="E2531">
        <v>7099154.299999997</v>
      </c>
      <c r="F2531">
        <v>434944.1</v>
      </c>
      <c r="G2531">
        <f>tblMoeHistory[[#This Row],[LEA State and Local Amount]]+tblMoeHistory[[#This Row],[ESD State and Local Amount]]</f>
        <v>7534098.3999999966</v>
      </c>
      <c r="J2531">
        <f>IFERROR(tblMoeHistory[[#This Row],[LEA State and Local Amount]]/tblMoeHistory[[#This Row],[Child Count]],0)</f>
        <v>14789.90479166666</v>
      </c>
      <c r="K2531" s="44">
        <f>IFERROR(tblMoeHistory[[#This Row],[ESD State and Local Amount]]/tblMoeHistory[[#This Row],[Child Count]],0)</f>
        <v>906.13354166666659</v>
      </c>
      <c r="L2531">
        <f>IFERROR(tblMoeHistory[[#This Row],[State and Local Total Amount]]/tblMoeHistory[[#This Row],[Child Count]],0)</f>
        <v>15696.038333333327</v>
      </c>
      <c r="N2531" t="str">
        <f t="shared" si="6"/>
        <v>Met</v>
      </c>
      <c r="Q2531">
        <f>tblMoeHistory[[#This Row],[Amount of IDEA Part B, Section 611 award]]+tblMoeHistory[[#This Row],[Amount of IDEA Part B, Section 619 award]]</f>
        <v>0</v>
      </c>
      <c r="U25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1" t="str">
        <f>IF(OR(IFERROR(SEARCH("Met",tblMoeHistory[[#This Row],[State and Local Per Capita Result]]),0)&gt;0,IFERROR(SEARCH("Met",tblMoeHistory[[#This Row],[State and Local Total Result]]),0)&gt;0),"Met","Not Met")</f>
        <v>Met</v>
      </c>
    </row>
    <row r="2532" spans="1:22" x14ac:dyDescent="0.35">
      <c r="A2532" t="s">
        <v>189</v>
      </c>
      <c r="B2532">
        <v>1978</v>
      </c>
      <c r="C2532" t="s">
        <v>2108</v>
      </c>
      <c r="D2532">
        <v>147</v>
      </c>
      <c r="E2532">
        <v>1625135.73</v>
      </c>
      <c r="F2532">
        <v>182362.66999999998</v>
      </c>
      <c r="G2532">
        <f>tblMoeHistory[[#This Row],[LEA State and Local Amount]]+tblMoeHistory[[#This Row],[ESD State and Local Amount]]</f>
        <v>1807498.4</v>
      </c>
      <c r="J2532">
        <f>IFERROR(tblMoeHistory[[#This Row],[LEA State and Local Amount]]/tblMoeHistory[[#This Row],[Child Count]],0)</f>
        <v>11055.345102040816</v>
      </c>
      <c r="K2532" s="44">
        <f>IFERROR(tblMoeHistory[[#This Row],[ESD State and Local Amount]]/tblMoeHistory[[#This Row],[Child Count]],0)</f>
        <v>1240.5623809523809</v>
      </c>
      <c r="L2532">
        <f>IFERROR(tblMoeHistory[[#This Row],[State and Local Total Amount]]/tblMoeHistory[[#This Row],[Child Count]],0)</f>
        <v>12295.907482993196</v>
      </c>
      <c r="N2532" t="str">
        <f t="shared" si="6"/>
        <v>Met</v>
      </c>
      <c r="Q2532">
        <f>tblMoeHistory[[#This Row],[Amount of IDEA Part B, Section 611 award]]+tblMoeHistory[[#This Row],[Amount of IDEA Part B, Section 619 award]]</f>
        <v>0</v>
      </c>
      <c r="U25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2" t="str">
        <f>IF(OR(IFERROR(SEARCH("Met",tblMoeHistory[[#This Row],[State and Local Per Capita Result]]),0)&gt;0,IFERROR(SEARCH("Met",tblMoeHistory[[#This Row],[State and Local Total Result]]),0)&gt;0),"Met","Not Met")</f>
        <v>Met</v>
      </c>
    </row>
    <row r="2533" spans="1:22" x14ac:dyDescent="0.35">
      <c r="A2533" t="s">
        <v>190</v>
      </c>
      <c r="B2533">
        <v>2096</v>
      </c>
      <c r="C2533" t="s">
        <v>2108</v>
      </c>
      <c r="D2533">
        <v>196</v>
      </c>
      <c r="E2533">
        <v>2215715.27</v>
      </c>
      <c r="F2533">
        <v>313478</v>
      </c>
      <c r="G2533">
        <f>tblMoeHistory[[#This Row],[LEA State and Local Amount]]+tblMoeHistory[[#This Row],[ESD State and Local Amount]]</f>
        <v>2529193.27</v>
      </c>
      <c r="J2533">
        <f>IFERROR(tblMoeHistory[[#This Row],[LEA State and Local Amount]]/tblMoeHistory[[#This Row],[Child Count]],0)</f>
        <v>11304.669744897959</v>
      </c>
      <c r="K2533" s="44">
        <f>IFERROR(tblMoeHistory[[#This Row],[ESD State and Local Amount]]/tblMoeHistory[[#This Row],[Child Count]],0)</f>
        <v>1599.3775510204082</v>
      </c>
      <c r="L2533">
        <f>IFERROR(tblMoeHistory[[#This Row],[State and Local Total Amount]]/tblMoeHistory[[#This Row],[Child Count]],0)</f>
        <v>12904.047295918368</v>
      </c>
      <c r="N2533" t="str">
        <f t="shared" si="6"/>
        <v>Did Not Meet</v>
      </c>
      <c r="Q2533">
        <f>tblMoeHistory[[#This Row],[Amount of IDEA Part B, Section 611 award]]+tblMoeHistory[[#This Row],[Amount of IDEA Part B, Section 619 award]]</f>
        <v>0</v>
      </c>
      <c r="U25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3" t="str">
        <f>IF(OR(IFERROR(SEARCH("Met",tblMoeHistory[[#This Row],[State and Local Per Capita Result]]),0)&gt;0,IFERROR(SEARCH("Met",tblMoeHistory[[#This Row],[State and Local Total Result]]),0)&gt;0),"Met","Not Met")</f>
        <v>Not Met</v>
      </c>
    </row>
    <row r="2534" spans="1:22" x14ac:dyDescent="0.35">
      <c r="A2534" t="s">
        <v>191</v>
      </c>
      <c r="B2534">
        <v>2022</v>
      </c>
      <c r="C2534" t="s">
        <v>2108</v>
      </c>
      <c r="D2534">
        <v>1</v>
      </c>
      <c r="E2534">
        <v>0</v>
      </c>
      <c r="F2534">
        <v>13011.029999999999</v>
      </c>
      <c r="G2534">
        <f>tblMoeHistory[[#This Row],[LEA State and Local Amount]]+tblMoeHistory[[#This Row],[ESD State and Local Amount]]</f>
        <v>13011.029999999999</v>
      </c>
      <c r="J2534">
        <f>IFERROR(tblMoeHistory[[#This Row],[LEA State and Local Amount]]/tblMoeHistory[[#This Row],[Child Count]],0)</f>
        <v>0</v>
      </c>
      <c r="K2534" s="44">
        <f>IFERROR(tblMoeHistory[[#This Row],[ESD State and Local Amount]]/tblMoeHistory[[#This Row],[Child Count]],0)</f>
        <v>13011.029999999999</v>
      </c>
      <c r="L2534">
        <f>IFERROR(tblMoeHistory[[#This Row],[State and Local Total Amount]]/tblMoeHistory[[#This Row],[Child Count]],0)</f>
        <v>13011.029999999999</v>
      </c>
      <c r="N2534" t="str">
        <f t="shared" si="6"/>
        <v>Met</v>
      </c>
      <c r="Q2534">
        <f>tblMoeHistory[[#This Row],[Amount of IDEA Part B, Section 611 award]]+tblMoeHistory[[#This Row],[Amount of IDEA Part B, Section 619 award]]</f>
        <v>0</v>
      </c>
      <c r="U25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4" t="str">
        <f>IF(OR(IFERROR(SEARCH("Met",tblMoeHistory[[#This Row],[State and Local Per Capita Result]]),0)&gt;0,IFERROR(SEARCH("Met",tblMoeHistory[[#This Row],[State and Local Total Result]]),0)&gt;0),"Met","Not Met")</f>
        <v>Met</v>
      </c>
    </row>
    <row r="2535" spans="1:22" x14ac:dyDescent="0.35">
      <c r="A2535" t="s">
        <v>192</v>
      </c>
      <c r="B2535">
        <v>2087</v>
      </c>
      <c r="C2535" t="s">
        <v>2108</v>
      </c>
      <c r="D2535">
        <v>508</v>
      </c>
      <c r="E2535">
        <v>6273615.0500000007</v>
      </c>
      <c r="F2535">
        <v>1248613</v>
      </c>
      <c r="G2535">
        <f>tblMoeHistory[[#This Row],[LEA State and Local Amount]]+tblMoeHistory[[#This Row],[ESD State and Local Amount]]</f>
        <v>7522228.0500000007</v>
      </c>
      <c r="J2535">
        <f>IFERROR(tblMoeHistory[[#This Row],[LEA State and Local Amount]]/tblMoeHistory[[#This Row],[Child Count]],0)</f>
        <v>12349.635925196852</v>
      </c>
      <c r="K2535" s="44">
        <f>IFERROR(tblMoeHistory[[#This Row],[ESD State and Local Amount]]/tblMoeHistory[[#This Row],[Child Count]],0)</f>
        <v>2457.8996062992128</v>
      </c>
      <c r="L2535">
        <f>IFERROR(tblMoeHistory[[#This Row],[State and Local Total Amount]]/tblMoeHistory[[#This Row],[Child Count]],0)</f>
        <v>14807.535531496065</v>
      </c>
      <c r="N2535" t="str">
        <f t="shared" si="6"/>
        <v>Met</v>
      </c>
      <c r="Q2535">
        <f>tblMoeHistory[[#This Row],[Amount of IDEA Part B, Section 611 award]]+tblMoeHistory[[#This Row],[Amount of IDEA Part B, Section 619 award]]</f>
        <v>0</v>
      </c>
      <c r="U25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5" t="str">
        <f>IF(OR(IFERROR(SEARCH("Met",tblMoeHistory[[#This Row],[State and Local Per Capita Result]]),0)&gt;0,IFERROR(SEARCH("Met",tblMoeHistory[[#This Row],[State and Local Total Result]]),0)&gt;0),"Met","Not Met")</f>
        <v>Met</v>
      </c>
    </row>
    <row r="2536" spans="1:22" x14ac:dyDescent="0.35">
      <c r="A2536" t="s">
        <v>193</v>
      </c>
      <c r="B2536">
        <v>1994</v>
      </c>
      <c r="C2536" t="s">
        <v>2108</v>
      </c>
      <c r="D2536">
        <v>225</v>
      </c>
      <c r="E2536">
        <v>2128827.4200000009</v>
      </c>
      <c r="F2536">
        <v>559727.24</v>
      </c>
      <c r="G2536">
        <f>tblMoeHistory[[#This Row],[LEA State and Local Amount]]+tblMoeHistory[[#This Row],[ESD State and Local Amount]]</f>
        <v>2688554.6600000011</v>
      </c>
      <c r="J2536">
        <f>IFERROR(tblMoeHistory[[#This Row],[LEA State and Local Amount]]/tblMoeHistory[[#This Row],[Child Count]],0)</f>
        <v>9461.455200000004</v>
      </c>
      <c r="K2536" s="44">
        <f>IFERROR(tblMoeHistory[[#This Row],[ESD State and Local Amount]]/tblMoeHistory[[#This Row],[Child Count]],0)</f>
        <v>2487.6766222222222</v>
      </c>
      <c r="L2536">
        <f>IFERROR(tblMoeHistory[[#This Row],[State and Local Total Amount]]/tblMoeHistory[[#This Row],[Child Count]],0)</f>
        <v>11949.131822222227</v>
      </c>
      <c r="N2536" t="str">
        <f t="shared" si="6"/>
        <v>Met</v>
      </c>
      <c r="Q2536">
        <f>tblMoeHistory[[#This Row],[Amount of IDEA Part B, Section 611 award]]+tblMoeHistory[[#This Row],[Amount of IDEA Part B, Section 619 award]]</f>
        <v>0</v>
      </c>
      <c r="U25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6" t="str">
        <f>IF(OR(IFERROR(SEARCH("Met",tblMoeHistory[[#This Row],[State and Local Per Capita Result]]),0)&gt;0,IFERROR(SEARCH("Met",tblMoeHistory[[#This Row],[State and Local Total Result]]),0)&gt;0),"Met","Not Met")</f>
        <v>Met</v>
      </c>
    </row>
    <row r="2537" spans="1:22" x14ac:dyDescent="0.35">
      <c r="A2537" t="s">
        <v>194</v>
      </c>
      <c r="B2537">
        <v>2225</v>
      </c>
      <c r="C2537" t="s">
        <v>2108</v>
      </c>
      <c r="D2537">
        <v>45</v>
      </c>
      <c r="E2537">
        <v>317424.90999999997</v>
      </c>
      <c r="F2537">
        <v>35057</v>
      </c>
      <c r="G2537">
        <f>tblMoeHistory[[#This Row],[LEA State and Local Amount]]+tblMoeHistory[[#This Row],[ESD State and Local Amount]]</f>
        <v>352481.91</v>
      </c>
      <c r="J2537">
        <f>IFERROR(tblMoeHistory[[#This Row],[LEA State and Local Amount]]/tblMoeHistory[[#This Row],[Child Count]],0)</f>
        <v>7053.8868888888883</v>
      </c>
      <c r="K2537" s="44">
        <f>IFERROR(tblMoeHistory[[#This Row],[ESD State and Local Amount]]/tblMoeHistory[[#This Row],[Child Count]],0)</f>
        <v>779.04444444444448</v>
      </c>
      <c r="L2537">
        <f>IFERROR(tblMoeHistory[[#This Row],[State and Local Total Amount]]/tblMoeHistory[[#This Row],[Child Count]],0)</f>
        <v>7832.931333333333</v>
      </c>
      <c r="N2537" t="str">
        <f t="shared" si="6"/>
        <v>Did Not Meet</v>
      </c>
      <c r="Q2537">
        <f>tblMoeHistory[[#This Row],[Amount of IDEA Part B, Section 611 award]]+tblMoeHistory[[#This Row],[Amount of IDEA Part B, Section 619 award]]</f>
        <v>0</v>
      </c>
      <c r="U25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7" t="str">
        <f>IF(OR(IFERROR(SEARCH("Met",tblMoeHistory[[#This Row],[State and Local Per Capita Result]]),0)&gt;0,IFERROR(SEARCH("Met",tblMoeHistory[[#This Row],[State and Local Total Result]]),0)&gt;0),"Met","Not Met")</f>
        <v>Not Met</v>
      </c>
    </row>
    <row r="2538" spans="1:22" x14ac:dyDescent="0.35">
      <c r="A2538" t="s">
        <v>195</v>
      </c>
      <c r="B2538">
        <v>2247</v>
      </c>
      <c r="C2538" t="s">
        <v>2108</v>
      </c>
      <c r="D2538">
        <v>6</v>
      </c>
      <c r="E2538">
        <v>6091.0999999999995</v>
      </c>
      <c r="F2538">
        <v>64455</v>
      </c>
      <c r="G2538">
        <f>tblMoeHistory[[#This Row],[LEA State and Local Amount]]+tblMoeHistory[[#This Row],[ESD State and Local Amount]]</f>
        <v>70546.100000000006</v>
      </c>
      <c r="J2538">
        <f>IFERROR(tblMoeHistory[[#This Row],[LEA State and Local Amount]]/tblMoeHistory[[#This Row],[Child Count]],0)</f>
        <v>1015.1833333333333</v>
      </c>
      <c r="K2538" s="44">
        <f>IFERROR(tblMoeHistory[[#This Row],[ESD State and Local Amount]]/tblMoeHistory[[#This Row],[Child Count]],0)</f>
        <v>10742.5</v>
      </c>
      <c r="L2538">
        <f>IFERROR(tblMoeHistory[[#This Row],[State and Local Total Amount]]/tblMoeHistory[[#This Row],[Child Count]],0)</f>
        <v>11757.683333333334</v>
      </c>
      <c r="N2538" t="str">
        <f t="shared" si="6"/>
        <v>Did Not Meet</v>
      </c>
      <c r="Q2538">
        <f>tblMoeHistory[[#This Row],[Amount of IDEA Part B, Section 611 award]]+tblMoeHistory[[#This Row],[Amount of IDEA Part B, Section 619 award]]</f>
        <v>0</v>
      </c>
      <c r="U25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8" t="str">
        <f>IF(OR(IFERROR(SEARCH("Met",tblMoeHistory[[#This Row],[State and Local Per Capita Result]]),0)&gt;0,IFERROR(SEARCH("Met",tblMoeHistory[[#This Row],[State and Local Total Result]]),0)&gt;0),"Met","Not Met")</f>
        <v>Not Met</v>
      </c>
    </row>
    <row r="2539" spans="1:22" x14ac:dyDescent="0.35">
      <c r="A2539" t="s">
        <v>196</v>
      </c>
      <c r="B2539">
        <v>2083</v>
      </c>
      <c r="C2539" t="s">
        <v>2108</v>
      </c>
      <c r="D2539">
        <v>1570</v>
      </c>
      <c r="E2539">
        <v>19630441.850000005</v>
      </c>
      <c r="F2539">
        <v>4451006</v>
      </c>
      <c r="G2539">
        <f>tblMoeHistory[[#This Row],[LEA State and Local Amount]]+tblMoeHistory[[#This Row],[ESD State and Local Amount]]</f>
        <v>24081447.850000005</v>
      </c>
      <c r="J2539">
        <f>IFERROR(tblMoeHistory[[#This Row],[LEA State and Local Amount]]/tblMoeHistory[[#This Row],[Child Count]],0)</f>
        <v>12503.466146496819</v>
      </c>
      <c r="K2539" s="44">
        <f>IFERROR(tblMoeHistory[[#This Row],[ESD State and Local Amount]]/tblMoeHistory[[#This Row],[Child Count]],0)</f>
        <v>2835.0356687898088</v>
      </c>
      <c r="L2539">
        <f>IFERROR(tblMoeHistory[[#This Row],[State and Local Total Amount]]/tblMoeHistory[[#This Row],[Child Count]],0)</f>
        <v>15338.501815286627</v>
      </c>
      <c r="N2539" t="str">
        <f t="shared" si="6"/>
        <v>Met</v>
      </c>
      <c r="Q2539">
        <f>tblMoeHistory[[#This Row],[Amount of IDEA Part B, Section 611 award]]+tblMoeHistory[[#This Row],[Amount of IDEA Part B, Section 619 award]]</f>
        <v>0</v>
      </c>
      <c r="U25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9" t="str">
        <f>IF(OR(IFERROR(SEARCH("Met",tblMoeHistory[[#This Row],[State and Local Per Capita Result]]),0)&gt;0,IFERROR(SEARCH("Met",tblMoeHistory[[#This Row],[State and Local Total Result]]),0)&gt;0),"Met","Not Met")</f>
        <v>Met</v>
      </c>
    </row>
    <row r="2540" spans="1:22" x14ac:dyDescent="0.35">
      <c r="A2540" t="s">
        <v>197</v>
      </c>
      <c r="B2540">
        <v>1948</v>
      </c>
      <c r="C2540" t="s">
        <v>2108</v>
      </c>
      <c r="D2540">
        <v>492</v>
      </c>
      <c r="E2540">
        <v>4922932.8899999997</v>
      </c>
      <c r="F2540">
        <v>354130</v>
      </c>
      <c r="G2540">
        <f>tblMoeHistory[[#This Row],[LEA State and Local Amount]]+tblMoeHistory[[#This Row],[ESD State and Local Amount]]</f>
        <v>5277062.8899999997</v>
      </c>
      <c r="J2540">
        <f>IFERROR(tblMoeHistory[[#This Row],[LEA State and Local Amount]]/tblMoeHistory[[#This Row],[Child Count]],0)</f>
        <v>10005.961158536586</v>
      </c>
      <c r="K2540" s="44">
        <f>IFERROR(tblMoeHistory[[#This Row],[ESD State and Local Amount]]/tblMoeHistory[[#This Row],[Child Count]],0)</f>
        <v>719.77642276422762</v>
      </c>
      <c r="L2540">
        <f>IFERROR(tblMoeHistory[[#This Row],[State and Local Total Amount]]/tblMoeHistory[[#This Row],[Child Count]],0)</f>
        <v>10725.737581300813</v>
      </c>
      <c r="N2540" t="str">
        <f t="shared" si="6"/>
        <v>Did Not Meet</v>
      </c>
      <c r="Q2540">
        <f>tblMoeHistory[[#This Row],[Amount of IDEA Part B, Section 611 award]]+tblMoeHistory[[#This Row],[Amount of IDEA Part B, Section 619 award]]</f>
        <v>0</v>
      </c>
      <c r="U25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0" t="str">
        <f>IF(OR(IFERROR(SEARCH("Met",tblMoeHistory[[#This Row],[State and Local Per Capita Result]]),0)&gt;0,IFERROR(SEARCH("Met",tblMoeHistory[[#This Row],[State and Local Total Result]]),0)&gt;0),"Met","Not Met")</f>
        <v>Not Met</v>
      </c>
    </row>
    <row r="2541" spans="1:22" x14ac:dyDescent="0.35">
      <c r="A2541" t="s">
        <v>198</v>
      </c>
      <c r="B2541">
        <v>2144</v>
      </c>
      <c r="C2541" t="s">
        <v>2108</v>
      </c>
      <c r="D2541">
        <v>22</v>
      </c>
      <c r="E2541">
        <v>217690</v>
      </c>
      <c r="F2541">
        <v>37061.03</v>
      </c>
      <c r="G2541">
        <f>tblMoeHistory[[#This Row],[LEA State and Local Amount]]+tblMoeHistory[[#This Row],[ESD State and Local Amount]]</f>
        <v>254751.03</v>
      </c>
      <c r="J2541">
        <f>IFERROR(tblMoeHistory[[#This Row],[LEA State and Local Amount]]/tblMoeHistory[[#This Row],[Child Count]],0)</f>
        <v>9895</v>
      </c>
      <c r="K2541" s="44">
        <f>IFERROR(tblMoeHistory[[#This Row],[ESD State and Local Amount]]/tblMoeHistory[[#This Row],[Child Count]],0)</f>
        <v>1684.5922727272728</v>
      </c>
      <c r="L2541">
        <f>IFERROR(tblMoeHistory[[#This Row],[State and Local Total Amount]]/tblMoeHistory[[#This Row],[Child Count]],0)</f>
        <v>11579.592272727272</v>
      </c>
      <c r="N2541" t="str">
        <f t="shared" si="6"/>
        <v>Met</v>
      </c>
      <c r="Q2541">
        <f>tblMoeHistory[[#This Row],[Amount of IDEA Part B, Section 611 award]]+tblMoeHistory[[#This Row],[Amount of IDEA Part B, Section 619 award]]</f>
        <v>0</v>
      </c>
      <c r="U25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1" t="str">
        <f>IF(OR(IFERROR(SEARCH("Met",tblMoeHistory[[#This Row],[State and Local Per Capita Result]]),0)&gt;0,IFERROR(SEARCH("Met",tblMoeHistory[[#This Row],[State and Local Total Result]]),0)&gt;0),"Met","Not Met")</f>
        <v>Met</v>
      </c>
    </row>
    <row r="2542" spans="1:22" x14ac:dyDescent="0.35">
      <c r="A2542" t="s">
        <v>199</v>
      </c>
      <c r="B2542">
        <v>2209</v>
      </c>
      <c r="C2542" t="s">
        <v>2108</v>
      </c>
      <c r="D2542">
        <v>71</v>
      </c>
      <c r="E2542">
        <v>724739.27999999991</v>
      </c>
      <c r="F2542">
        <v>146022.63999999998</v>
      </c>
      <c r="G2542">
        <f>tblMoeHistory[[#This Row],[LEA State and Local Amount]]+tblMoeHistory[[#This Row],[ESD State and Local Amount]]</f>
        <v>870761.91999999993</v>
      </c>
      <c r="J2542">
        <f>IFERROR(tblMoeHistory[[#This Row],[LEA State and Local Amount]]/tblMoeHistory[[#This Row],[Child Count]],0)</f>
        <v>10207.595492957746</v>
      </c>
      <c r="K2542" s="44">
        <f>IFERROR(tblMoeHistory[[#This Row],[ESD State and Local Amount]]/tblMoeHistory[[#This Row],[Child Count]],0)</f>
        <v>2056.6569014084503</v>
      </c>
      <c r="L2542">
        <f>IFERROR(tblMoeHistory[[#This Row],[State and Local Total Amount]]/tblMoeHistory[[#This Row],[Child Count]],0)</f>
        <v>12264.252394366196</v>
      </c>
      <c r="N2542" t="str">
        <f t="shared" si="6"/>
        <v>Met</v>
      </c>
      <c r="Q2542">
        <f>tblMoeHistory[[#This Row],[Amount of IDEA Part B, Section 611 award]]+tblMoeHistory[[#This Row],[Amount of IDEA Part B, Section 619 award]]</f>
        <v>0</v>
      </c>
      <c r="U25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2" t="str">
        <f>IF(OR(IFERROR(SEARCH("Met",tblMoeHistory[[#This Row],[State and Local Per Capita Result]]),0)&gt;0,IFERROR(SEARCH("Met",tblMoeHistory[[#This Row],[State and Local Total Result]]),0)&gt;0),"Met","Not Met")</f>
        <v>Met</v>
      </c>
    </row>
    <row r="2543" spans="1:22" x14ac:dyDescent="0.35">
      <c r="A2543" t="s">
        <v>200</v>
      </c>
      <c r="B2543">
        <v>2018</v>
      </c>
      <c r="C2543" t="s">
        <v>2108</v>
      </c>
      <c r="D2543">
        <v>0</v>
      </c>
      <c r="E2543">
        <v>0</v>
      </c>
      <c r="F2543">
        <v>10794.199999999999</v>
      </c>
      <c r="G2543">
        <f>tblMoeHistory[[#This Row],[LEA State and Local Amount]]+tblMoeHistory[[#This Row],[ESD State and Local Amount]]</f>
        <v>10794.199999999999</v>
      </c>
      <c r="J2543">
        <f>IFERROR(tblMoeHistory[[#This Row],[LEA State and Local Amount]]/tblMoeHistory[[#This Row],[Child Count]],0)</f>
        <v>0</v>
      </c>
      <c r="K2543" s="44">
        <f>IFERROR(tblMoeHistory[[#This Row],[ESD State and Local Amount]]/tblMoeHistory[[#This Row],[Child Count]],0)</f>
        <v>0</v>
      </c>
      <c r="L2543">
        <f>IFERROR(tblMoeHistory[[#This Row],[State and Local Total Amount]]/tblMoeHistory[[#This Row],[Child Count]],0)</f>
        <v>0</v>
      </c>
      <c r="N2543" t="str">
        <f t="shared" si="6"/>
        <v>Met</v>
      </c>
      <c r="Q2543">
        <f>tblMoeHistory[[#This Row],[Amount of IDEA Part B, Section 611 award]]+tblMoeHistory[[#This Row],[Amount of IDEA Part B, Section 619 award]]</f>
        <v>0</v>
      </c>
      <c r="U25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3" t="str">
        <f>IF(OR(IFERROR(SEARCH("Met",tblMoeHistory[[#This Row],[State and Local Per Capita Result]]),0)&gt;0,IFERROR(SEARCH("Met",tblMoeHistory[[#This Row],[State and Local Total Result]]),0)&gt;0),"Met","Not Met")</f>
        <v>Met</v>
      </c>
    </row>
    <row r="2544" spans="1:22" x14ac:dyDescent="0.35">
      <c r="A2544" t="s">
        <v>201</v>
      </c>
      <c r="B2544">
        <v>2003</v>
      </c>
      <c r="C2544" t="s">
        <v>2108</v>
      </c>
      <c r="D2544">
        <v>227</v>
      </c>
      <c r="E2544">
        <v>1577945</v>
      </c>
      <c r="F2544">
        <v>166972.66999999998</v>
      </c>
      <c r="G2544">
        <f>tblMoeHistory[[#This Row],[LEA State and Local Amount]]+tblMoeHistory[[#This Row],[ESD State and Local Amount]]</f>
        <v>1744917.67</v>
      </c>
      <c r="J2544">
        <f>IFERROR(tblMoeHistory[[#This Row],[LEA State and Local Amount]]/tblMoeHistory[[#This Row],[Child Count]],0)</f>
        <v>6951.2995594713657</v>
      </c>
      <c r="K2544" s="44">
        <f>IFERROR(tblMoeHistory[[#This Row],[ESD State and Local Amount]]/tblMoeHistory[[#This Row],[Child Count]],0)</f>
        <v>735.56242290748889</v>
      </c>
      <c r="L2544">
        <f>IFERROR(tblMoeHistory[[#This Row],[State and Local Total Amount]]/tblMoeHistory[[#This Row],[Child Count]],0)</f>
        <v>7686.861982378854</v>
      </c>
      <c r="N2544" t="str">
        <f t="shared" si="6"/>
        <v>Did Not Meet</v>
      </c>
      <c r="Q2544">
        <f>tblMoeHistory[[#This Row],[Amount of IDEA Part B, Section 611 award]]+tblMoeHistory[[#This Row],[Amount of IDEA Part B, Section 619 award]]</f>
        <v>0</v>
      </c>
      <c r="U25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4" t="str">
        <f>IF(OR(IFERROR(SEARCH("Met",tblMoeHistory[[#This Row],[State and Local Per Capita Result]]),0)&gt;0,IFERROR(SEARCH("Met",tblMoeHistory[[#This Row],[State and Local Total Result]]),0)&gt;0),"Met","Not Met")</f>
        <v>Not Met</v>
      </c>
    </row>
    <row r="2545" spans="1:22" x14ac:dyDescent="0.35">
      <c r="A2545" t="s">
        <v>202</v>
      </c>
      <c r="B2545">
        <v>2102</v>
      </c>
      <c r="C2545" t="s">
        <v>2108</v>
      </c>
      <c r="D2545">
        <v>427</v>
      </c>
      <c r="E2545">
        <v>3928699.2899999982</v>
      </c>
      <c r="F2545">
        <v>644456</v>
      </c>
      <c r="G2545">
        <f>tblMoeHistory[[#This Row],[LEA State and Local Amount]]+tblMoeHistory[[#This Row],[ESD State and Local Amount]]</f>
        <v>4573155.2899999982</v>
      </c>
      <c r="J2545">
        <f>IFERROR(tblMoeHistory[[#This Row],[LEA State and Local Amount]]/tblMoeHistory[[#This Row],[Child Count]],0)</f>
        <v>9200.700913348941</v>
      </c>
      <c r="K2545" s="44">
        <f>IFERROR(tblMoeHistory[[#This Row],[ESD State and Local Amount]]/tblMoeHistory[[#This Row],[Child Count]],0)</f>
        <v>1509.2646370023419</v>
      </c>
      <c r="L2545">
        <f>IFERROR(tblMoeHistory[[#This Row],[State and Local Total Amount]]/tblMoeHistory[[#This Row],[Child Count]],0)</f>
        <v>10709.965550351284</v>
      </c>
      <c r="N2545" t="str">
        <f t="shared" si="6"/>
        <v>Met</v>
      </c>
      <c r="Q2545">
        <f>tblMoeHistory[[#This Row],[Amount of IDEA Part B, Section 611 award]]+tblMoeHistory[[#This Row],[Amount of IDEA Part B, Section 619 award]]</f>
        <v>0</v>
      </c>
      <c r="U25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5" t="str">
        <f>IF(OR(IFERROR(SEARCH("Met",tblMoeHistory[[#This Row],[State and Local Per Capita Result]]),0)&gt;0,IFERROR(SEARCH("Met",tblMoeHistory[[#This Row],[State and Local Total Result]]),0)&gt;0),"Met","Not Met")</f>
        <v>Met</v>
      </c>
    </row>
    <row r="2546" spans="1:22" x14ac:dyDescent="0.35">
      <c r="A2546" t="s">
        <v>203</v>
      </c>
      <c r="B2546">
        <v>2055</v>
      </c>
      <c r="C2546" t="s">
        <v>2108</v>
      </c>
      <c r="D2546">
        <v>614</v>
      </c>
      <c r="E2546">
        <v>9706384.5199999996</v>
      </c>
      <c r="F2546">
        <v>133158.82</v>
      </c>
      <c r="G2546">
        <f>tblMoeHistory[[#This Row],[LEA State and Local Amount]]+tblMoeHistory[[#This Row],[ESD State and Local Amount]]</f>
        <v>9839543.3399999999</v>
      </c>
      <c r="J2546">
        <f>IFERROR(tblMoeHistory[[#This Row],[LEA State and Local Amount]]/tblMoeHistory[[#This Row],[Child Count]],0)</f>
        <v>15808.443843648207</v>
      </c>
      <c r="K2546" s="44">
        <f>IFERROR(tblMoeHistory[[#This Row],[ESD State and Local Amount]]/tblMoeHistory[[#This Row],[Child Count]],0)</f>
        <v>216.87104234527689</v>
      </c>
      <c r="L2546">
        <f>IFERROR(tblMoeHistory[[#This Row],[State and Local Total Amount]]/tblMoeHistory[[#This Row],[Child Count]],0)</f>
        <v>16025.314885993484</v>
      </c>
      <c r="N2546" t="str">
        <f t="shared" si="6"/>
        <v>Met</v>
      </c>
      <c r="Q2546">
        <f>tblMoeHistory[[#This Row],[Amount of IDEA Part B, Section 611 award]]+tblMoeHistory[[#This Row],[Amount of IDEA Part B, Section 619 award]]</f>
        <v>0</v>
      </c>
      <c r="U25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6" t="str">
        <f>IF(OR(IFERROR(SEARCH("Met",tblMoeHistory[[#This Row],[State and Local Per Capita Result]]),0)&gt;0,IFERROR(SEARCH("Met",tblMoeHistory[[#This Row],[State and Local Total Result]]),0)&gt;0),"Met","Not Met")</f>
        <v>Met</v>
      </c>
    </row>
    <row r="2547" spans="1:22" x14ac:dyDescent="0.35">
      <c r="A2547" t="s">
        <v>204</v>
      </c>
      <c r="B2547">
        <v>2242</v>
      </c>
      <c r="C2547" t="s">
        <v>2108</v>
      </c>
      <c r="D2547">
        <v>1343</v>
      </c>
      <c r="E2547">
        <v>16379696.369999997</v>
      </c>
      <c r="F2547">
        <v>3619873</v>
      </c>
      <c r="G2547">
        <f>tblMoeHistory[[#This Row],[LEA State and Local Amount]]+tblMoeHistory[[#This Row],[ESD State and Local Amount]]</f>
        <v>19999569.369999997</v>
      </c>
      <c r="J2547">
        <f>IFERROR(tblMoeHistory[[#This Row],[LEA State and Local Amount]]/tblMoeHistory[[#This Row],[Child Count]],0)</f>
        <v>12196.348749069246</v>
      </c>
      <c r="K2547" s="44">
        <f>IFERROR(tblMoeHistory[[#This Row],[ESD State and Local Amount]]/tblMoeHistory[[#This Row],[Child Count]],0)</f>
        <v>2695.3633655994045</v>
      </c>
      <c r="L2547">
        <f>IFERROR(tblMoeHistory[[#This Row],[State and Local Total Amount]]/tblMoeHistory[[#This Row],[Child Count]],0)</f>
        <v>14891.71211466865</v>
      </c>
      <c r="N2547" t="str">
        <f t="shared" si="6"/>
        <v>Met</v>
      </c>
      <c r="Q2547">
        <f>tblMoeHistory[[#This Row],[Amount of IDEA Part B, Section 611 award]]+tblMoeHistory[[#This Row],[Amount of IDEA Part B, Section 619 award]]</f>
        <v>0</v>
      </c>
      <c r="U25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7" t="str">
        <f>IF(OR(IFERROR(SEARCH("Met",tblMoeHistory[[#This Row],[State and Local Per Capita Result]]),0)&gt;0,IFERROR(SEARCH("Met",tblMoeHistory[[#This Row],[State and Local Total Result]]),0)&gt;0),"Met","Not Met")</f>
        <v>Met</v>
      </c>
    </row>
    <row r="2548" spans="1:22" x14ac:dyDescent="0.35">
      <c r="A2548" t="s">
        <v>205</v>
      </c>
      <c r="B2548">
        <v>2197</v>
      </c>
      <c r="C2548" t="s">
        <v>2108</v>
      </c>
      <c r="D2548">
        <v>322</v>
      </c>
      <c r="E2548">
        <v>4303891.75</v>
      </c>
      <c r="F2548">
        <v>807916</v>
      </c>
      <c r="G2548">
        <f>tblMoeHistory[[#This Row],[LEA State and Local Amount]]+tblMoeHistory[[#This Row],[ESD State and Local Amount]]</f>
        <v>5111807.75</v>
      </c>
      <c r="J2548">
        <f>IFERROR(tblMoeHistory[[#This Row],[LEA State and Local Amount]]/tblMoeHistory[[#This Row],[Child Count]],0)</f>
        <v>13366.123447204969</v>
      </c>
      <c r="K2548" s="44">
        <f>IFERROR(tblMoeHistory[[#This Row],[ESD State and Local Amount]]/tblMoeHistory[[#This Row],[Child Count]],0)</f>
        <v>2509.0559006211179</v>
      </c>
      <c r="L2548">
        <f>IFERROR(tblMoeHistory[[#This Row],[State and Local Total Amount]]/tblMoeHistory[[#This Row],[Child Count]],0)</f>
        <v>15875.179347826086</v>
      </c>
      <c r="N2548" t="str">
        <f t="shared" si="6"/>
        <v>Met</v>
      </c>
      <c r="Q2548">
        <f>tblMoeHistory[[#This Row],[Amount of IDEA Part B, Section 611 award]]+tblMoeHistory[[#This Row],[Amount of IDEA Part B, Section 619 award]]</f>
        <v>0</v>
      </c>
      <c r="U25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8" t="str">
        <f>IF(OR(IFERROR(SEARCH("Met",tblMoeHistory[[#This Row],[State and Local Per Capita Result]]),0)&gt;0,IFERROR(SEARCH("Met",tblMoeHistory[[#This Row],[State and Local Total Result]]),0)&gt;0),"Met","Not Met")</f>
        <v>Met</v>
      </c>
    </row>
    <row r="2549" spans="1:22" x14ac:dyDescent="0.35">
      <c r="A2549" t="s">
        <v>206</v>
      </c>
      <c r="B2549">
        <v>2222</v>
      </c>
      <c r="C2549" t="s">
        <v>2108</v>
      </c>
      <c r="D2549">
        <v>1</v>
      </c>
      <c r="E2549">
        <v>0</v>
      </c>
      <c r="F2549">
        <v>3609.85</v>
      </c>
      <c r="G2549">
        <f>tblMoeHistory[[#This Row],[LEA State and Local Amount]]+tblMoeHistory[[#This Row],[ESD State and Local Amount]]</f>
        <v>3609.85</v>
      </c>
      <c r="J2549">
        <f>IFERROR(tblMoeHistory[[#This Row],[LEA State and Local Amount]]/tblMoeHistory[[#This Row],[Child Count]],0)</f>
        <v>0</v>
      </c>
      <c r="K2549" s="44">
        <f>IFERROR(tblMoeHistory[[#This Row],[ESD State and Local Amount]]/tblMoeHistory[[#This Row],[Child Count]],0)</f>
        <v>3609.85</v>
      </c>
      <c r="L2549">
        <f>IFERROR(tblMoeHistory[[#This Row],[State and Local Total Amount]]/tblMoeHistory[[#This Row],[Child Count]],0)</f>
        <v>3609.85</v>
      </c>
      <c r="N2549" t="str">
        <f t="shared" si="6"/>
        <v>Met</v>
      </c>
      <c r="Q2549">
        <f>tblMoeHistory[[#This Row],[Amount of IDEA Part B, Section 611 award]]+tblMoeHistory[[#This Row],[Amount of IDEA Part B, Section 619 award]]</f>
        <v>0</v>
      </c>
      <c r="U25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9" t="str">
        <f>IF(OR(IFERROR(SEARCH("Met",tblMoeHistory[[#This Row],[State and Local Per Capita Result]]),0)&gt;0,IFERROR(SEARCH("Met",tblMoeHistory[[#This Row],[State and Local Total Result]]),0)&gt;0),"Met","Not Met")</f>
        <v>Met</v>
      </c>
    </row>
    <row r="2550" spans="1:22" x14ac:dyDescent="0.35">
      <c r="A2550" t="s">
        <v>207</v>
      </c>
      <c r="B2550">
        <v>2210</v>
      </c>
      <c r="C2550" t="s">
        <v>2108</v>
      </c>
      <c r="D2550">
        <v>3</v>
      </c>
      <c r="E2550">
        <v>5000</v>
      </c>
      <c r="F2550">
        <v>9072.41</v>
      </c>
      <c r="G2550">
        <f>tblMoeHistory[[#This Row],[LEA State and Local Amount]]+tblMoeHistory[[#This Row],[ESD State and Local Amount]]</f>
        <v>14072.41</v>
      </c>
      <c r="J2550">
        <f>IFERROR(tblMoeHistory[[#This Row],[LEA State and Local Amount]]/tblMoeHistory[[#This Row],[Child Count]],0)</f>
        <v>1666.6666666666667</v>
      </c>
      <c r="K2550" s="44">
        <f>IFERROR(tblMoeHistory[[#This Row],[ESD State and Local Amount]]/tblMoeHistory[[#This Row],[Child Count]],0)</f>
        <v>3024.1366666666668</v>
      </c>
      <c r="L2550">
        <f>IFERROR(tblMoeHistory[[#This Row],[State and Local Total Amount]]/tblMoeHistory[[#This Row],[Child Count]],0)</f>
        <v>4690.8033333333333</v>
      </c>
      <c r="N2550" t="str">
        <f t="shared" si="6"/>
        <v>Did Not Meet</v>
      </c>
      <c r="Q2550">
        <f>tblMoeHistory[[#This Row],[Amount of IDEA Part B, Section 611 award]]+tblMoeHistory[[#This Row],[Amount of IDEA Part B, Section 619 award]]</f>
        <v>0</v>
      </c>
      <c r="U25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0" t="str">
        <f>IF(OR(IFERROR(SEARCH("Met",tblMoeHistory[[#This Row],[State and Local Per Capita Result]]),0)&gt;0,IFERROR(SEARCH("Met",tblMoeHistory[[#This Row],[State and Local Total Result]]),0)&gt;0),"Met","Not Met")</f>
        <v>Not Met</v>
      </c>
    </row>
    <row r="2551" spans="1:22" x14ac:dyDescent="0.35">
      <c r="A2551" t="s">
        <v>208</v>
      </c>
      <c r="B2551">
        <v>2204</v>
      </c>
      <c r="C2551" t="s">
        <v>2108</v>
      </c>
      <c r="D2551">
        <v>144</v>
      </c>
      <c r="E2551">
        <v>1706753.1099999999</v>
      </c>
      <c r="F2551">
        <v>296365.46999999997</v>
      </c>
      <c r="G2551">
        <f>tblMoeHistory[[#This Row],[LEA State and Local Amount]]+tblMoeHistory[[#This Row],[ESD State and Local Amount]]</f>
        <v>2003118.5799999998</v>
      </c>
      <c r="J2551">
        <f>IFERROR(tblMoeHistory[[#This Row],[LEA State and Local Amount]]/tblMoeHistory[[#This Row],[Child Count]],0)</f>
        <v>11852.452152777776</v>
      </c>
      <c r="K2551" s="44">
        <f>IFERROR(tblMoeHistory[[#This Row],[ESD State and Local Amount]]/tblMoeHistory[[#This Row],[Child Count]],0)</f>
        <v>2058.0935416666666</v>
      </c>
      <c r="L2551">
        <f>IFERROR(tblMoeHistory[[#This Row],[State and Local Total Amount]]/tblMoeHistory[[#This Row],[Child Count]],0)</f>
        <v>13910.545694444443</v>
      </c>
      <c r="N2551" t="str">
        <f t="shared" si="6"/>
        <v>Met</v>
      </c>
      <c r="Q2551">
        <f>tblMoeHistory[[#This Row],[Amount of IDEA Part B, Section 611 award]]+tblMoeHistory[[#This Row],[Amount of IDEA Part B, Section 619 award]]</f>
        <v>0</v>
      </c>
      <c r="U25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1" t="str">
        <f>IF(OR(IFERROR(SEARCH("Met",tblMoeHistory[[#This Row],[State and Local Per Capita Result]]),0)&gt;0,IFERROR(SEARCH("Met",tblMoeHistory[[#This Row],[State and Local Total Result]]),0)&gt;0),"Met","Not Met")</f>
        <v>Met</v>
      </c>
    </row>
    <row r="2552" spans="1:22" x14ac:dyDescent="0.35">
      <c r="A2552" t="s">
        <v>209</v>
      </c>
      <c r="B2552">
        <v>2213</v>
      </c>
      <c r="C2552" t="s">
        <v>2108</v>
      </c>
      <c r="D2552">
        <v>59</v>
      </c>
      <c r="E2552">
        <v>392123.70000000007</v>
      </c>
      <c r="F2552">
        <v>86403.93</v>
      </c>
      <c r="G2552">
        <f>tblMoeHistory[[#This Row],[LEA State and Local Amount]]+tblMoeHistory[[#This Row],[ESD State and Local Amount]]</f>
        <v>478527.63000000006</v>
      </c>
      <c r="J2552">
        <f>IFERROR(tblMoeHistory[[#This Row],[LEA State and Local Amount]]/tblMoeHistory[[#This Row],[Child Count]],0)</f>
        <v>6646.1644067796624</v>
      </c>
      <c r="K2552" s="44">
        <f>IFERROR(tblMoeHistory[[#This Row],[ESD State and Local Amount]]/tblMoeHistory[[#This Row],[Child Count]],0)</f>
        <v>1464.4733898305083</v>
      </c>
      <c r="L2552">
        <f>IFERROR(tblMoeHistory[[#This Row],[State and Local Total Amount]]/tblMoeHistory[[#This Row],[Child Count]],0)</f>
        <v>8110.6377966101709</v>
      </c>
      <c r="N2552" t="str">
        <f t="shared" si="6"/>
        <v>Did Not Meet</v>
      </c>
      <c r="Q2552">
        <f>tblMoeHistory[[#This Row],[Amount of IDEA Part B, Section 611 award]]+tblMoeHistory[[#This Row],[Amount of IDEA Part B, Section 619 award]]</f>
        <v>0</v>
      </c>
      <c r="U25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2" t="str">
        <f>IF(OR(IFERROR(SEARCH("Met",tblMoeHistory[[#This Row],[State and Local Per Capita Result]]),0)&gt;0,IFERROR(SEARCH("Met",tblMoeHistory[[#This Row],[State and Local Total Result]]),0)&gt;0),"Met","Not Met")</f>
        <v>Not Met</v>
      </c>
    </row>
    <row r="2553" spans="1:22" x14ac:dyDescent="0.35">
      <c r="A2553" t="s">
        <v>210</v>
      </c>
      <c r="B2553">
        <v>2116</v>
      </c>
      <c r="C2553" t="s">
        <v>2108</v>
      </c>
      <c r="D2553">
        <v>130</v>
      </c>
      <c r="E2553">
        <v>1128999.3100000003</v>
      </c>
      <c r="F2553">
        <v>397123.07</v>
      </c>
      <c r="G2553">
        <f>tblMoeHistory[[#This Row],[LEA State and Local Amount]]+tblMoeHistory[[#This Row],[ESD State and Local Amount]]</f>
        <v>1526122.3800000004</v>
      </c>
      <c r="J2553">
        <f>IFERROR(tblMoeHistory[[#This Row],[LEA State and Local Amount]]/tblMoeHistory[[#This Row],[Child Count]],0)</f>
        <v>8684.6100769230798</v>
      </c>
      <c r="K2553" s="44">
        <f>IFERROR(tblMoeHistory[[#This Row],[ESD State and Local Amount]]/tblMoeHistory[[#This Row],[Child Count]],0)</f>
        <v>3054.7928461538463</v>
      </c>
      <c r="L2553">
        <f>IFERROR(tblMoeHistory[[#This Row],[State and Local Total Amount]]/tblMoeHistory[[#This Row],[Child Count]],0)</f>
        <v>11739.402923076927</v>
      </c>
      <c r="N2553" t="str">
        <f t="shared" si="6"/>
        <v>Did Not Meet</v>
      </c>
      <c r="Q2553">
        <f>tblMoeHistory[[#This Row],[Amount of IDEA Part B, Section 611 award]]+tblMoeHistory[[#This Row],[Amount of IDEA Part B, Section 619 award]]</f>
        <v>0</v>
      </c>
      <c r="U25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3" t="str">
        <f>IF(OR(IFERROR(SEARCH("Met",tblMoeHistory[[#This Row],[State and Local Per Capita Result]]),0)&gt;0,IFERROR(SEARCH("Met",tblMoeHistory[[#This Row],[State and Local Total Result]]),0)&gt;0),"Met","Not Met")</f>
        <v>Not Met</v>
      </c>
    </row>
    <row r="2554" spans="1:22" x14ac:dyDescent="0.35">
      <c r="A2554" t="s">
        <v>211</v>
      </c>
      <c r="B2554">
        <v>1947</v>
      </c>
      <c r="C2554" t="s">
        <v>2108</v>
      </c>
      <c r="D2554">
        <v>76</v>
      </c>
      <c r="E2554">
        <v>1365980.8699999996</v>
      </c>
      <c r="F2554">
        <v>12013</v>
      </c>
      <c r="G2554">
        <f>tblMoeHistory[[#This Row],[LEA State and Local Amount]]+tblMoeHistory[[#This Row],[ESD State and Local Amount]]</f>
        <v>1377993.8699999996</v>
      </c>
      <c r="J2554">
        <f>IFERROR(tblMoeHistory[[#This Row],[LEA State and Local Amount]]/tblMoeHistory[[#This Row],[Child Count]],0)</f>
        <v>17973.432499999995</v>
      </c>
      <c r="K2554" s="44">
        <f>IFERROR(tblMoeHistory[[#This Row],[ESD State and Local Amount]]/tblMoeHistory[[#This Row],[Child Count]],0)</f>
        <v>158.06578947368422</v>
      </c>
      <c r="L2554">
        <f>IFERROR(tblMoeHistory[[#This Row],[State and Local Total Amount]]/tblMoeHistory[[#This Row],[Child Count]],0)</f>
        <v>18131.498289473679</v>
      </c>
      <c r="N2554" t="str">
        <f t="shared" ref="N2554:N2562" si="7">IF(L2554&gt;=L2357,"Met","Did Not Meet")</f>
        <v>Met</v>
      </c>
      <c r="Q2554">
        <f>tblMoeHistory[[#This Row],[Amount of IDEA Part B, Section 611 award]]+tblMoeHistory[[#This Row],[Amount of IDEA Part B, Section 619 award]]</f>
        <v>0</v>
      </c>
      <c r="U25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4" t="str">
        <f>IF(OR(IFERROR(SEARCH("Met",tblMoeHistory[[#This Row],[State and Local Per Capita Result]]),0)&gt;0,IFERROR(SEARCH("Met",tblMoeHistory[[#This Row],[State and Local Total Result]]),0)&gt;0),"Met","Not Met")</f>
        <v>Met</v>
      </c>
    </row>
    <row r="2555" spans="1:22" x14ac:dyDescent="0.35">
      <c r="A2555" t="s">
        <v>212</v>
      </c>
      <c r="B2555">
        <v>2220</v>
      </c>
      <c r="C2555" t="s">
        <v>2108</v>
      </c>
      <c r="D2555">
        <v>30</v>
      </c>
      <c r="E2555">
        <v>144482.91999999998</v>
      </c>
      <c r="F2555">
        <v>160552.69</v>
      </c>
      <c r="G2555">
        <f>tblMoeHistory[[#This Row],[LEA State and Local Amount]]+tblMoeHistory[[#This Row],[ESD State and Local Amount]]</f>
        <v>305035.61</v>
      </c>
      <c r="J2555">
        <f>IFERROR(tblMoeHistory[[#This Row],[LEA State and Local Amount]]/tblMoeHistory[[#This Row],[Child Count]],0)</f>
        <v>4816.0973333333332</v>
      </c>
      <c r="K2555" s="44">
        <f>IFERROR(tblMoeHistory[[#This Row],[ESD State and Local Amount]]/tblMoeHistory[[#This Row],[Child Count]],0)</f>
        <v>5351.7563333333337</v>
      </c>
      <c r="L2555">
        <f>IFERROR(tblMoeHistory[[#This Row],[State and Local Total Amount]]/tblMoeHistory[[#This Row],[Child Count]],0)</f>
        <v>10167.853666666666</v>
      </c>
      <c r="N2555" t="str">
        <f t="shared" si="7"/>
        <v>Did Not Meet</v>
      </c>
      <c r="Q2555">
        <f>tblMoeHistory[[#This Row],[Amount of IDEA Part B, Section 611 award]]+tblMoeHistory[[#This Row],[Amount of IDEA Part B, Section 619 award]]</f>
        <v>0</v>
      </c>
      <c r="U25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5" t="str">
        <f>IF(OR(IFERROR(SEARCH("Met",tblMoeHistory[[#This Row],[State and Local Per Capita Result]]),0)&gt;0,IFERROR(SEARCH("Met",tblMoeHistory[[#This Row],[State and Local Total Result]]),0)&gt;0),"Met","Not Met")</f>
        <v>Not Met</v>
      </c>
    </row>
    <row r="2556" spans="1:22" x14ac:dyDescent="0.35">
      <c r="A2556" t="s">
        <v>213</v>
      </c>
      <c r="B2556">
        <v>1936</v>
      </c>
      <c r="C2556" t="s">
        <v>2108</v>
      </c>
      <c r="D2556">
        <v>139</v>
      </c>
      <c r="E2556">
        <v>1652078.6299999997</v>
      </c>
      <c r="F2556">
        <v>340734</v>
      </c>
      <c r="G2556">
        <f>tblMoeHistory[[#This Row],[LEA State and Local Amount]]+tblMoeHistory[[#This Row],[ESD State and Local Amount]]</f>
        <v>1992812.6299999997</v>
      </c>
      <c r="J2556">
        <f>IFERROR(tblMoeHistory[[#This Row],[LEA State and Local Amount]]/tblMoeHistory[[#This Row],[Child Count]],0)</f>
        <v>11885.457769784171</v>
      </c>
      <c r="K2556" s="44">
        <f>IFERROR(tblMoeHistory[[#This Row],[ESD State and Local Amount]]/tblMoeHistory[[#This Row],[Child Count]],0)</f>
        <v>2451.3237410071943</v>
      </c>
      <c r="L2556">
        <f>IFERROR(tblMoeHistory[[#This Row],[State and Local Total Amount]]/tblMoeHistory[[#This Row],[Child Count]],0)</f>
        <v>14336.781510791365</v>
      </c>
      <c r="N2556" t="str">
        <f t="shared" si="7"/>
        <v>Met</v>
      </c>
      <c r="Q2556">
        <f>tblMoeHistory[[#This Row],[Amount of IDEA Part B, Section 611 award]]+tblMoeHistory[[#This Row],[Amount of IDEA Part B, Section 619 award]]</f>
        <v>0</v>
      </c>
      <c r="U25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6" t="str">
        <f>IF(OR(IFERROR(SEARCH("Met",tblMoeHistory[[#This Row],[State and Local Per Capita Result]]),0)&gt;0,IFERROR(SEARCH("Met",tblMoeHistory[[#This Row],[State and Local Total Result]]),0)&gt;0),"Met","Not Met")</f>
        <v>Met</v>
      </c>
    </row>
    <row r="2557" spans="1:22" x14ac:dyDescent="0.35">
      <c r="A2557" t="s">
        <v>214</v>
      </c>
      <c r="B2557">
        <v>1922</v>
      </c>
      <c r="C2557" t="s">
        <v>2108</v>
      </c>
      <c r="D2557">
        <v>1083</v>
      </c>
      <c r="E2557">
        <v>15362855.710000005</v>
      </c>
      <c r="F2557">
        <v>0</v>
      </c>
      <c r="G2557">
        <f>tblMoeHistory[[#This Row],[LEA State and Local Amount]]+tblMoeHistory[[#This Row],[ESD State and Local Amount]]</f>
        <v>15362855.710000005</v>
      </c>
      <c r="J2557">
        <f>IFERROR(tblMoeHistory[[#This Row],[LEA State and Local Amount]]/tblMoeHistory[[#This Row],[Child Count]],0)</f>
        <v>14185.462336103421</v>
      </c>
      <c r="K2557" s="44">
        <f>IFERROR(tblMoeHistory[[#This Row],[ESD State and Local Amount]]/tblMoeHistory[[#This Row],[Child Count]],0)</f>
        <v>0</v>
      </c>
      <c r="L2557">
        <f>IFERROR(tblMoeHistory[[#This Row],[State and Local Total Amount]]/tblMoeHistory[[#This Row],[Child Count]],0)</f>
        <v>14185.462336103421</v>
      </c>
      <c r="N2557" t="str">
        <f t="shared" si="7"/>
        <v>Met</v>
      </c>
      <c r="Q2557">
        <f>tblMoeHistory[[#This Row],[Amount of IDEA Part B, Section 611 award]]+tblMoeHistory[[#This Row],[Amount of IDEA Part B, Section 619 award]]</f>
        <v>0</v>
      </c>
      <c r="U25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7" t="str">
        <f>IF(OR(IFERROR(SEARCH("Met",tblMoeHistory[[#This Row],[State and Local Per Capita Result]]),0)&gt;0,IFERROR(SEARCH("Met",tblMoeHistory[[#This Row],[State and Local Total Result]]),0)&gt;0),"Met","Not Met")</f>
        <v>Met</v>
      </c>
    </row>
    <row r="2558" spans="1:22" x14ac:dyDescent="0.35">
      <c r="A2558" t="s">
        <v>215</v>
      </c>
      <c r="B2558">
        <v>2255</v>
      </c>
      <c r="C2558" t="s">
        <v>2108</v>
      </c>
      <c r="D2558">
        <v>124</v>
      </c>
      <c r="E2558">
        <v>1186091.7000000002</v>
      </c>
      <c r="F2558">
        <v>52876.159999999996</v>
      </c>
      <c r="G2558">
        <f>tblMoeHistory[[#This Row],[LEA State and Local Amount]]+tblMoeHistory[[#This Row],[ESD State and Local Amount]]</f>
        <v>1238967.8600000001</v>
      </c>
      <c r="J2558">
        <f>IFERROR(tblMoeHistory[[#This Row],[LEA State and Local Amount]]/tblMoeHistory[[#This Row],[Child Count]],0)</f>
        <v>9565.2556451612927</v>
      </c>
      <c r="K2558" s="44">
        <f>IFERROR(tblMoeHistory[[#This Row],[ESD State and Local Amount]]/tblMoeHistory[[#This Row],[Child Count]],0)</f>
        <v>426.42064516129028</v>
      </c>
      <c r="L2558">
        <f>IFERROR(tblMoeHistory[[#This Row],[State and Local Total Amount]]/tblMoeHistory[[#This Row],[Child Count]],0)</f>
        <v>9991.6762903225808</v>
      </c>
      <c r="N2558" t="str">
        <f t="shared" si="7"/>
        <v>Met</v>
      </c>
      <c r="Q2558">
        <f>tblMoeHistory[[#This Row],[Amount of IDEA Part B, Section 611 award]]+tblMoeHistory[[#This Row],[Amount of IDEA Part B, Section 619 award]]</f>
        <v>0</v>
      </c>
      <c r="U25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8" t="str">
        <f>IF(OR(IFERROR(SEARCH("Met",tblMoeHistory[[#This Row],[State and Local Per Capita Result]]),0)&gt;0,IFERROR(SEARCH("Met",tblMoeHistory[[#This Row],[State and Local Total Result]]),0)&gt;0),"Met","Not Met")</f>
        <v>Met</v>
      </c>
    </row>
    <row r="2559" spans="1:22" x14ac:dyDescent="0.35">
      <c r="A2559" t="s">
        <v>216</v>
      </c>
      <c r="B2559">
        <v>2002</v>
      </c>
      <c r="C2559" t="s">
        <v>2108</v>
      </c>
      <c r="D2559">
        <v>235</v>
      </c>
      <c r="E2559">
        <v>2208419.8200000003</v>
      </c>
      <c r="F2559">
        <v>53937.810000000012</v>
      </c>
      <c r="G2559">
        <f>tblMoeHistory[[#This Row],[LEA State and Local Amount]]+tblMoeHistory[[#This Row],[ESD State and Local Amount]]</f>
        <v>2262357.6300000004</v>
      </c>
      <c r="J2559">
        <f>IFERROR(tblMoeHistory[[#This Row],[LEA State and Local Amount]]/tblMoeHistory[[#This Row],[Child Count]],0)</f>
        <v>9397.531148936172</v>
      </c>
      <c r="K2559" s="44">
        <f>IFERROR(tblMoeHistory[[#This Row],[ESD State and Local Amount]]/tblMoeHistory[[#This Row],[Child Count]],0)</f>
        <v>229.5225957446809</v>
      </c>
      <c r="L2559">
        <f>IFERROR(tblMoeHistory[[#This Row],[State and Local Total Amount]]/tblMoeHistory[[#This Row],[Child Count]],0)</f>
        <v>9627.0537446808521</v>
      </c>
      <c r="N2559" t="str">
        <f t="shared" si="7"/>
        <v>Did Not Meet</v>
      </c>
      <c r="Q2559">
        <f>tblMoeHistory[[#This Row],[Amount of IDEA Part B, Section 611 award]]+tblMoeHistory[[#This Row],[Amount of IDEA Part B, Section 619 award]]</f>
        <v>0</v>
      </c>
      <c r="U25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9" t="str">
        <f>IF(OR(IFERROR(SEARCH("Met",tblMoeHistory[[#This Row],[State and Local Per Capita Result]]),0)&gt;0,IFERROR(SEARCH("Met",tblMoeHistory[[#This Row],[State and Local Total Result]]),0)&gt;0),"Met","Not Met")</f>
        <v>Not Met</v>
      </c>
    </row>
    <row r="2560" spans="1:22" x14ac:dyDescent="0.35">
      <c r="A2560" t="s">
        <v>217</v>
      </c>
      <c r="B2560">
        <v>2146</v>
      </c>
      <c r="C2560" t="s">
        <v>2108</v>
      </c>
      <c r="D2560">
        <v>770</v>
      </c>
      <c r="E2560">
        <v>10198808.349999994</v>
      </c>
      <c r="F2560">
        <v>398084.97</v>
      </c>
      <c r="G2560">
        <f>tblMoeHistory[[#This Row],[LEA State and Local Amount]]+tblMoeHistory[[#This Row],[ESD State and Local Amount]]</f>
        <v>10596893.319999995</v>
      </c>
      <c r="J2560">
        <f>IFERROR(tblMoeHistory[[#This Row],[LEA State and Local Amount]]/tblMoeHistory[[#This Row],[Child Count]],0)</f>
        <v>13245.205649350642</v>
      </c>
      <c r="K2560" s="44">
        <f>IFERROR(tblMoeHistory[[#This Row],[ESD State and Local Amount]]/tblMoeHistory[[#This Row],[Child Count]],0)</f>
        <v>516.99346753246755</v>
      </c>
      <c r="L2560">
        <f>IFERROR(tblMoeHistory[[#This Row],[State and Local Total Amount]]/tblMoeHistory[[#This Row],[Child Count]],0)</f>
        <v>13762.19911688311</v>
      </c>
      <c r="N2560" t="str">
        <f t="shared" si="7"/>
        <v>Met</v>
      </c>
      <c r="Q2560">
        <f>tblMoeHistory[[#This Row],[Amount of IDEA Part B, Section 611 award]]+tblMoeHistory[[#This Row],[Amount of IDEA Part B, Section 619 award]]</f>
        <v>0</v>
      </c>
      <c r="U25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60" t="str">
        <f>IF(OR(IFERROR(SEARCH("Met",tblMoeHistory[[#This Row],[State and Local Per Capita Result]]),0)&gt;0,IFERROR(SEARCH("Met",tblMoeHistory[[#This Row],[State and Local Total Result]]),0)&gt;0),"Met","Not Met")</f>
        <v>Met</v>
      </c>
    </row>
    <row r="2561" spans="1:22" x14ac:dyDescent="0.35">
      <c r="A2561" t="s">
        <v>218</v>
      </c>
      <c r="B2561">
        <v>2251</v>
      </c>
      <c r="C2561" t="s">
        <v>2108</v>
      </c>
      <c r="D2561">
        <v>153</v>
      </c>
      <c r="E2561">
        <v>1682658.1800000006</v>
      </c>
      <c r="F2561">
        <v>65528.56</v>
      </c>
      <c r="G2561">
        <f>tblMoeHistory[[#This Row],[LEA State and Local Amount]]+tblMoeHistory[[#This Row],[ESD State and Local Amount]]</f>
        <v>1748186.7400000007</v>
      </c>
      <c r="J2561">
        <f>IFERROR(tblMoeHistory[[#This Row],[LEA State and Local Amount]]/tblMoeHistory[[#This Row],[Child Count]],0)</f>
        <v>10997.765882352945</v>
      </c>
      <c r="K2561" s="44">
        <f>IFERROR(tblMoeHistory[[#This Row],[ESD State and Local Amount]]/tblMoeHistory[[#This Row],[Child Count]],0)</f>
        <v>428.29124183006536</v>
      </c>
      <c r="L2561">
        <f>IFERROR(tblMoeHistory[[#This Row],[State and Local Total Amount]]/tblMoeHistory[[#This Row],[Child Count]],0)</f>
        <v>11426.057124183011</v>
      </c>
      <c r="N2561" t="str">
        <f t="shared" si="7"/>
        <v>Did Not Meet</v>
      </c>
      <c r="Q2561">
        <f>tblMoeHistory[[#This Row],[Amount of IDEA Part B, Section 611 award]]+tblMoeHistory[[#This Row],[Amount of IDEA Part B, Section 619 award]]</f>
        <v>0</v>
      </c>
      <c r="U25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61" t="str">
        <f>IF(OR(IFERROR(SEARCH("Met",tblMoeHistory[[#This Row],[State and Local Per Capita Result]]),0)&gt;0,IFERROR(SEARCH("Met",tblMoeHistory[[#This Row],[State and Local Total Result]]),0)&gt;0),"Met","Not Met")</f>
        <v>Not Met</v>
      </c>
    </row>
    <row r="2562" spans="1:22" x14ac:dyDescent="0.35">
      <c r="A2562" t="s">
        <v>219</v>
      </c>
      <c r="B2562">
        <v>1997</v>
      </c>
      <c r="C2562" t="s">
        <v>2108</v>
      </c>
      <c r="D2562">
        <v>42</v>
      </c>
      <c r="E2562">
        <v>305545.19000000006</v>
      </c>
      <c r="F2562">
        <v>85845.310000000012</v>
      </c>
      <c r="G2562">
        <f>tblMoeHistory[[#This Row],[LEA State and Local Amount]]+tblMoeHistory[[#This Row],[ESD State and Local Amount]]</f>
        <v>391390.50000000006</v>
      </c>
      <c r="J2562">
        <f>IFERROR(tblMoeHistory[[#This Row],[LEA State and Local Amount]]/tblMoeHistory[[#This Row],[Child Count]],0)</f>
        <v>7274.8854761904777</v>
      </c>
      <c r="K2562" s="44">
        <f>IFERROR(tblMoeHistory[[#This Row],[ESD State and Local Amount]]/tblMoeHistory[[#This Row],[Child Count]],0)</f>
        <v>2043.9359523809526</v>
      </c>
      <c r="L2562">
        <f>IFERROR(tblMoeHistory[[#This Row],[State and Local Total Amount]]/tblMoeHistory[[#This Row],[Child Count]],0)</f>
        <v>9318.8214285714294</v>
      </c>
      <c r="N2562" t="str">
        <f t="shared" si="7"/>
        <v>Met</v>
      </c>
      <c r="Q2562">
        <f>tblMoeHistory[[#This Row],[Amount of IDEA Part B, Section 611 award]]+tblMoeHistory[[#This Row],[Amount of IDEA Part B, Section 619 award]]</f>
        <v>0</v>
      </c>
      <c r="U25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62" t="str">
        <f>IF(OR(IFERROR(SEARCH("Met",tblMoeHistory[[#This Row],[State and Local Per Capita Result]]),0)&gt;0,IFERROR(SEARCH("Met",tblMoeHistory[[#This Row],[State and Local Total Result]]),0)&gt;0),"Met","Not Met")</f>
        <v>Met</v>
      </c>
    </row>
  </sheetData>
  <sheetProtection selectLockedCells="1" selectUnlockedCells="1"/>
  <phoneticPr fontId="56" type="noConversion"/>
  <pageMargins left="0.7" right="0.7" top="0.75" bottom="0.75" header="0.3" footer="0.3"/>
  <pageSetup orientation="portrait" horizontalDpi="1200" verticalDpi="1200" r:id="rId1"/>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EFA8-F545-4B83-8062-4886A416CBCC}">
  <dimension ref="A1:V574"/>
  <sheetViews>
    <sheetView workbookViewId="0"/>
  </sheetViews>
  <sheetFormatPr defaultRowHeight="14.5" x14ac:dyDescent="0.35"/>
  <cols>
    <col min="1" max="1" width="22.453125" bestFit="1" customWidth="1"/>
    <col min="2" max="2" width="12.54296875" bestFit="1" customWidth="1"/>
    <col min="3" max="3" width="15.1796875" bestFit="1" customWidth="1"/>
    <col min="4" max="4" width="12.1796875" bestFit="1" customWidth="1"/>
    <col min="5" max="5" width="9.54296875" bestFit="1" customWidth="1"/>
    <col min="6" max="6" width="15.54296875" bestFit="1" customWidth="1"/>
    <col min="7" max="7" width="12.81640625" bestFit="1" customWidth="1"/>
    <col min="8" max="8" width="13.54296875" bestFit="1" customWidth="1"/>
    <col min="9" max="9" width="13.1796875" bestFit="1" customWidth="1"/>
    <col min="10" max="10" width="9.1796875" bestFit="1" customWidth="1"/>
    <col min="11" max="11" width="38.26953125" bestFit="1" customWidth="1"/>
    <col min="12" max="12" width="17.453125" bestFit="1" customWidth="1"/>
    <col min="13" max="13" width="12.26953125" bestFit="1" customWidth="1"/>
    <col min="14" max="14" width="21.54296875" customWidth="1"/>
    <col min="15" max="15" width="30.54296875" bestFit="1" customWidth="1"/>
    <col min="16" max="16" width="13.54296875" bestFit="1" customWidth="1"/>
  </cols>
  <sheetData>
    <row r="1" spans="1:22" x14ac:dyDescent="0.35">
      <c r="A1" t="s">
        <v>3129</v>
      </c>
      <c r="B1" t="s">
        <v>3130</v>
      </c>
      <c r="C1" t="s">
        <v>3131</v>
      </c>
      <c r="D1" t="s">
        <v>3132</v>
      </c>
      <c r="E1" t="s">
        <v>3133</v>
      </c>
      <c r="F1" t="s">
        <v>3134</v>
      </c>
      <c r="G1" t="s">
        <v>3135</v>
      </c>
      <c r="H1" t="s">
        <v>3136</v>
      </c>
      <c r="I1" t="s">
        <v>3137</v>
      </c>
      <c r="J1" t="s">
        <v>3138</v>
      </c>
      <c r="K1" t="s">
        <v>3139</v>
      </c>
      <c r="L1" t="s">
        <v>3140</v>
      </c>
      <c r="M1" t="s">
        <v>3141</v>
      </c>
      <c r="N1" t="s">
        <v>3142</v>
      </c>
      <c r="O1" t="s">
        <v>3143</v>
      </c>
      <c r="P1">
        <v>1976</v>
      </c>
      <c r="Q1" t="s">
        <v>3160</v>
      </c>
      <c r="S1" t="s">
        <v>3162</v>
      </c>
      <c r="T1" t="s">
        <v>3163</v>
      </c>
      <c r="U1" t="s">
        <v>3164</v>
      </c>
      <c r="V1" t="s">
        <v>3165</v>
      </c>
    </row>
    <row r="2" spans="1:22" x14ac:dyDescent="0.35">
      <c r="A2">
        <v>58570</v>
      </c>
      <c r="B2" s="283">
        <v>44743</v>
      </c>
      <c r="C2">
        <v>1923</v>
      </c>
      <c r="D2">
        <v>1902</v>
      </c>
      <c r="E2">
        <v>100</v>
      </c>
      <c r="F2">
        <v>320</v>
      </c>
      <c r="G2">
        <v>1200</v>
      </c>
      <c r="H2" s="1">
        <v>119719</v>
      </c>
      <c r="I2">
        <v>0</v>
      </c>
      <c r="J2" s="283">
        <v>45412.177658182867</v>
      </c>
      <c r="K2" t="s">
        <v>3144</v>
      </c>
      <c r="L2" t="s">
        <v>3145</v>
      </c>
      <c r="M2" t="s">
        <v>3146</v>
      </c>
      <c r="N2" t="s">
        <v>441</v>
      </c>
      <c r="O2" t="s">
        <v>119</v>
      </c>
      <c r="P2">
        <v>2243</v>
      </c>
      <c r="Q2" t="s">
        <v>3161</v>
      </c>
    </row>
    <row r="3" spans="1:22" x14ac:dyDescent="0.35">
      <c r="A3">
        <v>58571</v>
      </c>
      <c r="B3" s="283">
        <v>44743</v>
      </c>
      <c r="C3">
        <v>1923</v>
      </c>
      <c r="D3">
        <v>1902</v>
      </c>
      <c r="E3">
        <v>100</v>
      </c>
      <c r="F3">
        <v>320</v>
      </c>
      <c r="G3">
        <v>2100</v>
      </c>
      <c r="H3" s="1">
        <v>99260</v>
      </c>
      <c r="I3">
        <v>0</v>
      </c>
      <c r="J3" s="283">
        <v>45412.177658182867</v>
      </c>
      <c r="K3" t="s">
        <v>3147</v>
      </c>
      <c r="L3" t="s">
        <v>3145</v>
      </c>
      <c r="M3" t="s">
        <v>3146</v>
      </c>
      <c r="N3" t="s">
        <v>441</v>
      </c>
      <c r="O3" t="s">
        <v>119</v>
      </c>
      <c r="P3" s="1">
        <f>SUMIFS(H:H,C:C,P2)</f>
        <v>988253</v>
      </c>
    </row>
    <row r="4" spans="1:22" x14ac:dyDescent="0.35">
      <c r="A4">
        <v>58572</v>
      </c>
      <c r="B4" s="283">
        <v>44743</v>
      </c>
      <c r="C4">
        <v>1923</v>
      </c>
      <c r="D4">
        <v>1902</v>
      </c>
      <c r="E4">
        <v>100</v>
      </c>
      <c r="F4">
        <v>320</v>
      </c>
      <c r="G4">
        <v>2550</v>
      </c>
      <c r="H4" s="1">
        <v>141</v>
      </c>
      <c r="I4">
        <v>0</v>
      </c>
      <c r="J4" s="283">
        <v>45412.177658182867</v>
      </c>
      <c r="K4" t="s">
        <v>3148</v>
      </c>
      <c r="L4" t="s">
        <v>3145</v>
      </c>
      <c r="M4" t="s">
        <v>3146</v>
      </c>
      <c r="N4" t="s">
        <v>441</v>
      </c>
      <c r="O4" t="s">
        <v>119</v>
      </c>
    </row>
    <row r="5" spans="1:22" x14ac:dyDescent="0.35">
      <c r="A5">
        <v>58581</v>
      </c>
      <c r="B5" s="283">
        <v>44743</v>
      </c>
      <c r="C5">
        <v>1924</v>
      </c>
      <c r="D5">
        <v>1902</v>
      </c>
      <c r="E5">
        <v>100</v>
      </c>
      <c r="F5">
        <v>320</v>
      </c>
      <c r="G5">
        <v>1200</v>
      </c>
      <c r="H5" s="1">
        <v>3434794</v>
      </c>
      <c r="I5">
        <v>0</v>
      </c>
      <c r="J5" s="283">
        <v>45412.177658182867</v>
      </c>
      <c r="K5" t="s">
        <v>3144</v>
      </c>
      <c r="L5" t="s">
        <v>3145</v>
      </c>
      <c r="M5" t="s">
        <v>3146</v>
      </c>
      <c r="N5" t="s">
        <v>441</v>
      </c>
      <c r="O5" t="s">
        <v>142</v>
      </c>
    </row>
    <row r="6" spans="1:22" x14ac:dyDescent="0.35">
      <c r="A6">
        <v>58582</v>
      </c>
      <c r="B6" s="283">
        <v>44743</v>
      </c>
      <c r="C6">
        <v>1924</v>
      </c>
      <c r="D6">
        <v>1902</v>
      </c>
      <c r="E6">
        <v>100</v>
      </c>
      <c r="F6">
        <v>320</v>
      </c>
      <c r="G6">
        <v>2550</v>
      </c>
      <c r="H6" s="1">
        <v>4037</v>
      </c>
      <c r="I6">
        <v>0</v>
      </c>
      <c r="J6" s="283">
        <v>45412.177658182867</v>
      </c>
      <c r="K6" t="s">
        <v>3148</v>
      </c>
      <c r="L6" t="s">
        <v>3145</v>
      </c>
      <c r="M6" t="s">
        <v>3146</v>
      </c>
      <c r="N6" t="s">
        <v>441</v>
      </c>
      <c r="O6" t="s">
        <v>142</v>
      </c>
    </row>
    <row r="7" spans="1:22" x14ac:dyDescent="0.35">
      <c r="A7">
        <v>58591</v>
      </c>
      <c r="B7" s="283">
        <v>44743</v>
      </c>
      <c r="C7">
        <v>1925</v>
      </c>
      <c r="D7">
        <v>1902</v>
      </c>
      <c r="E7">
        <v>100</v>
      </c>
      <c r="F7">
        <v>320</v>
      </c>
      <c r="G7">
        <v>1200</v>
      </c>
      <c r="H7" s="1">
        <v>524807</v>
      </c>
      <c r="I7">
        <v>0</v>
      </c>
      <c r="J7" s="283">
        <v>45412.177658182867</v>
      </c>
      <c r="K7" t="s">
        <v>3144</v>
      </c>
      <c r="L7" t="s">
        <v>3145</v>
      </c>
      <c r="M7" t="s">
        <v>3146</v>
      </c>
      <c r="N7" t="s">
        <v>441</v>
      </c>
      <c r="O7" t="s">
        <v>132</v>
      </c>
    </row>
    <row r="8" spans="1:22" x14ac:dyDescent="0.35">
      <c r="A8">
        <v>58592</v>
      </c>
      <c r="B8" s="283">
        <v>44743</v>
      </c>
      <c r="C8">
        <v>1925</v>
      </c>
      <c r="D8">
        <v>1902</v>
      </c>
      <c r="E8">
        <v>100</v>
      </c>
      <c r="F8">
        <v>320</v>
      </c>
      <c r="G8">
        <v>2100</v>
      </c>
      <c r="H8" s="1">
        <v>82050</v>
      </c>
      <c r="I8">
        <v>0</v>
      </c>
      <c r="J8" s="283">
        <v>45412.177658182867</v>
      </c>
      <c r="K8" t="s">
        <v>3147</v>
      </c>
      <c r="L8" t="s">
        <v>3145</v>
      </c>
      <c r="M8" t="s">
        <v>3146</v>
      </c>
      <c r="N8" t="s">
        <v>441</v>
      </c>
      <c r="O8" t="s">
        <v>132</v>
      </c>
    </row>
    <row r="9" spans="1:22" x14ac:dyDescent="0.35">
      <c r="A9">
        <v>58593</v>
      </c>
      <c r="B9" s="283">
        <v>44743</v>
      </c>
      <c r="C9">
        <v>1925</v>
      </c>
      <c r="D9">
        <v>1902</v>
      </c>
      <c r="E9">
        <v>100</v>
      </c>
      <c r="F9">
        <v>320</v>
      </c>
      <c r="G9">
        <v>2550</v>
      </c>
      <c r="H9" s="1">
        <v>616</v>
      </c>
      <c r="I9">
        <v>0</v>
      </c>
      <c r="J9" s="283">
        <v>45412.177658182867</v>
      </c>
      <c r="K9" t="s">
        <v>3148</v>
      </c>
      <c r="L9" t="s">
        <v>3145</v>
      </c>
      <c r="M9" t="s">
        <v>3146</v>
      </c>
      <c r="N9" t="s">
        <v>441</v>
      </c>
      <c r="O9" t="s">
        <v>132</v>
      </c>
    </row>
    <row r="10" spans="1:22" x14ac:dyDescent="0.35">
      <c r="A10">
        <v>58602</v>
      </c>
      <c r="B10" s="283">
        <v>44743</v>
      </c>
      <c r="C10">
        <v>1926</v>
      </c>
      <c r="D10">
        <v>1902</v>
      </c>
      <c r="E10">
        <v>100</v>
      </c>
      <c r="F10">
        <v>320</v>
      </c>
      <c r="G10">
        <v>1200</v>
      </c>
      <c r="H10" s="1">
        <v>1100505</v>
      </c>
      <c r="I10">
        <v>0</v>
      </c>
      <c r="J10" s="283">
        <v>45412.177658182867</v>
      </c>
      <c r="K10" t="s">
        <v>3144</v>
      </c>
      <c r="L10" t="s">
        <v>3145</v>
      </c>
      <c r="M10" t="s">
        <v>3146</v>
      </c>
      <c r="N10" t="s">
        <v>441</v>
      </c>
      <c r="O10" t="s">
        <v>154</v>
      </c>
    </row>
    <row r="11" spans="1:22" x14ac:dyDescent="0.35">
      <c r="A11">
        <v>58603</v>
      </c>
      <c r="B11" s="283">
        <v>44743</v>
      </c>
      <c r="C11">
        <v>1926</v>
      </c>
      <c r="D11">
        <v>1902</v>
      </c>
      <c r="E11">
        <v>100</v>
      </c>
      <c r="F11">
        <v>320</v>
      </c>
      <c r="G11">
        <v>2100</v>
      </c>
      <c r="H11" s="1">
        <v>122060</v>
      </c>
      <c r="I11">
        <v>0</v>
      </c>
      <c r="J11" s="283">
        <v>45412.177658182867</v>
      </c>
      <c r="K11" t="s">
        <v>3147</v>
      </c>
      <c r="L11" t="s">
        <v>3145</v>
      </c>
      <c r="M11" t="s">
        <v>3146</v>
      </c>
      <c r="N11" t="s">
        <v>441</v>
      </c>
      <c r="O11" t="s">
        <v>154</v>
      </c>
    </row>
    <row r="12" spans="1:22" x14ac:dyDescent="0.35">
      <c r="A12">
        <v>58604</v>
      </c>
      <c r="B12" s="283">
        <v>44743</v>
      </c>
      <c r="C12">
        <v>1926</v>
      </c>
      <c r="D12">
        <v>1902</v>
      </c>
      <c r="E12">
        <v>100</v>
      </c>
      <c r="F12">
        <v>320</v>
      </c>
      <c r="G12">
        <v>2550</v>
      </c>
      <c r="H12" s="1">
        <v>1292</v>
      </c>
      <c r="I12">
        <v>0</v>
      </c>
      <c r="J12" s="283">
        <v>45412.177658182867</v>
      </c>
      <c r="K12" t="s">
        <v>3148</v>
      </c>
      <c r="L12" t="s">
        <v>3145</v>
      </c>
      <c r="M12" t="s">
        <v>3146</v>
      </c>
      <c r="N12" t="s">
        <v>441</v>
      </c>
      <c r="O12" t="s">
        <v>154</v>
      </c>
    </row>
    <row r="13" spans="1:22" x14ac:dyDescent="0.35">
      <c r="A13">
        <v>58613</v>
      </c>
      <c r="B13" s="283">
        <v>44743</v>
      </c>
      <c r="C13">
        <v>1927</v>
      </c>
      <c r="D13">
        <v>1902</v>
      </c>
      <c r="E13">
        <v>100</v>
      </c>
      <c r="F13">
        <v>320</v>
      </c>
      <c r="G13">
        <v>1200</v>
      </c>
      <c r="H13" s="1">
        <v>45098</v>
      </c>
      <c r="I13">
        <v>0</v>
      </c>
      <c r="J13" s="283">
        <v>45412.177658182867</v>
      </c>
      <c r="K13" t="s">
        <v>3144</v>
      </c>
      <c r="L13" t="s">
        <v>3145</v>
      </c>
      <c r="M13" t="s">
        <v>3146</v>
      </c>
      <c r="N13" t="s">
        <v>441</v>
      </c>
      <c r="O13" t="s">
        <v>52</v>
      </c>
    </row>
    <row r="14" spans="1:22" x14ac:dyDescent="0.35">
      <c r="A14">
        <v>58614</v>
      </c>
      <c r="B14" s="283">
        <v>44743</v>
      </c>
      <c r="C14">
        <v>1927</v>
      </c>
      <c r="D14">
        <v>1902</v>
      </c>
      <c r="E14">
        <v>100</v>
      </c>
      <c r="F14">
        <v>320</v>
      </c>
      <c r="G14">
        <v>2100</v>
      </c>
      <c r="H14" s="1">
        <v>16800</v>
      </c>
      <c r="I14">
        <v>0</v>
      </c>
      <c r="J14" s="283">
        <v>45412.177658182867</v>
      </c>
      <c r="K14" t="s">
        <v>3147</v>
      </c>
      <c r="L14" t="s">
        <v>3145</v>
      </c>
      <c r="M14" t="s">
        <v>3146</v>
      </c>
      <c r="N14" t="s">
        <v>441</v>
      </c>
      <c r="O14" t="s">
        <v>52</v>
      </c>
    </row>
    <row r="15" spans="1:22" x14ac:dyDescent="0.35">
      <c r="A15">
        <v>58615</v>
      </c>
      <c r="B15" s="283">
        <v>44743</v>
      </c>
      <c r="C15">
        <v>1927</v>
      </c>
      <c r="D15">
        <v>1902</v>
      </c>
      <c r="E15">
        <v>100</v>
      </c>
      <c r="F15">
        <v>320</v>
      </c>
      <c r="G15">
        <v>2550</v>
      </c>
      <c r="H15" s="1">
        <v>53</v>
      </c>
      <c r="I15">
        <v>0</v>
      </c>
      <c r="J15" s="283">
        <v>45412.177658182867</v>
      </c>
      <c r="K15" t="s">
        <v>3148</v>
      </c>
      <c r="L15" t="s">
        <v>3145</v>
      </c>
      <c r="M15" t="s">
        <v>3146</v>
      </c>
      <c r="N15" t="s">
        <v>441</v>
      </c>
      <c r="O15" t="s">
        <v>52</v>
      </c>
    </row>
    <row r="16" spans="1:22" x14ac:dyDescent="0.35">
      <c r="A16">
        <v>58624</v>
      </c>
      <c r="B16" s="283">
        <v>44743</v>
      </c>
      <c r="C16">
        <v>1928</v>
      </c>
      <c r="D16">
        <v>1902</v>
      </c>
      <c r="E16">
        <v>100</v>
      </c>
      <c r="F16">
        <v>320</v>
      </c>
      <c r="G16">
        <v>1200</v>
      </c>
      <c r="H16" s="1">
        <v>1319305</v>
      </c>
      <c r="I16">
        <v>0</v>
      </c>
      <c r="J16" s="283">
        <v>45412.177658182867</v>
      </c>
      <c r="K16" t="s">
        <v>3144</v>
      </c>
      <c r="L16" t="s">
        <v>3145</v>
      </c>
      <c r="M16" t="s">
        <v>3146</v>
      </c>
      <c r="N16" t="s">
        <v>441</v>
      </c>
      <c r="O16" t="s">
        <v>153</v>
      </c>
    </row>
    <row r="17" spans="1:15" x14ac:dyDescent="0.35">
      <c r="A17">
        <v>58625</v>
      </c>
      <c r="B17" s="283">
        <v>44743</v>
      </c>
      <c r="C17">
        <v>1928</v>
      </c>
      <c r="D17">
        <v>1902</v>
      </c>
      <c r="E17">
        <v>100</v>
      </c>
      <c r="F17">
        <v>320</v>
      </c>
      <c r="G17">
        <v>2100</v>
      </c>
      <c r="H17" s="1">
        <v>305300</v>
      </c>
      <c r="I17">
        <v>0</v>
      </c>
      <c r="J17" s="283">
        <v>45412.177658182867</v>
      </c>
      <c r="K17" t="s">
        <v>3147</v>
      </c>
      <c r="L17" t="s">
        <v>3145</v>
      </c>
      <c r="M17" t="s">
        <v>3146</v>
      </c>
      <c r="N17" t="s">
        <v>441</v>
      </c>
      <c r="O17" t="s">
        <v>153</v>
      </c>
    </row>
    <row r="18" spans="1:15" x14ac:dyDescent="0.35">
      <c r="A18">
        <v>58626</v>
      </c>
      <c r="B18" s="283">
        <v>44743</v>
      </c>
      <c r="C18">
        <v>1928</v>
      </c>
      <c r="D18">
        <v>1902</v>
      </c>
      <c r="E18">
        <v>100</v>
      </c>
      <c r="F18">
        <v>320</v>
      </c>
      <c r="G18">
        <v>2550</v>
      </c>
      <c r="H18" s="1">
        <v>1550</v>
      </c>
      <c r="I18">
        <v>0</v>
      </c>
      <c r="J18" s="283">
        <v>45412.177658182867</v>
      </c>
      <c r="K18" t="s">
        <v>3148</v>
      </c>
      <c r="L18" t="s">
        <v>3145</v>
      </c>
      <c r="M18" t="s">
        <v>3146</v>
      </c>
      <c r="N18" t="s">
        <v>441</v>
      </c>
      <c r="O18" t="s">
        <v>153</v>
      </c>
    </row>
    <row r="19" spans="1:15" x14ac:dyDescent="0.35">
      <c r="A19">
        <v>58635</v>
      </c>
      <c r="B19" s="283">
        <v>44743</v>
      </c>
      <c r="C19">
        <v>1929</v>
      </c>
      <c r="D19">
        <v>1902</v>
      </c>
      <c r="E19">
        <v>100</v>
      </c>
      <c r="F19">
        <v>320</v>
      </c>
      <c r="G19">
        <v>1200</v>
      </c>
      <c r="H19" s="1">
        <v>766871</v>
      </c>
      <c r="I19">
        <v>0</v>
      </c>
      <c r="J19" s="283">
        <v>45412.177658182867</v>
      </c>
      <c r="K19" t="s">
        <v>3144</v>
      </c>
      <c r="L19" t="s">
        <v>3145</v>
      </c>
      <c r="M19" t="s">
        <v>3146</v>
      </c>
      <c r="N19" t="s">
        <v>441</v>
      </c>
      <c r="O19" t="s">
        <v>44</v>
      </c>
    </row>
    <row r="20" spans="1:15" x14ac:dyDescent="0.35">
      <c r="A20">
        <v>58636</v>
      </c>
      <c r="B20" s="283">
        <v>44743</v>
      </c>
      <c r="C20">
        <v>1929</v>
      </c>
      <c r="D20">
        <v>1902</v>
      </c>
      <c r="E20">
        <v>100</v>
      </c>
      <c r="F20">
        <v>320</v>
      </c>
      <c r="G20">
        <v>2100</v>
      </c>
      <c r="H20" s="1">
        <v>132060</v>
      </c>
      <c r="I20">
        <v>0</v>
      </c>
      <c r="J20" s="283">
        <v>45412.177658182867</v>
      </c>
      <c r="K20" t="s">
        <v>3147</v>
      </c>
      <c r="L20" t="s">
        <v>3145</v>
      </c>
      <c r="M20" t="s">
        <v>3146</v>
      </c>
      <c r="N20" t="s">
        <v>441</v>
      </c>
      <c r="O20" t="s">
        <v>44</v>
      </c>
    </row>
    <row r="21" spans="1:15" x14ac:dyDescent="0.35">
      <c r="A21">
        <v>58637</v>
      </c>
      <c r="B21" s="283">
        <v>44743</v>
      </c>
      <c r="C21">
        <v>1929</v>
      </c>
      <c r="D21">
        <v>1902</v>
      </c>
      <c r="E21">
        <v>100</v>
      </c>
      <c r="F21">
        <v>320</v>
      </c>
      <c r="G21">
        <v>2550</v>
      </c>
      <c r="H21" s="1">
        <v>901</v>
      </c>
      <c r="I21">
        <v>0</v>
      </c>
      <c r="J21" s="283">
        <v>45412.177658182867</v>
      </c>
      <c r="K21" t="s">
        <v>3148</v>
      </c>
      <c r="L21" t="s">
        <v>3145</v>
      </c>
      <c r="M21" t="s">
        <v>3146</v>
      </c>
      <c r="N21" t="s">
        <v>441</v>
      </c>
      <c r="O21" t="s">
        <v>44</v>
      </c>
    </row>
    <row r="22" spans="1:15" x14ac:dyDescent="0.35">
      <c r="A22">
        <v>58646</v>
      </c>
      <c r="B22" s="283">
        <v>44743</v>
      </c>
      <c r="C22">
        <v>1930</v>
      </c>
      <c r="D22">
        <v>1902</v>
      </c>
      <c r="E22">
        <v>100</v>
      </c>
      <c r="F22">
        <v>320</v>
      </c>
      <c r="G22">
        <v>1200</v>
      </c>
      <c r="H22" s="1">
        <v>150039</v>
      </c>
      <c r="I22">
        <v>0</v>
      </c>
      <c r="J22" s="283">
        <v>45412.177658182867</v>
      </c>
      <c r="K22" t="s">
        <v>3144</v>
      </c>
      <c r="L22" t="s">
        <v>3145</v>
      </c>
      <c r="M22" t="s">
        <v>3146</v>
      </c>
      <c r="N22" t="s">
        <v>441</v>
      </c>
      <c r="O22" t="s">
        <v>79</v>
      </c>
    </row>
    <row r="23" spans="1:15" x14ac:dyDescent="0.35">
      <c r="A23">
        <v>58647</v>
      </c>
      <c r="B23" s="283">
        <v>44743</v>
      </c>
      <c r="C23">
        <v>1930</v>
      </c>
      <c r="D23">
        <v>1902</v>
      </c>
      <c r="E23">
        <v>100</v>
      </c>
      <c r="F23">
        <v>320</v>
      </c>
      <c r="G23">
        <v>2100</v>
      </c>
      <c r="H23" s="1">
        <v>81260</v>
      </c>
      <c r="I23">
        <v>0</v>
      </c>
      <c r="J23" s="283">
        <v>45412.177658182867</v>
      </c>
      <c r="K23" t="s">
        <v>3147</v>
      </c>
      <c r="L23" t="s">
        <v>3145</v>
      </c>
      <c r="M23" t="s">
        <v>3146</v>
      </c>
      <c r="N23" t="s">
        <v>441</v>
      </c>
      <c r="O23" t="s">
        <v>79</v>
      </c>
    </row>
    <row r="24" spans="1:15" x14ac:dyDescent="0.35">
      <c r="A24">
        <v>58648</v>
      </c>
      <c r="B24" s="283">
        <v>44743</v>
      </c>
      <c r="C24">
        <v>1930</v>
      </c>
      <c r="D24">
        <v>1902</v>
      </c>
      <c r="E24">
        <v>100</v>
      </c>
      <c r="F24">
        <v>320</v>
      </c>
      <c r="G24">
        <v>2550</v>
      </c>
      <c r="H24" s="1">
        <v>176</v>
      </c>
      <c r="I24">
        <v>0</v>
      </c>
      <c r="J24" s="283">
        <v>45412.177658182867</v>
      </c>
      <c r="K24" t="s">
        <v>3148</v>
      </c>
      <c r="L24" t="s">
        <v>3145</v>
      </c>
      <c r="M24" t="s">
        <v>3146</v>
      </c>
      <c r="N24" t="s">
        <v>441</v>
      </c>
      <c r="O24" t="s">
        <v>79</v>
      </c>
    </row>
    <row r="25" spans="1:15" x14ac:dyDescent="0.35">
      <c r="A25">
        <v>58657</v>
      </c>
      <c r="B25" s="283">
        <v>44743</v>
      </c>
      <c r="C25">
        <v>1931</v>
      </c>
      <c r="D25">
        <v>1902</v>
      </c>
      <c r="E25">
        <v>100</v>
      </c>
      <c r="F25">
        <v>320</v>
      </c>
      <c r="G25">
        <v>1200</v>
      </c>
      <c r="H25" s="1">
        <v>289672</v>
      </c>
      <c r="I25">
        <v>0</v>
      </c>
      <c r="J25" s="283">
        <v>45412.177658182867</v>
      </c>
      <c r="K25" t="s">
        <v>3144</v>
      </c>
      <c r="L25" t="s">
        <v>3145</v>
      </c>
      <c r="M25" t="s">
        <v>3146</v>
      </c>
      <c r="N25" t="s">
        <v>441</v>
      </c>
      <c r="O25" t="s">
        <v>88</v>
      </c>
    </row>
    <row r="26" spans="1:15" x14ac:dyDescent="0.35">
      <c r="A26">
        <v>58658</v>
      </c>
      <c r="B26" s="283">
        <v>44743</v>
      </c>
      <c r="C26">
        <v>1931</v>
      </c>
      <c r="D26">
        <v>1902</v>
      </c>
      <c r="E26">
        <v>100</v>
      </c>
      <c r="F26">
        <v>320</v>
      </c>
      <c r="G26">
        <v>2100</v>
      </c>
      <c r="H26" s="1">
        <v>61300</v>
      </c>
      <c r="I26">
        <v>0</v>
      </c>
      <c r="J26" s="283">
        <v>45412.177658182867</v>
      </c>
      <c r="K26" t="s">
        <v>3147</v>
      </c>
      <c r="L26" t="s">
        <v>3145</v>
      </c>
      <c r="M26" t="s">
        <v>3146</v>
      </c>
      <c r="N26" t="s">
        <v>441</v>
      </c>
      <c r="O26" t="s">
        <v>88</v>
      </c>
    </row>
    <row r="27" spans="1:15" x14ac:dyDescent="0.35">
      <c r="A27">
        <v>58659</v>
      </c>
      <c r="B27" s="283">
        <v>44743</v>
      </c>
      <c r="C27">
        <v>1931</v>
      </c>
      <c r="D27">
        <v>1902</v>
      </c>
      <c r="E27">
        <v>100</v>
      </c>
      <c r="F27">
        <v>320</v>
      </c>
      <c r="G27">
        <v>2550</v>
      </c>
      <c r="H27" s="1">
        <v>340</v>
      </c>
      <c r="I27">
        <v>0</v>
      </c>
      <c r="J27" s="283">
        <v>45412.177658182867</v>
      </c>
      <c r="K27" t="s">
        <v>3148</v>
      </c>
      <c r="L27" t="s">
        <v>3145</v>
      </c>
      <c r="M27" t="s">
        <v>3146</v>
      </c>
      <c r="N27" t="s">
        <v>441</v>
      </c>
      <c r="O27" t="s">
        <v>88</v>
      </c>
    </row>
    <row r="28" spans="1:15" x14ac:dyDescent="0.35">
      <c r="A28">
        <v>58666</v>
      </c>
      <c r="B28" s="283">
        <v>44743</v>
      </c>
      <c r="C28">
        <v>1964</v>
      </c>
      <c r="D28">
        <v>1949</v>
      </c>
      <c r="E28">
        <v>100</v>
      </c>
      <c r="F28">
        <v>320</v>
      </c>
      <c r="G28">
        <v>1200</v>
      </c>
      <c r="H28" s="1">
        <v>89299.33</v>
      </c>
      <c r="I28">
        <v>0</v>
      </c>
      <c r="J28" s="283">
        <v>45412.177658182867</v>
      </c>
      <c r="K28" t="s">
        <v>3144</v>
      </c>
      <c r="L28" t="s">
        <v>3145</v>
      </c>
      <c r="M28" t="s">
        <v>3146</v>
      </c>
      <c r="N28" t="s">
        <v>366</v>
      </c>
      <c r="O28" t="s">
        <v>55</v>
      </c>
    </row>
    <row r="29" spans="1:15" x14ac:dyDescent="0.35">
      <c r="A29">
        <v>58667</v>
      </c>
      <c r="B29" s="283">
        <v>44743</v>
      </c>
      <c r="C29">
        <v>1964</v>
      </c>
      <c r="D29">
        <v>1949</v>
      </c>
      <c r="E29">
        <v>100</v>
      </c>
      <c r="F29">
        <v>320</v>
      </c>
      <c r="G29">
        <v>2100</v>
      </c>
      <c r="H29" s="1">
        <v>207582.36</v>
      </c>
      <c r="I29">
        <v>0</v>
      </c>
      <c r="J29" s="283">
        <v>45412.177658182867</v>
      </c>
      <c r="K29" t="s">
        <v>3147</v>
      </c>
      <c r="L29" t="s">
        <v>3145</v>
      </c>
      <c r="M29" t="s">
        <v>3146</v>
      </c>
      <c r="N29" t="s">
        <v>366</v>
      </c>
      <c r="O29" t="s">
        <v>55</v>
      </c>
    </row>
    <row r="30" spans="1:15" x14ac:dyDescent="0.35">
      <c r="A30">
        <v>58668</v>
      </c>
      <c r="B30" s="283">
        <v>44743</v>
      </c>
      <c r="C30">
        <v>1964</v>
      </c>
      <c r="D30">
        <v>1949</v>
      </c>
      <c r="E30">
        <v>100</v>
      </c>
      <c r="F30">
        <v>320</v>
      </c>
      <c r="G30">
        <v>2160</v>
      </c>
      <c r="H30" s="1">
        <v>88086.55</v>
      </c>
      <c r="I30">
        <v>0</v>
      </c>
      <c r="J30" s="283">
        <v>45412.177658182867</v>
      </c>
      <c r="K30" t="s">
        <v>3149</v>
      </c>
      <c r="L30" t="s">
        <v>3145</v>
      </c>
      <c r="M30" t="s">
        <v>3146</v>
      </c>
      <c r="N30" t="s">
        <v>366</v>
      </c>
      <c r="O30" t="s">
        <v>55</v>
      </c>
    </row>
    <row r="31" spans="1:15" x14ac:dyDescent="0.35">
      <c r="A31">
        <v>58672</v>
      </c>
      <c r="B31" s="283">
        <v>44743</v>
      </c>
      <c r="C31">
        <v>1965</v>
      </c>
      <c r="D31">
        <v>1949</v>
      </c>
      <c r="E31">
        <v>100</v>
      </c>
      <c r="F31">
        <v>320</v>
      </c>
      <c r="G31">
        <v>1200</v>
      </c>
      <c r="H31" s="1">
        <v>1245116.97</v>
      </c>
      <c r="I31">
        <v>0</v>
      </c>
      <c r="J31" s="283">
        <v>45412.177658182867</v>
      </c>
      <c r="K31" t="s">
        <v>3144</v>
      </c>
      <c r="L31" t="s">
        <v>3145</v>
      </c>
      <c r="M31" t="s">
        <v>3146</v>
      </c>
      <c r="N31" t="s">
        <v>366</v>
      </c>
      <c r="O31" t="s">
        <v>54</v>
      </c>
    </row>
    <row r="32" spans="1:15" x14ac:dyDescent="0.35">
      <c r="A32">
        <v>58673</v>
      </c>
      <c r="B32" s="283">
        <v>44743</v>
      </c>
      <c r="C32">
        <v>1965</v>
      </c>
      <c r="D32">
        <v>1949</v>
      </c>
      <c r="E32">
        <v>100</v>
      </c>
      <c r="F32">
        <v>320</v>
      </c>
      <c r="G32">
        <v>2100</v>
      </c>
      <c r="H32" s="1">
        <v>55217.86</v>
      </c>
      <c r="I32">
        <v>0</v>
      </c>
      <c r="J32" s="283">
        <v>45412.177658182867</v>
      </c>
      <c r="K32" t="s">
        <v>3147</v>
      </c>
      <c r="L32" t="s">
        <v>3145</v>
      </c>
      <c r="M32" t="s">
        <v>3146</v>
      </c>
      <c r="N32" t="s">
        <v>366</v>
      </c>
      <c r="O32" t="s">
        <v>54</v>
      </c>
    </row>
    <row r="33" spans="1:15" x14ac:dyDescent="0.35">
      <c r="A33">
        <v>58674</v>
      </c>
      <c r="B33" s="283">
        <v>44743</v>
      </c>
      <c r="C33">
        <v>1965</v>
      </c>
      <c r="D33">
        <v>1949</v>
      </c>
      <c r="E33">
        <v>100</v>
      </c>
      <c r="F33">
        <v>320</v>
      </c>
      <c r="G33">
        <v>2160</v>
      </c>
      <c r="H33" s="1">
        <v>251125.03</v>
      </c>
      <c r="I33">
        <v>0</v>
      </c>
      <c r="J33" s="283">
        <v>45412.177658182867</v>
      </c>
      <c r="K33" t="s">
        <v>3149</v>
      </c>
      <c r="L33" t="s">
        <v>3145</v>
      </c>
      <c r="M33" t="s">
        <v>3146</v>
      </c>
      <c r="N33" t="s">
        <v>366</v>
      </c>
      <c r="O33" t="s">
        <v>54</v>
      </c>
    </row>
    <row r="34" spans="1:15" x14ac:dyDescent="0.35">
      <c r="A34">
        <v>58675</v>
      </c>
      <c r="B34" s="283">
        <v>44743</v>
      </c>
      <c r="C34">
        <v>1965</v>
      </c>
      <c r="D34">
        <v>1949</v>
      </c>
      <c r="E34">
        <v>100</v>
      </c>
      <c r="F34">
        <v>320</v>
      </c>
      <c r="G34">
        <v>2190</v>
      </c>
      <c r="H34" s="1">
        <v>18747.150000000001</v>
      </c>
      <c r="I34">
        <v>0</v>
      </c>
      <c r="J34" s="283">
        <v>45412.177658182867</v>
      </c>
      <c r="K34" t="s">
        <v>3150</v>
      </c>
      <c r="L34" t="s">
        <v>3145</v>
      </c>
      <c r="M34" t="s">
        <v>3146</v>
      </c>
      <c r="N34" t="s">
        <v>366</v>
      </c>
      <c r="O34" t="s">
        <v>54</v>
      </c>
    </row>
    <row r="35" spans="1:15" x14ac:dyDescent="0.35">
      <c r="A35">
        <v>58680</v>
      </c>
      <c r="B35" s="283">
        <v>44743</v>
      </c>
      <c r="C35">
        <v>1966</v>
      </c>
      <c r="D35">
        <v>1949</v>
      </c>
      <c r="E35">
        <v>100</v>
      </c>
      <c r="F35">
        <v>320</v>
      </c>
      <c r="G35">
        <v>1200</v>
      </c>
      <c r="H35" s="1">
        <v>123953.9</v>
      </c>
      <c r="I35">
        <v>0</v>
      </c>
      <c r="J35" s="283">
        <v>45412.177658182867</v>
      </c>
      <c r="K35" t="s">
        <v>3144</v>
      </c>
      <c r="L35" t="s">
        <v>3145</v>
      </c>
      <c r="M35" t="s">
        <v>3146</v>
      </c>
      <c r="N35" t="s">
        <v>366</v>
      </c>
      <c r="O35" t="s">
        <v>141</v>
      </c>
    </row>
    <row r="36" spans="1:15" x14ac:dyDescent="0.35">
      <c r="A36">
        <v>58681</v>
      </c>
      <c r="B36" s="283">
        <v>44743</v>
      </c>
      <c r="C36">
        <v>1966</v>
      </c>
      <c r="D36">
        <v>1949</v>
      </c>
      <c r="E36">
        <v>100</v>
      </c>
      <c r="F36">
        <v>320</v>
      </c>
      <c r="G36">
        <v>2100</v>
      </c>
      <c r="H36" s="1">
        <v>652764.76</v>
      </c>
      <c r="I36">
        <v>0</v>
      </c>
      <c r="J36" s="283">
        <v>45412.177658182867</v>
      </c>
      <c r="K36" t="s">
        <v>3147</v>
      </c>
      <c r="L36" t="s">
        <v>3145</v>
      </c>
      <c r="M36" t="s">
        <v>3146</v>
      </c>
      <c r="N36" t="s">
        <v>366</v>
      </c>
      <c r="O36" t="s">
        <v>141</v>
      </c>
    </row>
    <row r="37" spans="1:15" x14ac:dyDescent="0.35">
      <c r="A37">
        <v>58682</v>
      </c>
      <c r="B37" s="283">
        <v>44743</v>
      </c>
      <c r="C37">
        <v>1966</v>
      </c>
      <c r="D37">
        <v>1949</v>
      </c>
      <c r="E37">
        <v>100</v>
      </c>
      <c r="F37">
        <v>320</v>
      </c>
      <c r="G37">
        <v>2160</v>
      </c>
      <c r="H37" s="1">
        <v>304682.2</v>
      </c>
      <c r="I37">
        <v>0</v>
      </c>
      <c r="J37" s="283">
        <v>45412.177658182867</v>
      </c>
      <c r="K37" t="s">
        <v>3149</v>
      </c>
      <c r="L37" t="s">
        <v>3145</v>
      </c>
      <c r="M37" t="s">
        <v>3146</v>
      </c>
      <c r="N37" t="s">
        <v>366</v>
      </c>
      <c r="O37" t="s">
        <v>141</v>
      </c>
    </row>
    <row r="38" spans="1:15" x14ac:dyDescent="0.35">
      <c r="A38">
        <v>58687</v>
      </c>
      <c r="B38" s="283">
        <v>44743</v>
      </c>
      <c r="C38">
        <v>1967</v>
      </c>
      <c r="D38">
        <v>1949</v>
      </c>
      <c r="E38">
        <v>100</v>
      </c>
      <c r="F38">
        <v>320</v>
      </c>
      <c r="G38">
        <v>1200</v>
      </c>
      <c r="H38" s="1">
        <v>2425.44</v>
      </c>
      <c r="I38">
        <v>0</v>
      </c>
      <c r="J38" s="283">
        <v>45412.177658182867</v>
      </c>
      <c r="K38" t="s">
        <v>3144</v>
      </c>
      <c r="L38" t="s">
        <v>3145</v>
      </c>
      <c r="M38" t="s">
        <v>3146</v>
      </c>
      <c r="N38" t="s">
        <v>366</v>
      </c>
      <c r="O38" t="s">
        <v>170</v>
      </c>
    </row>
    <row r="39" spans="1:15" x14ac:dyDescent="0.35">
      <c r="A39">
        <v>58688</v>
      </c>
      <c r="B39" s="283">
        <v>44743</v>
      </c>
      <c r="C39">
        <v>1967</v>
      </c>
      <c r="D39">
        <v>1949</v>
      </c>
      <c r="E39">
        <v>100</v>
      </c>
      <c r="F39">
        <v>320</v>
      </c>
      <c r="G39">
        <v>2100</v>
      </c>
      <c r="H39" s="1">
        <v>31410.71</v>
      </c>
      <c r="I39">
        <v>0</v>
      </c>
      <c r="J39" s="283">
        <v>45412.177658182867</v>
      </c>
      <c r="K39" t="s">
        <v>3147</v>
      </c>
      <c r="L39" t="s">
        <v>3145</v>
      </c>
      <c r="M39" t="s">
        <v>3146</v>
      </c>
      <c r="N39" t="s">
        <v>366</v>
      </c>
      <c r="O39" t="s">
        <v>170</v>
      </c>
    </row>
    <row r="40" spans="1:15" x14ac:dyDescent="0.35">
      <c r="A40">
        <v>58689</v>
      </c>
      <c r="B40" s="283">
        <v>44743</v>
      </c>
      <c r="C40">
        <v>1967</v>
      </c>
      <c r="D40">
        <v>1949</v>
      </c>
      <c r="E40">
        <v>100</v>
      </c>
      <c r="F40">
        <v>320</v>
      </c>
      <c r="G40">
        <v>2160</v>
      </c>
      <c r="H40" s="1">
        <v>15541.13</v>
      </c>
      <c r="I40">
        <v>0</v>
      </c>
      <c r="J40" s="283">
        <v>45412.177658182867</v>
      </c>
      <c r="K40" t="s">
        <v>3149</v>
      </c>
      <c r="L40" t="s">
        <v>3145</v>
      </c>
      <c r="M40" t="s">
        <v>3146</v>
      </c>
      <c r="N40" t="s">
        <v>366</v>
      </c>
      <c r="O40" t="s">
        <v>170</v>
      </c>
    </row>
    <row r="41" spans="1:15" x14ac:dyDescent="0.35">
      <c r="A41">
        <v>58695</v>
      </c>
      <c r="B41" s="283">
        <v>44743</v>
      </c>
      <c r="C41">
        <v>1968</v>
      </c>
      <c r="D41">
        <v>1949</v>
      </c>
      <c r="E41">
        <v>100</v>
      </c>
      <c r="F41">
        <v>320</v>
      </c>
      <c r="G41">
        <v>1200</v>
      </c>
      <c r="H41" s="1">
        <v>23964.55</v>
      </c>
      <c r="I41">
        <v>0</v>
      </c>
      <c r="J41" s="283">
        <v>45412.177658182867</v>
      </c>
      <c r="K41" t="s">
        <v>3144</v>
      </c>
      <c r="L41" t="s">
        <v>3145</v>
      </c>
      <c r="M41" t="s">
        <v>3146</v>
      </c>
      <c r="N41" t="s">
        <v>366</v>
      </c>
      <c r="O41" t="s">
        <v>137</v>
      </c>
    </row>
    <row r="42" spans="1:15" x14ac:dyDescent="0.35">
      <c r="A42">
        <v>58696</v>
      </c>
      <c r="B42" s="283">
        <v>44743</v>
      </c>
      <c r="C42">
        <v>1968</v>
      </c>
      <c r="D42">
        <v>1949</v>
      </c>
      <c r="E42">
        <v>100</v>
      </c>
      <c r="F42">
        <v>320</v>
      </c>
      <c r="G42">
        <v>2100</v>
      </c>
      <c r="H42" s="1">
        <v>145779.19</v>
      </c>
      <c r="I42">
        <v>0</v>
      </c>
      <c r="J42" s="283">
        <v>45412.177658182867</v>
      </c>
      <c r="K42" t="s">
        <v>3147</v>
      </c>
      <c r="L42" t="s">
        <v>3145</v>
      </c>
      <c r="M42" t="s">
        <v>3146</v>
      </c>
      <c r="N42" t="s">
        <v>366</v>
      </c>
      <c r="O42" t="s">
        <v>137</v>
      </c>
    </row>
    <row r="43" spans="1:15" x14ac:dyDescent="0.35">
      <c r="A43">
        <v>58697</v>
      </c>
      <c r="B43" s="283">
        <v>44743</v>
      </c>
      <c r="C43">
        <v>1968</v>
      </c>
      <c r="D43">
        <v>1949</v>
      </c>
      <c r="E43">
        <v>100</v>
      </c>
      <c r="F43">
        <v>320</v>
      </c>
      <c r="G43">
        <v>2160</v>
      </c>
      <c r="H43" s="1">
        <v>25844.31</v>
      </c>
      <c r="I43">
        <v>0</v>
      </c>
      <c r="J43" s="283">
        <v>45412.177658182867</v>
      </c>
      <c r="K43" t="s">
        <v>3149</v>
      </c>
      <c r="L43" t="s">
        <v>3145</v>
      </c>
      <c r="M43" t="s">
        <v>3146</v>
      </c>
      <c r="N43" t="s">
        <v>366</v>
      </c>
      <c r="O43" t="s">
        <v>137</v>
      </c>
    </row>
    <row r="44" spans="1:15" x14ac:dyDescent="0.35">
      <c r="A44">
        <v>58702</v>
      </c>
      <c r="B44" s="283">
        <v>44743</v>
      </c>
      <c r="C44">
        <v>1969</v>
      </c>
      <c r="D44">
        <v>1949</v>
      </c>
      <c r="E44">
        <v>100</v>
      </c>
      <c r="F44">
        <v>320</v>
      </c>
      <c r="G44">
        <v>1200</v>
      </c>
      <c r="H44" s="1">
        <v>281705.5</v>
      </c>
      <c r="I44">
        <v>0</v>
      </c>
      <c r="J44" s="283">
        <v>45412.177658182867</v>
      </c>
      <c r="K44" t="s">
        <v>3144</v>
      </c>
      <c r="L44" t="s">
        <v>3145</v>
      </c>
      <c r="M44" t="s">
        <v>3146</v>
      </c>
      <c r="N44" t="s">
        <v>366</v>
      </c>
      <c r="O44" t="s">
        <v>32</v>
      </c>
    </row>
    <row r="45" spans="1:15" x14ac:dyDescent="0.35">
      <c r="A45">
        <v>58703</v>
      </c>
      <c r="B45" s="283">
        <v>44743</v>
      </c>
      <c r="C45">
        <v>1969</v>
      </c>
      <c r="D45">
        <v>1949</v>
      </c>
      <c r="E45">
        <v>100</v>
      </c>
      <c r="F45">
        <v>320</v>
      </c>
      <c r="G45">
        <v>2100</v>
      </c>
      <c r="H45" s="1">
        <v>43077.88</v>
      </c>
      <c r="I45">
        <v>0</v>
      </c>
      <c r="J45" s="283">
        <v>45412.177658182867</v>
      </c>
      <c r="K45" t="s">
        <v>3147</v>
      </c>
      <c r="L45" t="s">
        <v>3145</v>
      </c>
      <c r="M45" t="s">
        <v>3146</v>
      </c>
      <c r="N45" t="s">
        <v>366</v>
      </c>
      <c r="O45" t="s">
        <v>32</v>
      </c>
    </row>
    <row r="46" spans="1:15" x14ac:dyDescent="0.35">
      <c r="A46">
        <v>58704</v>
      </c>
      <c r="B46" s="283">
        <v>44743</v>
      </c>
      <c r="C46">
        <v>1969</v>
      </c>
      <c r="D46">
        <v>1949</v>
      </c>
      <c r="E46">
        <v>100</v>
      </c>
      <c r="F46">
        <v>320</v>
      </c>
      <c r="G46">
        <v>2160</v>
      </c>
      <c r="H46" s="1">
        <v>16244.68</v>
      </c>
      <c r="I46">
        <v>0</v>
      </c>
      <c r="J46" s="283">
        <v>45412.177658182867</v>
      </c>
      <c r="K46" t="s">
        <v>3149</v>
      </c>
      <c r="L46" t="s">
        <v>3145</v>
      </c>
      <c r="M46" t="s">
        <v>3146</v>
      </c>
      <c r="N46" t="s">
        <v>366</v>
      </c>
      <c r="O46" t="s">
        <v>32</v>
      </c>
    </row>
    <row r="47" spans="1:15" x14ac:dyDescent="0.35">
      <c r="A47">
        <v>58710</v>
      </c>
      <c r="B47" s="283">
        <v>44743</v>
      </c>
      <c r="C47">
        <v>1972</v>
      </c>
      <c r="D47">
        <v>1949</v>
      </c>
      <c r="E47">
        <v>100</v>
      </c>
      <c r="F47">
        <v>320</v>
      </c>
      <c r="G47">
        <v>1200</v>
      </c>
      <c r="H47" s="1">
        <v>46561.87</v>
      </c>
      <c r="I47">
        <v>0</v>
      </c>
      <c r="J47" s="283">
        <v>45412.177658182867</v>
      </c>
      <c r="K47" t="s">
        <v>3144</v>
      </c>
      <c r="L47" t="s">
        <v>3145</v>
      </c>
      <c r="M47" t="s">
        <v>3146</v>
      </c>
      <c r="N47" t="s">
        <v>366</v>
      </c>
      <c r="O47" t="s">
        <v>47</v>
      </c>
    </row>
    <row r="48" spans="1:15" x14ac:dyDescent="0.35">
      <c r="A48">
        <v>58711</v>
      </c>
      <c r="B48" s="283">
        <v>44743</v>
      </c>
      <c r="C48">
        <v>1972</v>
      </c>
      <c r="D48">
        <v>1949</v>
      </c>
      <c r="E48">
        <v>100</v>
      </c>
      <c r="F48">
        <v>320</v>
      </c>
      <c r="G48">
        <v>2100</v>
      </c>
      <c r="H48" s="1">
        <v>131241.65</v>
      </c>
      <c r="I48">
        <v>0</v>
      </c>
      <c r="J48" s="283">
        <v>45412.177658182867</v>
      </c>
      <c r="K48" t="s">
        <v>3147</v>
      </c>
      <c r="L48" t="s">
        <v>3145</v>
      </c>
      <c r="M48" t="s">
        <v>3146</v>
      </c>
      <c r="N48" t="s">
        <v>366</v>
      </c>
      <c r="O48" t="s">
        <v>47</v>
      </c>
    </row>
    <row r="49" spans="1:15" x14ac:dyDescent="0.35">
      <c r="A49">
        <v>58712</v>
      </c>
      <c r="B49" s="283">
        <v>44743</v>
      </c>
      <c r="C49">
        <v>1972</v>
      </c>
      <c r="D49">
        <v>1949</v>
      </c>
      <c r="E49">
        <v>100</v>
      </c>
      <c r="F49">
        <v>320</v>
      </c>
      <c r="G49">
        <v>2160</v>
      </c>
      <c r="H49" s="1">
        <v>15023.37</v>
      </c>
      <c r="I49">
        <v>0</v>
      </c>
      <c r="J49" s="283">
        <v>45412.177658182867</v>
      </c>
      <c r="K49" t="s">
        <v>3149</v>
      </c>
      <c r="L49" t="s">
        <v>3145</v>
      </c>
      <c r="M49" t="s">
        <v>3146</v>
      </c>
      <c r="N49" t="s">
        <v>366</v>
      </c>
      <c r="O49" t="s">
        <v>47</v>
      </c>
    </row>
    <row r="50" spans="1:15" x14ac:dyDescent="0.35">
      <c r="A50">
        <v>58713</v>
      </c>
      <c r="B50" s="283">
        <v>44743</v>
      </c>
      <c r="C50">
        <v>1972</v>
      </c>
      <c r="D50">
        <v>1949</v>
      </c>
      <c r="E50">
        <v>100</v>
      </c>
      <c r="F50">
        <v>320</v>
      </c>
      <c r="G50">
        <v>2190</v>
      </c>
      <c r="H50" s="1">
        <v>64275.94</v>
      </c>
      <c r="I50">
        <v>0</v>
      </c>
      <c r="J50" s="283">
        <v>45412.177658182867</v>
      </c>
      <c r="K50" t="s">
        <v>3150</v>
      </c>
      <c r="L50" t="s">
        <v>3145</v>
      </c>
      <c r="M50" t="s">
        <v>3146</v>
      </c>
      <c r="N50" t="s">
        <v>366</v>
      </c>
      <c r="O50" t="s">
        <v>47</v>
      </c>
    </row>
    <row r="51" spans="1:15" x14ac:dyDescent="0.35">
      <c r="A51">
        <v>58717</v>
      </c>
      <c r="B51" s="283">
        <v>44743</v>
      </c>
      <c r="C51">
        <v>1973</v>
      </c>
      <c r="D51">
        <v>1949</v>
      </c>
      <c r="E51">
        <v>100</v>
      </c>
      <c r="F51">
        <v>320</v>
      </c>
      <c r="G51">
        <v>1200</v>
      </c>
      <c r="H51" s="1">
        <v>104561.62</v>
      </c>
      <c r="I51">
        <v>0</v>
      </c>
      <c r="J51" s="283">
        <v>45412.177658182867</v>
      </c>
      <c r="K51" t="s">
        <v>3144</v>
      </c>
      <c r="L51" t="s">
        <v>3145</v>
      </c>
      <c r="M51" t="s">
        <v>3146</v>
      </c>
      <c r="N51" t="s">
        <v>366</v>
      </c>
      <c r="O51" t="s">
        <v>168</v>
      </c>
    </row>
    <row r="52" spans="1:15" x14ac:dyDescent="0.35">
      <c r="A52">
        <v>58718</v>
      </c>
      <c r="B52" s="283">
        <v>44743</v>
      </c>
      <c r="C52">
        <v>1973</v>
      </c>
      <c r="D52">
        <v>1949</v>
      </c>
      <c r="E52">
        <v>100</v>
      </c>
      <c r="F52">
        <v>320</v>
      </c>
      <c r="G52">
        <v>2100</v>
      </c>
      <c r="H52" s="1">
        <v>31126</v>
      </c>
      <c r="I52">
        <v>0</v>
      </c>
      <c r="J52" s="283">
        <v>45412.177658182867</v>
      </c>
      <c r="K52" t="s">
        <v>3147</v>
      </c>
      <c r="L52" t="s">
        <v>3145</v>
      </c>
      <c r="M52" t="s">
        <v>3146</v>
      </c>
      <c r="N52" t="s">
        <v>366</v>
      </c>
      <c r="O52" t="s">
        <v>168</v>
      </c>
    </row>
    <row r="53" spans="1:15" x14ac:dyDescent="0.35">
      <c r="A53">
        <v>58719</v>
      </c>
      <c r="B53" s="283">
        <v>44743</v>
      </c>
      <c r="C53">
        <v>1973</v>
      </c>
      <c r="D53">
        <v>1949</v>
      </c>
      <c r="E53">
        <v>100</v>
      </c>
      <c r="F53">
        <v>320</v>
      </c>
      <c r="G53">
        <v>2160</v>
      </c>
      <c r="H53" s="1">
        <v>17617.310000000001</v>
      </c>
      <c r="I53">
        <v>0</v>
      </c>
      <c r="J53" s="283">
        <v>45412.177658182867</v>
      </c>
      <c r="K53" t="s">
        <v>3149</v>
      </c>
      <c r="L53" t="s">
        <v>3145</v>
      </c>
      <c r="M53" t="s">
        <v>3146</v>
      </c>
      <c r="N53" t="s">
        <v>366</v>
      </c>
      <c r="O53" t="s">
        <v>168</v>
      </c>
    </row>
    <row r="54" spans="1:15" x14ac:dyDescent="0.35">
      <c r="A54">
        <v>58724</v>
      </c>
      <c r="B54" s="283">
        <v>44743</v>
      </c>
      <c r="C54">
        <v>1974</v>
      </c>
      <c r="D54">
        <v>1949</v>
      </c>
      <c r="E54">
        <v>100</v>
      </c>
      <c r="F54">
        <v>320</v>
      </c>
      <c r="G54">
        <v>1200</v>
      </c>
      <c r="H54" s="1">
        <v>15889.35</v>
      </c>
      <c r="I54">
        <v>0</v>
      </c>
      <c r="J54" s="283">
        <v>45412.177658182867</v>
      </c>
      <c r="K54" t="s">
        <v>3144</v>
      </c>
      <c r="L54" t="s">
        <v>3145</v>
      </c>
      <c r="M54" t="s">
        <v>3146</v>
      </c>
      <c r="N54" t="s">
        <v>366</v>
      </c>
      <c r="O54" t="s">
        <v>39</v>
      </c>
    </row>
    <row r="55" spans="1:15" x14ac:dyDescent="0.35">
      <c r="A55">
        <v>58730</v>
      </c>
      <c r="B55" s="283">
        <v>44743</v>
      </c>
      <c r="C55">
        <v>2001</v>
      </c>
      <c r="D55">
        <v>1949</v>
      </c>
      <c r="E55">
        <v>100</v>
      </c>
      <c r="F55">
        <v>320</v>
      </c>
      <c r="G55">
        <v>1200</v>
      </c>
      <c r="H55" s="1">
        <v>14724.35</v>
      </c>
      <c r="I55">
        <v>0</v>
      </c>
      <c r="J55" s="283">
        <v>45412.177658182867</v>
      </c>
      <c r="K55" t="s">
        <v>3144</v>
      </c>
      <c r="L55" t="s">
        <v>3145</v>
      </c>
      <c r="M55" t="s">
        <v>3146</v>
      </c>
      <c r="N55" t="s">
        <v>366</v>
      </c>
      <c r="O55" t="s">
        <v>175</v>
      </c>
    </row>
    <row r="56" spans="1:15" x14ac:dyDescent="0.35">
      <c r="A56">
        <v>58731</v>
      </c>
      <c r="B56" s="283">
        <v>44743</v>
      </c>
      <c r="C56">
        <v>2001</v>
      </c>
      <c r="D56">
        <v>1949</v>
      </c>
      <c r="E56">
        <v>100</v>
      </c>
      <c r="F56">
        <v>320</v>
      </c>
      <c r="G56">
        <v>2100</v>
      </c>
      <c r="H56" s="1">
        <v>105461.12</v>
      </c>
      <c r="I56">
        <v>0</v>
      </c>
      <c r="J56" s="283">
        <v>45412.177658182867</v>
      </c>
      <c r="K56" t="s">
        <v>3147</v>
      </c>
      <c r="L56" t="s">
        <v>3145</v>
      </c>
      <c r="M56" t="s">
        <v>3146</v>
      </c>
      <c r="N56" t="s">
        <v>366</v>
      </c>
      <c r="O56" t="s">
        <v>175</v>
      </c>
    </row>
    <row r="57" spans="1:15" x14ac:dyDescent="0.35">
      <c r="A57">
        <v>58732</v>
      </c>
      <c r="B57" s="283">
        <v>44743</v>
      </c>
      <c r="C57">
        <v>2001</v>
      </c>
      <c r="D57">
        <v>1949</v>
      </c>
      <c r="E57">
        <v>100</v>
      </c>
      <c r="F57">
        <v>320</v>
      </c>
      <c r="G57">
        <v>2160</v>
      </c>
      <c r="H57" s="1">
        <v>100719.07</v>
      </c>
      <c r="I57">
        <v>0</v>
      </c>
      <c r="J57" s="283">
        <v>45412.177658182867</v>
      </c>
      <c r="K57" t="s">
        <v>3149</v>
      </c>
      <c r="L57" t="s">
        <v>3145</v>
      </c>
      <c r="M57" t="s">
        <v>3146</v>
      </c>
      <c r="N57" t="s">
        <v>366</v>
      </c>
      <c r="O57" t="s">
        <v>175</v>
      </c>
    </row>
    <row r="58" spans="1:15" x14ac:dyDescent="0.35">
      <c r="A58">
        <v>58741</v>
      </c>
      <c r="B58" s="283">
        <v>44743</v>
      </c>
      <c r="C58">
        <v>1970</v>
      </c>
      <c r="D58">
        <v>1975</v>
      </c>
      <c r="E58">
        <v>100</v>
      </c>
      <c r="F58">
        <v>320</v>
      </c>
      <c r="G58">
        <v>1200</v>
      </c>
      <c r="H58" s="1">
        <v>142532.07</v>
      </c>
      <c r="I58">
        <v>0</v>
      </c>
      <c r="J58" s="283">
        <v>45412.177658182867</v>
      </c>
      <c r="K58" t="s">
        <v>3144</v>
      </c>
      <c r="L58" t="s">
        <v>3145</v>
      </c>
      <c r="M58" t="s">
        <v>3146</v>
      </c>
      <c r="N58" t="s">
        <v>385</v>
      </c>
      <c r="O58" t="s">
        <v>61</v>
      </c>
    </row>
    <row r="59" spans="1:15" x14ac:dyDescent="0.35">
      <c r="A59">
        <v>58742</v>
      </c>
      <c r="B59" s="283">
        <v>44743</v>
      </c>
      <c r="C59">
        <v>1970</v>
      </c>
      <c r="D59">
        <v>1975</v>
      </c>
      <c r="E59">
        <v>100</v>
      </c>
      <c r="F59">
        <v>320</v>
      </c>
      <c r="G59">
        <v>2160</v>
      </c>
      <c r="H59" s="1">
        <v>87603.6</v>
      </c>
      <c r="I59">
        <v>0</v>
      </c>
      <c r="J59" s="283">
        <v>45412.177658182867</v>
      </c>
      <c r="K59" t="s">
        <v>3149</v>
      </c>
      <c r="L59" t="s">
        <v>3145</v>
      </c>
      <c r="M59" t="s">
        <v>3146</v>
      </c>
      <c r="N59" t="s">
        <v>385</v>
      </c>
      <c r="O59" t="s">
        <v>61</v>
      </c>
    </row>
    <row r="60" spans="1:15" x14ac:dyDescent="0.35">
      <c r="A60">
        <v>58743</v>
      </c>
      <c r="B60" s="283">
        <v>44743</v>
      </c>
      <c r="C60">
        <v>1970</v>
      </c>
      <c r="D60">
        <v>1975</v>
      </c>
      <c r="E60">
        <v>100</v>
      </c>
      <c r="F60">
        <v>320</v>
      </c>
      <c r="G60">
        <v>2230</v>
      </c>
      <c r="H60" s="1">
        <v>84379.49</v>
      </c>
      <c r="I60">
        <v>0</v>
      </c>
      <c r="J60" s="283">
        <v>45412.177658182867</v>
      </c>
      <c r="K60" t="s">
        <v>3151</v>
      </c>
      <c r="L60" t="s">
        <v>3145</v>
      </c>
      <c r="M60" t="s">
        <v>3146</v>
      </c>
      <c r="N60" t="s">
        <v>385</v>
      </c>
      <c r="O60" t="s">
        <v>61</v>
      </c>
    </row>
    <row r="61" spans="1:15" x14ac:dyDescent="0.35">
      <c r="A61">
        <v>58752</v>
      </c>
      <c r="B61" s="283">
        <v>44743</v>
      </c>
      <c r="C61">
        <v>1976</v>
      </c>
      <c r="D61">
        <v>1975</v>
      </c>
      <c r="E61">
        <v>100</v>
      </c>
      <c r="F61">
        <v>320</v>
      </c>
      <c r="G61">
        <v>1200</v>
      </c>
      <c r="H61" s="1">
        <v>2553229.87</v>
      </c>
      <c r="I61">
        <v>0</v>
      </c>
      <c r="J61" s="283">
        <v>45412.177658182867</v>
      </c>
      <c r="K61" t="s">
        <v>3144</v>
      </c>
      <c r="L61" t="s">
        <v>3145</v>
      </c>
      <c r="M61" t="s">
        <v>3146</v>
      </c>
      <c r="N61" t="s">
        <v>385</v>
      </c>
      <c r="O61" t="s">
        <v>35</v>
      </c>
    </row>
    <row r="62" spans="1:15" x14ac:dyDescent="0.35">
      <c r="A62">
        <v>58753</v>
      </c>
      <c r="B62" s="283">
        <v>44743</v>
      </c>
      <c r="C62">
        <v>1976</v>
      </c>
      <c r="D62">
        <v>1975</v>
      </c>
      <c r="E62">
        <v>100</v>
      </c>
      <c r="F62">
        <v>320</v>
      </c>
      <c r="G62">
        <v>2100</v>
      </c>
      <c r="H62" s="1">
        <v>13877.73</v>
      </c>
      <c r="I62">
        <v>0</v>
      </c>
      <c r="J62" s="283">
        <v>45412.177658182867</v>
      </c>
      <c r="K62" t="s">
        <v>3147</v>
      </c>
      <c r="L62" t="s">
        <v>3145</v>
      </c>
      <c r="M62" t="s">
        <v>3146</v>
      </c>
      <c r="N62" t="s">
        <v>385</v>
      </c>
      <c r="O62" t="s">
        <v>35</v>
      </c>
    </row>
    <row r="63" spans="1:15" x14ac:dyDescent="0.35">
      <c r="A63">
        <v>58754</v>
      </c>
      <c r="B63" s="283">
        <v>44743</v>
      </c>
      <c r="C63">
        <v>1976</v>
      </c>
      <c r="D63">
        <v>1975</v>
      </c>
      <c r="E63">
        <v>100</v>
      </c>
      <c r="F63">
        <v>320</v>
      </c>
      <c r="G63">
        <v>2160</v>
      </c>
      <c r="H63" s="1">
        <v>509459.29</v>
      </c>
      <c r="I63">
        <v>0</v>
      </c>
      <c r="J63" s="283">
        <v>45412.177658182867</v>
      </c>
      <c r="K63" t="s">
        <v>3149</v>
      </c>
      <c r="L63" t="s">
        <v>3145</v>
      </c>
      <c r="M63" t="s">
        <v>3146</v>
      </c>
      <c r="N63" t="s">
        <v>385</v>
      </c>
      <c r="O63" t="s">
        <v>35</v>
      </c>
    </row>
    <row r="64" spans="1:15" x14ac:dyDescent="0.35">
      <c r="A64">
        <v>58755</v>
      </c>
      <c r="B64" s="283">
        <v>44743</v>
      </c>
      <c r="C64">
        <v>1976</v>
      </c>
      <c r="D64">
        <v>1975</v>
      </c>
      <c r="E64">
        <v>100</v>
      </c>
      <c r="F64">
        <v>320</v>
      </c>
      <c r="G64">
        <v>2230</v>
      </c>
      <c r="H64" s="1">
        <v>266538.62</v>
      </c>
      <c r="I64">
        <v>0</v>
      </c>
      <c r="J64" s="283">
        <v>45412.177658182867</v>
      </c>
      <c r="K64" t="s">
        <v>3151</v>
      </c>
      <c r="L64" t="s">
        <v>3145</v>
      </c>
      <c r="M64" t="s">
        <v>3146</v>
      </c>
      <c r="N64" t="s">
        <v>385</v>
      </c>
      <c r="O64" t="s">
        <v>35</v>
      </c>
    </row>
    <row r="65" spans="1:15" x14ac:dyDescent="0.35">
      <c r="A65">
        <v>58763</v>
      </c>
      <c r="B65" s="283">
        <v>44743</v>
      </c>
      <c r="C65">
        <v>1977</v>
      </c>
      <c r="D65">
        <v>1975</v>
      </c>
      <c r="E65">
        <v>100</v>
      </c>
      <c r="F65">
        <v>320</v>
      </c>
      <c r="G65">
        <v>1200</v>
      </c>
      <c r="H65" s="1">
        <v>973815.01</v>
      </c>
      <c r="I65">
        <v>0</v>
      </c>
      <c r="J65" s="283">
        <v>45412.177658182867</v>
      </c>
      <c r="K65" t="s">
        <v>3144</v>
      </c>
      <c r="L65" t="s">
        <v>3145</v>
      </c>
      <c r="M65" t="s">
        <v>3146</v>
      </c>
      <c r="N65" t="s">
        <v>385</v>
      </c>
      <c r="O65" t="s">
        <v>174</v>
      </c>
    </row>
    <row r="66" spans="1:15" x14ac:dyDescent="0.35">
      <c r="A66">
        <v>58764</v>
      </c>
      <c r="B66" s="283">
        <v>44743</v>
      </c>
      <c r="C66">
        <v>1977</v>
      </c>
      <c r="D66">
        <v>1975</v>
      </c>
      <c r="E66">
        <v>100</v>
      </c>
      <c r="F66">
        <v>320</v>
      </c>
      <c r="G66">
        <v>2160</v>
      </c>
      <c r="H66" s="1">
        <v>208778.21</v>
      </c>
      <c r="I66">
        <v>0</v>
      </c>
      <c r="J66" s="283">
        <v>45412.177658182867</v>
      </c>
      <c r="K66" t="s">
        <v>3149</v>
      </c>
      <c r="L66" t="s">
        <v>3145</v>
      </c>
      <c r="M66" t="s">
        <v>3146</v>
      </c>
      <c r="N66" t="s">
        <v>385</v>
      </c>
      <c r="O66" t="s">
        <v>174</v>
      </c>
    </row>
    <row r="67" spans="1:15" x14ac:dyDescent="0.35">
      <c r="A67">
        <v>58765</v>
      </c>
      <c r="B67" s="283">
        <v>44743</v>
      </c>
      <c r="C67">
        <v>1977</v>
      </c>
      <c r="D67">
        <v>1975</v>
      </c>
      <c r="E67">
        <v>100</v>
      </c>
      <c r="F67">
        <v>320</v>
      </c>
      <c r="G67">
        <v>2230</v>
      </c>
      <c r="H67" s="1">
        <v>147775.49</v>
      </c>
      <c r="I67">
        <v>0</v>
      </c>
      <c r="J67" s="283">
        <v>45412.177658182867</v>
      </c>
      <c r="K67" t="s">
        <v>3151</v>
      </c>
      <c r="L67" t="s">
        <v>3145</v>
      </c>
      <c r="M67" t="s">
        <v>3146</v>
      </c>
      <c r="N67" t="s">
        <v>385</v>
      </c>
      <c r="O67" t="s">
        <v>174</v>
      </c>
    </row>
    <row r="68" spans="1:15" x14ac:dyDescent="0.35">
      <c r="A68">
        <v>58775</v>
      </c>
      <c r="B68" s="283">
        <v>44743</v>
      </c>
      <c r="C68">
        <v>1978</v>
      </c>
      <c r="D68">
        <v>1975</v>
      </c>
      <c r="E68">
        <v>100</v>
      </c>
      <c r="F68">
        <v>320</v>
      </c>
      <c r="G68">
        <v>1200</v>
      </c>
      <c r="H68" s="1">
        <v>68703.12</v>
      </c>
      <c r="I68">
        <v>0</v>
      </c>
      <c r="J68" s="283">
        <v>45412.177658182867</v>
      </c>
      <c r="K68" t="s">
        <v>3144</v>
      </c>
      <c r="L68" t="s">
        <v>3145</v>
      </c>
      <c r="M68" t="s">
        <v>3146</v>
      </c>
      <c r="N68" t="s">
        <v>385</v>
      </c>
      <c r="O68" t="s">
        <v>189</v>
      </c>
    </row>
    <row r="69" spans="1:15" x14ac:dyDescent="0.35">
      <c r="A69">
        <v>58776</v>
      </c>
      <c r="B69" s="283">
        <v>44743</v>
      </c>
      <c r="C69">
        <v>1978</v>
      </c>
      <c r="D69">
        <v>1975</v>
      </c>
      <c r="E69">
        <v>100</v>
      </c>
      <c r="F69">
        <v>320</v>
      </c>
      <c r="G69">
        <v>2100</v>
      </c>
      <c r="H69" s="1">
        <v>70259.87</v>
      </c>
      <c r="I69">
        <v>0</v>
      </c>
      <c r="J69" s="283">
        <v>45412.177658182867</v>
      </c>
      <c r="K69" t="s">
        <v>3147</v>
      </c>
      <c r="L69" t="s">
        <v>3145</v>
      </c>
      <c r="M69" t="s">
        <v>3146</v>
      </c>
      <c r="N69" t="s">
        <v>385</v>
      </c>
      <c r="O69" t="s">
        <v>189</v>
      </c>
    </row>
    <row r="70" spans="1:15" x14ac:dyDescent="0.35">
      <c r="A70">
        <v>58777</v>
      </c>
      <c r="B70" s="283">
        <v>44743</v>
      </c>
      <c r="C70">
        <v>1978</v>
      </c>
      <c r="D70">
        <v>1975</v>
      </c>
      <c r="E70">
        <v>100</v>
      </c>
      <c r="F70">
        <v>320</v>
      </c>
      <c r="G70">
        <v>2160</v>
      </c>
      <c r="H70" s="1">
        <v>30089.37</v>
      </c>
      <c r="I70">
        <v>0</v>
      </c>
      <c r="J70" s="283">
        <v>45412.177658182867</v>
      </c>
      <c r="K70" t="s">
        <v>3149</v>
      </c>
      <c r="L70" t="s">
        <v>3145</v>
      </c>
      <c r="M70" t="s">
        <v>3146</v>
      </c>
      <c r="N70" t="s">
        <v>385</v>
      </c>
      <c r="O70" t="s">
        <v>189</v>
      </c>
    </row>
    <row r="71" spans="1:15" x14ac:dyDescent="0.35">
      <c r="A71">
        <v>58778</v>
      </c>
      <c r="B71" s="283">
        <v>44743</v>
      </c>
      <c r="C71">
        <v>1978</v>
      </c>
      <c r="D71">
        <v>1975</v>
      </c>
      <c r="E71">
        <v>100</v>
      </c>
      <c r="F71">
        <v>320</v>
      </c>
      <c r="G71">
        <v>2230</v>
      </c>
      <c r="H71" s="1">
        <v>13310.31</v>
      </c>
      <c r="I71">
        <v>0</v>
      </c>
      <c r="J71" s="283">
        <v>45412.177658182867</v>
      </c>
      <c r="K71" t="s">
        <v>3151</v>
      </c>
      <c r="L71" t="s">
        <v>3145</v>
      </c>
      <c r="M71" t="s">
        <v>3146</v>
      </c>
      <c r="N71" t="s">
        <v>385</v>
      </c>
      <c r="O71" t="s">
        <v>189</v>
      </c>
    </row>
    <row r="72" spans="1:15" x14ac:dyDescent="0.35">
      <c r="A72">
        <v>58790</v>
      </c>
      <c r="B72" s="283">
        <v>44743</v>
      </c>
      <c r="C72">
        <v>1990</v>
      </c>
      <c r="D72">
        <v>1980</v>
      </c>
      <c r="E72">
        <v>100</v>
      </c>
      <c r="F72">
        <v>320</v>
      </c>
      <c r="G72">
        <v>1200</v>
      </c>
      <c r="H72" s="1">
        <v>19784.04</v>
      </c>
      <c r="I72">
        <v>0</v>
      </c>
      <c r="J72" s="283">
        <v>45412.177658182867</v>
      </c>
      <c r="K72" t="s">
        <v>3144</v>
      </c>
      <c r="L72" t="s">
        <v>3145</v>
      </c>
      <c r="M72" t="s">
        <v>3146</v>
      </c>
      <c r="N72" t="s">
        <v>432</v>
      </c>
      <c r="O72" t="s">
        <v>150</v>
      </c>
    </row>
    <row r="73" spans="1:15" x14ac:dyDescent="0.35">
      <c r="A73">
        <v>58791</v>
      </c>
      <c r="B73" s="283">
        <v>44743</v>
      </c>
      <c r="C73">
        <v>1990</v>
      </c>
      <c r="D73">
        <v>1980</v>
      </c>
      <c r="E73">
        <v>100</v>
      </c>
      <c r="F73">
        <v>320</v>
      </c>
      <c r="G73">
        <v>2100</v>
      </c>
      <c r="H73" s="1">
        <v>151205.73000000001</v>
      </c>
      <c r="I73">
        <v>0</v>
      </c>
      <c r="J73" s="283">
        <v>45412.177658182867</v>
      </c>
      <c r="K73" t="s">
        <v>3147</v>
      </c>
      <c r="L73" t="s">
        <v>3145</v>
      </c>
      <c r="M73" t="s">
        <v>3146</v>
      </c>
      <c r="N73" t="s">
        <v>432</v>
      </c>
      <c r="O73" t="s">
        <v>150</v>
      </c>
    </row>
    <row r="74" spans="1:15" x14ac:dyDescent="0.35">
      <c r="A74">
        <v>58792</v>
      </c>
      <c r="B74" s="283">
        <v>44743</v>
      </c>
      <c r="C74">
        <v>1990</v>
      </c>
      <c r="D74">
        <v>1980</v>
      </c>
      <c r="E74">
        <v>100</v>
      </c>
      <c r="F74">
        <v>320</v>
      </c>
      <c r="G74">
        <v>2160</v>
      </c>
      <c r="H74" s="1">
        <v>26117.95</v>
      </c>
      <c r="I74">
        <v>0</v>
      </c>
      <c r="J74" s="283">
        <v>45412.177658182867</v>
      </c>
      <c r="K74" t="s">
        <v>3149</v>
      </c>
      <c r="L74" t="s">
        <v>3145</v>
      </c>
      <c r="M74" t="s">
        <v>3146</v>
      </c>
      <c r="N74" t="s">
        <v>432</v>
      </c>
      <c r="O74" t="s">
        <v>150</v>
      </c>
    </row>
    <row r="75" spans="1:15" x14ac:dyDescent="0.35">
      <c r="A75">
        <v>58793</v>
      </c>
      <c r="B75" s="283">
        <v>44743</v>
      </c>
      <c r="C75">
        <v>1990</v>
      </c>
      <c r="D75">
        <v>1980</v>
      </c>
      <c r="E75">
        <v>100</v>
      </c>
      <c r="F75">
        <v>320</v>
      </c>
      <c r="G75">
        <v>2190</v>
      </c>
      <c r="H75" s="1">
        <v>4162.57</v>
      </c>
      <c r="I75">
        <v>0</v>
      </c>
      <c r="J75" s="283">
        <v>45412.177658182867</v>
      </c>
      <c r="K75" t="s">
        <v>3150</v>
      </c>
      <c r="L75" t="s">
        <v>3145</v>
      </c>
      <c r="M75" t="s">
        <v>3146</v>
      </c>
      <c r="N75" t="s">
        <v>432</v>
      </c>
      <c r="O75" t="s">
        <v>150</v>
      </c>
    </row>
    <row r="76" spans="1:15" x14ac:dyDescent="0.35">
      <c r="A76">
        <v>58805</v>
      </c>
      <c r="B76" s="283">
        <v>44743</v>
      </c>
      <c r="C76">
        <v>1991</v>
      </c>
      <c r="D76">
        <v>1980</v>
      </c>
      <c r="E76">
        <v>100</v>
      </c>
      <c r="F76">
        <v>320</v>
      </c>
      <c r="G76">
        <v>1200</v>
      </c>
      <c r="H76" s="1">
        <v>450232.29</v>
      </c>
      <c r="I76">
        <v>0</v>
      </c>
      <c r="J76" s="283">
        <v>45412.177658182867</v>
      </c>
      <c r="K76" t="s">
        <v>3144</v>
      </c>
      <c r="L76" t="s">
        <v>3145</v>
      </c>
      <c r="M76" t="s">
        <v>3146</v>
      </c>
      <c r="N76" t="s">
        <v>432</v>
      </c>
      <c r="O76" t="s">
        <v>71</v>
      </c>
    </row>
    <row r="77" spans="1:15" x14ac:dyDescent="0.35">
      <c r="A77">
        <v>58806</v>
      </c>
      <c r="B77" s="283">
        <v>44743</v>
      </c>
      <c r="C77">
        <v>1991</v>
      </c>
      <c r="D77">
        <v>1980</v>
      </c>
      <c r="E77">
        <v>100</v>
      </c>
      <c r="F77">
        <v>320</v>
      </c>
      <c r="G77">
        <v>2100</v>
      </c>
      <c r="H77" s="1">
        <v>1441530.21</v>
      </c>
      <c r="I77">
        <v>0</v>
      </c>
      <c r="J77" s="283">
        <v>45412.177658182867</v>
      </c>
      <c r="K77" t="s">
        <v>3147</v>
      </c>
      <c r="L77" t="s">
        <v>3145</v>
      </c>
      <c r="M77" t="s">
        <v>3146</v>
      </c>
      <c r="N77" t="s">
        <v>432</v>
      </c>
      <c r="O77" t="s">
        <v>71</v>
      </c>
    </row>
    <row r="78" spans="1:15" x14ac:dyDescent="0.35">
      <c r="A78">
        <v>58807</v>
      </c>
      <c r="B78" s="283">
        <v>44743</v>
      </c>
      <c r="C78">
        <v>1991</v>
      </c>
      <c r="D78">
        <v>1980</v>
      </c>
      <c r="E78">
        <v>100</v>
      </c>
      <c r="F78">
        <v>320</v>
      </c>
      <c r="G78">
        <v>2160</v>
      </c>
      <c r="H78" s="1">
        <v>235224.14</v>
      </c>
      <c r="I78">
        <v>0</v>
      </c>
      <c r="J78" s="283">
        <v>45412.177658182867</v>
      </c>
      <c r="K78" t="s">
        <v>3149</v>
      </c>
      <c r="L78" t="s">
        <v>3145</v>
      </c>
      <c r="M78" t="s">
        <v>3146</v>
      </c>
      <c r="N78" t="s">
        <v>432</v>
      </c>
      <c r="O78" t="s">
        <v>71</v>
      </c>
    </row>
    <row r="79" spans="1:15" x14ac:dyDescent="0.35">
      <c r="A79">
        <v>58808</v>
      </c>
      <c r="B79" s="283">
        <v>44743</v>
      </c>
      <c r="C79">
        <v>1991</v>
      </c>
      <c r="D79">
        <v>1980</v>
      </c>
      <c r="E79">
        <v>100</v>
      </c>
      <c r="F79">
        <v>320</v>
      </c>
      <c r="G79">
        <v>2190</v>
      </c>
      <c r="H79" s="1">
        <v>37489.050000000003</v>
      </c>
      <c r="I79">
        <v>0</v>
      </c>
      <c r="J79" s="283">
        <v>45412.177658182867</v>
      </c>
      <c r="K79" t="s">
        <v>3150</v>
      </c>
      <c r="L79" t="s">
        <v>3145</v>
      </c>
      <c r="M79" t="s">
        <v>3146</v>
      </c>
      <c r="N79" t="s">
        <v>432</v>
      </c>
      <c r="O79" t="s">
        <v>71</v>
      </c>
    </row>
    <row r="80" spans="1:15" x14ac:dyDescent="0.35">
      <c r="A80">
        <v>58820</v>
      </c>
      <c r="B80" s="283">
        <v>44743</v>
      </c>
      <c r="C80">
        <v>1992</v>
      </c>
      <c r="D80">
        <v>1980</v>
      </c>
      <c r="E80">
        <v>100</v>
      </c>
      <c r="F80">
        <v>320</v>
      </c>
      <c r="G80">
        <v>1200</v>
      </c>
      <c r="H80" s="1">
        <v>21518.1</v>
      </c>
      <c r="I80">
        <v>0</v>
      </c>
      <c r="J80" s="283">
        <v>45412.177658182867</v>
      </c>
      <c r="K80" t="s">
        <v>3144</v>
      </c>
      <c r="L80" t="s">
        <v>3145</v>
      </c>
      <c r="M80" t="s">
        <v>3146</v>
      </c>
      <c r="N80" t="s">
        <v>432</v>
      </c>
      <c r="O80" t="s">
        <v>90</v>
      </c>
    </row>
    <row r="81" spans="1:15" x14ac:dyDescent="0.35">
      <c r="A81">
        <v>58821</v>
      </c>
      <c r="B81" s="283">
        <v>44743</v>
      </c>
      <c r="C81">
        <v>1992</v>
      </c>
      <c r="D81">
        <v>1980</v>
      </c>
      <c r="E81">
        <v>100</v>
      </c>
      <c r="F81">
        <v>320</v>
      </c>
      <c r="G81">
        <v>2100</v>
      </c>
      <c r="H81" s="1">
        <v>135183.91</v>
      </c>
      <c r="I81">
        <v>0</v>
      </c>
      <c r="J81" s="283">
        <v>45412.177658182867</v>
      </c>
      <c r="K81" t="s">
        <v>3147</v>
      </c>
      <c r="L81" t="s">
        <v>3145</v>
      </c>
      <c r="M81" t="s">
        <v>3146</v>
      </c>
      <c r="N81" t="s">
        <v>432</v>
      </c>
      <c r="O81" t="s">
        <v>90</v>
      </c>
    </row>
    <row r="82" spans="1:15" x14ac:dyDescent="0.35">
      <c r="A82">
        <v>58822</v>
      </c>
      <c r="B82" s="283">
        <v>44743</v>
      </c>
      <c r="C82">
        <v>1992</v>
      </c>
      <c r="D82">
        <v>1980</v>
      </c>
      <c r="E82">
        <v>100</v>
      </c>
      <c r="F82">
        <v>320</v>
      </c>
      <c r="G82">
        <v>2160</v>
      </c>
      <c r="H82" s="1">
        <v>38827.29</v>
      </c>
      <c r="I82">
        <v>0</v>
      </c>
      <c r="J82" s="283">
        <v>45412.177658182867</v>
      </c>
      <c r="K82" t="s">
        <v>3149</v>
      </c>
      <c r="L82" t="s">
        <v>3145</v>
      </c>
      <c r="M82" t="s">
        <v>3146</v>
      </c>
      <c r="N82" t="s">
        <v>432</v>
      </c>
      <c r="O82" t="s">
        <v>90</v>
      </c>
    </row>
    <row r="83" spans="1:15" x14ac:dyDescent="0.35">
      <c r="A83">
        <v>58823</v>
      </c>
      <c r="B83" s="283">
        <v>44743</v>
      </c>
      <c r="C83">
        <v>1992</v>
      </c>
      <c r="D83">
        <v>1980</v>
      </c>
      <c r="E83">
        <v>100</v>
      </c>
      <c r="F83">
        <v>320</v>
      </c>
      <c r="G83">
        <v>2190</v>
      </c>
      <c r="H83" s="1">
        <v>4594.37</v>
      </c>
      <c r="I83">
        <v>0</v>
      </c>
      <c r="J83" s="283">
        <v>45412.177658182867</v>
      </c>
      <c r="K83" t="s">
        <v>3150</v>
      </c>
      <c r="L83" t="s">
        <v>3145</v>
      </c>
      <c r="M83" t="s">
        <v>3146</v>
      </c>
      <c r="N83" t="s">
        <v>432</v>
      </c>
      <c r="O83" t="s">
        <v>90</v>
      </c>
    </row>
    <row r="84" spans="1:15" x14ac:dyDescent="0.35">
      <c r="A84">
        <v>58835</v>
      </c>
      <c r="B84" s="283">
        <v>44743</v>
      </c>
      <c r="C84">
        <v>1993</v>
      </c>
      <c r="D84">
        <v>1980</v>
      </c>
      <c r="E84">
        <v>100</v>
      </c>
      <c r="F84">
        <v>320</v>
      </c>
      <c r="G84">
        <v>1200</v>
      </c>
      <c r="H84" s="1">
        <v>9773.7900000000009</v>
      </c>
      <c r="I84">
        <v>0</v>
      </c>
      <c r="J84" s="283">
        <v>45412.177658182867</v>
      </c>
      <c r="K84" t="s">
        <v>3144</v>
      </c>
      <c r="L84" t="s">
        <v>3145</v>
      </c>
      <c r="M84" t="s">
        <v>3146</v>
      </c>
      <c r="N84" t="s">
        <v>432</v>
      </c>
      <c r="O84" t="s">
        <v>70</v>
      </c>
    </row>
    <row r="85" spans="1:15" x14ac:dyDescent="0.35">
      <c r="A85">
        <v>58836</v>
      </c>
      <c r="B85" s="283">
        <v>44743</v>
      </c>
      <c r="C85">
        <v>1993</v>
      </c>
      <c r="D85">
        <v>1980</v>
      </c>
      <c r="E85">
        <v>100</v>
      </c>
      <c r="F85">
        <v>320</v>
      </c>
      <c r="G85">
        <v>2100</v>
      </c>
      <c r="H85" s="1">
        <v>61908.959999999999</v>
      </c>
      <c r="I85">
        <v>0</v>
      </c>
      <c r="J85" s="283">
        <v>45412.177658182867</v>
      </c>
      <c r="K85" t="s">
        <v>3147</v>
      </c>
      <c r="L85" t="s">
        <v>3145</v>
      </c>
      <c r="M85" t="s">
        <v>3146</v>
      </c>
      <c r="N85" t="s">
        <v>432</v>
      </c>
      <c r="O85" t="s">
        <v>70</v>
      </c>
    </row>
    <row r="86" spans="1:15" x14ac:dyDescent="0.35">
      <c r="A86">
        <v>58837</v>
      </c>
      <c r="B86" s="283">
        <v>44743</v>
      </c>
      <c r="C86">
        <v>1993</v>
      </c>
      <c r="D86">
        <v>1980</v>
      </c>
      <c r="E86">
        <v>100</v>
      </c>
      <c r="F86">
        <v>320</v>
      </c>
      <c r="G86">
        <v>2160</v>
      </c>
      <c r="H86" s="1">
        <v>9591.0300000000007</v>
      </c>
      <c r="I86">
        <v>0</v>
      </c>
      <c r="J86" s="283">
        <v>45412.177658182867</v>
      </c>
      <c r="K86" t="s">
        <v>3149</v>
      </c>
      <c r="L86" t="s">
        <v>3145</v>
      </c>
      <c r="M86" t="s">
        <v>3146</v>
      </c>
      <c r="N86" t="s">
        <v>432</v>
      </c>
      <c r="O86" t="s">
        <v>70</v>
      </c>
    </row>
    <row r="87" spans="1:15" x14ac:dyDescent="0.35">
      <c r="A87">
        <v>58838</v>
      </c>
      <c r="B87" s="283">
        <v>44743</v>
      </c>
      <c r="C87">
        <v>1993</v>
      </c>
      <c r="D87">
        <v>1980</v>
      </c>
      <c r="E87">
        <v>100</v>
      </c>
      <c r="F87">
        <v>320</v>
      </c>
      <c r="G87">
        <v>2190</v>
      </c>
      <c r="H87" s="1">
        <v>1528.58</v>
      </c>
      <c r="I87">
        <v>0</v>
      </c>
      <c r="J87" s="283">
        <v>45412.177658182867</v>
      </c>
      <c r="K87" t="s">
        <v>3150</v>
      </c>
      <c r="L87" t="s">
        <v>3145</v>
      </c>
      <c r="M87" t="s">
        <v>3146</v>
      </c>
      <c r="N87" t="s">
        <v>432</v>
      </c>
      <c r="O87" t="s">
        <v>70</v>
      </c>
    </row>
    <row r="88" spans="1:15" x14ac:dyDescent="0.35">
      <c r="A88">
        <v>58850</v>
      </c>
      <c r="B88" s="283">
        <v>44743</v>
      </c>
      <c r="C88">
        <v>1994</v>
      </c>
      <c r="D88">
        <v>1980</v>
      </c>
      <c r="E88">
        <v>100</v>
      </c>
      <c r="F88">
        <v>320</v>
      </c>
      <c r="G88">
        <v>1200</v>
      </c>
      <c r="H88" s="1">
        <v>38149.31</v>
      </c>
      <c r="I88">
        <v>0</v>
      </c>
      <c r="J88" s="283">
        <v>45412.177658182867</v>
      </c>
      <c r="K88" t="s">
        <v>3144</v>
      </c>
      <c r="L88" t="s">
        <v>3145</v>
      </c>
      <c r="M88" t="s">
        <v>3146</v>
      </c>
      <c r="N88" t="s">
        <v>432</v>
      </c>
      <c r="O88" t="s">
        <v>193</v>
      </c>
    </row>
    <row r="89" spans="1:15" x14ac:dyDescent="0.35">
      <c r="A89">
        <v>58851</v>
      </c>
      <c r="B89" s="283">
        <v>44743</v>
      </c>
      <c r="C89">
        <v>1994</v>
      </c>
      <c r="D89">
        <v>1980</v>
      </c>
      <c r="E89">
        <v>100</v>
      </c>
      <c r="F89">
        <v>320</v>
      </c>
      <c r="G89">
        <v>2100</v>
      </c>
      <c r="H89" s="1">
        <v>457498.81</v>
      </c>
      <c r="I89">
        <v>0</v>
      </c>
      <c r="J89" s="283">
        <v>45412.177658182867</v>
      </c>
      <c r="K89" t="s">
        <v>3147</v>
      </c>
      <c r="L89" t="s">
        <v>3145</v>
      </c>
      <c r="M89" t="s">
        <v>3146</v>
      </c>
      <c r="N89" t="s">
        <v>432</v>
      </c>
      <c r="O89" t="s">
        <v>193</v>
      </c>
    </row>
    <row r="90" spans="1:15" x14ac:dyDescent="0.35">
      <c r="A90">
        <v>58852</v>
      </c>
      <c r="B90" s="283">
        <v>44743</v>
      </c>
      <c r="C90">
        <v>1994</v>
      </c>
      <c r="D90">
        <v>1980</v>
      </c>
      <c r="E90">
        <v>100</v>
      </c>
      <c r="F90">
        <v>320</v>
      </c>
      <c r="G90">
        <v>2160</v>
      </c>
      <c r="H90" s="1">
        <v>55270.36</v>
      </c>
      <c r="I90">
        <v>0</v>
      </c>
      <c r="J90" s="283">
        <v>45412.177658182867</v>
      </c>
      <c r="K90" t="s">
        <v>3149</v>
      </c>
      <c r="L90" t="s">
        <v>3145</v>
      </c>
      <c r="M90" t="s">
        <v>3146</v>
      </c>
      <c r="N90" t="s">
        <v>432</v>
      </c>
      <c r="O90" t="s">
        <v>193</v>
      </c>
    </row>
    <row r="91" spans="1:15" x14ac:dyDescent="0.35">
      <c r="A91">
        <v>58853</v>
      </c>
      <c r="B91" s="283">
        <v>44743</v>
      </c>
      <c r="C91">
        <v>1994</v>
      </c>
      <c r="D91">
        <v>1980</v>
      </c>
      <c r="E91">
        <v>100</v>
      </c>
      <c r="F91">
        <v>320</v>
      </c>
      <c r="G91">
        <v>2190</v>
      </c>
      <c r="H91" s="1">
        <v>8808.76</v>
      </c>
      <c r="I91">
        <v>0</v>
      </c>
      <c r="J91" s="283">
        <v>45412.177658182867</v>
      </c>
      <c r="K91" t="s">
        <v>3150</v>
      </c>
      <c r="L91" t="s">
        <v>3145</v>
      </c>
      <c r="M91" t="s">
        <v>3146</v>
      </c>
      <c r="N91" t="s">
        <v>432</v>
      </c>
      <c r="O91" t="s">
        <v>193</v>
      </c>
    </row>
    <row r="92" spans="1:15" x14ac:dyDescent="0.35">
      <c r="A92">
        <v>58865</v>
      </c>
      <c r="B92" s="283">
        <v>44743</v>
      </c>
      <c r="C92">
        <v>1995</v>
      </c>
      <c r="D92">
        <v>1980</v>
      </c>
      <c r="E92">
        <v>100</v>
      </c>
      <c r="F92">
        <v>320</v>
      </c>
      <c r="G92">
        <v>1200</v>
      </c>
      <c r="H92" s="1">
        <v>42326.82</v>
      </c>
      <c r="I92">
        <v>0</v>
      </c>
      <c r="J92" s="283">
        <v>45412.177658182867</v>
      </c>
      <c r="K92" t="s">
        <v>3144</v>
      </c>
      <c r="L92" t="s">
        <v>3145</v>
      </c>
      <c r="M92" t="s">
        <v>3146</v>
      </c>
      <c r="N92" t="s">
        <v>432</v>
      </c>
      <c r="O92" t="s">
        <v>43</v>
      </c>
    </row>
    <row r="93" spans="1:15" x14ac:dyDescent="0.35">
      <c r="A93">
        <v>58866</v>
      </c>
      <c r="B93" s="283">
        <v>44743</v>
      </c>
      <c r="C93">
        <v>1995</v>
      </c>
      <c r="D93">
        <v>1980</v>
      </c>
      <c r="E93">
        <v>100</v>
      </c>
      <c r="F93">
        <v>320</v>
      </c>
      <c r="G93">
        <v>2100</v>
      </c>
      <c r="H93" s="1">
        <v>148439.99</v>
      </c>
      <c r="I93">
        <v>0</v>
      </c>
      <c r="J93" s="283">
        <v>45412.177658182867</v>
      </c>
      <c r="K93" t="s">
        <v>3147</v>
      </c>
      <c r="L93" t="s">
        <v>3145</v>
      </c>
      <c r="M93" t="s">
        <v>3146</v>
      </c>
      <c r="N93" t="s">
        <v>432</v>
      </c>
      <c r="O93" t="s">
        <v>43</v>
      </c>
    </row>
    <row r="94" spans="1:15" x14ac:dyDescent="0.35">
      <c r="A94">
        <v>58867</v>
      </c>
      <c r="B94" s="283">
        <v>44743</v>
      </c>
      <c r="C94">
        <v>1995</v>
      </c>
      <c r="D94">
        <v>1980</v>
      </c>
      <c r="E94">
        <v>100</v>
      </c>
      <c r="F94">
        <v>320</v>
      </c>
      <c r="G94">
        <v>2160</v>
      </c>
      <c r="H94" s="1">
        <v>51014.14</v>
      </c>
      <c r="I94">
        <v>0</v>
      </c>
      <c r="J94" s="283">
        <v>45412.177658182867</v>
      </c>
      <c r="K94" t="s">
        <v>3149</v>
      </c>
      <c r="L94" t="s">
        <v>3145</v>
      </c>
      <c r="M94" t="s">
        <v>3146</v>
      </c>
      <c r="N94" t="s">
        <v>432</v>
      </c>
      <c r="O94" t="s">
        <v>43</v>
      </c>
    </row>
    <row r="95" spans="1:15" x14ac:dyDescent="0.35">
      <c r="A95">
        <v>58868</v>
      </c>
      <c r="B95" s="283">
        <v>44743</v>
      </c>
      <c r="C95">
        <v>1995</v>
      </c>
      <c r="D95">
        <v>1980</v>
      </c>
      <c r="E95">
        <v>100</v>
      </c>
      <c r="F95">
        <v>320</v>
      </c>
      <c r="G95">
        <v>2190</v>
      </c>
      <c r="H95" s="1">
        <v>9724.18</v>
      </c>
      <c r="I95">
        <v>0</v>
      </c>
      <c r="J95" s="283">
        <v>45412.177658182867</v>
      </c>
      <c r="K95" t="s">
        <v>3150</v>
      </c>
      <c r="L95" t="s">
        <v>3145</v>
      </c>
      <c r="M95" t="s">
        <v>3146</v>
      </c>
      <c r="N95" t="s">
        <v>432</v>
      </c>
      <c r="O95" t="s">
        <v>43</v>
      </c>
    </row>
    <row r="96" spans="1:15" x14ac:dyDescent="0.35">
      <c r="A96">
        <v>58880</v>
      </c>
      <c r="B96" s="283">
        <v>44743</v>
      </c>
      <c r="C96">
        <v>1996</v>
      </c>
      <c r="D96">
        <v>1980</v>
      </c>
      <c r="E96">
        <v>100</v>
      </c>
      <c r="F96">
        <v>320</v>
      </c>
      <c r="G96">
        <v>1200</v>
      </c>
      <c r="H96" s="1">
        <v>8946.17</v>
      </c>
      <c r="I96">
        <v>0</v>
      </c>
      <c r="J96" s="283">
        <v>45412.177658182867</v>
      </c>
      <c r="K96" t="s">
        <v>3144</v>
      </c>
      <c r="L96" t="s">
        <v>3145</v>
      </c>
      <c r="M96" t="s">
        <v>3146</v>
      </c>
      <c r="N96" t="s">
        <v>432</v>
      </c>
      <c r="O96" t="s">
        <v>143</v>
      </c>
    </row>
    <row r="97" spans="1:15" x14ac:dyDescent="0.35">
      <c r="A97">
        <v>58881</v>
      </c>
      <c r="B97" s="283">
        <v>44743</v>
      </c>
      <c r="C97">
        <v>1996</v>
      </c>
      <c r="D97">
        <v>1980</v>
      </c>
      <c r="E97">
        <v>100</v>
      </c>
      <c r="F97">
        <v>320</v>
      </c>
      <c r="G97">
        <v>2100</v>
      </c>
      <c r="H97" s="1">
        <v>36537.089999999997</v>
      </c>
      <c r="I97">
        <v>0</v>
      </c>
      <c r="J97" s="283">
        <v>45412.177658182867</v>
      </c>
      <c r="K97" t="s">
        <v>3147</v>
      </c>
      <c r="L97" t="s">
        <v>3145</v>
      </c>
      <c r="M97" t="s">
        <v>3146</v>
      </c>
      <c r="N97" t="s">
        <v>432</v>
      </c>
      <c r="O97" t="s">
        <v>143</v>
      </c>
    </row>
    <row r="98" spans="1:15" x14ac:dyDescent="0.35">
      <c r="A98">
        <v>58882</v>
      </c>
      <c r="B98" s="283">
        <v>44743</v>
      </c>
      <c r="C98">
        <v>1996</v>
      </c>
      <c r="D98">
        <v>1980</v>
      </c>
      <c r="E98">
        <v>100</v>
      </c>
      <c r="F98">
        <v>320</v>
      </c>
      <c r="G98">
        <v>2160</v>
      </c>
      <c r="H98" s="1">
        <v>8615.67</v>
      </c>
      <c r="I98">
        <v>0</v>
      </c>
      <c r="J98" s="283">
        <v>45412.177658182867</v>
      </c>
      <c r="K98" t="s">
        <v>3149</v>
      </c>
      <c r="L98" t="s">
        <v>3145</v>
      </c>
      <c r="M98" t="s">
        <v>3146</v>
      </c>
      <c r="N98" t="s">
        <v>432</v>
      </c>
      <c r="O98" t="s">
        <v>143</v>
      </c>
    </row>
    <row r="99" spans="1:15" x14ac:dyDescent="0.35">
      <c r="A99">
        <v>58883</v>
      </c>
      <c r="B99" s="283">
        <v>44743</v>
      </c>
      <c r="C99">
        <v>1996</v>
      </c>
      <c r="D99">
        <v>1980</v>
      </c>
      <c r="E99">
        <v>100</v>
      </c>
      <c r="F99">
        <v>320</v>
      </c>
      <c r="G99">
        <v>2190</v>
      </c>
      <c r="H99" s="1">
        <v>1373.13</v>
      </c>
      <c r="I99">
        <v>0</v>
      </c>
      <c r="J99" s="283">
        <v>45412.177658182867</v>
      </c>
      <c r="K99" t="s">
        <v>3150</v>
      </c>
      <c r="L99" t="s">
        <v>3145</v>
      </c>
      <c r="M99" t="s">
        <v>3146</v>
      </c>
      <c r="N99" t="s">
        <v>432</v>
      </c>
      <c r="O99" t="s">
        <v>143</v>
      </c>
    </row>
    <row r="100" spans="1:15" x14ac:dyDescent="0.35">
      <c r="A100">
        <v>58895</v>
      </c>
      <c r="B100" s="283">
        <v>44743</v>
      </c>
      <c r="C100">
        <v>1997</v>
      </c>
      <c r="D100">
        <v>1980</v>
      </c>
      <c r="E100">
        <v>100</v>
      </c>
      <c r="F100">
        <v>320</v>
      </c>
      <c r="G100">
        <v>1200</v>
      </c>
      <c r="H100" s="1">
        <v>12729.57</v>
      </c>
      <c r="I100">
        <v>0</v>
      </c>
      <c r="J100" s="283">
        <v>45412.177658182867</v>
      </c>
      <c r="K100" t="s">
        <v>3144</v>
      </c>
      <c r="L100" t="s">
        <v>3145</v>
      </c>
      <c r="M100" t="s">
        <v>3146</v>
      </c>
      <c r="N100" t="s">
        <v>432</v>
      </c>
      <c r="O100" t="s">
        <v>219</v>
      </c>
    </row>
    <row r="101" spans="1:15" x14ac:dyDescent="0.35">
      <c r="A101">
        <v>58896</v>
      </c>
      <c r="B101" s="283">
        <v>44743</v>
      </c>
      <c r="C101">
        <v>1997</v>
      </c>
      <c r="D101">
        <v>1980</v>
      </c>
      <c r="E101">
        <v>100</v>
      </c>
      <c r="F101">
        <v>320</v>
      </c>
      <c r="G101">
        <v>2100</v>
      </c>
      <c r="H101" s="1">
        <v>56467.73</v>
      </c>
      <c r="I101">
        <v>0</v>
      </c>
      <c r="J101" s="283">
        <v>45412.177658182867</v>
      </c>
      <c r="K101" t="s">
        <v>3147</v>
      </c>
      <c r="L101" t="s">
        <v>3145</v>
      </c>
      <c r="M101" t="s">
        <v>3146</v>
      </c>
      <c r="N101" t="s">
        <v>432</v>
      </c>
      <c r="O101" t="s">
        <v>219</v>
      </c>
    </row>
    <row r="102" spans="1:15" x14ac:dyDescent="0.35">
      <c r="A102">
        <v>58897</v>
      </c>
      <c r="B102" s="283">
        <v>44743</v>
      </c>
      <c r="C102">
        <v>1997</v>
      </c>
      <c r="D102">
        <v>1980</v>
      </c>
      <c r="E102">
        <v>100</v>
      </c>
      <c r="F102">
        <v>320</v>
      </c>
      <c r="G102">
        <v>2160</v>
      </c>
      <c r="H102" s="1">
        <v>14359.46</v>
      </c>
      <c r="I102">
        <v>0</v>
      </c>
      <c r="J102" s="283">
        <v>45412.177658182867</v>
      </c>
      <c r="K102" t="s">
        <v>3149</v>
      </c>
      <c r="L102" t="s">
        <v>3145</v>
      </c>
      <c r="M102" t="s">
        <v>3146</v>
      </c>
      <c r="N102" t="s">
        <v>432</v>
      </c>
      <c r="O102" t="s">
        <v>219</v>
      </c>
    </row>
    <row r="103" spans="1:15" x14ac:dyDescent="0.35">
      <c r="A103">
        <v>58898</v>
      </c>
      <c r="B103" s="283">
        <v>44743</v>
      </c>
      <c r="C103">
        <v>1997</v>
      </c>
      <c r="D103">
        <v>1980</v>
      </c>
      <c r="E103">
        <v>100</v>
      </c>
      <c r="F103">
        <v>320</v>
      </c>
      <c r="G103">
        <v>2190</v>
      </c>
      <c r="H103" s="1">
        <v>2288.5500000000002</v>
      </c>
      <c r="I103">
        <v>0</v>
      </c>
      <c r="J103" s="283">
        <v>45412.177658182867</v>
      </c>
      <c r="K103" t="s">
        <v>3150</v>
      </c>
      <c r="L103" t="s">
        <v>3145</v>
      </c>
      <c r="M103" t="s">
        <v>3146</v>
      </c>
      <c r="N103" t="s">
        <v>432</v>
      </c>
      <c r="O103" t="s">
        <v>219</v>
      </c>
    </row>
    <row r="104" spans="1:15" x14ac:dyDescent="0.35">
      <c r="A104">
        <v>58910</v>
      </c>
      <c r="B104" s="283">
        <v>44743</v>
      </c>
      <c r="C104">
        <v>1998</v>
      </c>
      <c r="D104">
        <v>1980</v>
      </c>
      <c r="E104">
        <v>100</v>
      </c>
      <c r="F104">
        <v>320</v>
      </c>
      <c r="G104">
        <v>1200</v>
      </c>
      <c r="H104" s="1">
        <v>38622.239999999998</v>
      </c>
      <c r="I104">
        <v>0</v>
      </c>
      <c r="J104" s="283">
        <v>45412.177658182867</v>
      </c>
      <c r="K104" t="s">
        <v>3144</v>
      </c>
      <c r="L104" t="s">
        <v>3145</v>
      </c>
      <c r="M104" t="s">
        <v>3146</v>
      </c>
      <c r="N104" t="s">
        <v>432</v>
      </c>
      <c r="O104" t="s">
        <v>77</v>
      </c>
    </row>
    <row r="105" spans="1:15" x14ac:dyDescent="0.35">
      <c r="A105">
        <v>58911</v>
      </c>
      <c r="B105" s="283">
        <v>44743</v>
      </c>
      <c r="C105">
        <v>1998</v>
      </c>
      <c r="D105">
        <v>1980</v>
      </c>
      <c r="E105">
        <v>100</v>
      </c>
      <c r="F105">
        <v>320</v>
      </c>
      <c r="G105">
        <v>2100</v>
      </c>
      <c r="H105" s="1">
        <v>324293.26</v>
      </c>
      <c r="I105">
        <v>0</v>
      </c>
      <c r="J105" s="283">
        <v>45412.177658182867</v>
      </c>
      <c r="K105" t="s">
        <v>3147</v>
      </c>
      <c r="L105" t="s">
        <v>3145</v>
      </c>
      <c r="M105" t="s">
        <v>3146</v>
      </c>
      <c r="N105" t="s">
        <v>432</v>
      </c>
      <c r="O105" t="s">
        <v>77</v>
      </c>
    </row>
    <row r="106" spans="1:15" x14ac:dyDescent="0.35">
      <c r="A106">
        <v>58912</v>
      </c>
      <c r="B106" s="283">
        <v>44743</v>
      </c>
      <c r="C106">
        <v>1998</v>
      </c>
      <c r="D106">
        <v>1980</v>
      </c>
      <c r="E106">
        <v>100</v>
      </c>
      <c r="F106">
        <v>320</v>
      </c>
      <c r="G106">
        <v>2160</v>
      </c>
      <c r="H106" s="1">
        <v>56245.72</v>
      </c>
      <c r="I106">
        <v>0</v>
      </c>
      <c r="J106" s="283">
        <v>45412.177658182867</v>
      </c>
      <c r="K106" t="s">
        <v>3149</v>
      </c>
      <c r="L106" t="s">
        <v>3145</v>
      </c>
      <c r="M106" t="s">
        <v>3146</v>
      </c>
      <c r="N106" t="s">
        <v>432</v>
      </c>
      <c r="O106" t="s">
        <v>77</v>
      </c>
    </row>
    <row r="107" spans="1:15" x14ac:dyDescent="0.35">
      <c r="A107">
        <v>58913</v>
      </c>
      <c r="B107" s="283">
        <v>44743</v>
      </c>
      <c r="C107">
        <v>1998</v>
      </c>
      <c r="D107">
        <v>1980</v>
      </c>
      <c r="E107">
        <v>100</v>
      </c>
      <c r="F107">
        <v>320</v>
      </c>
      <c r="G107">
        <v>2190</v>
      </c>
      <c r="H107" s="1">
        <v>8964.2099999999991</v>
      </c>
      <c r="I107">
        <v>0</v>
      </c>
      <c r="J107" s="283">
        <v>45412.177658182867</v>
      </c>
      <c r="K107" t="s">
        <v>3150</v>
      </c>
      <c r="L107" t="s">
        <v>3145</v>
      </c>
      <c r="M107" t="s">
        <v>3146</v>
      </c>
      <c r="N107" t="s">
        <v>432</v>
      </c>
      <c r="O107" t="s">
        <v>77</v>
      </c>
    </row>
    <row r="108" spans="1:15" x14ac:dyDescent="0.35">
      <c r="A108">
        <v>58925</v>
      </c>
      <c r="B108" s="283">
        <v>44743</v>
      </c>
      <c r="C108">
        <v>1999</v>
      </c>
      <c r="D108">
        <v>1980</v>
      </c>
      <c r="E108">
        <v>100</v>
      </c>
      <c r="F108">
        <v>320</v>
      </c>
      <c r="G108">
        <v>1200</v>
      </c>
      <c r="H108" s="1">
        <v>10916.69</v>
      </c>
      <c r="I108">
        <v>0</v>
      </c>
      <c r="J108" s="283">
        <v>45412.177658182867</v>
      </c>
      <c r="K108" t="s">
        <v>3144</v>
      </c>
      <c r="L108" t="s">
        <v>3145</v>
      </c>
      <c r="M108" t="s">
        <v>3146</v>
      </c>
      <c r="N108" t="s">
        <v>432</v>
      </c>
      <c r="O108" t="s">
        <v>177</v>
      </c>
    </row>
    <row r="109" spans="1:15" x14ac:dyDescent="0.35">
      <c r="A109">
        <v>58926</v>
      </c>
      <c r="B109" s="283">
        <v>44743</v>
      </c>
      <c r="C109">
        <v>1999</v>
      </c>
      <c r="D109">
        <v>1980</v>
      </c>
      <c r="E109">
        <v>100</v>
      </c>
      <c r="F109">
        <v>320</v>
      </c>
      <c r="G109">
        <v>2100</v>
      </c>
      <c r="H109" s="1">
        <v>50051.86</v>
      </c>
      <c r="I109">
        <v>0</v>
      </c>
      <c r="J109" s="283">
        <v>45412.177658182867</v>
      </c>
      <c r="K109" t="s">
        <v>3147</v>
      </c>
      <c r="L109" t="s">
        <v>3145</v>
      </c>
      <c r="M109" t="s">
        <v>3146</v>
      </c>
      <c r="N109" t="s">
        <v>432</v>
      </c>
      <c r="O109" t="s">
        <v>177</v>
      </c>
    </row>
    <row r="110" spans="1:15" x14ac:dyDescent="0.35">
      <c r="A110">
        <v>58927</v>
      </c>
      <c r="B110" s="283">
        <v>44743</v>
      </c>
      <c r="C110">
        <v>1999</v>
      </c>
      <c r="D110">
        <v>1980</v>
      </c>
      <c r="E110">
        <v>100</v>
      </c>
      <c r="F110">
        <v>320</v>
      </c>
      <c r="G110">
        <v>2160</v>
      </c>
      <c r="H110" s="1">
        <v>10783.14</v>
      </c>
      <c r="I110">
        <v>0</v>
      </c>
      <c r="J110" s="283">
        <v>45412.177658182867</v>
      </c>
      <c r="K110" t="s">
        <v>3149</v>
      </c>
      <c r="L110" t="s">
        <v>3145</v>
      </c>
      <c r="M110" t="s">
        <v>3146</v>
      </c>
      <c r="N110" t="s">
        <v>432</v>
      </c>
      <c r="O110" t="s">
        <v>177</v>
      </c>
    </row>
    <row r="111" spans="1:15" x14ac:dyDescent="0.35">
      <c r="A111">
        <v>58928</v>
      </c>
      <c r="B111" s="283">
        <v>44743</v>
      </c>
      <c r="C111">
        <v>1999</v>
      </c>
      <c r="D111">
        <v>1980</v>
      </c>
      <c r="E111">
        <v>100</v>
      </c>
      <c r="F111">
        <v>320</v>
      </c>
      <c r="G111">
        <v>2190</v>
      </c>
      <c r="H111" s="1">
        <v>1718.57</v>
      </c>
      <c r="I111">
        <v>0</v>
      </c>
      <c r="J111" s="283">
        <v>45412.177658182867</v>
      </c>
      <c r="K111" t="s">
        <v>3150</v>
      </c>
      <c r="L111" t="s">
        <v>3145</v>
      </c>
      <c r="M111" t="s">
        <v>3146</v>
      </c>
      <c r="N111" t="s">
        <v>432</v>
      </c>
      <c r="O111" t="s">
        <v>177</v>
      </c>
    </row>
    <row r="112" spans="1:15" x14ac:dyDescent="0.35">
      <c r="A112">
        <v>58940</v>
      </c>
      <c r="B112" s="283">
        <v>44743</v>
      </c>
      <c r="C112">
        <v>2000</v>
      </c>
      <c r="D112">
        <v>1980</v>
      </c>
      <c r="E112">
        <v>100</v>
      </c>
      <c r="F112">
        <v>320</v>
      </c>
      <c r="G112">
        <v>1200</v>
      </c>
      <c r="H112" s="1">
        <v>9773.7900000000009</v>
      </c>
      <c r="I112">
        <v>0</v>
      </c>
      <c r="J112" s="283">
        <v>45412.177658182867</v>
      </c>
      <c r="K112" t="s">
        <v>3144</v>
      </c>
      <c r="L112" t="s">
        <v>3145</v>
      </c>
      <c r="M112" t="s">
        <v>3146</v>
      </c>
      <c r="N112" t="s">
        <v>432</v>
      </c>
      <c r="O112" t="s">
        <v>89</v>
      </c>
    </row>
    <row r="113" spans="1:15" x14ac:dyDescent="0.35">
      <c r="A113">
        <v>58941</v>
      </c>
      <c r="B113" s="283">
        <v>44743</v>
      </c>
      <c r="C113">
        <v>2000</v>
      </c>
      <c r="D113">
        <v>1980</v>
      </c>
      <c r="E113">
        <v>100</v>
      </c>
      <c r="F113">
        <v>320</v>
      </c>
      <c r="G113">
        <v>2100</v>
      </c>
      <c r="H113" s="1">
        <v>45795.97</v>
      </c>
      <c r="I113">
        <v>0</v>
      </c>
      <c r="J113" s="283">
        <v>45412.177658182867</v>
      </c>
      <c r="K113" t="s">
        <v>3147</v>
      </c>
      <c r="L113" t="s">
        <v>3145</v>
      </c>
      <c r="M113" t="s">
        <v>3146</v>
      </c>
      <c r="N113" t="s">
        <v>432</v>
      </c>
      <c r="O113" t="s">
        <v>89</v>
      </c>
    </row>
    <row r="114" spans="1:15" x14ac:dyDescent="0.35">
      <c r="A114">
        <v>58942</v>
      </c>
      <c r="B114" s="283">
        <v>44743</v>
      </c>
      <c r="C114">
        <v>2000</v>
      </c>
      <c r="D114">
        <v>1980</v>
      </c>
      <c r="E114">
        <v>100</v>
      </c>
      <c r="F114">
        <v>320</v>
      </c>
      <c r="G114">
        <v>2160</v>
      </c>
      <c r="H114" s="1">
        <v>9591.0300000000007</v>
      </c>
      <c r="I114">
        <v>0</v>
      </c>
      <c r="J114" s="283">
        <v>45412.177658182867</v>
      </c>
      <c r="K114" t="s">
        <v>3149</v>
      </c>
      <c r="L114" t="s">
        <v>3145</v>
      </c>
      <c r="M114" t="s">
        <v>3146</v>
      </c>
      <c r="N114" t="s">
        <v>432</v>
      </c>
      <c r="O114" t="s">
        <v>89</v>
      </c>
    </row>
    <row r="115" spans="1:15" x14ac:dyDescent="0.35">
      <c r="A115">
        <v>58943</v>
      </c>
      <c r="B115" s="283">
        <v>44743</v>
      </c>
      <c r="C115">
        <v>2000</v>
      </c>
      <c r="D115">
        <v>1980</v>
      </c>
      <c r="E115">
        <v>100</v>
      </c>
      <c r="F115">
        <v>320</v>
      </c>
      <c r="G115">
        <v>2190</v>
      </c>
      <c r="H115" s="1">
        <v>1528.58</v>
      </c>
      <c r="I115">
        <v>0</v>
      </c>
      <c r="J115" s="283">
        <v>45412.177658182867</v>
      </c>
      <c r="K115" t="s">
        <v>3150</v>
      </c>
      <c r="L115" t="s">
        <v>3145</v>
      </c>
      <c r="M115" t="s">
        <v>3146</v>
      </c>
      <c r="N115" t="s">
        <v>432</v>
      </c>
      <c r="O115" t="s">
        <v>89</v>
      </c>
    </row>
    <row r="116" spans="1:15" x14ac:dyDescent="0.35">
      <c r="A116">
        <v>58955</v>
      </c>
      <c r="B116" s="283">
        <v>44743</v>
      </c>
      <c r="C116">
        <v>2002</v>
      </c>
      <c r="D116">
        <v>1980</v>
      </c>
      <c r="E116">
        <v>100</v>
      </c>
      <c r="F116">
        <v>320</v>
      </c>
      <c r="G116">
        <v>1200</v>
      </c>
      <c r="H116" s="1">
        <v>11980.77</v>
      </c>
      <c r="I116">
        <v>0</v>
      </c>
      <c r="J116" s="283">
        <v>45412.177658182867</v>
      </c>
      <c r="K116" t="s">
        <v>3144</v>
      </c>
      <c r="L116" t="s">
        <v>3145</v>
      </c>
      <c r="M116" t="s">
        <v>3146</v>
      </c>
      <c r="N116" t="s">
        <v>432</v>
      </c>
      <c r="O116" t="s">
        <v>216</v>
      </c>
    </row>
    <row r="117" spans="1:15" x14ac:dyDescent="0.35">
      <c r="A117">
        <v>58956</v>
      </c>
      <c r="B117" s="283">
        <v>44743</v>
      </c>
      <c r="C117">
        <v>2002</v>
      </c>
      <c r="D117">
        <v>1980</v>
      </c>
      <c r="E117">
        <v>100</v>
      </c>
      <c r="F117">
        <v>320</v>
      </c>
      <c r="G117">
        <v>2100</v>
      </c>
      <c r="H117" s="1">
        <v>25371.86</v>
      </c>
      <c r="I117">
        <v>0</v>
      </c>
      <c r="J117" s="283">
        <v>45412.177658182867</v>
      </c>
      <c r="K117" t="s">
        <v>3147</v>
      </c>
      <c r="L117" t="s">
        <v>3145</v>
      </c>
      <c r="M117" t="s">
        <v>3146</v>
      </c>
      <c r="N117" t="s">
        <v>432</v>
      </c>
      <c r="O117" t="s">
        <v>216</v>
      </c>
    </row>
    <row r="118" spans="1:15" x14ac:dyDescent="0.35">
      <c r="A118">
        <v>58957</v>
      </c>
      <c r="B118" s="283">
        <v>44743</v>
      </c>
      <c r="C118">
        <v>2002</v>
      </c>
      <c r="D118">
        <v>1980</v>
      </c>
      <c r="E118">
        <v>100</v>
      </c>
      <c r="F118">
        <v>320</v>
      </c>
      <c r="G118">
        <v>2160</v>
      </c>
      <c r="H118" s="1">
        <v>14305.27</v>
      </c>
      <c r="I118">
        <v>0</v>
      </c>
      <c r="J118" s="283">
        <v>45412.177658182867</v>
      </c>
      <c r="K118" t="s">
        <v>3149</v>
      </c>
      <c r="L118" t="s">
        <v>3145</v>
      </c>
      <c r="M118" t="s">
        <v>3146</v>
      </c>
      <c r="N118" t="s">
        <v>432</v>
      </c>
      <c r="O118" t="s">
        <v>216</v>
      </c>
    </row>
    <row r="119" spans="1:15" x14ac:dyDescent="0.35">
      <c r="A119">
        <v>58958</v>
      </c>
      <c r="B119" s="283">
        <v>44743</v>
      </c>
      <c r="C119">
        <v>2002</v>
      </c>
      <c r="D119">
        <v>1980</v>
      </c>
      <c r="E119">
        <v>100</v>
      </c>
      <c r="F119">
        <v>320</v>
      </c>
      <c r="G119">
        <v>2190</v>
      </c>
      <c r="H119" s="1">
        <v>2279.91</v>
      </c>
      <c r="I119">
        <v>0</v>
      </c>
      <c r="J119" s="283">
        <v>45412.177658182867</v>
      </c>
      <c r="K119" t="s">
        <v>3150</v>
      </c>
      <c r="L119" t="s">
        <v>3145</v>
      </c>
      <c r="M119" t="s">
        <v>3146</v>
      </c>
      <c r="N119" t="s">
        <v>432</v>
      </c>
      <c r="O119" t="s">
        <v>216</v>
      </c>
    </row>
    <row r="120" spans="1:15" x14ac:dyDescent="0.35">
      <c r="A120">
        <v>58970</v>
      </c>
      <c r="B120" s="283">
        <v>44743</v>
      </c>
      <c r="C120">
        <v>2003</v>
      </c>
      <c r="D120">
        <v>1980</v>
      </c>
      <c r="E120">
        <v>100</v>
      </c>
      <c r="F120">
        <v>320</v>
      </c>
      <c r="G120">
        <v>1200</v>
      </c>
      <c r="H120" s="1">
        <v>10010.25</v>
      </c>
      <c r="I120">
        <v>0</v>
      </c>
      <c r="J120" s="283">
        <v>45412.177658182867</v>
      </c>
      <c r="K120" t="s">
        <v>3144</v>
      </c>
      <c r="L120" t="s">
        <v>3145</v>
      </c>
      <c r="M120" t="s">
        <v>3146</v>
      </c>
      <c r="N120" t="s">
        <v>432</v>
      </c>
      <c r="O120" t="s">
        <v>201</v>
      </c>
    </row>
    <row r="121" spans="1:15" x14ac:dyDescent="0.35">
      <c r="A121">
        <v>58971</v>
      </c>
      <c r="B121" s="283">
        <v>44743</v>
      </c>
      <c r="C121">
        <v>2003</v>
      </c>
      <c r="D121">
        <v>1980</v>
      </c>
      <c r="E121">
        <v>100</v>
      </c>
      <c r="F121">
        <v>320</v>
      </c>
      <c r="G121">
        <v>2100</v>
      </c>
      <c r="H121" s="1">
        <v>143141.43</v>
      </c>
      <c r="I121">
        <v>0</v>
      </c>
      <c r="J121" s="283">
        <v>45412.177658182867</v>
      </c>
      <c r="K121" t="s">
        <v>3147</v>
      </c>
      <c r="L121" t="s">
        <v>3145</v>
      </c>
      <c r="M121" t="s">
        <v>3146</v>
      </c>
      <c r="N121" t="s">
        <v>432</v>
      </c>
      <c r="O121" t="s">
        <v>201</v>
      </c>
    </row>
    <row r="122" spans="1:15" x14ac:dyDescent="0.35">
      <c r="A122">
        <v>58972</v>
      </c>
      <c r="B122" s="283">
        <v>44743</v>
      </c>
      <c r="C122">
        <v>2003</v>
      </c>
      <c r="D122">
        <v>1980</v>
      </c>
      <c r="E122">
        <v>100</v>
      </c>
      <c r="F122">
        <v>320</v>
      </c>
      <c r="G122">
        <v>2160</v>
      </c>
      <c r="H122" s="1">
        <v>11921.06</v>
      </c>
      <c r="I122">
        <v>0</v>
      </c>
      <c r="J122" s="283">
        <v>45412.177658182867</v>
      </c>
      <c r="K122" t="s">
        <v>3149</v>
      </c>
      <c r="L122" t="s">
        <v>3145</v>
      </c>
      <c r="M122" t="s">
        <v>3146</v>
      </c>
      <c r="N122" t="s">
        <v>432</v>
      </c>
      <c r="O122" t="s">
        <v>201</v>
      </c>
    </row>
    <row r="123" spans="1:15" x14ac:dyDescent="0.35">
      <c r="A123">
        <v>58973</v>
      </c>
      <c r="B123" s="283">
        <v>44743</v>
      </c>
      <c r="C123">
        <v>2003</v>
      </c>
      <c r="D123">
        <v>1980</v>
      </c>
      <c r="E123">
        <v>100</v>
      </c>
      <c r="F123">
        <v>320</v>
      </c>
      <c r="G123">
        <v>2190</v>
      </c>
      <c r="H123" s="1">
        <v>1899.93</v>
      </c>
      <c r="I123">
        <v>0</v>
      </c>
      <c r="J123" s="283">
        <v>45412.177658182867</v>
      </c>
      <c r="K123" t="s">
        <v>3150</v>
      </c>
      <c r="L123" t="s">
        <v>3145</v>
      </c>
      <c r="M123" t="s">
        <v>3146</v>
      </c>
      <c r="N123" t="s">
        <v>432</v>
      </c>
      <c r="O123" t="s">
        <v>201</v>
      </c>
    </row>
    <row r="124" spans="1:15" x14ac:dyDescent="0.35">
      <c r="A124">
        <v>58978</v>
      </c>
      <c r="B124" s="283">
        <v>44743</v>
      </c>
      <c r="C124">
        <v>2005</v>
      </c>
      <c r="D124">
        <v>2004</v>
      </c>
      <c r="E124">
        <v>100</v>
      </c>
      <c r="F124">
        <v>320</v>
      </c>
      <c r="G124">
        <v>1200</v>
      </c>
      <c r="H124" s="1">
        <v>163638</v>
      </c>
      <c r="I124">
        <v>0</v>
      </c>
      <c r="J124" s="283">
        <v>45412.177658182867</v>
      </c>
      <c r="K124" t="s">
        <v>3144</v>
      </c>
      <c r="L124" t="s">
        <v>3145</v>
      </c>
      <c r="M124" t="s">
        <v>3146</v>
      </c>
      <c r="N124" t="s">
        <v>310</v>
      </c>
      <c r="O124" t="s">
        <v>24</v>
      </c>
    </row>
    <row r="125" spans="1:15" x14ac:dyDescent="0.35">
      <c r="A125">
        <v>58983</v>
      </c>
      <c r="B125" s="283">
        <v>44743</v>
      </c>
      <c r="C125">
        <v>2006</v>
      </c>
      <c r="D125">
        <v>2004</v>
      </c>
      <c r="E125">
        <v>100</v>
      </c>
      <c r="F125">
        <v>320</v>
      </c>
      <c r="G125">
        <v>1200</v>
      </c>
      <c r="H125" s="1">
        <v>145978</v>
      </c>
      <c r="I125">
        <v>0</v>
      </c>
      <c r="J125" s="283">
        <v>45412.177658182867</v>
      </c>
      <c r="K125" t="s">
        <v>3144</v>
      </c>
      <c r="L125" t="s">
        <v>3145</v>
      </c>
      <c r="M125" t="s">
        <v>3146</v>
      </c>
      <c r="N125" t="s">
        <v>310</v>
      </c>
      <c r="O125" t="s">
        <v>53</v>
      </c>
    </row>
    <row r="126" spans="1:15" x14ac:dyDescent="0.35">
      <c r="A126">
        <v>58988</v>
      </c>
      <c r="B126" s="283">
        <v>44743</v>
      </c>
      <c r="C126">
        <v>2195</v>
      </c>
      <c r="D126">
        <v>2004</v>
      </c>
      <c r="E126">
        <v>100</v>
      </c>
      <c r="F126">
        <v>320</v>
      </c>
      <c r="G126">
        <v>1200</v>
      </c>
      <c r="H126" s="1">
        <v>291134</v>
      </c>
      <c r="I126">
        <v>0</v>
      </c>
      <c r="J126" s="283">
        <v>45412.177658182867</v>
      </c>
      <c r="K126" t="s">
        <v>3144</v>
      </c>
      <c r="L126" t="s">
        <v>3145</v>
      </c>
      <c r="M126" t="s">
        <v>3146</v>
      </c>
      <c r="N126" t="s">
        <v>310</v>
      </c>
      <c r="O126" t="s">
        <v>186</v>
      </c>
    </row>
    <row r="127" spans="1:15" x14ac:dyDescent="0.35">
      <c r="A127">
        <v>58993</v>
      </c>
      <c r="B127" s="283">
        <v>44743</v>
      </c>
      <c r="C127">
        <v>2247</v>
      </c>
      <c r="D127">
        <v>2004</v>
      </c>
      <c r="E127">
        <v>100</v>
      </c>
      <c r="F127">
        <v>320</v>
      </c>
      <c r="G127">
        <v>1200</v>
      </c>
      <c r="H127" s="1">
        <v>64455</v>
      </c>
      <c r="I127">
        <v>0</v>
      </c>
      <c r="J127" s="283">
        <v>45412.177658182867</v>
      </c>
      <c r="K127" t="s">
        <v>3144</v>
      </c>
      <c r="L127" t="s">
        <v>3145</v>
      </c>
      <c r="M127" t="s">
        <v>3146</v>
      </c>
      <c r="N127" t="s">
        <v>310</v>
      </c>
      <c r="O127" t="s">
        <v>195</v>
      </c>
    </row>
    <row r="128" spans="1:15" x14ac:dyDescent="0.35">
      <c r="A128">
        <v>58998</v>
      </c>
      <c r="B128" s="283">
        <v>44743</v>
      </c>
      <c r="C128">
        <v>2248</v>
      </c>
      <c r="D128">
        <v>2004</v>
      </c>
      <c r="E128">
        <v>100</v>
      </c>
      <c r="F128">
        <v>320</v>
      </c>
      <c r="G128">
        <v>1200</v>
      </c>
      <c r="H128" s="1">
        <v>100164</v>
      </c>
      <c r="I128">
        <v>0</v>
      </c>
      <c r="J128" s="283">
        <v>45412.177658182867</v>
      </c>
      <c r="K128" t="s">
        <v>3144</v>
      </c>
      <c r="L128" t="s">
        <v>3145</v>
      </c>
      <c r="M128" t="s">
        <v>3146</v>
      </c>
      <c r="N128" t="s">
        <v>310</v>
      </c>
      <c r="O128" t="s">
        <v>84</v>
      </c>
    </row>
    <row r="129" spans="1:15" x14ac:dyDescent="0.35">
      <c r="A129">
        <v>59003</v>
      </c>
      <c r="B129" s="283">
        <v>44743</v>
      </c>
      <c r="C129">
        <v>2249</v>
      </c>
      <c r="D129">
        <v>2004</v>
      </c>
      <c r="E129">
        <v>100</v>
      </c>
      <c r="F129">
        <v>320</v>
      </c>
      <c r="G129">
        <v>1200</v>
      </c>
      <c r="H129" s="1">
        <v>66880</v>
      </c>
      <c r="I129">
        <v>0</v>
      </c>
      <c r="J129" s="283">
        <v>45412.177658182867</v>
      </c>
      <c r="K129" t="s">
        <v>3144</v>
      </c>
      <c r="L129" t="s">
        <v>3145</v>
      </c>
      <c r="M129" t="s">
        <v>3146</v>
      </c>
      <c r="N129" t="s">
        <v>310</v>
      </c>
      <c r="O129" t="s">
        <v>131</v>
      </c>
    </row>
    <row r="130" spans="1:15" x14ac:dyDescent="0.35">
      <c r="A130">
        <v>59010</v>
      </c>
      <c r="B130" s="283">
        <v>44743</v>
      </c>
      <c r="C130">
        <v>2008</v>
      </c>
      <c r="D130">
        <v>2007</v>
      </c>
      <c r="E130">
        <v>100</v>
      </c>
      <c r="F130">
        <v>320</v>
      </c>
      <c r="G130">
        <v>1200</v>
      </c>
      <c r="H130" s="1">
        <v>46590.080000000002</v>
      </c>
      <c r="I130">
        <v>0</v>
      </c>
      <c r="J130" s="283">
        <v>45412.177658182867</v>
      </c>
      <c r="K130" t="s">
        <v>3144</v>
      </c>
      <c r="L130" t="s">
        <v>3145</v>
      </c>
      <c r="M130" t="s">
        <v>3146</v>
      </c>
      <c r="N130" t="s">
        <v>579</v>
      </c>
      <c r="O130" t="s">
        <v>109</v>
      </c>
    </row>
    <row r="131" spans="1:15" x14ac:dyDescent="0.35">
      <c r="A131">
        <v>59011</v>
      </c>
      <c r="B131" s="283">
        <v>44743</v>
      </c>
      <c r="C131">
        <v>2008</v>
      </c>
      <c r="D131">
        <v>2007</v>
      </c>
      <c r="E131">
        <v>100</v>
      </c>
      <c r="F131">
        <v>320</v>
      </c>
      <c r="G131">
        <v>2100</v>
      </c>
      <c r="H131" s="1">
        <v>45472.3</v>
      </c>
      <c r="I131">
        <v>0</v>
      </c>
      <c r="J131" s="283">
        <v>45412.177658182867</v>
      </c>
      <c r="K131" t="s">
        <v>3147</v>
      </c>
      <c r="L131" t="s">
        <v>3145</v>
      </c>
      <c r="M131" t="s">
        <v>3146</v>
      </c>
      <c r="N131" t="s">
        <v>579</v>
      </c>
      <c r="O131" t="s">
        <v>109</v>
      </c>
    </row>
    <row r="132" spans="1:15" x14ac:dyDescent="0.35">
      <c r="A132">
        <v>59012</v>
      </c>
      <c r="B132" s="283">
        <v>44743</v>
      </c>
      <c r="C132">
        <v>2008</v>
      </c>
      <c r="D132">
        <v>2007</v>
      </c>
      <c r="E132">
        <v>100</v>
      </c>
      <c r="F132">
        <v>320</v>
      </c>
      <c r="G132">
        <v>2190</v>
      </c>
      <c r="H132" s="1">
        <v>41777.35</v>
      </c>
      <c r="I132">
        <v>0</v>
      </c>
      <c r="J132" s="283">
        <v>45412.177658182867</v>
      </c>
      <c r="K132" t="s">
        <v>3150</v>
      </c>
      <c r="L132" t="s">
        <v>3145</v>
      </c>
      <c r="M132" t="s">
        <v>3146</v>
      </c>
      <c r="N132" t="s">
        <v>579</v>
      </c>
      <c r="O132" t="s">
        <v>109</v>
      </c>
    </row>
    <row r="133" spans="1:15" x14ac:dyDescent="0.35">
      <c r="A133">
        <v>59025</v>
      </c>
      <c r="B133" s="283">
        <v>44743</v>
      </c>
      <c r="C133">
        <v>2009</v>
      </c>
      <c r="D133">
        <v>2007</v>
      </c>
      <c r="E133">
        <v>100</v>
      </c>
      <c r="F133">
        <v>320</v>
      </c>
      <c r="G133">
        <v>1200</v>
      </c>
      <c r="H133" s="1">
        <v>41072.080000000002</v>
      </c>
      <c r="I133">
        <v>0</v>
      </c>
      <c r="J133" s="283">
        <v>45412.177658182867</v>
      </c>
      <c r="K133" t="s">
        <v>3144</v>
      </c>
      <c r="L133" t="s">
        <v>3145</v>
      </c>
      <c r="M133" t="s">
        <v>3146</v>
      </c>
      <c r="N133" t="s">
        <v>579</v>
      </c>
      <c r="O133" t="s">
        <v>171</v>
      </c>
    </row>
    <row r="134" spans="1:15" x14ac:dyDescent="0.35">
      <c r="A134">
        <v>59026</v>
      </c>
      <c r="B134" s="283">
        <v>44743</v>
      </c>
      <c r="C134">
        <v>2009</v>
      </c>
      <c r="D134">
        <v>2007</v>
      </c>
      <c r="E134">
        <v>100</v>
      </c>
      <c r="F134">
        <v>320</v>
      </c>
      <c r="G134">
        <v>2100</v>
      </c>
      <c r="H134" s="1">
        <v>39183.449999999997</v>
      </c>
      <c r="I134">
        <v>0</v>
      </c>
      <c r="J134" s="283">
        <v>45412.177658182867</v>
      </c>
      <c r="K134" t="s">
        <v>3147</v>
      </c>
      <c r="L134" t="s">
        <v>3145</v>
      </c>
      <c r="M134" t="s">
        <v>3146</v>
      </c>
      <c r="N134" t="s">
        <v>579</v>
      </c>
      <c r="O134" t="s">
        <v>171</v>
      </c>
    </row>
    <row r="135" spans="1:15" x14ac:dyDescent="0.35">
      <c r="A135">
        <v>59027</v>
      </c>
      <c r="B135" s="283">
        <v>44743</v>
      </c>
      <c r="C135">
        <v>2009</v>
      </c>
      <c r="D135">
        <v>2007</v>
      </c>
      <c r="E135">
        <v>100</v>
      </c>
      <c r="F135">
        <v>320</v>
      </c>
      <c r="G135">
        <v>2190</v>
      </c>
      <c r="H135" s="1">
        <v>70587.600000000006</v>
      </c>
      <c r="I135">
        <v>0</v>
      </c>
      <c r="J135" s="283">
        <v>45412.177658182867</v>
      </c>
      <c r="K135" t="s">
        <v>3150</v>
      </c>
      <c r="L135" t="s">
        <v>3145</v>
      </c>
      <c r="M135" t="s">
        <v>3146</v>
      </c>
      <c r="N135" t="s">
        <v>579</v>
      </c>
      <c r="O135" t="s">
        <v>171</v>
      </c>
    </row>
    <row r="136" spans="1:15" x14ac:dyDescent="0.35">
      <c r="A136">
        <v>59040</v>
      </c>
      <c r="B136" s="283">
        <v>44743</v>
      </c>
      <c r="C136">
        <v>2010</v>
      </c>
      <c r="D136">
        <v>2007</v>
      </c>
      <c r="E136">
        <v>100</v>
      </c>
      <c r="F136">
        <v>320</v>
      </c>
      <c r="G136">
        <v>1200</v>
      </c>
      <c r="H136" s="1">
        <v>29084.18</v>
      </c>
      <c r="I136">
        <v>0</v>
      </c>
      <c r="J136" s="283">
        <v>45412.177658182867</v>
      </c>
      <c r="K136" t="s">
        <v>3144</v>
      </c>
      <c r="L136" t="s">
        <v>3145</v>
      </c>
      <c r="M136" t="s">
        <v>3146</v>
      </c>
      <c r="N136" t="s">
        <v>579</v>
      </c>
      <c r="O136" t="s">
        <v>134</v>
      </c>
    </row>
    <row r="137" spans="1:15" x14ac:dyDescent="0.35">
      <c r="A137">
        <v>59041</v>
      </c>
      <c r="B137" s="283">
        <v>44743</v>
      </c>
      <c r="C137">
        <v>2010</v>
      </c>
      <c r="D137">
        <v>2007</v>
      </c>
      <c r="E137">
        <v>100</v>
      </c>
      <c r="F137">
        <v>320</v>
      </c>
      <c r="G137">
        <v>2100</v>
      </c>
      <c r="H137" s="1">
        <v>28836.880000000001</v>
      </c>
      <c r="I137">
        <v>0</v>
      </c>
      <c r="J137" s="283">
        <v>45412.177658182867</v>
      </c>
      <c r="K137" t="s">
        <v>3147</v>
      </c>
      <c r="L137" t="s">
        <v>3145</v>
      </c>
      <c r="M137" t="s">
        <v>3146</v>
      </c>
      <c r="N137" t="s">
        <v>579</v>
      </c>
      <c r="O137" t="s">
        <v>134</v>
      </c>
    </row>
    <row r="138" spans="1:15" x14ac:dyDescent="0.35">
      <c r="A138">
        <v>59042</v>
      </c>
      <c r="B138" s="283">
        <v>44743</v>
      </c>
      <c r="C138">
        <v>2010</v>
      </c>
      <c r="D138">
        <v>2007</v>
      </c>
      <c r="E138">
        <v>100</v>
      </c>
      <c r="F138">
        <v>320</v>
      </c>
      <c r="G138">
        <v>2190</v>
      </c>
      <c r="H138" s="1">
        <v>9242.83</v>
      </c>
      <c r="I138">
        <v>0</v>
      </c>
      <c r="J138" s="283">
        <v>45412.177658182867</v>
      </c>
      <c r="K138" t="s">
        <v>3150</v>
      </c>
      <c r="L138" t="s">
        <v>3145</v>
      </c>
      <c r="M138" t="s">
        <v>3146</v>
      </c>
      <c r="N138" t="s">
        <v>579</v>
      </c>
      <c r="O138" t="s">
        <v>134</v>
      </c>
    </row>
    <row r="139" spans="1:15" x14ac:dyDescent="0.35">
      <c r="A139">
        <v>59055</v>
      </c>
      <c r="B139" s="283">
        <v>44743</v>
      </c>
      <c r="C139">
        <v>2011</v>
      </c>
      <c r="D139">
        <v>2007</v>
      </c>
      <c r="E139">
        <v>100</v>
      </c>
      <c r="F139">
        <v>320</v>
      </c>
      <c r="G139">
        <v>1200</v>
      </c>
      <c r="H139" s="1">
        <v>51338.97</v>
      </c>
      <c r="I139">
        <v>0</v>
      </c>
      <c r="J139" s="283">
        <v>45412.177658182867</v>
      </c>
      <c r="K139" t="s">
        <v>3144</v>
      </c>
      <c r="L139" t="s">
        <v>3145</v>
      </c>
      <c r="M139" t="s">
        <v>3146</v>
      </c>
      <c r="N139" t="s">
        <v>579</v>
      </c>
      <c r="O139" t="s">
        <v>67</v>
      </c>
    </row>
    <row r="140" spans="1:15" x14ac:dyDescent="0.35">
      <c r="A140">
        <v>59056</v>
      </c>
      <c r="B140" s="283">
        <v>44743</v>
      </c>
      <c r="C140">
        <v>2011</v>
      </c>
      <c r="D140">
        <v>2007</v>
      </c>
      <c r="E140">
        <v>100</v>
      </c>
      <c r="F140">
        <v>320</v>
      </c>
      <c r="G140">
        <v>2100</v>
      </c>
      <c r="H140" s="1">
        <v>51093.84</v>
      </c>
      <c r="I140">
        <v>0</v>
      </c>
      <c r="J140" s="283">
        <v>45412.177658182867</v>
      </c>
      <c r="K140" t="s">
        <v>3147</v>
      </c>
      <c r="L140" t="s">
        <v>3145</v>
      </c>
      <c r="M140" t="s">
        <v>3146</v>
      </c>
      <c r="N140" t="s">
        <v>579</v>
      </c>
      <c r="O140" t="s">
        <v>67</v>
      </c>
    </row>
    <row r="141" spans="1:15" x14ac:dyDescent="0.35">
      <c r="A141">
        <v>59057</v>
      </c>
      <c r="B141" s="283">
        <v>44743</v>
      </c>
      <c r="C141">
        <v>2011</v>
      </c>
      <c r="D141">
        <v>2007</v>
      </c>
      <c r="E141">
        <v>100</v>
      </c>
      <c r="F141">
        <v>320</v>
      </c>
      <c r="G141">
        <v>2190</v>
      </c>
      <c r="H141" s="1">
        <v>9161.7900000000009</v>
      </c>
      <c r="I141">
        <v>0</v>
      </c>
      <c r="J141" s="283">
        <v>45412.177658182867</v>
      </c>
      <c r="K141" t="s">
        <v>3150</v>
      </c>
      <c r="L141" t="s">
        <v>3145</v>
      </c>
      <c r="M141" t="s">
        <v>3146</v>
      </c>
      <c r="N141" t="s">
        <v>579</v>
      </c>
      <c r="O141" t="s">
        <v>67</v>
      </c>
    </row>
    <row r="142" spans="1:15" x14ac:dyDescent="0.35">
      <c r="A142">
        <v>59070</v>
      </c>
      <c r="B142" s="283">
        <v>44743</v>
      </c>
      <c r="C142">
        <v>2012</v>
      </c>
      <c r="D142">
        <v>2007</v>
      </c>
      <c r="E142">
        <v>100</v>
      </c>
      <c r="F142">
        <v>320</v>
      </c>
      <c r="G142">
        <v>1200</v>
      </c>
      <c r="H142" s="1">
        <v>35183.919999999998</v>
      </c>
      <c r="I142">
        <v>0</v>
      </c>
      <c r="J142" s="283">
        <v>45412.177658182867</v>
      </c>
      <c r="K142" t="s">
        <v>3144</v>
      </c>
      <c r="L142" t="s">
        <v>3145</v>
      </c>
      <c r="M142" t="s">
        <v>3146</v>
      </c>
      <c r="N142" t="s">
        <v>579</v>
      </c>
      <c r="O142" t="s">
        <v>122</v>
      </c>
    </row>
    <row r="143" spans="1:15" x14ac:dyDescent="0.35">
      <c r="A143">
        <v>59071</v>
      </c>
      <c r="B143" s="283">
        <v>44743</v>
      </c>
      <c r="C143">
        <v>2012</v>
      </c>
      <c r="D143">
        <v>2007</v>
      </c>
      <c r="E143">
        <v>100</v>
      </c>
      <c r="F143">
        <v>320</v>
      </c>
      <c r="G143">
        <v>2100</v>
      </c>
      <c r="H143" s="1">
        <v>35016</v>
      </c>
      <c r="I143">
        <v>0</v>
      </c>
      <c r="J143" s="283">
        <v>45412.177658182867</v>
      </c>
      <c r="K143" t="s">
        <v>3147</v>
      </c>
      <c r="L143" t="s">
        <v>3145</v>
      </c>
      <c r="M143" t="s">
        <v>3146</v>
      </c>
      <c r="N143" t="s">
        <v>579</v>
      </c>
      <c r="O143" t="s">
        <v>122</v>
      </c>
    </row>
    <row r="144" spans="1:15" x14ac:dyDescent="0.35">
      <c r="A144">
        <v>59072</v>
      </c>
      <c r="B144" s="283">
        <v>44743</v>
      </c>
      <c r="C144">
        <v>2012</v>
      </c>
      <c r="D144">
        <v>2007</v>
      </c>
      <c r="E144">
        <v>100</v>
      </c>
      <c r="F144">
        <v>320</v>
      </c>
      <c r="G144">
        <v>2190</v>
      </c>
      <c r="H144" s="1">
        <v>6276.15</v>
      </c>
      <c r="I144">
        <v>0</v>
      </c>
      <c r="J144" s="283">
        <v>45412.177658182867</v>
      </c>
      <c r="K144" t="s">
        <v>3150</v>
      </c>
      <c r="L144" t="s">
        <v>3145</v>
      </c>
      <c r="M144" t="s">
        <v>3146</v>
      </c>
      <c r="N144" t="s">
        <v>579</v>
      </c>
      <c r="O144" t="s">
        <v>122</v>
      </c>
    </row>
    <row r="145" spans="1:15" x14ac:dyDescent="0.35">
      <c r="A145">
        <v>59086</v>
      </c>
      <c r="B145" s="283">
        <v>44743</v>
      </c>
      <c r="C145">
        <v>2015</v>
      </c>
      <c r="D145">
        <v>2013</v>
      </c>
      <c r="E145">
        <v>100</v>
      </c>
      <c r="F145">
        <v>320</v>
      </c>
      <c r="G145">
        <v>2100</v>
      </c>
      <c r="H145" s="1">
        <v>30365.61</v>
      </c>
      <c r="I145">
        <v>0</v>
      </c>
      <c r="J145" s="283">
        <v>45412.177658182867</v>
      </c>
      <c r="K145" t="s">
        <v>3147</v>
      </c>
      <c r="L145" t="s">
        <v>3145</v>
      </c>
      <c r="M145" t="s">
        <v>3146</v>
      </c>
      <c r="N145" t="s">
        <v>585</v>
      </c>
      <c r="O145" t="s">
        <v>95</v>
      </c>
    </row>
    <row r="146" spans="1:15" x14ac:dyDescent="0.35">
      <c r="A146">
        <v>59087</v>
      </c>
      <c r="B146" s="283">
        <v>44743</v>
      </c>
      <c r="C146">
        <v>2015</v>
      </c>
      <c r="D146">
        <v>2013</v>
      </c>
      <c r="E146">
        <v>100</v>
      </c>
      <c r="F146">
        <v>320</v>
      </c>
      <c r="G146">
        <v>2190</v>
      </c>
      <c r="H146" s="1">
        <v>178616</v>
      </c>
      <c r="I146">
        <v>0</v>
      </c>
      <c r="J146" s="283">
        <v>45412.177658182867</v>
      </c>
      <c r="K146" t="s">
        <v>3150</v>
      </c>
      <c r="L146" t="s">
        <v>3145</v>
      </c>
      <c r="M146" t="s">
        <v>3146</v>
      </c>
      <c r="N146" t="s">
        <v>585</v>
      </c>
      <c r="O146" t="s">
        <v>95</v>
      </c>
    </row>
    <row r="147" spans="1:15" x14ac:dyDescent="0.35">
      <c r="A147">
        <v>59097</v>
      </c>
      <c r="B147" s="283">
        <v>44743</v>
      </c>
      <c r="C147">
        <v>2016</v>
      </c>
      <c r="D147">
        <v>2013</v>
      </c>
      <c r="E147">
        <v>100</v>
      </c>
      <c r="F147">
        <v>320</v>
      </c>
      <c r="G147">
        <v>2100</v>
      </c>
      <c r="H147" s="1">
        <v>820.25</v>
      </c>
      <c r="I147">
        <v>0</v>
      </c>
      <c r="J147" s="283">
        <v>45412.177658182867</v>
      </c>
      <c r="K147" t="s">
        <v>3147</v>
      </c>
      <c r="L147" t="s">
        <v>3145</v>
      </c>
      <c r="M147" t="s">
        <v>3146</v>
      </c>
      <c r="N147" t="s">
        <v>585</v>
      </c>
      <c r="O147" t="s">
        <v>163</v>
      </c>
    </row>
    <row r="148" spans="1:15" x14ac:dyDescent="0.35">
      <c r="A148">
        <v>59098</v>
      </c>
      <c r="B148" s="283">
        <v>44743</v>
      </c>
      <c r="C148">
        <v>2016</v>
      </c>
      <c r="D148">
        <v>2013</v>
      </c>
      <c r="E148">
        <v>100</v>
      </c>
      <c r="F148">
        <v>320</v>
      </c>
      <c r="G148">
        <v>2190</v>
      </c>
      <c r="H148" s="1">
        <v>9966.61</v>
      </c>
      <c r="I148">
        <v>0</v>
      </c>
      <c r="J148" s="283">
        <v>45412.177658182867</v>
      </c>
      <c r="K148" t="s">
        <v>3150</v>
      </c>
      <c r="L148" t="s">
        <v>3145</v>
      </c>
      <c r="M148" t="s">
        <v>3146</v>
      </c>
      <c r="N148" t="s">
        <v>585</v>
      </c>
      <c r="O148" t="s">
        <v>163</v>
      </c>
    </row>
    <row r="149" spans="1:15" x14ac:dyDescent="0.35">
      <c r="A149">
        <v>59108</v>
      </c>
      <c r="B149" s="283">
        <v>44743</v>
      </c>
      <c r="C149">
        <v>2017</v>
      </c>
      <c r="D149">
        <v>2013</v>
      </c>
      <c r="E149">
        <v>100</v>
      </c>
      <c r="F149">
        <v>320</v>
      </c>
      <c r="G149">
        <v>2100</v>
      </c>
      <c r="H149" s="1">
        <v>977.65</v>
      </c>
      <c r="I149">
        <v>0</v>
      </c>
      <c r="J149" s="283">
        <v>45412.177658182867</v>
      </c>
      <c r="K149" t="s">
        <v>3147</v>
      </c>
      <c r="L149" t="s">
        <v>3145</v>
      </c>
      <c r="M149" t="s">
        <v>3146</v>
      </c>
      <c r="N149" t="s">
        <v>585</v>
      </c>
      <c r="O149" t="s">
        <v>68</v>
      </c>
    </row>
    <row r="150" spans="1:15" x14ac:dyDescent="0.35">
      <c r="A150">
        <v>59109</v>
      </c>
      <c r="B150" s="283">
        <v>44743</v>
      </c>
      <c r="C150">
        <v>2017</v>
      </c>
      <c r="D150">
        <v>2013</v>
      </c>
      <c r="E150">
        <v>100</v>
      </c>
      <c r="F150">
        <v>320</v>
      </c>
      <c r="G150">
        <v>2190</v>
      </c>
      <c r="H150" s="1">
        <v>11879.22</v>
      </c>
      <c r="I150">
        <v>0</v>
      </c>
      <c r="J150" s="283">
        <v>45412.177658182867</v>
      </c>
      <c r="K150" t="s">
        <v>3150</v>
      </c>
      <c r="L150" t="s">
        <v>3145</v>
      </c>
      <c r="M150" t="s">
        <v>3146</v>
      </c>
      <c r="N150" t="s">
        <v>585</v>
      </c>
      <c r="O150" t="s">
        <v>68</v>
      </c>
    </row>
    <row r="151" spans="1:15" x14ac:dyDescent="0.35">
      <c r="A151">
        <v>59119</v>
      </c>
      <c r="B151" s="283">
        <v>44743</v>
      </c>
      <c r="C151">
        <v>2018</v>
      </c>
      <c r="D151">
        <v>2013</v>
      </c>
      <c r="E151">
        <v>100</v>
      </c>
      <c r="F151">
        <v>320</v>
      </c>
      <c r="G151">
        <v>2100</v>
      </c>
      <c r="H151" s="1">
        <v>820.81</v>
      </c>
      <c r="I151">
        <v>0</v>
      </c>
      <c r="J151" s="283">
        <v>45412.177658182867</v>
      </c>
      <c r="K151" t="s">
        <v>3147</v>
      </c>
      <c r="L151" t="s">
        <v>3145</v>
      </c>
      <c r="M151" t="s">
        <v>3146</v>
      </c>
      <c r="N151" t="s">
        <v>585</v>
      </c>
      <c r="O151" t="s">
        <v>200</v>
      </c>
    </row>
    <row r="152" spans="1:15" x14ac:dyDescent="0.35">
      <c r="A152">
        <v>59120</v>
      </c>
      <c r="B152" s="283">
        <v>44743</v>
      </c>
      <c r="C152">
        <v>2018</v>
      </c>
      <c r="D152">
        <v>2013</v>
      </c>
      <c r="E152">
        <v>100</v>
      </c>
      <c r="F152">
        <v>320</v>
      </c>
      <c r="G152">
        <v>2190</v>
      </c>
      <c r="H152" s="1">
        <v>9973.39</v>
      </c>
      <c r="I152">
        <v>0</v>
      </c>
      <c r="J152" s="283">
        <v>45412.177658182867</v>
      </c>
      <c r="K152" t="s">
        <v>3150</v>
      </c>
      <c r="L152" t="s">
        <v>3145</v>
      </c>
      <c r="M152" t="s">
        <v>3146</v>
      </c>
      <c r="N152" t="s">
        <v>585</v>
      </c>
      <c r="O152" t="s">
        <v>200</v>
      </c>
    </row>
    <row r="153" spans="1:15" x14ac:dyDescent="0.35">
      <c r="A153">
        <v>59130</v>
      </c>
      <c r="B153" s="283">
        <v>44743</v>
      </c>
      <c r="C153">
        <v>2019</v>
      </c>
      <c r="D153">
        <v>2013</v>
      </c>
      <c r="E153">
        <v>100</v>
      </c>
      <c r="F153">
        <v>320</v>
      </c>
      <c r="G153">
        <v>2100</v>
      </c>
      <c r="H153" s="1">
        <v>1097.3800000000001</v>
      </c>
      <c r="I153">
        <v>0</v>
      </c>
      <c r="J153" s="283">
        <v>45412.177658182867</v>
      </c>
      <c r="K153" t="s">
        <v>3147</v>
      </c>
      <c r="L153" t="s">
        <v>3145</v>
      </c>
      <c r="M153" t="s">
        <v>3146</v>
      </c>
      <c r="N153" t="s">
        <v>585</v>
      </c>
      <c r="O153" t="s">
        <v>72</v>
      </c>
    </row>
    <row r="154" spans="1:15" x14ac:dyDescent="0.35">
      <c r="A154">
        <v>59131</v>
      </c>
      <c r="B154" s="283">
        <v>44743</v>
      </c>
      <c r="C154">
        <v>2019</v>
      </c>
      <c r="D154">
        <v>2013</v>
      </c>
      <c r="E154">
        <v>100</v>
      </c>
      <c r="F154">
        <v>320</v>
      </c>
      <c r="G154">
        <v>2190</v>
      </c>
      <c r="H154" s="1">
        <v>13333.98</v>
      </c>
      <c r="I154">
        <v>0</v>
      </c>
      <c r="J154" s="283">
        <v>45412.177658182867</v>
      </c>
      <c r="K154" t="s">
        <v>3150</v>
      </c>
      <c r="L154" t="s">
        <v>3145</v>
      </c>
      <c r="M154" t="s">
        <v>3146</v>
      </c>
      <c r="N154" t="s">
        <v>585</v>
      </c>
      <c r="O154" t="s">
        <v>72</v>
      </c>
    </row>
    <row r="155" spans="1:15" x14ac:dyDescent="0.35">
      <c r="A155">
        <v>59141</v>
      </c>
      <c r="B155" s="283">
        <v>44743</v>
      </c>
      <c r="C155">
        <v>2020</v>
      </c>
      <c r="D155">
        <v>2013</v>
      </c>
      <c r="E155">
        <v>100</v>
      </c>
      <c r="F155">
        <v>320</v>
      </c>
      <c r="G155">
        <v>2100</v>
      </c>
      <c r="H155" s="1">
        <v>949.47</v>
      </c>
      <c r="I155">
        <v>0</v>
      </c>
      <c r="J155" s="283">
        <v>45412.177658182867</v>
      </c>
      <c r="K155" t="s">
        <v>3147</v>
      </c>
      <c r="L155" t="s">
        <v>3145</v>
      </c>
      <c r="M155" t="s">
        <v>3146</v>
      </c>
      <c r="N155" t="s">
        <v>585</v>
      </c>
      <c r="O155" t="s">
        <v>85</v>
      </c>
    </row>
    <row r="156" spans="1:15" x14ac:dyDescent="0.35">
      <c r="A156">
        <v>59142</v>
      </c>
      <c r="B156" s="283">
        <v>44743</v>
      </c>
      <c r="C156">
        <v>2020</v>
      </c>
      <c r="D156">
        <v>2013</v>
      </c>
      <c r="E156">
        <v>100</v>
      </c>
      <c r="F156">
        <v>320</v>
      </c>
      <c r="G156">
        <v>2190</v>
      </c>
      <c r="H156" s="1">
        <v>11536.72</v>
      </c>
      <c r="I156">
        <v>0</v>
      </c>
      <c r="J156" s="283">
        <v>45412.177658182867</v>
      </c>
      <c r="K156" t="s">
        <v>3150</v>
      </c>
      <c r="L156" t="s">
        <v>3145</v>
      </c>
      <c r="M156" t="s">
        <v>3146</v>
      </c>
      <c r="N156" t="s">
        <v>585</v>
      </c>
      <c r="O156" t="s">
        <v>85</v>
      </c>
    </row>
    <row r="157" spans="1:15" x14ac:dyDescent="0.35">
      <c r="A157">
        <v>59152</v>
      </c>
      <c r="B157" s="283">
        <v>44743</v>
      </c>
      <c r="C157">
        <v>2021</v>
      </c>
      <c r="D157">
        <v>2013</v>
      </c>
      <c r="E157">
        <v>100</v>
      </c>
      <c r="F157">
        <v>320</v>
      </c>
      <c r="G157">
        <v>2100</v>
      </c>
      <c r="H157" s="1">
        <v>753.27</v>
      </c>
      <c r="I157">
        <v>0</v>
      </c>
      <c r="J157" s="283">
        <v>45412.177658182867</v>
      </c>
      <c r="K157" t="s">
        <v>3147</v>
      </c>
      <c r="L157" t="s">
        <v>3145</v>
      </c>
      <c r="M157" t="s">
        <v>3146</v>
      </c>
      <c r="N157" t="s">
        <v>585</v>
      </c>
      <c r="O157" t="s">
        <v>69</v>
      </c>
    </row>
    <row r="158" spans="1:15" x14ac:dyDescent="0.35">
      <c r="A158">
        <v>59153</v>
      </c>
      <c r="B158" s="283">
        <v>44743</v>
      </c>
      <c r="C158">
        <v>2021</v>
      </c>
      <c r="D158">
        <v>2013</v>
      </c>
      <c r="E158">
        <v>100</v>
      </c>
      <c r="F158">
        <v>320</v>
      </c>
      <c r="G158">
        <v>2190</v>
      </c>
      <c r="H158" s="1">
        <v>9152.73</v>
      </c>
      <c r="I158">
        <v>0</v>
      </c>
      <c r="J158" s="283">
        <v>45412.177658182867</v>
      </c>
      <c r="K158" t="s">
        <v>3150</v>
      </c>
      <c r="L158" t="s">
        <v>3145</v>
      </c>
      <c r="M158" t="s">
        <v>3146</v>
      </c>
      <c r="N158" t="s">
        <v>585</v>
      </c>
      <c r="O158" t="s">
        <v>69</v>
      </c>
    </row>
    <row r="159" spans="1:15" x14ac:dyDescent="0.35">
      <c r="A159">
        <v>59163</v>
      </c>
      <c r="B159" s="283">
        <v>44743</v>
      </c>
      <c r="C159">
        <v>2022</v>
      </c>
      <c r="D159">
        <v>2013</v>
      </c>
      <c r="E159">
        <v>100</v>
      </c>
      <c r="F159">
        <v>320</v>
      </c>
      <c r="G159">
        <v>2100</v>
      </c>
      <c r="H159" s="1">
        <v>989.38</v>
      </c>
      <c r="I159">
        <v>0</v>
      </c>
      <c r="J159" s="283">
        <v>45412.177658182867</v>
      </c>
      <c r="K159" t="s">
        <v>3147</v>
      </c>
      <c r="L159" t="s">
        <v>3145</v>
      </c>
      <c r="M159" t="s">
        <v>3146</v>
      </c>
      <c r="N159" t="s">
        <v>585</v>
      </c>
      <c r="O159" t="s">
        <v>191</v>
      </c>
    </row>
    <row r="160" spans="1:15" x14ac:dyDescent="0.35">
      <c r="A160">
        <v>59164</v>
      </c>
      <c r="B160" s="283">
        <v>44743</v>
      </c>
      <c r="C160">
        <v>2022</v>
      </c>
      <c r="D160">
        <v>2013</v>
      </c>
      <c r="E160">
        <v>100</v>
      </c>
      <c r="F160">
        <v>320</v>
      </c>
      <c r="G160">
        <v>2190</v>
      </c>
      <c r="H160" s="1">
        <v>12021.65</v>
      </c>
      <c r="I160">
        <v>0</v>
      </c>
      <c r="J160" s="283">
        <v>45412.177658182867</v>
      </c>
      <c r="K160" t="s">
        <v>3150</v>
      </c>
      <c r="L160" t="s">
        <v>3145</v>
      </c>
      <c r="M160" t="s">
        <v>3146</v>
      </c>
      <c r="N160" t="s">
        <v>585</v>
      </c>
      <c r="O160" t="s">
        <v>191</v>
      </c>
    </row>
    <row r="161" spans="1:15" x14ac:dyDescent="0.35">
      <c r="A161">
        <v>59172</v>
      </c>
      <c r="B161" s="283">
        <v>44743</v>
      </c>
      <c r="C161">
        <v>2023</v>
      </c>
      <c r="D161">
        <v>2013</v>
      </c>
      <c r="E161">
        <v>100</v>
      </c>
      <c r="F161">
        <v>320</v>
      </c>
      <c r="G161">
        <v>2100</v>
      </c>
      <c r="H161" s="1">
        <v>31598.35</v>
      </c>
      <c r="I161">
        <v>0</v>
      </c>
      <c r="J161" s="283">
        <v>45412.177658182867</v>
      </c>
      <c r="K161" t="s">
        <v>3147</v>
      </c>
      <c r="L161" t="s">
        <v>3145</v>
      </c>
      <c r="M161" t="s">
        <v>3146</v>
      </c>
      <c r="N161" t="s">
        <v>585</v>
      </c>
      <c r="O161" t="s">
        <v>96</v>
      </c>
    </row>
    <row r="162" spans="1:15" x14ac:dyDescent="0.35">
      <c r="A162">
        <v>59173</v>
      </c>
      <c r="B162" s="283">
        <v>44743</v>
      </c>
      <c r="C162">
        <v>2023</v>
      </c>
      <c r="D162">
        <v>2013</v>
      </c>
      <c r="E162">
        <v>100</v>
      </c>
      <c r="F162">
        <v>320</v>
      </c>
      <c r="G162">
        <v>2190</v>
      </c>
      <c r="H162" s="1">
        <v>185867.2</v>
      </c>
      <c r="I162">
        <v>0</v>
      </c>
      <c r="J162" s="283">
        <v>45412.177658182867</v>
      </c>
      <c r="K162" t="s">
        <v>3150</v>
      </c>
      <c r="L162" t="s">
        <v>3145</v>
      </c>
      <c r="M162" t="s">
        <v>3146</v>
      </c>
      <c r="N162" t="s">
        <v>585</v>
      </c>
      <c r="O162" t="s">
        <v>96</v>
      </c>
    </row>
    <row r="163" spans="1:15" x14ac:dyDescent="0.35">
      <c r="A163">
        <v>59229</v>
      </c>
      <c r="B163" s="283">
        <v>44743</v>
      </c>
      <c r="C163">
        <v>2039</v>
      </c>
      <c r="D163">
        <v>2025</v>
      </c>
      <c r="E163">
        <v>100</v>
      </c>
      <c r="F163">
        <v>320</v>
      </c>
      <c r="G163">
        <v>1200</v>
      </c>
      <c r="H163" s="1">
        <v>320020.95</v>
      </c>
      <c r="I163">
        <v>0</v>
      </c>
      <c r="J163" s="283">
        <v>45412.177658182867</v>
      </c>
      <c r="K163" t="s">
        <v>3144</v>
      </c>
      <c r="L163" t="s">
        <v>3145</v>
      </c>
      <c r="M163" t="s">
        <v>3146</v>
      </c>
      <c r="N163" t="s">
        <v>319</v>
      </c>
      <c r="O163" t="s">
        <v>161</v>
      </c>
    </row>
    <row r="164" spans="1:15" x14ac:dyDescent="0.35">
      <c r="A164">
        <v>59230</v>
      </c>
      <c r="B164" s="283">
        <v>44743</v>
      </c>
      <c r="C164">
        <v>2039</v>
      </c>
      <c r="D164">
        <v>2025</v>
      </c>
      <c r="E164">
        <v>100</v>
      </c>
      <c r="F164">
        <v>320</v>
      </c>
      <c r="G164">
        <v>2100</v>
      </c>
      <c r="H164" s="1">
        <v>25672.48</v>
      </c>
      <c r="I164">
        <v>0</v>
      </c>
      <c r="J164" s="283">
        <v>45412.177658182867</v>
      </c>
      <c r="K164" t="s">
        <v>3147</v>
      </c>
      <c r="L164" t="s">
        <v>3145</v>
      </c>
      <c r="M164" t="s">
        <v>3146</v>
      </c>
      <c r="N164" t="s">
        <v>319</v>
      </c>
      <c r="O164" t="s">
        <v>161</v>
      </c>
    </row>
    <row r="165" spans="1:15" x14ac:dyDescent="0.35">
      <c r="A165">
        <v>59231</v>
      </c>
      <c r="B165" s="283">
        <v>44743</v>
      </c>
      <c r="C165">
        <v>2039</v>
      </c>
      <c r="D165">
        <v>2025</v>
      </c>
      <c r="E165">
        <v>100</v>
      </c>
      <c r="F165">
        <v>320</v>
      </c>
      <c r="G165">
        <v>2190</v>
      </c>
      <c r="H165" s="1">
        <v>34597.360000000001</v>
      </c>
      <c r="I165">
        <v>0</v>
      </c>
      <c r="J165" s="283">
        <v>45412.177658182867</v>
      </c>
      <c r="K165" t="s">
        <v>3150</v>
      </c>
      <c r="L165" t="s">
        <v>3145</v>
      </c>
      <c r="M165" t="s">
        <v>3146</v>
      </c>
      <c r="N165" t="s">
        <v>319</v>
      </c>
      <c r="O165" t="s">
        <v>161</v>
      </c>
    </row>
    <row r="166" spans="1:15" x14ac:dyDescent="0.35">
      <c r="A166">
        <v>59247</v>
      </c>
      <c r="B166" s="283">
        <v>44743</v>
      </c>
      <c r="C166">
        <v>2041</v>
      </c>
      <c r="D166">
        <v>2025</v>
      </c>
      <c r="E166">
        <v>100</v>
      </c>
      <c r="F166">
        <v>320</v>
      </c>
      <c r="G166">
        <v>1200</v>
      </c>
      <c r="H166" s="1">
        <v>179096.28</v>
      </c>
      <c r="I166">
        <v>0</v>
      </c>
      <c r="J166" s="283">
        <v>45412.177658182867</v>
      </c>
      <c r="K166" t="s">
        <v>3144</v>
      </c>
      <c r="L166" t="s">
        <v>3145</v>
      </c>
      <c r="M166" t="s">
        <v>3146</v>
      </c>
      <c r="N166" t="s">
        <v>319</v>
      </c>
      <c r="O166" t="s">
        <v>26</v>
      </c>
    </row>
    <row r="167" spans="1:15" x14ac:dyDescent="0.35">
      <c r="A167">
        <v>59248</v>
      </c>
      <c r="B167" s="283">
        <v>44743</v>
      </c>
      <c r="C167">
        <v>2041</v>
      </c>
      <c r="D167">
        <v>2025</v>
      </c>
      <c r="E167">
        <v>100</v>
      </c>
      <c r="F167">
        <v>320</v>
      </c>
      <c r="G167">
        <v>2100</v>
      </c>
      <c r="H167" s="1">
        <v>10170.99</v>
      </c>
      <c r="I167">
        <v>0</v>
      </c>
      <c r="J167" s="283">
        <v>45412.177658182867</v>
      </c>
      <c r="K167" t="s">
        <v>3147</v>
      </c>
      <c r="L167" t="s">
        <v>3145</v>
      </c>
      <c r="M167" t="s">
        <v>3146</v>
      </c>
      <c r="N167" t="s">
        <v>319</v>
      </c>
      <c r="O167" t="s">
        <v>26</v>
      </c>
    </row>
    <row r="168" spans="1:15" x14ac:dyDescent="0.35">
      <c r="A168">
        <v>59249</v>
      </c>
      <c r="B168" s="283">
        <v>44743</v>
      </c>
      <c r="C168">
        <v>2041</v>
      </c>
      <c r="D168">
        <v>2025</v>
      </c>
      <c r="E168">
        <v>100</v>
      </c>
      <c r="F168">
        <v>320</v>
      </c>
      <c r="G168">
        <v>2190</v>
      </c>
      <c r="H168" s="1">
        <v>16421.689999999999</v>
      </c>
      <c r="I168">
        <v>0</v>
      </c>
      <c r="J168" s="283">
        <v>45412.177658182867</v>
      </c>
      <c r="K168" t="s">
        <v>3150</v>
      </c>
      <c r="L168" t="s">
        <v>3145</v>
      </c>
      <c r="M168" t="s">
        <v>3146</v>
      </c>
      <c r="N168" t="s">
        <v>319</v>
      </c>
      <c r="O168" t="s">
        <v>26</v>
      </c>
    </row>
    <row r="169" spans="1:15" x14ac:dyDescent="0.35">
      <c r="A169">
        <v>59263</v>
      </c>
      <c r="B169" s="283">
        <v>44743</v>
      </c>
      <c r="C169">
        <v>2042</v>
      </c>
      <c r="D169">
        <v>2025</v>
      </c>
      <c r="E169">
        <v>100</v>
      </c>
      <c r="F169">
        <v>320</v>
      </c>
      <c r="G169">
        <v>1200</v>
      </c>
      <c r="H169" s="1">
        <v>939640.48</v>
      </c>
      <c r="I169">
        <v>0</v>
      </c>
      <c r="J169" s="283">
        <v>45412.177658182867</v>
      </c>
      <c r="K169" t="s">
        <v>3144</v>
      </c>
      <c r="L169" t="s">
        <v>3145</v>
      </c>
      <c r="M169" t="s">
        <v>3146</v>
      </c>
      <c r="N169" t="s">
        <v>319</v>
      </c>
      <c r="O169" t="s">
        <v>49</v>
      </c>
    </row>
    <row r="170" spans="1:15" x14ac:dyDescent="0.35">
      <c r="A170">
        <v>59264</v>
      </c>
      <c r="B170" s="283">
        <v>44743</v>
      </c>
      <c r="C170">
        <v>2042</v>
      </c>
      <c r="D170">
        <v>2025</v>
      </c>
      <c r="E170">
        <v>100</v>
      </c>
      <c r="F170">
        <v>320</v>
      </c>
      <c r="G170">
        <v>2100</v>
      </c>
      <c r="H170" s="1">
        <v>69229.350000000006</v>
      </c>
      <c r="I170">
        <v>0</v>
      </c>
      <c r="J170" s="283">
        <v>45412.177658182867</v>
      </c>
      <c r="K170" t="s">
        <v>3147</v>
      </c>
      <c r="L170" t="s">
        <v>3145</v>
      </c>
      <c r="M170" t="s">
        <v>3146</v>
      </c>
      <c r="N170" t="s">
        <v>319</v>
      </c>
      <c r="O170" t="s">
        <v>49</v>
      </c>
    </row>
    <row r="171" spans="1:15" x14ac:dyDescent="0.35">
      <c r="A171">
        <v>59265</v>
      </c>
      <c r="B171" s="283">
        <v>44743</v>
      </c>
      <c r="C171">
        <v>2042</v>
      </c>
      <c r="D171">
        <v>2025</v>
      </c>
      <c r="E171">
        <v>100</v>
      </c>
      <c r="F171">
        <v>320</v>
      </c>
      <c r="G171">
        <v>2190</v>
      </c>
      <c r="H171" s="1">
        <v>103760.74</v>
      </c>
      <c r="I171">
        <v>0</v>
      </c>
      <c r="J171" s="283">
        <v>45412.177658182867</v>
      </c>
      <c r="K171" t="s">
        <v>3150</v>
      </c>
      <c r="L171" t="s">
        <v>3145</v>
      </c>
      <c r="M171" t="s">
        <v>3146</v>
      </c>
      <c r="N171" t="s">
        <v>319</v>
      </c>
      <c r="O171" t="s">
        <v>49</v>
      </c>
    </row>
    <row r="172" spans="1:15" x14ac:dyDescent="0.35">
      <c r="A172">
        <v>59281</v>
      </c>
      <c r="B172" s="283">
        <v>44743</v>
      </c>
      <c r="C172">
        <v>2043</v>
      </c>
      <c r="D172">
        <v>2025</v>
      </c>
      <c r="E172">
        <v>100</v>
      </c>
      <c r="F172">
        <v>320</v>
      </c>
      <c r="G172">
        <v>1200</v>
      </c>
      <c r="H172" s="1">
        <v>237757.8</v>
      </c>
      <c r="I172">
        <v>0</v>
      </c>
      <c r="J172" s="283">
        <v>45412.177658182867</v>
      </c>
      <c r="K172" t="s">
        <v>3144</v>
      </c>
      <c r="L172" t="s">
        <v>3145</v>
      </c>
      <c r="M172" t="s">
        <v>3146</v>
      </c>
      <c r="N172" t="s">
        <v>319</v>
      </c>
      <c r="O172" t="s">
        <v>74</v>
      </c>
    </row>
    <row r="173" spans="1:15" x14ac:dyDescent="0.35">
      <c r="A173">
        <v>59282</v>
      </c>
      <c r="B173" s="283">
        <v>44743</v>
      </c>
      <c r="C173">
        <v>2043</v>
      </c>
      <c r="D173">
        <v>2025</v>
      </c>
      <c r="E173">
        <v>100</v>
      </c>
      <c r="F173">
        <v>320</v>
      </c>
      <c r="G173">
        <v>2100</v>
      </c>
      <c r="H173" s="1">
        <v>98266.65</v>
      </c>
      <c r="I173">
        <v>0</v>
      </c>
      <c r="J173" s="283">
        <v>45412.177658182867</v>
      </c>
      <c r="K173" t="s">
        <v>3147</v>
      </c>
      <c r="L173" t="s">
        <v>3145</v>
      </c>
      <c r="M173" t="s">
        <v>3146</v>
      </c>
      <c r="N173" t="s">
        <v>319</v>
      </c>
      <c r="O173" t="s">
        <v>74</v>
      </c>
    </row>
    <row r="174" spans="1:15" x14ac:dyDescent="0.35">
      <c r="A174">
        <v>59283</v>
      </c>
      <c r="B174" s="283">
        <v>44743</v>
      </c>
      <c r="C174">
        <v>2043</v>
      </c>
      <c r="D174">
        <v>2025</v>
      </c>
      <c r="E174">
        <v>100</v>
      </c>
      <c r="F174">
        <v>320</v>
      </c>
      <c r="G174">
        <v>2190</v>
      </c>
      <c r="H174" s="1">
        <v>37092.550000000003</v>
      </c>
      <c r="I174">
        <v>0</v>
      </c>
      <c r="J174" s="283">
        <v>45412.177658182867</v>
      </c>
      <c r="K174" t="s">
        <v>3150</v>
      </c>
      <c r="L174" t="s">
        <v>3145</v>
      </c>
      <c r="M174" t="s">
        <v>3146</v>
      </c>
      <c r="N174" t="s">
        <v>319</v>
      </c>
      <c r="O174" t="s">
        <v>74</v>
      </c>
    </row>
    <row r="175" spans="1:15" x14ac:dyDescent="0.35">
      <c r="A175">
        <v>59299</v>
      </c>
      <c r="B175" s="283">
        <v>44743</v>
      </c>
      <c r="C175">
        <v>2044</v>
      </c>
      <c r="D175">
        <v>2025</v>
      </c>
      <c r="E175">
        <v>100</v>
      </c>
      <c r="F175">
        <v>320</v>
      </c>
      <c r="G175">
        <v>1200</v>
      </c>
      <c r="H175" s="1">
        <v>110200.84</v>
      </c>
      <c r="I175">
        <v>0</v>
      </c>
      <c r="J175" s="283">
        <v>45412.177658182867</v>
      </c>
      <c r="K175" t="s">
        <v>3144</v>
      </c>
      <c r="L175" t="s">
        <v>3145</v>
      </c>
      <c r="M175" t="s">
        <v>3146</v>
      </c>
      <c r="N175" t="s">
        <v>319</v>
      </c>
      <c r="O175" t="s">
        <v>179</v>
      </c>
    </row>
    <row r="176" spans="1:15" x14ac:dyDescent="0.35">
      <c r="A176">
        <v>59300</v>
      </c>
      <c r="B176" s="283">
        <v>44743</v>
      </c>
      <c r="C176">
        <v>2044</v>
      </c>
      <c r="D176">
        <v>2025</v>
      </c>
      <c r="E176">
        <v>100</v>
      </c>
      <c r="F176">
        <v>320</v>
      </c>
      <c r="G176">
        <v>2100</v>
      </c>
      <c r="H176" s="1">
        <v>326968.14</v>
      </c>
      <c r="I176">
        <v>0</v>
      </c>
      <c r="J176" s="283">
        <v>45412.177658182867</v>
      </c>
      <c r="K176" t="s">
        <v>3147</v>
      </c>
      <c r="L176" t="s">
        <v>3145</v>
      </c>
      <c r="M176" t="s">
        <v>3146</v>
      </c>
      <c r="N176" t="s">
        <v>319</v>
      </c>
      <c r="O176" t="s">
        <v>179</v>
      </c>
    </row>
    <row r="177" spans="1:15" x14ac:dyDescent="0.35">
      <c r="A177">
        <v>59301</v>
      </c>
      <c r="B177" s="283">
        <v>44743</v>
      </c>
      <c r="C177">
        <v>2044</v>
      </c>
      <c r="D177">
        <v>2025</v>
      </c>
      <c r="E177">
        <v>100</v>
      </c>
      <c r="F177">
        <v>320</v>
      </c>
      <c r="G177">
        <v>2190</v>
      </c>
      <c r="H177" s="1">
        <v>30936.04</v>
      </c>
      <c r="I177">
        <v>0</v>
      </c>
      <c r="J177" s="283">
        <v>45412.177658182867</v>
      </c>
      <c r="K177" t="s">
        <v>3150</v>
      </c>
      <c r="L177" t="s">
        <v>3145</v>
      </c>
      <c r="M177" t="s">
        <v>3146</v>
      </c>
      <c r="N177" t="s">
        <v>319</v>
      </c>
      <c r="O177" t="s">
        <v>179</v>
      </c>
    </row>
    <row r="178" spans="1:15" x14ac:dyDescent="0.35">
      <c r="A178">
        <v>59302</v>
      </c>
      <c r="B178" s="283">
        <v>44743</v>
      </c>
      <c r="C178">
        <v>2044</v>
      </c>
      <c r="D178">
        <v>2025</v>
      </c>
      <c r="E178">
        <v>100</v>
      </c>
      <c r="F178">
        <v>320</v>
      </c>
      <c r="G178">
        <v>2660</v>
      </c>
      <c r="H178" s="1">
        <v>1279.43</v>
      </c>
      <c r="I178">
        <v>0</v>
      </c>
      <c r="J178" s="283">
        <v>45412.177658182867</v>
      </c>
      <c r="K178" t="s">
        <v>3152</v>
      </c>
      <c r="L178" t="s">
        <v>3145</v>
      </c>
      <c r="M178" t="s">
        <v>3146</v>
      </c>
      <c r="N178" t="s">
        <v>319</v>
      </c>
      <c r="O178" t="s">
        <v>179</v>
      </c>
    </row>
    <row r="179" spans="1:15" x14ac:dyDescent="0.35">
      <c r="A179">
        <v>59316</v>
      </c>
      <c r="B179" s="283">
        <v>44743</v>
      </c>
      <c r="C179">
        <v>2045</v>
      </c>
      <c r="D179">
        <v>2025</v>
      </c>
      <c r="E179">
        <v>100</v>
      </c>
      <c r="F179">
        <v>320</v>
      </c>
      <c r="G179">
        <v>1200</v>
      </c>
      <c r="H179" s="1">
        <v>10411.44</v>
      </c>
      <c r="I179">
        <v>0</v>
      </c>
      <c r="J179" s="283">
        <v>45412.177658182867</v>
      </c>
      <c r="K179" t="s">
        <v>3144</v>
      </c>
      <c r="L179" t="s">
        <v>3145</v>
      </c>
      <c r="M179" t="s">
        <v>3146</v>
      </c>
      <c r="N179" t="s">
        <v>319</v>
      </c>
      <c r="O179" t="s">
        <v>172</v>
      </c>
    </row>
    <row r="180" spans="1:15" x14ac:dyDescent="0.35">
      <c r="A180">
        <v>59317</v>
      </c>
      <c r="B180" s="283">
        <v>44743</v>
      </c>
      <c r="C180">
        <v>2045</v>
      </c>
      <c r="D180">
        <v>2025</v>
      </c>
      <c r="E180">
        <v>100</v>
      </c>
      <c r="F180">
        <v>320</v>
      </c>
      <c r="G180">
        <v>2100</v>
      </c>
      <c r="H180" s="1">
        <v>85768.2</v>
      </c>
      <c r="I180">
        <v>0</v>
      </c>
      <c r="J180" s="283">
        <v>45412.177658182867</v>
      </c>
      <c r="K180" t="s">
        <v>3147</v>
      </c>
      <c r="L180" t="s">
        <v>3145</v>
      </c>
      <c r="M180" t="s">
        <v>3146</v>
      </c>
      <c r="N180" t="s">
        <v>319</v>
      </c>
      <c r="O180" t="s">
        <v>172</v>
      </c>
    </row>
    <row r="181" spans="1:15" x14ac:dyDescent="0.35">
      <c r="A181">
        <v>59318</v>
      </c>
      <c r="B181" s="283">
        <v>44743</v>
      </c>
      <c r="C181">
        <v>2045</v>
      </c>
      <c r="D181">
        <v>2025</v>
      </c>
      <c r="E181">
        <v>100</v>
      </c>
      <c r="F181">
        <v>320</v>
      </c>
      <c r="G181">
        <v>2190</v>
      </c>
      <c r="H181" s="1">
        <v>8424.41</v>
      </c>
      <c r="I181">
        <v>0</v>
      </c>
      <c r="J181" s="283">
        <v>45412.177658182867</v>
      </c>
      <c r="K181" t="s">
        <v>3150</v>
      </c>
      <c r="L181" t="s">
        <v>3145</v>
      </c>
      <c r="M181" t="s">
        <v>3146</v>
      </c>
      <c r="N181" t="s">
        <v>319</v>
      </c>
      <c r="O181" t="s">
        <v>172</v>
      </c>
    </row>
    <row r="182" spans="1:15" x14ac:dyDescent="0.35">
      <c r="A182">
        <v>59331</v>
      </c>
      <c r="B182" s="283">
        <v>44743</v>
      </c>
      <c r="C182">
        <v>2046</v>
      </c>
      <c r="D182">
        <v>2025</v>
      </c>
      <c r="E182">
        <v>100</v>
      </c>
      <c r="F182">
        <v>320</v>
      </c>
      <c r="G182">
        <v>1200</v>
      </c>
      <c r="H182" s="1">
        <v>21297.88</v>
      </c>
      <c r="I182">
        <v>0</v>
      </c>
      <c r="J182" s="283">
        <v>45412.177658182867</v>
      </c>
      <c r="K182" t="s">
        <v>3144</v>
      </c>
      <c r="L182" t="s">
        <v>3145</v>
      </c>
      <c r="M182" t="s">
        <v>3146</v>
      </c>
      <c r="N182" t="s">
        <v>319</v>
      </c>
      <c r="O182" t="s">
        <v>42</v>
      </c>
    </row>
    <row r="183" spans="1:15" x14ac:dyDescent="0.35">
      <c r="A183">
        <v>59332</v>
      </c>
      <c r="B183" s="283">
        <v>44743</v>
      </c>
      <c r="C183">
        <v>2046</v>
      </c>
      <c r="D183">
        <v>2025</v>
      </c>
      <c r="E183">
        <v>100</v>
      </c>
      <c r="F183">
        <v>320</v>
      </c>
      <c r="G183">
        <v>2100</v>
      </c>
      <c r="H183" s="1">
        <v>65392.01</v>
      </c>
      <c r="I183">
        <v>0</v>
      </c>
      <c r="J183" s="283">
        <v>45412.177658182867</v>
      </c>
      <c r="K183" t="s">
        <v>3147</v>
      </c>
      <c r="L183" t="s">
        <v>3145</v>
      </c>
      <c r="M183" t="s">
        <v>3146</v>
      </c>
      <c r="N183" t="s">
        <v>319</v>
      </c>
      <c r="O183" t="s">
        <v>42</v>
      </c>
    </row>
    <row r="184" spans="1:15" x14ac:dyDescent="0.35">
      <c r="A184">
        <v>59333</v>
      </c>
      <c r="B184" s="283">
        <v>44743</v>
      </c>
      <c r="C184">
        <v>2046</v>
      </c>
      <c r="D184">
        <v>2025</v>
      </c>
      <c r="E184">
        <v>100</v>
      </c>
      <c r="F184">
        <v>320</v>
      </c>
      <c r="G184">
        <v>2190</v>
      </c>
      <c r="H184" s="1">
        <v>9321.39</v>
      </c>
      <c r="I184">
        <v>0</v>
      </c>
      <c r="J184" s="283">
        <v>45412.177658182867</v>
      </c>
      <c r="K184" t="s">
        <v>3150</v>
      </c>
      <c r="L184" t="s">
        <v>3145</v>
      </c>
      <c r="M184" t="s">
        <v>3146</v>
      </c>
      <c r="N184" t="s">
        <v>319</v>
      </c>
      <c r="O184" t="s">
        <v>42</v>
      </c>
    </row>
    <row r="185" spans="1:15" x14ac:dyDescent="0.35">
      <c r="A185">
        <v>59343</v>
      </c>
      <c r="B185" s="283">
        <v>44743</v>
      </c>
      <c r="C185">
        <v>2047</v>
      </c>
      <c r="D185">
        <v>2025</v>
      </c>
      <c r="E185">
        <v>100</v>
      </c>
      <c r="F185">
        <v>320</v>
      </c>
      <c r="G185">
        <v>2100</v>
      </c>
      <c r="H185" s="1">
        <v>6004.69</v>
      </c>
      <c r="I185">
        <v>0</v>
      </c>
      <c r="J185" s="283">
        <v>45412.177658182867</v>
      </c>
      <c r="K185" t="s">
        <v>3147</v>
      </c>
      <c r="L185" t="s">
        <v>3145</v>
      </c>
      <c r="M185" t="s">
        <v>3146</v>
      </c>
      <c r="N185" t="s">
        <v>319</v>
      </c>
      <c r="O185" t="s">
        <v>165</v>
      </c>
    </row>
    <row r="186" spans="1:15" x14ac:dyDescent="0.35">
      <c r="A186">
        <v>59344</v>
      </c>
      <c r="B186" s="283">
        <v>44743</v>
      </c>
      <c r="C186">
        <v>2047</v>
      </c>
      <c r="D186">
        <v>2025</v>
      </c>
      <c r="E186">
        <v>100</v>
      </c>
      <c r="F186">
        <v>320</v>
      </c>
      <c r="G186">
        <v>2190</v>
      </c>
      <c r="H186" s="1">
        <v>342.28</v>
      </c>
      <c r="I186">
        <v>0</v>
      </c>
      <c r="J186" s="283">
        <v>45412.177658182867</v>
      </c>
      <c r="K186" t="s">
        <v>3150</v>
      </c>
      <c r="L186" t="s">
        <v>3145</v>
      </c>
      <c r="M186" t="s">
        <v>3146</v>
      </c>
      <c r="N186" t="s">
        <v>319</v>
      </c>
      <c r="O186" t="s">
        <v>165</v>
      </c>
    </row>
    <row r="187" spans="1:15" x14ac:dyDescent="0.35">
      <c r="A187">
        <v>59345</v>
      </c>
      <c r="B187" s="283">
        <v>44743</v>
      </c>
      <c r="C187">
        <v>2047</v>
      </c>
      <c r="D187">
        <v>2025</v>
      </c>
      <c r="E187">
        <v>100</v>
      </c>
      <c r="F187">
        <v>320</v>
      </c>
      <c r="G187">
        <v>2660</v>
      </c>
      <c r="H187" s="1">
        <v>33.89</v>
      </c>
      <c r="I187">
        <v>0</v>
      </c>
      <c r="J187" s="283">
        <v>45412.177658182867</v>
      </c>
      <c r="K187" t="s">
        <v>3152</v>
      </c>
      <c r="L187" t="s">
        <v>3145</v>
      </c>
      <c r="M187" t="s">
        <v>3146</v>
      </c>
      <c r="N187" t="s">
        <v>319</v>
      </c>
      <c r="O187" t="s">
        <v>165</v>
      </c>
    </row>
    <row r="188" spans="1:15" x14ac:dyDescent="0.35">
      <c r="A188">
        <v>59357</v>
      </c>
      <c r="B188" s="283">
        <v>44743</v>
      </c>
      <c r="C188">
        <v>2048</v>
      </c>
      <c r="D188">
        <v>2025</v>
      </c>
      <c r="E188">
        <v>100</v>
      </c>
      <c r="F188">
        <v>320</v>
      </c>
      <c r="G188">
        <v>1200</v>
      </c>
      <c r="H188" s="1">
        <v>1509338</v>
      </c>
      <c r="I188">
        <v>0</v>
      </c>
      <c r="J188" s="283">
        <v>45412.177658182867</v>
      </c>
      <c r="K188" t="s">
        <v>3144</v>
      </c>
      <c r="L188" t="s">
        <v>3145</v>
      </c>
      <c r="M188" t="s">
        <v>3146</v>
      </c>
      <c r="N188" t="s">
        <v>319</v>
      </c>
      <c r="O188" t="s">
        <v>129</v>
      </c>
    </row>
    <row r="189" spans="1:15" x14ac:dyDescent="0.35">
      <c r="A189">
        <v>59358</v>
      </c>
      <c r="B189" s="283">
        <v>44743</v>
      </c>
      <c r="C189">
        <v>2048</v>
      </c>
      <c r="D189">
        <v>2025</v>
      </c>
      <c r="E189">
        <v>100</v>
      </c>
      <c r="F189">
        <v>320</v>
      </c>
      <c r="G189">
        <v>2100</v>
      </c>
      <c r="H189" s="1">
        <v>179672.79</v>
      </c>
      <c r="I189">
        <v>0</v>
      </c>
      <c r="J189" s="283">
        <v>45412.177658182867</v>
      </c>
      <c r="K189" t="s">
        <v>3147</v>
      </c>
      <c r="L189" t="s">
        <v>3145</v>
      </c>
      <c r="M189" t="s">
        <v>3146</v>
      </c>
      <c r="N189" t="s">
        <v>319</v>
      </c>
      <c r="O189" t="s">
        <v>129</v>
      </c>
    </row>
    <row r="190" spans="1:15" x14ac:dyDescent="0.35">
      <c r="A190">
        <v>59359</v>
      </c>
      <c r="B190" s="283">
        <v>44743</v>
      </c>
      <c r="C190">
        <v>2048</v>
      </c>
      <c r="D190">
        <v>2025</v>
      </c>
      <c r="E190">
        <v>100</v>
      </c>
      <c r="F190">
        <v>320</v>
      </c>
      <c r="G190">
        <v>2190</v>
      </c>
      <c r="H190" s="1">
        <v>155644.79999999999</v>
      </c>
      <c r="I190">
        <v>0</v>
      </c>
      <c r="J190" s="283">
        <v>45412.177658182867</v>
      </c>
      <c r="K190" t="s">
        <v>3150</v>
      </c>
      <c r="L190" t="s">
        <v>3145</v>
      </c>
      <c r="M190" t="s">
        <v>3146</v>
      </c>
      <c r="N190" t="s">
        <v>319</v>
      </c>
      <c r="O190" t="s">
        <v>129</v>
      </c>
    </row>
    <row r="191" spans="1:15" x14ac:dyDescent="0.35">
      <c r="A191">
        <v>59375</v>
      </c>
      <c r="B191" s="283">
        <v>44743</v>
      </c>
      <c r="C191">
        <v>2054</v>
      </c>
      <c r="D191">
        <v>2025</v>
      </c>
      <c r="E191">
        <v>100</v>
      </c>
      <c r="F191">
        <v>320</v>
      </c>
      <c r="G191">
        <v>1200</v>
      </c>
      <c r="H191" s="1">
        <v>308843.90999999997</v>
      </c>
      <c r="I191">
        <v>0</v>
      </c>
      <c r="J191" s="283">
        <v>45412.177658182867</v>
      </c>
      <c r="K191" t="s">
        <v>3144</v>
      </c>
      <c r="L191" t="s">
        <v>3145</v>
      </c>
      <c r="M191" t="s">
        <v>3146</v>
      </c>
      <c r="N191" t="s">
        <v>319</v>
      </c>
      <c r="O191" t="s">
        <v>91</v>
      </c>
    </row>
    <row r="192" spans="1:15" x14ac:dyDescent="0.35">
      <c r="A192">
        <v>59376</v>
      </c>
      <c r="B192" s="283">
        <v>44743</v>
      </c>
      <c r="C192">
        <v>2054</v>
      </c>
      <c r="D192">
        <v>2025</v>
      </c>
      <c r="E192">
        <v>100</v>
      </c>
      <c r="F192">
        <v>320</v>
      </c>
      <c r="G192">
        <v>2100</v>
      </c>
      <c r="H192" s="1">
        <v>87321.26</v>
      </c>
      <c r="I192">
        <v>0</v>
      </c>
      <c r="J192" s="283">
        <v>45412.177658182867</v>
      </c>
      <c r="K192" t="s">
        <v>3147</v>
      </c>
      <c r="L192" t="s">
        <v>3145</v>
      </c>
      <c r="M192" t="s">
        <v>3146</v>
      </c>
      <c r="N192" t="s">
        <v>319</v>
      </c>
      <c r="O192" t="s">
        <v>91</v>
      </c>
    </row>
    <row r="193" spans="1:15" x14ac:dyDescent="0.35">
      <c r="A193">
        <v>59377</v>
      </c>
      <c r="B193" s="283">
        <v>44743</v>
      </c>
      <c r="C193">
        <v>2054</v>
      </c>
      <c r="D193">
        <v>2025</v>
      </c>
      <c r="E193">
        <v>100</v>
      </c>
      <c r="F193">
        <v>320</v>
      </c>
      <c r="G193">
        <v>2190</v>
      </c>
      <c r="H193" s="1">
        <v>35985.21</v>
      </c>
      <c r="I193">
        <v>0</v>
      </c>
      <c r="J193" s="283">
        <v>45412.177658182867</v>
      </c>
      <c r="K193" t="s">
        <v>3150</v>
      </c>
      <c r="L193" t="s">
        <v>3145</v>
      </c>
      <c r="M193" t="s">
        <v>3146</v>
      </c>
      <c r="N193" t="s">
        <v>319</v>
      </c>
      <c r="O193" t="s">
        <v>91</v>
      </c>
    </row>
    <row r="194" spans="1:15" x14ac:dyDescent="0.35">
      <c r="A194">
        <v>59393</v>
      </c>
      <c r="B194" s="283">
        <v>44743</v>
      </c>
      <c r="C194">
        <v>2055</v>
      </c>
      <c r="D194">
        <v>2025</v>
      </c>
      <c r="E194">
        <v>100</v>
      </c>
      <c r="F194">
        <v>320</v>
      </c>
      <c r="G194">
        <v>1200</v>
      </c>
      <c r="H194" s="1">
        <v>121545.82</v>
      </c>
      <c r="I194">
        <v>0</v>
      </c>
      <c r="J194" s="283">
        <v>45412.177658182867</v>
      </c>
      <c r="K194" t="s">
        <v>3144</v>
      </c>
      <c r="L194" t="s">
        <v>3145</v>
      </c>
      <c r="M194" t="s">
        <v>3146</v>
      </c>
      <c r="N194" t="s">
        <v>319</v>
      </c>
      <c r="O194" t="s">
        <v>203</v>
      </c>
    </row>
    <row r="195" spans="1:15" x14ac:dyDescent="0.35">
      <c r="A195">
        <v>59394</v>
      </c>
      <c r="B195" s="283">
        <v>44743</v>
      </c>
      <c r="C195">
        <v>2055</v>
      </c>
      <c r="D195">
        <v>2025</v>
      </c>
      <c r="E195">
        <v>100</v>
      </c>
      <c r="F195">
        <v>320</v>
      </c>
      <c r="G195">
        <v>2100</v>
      </c>
      <c r="H195" s="1">
        <v>3248.33</v>
      </c>
      <c r="I195">
        <v>0</v>
      </c>
      <c r="J195" s="283">
        <v>45412.177658182867</v>
      </c>
      <c r="K195" t="s">
        <v>3147</v>
      </c>
      <c r="L195" t="s">
        <v>3145</v>
      </c>
      <c r="M195" t="s">
        <v>3146</v>
      </c>
      <c r="N195" t="s">
        <v>319</v>
      </c>
      <c r="O195" t="s">
        <v>203</v>
      </c>
    </row>
    <row r="196" spans="1:15" x14ac:dyDescent="0.35">
      <c r="A196">
        <v>59395</v>
      </c>
      <c r="B196" s="283">
        <v>44743</v>
      </c>
      <c r="C196">
        <v>2055</v>
      </c>
      <c r="D196">
        <v>2025</v>
      </c>
      <c r="E196">
        <v>100</v>
      </c>
      <c r="F196">
        <v>320</v>
      </c>
      <c r="G196">
        <v>2190</v>
      </c>
      <c r="H196" s="1">
        <v>8364.67</v>
      </c>
      <c r="I196">
        <v>0</v>
      </c>
      <c r="J196" s="283">
        <v>45412.177658182867</v>
      </c>
      <c r="K196" t="s">
        <v>3150</v>
      </c>
      <c r="L196" t="s">
        <v>3145</v>
      </c>
      <c r="M196" t="s">
        <v>3146</v>
      </c>
      <c r="N196" t="s">
        <v>319</v>
      </c>
      <c r="O196" t="s">
        <v>203</v>
      </c>
    </row>
    <row r="197" spans="1:15" x14ac:dyDescent="0.35">
      <c r="A197">
        <v>59411</v>
      </c>
      <c r="B197" s="283">
        <v>44743</v>
      </c>
      <c r="C197">
        <v>2056</v>
      </c>
      <c r="D197">
        <v>2025</v>
      </c>
      <c r="E197">
        <v>100</v>
      </c>
      <c r="F197">
        <v>320</v>
      </c>
      <c r="G197">
        <v>1200</v>
      </c>
      <c r="H197" s="1">
        <v>121612.52</v>
      </c>
      <c r="I197">
        <v>0</v>
      </c>
      <c r="J197" s="283">
        <v>45412.177658182867</v>
      </c>
      <c r="K197" t="s">
        <v>3144</v>
      </c>
      <c r="L197" t="s">
        <v>3145</v>
      </c>
      <c r="M197" t="s">
        <v>3146</v>
      </c>
      <c r="N197" t="s">
        <v>319</v>
      </c>
      <c r="O197" t="s">
        <v>3153</v>
      </c>
    </row>
    <row r="198" spans="1:15" x14ac:dyDescent="0.35">
      <c r="A198">
        <v>59412</v>
      </c>
      <c r="B198" s="283">
        <v>44743</v>
      </c>
      <c r="C198">
        <v>2056</v>
      </c>
      <c r="D198">
        <v>2025</v>
      </c>
      <c r="E198">
        <v>100</v>
      </c>
      <c r="F198">
        <v>320</v>
      </c>
      <c r="G198">
        <v>2100</v>
      </c>
      <c r="H198" s="1">
        <v>289302.59000000003</v>
      </c>
      <c r="I198">
        <v>0</v>
      </c>
      <c r="J198" s="283">
        <v>45412.177658182867</v>
      </c>
      <c r="K198" t="s">
        <v>3147</v>
      </c>
      <c r="L198" t="s">
        <v>3145</v>
      </c>
      <c r="M198" t="s">
        <v>3146</v>
      </c>
      <c r="N198" t="s">
        <v>319</v>
      </c>
      <c r="O198" t="s">
        <v>3153</v>
      </c>
    </row>
    <row r="199" spans="1:15" x14ac:dyDescent="0.35">
      <c r="A199">
        <v>59413</v>
      </c>
      <c r="B199" s="283">
        <v>44743</v>
      </c>
      <c r="C199">
        <v>2056</v>
      </c>
      <c r="D199">
        <v>2025</v>
      </c>
      <c r="E199">
        <v>100</v>
      </c>
      <c r="F199">
        <v>320</v>
      </c>
      <c r="G199">
        <v>2190</v>
      </c>
      <c r="H199" s="1">
        <v>46663.02</v>
      </c>
      <c r="I199">
        <v>0</v>
      </c>
      <c r="J199" s="283">
        <v>45412.177658182867</v>
      </c>
      <c r="K199" t="s">
        <v>3150</v>
      </c>
      <c r="L199" t="s">
        <v>3145</v>
      </c>
      <c r="M199" t="s">
        <v>3146</v>
      </c>
      <c r="N199" t="s">
        <v>319</v>
      </c>
      <c r="O199" t="s">
        <v>3153</v>
      </c>
    </row>
    <row r="200" spans="1:15" x14ac:dyDescent="0.35">
      <c r="A200">
        <v>59428</v>
      </c>
      <c r="B200" s="283">
        <v>44743</v>
      </c>
      <c r="C200">
        <v>2057</v>
      </c>
      <c r="D200">
        <v>2025</v>
      </c>
      <c r="E200">
        <v>100</v>
      </c>
      <c r="F200">
        <v>320</v>
      </c>
      <c r="G200">
        <v>1200</v>
      </c>
      <c r="H200" s="1">
        <v>419189.04</v>
      </c>
      <c r="I200">
        <v>0</v>
      </c>
      <c r="J200" s="283">
        <v>45412.177658182867</v>
      </c>
      <c r="K200" t="s">
        <v>3144</v>
      </c>
      <c r="L200" t="s">
        <v>3145</v>
      </c>
      <c r="M200" t="s">
        <v>3146</v>
      </c>
      <c r="N200" t="s">
        <v>319</v>
      </c>
      <c r="O200" t="s">
        <v>114</v>
      </c>
    </row>
    <row r="201" spans="1:15" x14ac:dyDescent="0.35">
      <c r="A201">
        <v>59429</v>
      </c>
      <c r="B201" s="283">
        <v>44743</v>
      </c>
      <c r="C201">
        <v>2057</v>
      </c>
      <c r="D201">
        <v>2025</v>
      </c>
      <c r="E201">
        <v>100</v>
      </c>
      <c r="F201">
        <v>320</v>
      </c>
      <c r="G201">
        <v>2100</v>
      </c>
      <c r="H201" s="1">
        <v>72025.149999999994</v>
      </c>
      <c r="I201">
        <v>0</v>
      </c>
      <c r="J201" s="283">
        <v>45412.177658182867</v>
      </c>
      <c r="K201" t="s">
        <v>3147</v>
      </c>
      <c r="L201" t="s">
        <v>3145</v>
      </c>
      <c r="M201" t="s">
        <v>3146</v>
      </c>
      <c r="N201" t="s">
        <v>319</v>
      </c>
      <c r="O201" t="s">
        <v>114</v>
      </c>
    </row>
    <row r="202" spans="1:15" x14ac:dyDescent="0.35">
      <c r="A202">
        <v>59430</v>
      </c>
      <c r="B202" s="283">
        <v>44743</v>
      </c>
      <c r="C202">
        <v>2057</v>
      </c>
      <c r="D202">
        <v>2025</v>
      </c>
      <c r="E202">
        <v>100</v>
      </c>
      <c r="F202">
        <v>320</v>
      </c>
      <c r="G202">
        <v>2190</v>
      </c>
      <c r="H202" s="1">
        <v>45396.39</v>
      </c>
      <c r="I202">
        <v>0</v>
      </c>
      <c r="J202" s="283">
        <v>45412.177658182867</v>
      </c>
      <c r="K202" t="s">
        <v>3150</v>
      </c>
      <c r="L202" t="s">
        <v>3145</v>
      </c>
      <c r="M202" t="s">
        <v>3146</v>
      </c>
      <c r="N202" t="s">
        <v>319</v>
      </c>
      <c r="O202" t="s">
        <v>114</v>
      </c>
    </row>
    <row r="203" spans="1:15" x14ac:dyDescent="0.35">
      <c r="A203">
        <v>59431</v>
      </c>
      <c r="B203" s="283">
        <v>44743</v>
      </c>
      <c r="C203">
        <v>2057</v>
      </c>
      <c r="D203">
        <v>2025</v>
      </c>
      <c r="E203">
        <v>100</v>
      </c>
      <c r="F203">
        <v>320</v>
      </c>
      <c r="G203">
        <v>2660</v>
      </c>
      <c r="H203" s="1">
        <v>11980.85</v>
      </c>
      <c r="I203">
        <v>0</v>
      </c>
      <c r="J203" s="283">
        <v>45412.177658182867</v>
      </c>
      <c r="K203" t="s">
        <v>3152</v>
      </c>
      <c r="L203" t="s">
        <v>3145</v>
      </c>
      <c r="M203" t="s">
        <v>3146</v>
      </c>
      <c r="N203" t="s">
        <v>319</v>
      </c>
      <c r="O203" t="s">
        <v>114</v>
      </c>
    </row>
    <row r="204" spans="1:15" x14ac:dyDescent="0.35">
      <c r="A204">
        <v>59453</v>
      </c>
      <c r="B204" s="283">
        <v>44743</v>
      </c>
      <c r="C204">
        <v>2050</v>
      </c>
      <c r="D204">
        <v>2049</v>
      </c>
      <c r="E204">
        <v>100</v>
      </c>
      <c r="F204">
        <v>320</v>
      </c>
      <c r="G204">
        <v>2100</v>
      </c>
      <c r="H204" s="1">
        <v>280356.01</v>
      </c>
      <c r="I204">
        <v>0</v>
      </c>
      <c r="J204" s="283">
        <v>45412.177658182867</v>
      </c>
      <c r="K204" t="s">
        <v>3147</v>
      </c>
      <c r="L204" t="s">
        <v>3145</v>
      </c>
      <c r="M204" t="s">
        <v>3146</v>
      </c>
      <c r="N204" t="s">
        <v>330</v>
      </c>
      <c r="O204" t="s">
        <v>63</v>
      </c>
    </row>
    <row r="205" spans="1:15" x14ac:dyDescent="0.35">
      <c r="A205">
        <v>59454</v>
      </c>
      <c r="B205" s="283">
        <v>44743</v>
      </c>
      <c r="C205">
        <v>2050</v>
      </c>
      <c r="D205">
        <v>2049</v>
      </c>
      <c r="E205">
        <v>100</v>
      </c>
      <c r="F205">
        <v>320</v>
      </c>
      <c r="G205">
        <v>2190</v>
      </c>
      <c r="H205" s="1">
        <v>18003.62</v>
      </c>
      <c r="I205">
        <v>0</v>
      </c>
      <c r="J205" s="283">
        <v>45412.177658182867</v>
      </c>
      <c r="K205" t="s">
        <v>3150</v>
      </c>
      <c r="L205" t="s">
        <v>3145</v>
      </c>
      <c r="M205" t="s">
        <v>3146</v>
      </c>
      <c r="N205" t="s">
        <v>330</v>
      </c>
      <c r="O205" t="s">
        <v>63</v>
      </c>
    </row>
    <row r="206" spans="1:15" x14ac:dyDescent="0.35">
      <c r="A206">
        <v>59455</v>
      </c>
      <c r="B206" s="283">
        <v>44743</v>
      </c>
      <c r="C206">
        <v>2050</v>
      </c>
      <c r="D206">
        <v>2049</v>
      </c>
      <c r="E206">
        <v>100</v>
      </c>
      <c r="F206">
        <v>320</v>
      </c>
      <c r="G206">
        <v>2240</v>
      </c>
      <c r="H206" s="1">
        <v>327.08</v>
      </c>
      <c r="I206">
        <v>0</v>
      </c>
      <c r="J206" s="283">
        <v>45412.177658182867</v>
      </c>
      <c r="K206" t="s">
        <v>3154</v>
      </c>
      <c r="L206" t="s">
        <v>3145</v>
      </c>
      <c r="M206" t="s">
        <v>3146</v>
      </c>
      <c r="N206" t="s">
        <v>330</v>
      </c>
      <c r="O206" t="s">
        <v>63</v>
      </c>
    </row>
    <row r="207" spans="1:15" x14ac:dyDescent="0.35">
      <c r="A207">
        <v>59463</v>
      </c>
      <c r="B207" s="283">
        <v>44743</v>
      </c>
      <c r="C207">
        <v>2051</v>
      </c>
      <c r="D207">
        <v>2049</v>
      </c>
      <c r="E207">
        <v>100</v>
      </c>
      <c r="F207">
        <v>320</v>
      </c>
      <c r="G207">
        <v>2100</v>
      </c>
      <c r="H207" s="1">
        <v>11831.4</v>
      </c>
      <c r="I207">
        <v>0</v>
      </c>
      <c r="J207" s="283">
        <v>45412.177658182867</v>
      </c>
      <c r="K207" t="s">
        <v>3147</v>
      </c>
      <c r="L207" t="s">
        <v>3145</v>
      </c>
      <c r="M207" t="s">
        <v>3146</v>
      </c>
      <c r="N207" t="s">
        <v>330</v>
      </c>
      <c r="O207" t="s">
        <v>27</v>
      </c>
    </row>
    <row r="208" spans="1:15" x14ac:dyDescent="0.35">
      <c r="A208">
        <v>59464</v>
      </c>
      <c r="B208" s="283">
        <v>44743</v>
      </c>
      <c r="C208">
        <v>2051</v>
      </c>
      <c r="D208">
        <v>2049</v>
      </c>
      <c r="E208">
        <v>100</v>
      </c>
      <c r="F208">
        <v>320</v>
      </c>
      <c r="G208">
        <v>2190</v>
      </c>
      <c r="H208" s="1">
        <v>759.78</v>
      </c>
      <c r="I208">
        <v>0</v>
      </c>
      <c r="J208" s="283">
        <v>45412.177658182867</v>
      </c>
      <c r="K208" t="s">
        <v>3150</v>
      </c>
      <c r="L208" t="s">
        <v>3145</v>
      </c>
      <c r="M208" t="s">
        <v>3146</v>
      </c>
      <c r="N208" t="s">
        <v>330</v>
      </c>
      <c r="O208" t="s">
        <v>27</v>
      </c>
    </row>
    <row r="209" spans="1:15" x14ac:dyDescent="0.35">
      <c r="A209">
        <v>59465</v>
      </c>
      <c r="B209" s="283">
        <v>44743</v>
      </c>
      <c r="C209">
        <v>2051</v>
      </c>
      <c r="D209">
        <v>2049</v>
      </c>
      <c r="E209">
        <v>100</v>
      </c>
      <c r="F209">
        <v>320</v>
      </c>
      <c r="G209">
        <v>2240</v>
      </c>
      <c r="H209" s="1">
        <v>13.8</v>
      </c>
      <c r="I209">
        <v>0</v>
      </c>
      <c r="J209" s="283">
        <v>45412.177658182867</v>
      </c>
      <c r="K209" t="s">
        <v>3154</v>
      </c>
      <c r="L209" t="s">
        <v>3145</v>
      </c>
      <c r="M209" t="s">
        <v>3146</v>
      </c>
      <c r="N209" t="s">
        <v>330</v>
      </c>
      <c r="O209" t="s">
        <v>27</v>
      </c>
    </row>
    <row r="210" spans="1:15" x14ac:dyDescent="0.35">
      <c r="A210">
        <v>59472</v>
      </c>
      <c r="B210" s="283">
        <v>44743</v>
      </c>
      <c r="C210">
        <v>2052</v>
      </c>
      <c r="D210">
        <v>2049</v>
      </c>
      <c r="E210">
        <v>100</v>
      </c>
      <c r="F210">
        <v>320</v>
      </c>
      <c r="G210">
        <v>2100</v>
      </c>
      <c r="H210" s="1">
        <v>15975.43</v>
      </c>
      <c r="I210">
        <v>0</v>
      </c>
      <c r="J210" s="283">
        <v>45412.177658182867</v>
      </c>
      <c r="K210" t="s">
        <v>3147</v>
      </c>
      <c r="L210" t="s">
        <v>3145</v>
      </c>
      <c r="M210" t="s">
        <v>3146</v>
      </c>
      <c r="N210" t="s">
        <v>330</v>
      </c>
      <c r="O210" t="s">
        <v>38</v>
      </c>
    </row>
    <row r="211" spans="1:15" x14ac:dyDescent="0.35">
      <c r="A211">
        <v>59473</v>
      </c>
      <c r="B211" s="283">
        <v>44743</v>
      </c>
      <c r="C211">
        <v>2052</v>
      </c>
      <c r="D211">
        <v>2049</v>
      </c>
      <c r="E211">
        <v>100</v>
      </c>
      <c r="F211">
        <v>320</v>
      </c>
      <c r="G211">
        <v>2190</v>
      </c>
      <c r="H211" s="1">
        <v>1025.8900000000001</v>
      </c>
      <c r="I211">
        <v>0</v>
      </c>
      <c r="J211" s="283">
        <v>45412.177658182867</v>
      </c>
      <c r="K211" t="s">
        <v>3150</v>
      </c>
      <c r="L211" t="s">
        <v>3145</v>
      </c>
      <c r="M211" t="s">
        <v>3146</v>
      </c>
      <c r="N211" t="s">
        <v>330</v>
      </c>
      <c r="O211" t="s">
        <v>38</v>
      </c>
    </row>
    <row r="212" spans="1:15" x14ac:dyDescent="0.35">
      <c r="A212">
        <v>59474</v>
      </c>
      <c r="B212" s="283">
        <v>44743</v>
      </c>
      <c r="C212">
        <v>2052</v>
      </c>
      <c r="D212">
        <v>2049</v>
      </c>
      <c r="E212">
        <v>100</v>
      </c>
      <c r="F212">
        <v>320</v>
      </c>
      <c r="G212">
        <v>2240</v>
      </c>
      <c r="H212" s="1">
        <v>18.64</v>
      </c>
      <c r="I212">
        <v>0</v>
      </c>
      <c r="J212" s="283">
        <v>45412.177658182867</v>
      </c>
      <c r="K212" t="s">
        <v>3154</v>
      </c>
      <c r="L212" t="s">
        <v>3145</v>
      </c>
      <c r="M212" t="s">
        <v>3146</v>
      </c>
      <c r="N212" t="s">
        <v>330</v>
      </c>
      <c r="O212" t="s">
        <v>38</v>
      </c>
    </row>
    <row r="213" spans="1:15" x14ac:dyDescent="0.35">
      <c r="A213">
        <v>59484</v>
      </c>
      <c r="B213" s="283">
        <v>44743</v>
      </c>
      <c r="C213">
        <v>2053</v>
      </c>
      <c r="D213">
        <v>2049</v>
      </c>
      <c r="E213">
        <v>100</v>
      </c>
      <c r="F213">
        <v>320</v>
      </c>
      <c r="G213">
        <v>2100</v>
      </c>
      <c r="H213" s="1">
        <v>1149371.46</v>
      </c>
      <c r="I213">
        <v>0</v>
      </c>
      <c r="J213" s="283">
        <v>45412.177658182867</v>
      </c>
      <c r="K213" t="s">
        <v>3147</v>
      </c>
      <c r="L213" t="s">
        <v>3145</v>
      </c>
      <c r="M213" t="s">
        <v>3146</v>
      </c>
      <c r="N213" t="s">
        <v>330</v>
      </c>
      <c r="O213" t="s">
        <v>106</v>
      </c>
    </row>
    <row r="214" spans="1:15" x14ac:dyDescent="0.35">
      <c r="A214">
        <v>59485</v>
      </c>
      <c r="B214" s="283">
        <v>44743</v>
      </c>
      <c r="C214">
        <v>2053</v>
      </c>
      <c r="D214">
        <v>2049</v>
      </c>
      <c r="E214">
        <v>100</v>
      </c>
      <c r="F214">
        <v>320</v>
      </c>
      <c r="G214">
        <v>2190</v>
      </c>
      <c r="H214" s="1">
        <v>73809.2</v>
      </c>
      <c r="I214">
        <v>0</v>
      </c>
      <c r="J214" s="283">
        <v>45412.177658182867</v>
      </c>
      <c r="K214" t="s">
        <v>3150</v>
      </c>
      <c r="L214" t="s">
        <v>3145</v>
      </c>
      <c r="M214" t="s">
        <v>3146</v>
      </c>
      <c r="N214" t="s">
        <v>330</v>
      </c>
      <c r="O214" t="s">
        <v>106</v>
      </c>
    </row>
    <row r="215" spans="1:15" x14ac:dyDescent="0.35">
      <c r="A215">
        <v>59486</v>
      </c>
      <c r="B215" s="283">
        <v>44743</v>
      </c>
      <c r="C215">
        <v>2053</v>
      </c>
      <c r="D215">
        <v>2049</v>
      </c>
      <c r="E215">
        <v>100</v>
      </c>
      <c r="F215">
        <v>320</v>
      </c>
      <c r="G215">
        <v>2240</v>
      </c>
      <c r="H215" s="1">
        <v>1340.95</v>
      </c>
      <c r="I215">
        <v>0</v>
      </c>
      <c r="J215" s="283">
        <v>45412.177658182867</v>
      </c>
      <c r="K215" t="s">
        <v>3154</v>
      </c>
      <c r="L215" t="s">
        <v>3145</v>
      </c>
      <c r="M215" t="s">
        <v>3146</v>
      </c>
      <c r="N215" t="s">
        <v>330</v>
      </c>
      <c r="O215" t="s">
        <v>106</v>
      </c>
    </row>
    <row r="216" spans="1:15" x14ac:dyDescent="0.35">
      <c r="A216">
        <v>59501</v>
      </c>
      <c r="B216" s="283">
        <v>44743</v>
      </c>
      <c r="C216">
        <v>2059</v>
      </c>
      <c r="D216">
        <v>2058</v>
      </c>
      <c r="E216">
        <v>100</v>
      </c>
      <c r="F216">
        <v>320</v>
      </c>
      <c r="G216">
        <v>1200</v>
      </c>
      <c r="H216" s="1">
        <v>28944.959999999999</v>
      </c>
      <c r="I216">
        <v>0</v>
      </c>
      <c r="J216" s="283">
        <v>45412.177658182867</v>
      </c>
      <c r="K216" t="s">
        <v>3144</v>
      </c>
      <c r="L216" t="s">
        <v>3145</v>
      </c>
      <c r="M216" t="s">
        <v>3146</v>
      </c>
      <c r="N216" t="s">
        <v>272</v>
      </c>
      <c r="O216" t="s">
        <v>118</v>
      </c>
    </row>
    <row r="217" spans="1:15" x14ac:dyDescent="0.35">
      <c r="A217">
        <v>59502</v>
      </c>
      <c r="B217" s="283">
        <v>44743</v>
      </c>
      <c r="C217">
        <v>2059</v>
      </c>
      <c r="D217">
        <v>2058</v>
      </c>
      <c r="E217">
        <v>100</v>
      </c>
      <c r="F217">
        <v>320</v>
      </c>
      <c r="G217">
        <v>2100</v>
      </c>
      <c r="H217" s="1">
        <v>250991.44</v>
      </c>
      <c r="I217">
        <v>0</v>
      </c>
      <c r="J217" s="283">
        <v>45412.177658182867</v>
      </c>
      <c r="K217" t="s">
        <v>3147</v>
      </c>
      <c r="L217" t="s">
        <v>3145</v>
      </c>
      <c r="M217" t="s">
        <v>3146</v>
      </c>
      <c r="N217" t="s">
        <v>272</v>
      </c>
      <c r="O217" t="s">
        <v>118</v>
      </c>
    </row>
    <row r="218" spans="1:15" x14ac:dyDescent="0.35">
      <c r="A218">
        <v>59503</v>
      </c>
      <c r="B218" s="283">
        <v>44743</v>
      </c>
      <c r="C218">
        <v>2059</v>
      </c>
      <c r="D218">
        <v>2058</v>
      </c>
      <c r="E218">
        <v>100</v>
      </c>
      <c r="F218">
        <v>320</v>
      </c>
      <c r="G218">
        <v>2190</v>
      </c>
      <c r="H218" s="1">
        <v>26356.77</v>
      </c>
      <c r="I218">
        <v>0</v>
      </c>
      <c r="J218" s="283">
        <v>45412.177658182867</v>
      </c>
      <c r="K218" t="s">
        <v>3150</v>
      </c>
      <c r="L218" t="s">
        <v>3145</v>
      </c>
      <c r="M218" t="s">
        <v>3146</v>
      </c>
      <c r="N218" t="s">
        <v>272</v>
      </c>
      <c r="O218" t="s">
        <v>118</v>
      </c>
    </row>
    <row r="219" spans="1:15" x14ac:dyDescent="0.35">
      <c r="A219">
        <v>59517</v>
      </c>
      <c r="B219" s="283">
        <v>44743</v>
      </c>
      <c r="C219">
        <v>2060</v>
      </c>
      <c r="D219">
        <v>2058</v>
      </c>
      <c r="E219">
        <v>100</v>
      </c>
      <c r="F219">
        <v>320</v>
      </c>
      <c r="G219">
        <v>1200</v>
      </c>
      <c r="H219" s="1">
        <v>54889.61</v>
      </c>
      <c r="I219">
        <v>0</v>
      </c>
      <c r="J219" s="283">
        <v>45412.177658182867</v>
      </c>
      <c r="K219" t="s">
        <v>3144</v>
      </c>
      <c r="L219" t="s">
        <v>3145</v>
      </c>
      <c r="M219" t="s">
        <v>3146</v>
      </c>
      <c r="N219" t="s">
        <v>272</v>
      </c>
      <c r="O219" t="s">
        <v>155</v>
      </c>
    </row>
    <row r="220" spans="1:15" x14ac:dyDescent="0.35">
      <c r="A220">
        <v>59518</v>
      </c>
      <c r="B220" s="283">
        <v>44743</v>
      </c>
      <c r="C220">
        <v>2060</v>
      </c>
      <c r="D220">
        <v>2058</v>
      </c>
      <c r="E220">
        <v>100</v>
      </c>
      <c r="F220">
        <v>320</v>
      </c>
      <c r="G220">
        <v>2100</v>
      </c>
      <c r="H220" s="1">
        <v>19971.61</v>
      </c>
      <c r="I220">
        <v>0</v>
      </c>
      <c r="J220" s="283">
        <v>45412.177658182867</v>
      </c>
      <c r="K220" t="s">
        <v>3147</v>
      </c>
      <c r="L220" t="s">
        <v>3145</v>
      </c>
      <c r="M220" t="s">
        <v>3146</v>
      </c>
      <c r="N220" t="s">
        <v>272</v>
      </c>
      <c r="O220" t="s">
        <v>155</v>
      </c>
    </row>
    <row r="221" spans="1:15" x14ac:dyDescent="0.35">
      <c r="A221">
        <v>59519</v>
      </c>
      <c r="B221" s="283">
        <v>44743</v>
      </c>
      <c r="C221">
        <v>2060</v>
      </c>
      <c r="D221">
        <v>2058</v>
      </c>
      <c r="E221">
        <v>100</v>
      </c>
      <c r="F221">
        <v>320</v>
      </c>
      <c r="G221">
        <v>2190</v>
      </c>
      <c r="H221" s="1">
        <v>8358.68</v>
      </c>
      <c r="I221">
        <v>0</v>
      </c>
      <c r="J221" s="283">
        <v>45412.177658182867</v>
      </c>
      <c r="K221" t="s">
        <v>3150</v>
      </c>
      <c r="L221" t="s">
        <v>3145</v>
      </c>
      <c r="M221" t="s">
        <v>3146</v>
      </c>
      <c r="N221" t="s">
        <v>272</v>
      </c>
      <c r="O221" t="s">
        <v>155</v>
      </c>
    </row>
    <row r="222" spans="1:15" x14ac:dyDescent="0.35">
      <c r="A222">
        <v>59533</v>
      </c>
      <c r="B222" s="283">
        <v>44743</v>
      </c>
      <c r="C222">
        <v>2061</v>
      </c>
      <c r="D222">
        <v>2058</v>
      </c>
      <c r="E222">
        <v>100</v>
      </c>
      <c r="F222">
        <v>320</v>
      </c>
      <c r="G222">
        <v>2100</v>
      </c>
      <c r="H222" s="1">
        <v>152828.04</v>
      </c>
      <c r="I222">
        <v>0</v>
      </c>
      <c r="J222" s="283">
        <v>45412.177658182867</v>
      </c>
      <c r="K222" t="s">
        <v>3147</v>
      </c>
      <c r="L222" t="s">
        <v>3145</v>
      </c>
      <c r="M222" t="s">
        <v>3146</v>
      </c>
      <c r="N222" t="s">
        <v>272</v>
      </c>
      <c r="O222" t="s">
        <v>144</v>
      </c>
    </row>
    <row r="223" spans="1:15" x14ac:dyDescent="0.35">
      <c r="A223">
        <v>59534</v>
      </c>
      <c r="B223" s="283">
        <v>44743</v>
      </c>
      <c r="C223">
        <v>2061</v>
      </c>
      <c r="D223">
        <v>2058</v>
      </c>
      <c r="E223">
        <v>100</v>
      </c>
      <c r="F223">
        <v>320</v>
      </c>
      <c r="G223">
        <v>2190</v>
      </c>
      <c r="H223" s="1">
        <v>16414.849999999999</v>
      </c>
      <c r="I223">
        <v>0</v>
      </c>
      <c r="J223" s="283">
        <v>45412.177658182867</v>
      </c>
      <c r="K223" t="s">
        <v>3150</v>
      </c>
      <c r="L223" t="s">
        <v>3145</v>
      </c>
      <c r="M223" t="s">
        <v>3146</v>
      </c>
      <c r="N223" t="s">
        <v>272</v>
      </c>
      <c r="O223" t="s">
        <v>144</v>
      </c>
    </row>
    <row r="224" spans="1:15" x14ac:dyDescent="0.35">
      <c r="A224">
        <v>59546</v>
      </c>
      <c r="B224" s="283">
        <v>44743</v>
      </c>
      <c r="C224">
        <v>2062</v>
      </c>
      <c r="D224">
        <v>2058</v>
      </c>
      <c r="E224">
        <v>100</v>
      </c>
      <c r="F224">
        <v>320</v>
      </c>
      <c r="G224">
        <v>1200</v>
      </c>
      <c r="H224" s="1">
        <v>17444.28</v>
      </c>
      <c r="I224">
        <v>0</v>
      </c>
      <c r="J224" s="283">
        <v>45412.177658182867</v>
      </c>
      <c r="K224" t="s">
        <v>3144</v>
      </c>
      <c r="L224" t="s">
        <v>3145</v>
      </c>
      <c r="M224" t="s">
        <v>3146</v>
      </c>
      <c r="N224" t="s">
        <v>272</v>
      </c>
      <c r="O224" t="s">
        <v>167</v>
      </c>
    </row>
    <row r="225" spans="1:15" x14ac:dyDescent="0.35">
      <c r="A225">
        <v>59547</v>
      </c>
      <c r="B225" s="283">
        <v>44743</v>
      </c>
      <c r="C225">
        <v>2062</v>
      </c>
      <c r="D225">
        <v>2058</v>
      </c>
      <c r="E225">
        <v>100</v>
      </c>
      <c r="F225">
        <v>320</v>
      </c>
      <c r="G225">
        <v>2100</v>
      </c>
      <c r="H225" s="1">
        <v>6730.26</v>
      </c>
      <c r="I225">
        <v>0</v>
      </c>
      <c r="J225" s="283">
        <v>45412.177658182867</v>
      </c>
      <c r="K225" t="s">
        <v>3147</v>
      </c>
      <c r="L225" t="s">
        <v>3145</v>
      </c>
      <c r="M225" t="s">
        <v>3146</v>
      </c>
      <c r="N225" t="s">
        <v>272</v>
      </c>
      <c r="O225" t="s">
        <v>167</v>
      </c>
    </row>
    <row r="226" spans="1:15" x14ac:dyDescent="0.35">
      <c r="A226">
        <v>59548</v>
      </c>
      <c r="B226" s="283">
        <v>44743</v>
      </c>
      <c r="C226">
        <v>2062</v>
      </c>
      <c r="D226">
        <v>2058</v>
      </c>
      <c r="E226">
        <v>100</v>
      </c>
      <c r="F226">
        <v>320</v>
      </c>
      <c r="G226">
        <v>2190</v>
      </c>
      <c r="H226" s="1">
        <v>4528.67</v>
      </c>
      <c r="I226">
        <v>0</v>
      </c>
      <c r="J226" s="283">
        <v>45412.177658182867</v>
      </c>
      <c r="K226" t="s">
        <v>3150</v>
      </c>
      <c r="L226" t="s">
        <v>3145</v>
      </c>
      <c r="M226" t="s">
        <v>3146</v>
      </c>
      <c r="N226" t="s">
        <v>272</v>
      </c>
      <c r="O226" t="s">
        <v>167</v>
      </c>
    </row>
    <row r="227" spans="1:15" x14ac:dyDescent="0.35">
      <c r="A227">
        <v>59560</v>
      </c>
      <c r="B227" s="283">
        <v>44743</v>
      </c>
      <c r="C227">
        <v>2063</v>
      </c>
      <c r="D227">
        <v>2058</v>
      </c>
      <c r="E227">
        <v>100</v>
      </c>
      <c r="F227">
        <v>320</v>
      </c>
      <c r="G227">
        <v>1200</v>
      </c>
      <c r="H227" s="1">
        <v>24676.560000000001</v>
      </c>
      <c r="I227">
        <v>0</v>
      </c>
      <c r="J227" s="283">
        <v>45412.177658182867</v>
      </c>
      <c r="K227" t="s">
        <v>3144</v>
      </c>
      <c r="L227" t="s">
        <v>3145</v>
      </c>
      <c r="M227" t="s">
        <v>3146</v>
      </c>
      <c r="N227" t="s">
        <v>272</v>
      </c>
      <c r="O227" t="s">
        <v>14</v>
      </c>
    </row>
    <row r="228" spans="1:15" x14ac:dyDescent="0.35">
      <c r="A228">
        <v>59561</v>
      </c>
      <c r="B228" s="283">
        <v>44743</v>
      </c>
      <c r="C228">
        <v>2063</v>
      </c>
      <c r="D228">
        <v>2058</v>
      </c>
      <c r="E228">
        <v>100</v>
      </c>
      <c r="F228">
        <v>320</v>
      </c>
      <c r="G228">
        <v>2100</v>
      </c>
      <c r="H228" s="1">
        <v>13718.97</v>
      </c>
      <c r="I228">
        <v>0</v>
      </c>
      <c r="J228" s="283">
        <v>45412.177658182867</v>
      </c>
      <c r="K228" t="s">
        <v>3147</v>
      </c>
      <c r="L228" t="s">
        <v>3145</v>
      </c>
      <c r="M228" t="s">
        <v>3146</v>
      </c>
      <c r="N228" t="s">
        <v>272</v>
      </c>
      <c r="O228" t="s">
        <v>14</v>
      </c>
    </row>
    <row r="229" spans="1:15" x14ac:dyDescent="0.35">
      <c r="A229">
        <v>59562</v>
      </c>
      <c r="B229" s="283">
        <v>44743</v>
      </c>
      <c r="C229">
        <v>2063</v>
      </c>
      <c r="D229">
        <v>2058</v>
      </c>
      <c r="E229">
        <v>100</v>
      </c>
      <c r="F229">
        <v>320</v>
      </c>
      <c r="G229">
        <v>2190</v>
      </c>
      <c r="H229" s="1">
        <v>4687.99</v>
      </c>
      <c r="I229">
        <v>0</v>
      </c>
      <c r="J229" s="283">
        <v>45412.177658182867</v>
      </c>
      <c r="K229" t="s">
        <v>3150</v>
      </c>
      <c r="L229" t="s">
        <v>3145</v>
      </c>
      <c r="M229" t="s">
        <v>3146</v>
      </c>
      <c r="N229" t="s">
        <v>272</v>
      </c>
      <c r="O229" t="s">
        <v>14</v>
      </c>
    </row>
    <row r="230" spans="1:15" x14ac:dyDescent="0.35">
      <c r="A230">
        <v>59577</v>
      </c>
      <c r="B230" s="283">
        <v>44743</v>
      </c>
      <c r="C230">
        <v>2081</v>
      </c>
      <c r="D230">
        <v>2064</v>
      </c>
      <c r="E230">
        <v>100</v>
      </c>
      <c r="F230">
        <v>320</v>
      </c>
      <c r="G230">
        <v>1200</v>
      </c>
      <c r="H230" s="1">
        <v>362996</v>
      </c>
      <c r="I230">
        <v>0</v>
      </c>
      <c r="J230" s="283">
        <v>45412.177658182867</v>
      </c>
      <c r="K230" t="s">
        <v>3144</v>
      </c>
      <c r="L230" t="s">
        <v>3145</v>
      </c>
      <c r="M230" t="s">
        <v>3146</v>
      </c>
      <c r="N230" t="s">
        <v>391</v>
      </c>
      <c r="O230" t="s">
        <v>166</v>
      </c>
    </row>
    <row r="231" spans="1:15" x14ac:dyDescent="0.35">
      <c r="A231">
        <v>59578</v>
      </c>
      <c r="B231" s="283">
        <v>44743</v>
      </c>
      <c r="C231">
        <v>2081</v>
      </c>
      <c r="D231">
        <v>2064</v>
      </c>
      <c r="E231">
        <v>100</v>
      </c>
      <c r="F231">
        <v>320</v>
      </c>
      <c r="G231">
        <v>2100</v>
      </c>
      <c r="H231" s="1">
        <v>19268</v>
      </c>
      <c r="I231">
        <v>0</v>
      </c>
      <c r="J231" s="283">
        <v>45412.177658182867</v>
      </c>
      <c r="K231" t="s">
        <v>3147</v>
      </c>
      <c r="L231" t="s">
        <v>3145</v>
      </c>
      <c r="M231" t="s">
        <v>3146</v>
      </c>
      <c r="N231" t="s">
        <v>391</v>
      </c>
      <c r="O231" t="s">
        <v>166</v>
      </c>
    </row>
    <row r="232" spans="1:15" x14ac:dyDescent="0.35">
      <c r="A232">
        <v>59579</v>
      </c>
      <c r="B232" s="283">
        <v>44743</v>
      </c>
      <c r="C232">
        <v>2081</v>
      </c>
      <c r="D232">
        <v>2064</v>
      </c>
      <c r="E232">
        <v>100</v>
      </c>
      <c r="F232">
        <v>320</v>
      </c>
      <c r="G232">
        <v>2190</v>
      </c>
      <c r="H232" s="1">
        <v>60468</v>
      </c>
      <c r="I232">
        <v>0</v>
      </c>
      <c r="J232" s="283">
        <v>45412.177658182867</v>
      </c>
      <c r="K232" t="s">
        <v>3150</v>
      </c>
      <c r="L232" t="s">
        <v>3145</v>
      </c>
      <c r="M232" t="s">
        <v>3146</v>
      </c>
      <c r="N232" t="s">
        <v>391</v>
      </c>
      <c r="O232" t="s">
        <v>166</v>
      </c>
    </row>
    <row r="233" spans="1:15" x14ac:dyDescent="0.35">
      <c r="A233">
        <v>59580</v>
      </c>
      <c r="B233" s="283">
        <v>44743</v>
      </c>
      <c r="C233">
        <v>2081</v>
      </c>
      <c r="D233">
        <v>2064</v>
      </c>
      <c r="E233">
        <v>100</v>
      </c>
      <c r="F233">
        <v>320</v>
      </c>
      <c r="G233">
        <v>2660</v>
      </c>
      <c r="H233" s="1">
        <v>1938</v>
      </c>
      <c r="I233">
        <v>0</v>
      </c>
      <c r="J233" s="283">
        <v>45412.177658182867</v>
      </c>
      <c r="K233" t="s">
        <v>3152</v>
      </c>
      <c r="L233" t="s">
        <v>3145</v>
      </c>
      <c r="M233" t="s">
        <v>3146</v>
      </c>
      <c r="N233" t="s">
        <v>391</v>
      </c>
      <c r="O233" t="s">
        <v>166</v>
      </c>
    </row>
    <row r="234" spans="1:15" x14ac:dyDescent="0.35">
      <c r="A234">
        <v>59596</v>
      </c>
      <c r="B234" s="283">
        <v>44743</v>
      </c>
      <c r="C234">
        <v>2082</v>
      </c>
      <c r="D234">
        <v>2064</v>
      </c>
      <c r="E234">
        <v>100</v>
      </c>
      <c r="F234">
        <v>320</v>
      </c>
      <c r="G234">
        <v>1200</v>
      </c>
      <c r="H234" s="1">
        <v>3383419</v>
      </c>
      <c r="I234">
        <v>0</v>
      </c>
      <c r="J234" s="283">
        <v>45412.177658182867</v>
      </c>
      <c r="K234" t="s">
        <v>3144</v>
      </c>
      <c r="L234" t="s">
        <v>3145</v>
      </c>
      <c r="M234" t="s">
        <v>3146</v>
      </c>
      <c r="N234" t="s">
        <v>391</v>
      </c>
      <c r="O234" t="s">
        <v>80</v>
      </c>
    </row>
    <row r="235" spans="1:15" x14ac:dyDescent="0.35">
      <c r="A235">
        <v>59597</v>
      </c>
      <c r="B235" s="283">
        <v>44743</v>
      </c>
      <c r="C235">
        <v>2082</v>
      </c>
      <c r="D235">
        <v>2064</v>
      </c>
      <c r="E235">
        <v>100</v>
      </c>
      <c r="F235">
        <v>320</v>
      </c>
      <c r="G235">
        <v>2100</v>
      </c>
      <c r="H235" s="1">
        <v>1489547</v>
      </c>
      <c r="I235">
        <v>0</v>
      </c>
      <c r="J235" s="283">
        <v>45412.177658182867</v>
      </c>
      <c r="K235" t="s">
        <v>3147</v>
      </c>
      <c r="L235" t="s">
        <v>3145</v>
      </c>
      <c r="M235" t="s">
        <v>3146</v>
      </c>
      <c r="N235" t="s">
        <v>391</v>
      </c>
      <c r="O235" t="s">
        <v>80</v>
      </c>
    </row>
    <row r="236" spans="1:15" x14ac:dyDescent="0.35">
      <c r="A236">
        <v>59598</v>
      </c>
      <c r="B236" s="283">
        <v>44743</v>
      </c>
      <c r="C236">
        <v>2082</v>
      </c>
      <c r="D236">
        <v>2064</v>
      </c>
      <c r="E236">
        <v>100</v>
      </c>
      <c r="F236">
        <v>320</v>
      </c>
      <c r="G236">
        <v>2190</v>
      </c>
      <c r="H236" s="1">
        <v>409962</v>
      </c>
      <c r="I236">
        <v>0</v>
      </c>
      <c r="J236" s="283">
        <v>45412.177658182867</v>
      </c>
      <c r="K236" t="s">
        <v>3150</v>
      </c>
      <c r="L236" t="s">
        <v>3145</v>
      </c>
      <c r="M236" t="s">
        <v>3146</v>
      </c>
      <c r="N236" t="s">
        <v>391</v>
      </c>
      <c r="O236" t="s">
        <v>80</v>
      </c>
    </row>
    <row r="237" spans="1:15" x14ac:dyDescent="0.35">
      <c r="A237">
        <v>59599</v>
      </c>
      <c r="B237" s="283">
        <v>44743</v>
      </c>
      <c r="C237">
        <v>2082</v>
      </c>
      <c r="D237">
        <v>2064</v>
      </c>
      <c r="E237">
        <v>100</v>
      </c>
      <c r="F237">
        <v>320</v>
      </c>
      <c r="G237">
        <v>2660</v>
      </c>
      <c r="H237" s="1">
        <v>10882</v>
      </c>
      <c r="I237">
        <v>0</v>
      </c>
      <c r="J237" s="283">
        <v>45412.177658182867</v>
      </c>
      <c r="K237" t="s">
        <v>3152</v>
      </c>
      <c r="L237" t="s">
        <v>3145</v>
      </c>
      <c r="M237" t="s">
        <v>3146</v>
      </c>
      <c r="N237" t="s">
        <v>391</v>
      </c>
      <c r="O237" t="s">
        <v>80</v>
      </c>
    </row>
    <row r="238" spans="1:15" x14ac:dyDescent="0.35">
      <c r="A238">
        <v>59615</v>
      </c>
      <c r="B238" s="283">
        <v>44743</v>
      </c>
      <c r="C238">
        <v>2083</v>
      </c>
      <c r="D238">
        <v>2064</v>
      </c>
      <c r="E238">
        <v>100</v>
      </c>
      <c r="F238">
        <v>320</v>
      </c>
      <c r="G238">
        <v>1200</v>
      </c>
      <c r="H238" s="1">
        <v>3776803</v>
      </c>
      <c r="I238">
        <v>0</v>
      </c>
      <c r="J238" s="283">
        <v>45412.177658182867</v>
      </c>
      <c r="K238" t="s">
        <v>3144</v>
      </c>
      <c r="L238" t="s">
        <v>3145</v>
      </c>
      <c r="M238" t="s">
        <v>3146</v>
      </c>
      <c r="N238" t="s">
        <v>391</v>
      </c>
      <c r="O238" t="s">
        <v>196</v>
      </c>
    </row>
    <row r="239" spans="1:15" x14ac:dyDescent="0.35">
      <c r="A239">
        <v>59616</v>
      </c>
      <c r="B239" s="283">
        <v>44743</v>
      </c>
      <c r="C239">
        <v>2083</v>
      </c>
      <c r="D239">
        <v>2064</v>
      </c>
      <c r="E239">
        <v>100</v>
      </c>
      <c r="F239">
        <v>320</v>
      </c>
      <c r="G239">
        <v>2100</v>
      </c>
      <c r="H239" s="1">
        <v>170250</v>
      </c>
      <c r="I239">
        <v>0</v>
      </c>
      <c r="J239" s="283">
        <v>45412.177658182867</v>
      </c>
      <c r="K239" t="s">
        <v>3147</v>
      </c>
      <c r="L239" t="s">
        <v>3145</v>
      </c>
      <c r="M239" t="s">
        <v>3146</v>
      </c>
      <c r="N239" t="s">
        <v>391</v>
      </c>
      <c r="O239" t="s">
        <v>196</v>
      </c>
    </row>
    <row r="240" spans="1:15" x14ac:dyDescent="0.35">
      <c r="A240">
        <v>59617</v>
      </c>
      <c r="B240" s="283">
        <v>44743</v>
      </c>
      <c r="C240">
        <v>2083</v>
      </c>
      <c r="D240">
        <v>2064</v>
      </c>
      <c r="E240">
        <v>100</v>
      </c>
      <c r="F240">
        <v>320</v>
      </c>
      <c r="G240">
        <v>2190</v>
      </c>
      <c r="H240" s="1">
        <v>491494</v>
      </c>
      <c r="I240">
        <v>0</v>
      </c>
      <c r="J240" s="283">
        <v>45412.177658182867</v>
      </c>
      <c r="K240" t="s">
        <v>3150</v>
      </c>
      <c r="L240" t="s">
        <v>3145</v>
      </c>
      <c r="M240" t="s">
        <v>3146</v>
      </c>
      <c r="N240" t="s">
        <v>391</v>
      </c>
      <c r="O240" t="s">
        <v>196</v>
      </c>
    </row>
    <row r="241" spans="1:15" x14ac:dyDescent="0.35">
      <c r="A241">
        <v>59618</v>
      </c>
      <c r="B241" s="283">
        <v>44743</v>
      </c>
      <c r="C241">
        <v>2083</v>
      </c>
      <c r="D241">
        <v>2064</v>
      </c>
      <c r="E241">
        <v>100</v>
      </c>
      <c r="F241">
        <v>320</v>
      </c>
      <c r="G241">
        <v>2660</v>
      </c>
      <c r="H241" s="1">
        <v>12459</v>
      </c>
      <c r="I241">
        <v>0</v>
      </c>
      <c r="J241" s="283">
        <v>45412.177658182867</v>
      </c>
      <c r="K241" t="s">
        <v>3152</v>
      </c>
      <c r="L241" t="s">
        <v>3145</v>
      </c>
      <c r="M241" t="s">
        <v>3146</v>
      </c>
      <c r="N241" t="s">
        <v>391</v>
      </c>
      <c r="O241" t="s">
        <v>196</v>
      </c>
    </row>
    <row r="242" spans="1:15" x14ac:dyDescent="0.35">
      <c r="A242">
        <v>59634</v>
      </c>
      <c r="B242" s="283">
        <v>44743</v>
      </c>
      <c r="C242">
        <v>2084</v>
      </c>
      <c r="D242">
        <v>2064</v>
      </c>
      <c r="E242">
        <v>100</v>
      </c>
      <c r="F242">
        <v>320</v>
      </c>
      <c r="G242">
        <v>1200</v>
      </c>
      <c r="H242" s="1">
        <v>296905</v>
      </c>
      <c r="I242">
        <v>0</v>
      </c>
      <c r="J242" s="283">
        <v>45412.177658182867</v>
      </c>
      <c r="K242" t="s">
        <v>3144</v>
      </c>
      <c r="L242" t="s">
        <v>3145</v>
      </c>
      <c r="M242" t="s">
        <v>3146</v>
      </c>
      <c r="N242" t="s">
        <v>391</v>
      </c>
      <c r="O242" t="s">
        <v>82</v>
      </c>
    </row>
    <row r="243" spans="1:15" x14ac:dyDescent="0.35">
      <c r="A243">
        <v>59635</v>
      </c>
      <c r="B243" s="283">
        <v>44743</v>
      </c>
      <c r="C243">
        <v>2084</v>
      </c>
      <c r="D243">
        <v>2064</v>
      </c>
      <c r="E243">
        <v>100</v>
      </c>
      <c r="F243">
        <v>320</v>
      </c>
      <c r="G243">
        <v>2100</v>
      </c>
      <c r="H243" s="1">
        <v>12200</v>
      </c>
      <c r="I243">
        <v>0</v>
      </c>
      <c r="J243" s="283">
        <v>45412.177658182867</v>
      </c>
      <c r="K243" t="s">
        <v>3147</v>
      </c>
      <c r="L243" t="s">
        <v>3145</v>
      </c>
      <c r="M243" t="s">
        <v>3146</v>
      </c>
      <c r="N243" t="s">
        <v>391</v>
      </c>
      <c r="O243" t="s">
        <v>82</v>
      </c>
    </row>
    <row r="244" spans="1:15" x14ac:dyDescent="0.35">
      <c r="A244">
        <v>59636</v>
      </c>
      <c r="B244" s="283">
        <v>44743</v>
      </c>
      <c r="C244">
        <v>2084</v>
      </c>
      <c r="D244">
        <v>2064</v>
      </c>
      <c r="E244">
        <v>100</v>
      </c>
      <c r="F244">
        <v>320</v>
      </c>
      <c r="G244">
        <v>2190</v>
      </c>
      <c r="H244" s="1">
        <v>24274</v>
      </c>
      <c r="I244">
        <v>0</v>
      </c>
      <c r="J244" s="283">
        <v>45412.177658182867</v>
      </c>
      <c r="K244" t="s">
        <v>3150</v>
      </c>
      <c r="L244" t="s">
        <v>3145</v>
      </c>
      <c r="M244" t="s">
        <v>3146</v>
      </c>
      <c r="N244" t="s">
        <v>391</v>
      </c>
      <c r="O244" t="s">
        <v>82</v>
      </c>
    </row>
    <row r="245" spans="1:15" x14ac:dyDescent="0.35">
      <c r="A245">
        <v>59637</v>
      </c>
      <c r="B245" s="283">
        <v>44743</v>
      </c>
      <c r="C245">
        <v>2084</v>
      </c>
      <c r="D245">
        <v>2064</v>
      </c>
      <c r="E245">
        <v>100</v>
      </c>
      <c r="F245">
        <v>320</v>
      </c>
      <c r="G245">
        <v>2660</v>
      </c>
      <c r="H245" s="1">
        <v>517</v>
      </c>
      <c r="I245">
        <v>0</v>
      </c>
      <c r="J245" s="283">
        <v>45412.177658182867</v>
      </c>
      <c r="K245" t="s">
        <v>3152</v>
      </c>
      <c r="L245" t="s">
        <v>3145</v>
      </c>
      <c r="M245" t="s">
        <v>3146</v>
      </c>
      <c r="N245" t="s">
        <v>391</v>
      </c>
      <c r="O245" t="s">
        <v>82</v>
      </c>
    </row>
    <row r="246" spans="1:15" x14ac:dyDescent="0.35">
      <c r="A246">
        <v>59653</v>
      </c>
      <c r="B246" s="283">
        <v>44743</v>
      </c>
      <c r="C246">
        <v>2085</v>
      </c>
      <c r="D246">
        <v>2064</v>
      </c>
      <c r="E246">
        <v>100</v>
      </c>
      <c r="F246">
        <v>320</v>
      </c>
      <c r="G246">
        <v>1200</v>
      </c>
      <c r="H246" s="1">
        <v>26585</v>
      </c>
      <c r="I246">
        <v>0</v>
      </c>
      <c r="J246" s="283">
        <v>45412.177658182867</v>
      </c>
      <c r="K246" t="s">
        <v>3144</v>
      </c>
      <c r="L246" t="s">
        <v>3145</v>
      </c>
      <c r="M246" t="s">
        <v>3146</v>
      </c>
      <c r="N246" t="s">
        <v>391</v>
      </c>
      <c r="O246" t="s">
        <v>125</v>
      </c>
    </row>
    <row r="247" spans="1:15" x14ac:dyDescent="0.35">
      <c r="A247">
        <v>59654</v>
      </c>
      <c r="B247" s="283">
        <v>44743</v>
      </c>
      <c r="C247">
        <v>2085</v>
      </c>
      <c r="D247">
        <v>2064</v>
      </c>
      <c r="E247">
        <v>100</v>
      </c>
      <c r="F247">
        <v>320</v>
      </c>
      <c r="G247">
        <v>2100</v>
      </c>
      <c r="H247" s="1">
        <v>46730</v>
      </c>
      <c r="I247">
        <v>0</v>
      </c>
      <c r="J247" s="283">
        <v>45412.177658182867</v>
      </c>
      <c r="K247" t="s">
        <v>3147</v>
      </c>
      <c r="L247" t="s">
        <v>3145</v>
      </c>
      <c r="M247" t="s">
        <v>3146</v>
      </c>
      <c r="N247" t="s">
        <v>391</v>
      </c>
      <c r="O247" t="s">
        <v>125</v>
      </c>
    </row>
    <row r="248" spans="1:15" x14ac:dyDescent="0.35">
      <c r="A248">
        <v>59655</v>
      </c>
      <c r="B248" s="283">
        <v>44743</v>
      </c>
      <c r="C248">
        <v>2085</v>
      </c>
      <c r="D248">
        <v>2064</v>
      </c>
      <c r="E248">
        <v>100</v>
      </c>
      <c r="F248">
        <v>320</v>
      </c>
      <c r="G248">
        <v>2190</v>
      </c>
      <c r="H248" s="1">
        <v>3938</v>
      </c>
      <c r="I248">
        <v>0</v>
      </c>
      <c r="J248" s="283">
        <v>45412.177658182867</v>
      </c>
      <c r="K248" t="s">
        <v>3150</v>
      </c>
      <c r="L248" t="s">
        <v>3145</v>
      </c>
      <c r="M248" t="s">
        <v>3146</v>
      </c>
      <c r="N248" t="s">
        <v>391</v>
      </c>
      <c r="O248" t="s">
        <v>125</v>
      </c>
    </row>
    <row r="249" spans="1:15" x14ac:dyDescent="0.35">
      <c r="A249">
        <v>59656</v>
      </c>
      <c r="B249" s="283">
        <v>44743</v>
      </c>
      <c r="C249">
        <v>2085</v>
      </c>
      <c r="D249">
        <v>2064</v>
      </c>
      <c r="E249">
        <v>100</v>
      </c>
      <c r="F249">
        <v>320</v>
      </c>
      <c r="G249">
        <v>2660</v>
      </c>
      <c r="H249" s="1">
        <v>0</v>
      </c>
      <c r="I249">
        <v>0</v>
      </c>
      <c r="J249" s="283">
        <v>45412.177658182867</v>
      </c>
      <c r="K249" t="s">
        <v>3152</v>
      </c>
      <c r="L249" t="s">
        <v>3145</v>
      </c>
      <c r="M249" t="s">
        <v>3146</v>
      </c>
      <c r="N249" t="s">
        <v>391</v>
      </c>
      <c r="O249" t="s">
        <v>125</v>
      </c>
    </row>
    <row r="250" spans="1:15" x14ac:dyDescent="0.35">
      <c r="A250">
        <v>59672</v>
      </c>
      <c r="B250" s="283">
        <v>44743</v>
      </c>
      <c r="C250">
        <v>2086</v>
      </c>
      <c r="D250">
        <v>2064</v>
      </c>
      <c r="E250">
        <v>100</v>
      </c>
      <c r="F250">
        <v>320</v>
      </c>
      <c r="G250">
        <v>1200</v>
      </c>
      <c r="H250" s="1">
        <v>376469</v>
      </c>
      <c r="I250">
        <v>0</v>
      </c>
      <c r="J250" s="283">
        <v>45412.177658182867</v>
      </c>
      <c r="K250" t="s">
        <v>3144</v>
      </c>
      <c r="L250" t="s">
        <v>3145</v>
      </c>
      <c r="M250" t="s">
        <v>3146</v>
      </c>
      <c r="N250" t="s">
        <v>391</v>
      </c>
      <c r="O250" t="s">
        <v>60</v>
      </c>
    </row>
    <row r="251" spans="1:15" x14ac:dyDescent="0.35">
      <c r="A251">
        <v>59673</v>
      </c>
      <c r="B251" s="283">
        <v>44743</v>
      </c>
      <c r="C251">
        <v>2086</v>
      </c>
      <c r="D251">
        <v>2064</v>
      </c>
      <c r="E251">
        <v>100</v>
      </c>
      <c r="F251">
        <v>320</v>
      </c>
      <c r="G251">
        <v>2100</v>
      </c>
      <c r="H251" s="1">
        <v>65848</v>
      </c>
      <c r="I251">
        <v>0</v>
      </c>
      <c r="J251" s="283">
        <v>45412.177658182867</v>
      </c>
      <c r="K251" t="s">
        <v>3147</v>
      </c>
      <c r="L251" t="s">
        <v>3145</v>
      </c>
      <c r="M251" t="s">
        <v>3146</v>
      </c>
      <c r="N251" t="s">
        <v>391</v>
      </c>
      <c r="O251" t="s">
        <v>60</v>
      </c>
    </row>
    <row r="252" spans="1:15" x14ac:dyDescent="0.35">
      <c r="A252">
        <v>59674</v>
      </c>
      <c r="B252" s="283">
        <v>44743</v>
      </c>
      <c r="C252">
        <v>2086</v>
      </c>
      <c r="D252">
        <v>2064</v>
      </c>
      <c r="E252">
        <v>100</v>
      </c>
      <c r="F252">
        <v>320</v>
      </c>
      <c r="G252">
        <v>2190</v>
      </c>
      <c r="H252" s="1">
        <v>84834</v>
      </c>
      <c r="I252">
        <v>0</v>
      </c>
      <c r="J252" s="283">
        <v>45412.177658182867</v>
      </c>
      <c r="K252" t="s">
        <v>3150</v>
      </c>
      <c r="L252" t="s">
        <v>3145</v>
      </c>
      <c r="M252" t="s">
        <v>3146</v>
      </c>
      <c r="N252" t="s">
        <v>391</v>
      </c>
      <c r="O252" t="s">
        <v>60</v>
      </c>
    </row>
    <row r="253" spans="1:15" x14ac:dyDescent="0.35">
      <c r="A253">
        <v>59675</v>
      </c>
      <c r="B253" s="283">
        <v>44743</v>
      </c>
      <c r="C253">
        <v>2086</v>
      </c>
      <c r="D253">
        <v>2064</v>
      </c>
      <c r="E253">
        <v>100</v>
      </c>
      <c r="F253">
        <v>320</v>
      </c>
      <c r="G253">
        <v>2660</v>
      </c>
      <c r="H253" s="1">
        <v>2315</v>
      </c>
      <c r="I253">
        <v>0</v>
      </c>
      <c r="J253" s="283">
        <v>45412.177658182867</v>
      </c>
      <c r="K253" t="s">
        <v>3152</v>
      </c>
      <c r="L253" t="s">
        <v>3145</v>
      </c>
      <c r="M253" t="s">
        <v>3146</v>
      </c>
      <c r="N253" t="s">
        <v>391</v>
      </c>
      <c r="O253" t="s">
        <v>60</v>
      </c>
    </row>
    <row r="254" spans="1:15" x14ac:dyDescent="0.35">
      <c r="A254">
        <v>59691</v>
      </c>
      <c r="B254" s="283">
        <v>44743</v>
      </c>
      <c r="C254">
        <v>2087</v>
      </c>
      <c r="D254">
        <v>2064</v>
      </c>
      <c r="E254">
        <v>100</v>
      </c>
      <c r="F254">
        <v>320</v>
      </c>
      <c r="G254">
        <v>1200</v>
      </c>
      <c r="H254" s="1">
        <v>1019116</v>
      </c>
      <c r="I254">
        <v>0</v>
      </c>
      <c r="J254" s="283">
        <v>45412.177658182867</v>
      </c>
      <c r="K254" t="s">
        <v>3144</v>
      </c>
      <c r="L254" t="s">
        <v>3145</v>
      </c>
      <c r="M254" t="s">
        <v>3146</v>
      </c>
      <c r="N254" t="s">
        <v>391</v>
      </c>
      <c r="O254" t="s">
        <v>192</v>
      </c>
    </row>
    <row r="255" spans="1:15" x14ac:dyDescent="0.35">
      <c r="A255">
        <v>59692</v>
      </c>
      <c r="B255" s="283">
        <v>44743</v>
      </c>
      <c r="C255">
        <v>2087</v>
      </c>
      <c r="D255">
        <v>2064</v>
      </c>
      <c r="E255">
        <v>100</v>
      </c>
      <c r="F255">
        <v>320</v>
      </c>
      <c r="G255">
        <v>2100</v>
      </c>
      <c r="H255" s="1">
        <v>73799</v>
      </c>
      <c r="I255">
        <v>0</v>
      </c>
      <c r="J255" s="283">
        <v>45412.177658182867</v>
      </c>
      <c r="K255" t="s">
        <v>3147</v>
      </c>
      <c r="L255" t="s">
        <v>3145</v>
      </c>
      <c r="M255" t="s">
        <v>3146</v>
      </c>
      <c r="N255" t="s">
        <v>391</v>
      </c>
      <c r="O255" t="s">
        <v>192</v>
      </c>
    </row>
    <row r="256" spans="1:15" x14ac:dyDescent="0.35">
      <c r="A256">
        <v>59693</v>
      </c>
      <c r="B256" s="283">
        <v>44743</v>
      </c>
      <c r="C256">
        <v>2087</v>
      </c>
      <c r="D256">
        <v>2064</v>
      </c>
      <c r="E256">
        <v>100</v>
      </c>
      <c r="F256">
        <v>320</v>
      </c>
      <c r="G256">
        <v>2190</v>
      </c>
      <c r="H256" s="1">
        <v>151538</v>
      </c>
      <c r="I256">
        <v>0</v>
      </c>
      <c r="J256" s="283">
        <v>45412.177658182867</v>
      </c>
      <c r="K256" t="s">
        <v>3150</v>
      </c>
      <c r="L256" t="s">
        <v>3145</v>
      </c>
      <c r="M256" t="s">
        <v>3146</v>
      </c>
      <c r="N256" t="s">
        <v>391</v>
      </c>
      <c r="O256" t="s">
        <v>192</v>
      </c>
    </row>
    <row r="257" spans="1:15" x14ac:dyDescent="0.35">
      <c r="A257">
        <v>59694</v>
      </c>
      <c r="B257" s="283">
        <v>44743</v>
      </c>
      <c r="C257">
        <v>2087</v>
      </c>
      <c r="D257">
        <v>2064</v>
      </c>
      <c r="E257">
        <v>100</v>
      </c>
      <c r="F257">
        <v>320</v>
      </c>
      <c r="G257">
        <v>2660</v>
      </c>
      <c r="H257" s="1">
        <v>4160</v>
      </c>
      <c r="I257">
        <v>0</v>
      </c>
      <c r="J257" s="283">
        <v>45412.177658182867</v>
      </c>
      <c r="K257" t="s">
        <v>3152</v>
      </c>
      <c r="L257" t="s">
        <v>3145</v>
      </c>
      <c r="M257" t="s">
        <v>3146</v>
      </c>
      <c r="N257" t="s">
        <v>391</v>
      </c>
      <c r="O257" t="s">
        <v>192</v>
      </c>
    </row>
    <row r="258" spans="1:15" x14ac:dyDescent="0.35">
      <c r="A258">
        <v>59710</v>
      </c>
      <c r="B258" s="283">
        <v>44743</v>
      </c>
      <c r="C258">
        <v>2088</v>
      </c>
      <c r="D258">
        <v>2064</v>
      </c>
      <c r="E258">
        <v>100</v>
      </c>
      <c r="F258">
        <v>320</v>
      </c>
      <c r="G258">
        <v>1200</v>
      </c>
      <c r="H258" s="1">
        <v>465143</v>
      </c>
      <c r="I258">
        <v>0</v>
      </c>
      <c r="J258" s="283">
        <v>45412.177658182867</v>
      </c>
      <c r="K258" t="s">
        <v>3144</v>
      </c>
      <c r="L258" t="s">
        <v>3145</v>
      </c>
      <c r="M258" t="s">
        <v>3146</v>
      </c>
      <c r="N258" t="s">
        <v>391</v>
      </c>
      <c r="O258" t="s">
        <v>36</v>
      </c>
    </row>
    <row r="259" spans="1:15" x14ac:dyDescent="0.35">
      <c r="A259">
        <v>59711</v>
      </c>
      <c r="B259" s="283">
        <v>44743</v>
      </c>
      <c r="C259">
        <v>2088</v>
      </c>
      <c r="D259">
        <v>2064</v>
      </c>
      <c r="E259">
        <v>100</v>
      </c>
      <c r="F259">
        <v>320</v>
      </c>
      <c r="G259">
        <v>2100</v>
      </c>
      <c r="H259" s="1">
        <v>362489</v>
      </c>
      <c r="I259">
        <v>0</v>
      </c>
      <c r="J259" s="283">
        <v>45412.177658182867</v>
      </c>
      <c r="K259" t="s">
        <v>3147</v>
      </c>
      <c r="L259" t="s">
        <v>3145</v>
      </c>
      <c r="M259" t="s">
        <v>3146</v>
      </c>
      <c r="N259" t="s">
        <v>391</v>
      </c>
      <c r="O259" t="s">
        <v>36</v>
      </c>
    </row>
    <row r="260" spans="1:15" x14ac:dyDescent="0.35">
      <c r="A260">
        <v>59712</v>
      </c>
      <c r="B260" s="283">
        <v>44743</v>
      </c>
      <c r="C260">
        <v>2088</v>
      </c>
      <c r="D260">
        <v>2064</v>
      </c>
      <c r="E260">
        <v>100</v>
      </c>
      <c r="F260">
        <v>320</v>
      </c>
      <c r="G260">
        <v>2190</v>
      </c>
      <c r="H260" s="1">
        <v>74409</v>
      </c>
      <c r="I260">
        <v>0</v>
      </c>
      <c r="J260" s="283">
        <v>45412.177658182867</v>
      </c>
      <c r="K260" t="s">
        <v>3150</v>
      </c>
      <c r="L260" t="s">
        <v>3145</v>
      </c>
      <c r="M260" t="s">
        <v>3146</v>
      </c>
      <c r="N260" t="s">
        <v>391</v>
      </c>
      <c r="O260" t="s">
        <v>36</v>
      </c>
    </row>
    <row r="261" spans="1:15" x14ac:dyDescent="0.35">
      <c r="A261">
        <v>59713</v>
      </c>
      <c r="B261" s="283">
        <v>44743</v>
      </c>
      <c r="C261">
        <v>2088</v>
      </c>
      <c r="D261">
        <v>2064</v>
      </c>
      <c r="E261">
        <v>100</v>
      </c>
      <c r="F261">
        <v>320</v>
      </c>
      <c r="G261">
        <v>2660</v>
      </c>
      <c r="H261" s="1">
        <v>2396</v>
      </c>
      <c r="I261">
        <v>0</v>
      </c>
      <c r="J261" s="283">
        <v>45412.177658182867</v>
      </c>
      <c r="K261" t="s">
        <v>3152</v>
      </c>
      <c r="L261" t="s">
        <v>3145</v>
      </c>
      <c r="M261" t="s">
        <v>3146</v>
      </c>
      <c r="N261" t="s">
        <v>391</v>
      </c>
      <c r="O261" t="s">
        <v>36</v>
      </c>
    </row>
    <row r="262" spans="1:15" x14ac:dyDescent="0.35">
      <c r="A262">
        <v>59729</v>
      </c>
      <c r="B262" s="283">
        <v>44743</v>
      </c>
      <c r="C262">
        <v>2089</v>
      </c>
      <c r="D262">
        <v>2064</v>
      </c>
      <c r="E262">
        <v>100</v>
      </c>
      <c r="F262">
        <v>320</v>
      </c>
      <c r="G262">
        <v>1200</v>
      </c>
      <c r="H262" s="1">
        <v>75070</v>
      </c>
      <c r="I262">
        <v>0</v>
      </c>
      <c r="J262" s="283">
        <v>45412.177658182867</v>
      </c>
      <c r="K262" t="s">
        <v>3144</v>
      </c>
      <c r="L262" t="s">
        <v>3145</v>
      </c>
      <c r="M262" t="s">
        <v>3146</v>
      </c>
      <c r="N262" t="s">
        <v>391</v>
      </c>
      <c r="O262" t="s">
        <v>62</v>
      </c>
    </row>
    <row r="263" spans="1:15" x14ac:dyDescent="0.35">
      <c r="A263">
        <v>59730</v>
      </c>
      <c r="B263" s="283">
        <v>44743</v>
      </c>
      <c r="C263">
        <v>2089</v>
      </c>
      <c r="D263">
        <v>2064</v>
      </c>
      <c r="E263">
        <v>100</v>
      </c>
      <c r="F263">
        <v>320</v>
      </c>
      <c r="G263">
        <v>2100</v>
      </c>
      <c r="H263" s="1">
        <v>111451</v>
      </c>
      <c r="I263">
        <v>0</v>
      </c>
      <c r="J263" s="283">
        <v>45412.177658182867</v>
      </c>
      <c r="K263" t="s">
        <v>3147</v>
      </c>
      <c r="L263" t="s">
        <v>3145</v>
      </c>
      <c r="M263" t="s">
        <v>3146</v>
      </c>
      <c r="N263" t="s">
        <v>391</v>
      </c>
      <c r="O263" t="s">
        <v>62</v>
      </c>
    </row>
    <row r="264" spans="1:15" x14ac:dyDescent="0.35">
      <c r="A264">
        <v>59731</v>
      </c>
      <c r="B264" s="283">
        <v>44743</v>
      </c>
      <c r="C264">
        <v>2089</v>
      </c>
      <c r="D264">
        <v>2064</v>
      </c>
      <c r="E264">
        <v>100</v>
      </c>
      <c r="F264">
        <v>320</v>
      </c>
      <c r="G264">
        <v>2190</v>
      </c>
      <c r="H264" s="1">
        <v>27620</v>
      </c>
      <c r="I264">
        <v>0</v>
      </c>
      <c r="J264" s="283">
        <v>45412.177658182867</v>
      </c>
      <c r="K264" t="s">
        <v>3150</v>
      </c>
      <c r="L264" t="s">
        <v>3145</v>
      </c>
      <c r="M264" t="s">
        <v>3146</v>
      </c>
      <c r="N264" t="s">
        <v>391</v>
      </c>
      <c r="O264" t="s">
        <v>62</v>
      </c>
    </row>
    <row r="265" spans="1:15" x14ac:dyDescent="0.35">
      <c r="A265">
        <v>59732</v>
      </c>
      <c r="B265" s="283">
        <v>44743</v>
      </c>
      <c r="C265">
        <v>2089</v>
      </c>
      <c r="D265">
        <v>2064</v>
      </c>
      <c r="E265">
        <v>100</v>
      </c>
      <c r="F265">
        <v>320</v>
      </c>
      <c r="G265">
        <v>2660</v>
      </c>
      <c r="H265" s="1">
        <v>611</v>
      </c>
      <c r="I265">
        <v>0</v>
      </c>
      <c r="J265" s="283">
        <v>45412.177658182867</v>
      </c>
      <c r="K265" t="s">
        <v>3152</v>
      </c>
      <c r="L265" t="s">
        <v>3145</v>
      </c>
      <c r="M265" t="s">
        <v>3146</v>
      </c>
      <c r="N265" t="s">
        <v>391</v>
      </c>
      <c r="O265" t="s">
        <v>62</v>
      </c>
    </row>
    <row r="266" spans="1:15" x14ac:dyDescent="0.35">
      <c r="A266">
        <v>59748</v>
      </c>
      <c r="B266" s="283">
        <v>44743</v>
      </c>
      <c r="C266">
        <v>2090</v>
      </c>
      <c r="D266">
        <v>2064</v>
      </c>
      <c r="E266">
        <v>100</v>
      </c>
      <c r="F266">
        <v>320</v>
      </c>
      <c r="G266">
        <v>1200</v>
      </c>
      <c r="H266" s="1">
        <v>35685</v>
      </c>
      <c r="I266">
        <v>0</v>
      </c>
      <c r="J266" s="283">
        <v>45412.177658182867</v>
      </c>
      <c r="K266" t="s">
        <v>3144</v>
      </c>
      <c r="L266" t="s">
        <v>3145</v>
      </c>
      <c r="M266" t="s">
        <v>3146</v>
      </c>
      <c r="N266" t="s">
        <v>391</v>
      </c>
      <c r="O266" t="s">
        <v>127</v>
      </c>
    </row>
    <row r="267" spans="1:15" x14ac:dyDescent="0.35">
      <c r="A267">
        <v>59749</v>
      </c>
      <c r="B267" s="283">
        <v>44743</v>
      </c>
      <c r="C267">
        <v>2090</v>
      </c>
      <c r="D267">
        <v>2064</v>
      </c>
      <c r="E267">
        <v>100</v>
      </c>
      <c r="F267">
        <v>320</v>
      </c>
      <c r="G267">
        <v>2100</v>
      </c>
      <c r="H267" s="1">
        <v>79885</v>
      </c>
      <c r="I267">
        <v>0</v>
      </c>
      <c r="J267" s="283">
        <v>45412.177658182867</v>
      </c>
      <c r="K267" t="s">
        <v>3147</v>
      </c>
      <c r="L267" t="s">
        <v>3145</v>
      </c>
      <c r="M267" t="s">
        <v>3146</v>
      </c>
      <c r="N267" t="s">
        <v>391</v>
      </c>
      <c r="O267" t="s">
        <v>127</v>
      </c>
    </row>
    <row r="268" spans="1:15" x14ac:dyDescent="0.35">
      <c r="A268">
        <v>59750</v>
      </c>
      <c r="B268" s="283">
        <v>44743</v>
      </c>
      <c r="C268">
        <v>2090</v>
      </c>
      <c r="D268">
        <v>2064</v>
      </c>
      <c r="E268">
        <v>100</v>
      </c>
      <c r="F268">
        <v>320</v>
      </c>
      <c r="G268">
        <v>2190</v>
      </c>
      <c r="H268" s="1">
        <v>10419</v>
      </c>
      <c r="I268">
        <v>0</v>
      </c>
      <c r="J268" s="283">
        <v>45412.177658182867</v>
      </c>
      <c r="K268" t="s">
        <v>3150</v>
      </c>
      <c r="L268" t="s">
        <v>3145</v>
      </c>
      <c r="M268" t="s">
        <v>3146</v>
      </c>
      <c r="N268" t="s">
        <v>391</v>
      </c>
      <c r="O268" t="s">
        <v>127</v>
      </c>
    </row>
    <row r="269" spans="1:15" x14ac:dyDescent="0.35">
      <c r="A269">
        <v>59751</v>
      </c>
      <c r="B269" s="283">
        <v>44743</v>
      </c>
      <c r="C269">
        <v>2090</v>
      </c>
      <c r="D269">
        <v>2064</v>
      </c>
      <c r="E269">
        <v>100</v>
      </c>
      <c r="F269">
        <v>320</v>
      </c>
      <c r="G269">
        <v>2660</v>
      </c>
      <c r="H269" s="1">
        <v>118</v>
      </c>
      <c r="I269">
        <v>0</v>
      </c>
      <c r="J269" s="283">
        <v>45412.177658182867</v>
      </c>
      <c r="K269" t="s">
        <v>3152</v>
      </c>
      <c r="L269" t="s">
        <v>3145</v>
      </c>
      <c r="M269" t="s">
        <v>3146</v>
      </c>
      <c r="N269" t="s">
        <v>391</v>
      </c>
      <c r="O269" t="s">
        <v>127</v>
      </c>
    </row>
    <row r="270" spans="1:15" x14ac:dyDescent="0.35">
      <c r="A270">
        <v>59767</v>
      </c>
      <c r="B270" s="283">
        <v>44743</v>
      </c>
      <c r="C270">
        <v>2091</v>
      </c>
      <c r="D270">
        <v>2064</v>
      </c>
      <c r="E270">
        <v>100</v>
      </c>
      <c r="F270">
        <v>320</v>
      </c>
      <c r="G270">
        <v>1200</v>
      </c>
      <c r="H270" s="1">
        <v>640729</v>
      </c>
      <c r="I270">
        <v>0</v>
      </c>
      <c r="J270" s="283">
        <v>45412.177658182867</v>
      </c>
      <c r="K270" t="s">
        <v>3144</v>
      </c>
      <c r="L270" t="s">
        <v>3145</v>
      </c>
      <c r="M270" t="s">
        <v>3146</v>
      </c>
      <c r="N270" t="s">
        <v>391</v>
      </c>
      <c r="O270" t="s">
        <v>112</v>
      </c>
    </row>
    <row r="271" spans="1:15" x14ac:dyDescent="0.35">
      <c r="A271">
        <v>59768</v>
      </c>
      <c r="B271" s="283">
        <v>44743</v>
      </c>
      <c r="C271">
        <v>2091</v>
      </c>
      <c r="D271">
        <v>2064</v>
      </c>
      <c r="E271">
        <v>100</v>
      </c>
      <c r="F271">
        <v>320</v>
      </c>
      <c r="G271">
        <v>2100</v>
      </c>
      <c r="H271" s="1">
        <v>51502</v>
      </c>
      <c r="I271">
        <v>0</v>
      </c>
      <c r="J271" s="283">
        <v>45412.177658182867</v>
      </c>
      <c r="K271" t="s">
        <v>3147</v>
      </c>
      <c r="L271" t="s">
        <v>3145</v>
      </c>
      <c r="M271" t="s">
        <v>3146</v>
      </c>
      <c r="N271" t="s">
        <v>391</v>
      </c>
      <c r="O271" t="s">
        <v>112</v>
      </c>
    </row>
    <row r="272" spans="1:15" x14ac:dyDescent="0.35">
      <c r="A272">
        <v>59769</v>
      </c>
      <c r="B272" s="283">
        <v>44743</v>
      </c>
      <c r="C272">
        <v>2091</v>
      </c>
      <c r="D272">
        <v>2064</v>
      </c>
      <c r="E272">
        <v>100</v>
      </c>
      <c r="F272">
        <v>320</v>
      </c>
      <c r="G272">
        <v>2190</v>
      </c>
      <c r="H272" s="1">
        <v>97670</v>
      </c>
      <c r="I272">
        <v>0</v>
      </c>
      <c r="J272" s="283">
        <v>45412.177658182867</v>
      </c>
      <c r="K272" t="s">
        <v>3150</v>
      </c>
      <c r="L272" t="s">
        <v>3145</v>
      </c>
      <c r="M272" t="s">
        <v>3146</v>
      </c>
      <c r="N272" t="s">
        <v>391</v>
      </c>
      <c r="O272" t="s">
        <v>112</v>
      </c>
    </row>
    <row r="273" spans="1:15" x14ac:dyDescent="0.35">
      <c r="A273">
        <v>59770</v>
      </c>
      <c r="B273" s="283">
        <v>44743</v>
      </c>
      <c r="C273">
        <v>2091</v>
      </c>
      <c r="D273">
        <v>2064</v>
      </c>
      <c r="E273">
        <v>100</v>
      </c>
      <c r="F273">
        <v>320</v>
      </c>
      <c r="G273">
        <v>2660</v>
      </c>
      <c r="H273" s="1">
        <v>3006</v>
      </c>
      <c r="I273">
        <v>0</v>
      </c>
      <c r="J273" s="283">
        <v>45412.177658182867</v>
      </c>
      <c r="K273" t="s">
        <v>3152</v>
      </c>
      <c r="L273" t="s">
        <v>3145</v>
      </c>
      <c r="M273" t="s">
        <v>3146</v>
      </c>
      <c r="N273" t="s">
        <v>391</v>
      </c>
      <c r="O273" t="s">
        <v>112</v>
      </c>
    </row>
    <row r="274" spans="1:15" x14ac:dyDescent="0.35">
      <c r="A274">
        <v>59786</v>
      </c>
      <c r="B274" s="283">
        <v>44743</v>
      </c>
      <c r="C274">
        <v>2092</v>
      </c>
      <c r="D274">
        <v>2064</v>
      </c>
      <c r="E274">
        <v>100</v>
      </c>
      <c r="F274">
        <v>320</v>
      </c>
      <c r="G274">
        <v>1200</v>
      </c>
      <c r="H274" s="1">
        <v>175036</v>
      </c>
      <c r="I274">
        <v>0</v>
      </c>
      <c r="J274" s="283">
        <v>45412.177658182867</v>
      </c>
      <c r="K274" t="s">
        <v>3144</v>
      </c>
      <c r="L274" t="s">
        <v>3145</v>
      </c>
      <c r="M274" t="s">
        <v>3146</v>
      </c>
      <c r="N274" t="s">
        <v>391</v>
      </c>
      <c r="O274" t="s">
        <v>123</v>
      </c>
    </row>
    <row r="275" spans="1:15" x14ac:dyDescent="0.35">
      <c r="A275">
        <v>59787</v>
      </c>
      <c r="B275" s="283">
        <v>44743</v>
      </c>
      <c r="C275">
        <v>2092</v>
      </c>
      <c r="D275">
        <v>2064</v>
      </c>
      <c r="E275">
        <v>100</v>
      </c>
      <c r="F275">
        <v>320</v>
      </c>
      <c r="G275">
        <v>2100</v>
      </c>
      <c r="H275" s="1">
        <v>128818</v>
      </c>
      <c r="I275">
        <v>0</v>
      </c>
      <c r="J275" s="283">
        <v>45412.177658182867</v>
      </c>
      <c r="K275" t="s">
        <v>3147</v>
      </c>
      <c r="L275" t="s">
        <v>3145</v>
      </c>
      <c r="M275" t="s">
        <v>3146</v>
      </c>
      <c r="N275" t="s">
        <v>391</v>
      </c>
      <c r="O275" t="s">
        <v>123</v>
      </c>
    </row>
    <row r="276" spans="1:15" x14ac:dyDescent="0.35">
      <c r="A276">
        <v>59788</v>
      </c>
      <c r="B276" s="283">
        <v>44743</v>
      </c>
      <c r="C276">
        <v>2092</v>
      </c>
      <c r="D276">
        <v>2064</v>
      </c>
      <c r="E276">
        <v>100</v>
      </c>
      <c r="F276">
        <v>320</v>
      </c>
      <c r="G276">
        <v>2190</v>
      </c>
      <c r="H276" s="1">
        <v>21087</v>
      </c>
      <c r="I276">
        <v>0</v>
      </c>
      <c r="J276" s="283">
        <v>45412.177658182867</v>
      </c>
      <c r="K276" t="s">
        <v>3150</v>
      </c>
      <c r="L276" t="s">
        <v>3145</v>
      </c>
      <c r="M276" t="s">
        <v>3146</v>
      </c>
      <c r="N276" t="s">
        <v>391</v>
      </c>
      <c r="O276" t="s">
        <v>123</v>
      </c>
    </row>
    <row r="277" spans="1:15" x14ac:dyDescent="0.35">
      <c r="A277">
        <v>59789</v>
      </c>
      <c r="B277" s="283">
        <v>44743</v>
      </c>
      <c r="C277">
        <v>2092</v>
      </c>
      <c r="D277">
        <v>2064</v>
      </c>
      <c r="E277">
        <v>100</v>
      </c>
      <c r="F277">
        <v>320</v>
      </c>
      <c r="G277">
        <v>2660</v>
      </c>
      <c r="H277" s="1">
        <v>364</v>
      </c>
      <c r="I277">
        <v>0</v>
      </c>
      <c r="J277" s="283">
        <v>45412.177658182867</v>
      </c>
      <c r="K277" t="s">
        <v>3152</v>
      </c>
      <c r="L277" t="s">
        <v>3145</v>
      </c>
      <c r="M277" t="s">
        <v>3146</v>
      </c>
      <c r="N277" t="s">
        <v>391</v>
      </c>
      <c r="O277" t="s">
        <v>123</v>
      </c>
    </row>
    <row r="278" spans="1:15" x14ac:dyDescent="0.35">
      <c r="A278">
        <v>59805</v>
      </c>
      <c r="B278" s="283">
        <v>44743</v>
      </c>
      <c r="C278">
        <v>2093</v>
      </c>
      <c r="D278">
        <v>2064</v>
      </c>
      <c r="E278">
        <v>100</v>
      </c>
      <c r="F278">
        <v>320</v>
      </c>
      <c r="G278">
        <v>1200</v>
      </c>
      <c r="H278" s="1">
        <v>83990</v>
      </c>
      <c r="I278">
        <v>0</v>
      </c>
      <c r="J278" s="283">
        <v>45412.177658182867</v>
      </c>
      <c r="K278" t="s">
        <v>3144</v>
      </c>
      <c r="L278" t="s">
        <v>3145</v>
      </c>
      <c r="M278" t="s">
        <v>3146</v>
      </c>
      <c r="N278" t="s">
        <v>391</v>
      </c>
      <c r="O278" t="s">
        <v>151</v>
      </c>
    </row>
    <row r="279" spans="1:15" x14ac:dyDescent="0.35">
      <c r="A279">
        <v>59806</v>
      </c>
      <c r="B279" s="283">
        <v>44743</v>
      </c>
      <c r="C279">
        <v>2093</v>
      </c>
      <c r="D279">
        <v>2064</v>
      </c>
      <c r="E279">
        <v>100</v>
      </c>
      <c r="F279">
        <v>320</v>
      </c>
      <c r="G279">
        <v>2100</v>
      </c>
      <c r="H279" s="1">
        <v>1574</v>
      </c>
      <c r="I279">
        <v>0</v>
      </c>
      <c r="J279" s="283">
        <v>45412.177658182867</v>
      </c>
      <c r="K279" t="s">
        <v>3147</v>
      </c>
      <c r="L279" t="s">
        <v>3145</v>
      </c>
      <c r="M279" t="s">
        <v>3146</v>
      </c>
      <c r="N279" t="s">
        <v>391</v>
      </c>
      <c r="O279" t="s">
        <v>151</v>
      </c>
    </row>
    <row r="280" spans="1:15" x14ac:dyDescent="0.35">
      <c r="A280">
        <v>59807</v>
      </c>
      <c r="B280" s="283">
        <v>44743</v>
      </c>
      <c r="C280">
        <v>2093</v>
      </c>
      <c r="D280">
        <v>2064</v>
      </c>
      <c r="E280">
        <v>100</v>
      </c>
      <c r="F280">
        <v>320</v>
      </c>
      <c r="G280">
        <v>2190</v>
      </c>
      <c r="H280" s="1">
        <v>173742</v>
      </c>
      <c r="I280">
        <v>0</v>
      </c>
      <c r="J280" s="283">
        <v>45412.177658182867</v>
      </c>
      <c r="K280" t="s">
        <v>3150</v>
      </c>
      <c r="L280" t="s">
        <v>3145</v>
      </c>
      <c r="M280" t="s">
        <v>3146</v>
      </c>
      <c r="N280" t="s">
        <v>391</v>
      </c>
      <c r="O280" t="s">
        <v>151</v>
      </c>
    </row>
    <row r="281" spans="1:15" x14ac:dyDescent="0.35">
      <c r="A281">
        <v>59808</v>
      </c>
      <c r="B281" s="283">
        <v>44743</v>
      </c>
      <c r="C281">
        <v>2093</v>
      </c>
      <c r="D281">
        <v>2064</v>
      </c>
      <c r="E281">
        <v>100</v>
      </c>
      <c r="F281">
        <v>320</v>
      </c>
      <c r="G281">
        <v>2660</v>
      </c>
      <c r="H281" s="1">
        <v>258</v>
      </c>
      <c r="I281">
        <v>0</v>
      </c>
      <c r="J281" s="283">
        <v>45412.177658182867</v>
      </c>
      <c r="K281" t="s">
        <v>3152</v>
      </c>
      <c r="L281" t="s">
        <v>3145</v>
      </c>
      <c r="M281" t="s">
        <v>3146</v>
      </c>
      <c r="N281" t="s">
        <v>391</v>
      </c>
      <c r="O281" t="s">
        <v>151</v>
      </c>
    </row>
    <row r="282" spans="1:15" x14ac:dyDescent="0.35">
      <c r="A282">
        <v>59824</v>
      </c>
      <c r="B282" s="283">
        <v>44743</v>
      </c>
      <c r="C282">
        <v>2094</v>
      </c>
      <c r="D282">
        <v>2064</v>
      </c>
      <c r="E282">
        <v>100</v>
      </c>
      <c r="F282">
        <v>320</v>
      </c>
      <c r="G282">
        <v>1200</v>
      </c>
      <c r="H282" s="1">
        <v>161041</v>
      </c>
      <c r="I282">
        <v>0</v>
      </c>
      <c r="J282" s="283">
        <v>45412.177658182867</v>
      </c>
      <c r="K282" t="s">
        <v>3144</v>
      </c>
      <c r="L282" t="s">
        <v>3145</v>
      </c>
      <c r="M282" t="s">
        <v>3146</v>
      </c>
      <c r="N282" t="s">
        <v>391</v>
      </c>
      <c r="O282" t="s">
        <v>126</v>
      </c>
    </row>
    <row r="283" spans="1:15" x14ac:dyDescent="0.35">
      <c r="A283">
        <v>59825</v>
      </c>
      <c r="B283" s="283">
        <v>44743</v>
      </c>
      <c r="C283">
        <v>2094</v>
      </c>
      <c r="D283">
        <v>2064</v>
      </c>
      <c r="E283">
        <v>100</v>
      </c>
      <c r="F283">
        <v>320</v>
      </c>
      <c r="G283">
        <v>2100</v>
      </c>
      <c r="H283" s="1">
        <v>84793</v>
      </c>
      <c r="I283">
        <v>0</v>
      </c>
      <c r="J283" s="283">
        <v>45412.177658182867</v>
      </c>
      <c r="K283" t="s">
        <v>3147</v>
      </c>
      <c r="L283" t="s">
        <v>3145</v>
      </c>
      <c r="M283" t="s">
        <v>3146</v>
      </c>
      <c r="N283" t="s">
        <v>391</v>
      </c>
      <c r="O283" t="s">
        <v>126</v>
      </c>
    </row>
    <row r="284" spans="1:15" x14ac:dyDescent="0.35">
      <c r="A284">
        <v>59826</v>
      </c>
      <c r="B284" s="283">
        <v>44743</v>
      </c>
      <c r="C284">
        <v>2094</v>
      </c>
      <c r="D284">
        <v>2064</v>
      </c>
      <c r="E284">
        <v>100</v>
      </c>
      <c r="F284">
        <v>320</v>
      </c>
      <c r="G284">
        <v>2190</v>
      </c>
      <c r="H284" s="1">
        <v>20737</v>
      </c>
      <c r="I284">
        <v>0</v>
      </c>
      <c r="J284" s="283">
        <v>45412.177658182867</v>
      </c>
      <c r="K284" t="s">
        <v>3150</v>
      </c>
      <c r="L284" t="s">
        <v>3145</v>
      </c>
      <c r="M284" t="s">
        <v>3146</v>
      </c>
      <c r="N284" t="s">
        <v>391</v>
      </c>
      <c r="O284" t="s">
        <v>126</v>
      </c>
    </row>
    <row r="285" spans="1:15" x14ac:dyDescent="0.35">
      <c r="A285">
        <v>59827</v>
      </c>
      <c r="B285" s="283">
        <v>44743</v>
      </c>
      <c r="C285">
        <v>2094</v>
      </c>
      <c r="D285">
        <v>2064</v>
      </c>
      <c r="E285">
        <v>100</v>
      </c>
      <c r="F285">
        <v>320</v>
      </c>
      <c r="G285">
        <v>2660</v>
      </c>
      <c r="H285" s="1">
        <v>493</v>
      </c>
      <c r="I285">
        <v>0</v>
      </c>
      <c r="J285" s="283">
        <v>45412.177658182867</v>
      </c>
      <c r="K285" t="s">
        <v>3152</v>
      </c>
      <c r="L285" t="s">
        <v>3145</v>
      </c>
      <c r="M285" t="s">
        <v>3146</v>
      </c>
      <c r="N285" t="s">
        <v>391</v>
      </c>
      <c r="O285" t="s">
        <v>126</v>
      </c>
    </row>
    <row r="286" spans="1:15" x14ac:dyDescent="0.35">
      <c r="A286">
        <v>59843</v>
      </c>
      <c r="B286" s="283">
        <v>44743</v>
      </c>
      <c r="C286">
        <v>2095</v>
      </c>
      <c r="D286">
        <v>2064</v>
      </c>
      <c r="E286">
        <v>100</v>
      </c>
      <c r="F286">
        <v>320</v>
      </c>
      <c r="G286">
        <v>1200</v>
      </c>
      <c r="H286" s="1">
        <v>49184</v>
      </c>
      <c r="I286">
        <v>0</v>
      </c>
      <c r="J286" s="283">
        <v>45412.177658182867</v>
      </c>
      <c r="K286" t="s">
        <v>3144</v>
      </c>
      <c r="L286" t="s">
        <v>3145</v>
      </c>
      <c r="M286" t="s">
        <v>3146</v>
      </c>
      <c r="N286" t="s">
        <v>391</v>
      </c>
      <c r="O286" t="s">
        <v>37</v>
      </c>
    </row>
    <row r="287" spans="1:15" x14ac:dyDescent="0.35">
      <c r="A287">
        <v>59844</v>
      </c>
      <c r="B287" s="283">
        <v>44743</v>
      </c>
      <c r="C287">
        <v>2095</v>
      </c>
      <c r="D287">
        <v>2064</v>
      </c>
      <c r="E287">
        <v>100</v>
      </c>
      <c r="F287">
        <v>320</v>
      </c>
      <c r="G287">
        <v>2100</v>
      </c>
      <c r="H287" s="1">
        <v>19268</v>
      </c>
      <c r="I287">
        <v>0</v>
      </c>
      <c r="J287" s="283">
        <v>45412.177658182867</v>
      </c>
      <c r="K287" t="s">
        <v>3147</v>
      </c>
      <c r="L287" t="s">
        <v>3145</v>
      </c>
      <c r="M287" t="s">
        <v>3146</v>
      </c>
      <c r="N287" t="s">
        <v>391</v>
      </c>
      <c r="O287" t="s">
        <v>37</v>
      </c>
    </row>
    <row r="288" spans="1:15" x14ac:dyDescent="0.35">
      <c r="A288">
        <v>59845</v>
      </c>
      <c r="B288" s="283">
        <v>44743</v>
      </c>
      <c r="C288">
        <v>2095</v>
      </c>
      <c r="D288">
        <v>2064</v>
      </c>
      <c r="E288">
        <v>100</v>
      </c>
      <c r="F288">
        <v>320</v>
      </c>
      <c r="G288">
        <v>2190</v>
      </c>
      <c r="H288" s="1">
        <v>4193</v>
      </c>
      <c r="I288">
        <v>0</v>
      </c>
      <c r="J288" s="283">
        <v>45412.177658182867</v>
      </c>
      <c r="K288" t="s">
        <v>3150</v>
      </c>
      <c r="L288" t="s">
        <v>3145</v>
      </c>
      <c r="M288" t="s">
        <v>3146</v>
      </c>
      <c r="N288" t="s">
        <v>391</v>
      </c>
      <c r="O288" t="s">
        <v>37</v>
      </c>
    </row>
    <row r="289" spans="1:15" x14ac:dyDescent="0.35">
      <c r="A289">
        <v>59846</v>
      </c>
      <c r="B289" s="283">
        <v>44743</v>
      </c>
      <c r="C289">
        <v>2095</v>
      </c>
      <c r="D289">
        <v>2064</v>
      </c>
      <c r="E289">
        <v>100</v>
      </c>
      <c r="F289">
        <v>320</v>
      </c>
      <c r="G289">
        <v>2660</v>
      </c>
      <c r="H289" s="1">
        <v>0</v>
      </c>
      <c r="I289">
        <v>0</v>
      </c>
      <c r="J289" s="283">
        <v>45412.177658182867</v>
      </c>
      <c r="K289" t="s">
        <v>3152</v>
      </c>
      <c r="L289" t="s">
        <v>3145</v>
      </c>
      <c r="M289" t="s">
        <v>3146</v>
      </c>
      <c r="N289" t="s">
        <v>391</v>
      </c>
      <c r="O289" t="s">
        <v>37</v>
      </c>
    </row>
    <row r="290" spans="1:15" x14ac:dyDescent="0.35">
      <c r="A290">
        <v>59862</v>
      </c>
      <c r="B290" s="283">
        <v>44743</v>
      </c>
      <c r="C290">
        <v>2096</v>
      </c>
      <c r="D290">
        <v>2064</v>
      </c>
      <c r="E290">
        <v>100</v>
      </c>
      <c r="F290">
        <v>320</v>
      </c>
      <c r="G290">
        <v>1200</v>
      </c>
      <c r="H290" s="1">
        <v>0</v>
      </c>
      <c r="I290">
        <v>0</v>
      </c>
      <c r="J290" s="283">
        <v>45412.177658182867</v>
      </c>
      <c r="K290" t="s">
        <v>3144</v>
      </c>
      <c r="L290" t="s">
        <v>3145</v>
      </c>
      <c r="M290" t="s">
        <v>3146</v>
      </c>
      <c r="N290" t="s">
        <v>391</v>
      </c>
      <c r="O290" t="s">
        <v>190</v>
      </c>
    </row>
    <row r="291" spans="1:15" x14ac:dyDescent="0.35">
      <c r="A291">
        <v>59863</v>
      </c>
      <c r="B291" s="283">
        <v>44743</v>
      </c>
      <c r="C291">
        <v>2096</v>
      </c>
      <c r="D291">
        <v>2064</v>
      </c>
      <c r="E291">
        <v>100</v>
      </c>
      <c r="F291">
        <v>320</v>
      </c>
      <c r="G291">
        <v>2100</v>
      </c>
      <c r="H291" s="1">
        <v>294747</v>
      </c>
      <c r="I291">
        <v>0</v>
      </c>
      <c r="J291" s="283">
        <v>45412.177658182867</v>
      </c>
      <c r="K291" t="s">
        <v>3147</v>
      </c>
      <c r="L291" t="s">
        <v>3145</v>
      </c>
      <c r="M291" t="s">
        <v>3146</v>
      </c>
      <c r="N291" t="s">
        <v>391</v>
      </c>
      <c r="O291" t="s">
        <v>190</v>
      </c>
    </row>
    <row r="292" spans="1:15" x14ac:dyDescent="0.35">
      <c r="A292">
        <v>59864</v>
      </c>
      <c r="B292" s="283">
        <v>44743</v>
      </c>
      <c r="C292">
        <v>2096</v>
      </c>
      <c r="D292">
        <v>2064</v>
      </c>
      <c r="E292">
        <v>100</v>
      </c>
      <c r="F292">
        <v>320</v>
      </c>
      <c r="G292">
        <v>2190</v>
      </c>
      <c r="H292" s="1">
        <v>18731</v>
      </c>
      <c r="I292">
        <v>0</v>
      </c>
      <c r="J292" s="283">
        <v>45412.177658182867</v>
      </c>
      <c r="K292" t="s">
        <v>3150</v>
      </c>
      <c r="L292" t="s">
        <v>3145</v>
      </c>
      <c r="M292" t="s">
        <v>3146</v>
      </c>
      <c r="N292" t="s">
        <v>391</v>
      </c>
      <c r="O292" t="s">
        <v>190</v>
      </c>
    </row>
    <row r="293" spans="1:15" x14ac:dyDescent="0.35">
      <c r="A293">
        <v>59865</v>
      </c>
      <c r="B293" s="283">
        <v>44743</v>
      </c>
      <c r="C293">
        <v>2096</v>
      </c>
      <c r="D293">
        <v>2064</v>
      </c>
      <c r="E293">
        <v>100</v>
      </c>
      <c r="F293">
        <v>320</v>
      </c>
      <c r="G293">
        <v>2660</v>
      </c>
      <c r="H293" s="1">
        <v>0</v>
      </c>
      <c r="I293">
        <v>0</v>
      </c>
      <c r="J293" s="283">
        <v>45412.177658182867</v>
      </c>
      <c r="K293" t="s">
        <v>3152</v>
      </c>
      <c r="L293" t="s">
        <v>3145</v>
      </c>
      <c r="M293" t="s">
        <v>3146</v>
      </c>
      <c r="N293" t="s">
        <v>391</v>
      </c>
      <c r="O293" t="s">
        <v>190</v>
      </c>
    </row>
    <row r="294" spans="1:15" x14ac:dyDescent="0.35">
      <c r="A294">
        <v>59880</v>
      </c>
      <c r="B294" s="283">
        <v>44743</v>
      </c>
      <c r="C294">
        <v>1898</v>
      </c>
      <c r="D294">
        <v>2098</v>
      </c>
      <c r="E294">
        <v>100</v>
      </c>
      <c r="F294">
        <v>320</v>
      </c>
      <c r="G294">
        <v>1200</v>
      </c>
      <c r="H294" s="1">
        <v>969</v>
      </c>
      <c r="I294">
        <v>0</v>
      </c>
      <c r="J294" s="283">
        <v>45412.177658182867</v>
      </c>
      <c r="K294" t="s">
        <v>3144</v>
      </c>
      <c r="L294" t="s">
        <v>3145</v>
      </c>
      <c r="M294" t="s">
        <v>3146</v>
      </c>
      <c r="N294" t="s">
        <v>290</v>
      </c>
      <c r="O294" t="s">
        <v>133</v>
      </c>
    </row>
    <row r="295" spans="1:15" x14ac:dyDescent="0.35">
      <c r="A295">
        <v>59881</v>
      </c>
      <c r="B295" s="283">
        <v>44743</v>
      </c>
      <c r="C295">
        <v>1898</v>
      </c>
      <c r="D295">
        <v>2098</v>
      </c>
      <c r="E295">
        <v>100</v>
      </c>
      <c r="F295">
        <v>320</v>
      </c>
      <c r="G295">
        <v>2100</v>
      </c>
      <c r="H295" s="1">
        <v>49634</v>
      </c>
      <c r="I295">
        <v>0</v>
      </c>
      <c r="J295" s="283">
        <v>45412.177658182867</v>
      </c>
      <c r="K295" t="s">
        <v>3147</v>
      </c>
      <c r="L295" t="s">
        <v>3145</v>
      </c>
      <c r="M295" t="s">
        <v>3146</v>
      </c>
      <c r="N295" t="s">
        <v>290</v>
      </c>
      <c r="O295" t="s">
        <v>133</v>
      </c>
    </row>
    <row r="296" spans="1:15" x14ac:dyDescent="0.35">
      <c r="A296">
        <v>59882</v>
      </c>
      <c r="B296" s="283">
        <v>44743</v>
      </c>
      <c r="C296">
        <v>1898</v>
      </c>
      <c r="D296">
        <v>2098</v>
      </c>
      <c r="E296">
        <v>100</v>
      </c>
      <c r="F296">
        <v>320</v>
      </c>
      <c r="G296">
        <v>2160</v>
      </c>
      <c r="H296" s="1">
        <v>21864</v>
      </c>
      <c r="I296">
        <v>0</v>
      </c>
      <c r="J296" s="283">
        <v>45412.177658182867</v>
      </c>
      <c r="K296" t="s">
        <v>3149</v>
      </c>
      <c r="L296" t="s">
        <v>3145</v>
      </c>
      <c r="M296" t="s">
        <v>3146</v>
      </c>
      <c r="N296" t="s">
        <v>290</v>
      </c>
      <c r="O296" t="s">
        <v>133</v>
      </c>
    </row>
    <row r="297" spans="1:15" x14ac:dyDescent="0.35">
      <c r="A297">
        <v>59889</v>
      </c>
      <c r="B297" s="283">
        <v>44743</v>
      </c>
      <c r="C297">
        <v>1899</v>
      </c>
      <c r="D297">
        <v>2098</v>
      </c>
      <c r="E297">
        <v>100</v>
      </c>
      <c r="F297">
        <v>320</v>
      </c>
      <c r="G297">
        <v>1200</v>
      </c>
      <c r="H297" s="1">
        <v>969</v>
      </c>
      <c r="I297">
        <v>0</v>
      </c>
      <c r="J297" s="283">
        <v>45412.177658182867</v>
      </c>
      <c r="K297" t="s">
        <v>3144</v>
      </c>
      <c r="L297" t="s">
        <v>3145</v>
      </c>
      <c r="M297" t="s">
        <v>3146</v>
      </c>
      <c r="N297" t="s">
        <v>290</v>
      </c>
      <c r="O297" t="s">
        <v>20</v>
      </c>
    </row>
    <row r="298" spans="1:15" x14ac:dyDescent="0.35">
      <c r="A298">
        <v>59890</v>
      </c>
      <c r="B298" s="283">
        <v>44743</v>
      </c>
      <c r="C298">
        <v>1899</v>
      </c>
      <c r="D298">
        <v>2098</v>
      </c>
      <c r="E298">
        <v>100</v>
      </c>
      <c r="F298">
        <v>320</v>
      </c>
      <c r="G298">
        <v>2100</v>
      </c>
      <c r="H298" s="1">
        <v>100847</v>
      </c>
      <c r="I298">
        <v>0</v>
      </c>
      <c r="J298" s="283">
        <v>45412.177658182867</v>
      </c>
      <c r="K298" t="s">
        <v>3147</v>
      </c>
      <c r="L298" t="s">
        <v>3145</v>
      </c>
      <c r="M298" t="s">
        <v>3146</v>
      </c>
      <c r="N298" t="s">
        <v>290</v>
      </c>
      <c r="O298" t="s">
        <v>20</v>
      </c>
    </row>
    <row r="299" spans="1:15" x14ac:dyDescent="0.35">
      <c r="A299">
        <v>59891</v>
      </c>
      <c r="B299" s="283">
        <v>44743</v>
      </c>
      <c r="C299">
        <v>1899</v>
      </c>
      <c r="D299">
        <v>2098</v>
      </c>
      <c r="E299">
        <v>100</v>
      </c>
      <c r="F299">
        <v>320</v>
      </c>
      <c r="G299">
        <v>2160</v>
      </c>
      <c r="H299" s="1">
        <v>37607</v>
      </c>
      <c r="I299">
        <v>0</v>
      </c>
      <c r="J299" s="283">
        <v>45412.177658182867</v>
      </c>
      <c r="K299" t="s">
        <v>3149</v>
      </c>
      <c r="L299" t="s">
        <v>3145</v>
      </c>
      <c r="M299" t="s">
        <v>3146</v>
      </c>
      <c r="N299" t="s">
        <v>290</v>
      </c>
      <c r="O299" t="s">
        <v>20</v>
      </c>
    </row>
    <row r="300" spans="1:15" x14ac:dyDescent="0.35">
      <c r="A300">
        <v>59899</v>
      </c>
      <c r="B300" s="283">
        <v>44743</v>
      </c>
      <c r="C300">
        <v>1900</v>
      </c>
      <c r="D300">
        <v>2098</v>
      </c>
      <c r="E300">
        <v>100</v>
      </c>
      <c r="F300">
        <v>320</v>
      </c>
      <c r="G300">
        <v>1200</v>
      </c>
      <c r="H300" s="1">
        <v>10657</v>
      </c>
      <c r="I300">
        <v>0</v>
      </c>
      <c r="J300" s="283">
        <v>45412.177658182867</v>
      </c>
      <c r="K300" t="s">
        <v>3144</v>
      </c>
      <c r="L300" t="s">
        <v>3145</v>
      </c>
      <c r="M300" t="s">
        <v>3146</v>
      </c>
      <c r="N300" t="s">
        <v>290</v>
      </c>
      <c r="O300" t="s">
        <v>160</v>
      </c>
    </row>
    <row r="301" spans="1:15" x14ac:dyDescent="0.35">
      <c r="A301">
        <v>59900</v>
      </c>
      <c r="B301" s="283">
        <v>44743</v>
      </c>
      <c r="C301">
        <v>1900</v>
      </c>
      <c r="D301">
        <v>2098</v>
      </c>
      <c r="E301">
        <v>100</v>
      </c>
      <c r="F301">
        <v>320</v>
      </c>
      <c r="G301">
        <v>2100</v>
      </c>
      <c r="H301" s="1">
        <v>150594</v>
      </c>
      <c r="I301">
        <v>0</v>
      </c>
      <c r="J301" s="283">
        <v>45412.177658182867</v>
      </c>
      <c r="K301" t="s">
        <v>3147</v>
      </c>
      <c r="L301" t="s">
        <v>3145</v>
      </c>
      <c r="M301" t="s">
        <v>3146</v>
      </c>
      <c r="N301" t="s">
        <v>290</v>
      </c>
      <c r="O301" t="s">
        <v>160</v>
      </c>
    </row>
    <row r="302" spans="1:15" x14ac:dyDescent="0.35">
      <c r="A302">
        <v>59901</v>
      </c>
      <c r="B302" s="283">
        <v>44743</v>
      </c>
      <c r="C302">
        <v>1900</v>
      </c>
      <c r="D302">
        <v>2098</v>
      </c>
      <c r="E302">
        <v>100</v>
      </c>
      <c r="F302">
        <v>320</v>
      </c>
      <c r="G302">
        <v>2160</v>
      </c>
      <c r="H302" s="1">
        <v>83085</v>
      </c>
      <c r="I302">
        <v>0</v>
      </c>
      <c r="J302" s="283">
        <v>45412.177658182867</v>
      </c>
      <c r="K302" t="s">
        <v>3149</v>
      </c>
      <c r="L302" t="s">
        <v>3145</v>
      </c>
      <c r="M302" t="s">
        <v>3146</v>
      </c>
      <c r="N302" t="s">
        <v>290</v>
      </c>
      <c r="O302" t="s">
        <v>160</v>
      </c>
    </row>
    <row r="303" spans="1:15" x14ac:dyDescent="0.35">
      <c r="A303">
        <v>59909</v>
      </c>
      <c r="B303" s="283">
        <v>44743</v>
      </c>
      <c r="C303">
        <v>1901</v>
      </c>
      <c r="D303">
        <v>2098</v>
      </c>
      <c r="E303">
        <v>100</v>
      </c>
      <c r="F303">
        <v>320</v>
      </c>
      <c r="G303">
        <v>1200</v>
      </c>
      <c r="H303" s="1">
        <v>36813</v>
      </c>
      <c r="I303">
        <v>0</v>
      </c>
      <c r="J303" s="283">
        <v>45412.177658182867</v>
      </c>
      <c r="K303" t="s">
        <v>3144</v>
      </c>
      <c r="L303" t="s">
        <v>3145</v>
      </c>
      <c r="M303" t="s">
        <v>3146</v>
      </c>
      <c r="N303" t="s">
        <v>290</v>
      </c>
      <c r="O303" t="s">
        <v>58</v>
      </c>
    </row>
    <row r="304" spans="1:15" x14ac:dyDescent="0.35">
      <c r="A304">
        <v>59910</v>
      </c>
      <c r="B304" s="283">
        <v>44743</v>
      </c>
      <c r="C304">
        <v>1901</v>
      </c>
      <c r="D304">
        <v>2098</v>
      </c>
      <c r="E304">
        <v>100</v>
      </c>
      <c r="F304">
        <v>320</v>
      </c>
      <c r="G304">
        <v>2100</v>
      </c>
      <c r="H304" s="1">
        <v>759200</v>
      </c>
      <c r="I304">
        <v>0</v>
      </c>
      <c r="J304" s="283">
        <v>45412.177658182867</v>
      </c>
      <c r="K304" t="s">
        <v>3147</v>
      </c>
      <c r="L304" t="s">
        <v>3145</v>
      </c>
      <c r="M304" t="s">
        <v>3146</v>
      </c>
      <c r="N304" t="s">
        <v>290</v>
      </c>
      <c r="O304" t="s">
        <v>58</v>
      </c>
    </row>
    <row r="305" spans="1:15" x14ac:dyDescent="0.35">
      <c r="A305">
        <v>59911</v>
      </c>
      <c r="B305" s="283">
        <v>44743</v>
      </c>
      <c r="C305">
        <v>1901</v>
      </c>
      <c r="D305">
        <v>2098</v>
      </c>
      <c r="E305">
        <v>100</v>
      </c>
      <c r="F305">
        <v>320</v>
      </c>
      <c r="G305">
        <v>2160</v>
      </c>
      <c r="H305" s="1">
        <v>329715</v>
      </c>
      <c r="I305">
        <v>0</v>
      </c>
      <c r="J305" s="283">
        <v>45412.177658182867</v>
      </c>
      <c r="K305" t="s">
        <v>3149</v>
      </c>
      <c r="L305" t="s">
        <v>3145</v>
      </c>
      <c r="M305" t="s">
        <v>3146</v>
      </c>
      <c r="N305" t="s">
        <v>290</v>
      </c>
      <c r="O305" t="s">
        <v>58</v>
      </c>
    </row>
    <row r="306" spans="1:15" x14ac:dyDescent="0.35">
      <c r="A306">
        <v>59920</v>
      </c>
      <c r="B306" s="283">
        <v>44743</v>
      </c>
      <c r="C306">
        <v>2097</v>
      </c>
      <c r="D306">
        <v>2098</v>
      </c>
      <c r="E306">
        <v>100</v>
      </c>
      <c r="F306">
        <v>320</v>
      </c>
      <c r="G306">
        <v>1200</v>
      </c>
      <c r="H306" s="1">
        <v>23251</v>
      </c>
      <c r="I306">
        <v>0</v>
      </c>
      <c r="J306" s="283">
        <v>45412.177658182867</v>
      </c>
      <c r="K306" t="s">
        <v>3144</v>
      </c>
      <c r="L306" t="s">
        <v>3145</v>
      </c>
      <c r="M306" t="s">
        <v>3146</v>
      </c>
      <c r="N306" t="s">
        <v>290</v>
      </c>
      <c r="O306" t="s">
        <v>121</v>
      </c>
    </row>
    <row r="307" spans="1:15" x14ac:dyDescent="0.35">
      <c r="A307">
        <v>59921</v>
      </c>
      <c r="B307" s="283">
        <v>44743</v>
      </c>
      <c r="C307">
        <v>2097</v>
      </c>
      <c r="D307">
        <v>2098</v>
      </c>
      <c r="E307">
        <v>100</v>
      </c>
      <c r="F307">
        <v>320</v>
      </c>
      <c r="G307">
        <v>2100</v>
      </c>
      <c r="H307" s="1">
        <v>734278</v>
      </c>
      <c r="I307">
        <v>0</v>
      </c>
      <c r="J307" s="283">
        <v>45412.177658182867</v>
      </c>
      <c r="K307" t="s">
        <v>3147</v>
      </c>
      <c r="L307" t="s">
        <v>3145</v>
      </c>
      <c r="M307" t="s">
        <v>3146</v>
      </c>
      <c r="N307" t="s">
        <v>290</v>
      </c>
      <c r="O307" t="s">
        <v>121</v>
      </c>
    </row>
    <row r="308" spans="1:15" x14ac:dyDescent="0.35">
      <c r="A308">
        <v>59922</v>
      </c>
      <c r="B308" s="283">
        <v>44743</v>
      </c>
      <c r="C308">
        <v>2097</v>
      </c>
      <c r="D308">
        <v>2098</v>
      </c>
      <c r="E308">
        <v>100</v>
      </c>
      <c r="F308">
        <v>320</v>
      </c>
      <c r="G308">
        <v>2160</v>
      </c>
      <c r="H308" s="1">
        <v>310038</v>
      </c>
      <c r="I308">
        <v>0</v>
      </c>
      <c r="J308" s="283">
        <v>45412.177658182867</v>
      </c>
      <c r="K308" t="s">
        <v>3149</v>
      </c>
      <c r="L308" t="s">
        <v>3145</v>
      </c>
      <c r="M308" t="s">
        <v>3146</v>
      </c>
      <c r="N308" t="s">
        <v>290</v>
      </c>
      <c r="O308" t="s">
        <v>121</v>
      </c>
    </row>
    <row r="309" spans="1:15" x14ac:dyDescent="0.35">
      <c r="A309">
        <v>59930</v>
      </c>
      <c r="B309" s="283">
        <v>44743</v>
      </c>
      <c r="C309">
        <v>2099</v>
      </c>
      <c r="D309">
        <v>2098</v>
      </c>
      <c r="E309">
        <v>100</v>
      </c>
      <c r="F309">
        <v>320</v>
      </c>
      <c r="G309">
        <v>1200</v>
      </c>
      <c r="H309" s="1">
        <v>4844</v>
      </c>
      <c r="I309">
        <v>0</v>
      </c>
      <c r="J309" s="283">
        <v>45412.177658182867</v>
      </c>
      <c r="K309" t="s">
        <v>3144</v>
      </c>
      <c r="L309" t="s">
        <v>3145</v>
      </c>
      <c r="M309" t="s">
        <v>3146</v>
      </c>
      <c r="N309" t="s">
        <v>290</v>
      </c>
      <c r="O309" t="s">
        <v>98</v>
      </c>
    </row>
    <row r="310" spans="1:15" x14ac:dyDescent="0.35">
      <c r="A310">
        <v>59931</v>
      </c>
      <c r="B310" s="283">
        <v>44743</v>
      </c>
      <c r="C310">
        <v>2099</v>
      </c>
      <c r="D310">
        <v>2098</v>
      </c>
      <c r="E310">
        <v>100</v>
      </c>
      <c r="F310">
        <v>320</v>
      </c>
      <c r="G310">
        <v>2100</v>
      </c>
      <c r="H310" s="1">
        <v>123330</v>
      </c>
      <c r="I310">
        <v>0</v>
      </c>
      <c r="J310" s="283">
        <v>45412.177658182867</v>
      </c>
      <c r="K310" t="s">
        <v>3147</v>
      </c>
      <c r="L310" t="s">
        <v>3145</v>
      </c>
      <c r="M310" t="s">
        <v>3146</v>
      </c>
      <c r="N310" t="s">
        <v>290</v>
      </c>
      <c r="O310" t="s">
        <v>98</v>
      </c>
    </row>
    <row r="311" spans="1:15" x14ac:dyDescent="0.35">
      <c r="A311">
        <v>59932</v>
      </c>
      <c r="B311" s="283">
        <v>44743</v>
      </c>
      <c r="C311">
        <v>2099</v>
      </c>
      <c r="D311">
        <v>2098</v>
      </c>
      <c r="E311">
        <v>100</v>
      </c>
      <c r="F311">
        <v>320</v>
      </c>
      <c r="G311">
        <v>2160</v>
      </c>
      <c r="H311" s="1">
        <v>48539</v>
      </c>
      <c r="I311">
        <v>0</v>
      </c>
      <c r="J311" s="283">
        <v>45412.177658182867</v>
      </c>
      <c r="K311" t="s">
        <v>3149</v>
      </c>
      <c r="L311" t="s">
        <v>3145</v>
      </c>
      <c r="M311" t="s">
        <v>3146</v>
      </c>
      <c r="N311" t="s">
        <v>290</v>
      </c>
      <c r="O311" t="s">
        <v>98</v>
      </c>
    </row>
    <row r="312" spans="1:15" x14ac:dyDescent="0.35">
      <c r="A312">
        <v>59941</v>
      </c>
      <c r="B312" s="283">
        <v>44743</v>
      </c>
      <c r="C312">
        <v>2100</v>
      </c>
      <c r="D312">
        <v>2098</v>
      </c>
      <c r="E312">
        <v>100</v>
      </c>
      <c r="F312">
        <v>320</v>
      </c>
      <c r="G312">
        <v>1200</v>
      </c>
      <c r="H312" s="1">
        <v>33908</v>
      </c>
      <c r="I312">
        <v>0</v>
      </c>
      <c r="J312" s="283">
        <v>45412.177658182867</v>
      </c>
      <c r="K312" t="s">
        <v>3144</v>
      </c>
      <c r="L312" t="s">
        <v>3145</v>
      </c>
      <c r="M312" t="s">
        <v>3146</v>
      </c>
      <c r="N312" t="s">
        <v>290</v>
      </c>
      <c r="O312" t="s">
        <v>92</v>
      </c>
    </row>
    <row r="313" spans="1:15" x14ac:dyDescent="0.35">
      <c r="A313">
        <v>59942</v>
      </c>
      <c r="B313" s="283">
        <v>44743</v>
      </c>
      <c r="C313">
        <v>2100</v>
      </c>
      <c r="D313">
        <v>2098</v>
      </c>
      <c r="E313">
        <v>100</v>
      </c>
      <c r="F313">
        <v>320</v>
      </c>
      <c r="G313">
        <v>2100</v>
      </c>
      <c r="H313" s="1">
        <v>1174541</v>
      </c>
      <c r="I313">
        <v>0</v>
      </c>
      <c r="J313" s="283">
        <v>45412.177658182867</v>
      </c>
      <c r="K313" t="s">
        <v>3147</v>
      </c>
      <c r="L313" t="s">
        <v>3145</v>
      </c>
      <c r="M313" t="s">
        <v>3146</v>
      </c>
      <c r="N313" t="s">
        <v>290</v>
      </c>
      <c r="O313" t="s">
        <v>92</v>
      </c>
    </row>
    <row r="314" spans="1:15" x14ac:dyDescent="0.35">
      <c r="A314">
        <v>59943</v>
      </c>
      <c r="B314" s="283">
        <v>44743</v>
      </c>
      <c r="C314">
        <v>2100</v>
      </c>
      <c r="D314">
        <v>2098</v>
      </c>
      <c r="E314">
        <v>100</v>
      </c>
      <c r="F314">
        <v>320</v>
      </c>
      <c r="G314">
        <v>2160</v>
      </c>
      <c r="H314" s="1">
        <v>573723</v>
      </c>
      <c r="I314">
        <v>0</v>
      </c>
      <c r="J314" s="283">
        <v>45412.177658182867</v>
      </c>
      <c r="K314" t="s">
        <v>3149</v>
      </c>
      <c r="L314" t="s">
        <v>3145</v>
      </c>
      <c r="M314" t="s">
        <v>3146</v>
      </c>
      <c r="N314" t="s">
        <v>290</v>
      </c>
      <c r="O314" t="s">
        <v>92</v>
      </c>
    </row>
    <row r="315" spans="1:15" x14ac:dyDescent="0.35">
      <c r="A315">
        <v>59952</v>
      </c>
      <c r="B315" s="283">
        <v>44743</v>
      </c>
      <c r="C315">
        <v>2101</v>
      </c>
      <c r="D315">
        <v>2098</v>
      </c>
      <c r="E315">
        <v>100</v>
      </c>
      <c r="F315">
        <v>320</v>
      </c>
      <c r="G315">
        <v>1200</v>
      </c>
      <c r="H315" s="1">
        <v>23251</v>
      </c>
      <c r="I315">
        <v>0</v>
      </c>
      <c r="J315" s="283">
        <v>45412.177658182867</v>
      </c>
      <c r="K315" t="s">
        <v>3144</v>
      </c>
      <c r="L315" t="s">
        <v>3145</v>
      </c>
      <c r="M315" t="s">
        <v>3146</v>
      </c>
      <c r="N315" t="s">
        <v>290</v>
      </c>
      <c r="O315" t="s">
        <v>120</v>
      </c>
    </row>
    <row r="316" spans="1:15" x14ac:dyDescent="0.35">
      <c r="A316">
        <v>59953</v>
      </c>
      <c r="B316" s="283">
        <v>44743</v>
      </c>
      <c r="C316">
        <v>2101</v>
      </c>
      <c r="D316">
        <v>2098</v>
      </c>
      <c r="E316">
        <v>100</v>
      </c>
      <c r="F316">
        <v>320</v>
      </c>
      <c r="G316">
        <v>2100</v>
      </c>
      <c r="H316" s="1">
        <v>675203</v>
      </c>
      <c r="I316">
        <v>0</v>
      </c>
      <c r="J316" s="283">
        <v>45412.177658182867</v>
      </c>
      <c r="K316" t="s">
        <v>3147</v>
      </c>
      <c r="L316" t="s">
        <v>3145</v>
      </c>
      <c r="M316" t="s">
        <v>3146</v>
      </c>
      <c r="N316" t="s">
        <v>290</v>
      </c>
      <c r="O316" t="s">
        <v>120</v>
      </c>
    </row>
    <row r="317" spans="1:15" x14ac:dyDescent="0.35">
      <c r="A317">
        <v>59954</v>
      </c>
      <c r="B317" s="283">
        <v>44743</v>
      </c>
      <c r="C317">
        <v>2101</v>
      </c>
      <c r="D317">
        <v>2098</v>
      </c>
      <c r="E317">
        <v>100</v>
      </c>
      <c r="F317">
        <v>320</v>
      </c>
      <c r="G317">
        <v>2160</v>
      </c>
      <c r="H317" s="1">
        <v>298231</v>
      </c>
      <c r="I317">
        <v>0</v>
      </c>
      <c r="J317" s="283">
        <v>45412.177658182867</v>
      </c>
      <c r="K317" t="s">
        <v>3149</v>
      </c>
      <c r="L317" t="s">
        <v>3145</v>
      </c>
      <c r="M317" t="s">
        <v>3146</v>
      </c>
      <c r="N317" t="s">
        <v>290</v>
      </c>
      <c r="O317" t="s">
        <v>120</v>
      </c>
    </row>
    <row r="318" spans="1:15" x14ac:dyDescent="0.35">
      <c r="A318">
        <v>59962</v>
      </c>
      <c r="B318" s="283">
        <v>44743</v>
      </c>
      <c r="C318">
        <v>2102</v>
      </c>
      <c r="D318">
        <v>2098</v>
      </c>
      <c r="E318">
        <v>100</v>
      </c>
      <c r="F318">
        <v>320</v>
      </c>
      <c r="G318">
        <v>1200</v>
      </c>
      <c r="H318" s="1">
        <v>15501</v>
      </c>
      <c r="I318">
        <v>0</v>
      </c>
      <c r="J318" s="283">
        <v>45412.177658182867</v>
      </c>
      <c r="K318" t="s">
        <v>3144</v>
      </c>
      <c r="L318" t="s">
        <v>3145</v>
      </c>
      <c r="M318" t="s">
        <v>3146</v>
      </c>
      <c r="N318" t="s">
        <v>290</v>
      </c>
      <c r="O318" t="s">
        <v>202</v>
      </c>
    </row>
    <row r="319" spans="1:15" x14ac:dyDescent="0.35">
      <c r="A319">
        <v>59963</v>
      </c>
      <c r="B319" s="283">
        <v>44743</v>
      </c>
      <c r="C319">
        <v>2102</v>
      </c>
      <c r="D319">
        <v>2098</v>
      </c>
      <c r="E319">
        <v>100</v>
      </c>
      <c r="F319">
        <v>320</v>
      </c>
      <c r="G319">
        <v>2100</v>
      </c>
      <c r="H319" s="1">
        <v>442233</v>
      </c>
      <c r="I319">
        <v>0</v>
      </c>
      <c r="J319" s="283">
        <v>45412.177658182867</v>
      </c>
      <c r="K319" t="s">
        <v>3147</v>
      </c>
      <c r="L319" t="s">
        <v>3145</v>
      </c>
      <c r="M319" t="s">
        <v>3146</v>
      </c>
      <c r="N319" t="s">
        <v>290</v>
      </c>
      <c r="O319" t="s">
        <v>202</v>
      </c>
    </row>
    <row r="320" spans="1:15" x14ac:dyDescent="0.35">
      <c r="A320">
        <v>59964</v>
      </c>
      <c r="B320" s="283">
        <v>44743</v>
      </c>
      <c r="C320">
        <v>2102</v>
      </c>
      <c r="D320">
        <v>2098</v>
      </c>
      <c r="E320">
        <v>100</v>
      </c>
      <c r="F320">
        <v>320</v>
      </c>
      <c r="G320">
        <v>2160</v>
      </c>
      <c r="H320" s="1">
        <v>186722</v>
      </c>
      <c r="I320">
        <v>0</v>
      </c>
      <c r="J320" s="283">
        <v>45412.177658182867</v>
      </c>
      <c r="K320" t="s">
        <v>3149</v>
      </c>
      <c r="L320" t="s">
        <v>3145</v>
      </c>
      <c r="M320" t="s">
        <v>3146</v>
      </c>
      <c r="N320" t="s">
        <v>290</v>
      </c>
      <c r="O320" t="s">
        <v>202</v>
      </c>
    </row>
    <row r="321" spans="1:15" x14ac:dyDescent="0.35">
      <c r="A321">
        <v>59973</v>
      </c>
      <c r="B321" s="283">
        <v>44743</v>
      </c>
      <c r="C321">
        <v>2103</v>
      </c>
      <c r="D321">
        <v>2098</v>
      </c>
      <c r="E321">
        <v>100</v>
      </c>
      <c r="F321">
        <v>320</v>
      </c>
      <c r="G321">
        <v>1200</v>
      </c>
      <c r="H321" s="1">
        <v>3875</v>
      </c>
      <c r="I321">
        <v>0</v>
      </c>
      <c r="J321" s="283">
        <v>45412.177658182867</v>
      </c>
      <c r="K321" t="s">
        <v>3144</v>
      </c>
      <c r="L321" t="s">
        <v>3145</v>
      </c>
      <c r="M321" t="s">
        <v>3146</v>
      </c>
      <c r="N321" t="s">
        <v>290</v>
      </c>
      <c r="O321" t="s">
        <v>183</v>
      </c>
    </row>
    <row r="322" spans="1:15" x14ac:dyDescent="0.35">
      <c r="A322">
        <v>59974</v>
      </c>
      <c r="B322" s="283">
        <v>44743</v>
      </c>
      <c r="C322">
        <v>2103</v>
      </c>
      <c r="D322">
        <v>2098</v>
      </c>
      <c r="E322">
        <v>100</v>
      </c>
      <c r="F322">
        <v>320</v>
      </c>
      <c r="G322">
        <v>2100</v>
      </c>
      <c r="H322" s="1">
        <v>298342</v>
      </c>
      <c r="I322">
        <v>0</v>
      </c>
      <c r="J322" s="283">
        <v>45412.177658182867</v>
      </c>
      <c r="K322" t="s">
        <v>3147</v>
      </c>
      <c r="L322" t="s">
        <v>3145</v>
      </c>
      <c r="M322" t="s">
        <v>3146</v>
      </c>
      <c r="N322" t="s">
        <v>290</v>
      </c>
      <c r="O322" t="s">
        <v>183</v>
      </c>
    </row>
    <row r="323" spans="1:15" x14ac:dyDescent="0.35">
      <c r="A323">
        <v>59975</v>
      </c>
      <c r="B323" s="283">
        <v>44743</v>
      </c>
      <c r="C323">
        <v>2103</v>
      </c>
      <c r="D323">
        <v>2098</v>
      </c>
      <c r="E323">
        <v>100</v>
      </c>
      <c r="F323">
        <v>320</v>
      </c>
      <c r="G323">
        <v>2160</v>
      </c>
      <c r="H323" s="1">
        <v>109322</v>
      </c>
      <c r="I323">
        <v>0</v>
      </c>
      <c r="J323" s="283">
        <v>45412.177658182867</v>
      </c>
      <c r="K323" t="s">
        <v>3149</v>
      </c>
      <c r="L323" t="s">
        <v>3145</v>
      </c>
      <c r="M323" t="s">
        <v>3146</v>
      </c>
      <c r="N323" t="s">
        <v>290</v>
      </c>
      <c r="O323" t="s">
        <v>183</v>
      </c>
    </row>
    <row r="324" spans="1:15" x14ac:dyDescent="0.35">
      <c r="A324">
        <v>59984</v>
      </c>
      <c r="B324" s="283">
        <v>44743</v>
      </c>
      <c r="C324">
        <v>2104</v>
      </c>
      <c r="D324">
        <v>2098</v>
      </c>
      <c r="E324">
        <v>100</v>
      </c>
      <c r="F324">
        <v>320</v>
      </c>
      <c r="G324">
        <v>1200</v>
      </c>
      <c r="H324" s="1">
        <v>0</v>
      </c>
      <c r="I324">
        <v>0</v>
      </c>
      <c r="J324" s="283">
        <v>45412.177658182867</v>
      </c>
      <c r="K324" t="s">
        <v>3144</v>
      </c>
      <c r="L324" t="s">
        <v>3145</v>
      </c>
      <c r="M324" t="s">
        <v>3146</v>
      </c>
      <c r="N324" t="s">
        <v>290</v>
      </c>
      <c r="O324" t="s">
        <v>181</v>
      </c>
    </row>
    <row r="325" spans="1:15" x14ac:dyDescent="0.35">
      <c r="A325">
        <v>59985</v>
      </c>
      <c r="B325" s="283">
        <v>44743</v>
      </c>
      <c r="C325">
        <v>2104</v>
      </c>
      <c r="D325">
        <v>2098</v>
      </c>
      <c r="E325">
        <v>100</v>
      </c>
      <c r="F325">
        <v>320</v>
      </c>
      <c r="G325">
        <v>2100</v>
      </c>
      <c r="H325" s="1">
        <v>518233</v>
      </c>
      <c r="I325">
        <v>0</v>
      </c>
      <c r="J325" s="283">
        <v>45412.177658182867</v>
      </c>
      <c r="K325" t="s">
        <v>3147</v>
      </c>
      <c r="L325" t="s">
        <v>3145</v>
      </c>
      <c r="M325" t="s">
        <v>3146</v>
      </c>
      <c r="N325" t="s">
        <v>290</v>
      </c>
      <c r="O325" t="s">
        <v>181</v>
      </c>
    </row>
    <row r="326" spans="1:15" x14ac:dyDescent="0.35">
      <c r="A326">
        <v>59986</v>
      </c>
      <c r="B326" s="283">
        <v>44743</v>
      </c>
      <c r="C326">
        <v>2104</v>
      </c>
      <c r="D326">
        <v>2098</v>
      </c>
      <c r="E326">
        <v>100</v>
      </c>
      <c r="F326">
        <v>320</v>
      </c>
      <c r="G326">
        <v>2160</v>
      </c>
      <c r="H326" s="1">
        <v>219519</v>
      </c>
      <c r="I326">
        <v>0</v>
      </c>
      <c r="J326" s="283">
        <v>45412.177658182867</v>
      </c>
      <c r="K326" t="s">
        <v>3149</v>
      </c>
      <c r="L326" t="s">
        <v>3145</v>
      </c>
      <c r="M326" t="s">
        <v>3146</v>
      </c>
      <c r="N326" t="s">
        <v>290</v>
      </c>
      <c r="O326" t="s">
        <v>181</v>
      </c>
    </row>
    <row r="327" spans="1:15" x14ac:dyDescent="0.35">
      <c r="A327">
        <v>59995</v>
      </c>
      <c r="B327" s="283">
        <v>44743</v>
      </c>
      <c r="C327">
        <v>2105</v>
      </c>
      <c r="D327">
        <v>2098</v>
      </c>
      <c r="E327">
        <v>100</v>
      </c>
      <c r="F327">
        <v>320</v>
      </c>
      <c r="G327">
        <v>1200</v>
      </c>
      <c r="H327" s="1">
        <v>969</v>
      </c>
      <c r="I327">
        <v>0</v>
      </c>
      <c r="J327" s="283">
        <v>45412.177658182867</v>
      </c>
      <c r="K327" t="s">
        <v>3144</v>
      </c>
      <c r="L327" t="s">
        <v>3145</v>
      </c>
      <c r="M327" t="s">
        <v>3146</v>
      </c>
      <c r="N327" t="s">
        <v>290</v>
      </c>
      <c r="O327" t="s">
        <v>48</v>
      </c>
    </row>
    <row r="328" spans="1:15" x14ac:dyDescent="0.35">
      <c r="A328">
        <v>59996</v>
      </c>
      <c r="B328" s="283">
        <v>44743</v>
      </c>
      <c r="C328">
        <v>2105</v>
      </c>
      <c r="D328">
        <v>2098</v>
      </c>
      <c r="E328">
        <v>100</v>
      </c>
      <c r="F328">
        <v>320</v>
      </c>
      <c r="G328">
        <v>2100</v>
      </c>
      <c r="H328" s="1">
        <v>96450</v>
      </c>
      <c r="I328">
        <v>0</v>
      </c>
      <c r="J328" s="283">
        <v>45412.177658182867</v>
      </c>
      <c r="K328" t="s">
        <v>3147</v>
      </c>
      <c r="L328" t="s">
        <v>3145</v>
      </c>
      <c r="M328" t="s">
        <v>3146</v>
      </c>
      <c r="N328" t="s">
        <v>290</v>
      </c>
      <c r="O328" t="s">
        <v>48</v>
      </c>
    </row>
    <row r="329" spans="1:15" x14ac:dyDescent="0.35">
      <c r="A329">
        <v>59997</v>
      </c>
      <c r="B329" s="283">
        <v>44743</v>
      </c>
      <c r="C329">
        <v>2105</v>
      </c>
      <c r="D329">
        <v>2098</v>
      </c>
      <c r="E329">
        <v>100</v>
      </c>
      <c r="F329">
        <v>320</v>
      </c>
      <c r="G329">
        <v>2160</v>
      </c>
      <c r="H329" s="1">
        <v>41105</v>
      </c>
      <c r="I329">
        <v>0</v>
      </c>
      <c r="J329" s="283">
        <v>45412.177658182867</v>
      </c>
      <c r="K329" t="s">
        <v>3149</v>
      </c>
      <c r="L329" t="s">
        <v>3145</v>
      </c>
      <c r="M329" t="s">
        <v>3146</v>
      </c>
      <c r="N329" t="s">
        <v>290</v>
      </c>
      <c r="O329" t="s">
        <v>48</v>
      </c>
    </row>
    <row r="330" spans="1:15" x14ac:dyDescent="0.35">
      <c r="A330">
        <v>60001</v>
      </c>
      <c r="B330" s="283">
        <v>44743</v>
      </c>
      <c r="C330">
        <v>1895</v>
      </c>
      <c r="D330">
        <v>2106</v>
      </c>
      <c r="E330">
        <v>100</v>
      </c>
      <c r="F330">
        <v>320</v>
      </c>
      <c r="G330">
        <v>1200</v>
      </c>
      <c r="H330" s="1">
        <v>21772.66</v>
      </c>
      <c r="I330">
        <v>0</v>
      </c>
      <c r="J330" s="283">
        <v>45412.177658182867</v>
      </c>
      <c r="K330" t="s">
        <v>3144</v>
      </c>
      <c r="L330" t="s">
        <v>3145</v>
      </c>
      <c r="M330" t="s">
        <v>3146</v>
      </c>
      <c r="N330" t="s">
        <v>279</v>
      </c>
      <c r="O330" t="s">
        <v>103</v>
      </c>
    </row>
    <row r="331" spans="1:15" x14ac:dyDescent="0.35">
      <c r="A331">
        <v>60002</v>
      </c>
      <c r="B331" s="283">
        <v>44743</v>
      </c>
      <c r="C331">
        <v>1895</v>
      </c>
      <c r="D331">
        <v>2106</v>
      </c>
      <c r="E331">
        <v>100</v>
      </c>
      <c r="F331">
        <v>320</v>
      </c>
      <c r="G331">
        <v>2100</v>
      </c>
      <c r="H331" s="1">
        <v>29361.1</v>
      </c>
      <c r="I331">
        <v>0</v>
      </c>
      <c r="J331" s="283">
        <v>45412.177658182867</v>
      </c>
      <c r="K331" t="s">
        <v>3147</v>
      </c>
      <c r="L331" t="s">
        <v>3145</v>
      </c>
      <c r="M331" t="s">
        <v>3146</v>
      </c>
      <c r="N331" t="s">
        <v>279</v>
      </c>
      <c r="O331" t="s">
        <v>103</v>
      </c>
    </row>
    <row r="332" spans="1:15" x14ac:dyDescent="0.35">
      <c r="A332">
        <v>60003</v>
      </c>
      <c r="B332" s="283">
        <v>44743</v>
      </c>
      <c r="C332">
        <v>1895</v>
      </c>
      <c r="D332">
        <v>2106</v>
      </c>
      <c r="E332">
        <v>100</v>
      </c>
      <c r="F332">
        <v>320</v>
      </c>
      <c r="G332">
        <v>2160</v>
      </c>
      <c r="H332" s="1">
        <v>2797.42</v>
      </c>
      <c r="I332">
        <v>0</v>
      </c>
      <c r="J332" s="283">
        <v>45412.177658182867</v>
      </c>
      <c r="K332" t="s">
        <v>3149</v>
      </c>
      <c r="L332" t="s">
        <v>3145</v>
      </c>
      <c r="M332" t="s">
        <v>3146</v>
      </c>
      <c r="N332" t="s">
        <v>279</v>
      </c>
      <c r="O332" t="s">
        <v>103</v>
      </c>
    </row>
    <row r="333" spans="1:15" x14ac:dyDescent="0.35">
      <c r="A333">
        <v>60004</v>
      </c>
      <c r="B333" s="283">
        <v>44743</v>
      </c>
      <c r="C333">
        <v>1895</v>
      </c>
      <c r="D333">
        <v>2106</v>
      </c>
      <c r="E333">
        <v>100</v>
      </c>
      <c r="F333">
        <v>320</v>
      </c>
      <c r="G333">
        <v>2190</v>
      </c>
      <c r="H333" s="1">
        <v>8489.99</v>
      </c>
      <c r="I333">
        <v>0</v>
      </c>
      <c r="J333" s="283">
        <v>45412.177658182867</v>
      </c>
      <c r="K333" t="s">
        <v>3150</v>
      </c>
      <c r="L333" t="s">
        <v>3145</v>
      </c>
      <c r="M333" t="s">
        <v>3146</v>
      </c>
      <c r="N333" t="s">
        <v>279</v>
      </c>
      <c r="O333" t="s">
        <v>103</v>
      </c>
    </row>
    <row r="334" spans="1:15" x14ac:dyDescent="0.35">
      <c r="A334">
        <v>60008</v>
      </c>
      <c r="B334" s="283">
        <v>44743</v>
      </c>
      <c r="C334">
        <v>2107</v>
      </c>
      <c r="D334">
        <v>2106</v>
      </c>
      <c r="E334">
        <v>100</v>
      </c>
      <c r="F334">
        <v>320</v>
      </c>
      <c r="G334">
        <v>1200</v>
      </c>
      <c r="H334" s="1">
        <v>24651.29</v>
      </c>
      <c r="I334">
        <v>0</v>
      </c>
      <c r="J334" s="283">
        <v>45412.177658182867</v>
      </c>
      <c r="K334" t="s">
        <v>3144</v>
      </c>
      <c r="L334" t="s">
        <v>3145</v>
      </c>
      <c r="M334" t="s">
        <v>3146</v>
      </c>
      <c r="N334" t="s">
        <v>279</v>
      </c>
      <c r="O334" t="s">
        <v>110</v>
      </c>
    </row>
    <row r="335" spans="1:15" x14ac:dyDescent="0.35">
      <c r="A335">
        <v>60009</v>
      </c>
      <c r="B335" s="283">
        <v>44743</v>
      </c>
      <c r="C335">
        <v>2107</v>
      </c>
      <c r="D335">
        <v>2106</v>
      </c>
      <c r="E335">
        <v>100</v>
      </c>
      <c r="F335">
        <v>320</v>
      </c>
      <c r="G335">
        <v>2100</v>
      </c>
      <c r="H335" s="1">
        <v>56635.05</v>
      </c>
      <c r="I335">
        <v>0</v>
      </c>
      <c r="J335" s="283">
        <v>45412.177658182867</v>
      </c>
      <c r="K335" t="s">
        <v>3147</v>
      </c>
      <c r="L335" t="s">
        <v>3145</v>
      </c>
      <c r="M335" t="s">
        <v>3146</v>
      </c>
      <c r="N335" t="s">
        <v>279</v>
      </c>
      <c r="O335" t="s">
        <v>110</v>
      </c>
    </row>
    <row r="336" spans="1:15" x14ac:dyDescent="0.35">
      <c r="A336">
        <v>60010</v>
      </c>
      <c r="B336" s="283">
        <v>44743</v>
      </c>
      <c r="C336">
        <v>2107</v>
      </c>
      <c r="D336">
        <v>2106</v>
      </c>
      <c r="E336">
        <v>100</v>
      </c>
      <c r="F336">
        <v>320</v>
      </c>
      <c r="G336">
        <v>2160</v>
      </c>
      <c r="H336" s="1">
        <v>2396.38</v>
      </c>
      <c r="I336">
        <v>0</v>
      </c>
      <c r="J336" s="283">
        <v>45412.177658182867</v>
      </c>
      <c r="K336" t="s">
        <v>3149</v>
      </c>
      <c r="L336" t="s">
        <v>3145</v>
      </c>
      <c r="M336" t="s">
        <v>3146</v>
      </c>
      <c r="N336" t="s">
        <v>279</v>
      </c>
      <c r="O336" t="s">
        <v>110</v>
      </c>
    </row>
    <row r="337" spans="1:15" x14ac:dyDescent="0.35">
      <c r="A337">
        <v>60011</v>
      </c>
      <c r="B337" s="283">
        <v>44743</v>
      </c>
      <c r="C337">
        <v>2107</v>
      </c>
      <c r="D337">
        <v>2106</v>
      </c>
      <c r="E337">
        <v>100</v>
      </c>
      <c r="F337">
        <v>320</v>
      </c>
      <c r="G337">
        <v>2190</v>
      </c>
      <c r="H337" s="1">
        <v>7272.86</v>
      </c>
      <c r="I337">
        <v>0</v>
      </c>
      <c r="J337" s="283">
        <v>45412.177658182867</v>
      </c>
      <c r="K337" t="s">
        <v>3150</v>
      </c>
      <c r="L337" t="s">
        <v>3145</v>
      </c>
      <c r="M337" t="s">
        <v>3146</v>
      </c>
      <c r="N337" t="s">
        <v>279</v>
      </c>
      <c r="O337" t="s">
        <v>110</v>
      </c>
    </row>
    <row r="338" spans="1:15" x14ac:dyDescent="0.35">
      <c r="A338">
        <v>60016</v>
      </c>
      <c r="B338" s="283">
        <v>44743</v>
      </c>
      <c r="C338">
        <v>2108</v>
      </c>
      <c r="D338">
        <v>2106</v>
      </c>
      <c r="E338">
        <v>100</v>
      </c>
      <c r="F338">
        <v>320</v>
      </c>
      <c r="G338">
        <v>1200</v>
      </c>
      <c r="H338" s="1">
        <v>28383.39</v>
      </c>
      <c r="I338">
        <v>0</v>
      </c>
      <c r="J338" s="283">
        <v>45412.177658182867</v>
      </c>
      <c r="K338" t="s">
        <v>3144</v>
      </c>
      <c r="L338" t="s">
        <v>3145</v>
      </c>
      <c r="M338" t="s">
        <v>3146</v>
      </c>
      <c r="N338" t="s">
        <v>279</v>
      </c>
      <c r="O338" t="s">
        <v>152</v>
      </c>
    </row>
    <row r="339" spans="1:15" x14ac:dyDescent="0.35">
      <c r="A339">
        <v>60017</v>
      </c>
      <c r="B339" s="283">
        <v>44743</v>
      </c>
      <c r="C339">
        <v>2108</v>
      </c>
      <c r="D339">
        <v>2106</v>
      </c>
      <c r="E339">
        <v>100</v>
      </c>
      <c r="F339">
        <v>320</v>
      </c>
      <c r="G339">
        <v>2100</v>
      </c>
      <c r="H339" s="1">
        <v>56520.97</v>
      </c>
      <c r="I339">
        <v>0</v>
      </c>
      <c r="J339" s="283">
        <v>45412.177658182867</v>
      </c>
      <c r="K339" t="s">
        <v>3147</v>
      </c>
      <c r="L339" t="s">
        <v>3145</v>
      </c>
      <c r="M339" t="s">
        <v>3146</v>
      </c>
      <c r="N339" t="s">
        <v>279</v>
      </c>
      <c r="O339" t="s">
        <v>152</v>
      </c>
    </row>
    <row r="340" spans="1:15" x14ac:dyDescent="0.35">
      <c r="A340">
        <v>60021</v>
      </c>
      <c r="B340" s="283">
        <v>44743</v>
      </c>
      <c r="C340">
        <v>2109</v>
      </c>
      <c r="D340">
        <v>2106</v>
      </c>
      <c r="E340">
        <v>100</v>
      </c>
      <c r="F340">
        <v>320</v>
      </c>
      <c r="G340">
        <v>1200</v>
      </c>
      <c r="H340" s="1">
        <v>3165.11</v>
      </c>
      <c r="I340">
        <v>0</v>
      </c>
      <c r="J340" s="283">
        <v>45412.177658182867</v>
      </c>
      <c r="K340" t="s">
        <v>3144</v>
      </c>
      <c r="L340" t="s">
        <v>3145</v>
      </c>
      <c r="M340" t="s">
        <v>3146</v>
      </c>
      <c r="N340" t="s">
        <v>279</v>
      </c>
      <c r="O340" t="s">
        <v>113</v>
      </c>
    </row>
    <row r="341" spans="1:15" x14ac:dyDescent="0.35">
      <c r="A341">
        <v>60022</v>
      </c>
      <c r="B341" s="283">
        <v>44743</v>
      </c>
      <c r="C341">
        <v>2109</v>
      </c>
      <c r="D341">
        <v>2106</v>
      </c>
      <c r="E341">
        <v>100</v>
      </c>
      <c r="F341">
        <v>320</v>
      </c>
      <c r="G341">
        <v>2100</v>
      </c>
      <c r="H341" s="1">
        <v>6795.1</v>
      </c>
      <c r="I341">
        <v>0</v>
      </c>
      <c r="J341" s="283">
        <v>45412.177658182867</v>
      </c>
      <c r="K341" t="s">
        <v>3147</v>
      </c>
      <c r="L341" t="s">
        <v>3145</v>
      </c>
      <c r="M341" t="s">
        <v>3146</v>
      </c>
      <c r="N341" t="s">
        <v>279</v>
      </c>
      <c r="O341" t="s">
        <v>113</v>
      </c>
    </row>
    <row r="342" spans="1:15" x14ac:dyDescent="0.35">
      <c r="A342">
        <v>60023</v>
      </c>
      <c r="B342" s="283">
        <v>44743</v>
      </c>
      <c r="C342">
        <v>2109</v>
      </c>
      <c r="D342">
        <v>2106</v>
      </c>
      <c r="E342">
        <v>100</v>
      </c>
      <c r="F342">
        <v>320</v>
      </c>
      <c r="G342">
        <v>2160</v>
      </c>
      <c r="H342" s="1">
        <v>406.66</v>
      </c>
      <c r="I342">
        <v>0</v>
      </c>
      <c r="J342" s="283">
        <v>45412.177658182867</v>
      </c>
      <c r="K342" t="s">
        <v>3149</v>
      </c>
      <c r="L342" t="s">
        <v>3145</v>
      </c>
      <c r="M342" t="s">
        <v>3146</v>
      </c>
      <c r="N342" t="s">
        <v>279</v>
      </c>
      <c r="O342" t="s">
        <v>113</v>
      </c>
    </row>
    <row r="343" spans="1:15" x14ac:dyDescent="0.35">
      <c r="A343">
        <v>60024</v>
      </c>
      <c r="B343" s="283">
        <v>44743</v>
      </c>
      <c r="C343">
        <v>2109</v>
      </c>
      <c r="D343">
        <v>2106</v>
      </c>
      <c r="E343">
        <v>100</v>
      </c>
      <c r="F343">
        <v>320</v>
      </c>
      <c r="G343">
        <v>2190</v>
      </c>
      <c r="H343" s="1">
        <v>1234.2</v>
      </c>
      <c r="I343">
        <v>0</v>
      </c>
      <c r="J343" s="283">
        <v>45412.177658182867</v>
      </c>
      <c r="K343" t="s">
        <v>3150</v>
      </c>
      <c r="L343" t="s">
        <v>3145</v>
      </c>
      <c r="M343" t="s">
        <v>3146</v>
      </c>
      <c r="N343" t="s">
        <v>279</v>
      </c>
      <c r="O343" t="s">
        <v>113</v>
      </c>
    </row>
    <row r="344" spans="1:15" x14ac:dyDescent="0.35">
      <c r="A344">
        <v>60028</v>
      </c>
      <c r="B344" s="283">
        <v>44743</v>
      </c>
      <c r="C344">
        <v>2110</v>
      </c>
      <c r="D344">
        <v>2106</v>
      </c>
      <c r="E344">
        <v>100</v>
      </c>
      <c r="F344">
        <v>320</v>
      </c>
      <c r="G344">
        <v>1200</v>
      </c>
      <c r="H344" s="1">
        <v>171489.4</v>
      </c>
      <c r="I344">
        <v>0</v>
      </c>
      <c r="J344" s="283">
        <v>45412.177658182867</v>
      </c>
      <c r="K344" t="s">
        <v>3144</v>
      </c>
      <c r="L344" t="s">
        <v>3145</v>
      </c>
      <c r="M344" t="s">
        <v>3146</v>
      </c>
      <c r="N344" t="s">
        <v>279</v>
      </c>
      <c r="O344" t="s">
        <v>149</v>
      </c>
    </row>
    <row r="345" spans="1:15" x14ac:dyDescent="0.35">
      <c r="A345">
        <v>60029</v>
      </c>
      <c r="B345" s="283">
        <v>44743</v>
      </c>
      <c r="C345">
        <v>2110</v>
      </c>
      <c r="D345">
        <v>2106</v>
      </c>
      <c r="E345">
        <v>100</v>
      </c>
      <c r="F345">
        <v>320</v>
      </c>
      <c r="G345">
        <v>2100</v>
      </c>
      <c r="H345" s="1">
        <v>308509.53999999998</v>
      </c>
      <c r="I345">
        <v>0</v>
      </c>
      <c r="J345" s="283">
        <v>45412.177658182867</v>
      </c>
      <c r="K345" t="s">
        <v>3147</v>
      </c>
      <c r="L345" t="s">
        <v>3145</v>
      </c>
      <c r="M345" t="s">
        <v>3146</v>
      </c>
      <c r="N345" t="s">
        <v>279</v>
      </c>
      <c r="O345" t="s">
        <v>149</v>
      </c>
    </row>
    <row r="346" spans="1:15" x14ac:dyDescent="0.35">
      <c r="A346">
        <v>60030</v>
      </c>
      <c r="B346" s="283">
        <v>44743</v>
      </c>
      <c r="C346">
        <v>2110</v>
      </c>
      <c r="D346">
        <v>2106</v>
      </c>
      <c r="E346">
        <v>100</v>
      </c>
      <c r="F346">
        <v>320</v>
      </c>
      <c r="G346">
        <v>2160</v>
      </c>
      <c r="H346" s="1">
        <v>22804.38</v>
      </c>
      <c r="I346">
        <v>0</v>
      </c>
      <c r="J346" s="283">
        <v>45412.177658182867</v>
      </c>
      <c r="K346" t="s">
        <v>3149</v>
      </c>
      <c r="L346" t="s">
        <v>3145</v>
      </c>
      <c r="M346" t="s">
        <v>3146</v>
      </c>
      <c r="N346" t="s">
        <v>279</v>
      </c>
      <c r="O346" t="s">
        <v>149</v>
      </c>
    </row>
    <row r="347" spans="1:15" x14ac:dyDescent="0.35">
      <c r="A347">
        <v>60031</v>
      </c>
      <c r="B347" s="283">
        <v>44743</v>
      </c>
      <c r="C347">
        <v>2110</v>
      </c>
      <c r="D347">
        <v>2106</v>
      </c>
      <c r="E347">
        <v>100</v>
      </c>
      <c r="F347">
        <v>320</v>
      </c>
      <c r="G347">
        <v>2190</v>
      </c>
      <c r="H347" s="1">
        <v>69209.899999999994</v>
      </c>
      <c r="I347">
        <v>0</v>
      </c>
      <c r="J347" s="283">
        <v>45412.177658182867</v>
      </c>
      <c r="K347" t="s">
        <v>3150</v>
      </c>
      <c r="L347" t="s">
        <v>3145</v>
      </c>
      <c r="M347" t="s">
        <v>3146</v>
      </c>
      <c r="N347" t="s">
        <v>279</v>
      </c>
      <c r="O347" t="s">
        <v>149</v>
      </c>
    </row>
    <row r="348" spans="1:15" x14ac:dyDescent="0.35">
      <c r="A348">
        <v>60035</v>
      </c>
      <c r="B348" s="283">
        <v>44743</v>
      </c>
      <c r="C348">
        <v>2111</v>
      </c>
      <c r="D348">
        <v>2106</v>
      </c>
      <c r="E348">
        <v>100</v>
      </c>
      <c r="F348">
        <v>320</v>
      </c>
      <c r="G348">
        <v>1200</v>
      </c>
      <c r="H348" s="1">
        <v>21693.7</v>
      </c>
      <c r="I348">
        <v>0</v>
      </c>
      <c r="J348" s="283">
        <v>45412.177658182867</v>
      </c>
      <c r="K348" t="s">
        <v>3144</v>
      </c>
      <c r="L348" t="s">
        <v>3145</v>
      </c>
      <c r="M348" t="s">
        <v>3146</v>
      </c>
      <c r="N348" t="s">
        <v>279</v>
      </c>
      <c r="O348" t="s">
        <v>23</v>
      </c>
    </row>
    <row r="349" spans="1:15" x14ac:dyDescent="0.35">
      <c r="A349">
        <v>60036</v>
      </c>
      <c r="B349" s="283">
        <v>44743</v>
      </c>
      <c r="C349">
        <v>2111</v>
      </c>
      <c r="D349">
        <v>2106</v>
      </c>
      <c r="E349">
        <v>100</v>
      </c>
      <c r="F349">
        <v>320</v>
      </c>
      <c r="G349">
        <v>2100</v>
      </c>
      <c r="H349" s="1">
        <v>34236.47</v>
      </c>
      <c r="I349">
        <v>0</v>
      </c>
      <c r="J349" s="283">
        <v>45412.177658182867</v>
      </c>
      <c r="K349" t="s">
        <v>3147</v>
      </c>
      <c r="L349" t="s">
        <v>3145</v>
      </c>
      <c r="M349" t="s">
        <v>3146</v>
      </c>
      <c r="N349" t="s">
        <v>279</v>
      </c>
      <c r="O349" t="s">
        <v>23</v>
      </c>
    </row>
    <row r="350" spans="1:15" x14ac:dyDescent="0.35">
      <c r="A350">
        <v>60037</v>
      </c>
      <c r="B350" s="283">
        <v>44743</v>
      </c>
      <c r="C350">
        <v>2111</v>
      </c>
      <c r="D350">
        <v>2106</v>
      </c>
      <c r="E350">
        <v>100</v>
      </c>
      <c r="F350">
        <v>320</v>
      </c>
      <c r="G350">
        <v>2160</v>
      </c>
      <c r="H350" s="1">
        <v>2787.27</v>
      </c>
      <c r="I350">
        <v>0</v>
      </c>
      <c r="J350" s="283">
        <v>45412.177658182867</v>
      </c>
      <c r="K350" t="s">
        <v>3149</v>
      </c>
      <c r="L350" t="s">
        <v>3145</v>
      </c>
      <c r="M350" t="s">
        <v>3146</v>
      </c>
      <c r="N350" t="s">
        <v>279</v>
      </c>
      <c r="O350" t="s">
        <v>23</v>
      </c>
    </row>
    <row r="351" spans="1:15" x14ac:dyDescent="0.35">
      <c r="A351">
        <v>60038</v>
      </c>
      <c r="B351" s="283">
        <v>44743</v>
      </c>
      <c r="C351">
        <v>2111</v>
      </c>
      <c r="D351">
        <v>2106</v>
      </c>
      <c r="E351">
        <v>100</v>
      </c>
      <c r="F351">
        <v>320</v>
      </c>
      <c r="G351">
        <v>2190</v>
      </c>
      <c r="H351" s="1">
        <v>8459.2000000000007</v>
      </c>
      <c r="I351">
        <v>0</v>
      </c>
      <c r="J351" s="283">
        <v>45412.177658182867</v>
      </c>
      <c r="K351" t="s">
        <v>3150</v>
      </c>
      <c r="L351" t="s">
        <v>3145</v>
      </c>
      <c r="M351" t="s">
        <v>3146</v>
      </c>
      <c r="N351" t="s">
        <v>279</v>
      </c>
      <c r="O351" t="s">
        <v>23</v>
      </c>
    </row>
    <row r="352" spans="1:15" x14ac:dyDescent="0.35">
      <c r="A352">
        <v>60042</v>
      </c>
      <c r="B352" s="283">
        <v>44743</v>
      </c>
      <c r="C352">
        <v>2112</v>
      </c>
      <c r="D352">
        <v>2106</v>
      </c>
      <c r="E352">
        <v>100</v>
      </c>
      <c r="F352">
        <v>320</v>
      </c>
      <c r="G352">
        <v>1200</v>
      </c>
      <c r="H352" s="1">
        <v>209.16</v>
      </c>
      <c r="I352">
        <v>0</v>
      </c>
      <c r="J352" s="283">
        <v>45412.177658182867</v>
      </c>
      <c r="K352" t="s">
        <v>3144</v>
      </c>
      <c r="L352" t="s">
        <v>3145</v>
      </c>
      <c r="M352" t="s">
        <v>3146</v>
      </c>
      <c r="N352" t="s">
        <v>279</v>
      </c>
      <c r="O352" t="s">
        <v>124</v>
      </c>
    </row>
    <row r="353" spans="1:15" x14ac:dyDescent="0.35">
      <c r="A353">
        <v>60043</v>
      </c>
      <c r="B353" s="283">
        <v>44743</v>
      </c>
      <c r="C353">
        <v>2112</v>
      </c>
      <c r="D353">
        <v>2106</v>
      </c>
      <c r="E353">
        <v>100</v>
      </c>
      <c r="F353">
        <v>320</v>
      </c>
      <c r="G353">
        <v>2100</v>
      </c>
      <c r="H353" s="1">
        <v>700.09</v>
      </c>
      <c r="I353">
        <v>0</v>
      </c>
      <c r="J353" s="283">
        <v>45412.177658182867</v>
      </c>
      <c r="K353" t="s">
        <v>3147</v>
      </c>
      <c r="L353" t="s">
        <v>3145</v>
      </c>
      <c r="M353" t="s">
        <v>3146</v>
      </c>
      <c r="N353" t="s">
        <v>279</v>
      </c>
      <c r="O353" t="s">
        <v>124</v>
      </c>
    </row>
    <row r="354" spans="1:15" x14ac:dyDescent="0.35">
      <c r="A354">
        <v>60044</v>
      </c>
      <c r="B354" s="283">
        <v>44743</v>
      </c>
      <c r="C354">
        <v>2112</v>
      </c>
      <c r="D354">
        <v>2106</v>
      </c>
      <c r="E354">
        <v>100</v>
      </c>
      <c r="F354">
        <v>320</v>
      </c>
      <c r="G354">
        <v>2160</v>
      </c>
      <c r="H354" s="1">
        <v>26.87</v>
      </c>
      <c r="I354">
        <v>0</v>
      </c>
      <c r="J354" s="283">
        <v>45412.177658182867</v>
      </c>
      <c r="K354" t="s">
        <v>3149</v>
      </c>
      <c r="L354" t="s">
        <v>3145</v>
      </c>
      <c r="M354" t="s">
        <v>3146</v>
      </c>
      <c r="N354" t="s">
        <v>279</v>
      </c>
      <c r="O354" t="s">
        <v>124</v>
      </c>
    </row>
    <row r="355" spans="1:15" x14ac:dyDescent="0.35">
      <c r="A355">
        <v>60045</v>
      </c>
      <c r="B355" s="283">
        <v>44743</v>
      </c>
      <c r="C355">
        <v>2112</v>
      </c>
      <c r="D355">
        <v>2106</v>
      </c>
      <c r="E355">
        <v>100</v>
      </c>
      <c r="F355">
        <v>320</v>
      </c>
      <c r="G355">
        <v>2190</v>
      </c>
      <c r="H355" s="1">
        <v>81.56</v>
      </c>
      <c r="I355">
        <v>0</v>
      </c>
      <c r="J355" s="283">
        <v>45412.177658182867</v>
      </c>
      <c r="K355" t="s">
        <v>3150</v>
      </c>
      <c r="L355" t="s">
        <v>3145</v>
      </c>
      <c r="M355" t="s">
        <v>3146</v>
      </c>
      <c r="N355" t="s">
        <v>279</v>
      </c>
      <c r="O355" t="s">
        <v>124</v>
      </c>
    </row>
    <row r="356" spans="1:15" x14ac:dyDescent="0.35">
      <c r="A356">
        <v>60049</v>
      </c>
      <c r="B356" s="283">
        <v>44743</v>
      </c>
      <c r="C356">
        <v>2113</v>
      </c>
      <c r="D356">
        <v>2106</v>
      </c>
      <c r="E356">
        <v>100</v>
      </c>
      <c r="F356">
        <v>320</v>
      </c>
      <c r="G356">
        <v>1200</v>
      </c>
      <c r="H356" s="1">
        <v>47719.94</v>
      </c>
      <c r="I356">
        <v>0</v>
      </c>
      <c r="J356" s="283">
        <v>45412.177658182867</v>
      </c>
      <c r="K356" t="s">
        <v>3144</v>
      </c>
      <c r="L356" t="s">
        <v>3145</v>
      </c>
      <c r="M356" t="s">
        <v>3146</v>
      </c>
      <c r="N356" t="s">
        <v>279</v>
      </c>
      <c r="O356" t="s">
        <v>17</v>
      </c>
    </row>
    <row r="357" spans="1:15" x14ac:dyDescent="0.35">
      <c r="A357">
        <v>60050</v>
      </c>
      <c r="B357" s="283">
        <v>44743</v>
      </c>
      <c r="C357">
        <v>2113</v>
      </c>
      <c r="D357">
        <v>2106</v>
      </c>
      <c r="E357">
        <v>100</v>
      </c>
      <c r="F357">
        <v>320</v>
      </c>
      <c r="G357">
        <v>2100</v>
      </c>
      <c r="H357" s="1">
        <v>75310.47</v>
      </c>
      <c r="I357">
        <v>0</v>
      </c>
      <c r="J357" s="283">
        <v>45412.177658182867</v>
      </c>
      <c r="K357" t="s">
        <v>3147</v>
      </c>
      <c r="L357" t="s">
        <v>3145</v>
      </c>
      <c r="M357" t="s">
        <v>3146</v>
      </c>
      <c r="N357" t="s">
        <v>279</v>
      </c>
      <c r="O357" t="s">
        <v>17</v>
      </c>
    </row>
    <row r="358" spans="1:15" x14ac:dyDescent="0.35">
      <c r="A358">
        <v>60051</v>
      </c>
      <c r="B358" s="283">
        <v>44743</v>
      </c>
      <c r="C358">
        <v>2113</v>
      </c>
      <c r="D358">
        <v>2106</v>
      </c>
      <c r="E358">
        <v>100</v>
      </c>
      <c r="F358">
        <v>320</v>
      </c>
      <c r="G358">
        <v>2160</v>
      </c>
      <c r="H358" s="1">
        <v>6131.2</v>
      </c>
      <c r="I358">
        <v>0</v>
      </c>
      <c r="J358" s="283">
        <v>45412.177658182867</v>
      </c>
      <c r="K358" t="s">
        <v>3149</v>
      </c>
      <c r="L358" t="s">
        <v>3145</v>
      </c>
      <c r="M358" t="s">
        <v>3146</v>
      </c>
      <c r="N358" t="s">
        <v>279</v>
      </c>
      <c r="O358" t="s">
        <v>17</v>
      </c>
    </row>
    <row r="359" spans="1:15" x14ac:dyDescent="0.35">
      <c r="A359">
        <v>60052</v>
      </c>
      <c r="B359" s="283">
        <v>44743</v>
      </c>
      <c r="C359">
        <v>2113</v>
      </c>
      <c r="D359">
        <v>2106</v>
      </c>
      <c r="E359">
        <v>100</v>
      </c>
      <c r="F359">
        <v>320</v>
      </c>
      <c r="G359">
        <v>2190</v>
      </c>
      <c r="H359" s="1">
        <v>18607.830000000002</v>
      </c>
      <c r="I359">
        <v>0</v>
      </c>
      <c r="J359" s="283">
        <v>45412.177658182867</v>
      </c>
      <c r="K359" t="s">
        <v>3150</v>
      </c>
      <c r="L359" t="s">
        <v>3145</v>
      </c>
      <c r="M359" t="s">
        <v>3146</v>
      </c>
      <c r="N359" t="s">
        <v>279</v>
      </c>
      <c r="O359" t="s">
        <v>17</v>
      </c>
    </row>
    <row r="360" spans="1:15" x14ac:dyDescent="0.35">
      <c r="A360">
        <v>60056</v>
      </c>
      <c r="B360" s="283">
        <v>44743</v>
      </c>
      <c r="C360">
        <v>2114</v>
      </c>
      <c r="D360">
        <v>2106</v>
      </c>
      <c r="E360">
        <v>100</v>
      </c>
      <c r="F360">
        <v>320</v>
      </c>
      <c r="G360">
        <v>1200</v>
      </c>
      <c r="H360" s="1">
        <v>41151.75</v>
      </c>
      <c r="I360">
        <v>0</v>
      </c>
      <c r="J360" s="283">
        <v>45412.177658182867</v>
      </c>
      <c r="K360" t="s">
        <v>3144</v>
      </c>
      <c r="L360" t="s">
        <v>3145</v>
      </c>
      <c r="M360" t="s">
        <v>3146</v>
      </c>
      <c r="N360" t="s">
        <v>279</v>
      </c>
      <c r="O360" t="s">
        <v>97</v>
      </c>
    </row>
    <row r="361" spans="1:15" x14ac:dyDescent="0.35">
      <c r="A361">
        <v>60057</v>
      </c>
      <c r="B361" s="283">
        <v>44743</v>
      </c>
      <c r="C361">
        <v>2114</v>
      </c>
      <c r="D361">
        <v>2106</v>
      </c>
      <c r="E361">
        <v>100</v>
      </c>
      <c r="F361">
        <v>320</v>
      </c>
      <c r="G361">
        <v>2100</v>
      </c>
      <c r="H361" s="1">
        <v>19914.71</v>
      </c>
      <c r="I361">
        <v>0</v>
      </c>
      <c r="J361" s="283">
        <v>45412.177658182867</v>
      </c>
      <c r="K361" t="s">
        <v>3147</v>
      </c>
      <c r="L361" t="s">
        <v>3145</v>
      </c>
      <c r="M361" t="s">
        <v>3146</v>
      </c>
      <c r="N361" t="s">
        <v>279</v>
      </c>
      <c r="O361" t="s">
        <v>97</v>
      </c>
    </row>
    <row r="362" spans="1:15" x14ac:dyDescent="0.35">
      <c r="A362">
        <v>60058</v>
      </c>
      <c r="B362" s="283">
        <v>44743</v>
      </c>
      <c r="C362">
        <v>2114</v>
      </c>
      <c r="D362">
        <v>2106</v>
      </c>
      <c r="E362">
        <v>100</v>
      </c>
      <c r="F362">
        <v>320</v>
      </c>
      <c r="G362">
        <v>2160</v>
      </c>
      <c r="H362" s="1">
        <v>5287.3</v>
      </c>
      <c r="I362">
        <v>0</v>
      </c>
      <c r="J362" s="283">
        <v>45412.177658182867</v>
      </c>
      <c r="K362" t="s">
        <v>3149</v>
      </c>
      <c r="L362" t="s">
        <v>3145</v>
      </c>
      <c r="M362" t="s">
        <v>3146</v>
      </c>
      <c r="N362" t="s">
        <v>279</v>
      </c>
      <c r="O362" t="s">
        <v>97</v>
      </c>
    </row>
    <row r="363" spans="1:15" x14ac:dyDescent="0.35">
      <c r="A363">
        <v>60059</v>
      </c>
      <c r="B363" s="283">
        <v>44743</v>
      </c>
      <c r="C363">
        <v>2114</v>
      </c>
      <c r="D363">
        <v>2106</v>
      </c>
      <c r="E363">
        <v>100</v>
      </c>
      <c r="F363">
        <v>320</v>
      </c>
      <c r="G363">
        <v>2190</v>
      </c>
      <c r="H363" s="1">
        <v>16046.64</v>
      </c>
      <c r="I363">
        <v>0</v>
      </c>
      <c r="J363" s="283">
        <v>45412.177658182867</v>
      </c>
      <c r="K363" t="s">
        <v>3150</v>
      </c>
      <c r="L363" t="s">
        <v>3145</v>
      </c>
      <c r="M363" t="s">
        <v>3146</v>
      </c>
      <c r="N363" t="s">
        <v>279</v>
      </c>
      <c r="O363" t="s">
        <v>97</v>
      </c>
    </row>
    <row r="364" spans="1:15" x14ac:dyDescent="0.35">
      <c r="A364">
        <v>60063</v>
      </c>
      <c r="B364" s="283">
        <v>44743</v>
      </c>
      <c r="C364">
        <v>2115</v>
      </c>
      <c r="D364">
        <v>2106</v>
      </c>
      <c r="E364">
        <v>100</v>
      </c>
      <c r="F364">
        <v>320</v>
      </c>
      <c r="G364">
        <v>1200</v>
      </c>
      <c r="H364" s="1">
        <v>4478.75</v>
      </c>
      <c r="I364">
        <v>0</v>
      </c>
      <c r="J364" s="283">
        <v>45412.177658182867</v>
      </c>
      <c r="K364" t="s">
        <v>3144</v>
      </c>
      <c r="L364" t="s">
        <v>3145</v>
      </c>
      <c r="M364" t="s">
        <v>3146</v>
      </c>
      <c r="N364" t="s">
        <v>279</v>
      </c>
      <c r="O364" t="s">
        <v>25</v>
      </c>
    </row>
    <row r="365" spans="1:15" x14ac:dyDescent="0.35">
      <c r="A365">
        <v>60064</v>
      </c>
      <c r="B365" s="283">
        <v>44743</v>
      </c>
      <c r="C365">
        <v>2115</v>
      </c>
      <c r="D365">
        <v>2106</v>
      </c>
      <c r="E365">
        <v>100</v>
      </c>
      <c r="F365">
        <v>320</v>
      </c>
      <c r="G365">
        <v>2100</v>
      </c>
      <c r="H365" s="1">
        <v>8328.25</v>
      </c>
      <c r="I365">
        <v>0</v>
      </c>
      <c r="J365" s="283">
        <v>45412.177658182867</v>
      </c>
      <c r="K365" t="s">
        <v>3147</v>
      </c>
      <c r="L365" t="s">
        <v>3145</v>
      </c>
      <c r="M365" t="s">
        <v>3146</v>
      </c>
      <c r="N365" t="s">
        <v>279</v>
      </c>
      <c r="O365" t="s">
        <v>25</v>
      </c>
    </row>
    <row r="366" spans="1:15" x14ac:dyDescent="0.35">
      <c r="A366">
        <v>60065</v>
      </c>
      <c r="B366" s="283">
        <v>44743</v>
      </c>
      <c r="C366">
        <v>2115</v>
      </c>
      <c r="D366">
        <v>2106</v>
      </c>
      <c r="E366">
        <v>100</v>
      </c>
      <c r="F366">
        <v>320</v>
      </c>
      <c r="G366">
        <v>2160</v>
      </c>
      <c r="H366" s="1">
        <v>575.44000000000005</v>
      </c>
      <c r="I366">
        <v>0</v>
      </c>
      <c r="J366" s="283">
        <v>45412.177658182867</v>
      </c>
      <c r="K366" t="s">
        <v>3149</v>
      </c>
      <c r="L366" t="s">
        <v>3145</v>
      </c>
      <c r="M366" t="s">
        <v>3146</v>
      </c>
      <c r="N366" t="s">
        <v>279</v>
      </c>
      <c r="O366" t="s">
        <v>25</v>
      </c>
    </row>
    <row r="367" spans="1:15" x14ac:dyDescent="0.35">
      <c r="A367">
        <v>60066</v>
      </c>
      <c r="B367" s="283">
        <v>44743</v>
      </c>
      <c r="C367">
        <v>2115</v>
      </c>
      <c r="D367">
        <v>2106</v>
      </c>
      <c r="E367">
        <v>100</v>
      </c>
      <c r="F367">
        <v>320</v>
      </c>
      <c r="G367">
        <v>2190</v>
      </c>
      <c r="H367" s="1">
        <v>1746.43</v>
      </c>
      <c r="I367">
        <v>0</v>
      </c>
      <c r="J367" s="283">
        <v>45412.177658182867</v>
      </c>
      <c r="K367" t="s">
        <v>3150</v>
      </c>
      <c r="L367" t="s">
        <v>3145</v>
      </c>
      <c r="M367" t="s">
        <v>3146</v>
      </c>
      <c r="N367" t="s">
        <v>279</v>
      </c>
      <c r="O367" t="s">
        <v>25</v>
      </c>
    </row>
    <row r="368" spans="1:15" x14ac:dyDescent="0.35">
      <c r="A368">
        <v>60070</v>
      </c>
      <c r="B368" s="283">
        <v>44743</v>
      </c>
      <c r="C368">
        <v>2116</v>
      </c>
      <c r="D368">
        <v>2106</v>
      </c>
      <c r="E368">
        <v>100</v>
      </c>
      <c r="F368">
        <v>320</v>
      </c>
      <c r="G368">
        <v>1200</v>
      </c>
      <c r="H368" s="1">
        <v>131151.4</v>
      </c>
      <c r="I368">
        <v>0</v>
      </c>
      <c r="J368" s="283">
        <v>45412.177658182867</v>
      </c>
      <c r="K368" t="s">
        <v>3144</v>
      </c>
      <c r="L368" t="s">
        <v>3145</v>
      </c>
      <c r="M368" t="s">
        <v>3146</v>
      </c>
      <c r="N368" t="s">
        <v>279</v>
      </c>
      <c r="O368" t="s">
        <v>210</v>
      </c>
    </row>
    <row r="369" spans="1:15" x14ac:dyDescent="0.35">
      <c r="A369">
        <v>60071</v>
      </c>
      <c r="B369" s="283">
        <v>44743</v>
      </c>
      <c r="C369">
        <v>2116</v>
      </c>
      <c r="D369">
        <v>2106</v>
      </c>
      <c r="E369">
        <v>100</v>
      </c>
      <c r="F369">
        <v>320</v>
      </c>
      <c r="G369">
        <v>2100</v>
      </c>
      <c r="H369" s="1">
        <v>197980</v>
      </c>
      <c r="I369">
        <v>0</v>
      </c>
      <c r="J369" s="283">
        <v>45412.177658182867</v>
      </c>
      <c r="K369" t="s">
        <v>3147</v>
      </c>
      <c r="L369" t="s">
        <v>3145</v>
      </c>
      <c r="M369" t="s">
        <v>3146</v>
      </c>
      <c r="N369" t="s">
        <v>279</v>
      </c>
      <c r="O369" t="s">
        <v>210</v>
      </c>
    </row>
    <row r="370" spans="1:15" x14ac:dyDescent="0.35">
      <c r="A370">
        <v>60072</v>
      </c>
      <c r="B370" s="283">
        <v>44743</v>
      </c>
      <c r="C370">
        <v>2116</v>
      </c>
      <c r="D370">
        <v>2106</v>
      </c>
      <c r="E370">
        <v>100</v>
      </c>
      <c r="F370">
        <v>320</v>
      </c>
      <c r="G370">
        <v>2160</v>
      </c>
      <c r="H370" s="1">
        <v>16850.73</v>
      </c>
      <c r="I370">
        <v>0</v>
      </c>
      <c r="J370" s="283">
        <v>45412.177658182867</v>
      </c>
      <c r="K370" t="s">
        <v>3149</v>
      </c>
      <c r="L370" t="s">
        <v>3145</v>
      </c>
      <c r="M370" t="s">
        <v>3146</v>
      </c>
      <c r="N370" t="s">
        <v>279</v>
      </c>
      <c r="O370" t="s">
        <v>210</v>
      </c>
    </row>
    <row r="371" spans="1:15" x14ac:dyDescent="0.35">
      <c r="A371">
        <v>60073</v>
      </c>
      <c r="B371" s="283">
        <v>44743</v>
      </c>
      <c r="C371">
        <v>2116</v>
      </c>
      <c r="D371">
        <v>2106</v>
      </c>
      <c r="E371">
        <v>100</v>
      </c>
      <c r="F371">
        <v>320</v>
      </c>
      <c r="G371">
        <v>2190</v>
      </c>
      <c r="H371" s="1">
        <v>51140.94</v>
      </c>
      <c r="I371">
        <v>0</v>
      </c>
      <c r="J371" s="283">
        <v>45412.177658182867</v>
      </c>
      <c r="K371" t="s">
        <v>3150</v>
      </c>
      <c r="L371" t="s">
        <v>3145</v>
      </c>
      <c r="M371" t="s">
        <v>3146</v>
      </c>
      <c r="N371" t="s">
        <v>279</v>
      </c>
      <c r="O371" t="s">
        <v>210</v>
      </c>
    </row>
    <row r="372" spans="1:15" x14ac:dyDescent="0.35">
      <c r="A372">
        <v>60086</v>
      </c>
      <c r="B372" s="283">
        <v>44743</v>
      </c>
      <c r="C372">
        <v>2137</v>
      </c>
      <c r="D372">
        <v>2117</v>
      </c>
      <c r="E372">
        <v>100</v>
      </c>
      <c r="F372">
        <v>320</v>
      </c>
      <c r="G372">
        <v>1200</v>
      </c>
      <c r="H372" s="1">
        <v>34532.03</v>
      </c>
      <c r="I372">
        <v>0</v>
      </c>
      <c r="J372" s="283">
        <v>45412.177658182867</v>
      </c>
      <c r="K372" t="s">
        <v>3144</v>
      </c>
      <c r="L372" t="s">
        <v>3145</v>
      </c>
      <c r="M372" t="s">
        <v>3146</v>
      </c>
      <c r="N372" t="s">
        <v>296</v>
      </c>
      <c r="O372" t="s">
        <v>87</v>
      </c>
    </row>
    <row r="373" spans="1:15" x14ac:dyDescent="0.35">
      <c r="A373">
        <v>60087</v>
      </c>
      <c r="B373" s="283">
        <v>44743</v>
      </c>
      <c r="C373">
        <v>2137</v>
      </c>
      <c r="D373">
        <v>2117</v>
      </c>
      <c r="E373">
        <v>100</v>
      </c>
      <c r="F373">
        <v>320</v>
      </c>
      <c r="G373">
        <v>2100</v>
      </c>
      <c r="H373" s="1">
        <v>229118.11</v>
      </c>
      <c r="I373">
        <v>0</v>
      </c>
      <c r="J373" s="283">
        <v>45412.177658182867</v>
      </c>
      <c r="K373" t="s">
        <v>3147</v>
      </c>
      <c r="L373" t="s">
        <v>3145</v>
      </c>
      <c r="M373" t="s">
        <v>3146</v>
      </c>
      <c r="N373" t="s">
        <v>296</v>
      </c>
      <c r="O373" t="s">
        <v>87</v>
      </c>
    </row>
    <row r="374" spans="1:15" x14ac:dyDescent="0.35">
      <c r="A374">
        <v>60088</v>
      </c>
      <c r="B374" s="283">
        <v>44743</v>
      </c>
      <c r="C374">
        <v>2137</v>
      </c>
      <c r="D374">
        <v>2117</v>
      </c>
      <c r="E374">
        <v>100</v>
      </c>
      <c r="F374">
        <v>320</v>
      </c>
      <c r="G374">
        <v>2160</v>
      </c>
      <c r="H374" s="1">
        <v>137946.38</v>
      </c>
      <c r="I374">
        <v>0</v>
      </c>
      <c r="J374" s="283">
        <v>45412.177658182867</v>
      </c>
      <c r="K374" t="s">
        <v>3149</v>
      </c>
      <c r="L374" t="s">
        <v>3145</v>
      </c>
      <c r="M374" t="s">
        <v>3146</v>
      </c>
      <c r="N374" t="s">
        <v>296</v>
      </c>
      <c r="O374" t="s">
        <v>87</v>
      </c>
    </row>
    <row r="375" spans="1:15" x14ac:dyDescent="0.35">
      <c r="A375">
        <v>60089</v>
      </c>
      <c r="B375" s="283">
        <v>44743</v>
      </c>
      <c r="C375">
        <v>2137</v>
      </c>
      <c r="D375">
        <v>2117</v>
      </c>
      <c r="E375">
        <v>100</v>
      </c>
      <c r="F375">
        <v>320</v>
      </c>
      <c r="G375">
        <v>2640</v>
      </c>
      <c r="H375" s="1">
        <v>9226.93</v>
      </c>
      <c r="I375">
        <v>0</v>
      </c>
      <c r="J375" s="283">
        <v>45412.177658182867</v>
      </c>
      <c r="K375" t="s">
        <v>3155</v>
      </c>
      <c r="L375" t="s">
        <v>3145</v>
      </c>
      <c r="M375" t="s">
        <v>3146</v>
      </c>
      <c r="N375" t="s">
        <v>296</v>
      </c>
      <c r="O375" t="s">
        <v>87</v>
      </c>
    </row>
    <row r="376" spans="1:15" x14ac:dyDescent="0.35">
      <c r="A376">
        <v>60102</v>
      </c>
      <c r="B376" s="283">
        <v>44743</v>
      </c>
      <c r="C376">
        <v>2138</v>
      </c>
      <c r="D376">
        <v>2117</v>
      </c>
      <c r="E376">
        <v>100</v>
      </c>
      <c r="F376">
        <v>320</v>
      </c>
      <c r="G376">
        <v>2100</v>
      </c>
      <c r="H376" s="1">
        <v>250088</v>
      </c>
      <c r="I376">
        <v>0</v>
      </c>
      <c r="J376" s="283">
        <v>45412.177658182867</v>
      </c>
      <c r="K376" t="s">
        <v>3147</v>
      </c>
      <c r="L376" t="s">
        <v>3145</v>
      </c>
      <c r="M376" t="s">
        <v>3146</v>
      </c>
      <c r="N376" t="s">
        <v>296</v>
      </c>
      <c r="O376" t="s">
        <v>188</v>
      </c>
    </row>
    <row r="377" spans="1:15" x14ac:dyDescent="0.35">
      <c r="A377">
        <v>60103</v>
      </c>
      <c r="B377" s="283">
        <v>44743</v>
      </c>
      <c r="C377">
        <v>2138</v>
      </c>
      <c r="D377">
        <v>2117</v>
      </c>
      <c r="E377">
        <v>100</v>
      </c>
      <c r="F377">
        <v>320</v>
      </c>
      <c r="G377">
        <v>2160</v>
      </c>
      <c r="H377" s="1">
        <v>184856.1</v>
      </c>
      <c r="I377">
        <v>0</v>
      </c>
      <c r="J377" s="283">
        <v>45412.177658182867</v>
      </c>
      <c r="K377" t="s">
        <v>3149</v>
      </c>
      <c r="L377" t="s">
        <v>3145</v>
      </c>
      <c r="M377" t="s">
        <v>3146</v>
      </c>
      <c r="N377" t="s">
        <v>296</v>
      </c>
      <c r="O377" t="s">
        <v>188</v>
      </c>
    </row>
    <row r="378" spans="1:15" x14ac:dyDescent="0.35">
      <c r="A378">
        <v>60115</v>
      </c>
      <c r="B378" s="283">
        <v>44743</v>
      </c>
      <c r="C378">
        <v>2139</v>
      </c>
      <c r="D378">
        <v>2117</v>
      </c>
      <c r="E378">
        <v>100</v>
      </c>
      <c r="F378">
        <v>320</v>
      </c>
      <c r="G378">
        <v>1200</v>
      </c>
      <c r="H378" s="1">
        <v>142313.79999999999</v>
      </c>
      <c r="I378">
        <v>0</v>
      </c>
      <c r="J378" s="283">
        <v>45412.177658182867</v>
      </c>
      <c r="K378" t="s">
        <v>3144</v>
      </c>
      <c r="L378" t="s">
        <v>3145</v>
      </c>
      <c r="M378" t="s">
        <v>3146</v>
      </c>
      <c r="N378" t="s">
        <v>296</v>
      </c>
      <c r="O378" t="s">
        <v>45</v>
      </c>
    </row>
    <row r="379" spans="1:15" x14ac:dyDescent="0.35">
      <c r="A379">
        <v>60116</v>
      </c>
      <c r="B379" s="283">
        <v>44743</v>
      </c>
      <c r="C379">
        <v>2139</v>
      </c>
      <c r="D379">
        <v>2117</v>
      </c>
      <c r="E379">
        <v>100</v>
      </c>
      <c r="F379">
        <v>320</v>
      </c>
      <c r="G379">
        <v>2100</v>
      </c>
      <c r="H379" s="1">
        <v>87388.75</v>
      </c>
      <c r="I379">
        <v>0</v>
      </c>
      <c r="J379" s="283">
        <v>45412.177658182867</v>
      </c>
      <c r="K379" t="s">
        <v>3147</v>
      </c>
      <c r="L379" t="s">
        <v>3145</v>
      </c>
      <c r="M379" t="s">
        <v>3146</v>
      </c>
      <c r="N379" t="s">
        <v>296</v>
      </c>
      <c r="O379" t="s">
        <v>45</v>
      </c>
    </row>
    <row r="380" spans="1:15" x14ac:dyDescent="0.35">
      <c r="A380">
        <v>60117</v>
      </c>
      <c r="B380" s="283">
        <v>44743</v>
      </c>
      <c r="C380">
        <v>2139</v>
      </c>
      <c r="D380">
        <v>2117</v>
      </c>
      <c r="E380">
        <v>100</v>
      </c>
      <c r="F380">
        <v>320</v>
      </c>
      <c r="G380">
        <v>2160</v>
      </c>
      <c r="H380" s="1">
        <v>171189.8</v>
      </c>
      <c r="I380">
        <v>0</v>
      </c>
      <c r="J380" s="283">
        <v>45412.177658182867</v>
      </c>
      <c r="K380" t="s">
        <v>3149</v>
      </c>
      <c r="L380" t="s">
        <v>3145</v>
      </c>
      <c r="M380" t="s">
        <v>3146</v>
      </c>
      <c r="N380" t="s">
        <v>296</v>
      </c>
      <c r="O380" t="s">
        <v>45</v>
      </c>
    </row>
    <row r="381" spans="1:15" x14ac:dyDescent="0.35">
      <c r="A381">
        <v>60118</v>
      </c>
      <c r="B381" s="283">
        <v>44743</v>
      </c>
      <c r="C381">
        <v>2139</v>
      </c>
      <c r="D381">
        <v>2117</v>
      </c>
      <c r="E381">
        <v>100</v>
      </c>
      <c r="F381">
        <v>320</v>
      </c>
      <c r="G381">
        <v>2640</v>
      </c>
      <c r="H381" s="1">
        <v>34739.050000000003</v>
      </c>
      <c r="I381">
        <v>0</v>
      </c>
      <c r="J381" s="283">
        <v>45412.177658182867</v>
      </c>
      <c r="K381" t="s">
        <v>3155</v>
      </c>
      <c r="L381" t="s">
        <v>3145</v>
      </c>
      <c r="M381" t="s">
        <v>3146</v>
      </c>
      <c r="N381" t="s">
        <v>296</v>
      </c>
      <c r="O381" t="s">
        <v>45</v>
      </c>
    </row>
    <row r="382" spans="1:15" x14ac:dyDescent="0.35">
      <c r="A382">
        <v>60130</v>
      </c>
      <c r="B382" s="283">
        <v>44743</v>
      </c>
      <c r="C382">
        <v>2140</v>
      </c>
      <c r="D382">
        <v>2117</v>
      </c>
      <c r="E382">
        <v>100</v>
      </c>
      <c r="F382">
        <v>320</v>
      </c>
      <c r="G382">
        <v>2100</v>
      </c>
      <c r="H382" s="1">
        <v>148270.5</v>
      </c>
      <c r="I382">
        <v>0</v>
      </c>
      <c r="J382" s="283">
        <v>45412.177658182867</v>
      </c>
      <c r="K382" t="s">
        <v>3147</v>
      </c>
      <c r="L382" t="s">
        <v>3145</v>
      </c>
      <c r="M382" t="s">
        <v>3146</v>
      </c>
      <c r="N382" t="s">
        <v>296</v>
      </c>
      <c r="O382" t="s">
        <v>107</v>
      </c>
    </row>
    <row r="383" spans="1:15" x14ac:dyDescent="0.35">
      <c r="A383">
        <v>60131</v>
      </c>
      <c r="B383" s="283">
        <v>44743</v>
      </c>
      <c r="C383">
        <v>2140</v>
      </c>
      <c r="D383">
        <v>2117</v>
      </c>
      <c r="E383">
        <v>100</v>
      </c>
      <c r="F383">
        <v>320</v>
      </c>
      <c r="G383">
        <v>2160</v>
      </c>
      <c r="H383" s="1">
        <v>83846.33</v>
      </c>
      <c r="I383">
        <v>0</v>
      </c>
      <c r="J383" s="283">
        <v>45412.177658182867</v>
      </c>
      <c r="K383" t="s">
        <v>3149</v>
      </c>
      <c r="L383" t="s">
        <v>3145</v>
      </c>
      <c r="M383" t="s">
        <v>3146</v>
      </c>
      <c r="N383" t="s">
        <v>296</v>
      </c>
      <c r="O383" t="s">
        <v>107</v>
      </c>
    </row>
    <row r="384" spans="1:15" x14ac:dyDescent="0.35">
      <c r="A384">
        <v>60142</v>
      </c>
      <c r="B384" s="283">
        <v>44743</v>
      </c>
      <c r="C384">
        <v>2141</v>
      </c>
      <c r="D384">
        <v>2117</v>
      </c>
      <c r="E384">
        <v>100</v>
      </c>
      <c r="F384">
        <v>320</v>
      </c>
      <c r="G384">
        <v>1200</v>
      </c>
      <c r="H384" s="1">
        <v>53367.68</v>
      </c>
      <c r="I384">
        <v>0</v>
      </c>
      <c r="J384" s="283">
        <v>45412.177658182867</v>
      </c>
      <c r="K384" t="s">
        <v>3144</v>
      </c>
      <c r="L384" t="s">
        <v>3145</v>
      </c>
      <c r="M384" t="s">
        <v>3146</v>
      </c>
      <c r="N384" t="s">
        <v>296</v>
      </c>
      <c r="O384" t="s">
        <v>145</v>
      </c>
    </row>
    <row r="385" spans="1:15" x14ac:dyDescent="0.35">
      <c r="A385">
        <v>60143</v>
      </c>
      <c r="B385" s="283">
        <v>44743</v>
      </c>
      <c r="C385">
        <v>2141</v>
      </c>
      <c r="D385">
        <v>2117</v>
      </c>
      <c r="E385">
        <v>100</v>
      </c>
      <c r="F385">
        <v>320</v>
      </c>
      <c r="G385">
        <v>2100</v>
      </c>
      <c r="H385" s="1">
        <v>423098.3</v>
      </c>
      <c r="I385">
        <v>0</v>
      </c>
      <c r="J385" s="283">
        <v>45412.177658182867</v>
      </c>
      <c r="K385" t="s">
        <v>3147</v>
      </c>
      <c r="L385" t="s">
        <v>3145</v>
      </c>
      <c r="M385" t="s">
        <v>3146</v>
      </c>
      <c r="N385" t="s">
        <v>296</v>
      </c>
      <c r="O385" t="s">
        <v>145</v>
      </c>
    </row>
    <row r="386" spans="1:15" x14ac:dyDescent="0.35">
      <c r="A386">
        <v>60144</v>
      </c>
      <c r="B386" s="283">
        <v>44743</v>
      </c>
      <c r="C386">
        <v>2141</v>
      </c>
      <c r="D386">
        <v>2117</v>
      </c>
      <c r="E386">
        <v>100</v>
      </c>
      <c r="F386">
        <v>320</v>
      </c>
      <c r="G386">
        <v>2160</v>
      </c>
      <c r="H386" s="1">
        <v>166186.6</v>
      </c>
      <c r="I386">
        <v>0</v>
      </c>
      <c r="J386" s="283">
        <v>45412.177658182867</v>
      </c>
      <c r="K386" t="s">
        <v>3149</v>
      </c>
      <c r="L386" t="s">
        <v>3145</v>
      </c>
      <c r="M386" t="s">
        <v>3146</v>
      </c>
      <c r="N386" t="s">
        <v>296</v>
      </c>
      <c r="O386" t="s">
        <v>145</v>
      </c>
    </row>
    <row r="387" spans="1:15" x14ac:dyDescent="0.35">
      <c r="A387">
        <v>60155</v>
      </c>
      <c r="B387" s="283">
        <v>44743</v>
      </c>
      <c r="C387">
        <v>2142</v>
      </c>
      <c r="D387">
        <v>2117</v>
      </c>
      <c r="E387">
        <v>100</v>
      </c>
      <c r="F387">
        <v>320</v>
      </c>
      <c r="G387">
        <v>2160</v>
      </c>
      <c r="H387" s="1">
        <v>37488.9</v>
      </c>
      <c r="I387">
        <v>0</v>
      </c>
      <c r="J387" s="283">
        <v>45412.177658182867</v>
      </c>
      <c r="K387" t="s">
        <v>3149</v>
      </c>
      <c r="L387" t="s">
        <v>3145</v>
      </c>
      <c r="M387" t="s">
        <v>3146</v>
      </c>
      <c r="N387" t="s">
        <v>296</v>
      </c>
      <c r="O387" t="s">
        <v>180</v>
      </c>
    </row>
    <row r="388" spans="1:15" x14ac:dyDescent="0.35">
      <c r="A388">
        <v>60165</v>
      </c>
      <c r="B388" s="283">
        <v>44743</v>
      </c>
      <c r="C388">
        <v>2143</v>
      </c>
      <c r="D388">
        <v>2117</v>
      </c>
      <c r="E388">
        <v>100</v>
      </c>
      <c r="F388">
        <v>320</v>
      </c>
      <c r="G388">
        <v>2100</v>
      </c>
      <c r="H388" s="1">
        <v>182917.3</v>
      </c>
      <c r="I388">
        <v>0</v>
      </c>
      <c r="J388" s="283">
        <v>45412.177658182867</v>
      </c>
      <c r="K388" t="s">
        <v>3147</v>
      </c>
      <c r="L388" t="s">
        <v>3145</v>
      </c>
      <c r="M388" t="s">
        <v>3146</v>
      </c>
      <c r="N388" t="s">
        <v>296</v>
      </c>
      <c r="O388" t="s">
        <v>147</v>
      </c>
    </row>
    <row r="389" spans="1:15" x14ac:dyDescent="0.35">
      <c r="A389">
        <v>60166</v>
      </c>
      <c r="B389" s="283">
        <v>44743</v>
      </c>
      <c r="C389">
        <v>2143</v>
      </c>
      <c r="D389">
        <v>2117</v>
      </c>
      <c r="E389">
        <v>100</v>
      </c>
      <c r="F389">
        <v>320</v>
      </c>
      <c r="G389">
        <v>2160</v>
      </c>
      <c r="H389" s="1">
        <v>21272.75</v>
      </c>
      <c r="I389">
        <v>0</v>
      </c>
      <c r="J389" s="283">
        <v>45412.177658182867</v>
      </c>
      <c r="K389" t="s">
        <v>3149</v>
      </c>
      <c r="L389" t="s">
        <v>3145</v>
      </c>
      <c r="M389" t="s">
        <v>3146</v>
      </c>
      <c r="N389" t="s">
        <v>296</v>
      </c>
      <c r="O389" t="s">
        <v>147</v>
      </c>
    </row>
    <row r="390" spans="1:15" x14ac:dyDescent="0.35">
      <c r="A390">
        <v>60178</v>
      </c>
      <c r="B390" s="283">
        <v>44743</v>
      </c>
      <c r="C390">
        <v>2144</v>
      </c>
      <c r="D390">
        <v>2117</v>
      </c>
      <c r="E390">
        <v>100</v>
      </c>
      <c r="F390">
        <v>320</v>
      </c>
      <c r="G390">
        <v>2100</v>
      </c>
      <c r="H390" s="1">
        <v>32544.799999999999</v>
      </c>
      <c r="I390">
        <v>0</v>
      </c>
      <c r="J390" s="283">
        <v>45412.177658182867</v>
      </c>
      <c r="K390" t="s">
        <v>3147</v>
      </c>
      <c r="L390" t="s">
        <v>3145</v>
      </c>
      <c r="M390" t="s">
        <v>3146</v>
      </c>
      <c r="N390" t="s">
        <v>296</v>
      </c>
      <c r="O390" t="s">
        <v>198</v>
      </c>
    </row>
    <row r="391" spans="1:15" x14ac:dyDescent="0.35">
      <c r="A391">
        <v>60179</v>
      </c>
      <c r="B391" s="283">
        <v>44743</v>
      </c>
      <c r="C391">
        <v>2144</v>
      </c>
      <c r="D391">
        <v>2117</v>
      </c>
      <c r="E391">
        <v>100</v>
      </c>
      <c r="F391">
        <v>320</v>
      </c>
      <c r="G391">
        <v>2160</v>
      </c>
      <c r="H391" s="1">
        <v>2896.1</v>
      </c>
      <c r="I391">
        <v>0</v>
      </c>
      <c r="J391" s="283">
        <v>45412.177658182867</v>
      </c>
      <c r="K391" t="s">
        <v>3149</v>
      </c>
      <c r="L391" t="s">
        <v>3145</v>
      </c>
      <c r="M391" t="s">
        <v>3146</v>
      </c>
      <c r="N391" t="s">
        <v>296</v>
      </c>
      <c r="O391" t="s">
        <v>198</v>
      </c>
    </row>
    <row r="392" spans="1:15" x14ac:dyDescent="0.35">
      <c r="A392">
        <v>60180</v>
      </c>
      <c r="B392" s="283">
        <v>44743</v>
      </c>
      <c r="C392">
        <v>2144</v>
      </c>
      <c r="D392">
        <v>2117</v>
      </c>
      <c r="E392">
        <v>100</v>
      </c>
      <c r="F392">
        <v>320</v>
      </c>
      <c r="G392">
        <v>2640</v>
      </c>
      <c r="H392" s="1">
        <v>1620.13</v>
      </c>
      <c r="I392">
        <v>0</v>
      </c>
      <c r="J392" s="283">
        <v>45412.177658182867</v>
      </c>
      <c r="K392" t="s">
        <v>3155</v>
      </c>
      <c r="L392" t="s">
        <v>3145</v>
      </c>
      <c r="M392" t="s">
        <v>3146</v>
      </c>
      <c r="N392" t="s">
        <v>296</v>
      </c>
      <c r="O392" t="s">
        <v>198</v>
      </c>
    </row>
    <row r="393" spans="1:15" x14ac:dyDescent="0.35">
      <c r="A393">
        <v>60190</v>
      </c>
      <c r="B393" s="283">
        <v>44743</v>
      </c>
      <c r="C393">
        <v>2145</v>
      </c>
      <c r="D393">
        <v>2117</v>
      </c>
      <c r="E393">
        <v>100</v>
      </c>
      <c r="F393">
        <v>320</v>
      </c>
      <c r="G393">
        <v>2100</v>
      </c>
      <c r="H393" s="1">
        <v>145122.85999999999</v>
      </c>
      <c r="I393">
        <v>0</v>
      </c>
      <c r="J393" s="283">
        <v>45412.177658182867</v>
      </c>
      <c r="K393" t="s">
        <v>3147</v>
      </c>
      <c r="L393" t="s">
        <v>3145</v>
      </c>
      <c r="M393" t="s">
        <v>3146</v>
      </c>
      <c r="N393" t="s">
        <v>296</v>
      </c>
      <c r="O393" t="s">
        <v>136</v>
      </c>
    </row>
    <row r="394" spans="1:15" x14ac:dyDescent="0.35">
      <c r="A394">
        <v>60191</v>
      </c>
      <c r="B394" s="283">
        <v>44743</v>
      </c>
      <c r="C394">
        <v>2145</v>
      </c>
      <c r="D394">
        <v>2117</v>
      </c>
      <c r="E394">
        <v>100</v>
      </c>
      <c r="F394">
        <v>320</v>
      </c>
      <c r="G394">
        <v>2160</v>
      </c>
      <c r="H394" s="1">
        <v>17578.05</v>
      </c>
      <c r="I394">
        <v>0</v>
      </c>
      <c r="J394" s="283">
        <v>45412.177658182867</v>
      </c>
      <c r="K394" t="s">
        <v>3149</v>
      </c>
      <c r="L394" t="s">
        <v>3145</v>
      </c>
      <c r="M394" t="s">
        <v>3146</v>
      </c>
      <c r="N394" t="s">
        <v>296</v>
      </c>
      <c r="O394" t="s">
        <v>136</v>
      </c>
    </row>
    <row r="395" spans="1:15" x14ac:dyDescent="0.35">
      <c r="A395">
        <v>60192</v>
      </c>
      <c r="B395" s="283">
        <v>44743</v>
      </c>
      <c r="C395">
        <v>2145</v>
      </c>
      <c r="D395">
        <v>2117</v>
      </c>
      <c r="E395">
        <v>100</v>
      </c>
      <c r="F395">
        <v>320</v>
      </c>
      <c r="G395">
        <v>2640</v>
      </c>
      <c r="H395" s="1">
        <v>2016.21</v>
      </c>
      <c r="I395">
        <v>0</v>
      </c>
      <c r="J395" s="283">
        <v>45412.177658182867</v>
      </c>
      <c r="K395" t="s">
        <v>3155</v>
      </c>
      <c r="L395" t="s">
        <v>3145</v>
      </c>
      <c r="M395" t="s">
        <v>3146</v>
      </c>
      <c r="N395" t="s">
        <v>296</v>
      </c>
      <c r="O395" t="s">
        <v>136</v>
      </c>
    </row>
    <row r="396" spans="1:15" x14ac:dyDescent="0.35">
      <c r="A396">
        <v>60204</v>
      </c>
      <c r="B396" s="283">
        <v>44743</v>
      </c>
      <c r="C396">
        <v>2146</v>
      </c>
      <c r="D396">
        <v>2117</v>
      </c>
      <c r="E396">
        <v>100</v>
      </c>
      <c r="F396">
        <v>320</v>
      </c>
      <c r="G396">
        <v>1200</v>
      </c>
      <c r="H396" s="1">
        <v>129756.7</v>
      </c>
      <c r="I396">
        <v>0</v>
      </c>
      <c r="J396" s="283">
        <v>45412.177658182867</v>
      </c>
      <c r="K396" t="s">
        <v>3144</v>
      </c>
      <c r="L396" t="s">
        <v>3145</v>
      </c>
      <c r="M396" t="s">
        <v>3146</v>
      </c>
      <c r="N396" t="s">
        <v>296</v>
      </c>
      <c r="O396" t="s">
        <v>217</v>
      </c>
    </row>
    <row r="397" spans="1:15" x14ac:dyDescent="0.35">
      <c r="A397">
        <v>60205</v>
      </c>
      <c r="B397" s="283">
        <v>44743</v>
      </c>
      <c r="C397">
        <v>2146</v>
      </c>
      <c r="D397">
        <v>2117</v>
      </c>
      <c r="E397">
        <v>100</v>
      </c>
      <c r="F397">
        <v>320</v>
      </c>
      <c r="G397">
        <v>2100</v>
      </c>
      <c r="H397" s="1">
        <v>0</v>
      </c>
      <c r="I397">
        <v>0</v>
      </c>
      <c r="J397" s="283">
        <v>45412.177658182867</v>
      </c>
      <c r="K397" t="s">
        <v>3147</v>
      </c>
      <c r="L397" t="s">
        <v>3145</v>
      </c>
      <c r="M397" t="s">
        <v>3146</v>
      </c>
      <c r="N397" t="s">
        <v>296</v>
      </c>
      <c r="O397" t="s">
        <v>217</v>
      </c>
    </row>
    <row r="398" spans="1:15" x14ac:dyDescent="0.35">
      <c r="A398">
        <v>60206</v>
      </c>
      <c r="B398" s="283">
        <v>44743</v>
      </c>
      <c r="C398">
        <v>2146</v>
      </c>
      <c r="D398">
        <v>2117</v>
      </c>
      <c r="E398">
        <v>100</v>
      </c>
      <c r="F398">
        <v>320</v>
      </c>
      <c r="G398">
        <v>2160</v>
      </c>
      <c r="H398" s="1">
        <v>116276</v>
      </c>
      <c r="I398">
        <v>0</v>
      </c>
      <c r="J398" s="283">
        <v>45412.177658182867</v>
      </c>
      <c r="K398" t="s">
        <v>3149</v>
      </c>
      <c r="L398" t="s">
        <v>3145</v>
      </c>
      <c r="M398" t="s">
        <v>3146</v>
      </c>
      <c r="N398" t="s">
        <v>296</v>
      </c>
      <c r="O398" t="s">
        <v>217</v>
      </c>
    </row>
    <row r="399" spans="1:15" x14ac:dyDescent="0.35">
      <c r="A399">
        <v>60207</v>
      </c>
      <c r="B399" s="283">
        <v>44743</v>
      </c>
      <c r="C399">
        <v>2146</v>
      </c>
      <c r="D399">
        <v>2117</v>
      </c>
      <c r="E399">
        <v>100</v>
      </c>
      <c r="F399">
        <v>320</v>
      </c>
      <c r="G399">
        <v>2640</v>
      </c>
      <c r="H399" s="1">
        <v>152052.26999999999</v>
      </c>
      <c r="I399">
        <v>0</v>
      </c>
      <c r="J399" s="283">
        <v>45412.177658182867</v>
      </c>
      <c r="K399" t="s">
        <v>3155</v>
      </c>
      <c r="L399" t="s">
        <v>3145</v>
      </c>
      <c r="M399" t="s">
        <v>3146</v>
      </c>
      <c r="N399" t="s">
        <v>296</v>
      </c>
      <c r="O399" t="s">
        <v>217</v>
      </c>
    </row>
    <row r="400" spans="1:15" x14ac:dyDescent="0.35">
      <c r="A400">
        <v>60219</v>
      </c>
      <c r="B400" s="283">
        <v>44743</v>
      </c>
      <c r="C400">
        <v>2190</v>
      </c>
      <c r="D400">
        <v>2117</v>
      </c>
      <c r="E400">
        <v>100</v>
      </c>
      <c r="F400">
        <v>320</v>
      </c>
      <c r="G400">
        <v>1200</v>
      </c>
      <c r="H400" s="1">
        <v>81621.149999999994</v>
      </c>
      <c r="I400">
        <v>0</v>
      </c>
      <c r="J400" s="283">
        <v>45412.177658182867</v>
      </c>
      <c r="K400" t="s">
        <v>3144</v>
      </c>
      <c r="L400" t="s">
        <v>3145</v>
      </c>
      <c r="M400" t="s">
        <v>3146</v>
      </c>
      <c r="N400" t="s">
        <v>296</v>
      </c>
      <c r="O400" t="s">
        <v>64</v>
      </c>
    </row>
    <row r="401" spans="1:15" x14ac:dyDescent="0.35">
      <c r="A401">
        <v>60220</v>
      </c>
      <c r="B401" s="283">
        <v>44743</v>
      </c>
      <c r="C401">
        <v>2190</v>
      </c>
      <c r="D401">
        <v>2117</v>
      </c>
      <c r="E401">
        <v>100</v>
      </c>
      <c r="F401">
        <v>320</v>
      </c>
      <c r="G401">
        <v>2100</v>
      </c>
      <c r="H401" s="1">
        <v>320705.59999999998</v>
      </c>
      <c r="I401">
        <v>0</v>
      </c>
      <c r="J401" s="283">
        <v>45412.177658182867</v>
      </c>
      <c r="K401" t="s">
        <v>3147</v>
      </c>
      <c r="L401" t="s">
        <v>3145</v>
      </c>
      <c r="M401" t="s">
        <v>3146</v>
      </c>
      <c r="N401" t="s">
        <v>296</v>
      </c>
      <c r="O401" t="s">
        <v>64</v>
      </c>
    </row>
    <row r="402" spans="1:15" x14ac:dyDescent="0.35">
      <c r="A402">
        <v>60221</v>
      </c>
      <c r="B402" s="283">
        <v>44743</v>
      </c>
      <c r="C402">
        <v>2190</v>
      </c>
      <c r="D402">
        <v>2117</v>
      </c>
      <c r="E402">
        <v>100</v>
      </c>
      <c r="F402">
        <v>320</v>
      </c>
      <c r="G402">
        <v>2160</v>
      </c>
      <c r="H402" s="1">
        <v>164400.20000000001</v>
      </c>
      <c r="I402">
        <v>0</v>
      </c>
      <c r="J402" s="283">
        <v>45412.177658182867</v>
      </c>
      <c r="K402" t="s">
        <v>3149</v>
      </c>
      <c r="L402" t="s">
        <v>3145</v>
      </c>
      <c r="M402" t="s">
        <v>3146</v>
      </c>
      <c r="N402" t="s">
        <v>296</v>
      </c>
      <c r="O402" t="s">
        <v>64</v>
      </c>
    </row>
    <row r="403" spans="1:15" x14ac:dyDescent="0.35">
      <c r="A403">
        <v>60232</v>
      </c>
      <c r="B403" s="283">
        <v>44743</v>
      </c>
      <c r="C403">
        <v>2191</v>
      </c>
      <c r="D403">
        <v>2117</v>
      </c>
      <c r="E403">
        <v>100</v>
      </c>
      <c r="F403">
        <v>320</v>
      </c>
      <c r="G403">
        <v>1200</v>
      </c>
      <c r="H403" s="1">
        <v>133942.39999999999</v>
      </c>
      <c r="I403">
        <v>0</v>
      </c>
      <c r="J403" s="283">
        <v>45412.177658182867</v>
      </c>
      <c r="K403" t="s">
        <v>3144</v>
      </c>
      <c r="L403" t="s">
        <v>3145</v>
      </c>
      <c r="M403" t="s">
        <v>3146</v>
      </c>
      <c r="N403" t="s">
        <v>296</v>
      </c>
      <c r="O403" t="s">
        <v>50</v>
      </c>
    </row>
    <row r="404" spans="1:15" x14ac:dyDescent="0.35">
      <c r="A404">
        <v>60233</v>
      </c>
      <c r="B404" s="283">
        <v>44743</v>
      </c>
      <c r="C404">
        <v>2191</v>
      </c>
      <c r="D404">
        <v>2117</v>
      </c>
      <c r="E404">
        <v>100</v>
      </c>
      <c r="F404">
        <v>320</v>
      </c>
      <c r="G404">
        <v>2100</v>
      </c>
      <c r="H404" s="1">
        <v>219421.24</v>
      </c>
      <c r="I404">
        <v>0</v>
      </c>
      <c r="J404" s="283">
        <v>45412.177658182867</v>
      </c>
      <c r="K404" t="s">
        <v>3147</v>
      </c>
      <c r="L404" t="s">
        <v>3145</v>
      </c>
      <c r="M404" t="s">
        <v>3146</v>
      </c>
      <c r="N404" t="s">
        <v>296</v>
      </c>
      <c r="O404" t="s">
        <v>50</v>
      </c>
    </row>
    <row r="405" spans="1:15" x14ac:dyDescent="0.35">
      <c r="A405">
        <v>60234</v>
      </c>
      <c r="B405" s="283">
        <v>44743</v>
      </c>
      <c r="C405">
        <v>2191</v>
      </c>
      <c r="D405">
        <v>2117</v>
      </c>
      <c r="E405">
        <v>100</v>
      </c>
      <c r="F405">
        <v>320</v>
      </c>
      <c r="G405">
        <v>2160</v>
      </c>
      <c r="H405" s="1">
        <v>221607.7</v>
      </c>
      <c r="I405">
        <v>0</v>
      </c>
      <c r="J405" s="283">
        <v>45412.177658182867</v>
      </c>
      <c r="K405" t="s">
        <v>3149</v>
      </c>
      <c r="L405" t="s">
        <v>3145</v>
      </c>
      <c r="M405" t="s">
        <v>3146</v>
      </c>
      <c r="N405" t="s">
        <v>296</v>
      </c>
      <c r="O405" t="s">
        <v>50</v>
      </c>
    </row>
    <row r="406" spans="1:15" x14ac:dyDescent="0.35">
      <c r="A406">
        <v>60242</v>
      </c>
      <c r="B406" s="283">
        <v>44743</v>
      </c>
      <c r="C406">
        <v>2192</v>
      </c>
      <c r="D406">
        <v>2117</v>
      </c>
      <c r="E406">
        <v>100</v>
      </c>
      <c r="F406">
        <v>320</v>
      </c>
      <c r="G406">
        <v>2100</v>
      </c>
      <c r="H406" s="1">
        <v>37513.199999999997</v>
      </c>
      <c r="I406">
        <v>0</v>
      </c>
      <c r="J406" s="283">
        <v>45412.177658182867</v>
      </c>
      <c r="K406" t="s">
        <v>3147</v>
      </c>
      <c r="L406" t="s">
        <v>3145</v>
      </c>
      <c r="M406" t="s">
        <v>3146</v>
      </c>
      <c r="N406" t="s">
        <v>296</v>
      </c>
      <c r="O406" t="s">
        <v>158</v>
      </c>
    </row>
    <row r="407" spans="1:15" x14ac:dyDescent="0.35">
      <c r="A407">
        <v>60243</v>
      </c>
      <c r="B407" s="283">
        <v>44743</v>
      </c>
      <c r="C407">
        <v>2192</v>
      </c>
      <c r="D407">
        <v>2117</v>
      </c>
      <c r="E407">
        <v>100</v>
      </c>
      <c r="F407">
        <v>320</v>
      </c>
      <c r="G407">
        <v>2160</v>
      </c>
      <c r="H407" s="1">
        <v>1913.25</v>
      </c>
      <c r="I407">
        <v>0</v>
      </c>
      <c r="J407" s="283">
        <v>45412.177658182867</v>
      </c>
      <c r="K407" t="s">
        <v>3149</v>
      </c>
      <c r="L407" t="s">
        <v>3145</v>
      </c>
      <c r="M407" t="s">
        <v>3146</v>
      </c>
      <c r="N407" t="s">
        <v>296</v>
      </c>
      <c r="O407" t="s">
        <v>158</v>
      </c>
    </row>
    <row r="408" spans="1:15" x14ac:dyDescent="0.35">
      <c r="A408">
        <v>60252</v>
      </c>
      <c r="B408" s="283">
        <v>44743</v>
      </c>
      <c r="C408">
        <v>2193</v>
      </c>
      <c r="D408">
        <v>2117</v>
      </c>
      <c r="E408">
        <v>100</v>
      </c>
      <c r="F408">
        <v>320</v>
      </c>
      <c r="G408">
        <v>1200</v>
      </c>
      <c r="H408" s="1">
        <v>41857</v>
      </c>
      <c r="I408">
        <v>0</v>
      </c>
      <c r="J408" s="283">
        <v>45412.177658182867</v>
      </c>
      <c r="K408" t="s">
        <v>3144</v>
      </c>
      <c r="L408" t="s">
        <v>3145</v>
      </c>
      <c r="M408" t="s">
        <v>3146</v>
      </c>
      <c r="N408" t="s">
        <v>296</v>
      </c>
      <c r="O408" t="s">
        <v>81</v>
      </c>
    </row>
    <row r="409" spans="1:15" x14ac:dyDescent="0.35">
      <c r="A409">
        <v>60253</v>
      </c>
      <c r="B409" s="283">
        <v>44743</v>
      </c>
      <c r="C409">
        <v>2193</v>
      </c>
      <c r="D409">
        <v>2117</v>
      </c>
      <c r="E409">
        <v>100</v>
      </c>
      <c r="F409">
        <v>320</v>
      </c>
      <c r="G409">
        <v>2100</v>
      </c>
      <c r="H409" s="1">
        <v>31484.799999999999</v>
      </c>
      <c r="I409">
        <v>0</v>
      </c>
      <c r="J409" s="283">
        <v>45412.177658182867</v>
      </c>
      <c r="K409" t="s">
        <v>3147</v>
      </c>
      <c r="L409" t="s">
        <v>3145</v>
      </c>
      <c r="M409" t="s">
        <v>3146</v>
      </c>
      <c r="N409" t="s">
        <v>296</v>
      </c>
      <c r="O409" t="s">
        <v>81</v>
      </c>
    </row>
    <row r="410" spans="1:15" x14ac:dyDescent="0.35">
      <c r="A410">
        <v>60254</v>
      </c>
      <c r="B410" s="283">
        <v>44743</v>
      </c>
      <c r="C410">
        <v>2193</v>
      </c>
      <c r="D410">
        <v>2117</v>
      </c>
      <c r="E410">
        <v>100</v>
      </c>
      <c r="F410">
        <v>320</v>
      </c>
      <c r="G410">
        <v>2160</v>
      </c>
      <c r="H410" s="1">
        <v>13305</v>
      </c>
      <c r="I410">
        <v>0</v>
      </c>
      <c r="J410" s="283">
        <v>45412.177658182867</v>
      </c>
      <c r="K410" t="s">
        <v>3149</v>
      </c>
      <c r="L410" t="s">
        <v>3145</v>
      </c>
      <c r="M410" t="s">
        <v>3146</v>
      </c>
      <c r="N410" t="s">
        <v>296</v>
      </c>
      <c r="O410" t="s">
        <v>81</v>
      </c>
    </row>
    <row r="411" spans="1:15" x14ac:dyDescent="0.35">
      <c r="A411">
        <v>60265</v>
      </c>
      <c r="B411" s="283">
        <v>44743</v>
      </c>
      <c r="C411">
        <v>2251</v>
      </c>
      <c r="D411">
        <v>2117</v>
      </c>
      <c r="E411">
        <v>100</v>
      </c>
      <c r="F411">
        <v>320</v>
      </c>
      <c r="G411">
        <v>1200</v>
      </c>
      <c r="H411" s="1">
        <v>41857</v>
      </c>
      <c r="I411">
        <v>0</v>
      </c>
      <c r="J411" s="283">
        <v>45412.177658182867</v>
      </c>
      <c r="K411" t="s">
        <v>3144</v>
      </c>
      <c r="L411" t="s">
        <v>3145</v>
      </c>
      <c r="M411" t="s">
        <v>3146</v>
      </c>
      <c r="N411" t="s">
        <v>296</v>
      </c>
      <c r="O411" t="s">
        <v>218</v>
      </c>
    </row>
    <row r="412" spans="1:15" x14ac:dyDescent="0.35">
      <c r="A412">
        <v>60266</v>
      </c>
      <c r="B412" s="283">
        <v>44743</v>
      </c>
      <c r="C412">
        <v>2251</v>
      </c>
      <c r="D412">
        <v>2117</v>
      </c>
      <c r="E412">
        <v>100</v>
      </c>
      <c r="F412">
        <v>320</v>
      </c>
      <c r="G412">
        <v>2100</v>
      </c>
      <c r="H412" s="1">
        <v>8119.56</v>
      </c>
      <c r="I412">
        <v>0</v>
      </c>
      <c r="J412" s="283">
        <v>45412.177658182867</v>
      </c>
      <c r="K412" t="s">
        <v>3147</v>
      </c>
      <c r="L412" t="s">
        <v>3145</v>
      </c>
      <c r="M412" t="s">
        <v>3146</v>
      </c>
      <c r="N412" t="s">
        <v>296</v>
      </c>
      <c r="O412" t="s">
        <v>218</v>
      </c>
    </row>
    <row r="413" spans="1:15" x14ac:dyDescent="0.35">
      <c r="A413">
        <v>60267</v>
      </c>
      <c r="B413" s="283">
        <v>44743</v>
      </c>
      <c r="C413">
        <v>2251</v>
      </c>
      <c r="D413">
        <v>2117</v>
      </c>
      <c r="E413">
        <v>100</v>
      </c>
      <c r="F413">
        <v>320</v>
      </c>
      <c r="G413">
        <v>2160</v>
      </c>
      <c r="H413" s="1">
        <v>15552</v>
      </c>
      <c r="I413">
        <v>0</v>
      </c>
      <c r="J413" s="283">
        <v>45412.177658182867</v>
      </c>
      <c r="K413" t="s">
        <v>3149</v>
      </c>
      <c r="L413" t="s">
        <v>3145</v>
      </c>
      <c r="M413" t="s">
        <v>3146</v>
      </c>
      <c r="N413" t="s">
        <v>296</v>
      </c>
      <c r="O413" t="s">
        <v>218</v>
      </c>
    </row>
    <row r="414" spans="1:15" x14ac:dyDescent="0.35">
      <c r="A414">
        <v>60279</v>
      </c>
      <c r="B414" s="283">
        <v>44743</v>
      </c>
      <c r="C414">
        <v>2252</v>
      </c>
      <c r="D414">
        <v>2117</v>
      </c>
      <c r="E414">
        <v>100</v>
      </c>
      <c r="F414">
        <v>320</v>
      </c>
      <c r="G414">
        <v>1200</v>
      </c>
      <c r="H414" s="1">
        <v>21974.93</v>
      </c>
      <c r="I414">
        <v>0</v>
      </c>
      <c r="J414" s="283">
        <v>45412.177658182867</v>
      </c>
      <c r="K414" t="s">
        <v>3144</v>
      </c>
      <c r="L414" t="s">
        <v>3145</v>
      </c>
      <c r="M414" t="s">
        <v>3146</v>
      </c>
      <c r="N414" t="s">
        <v>296</v>
      </c>
      <c r="O414" t="s">
        <v>21</v>
      </c>
    </row>
    <row r="415" spans="1:15" x14ac:dyDescent="0.35">
      <c r="A415">
        <v>60280</v>
      </c>
      <c r="B415" s="283">
        <v>44743</v>
      </c>
      <c r="C415">
        <v>2252</v>
      </c>
      <c r="D415">
        <v>2117</v>
      </c>
      <c r="E415">
        <v>100</v>
      </c>
      <c r="F415">
        <v>320</v>
      </c>
      <c r="G415">
        <v>2100</v>
      </c>
      <c r="H415" s="1">
        <v>125404.94</v>
      </c>
      <c r="I415">
        <v>0</v>
      </c>
      <c r="J415" s="283">
        <v>45412.177658182867</v>
      </c>
      <c r="K415" t="s">
        <v>3147</v>
      </c>
      <c r="L415" t="s">
        <v>3145</v>
      </c>
      <c r="M415" t="s">
        <v>3146</v>
      </c>
      <c r="N415" t="s">
        <v>296</v>
      </c>
      <c r="O415" t="s">
        <v>21</v>
      </c>
    </row>
    <row r="416" spans="1:15" x14ac:dyDescent="0.35">
      <c r="A416">
        <v>60281</v>
      </c>
      <c r="B416" s="283">
        <v>44743</v>
      </c>
      <c r="C416">
        <v>2252</v>
      </c>
      <c r="D416">
        <v>2117</v>
      </c>
      <c r="E416">
        <v>100</v>
      </c>
      <c r="F416">
        <v>320</v>
      </c>
      <c r="G416">
        <v>2160</v>
      </c>
      <c r="H416" s="1">
        <v>2899.77</v>
      </c>
      <c r="I416">
        <v>0</v>
      </c>
      <c r="J416" s="283">
        <v>45412.177658182867</v>
      </c>
      <c r="K416" t="s">
        <v>3149</v>
      </c>
      <c r="L416" t="s">
        <v>3145</v>
      </c>
      <c r="M416" t="s">
        <v>3146</v>
      </c>
      <c r="N416" t="s">
        <v>296</v>
      </c>
      <c r="O416" t="s">
        <v>21</v>
      </c>
    </row>
    <row r="417" spans="1:15" x14ac:dyDescent="0.35">
      <c r="A417">
        <v>60292</v>
      </c>
      <c r="B417" s="283">
        <v>44743</v>
      </c>
      <c r="C417">
        <v>2253</v>
      </c>
      <c r="D417">
        <v>2117</v>
      </c>
      <c r="E417">
        <v>100</v>
      </c>
      <c r="F417">
        <v>320</v>
      </c>
      <c r="G417">
        <v>2100</v>
      </c>
      <c r="H417" s="1">
        <v>26912.7</v>
      </c>
      <c r="I417">
        <v>0</v>
      </c>
      <c r="J417" s="283">
        <v>45412.177658182867</v>
      </c>
      <c r="K417" t="s">
        <v>3147</v>
      </c>
      <c r="L417" t="s">
        <v>3145</v>
      </c>
      <c r="M417" t="s">
        <v>3146</v>
      </c>
      <c r="N417" t="s">
        <v>296</v>
      </c>
      <c r="O417" t="s">
        <v>66</v>
      </c>
    </row>
    <row r="418" spans="1:15" x14ac:dyDescent="0.35">
      <c r="A418">
        <v>60293</v>
      </c>
      <c r="B418" s="283">
        <v>44743</v>
      </c>
      <c r="C418">
        <v>2253</v>
      </c>
      <c r="D418">
        <v>2117</v>
      </c>
      <c r="E418">
        <v>100</v>
      </c>
      <c r="F418">
        <v>320</v>
      </c>
      <c r="G418">
        <v>2160</v>
      </c>
      <c r="H418" s="1">
        <v>12496.3</v>
      </c>
      <c r="I418">
        <v>0</v>
      </c>
      <c r="J418" s="283">
        <v>45412.177658182867</v>
      </c>
      <c r="K418" t="s">
        <v>3149</v>
      </c>
      <c r="L418" t="s">
        <v>3145</v>
      </c>
      <c r="M418" t="s">
        <v>3146</v>
      </c>
      <c r="N418" t="s">
        <v>296</v>
      </c>
      <c r="O418" t="s">
        <v>66</v>
      </c>
    </row>
    <row r="419" spans="1:15" x14ac:dyDescent="0.35">
      <c r="A419">
        <v>60306</v>
      </c>
      <c r="B419" s="283">
        <v>44743</v>
      </c>
      <c r="C419">
        <v>2254</v>
      </c>
      <c r="D419">
        <v>2117</v>
      </c>
      <c r="E419">
        <v>100</v>
      </c>
      <c r="F419">
        <v>320</v>
      </c>
      <c r="G419">
        <v>1200</v>
      </c>
      <c r="H419" s="1">
        <v>125571</v>
      </c>
      <c r="I419">
        <v>0</v>
      </c>
      <c r="J419" s="283">
        <v>45412.177658182867</v>
      </c>
      <c r="K419" t="s">
        <v>3144</v>
      </c>
      <c r="L419" t="s">
        <v>3145</v>
      </c>
      <c r="M419" t="s">
        <v>3146</v>
      </c>
      <c r="N419" t="s">
        <v>296</v>
      </c>
      <c r="O419" t="s">
        <v>140</v>
      </c>
    </row>
    <row r="420" spans="1:15" x14ac:dyDescent="0.35">
      <c r="A420">
        <v>60307</v>
      </c>
      <c r="B420" s="283">
        <v>44743</v>
      </c>
      <c r="C420">
        <v>2254</v>
      </c>
      <c r="D420">
        <v>2117</v>
      </c>
      <c r="E420">
        <v>100</v>
      </c>
      <c r="F420">
        <v>320</v>
      </c>
      <c r="G420">
        <v>2100</v>
      </c>
      <c r="H420" s="1">
        <v>508088.62</v>
      </c>
      <c r="I420">
        <v>0</v>
      </c>
      <c r="J420" s="283">
        <v>45412.177658182867</v>
      </c>
      <c r="K420" t="s">
        <v>3147</v>
      </c>
      <c r="L420" t="s">
        <v>3145</v>
      </c>
      <c r="M420" t="s">
        <v>3146</v>
      </c>
      <c r="N420" t="s">
        <v>296</v>
      </c>
      <c r="O420" t="s">
        <v>140</v>
      </c>
    </row>
    <row r="421" spans="1:15" x14ac:dyDescent="0.35">
      <c r="A421">
        <v>60319</v>
      </c>
      <c r="B421" s="283">
        <v>44743</v>
      </c>
      <c r="C421">
        <v>2255</v>
      </c>
      <c r="D421">
        <v>2117</v>
      </c>
      <c r="E421">
        <v>100</v>
      </c>
      <c r="F421">
        <v>320</v>
      </c>
      <c r="G421">
        <v>2100</v>
      </c>
      <c r="H421" s="1">
        <v>19374.3</v>
      </c>
      <c r="I421">
        <v>0</v>
      </c>
      <c r="J421" s="283">
        <v>45412.177658182867</v>
      </c>
      <c r="K421" t="s">
        <v>3147</v>
      </c>
      <c r="L421" t="s">
        <v>3145</v>
      </c>
      <c r="M421" t="s">
        <v>3146</v>
      </c>
      <c r="N421" t="s">
        <v>296</v>
      </c>
      <c r="O421" t="s">
        <v>215</v>
      </c>
    </row>
    <row r="422" spans="1:15" x14ac:dyDescent="0.35">
      <c r="A422">
        <v>60320</v>
      </c>
      <c r="B422" s="283">
        <v>44743</v>
      </c>
      <c r="C422">
        <v>2255</v>
      </c>
      <c r="D422">
        <v>2117</v>
      </c>
      <c r="E422">
        <v>100</v>
      </c>
      <c r="F422">
        <v>320</v>
      </c>
      <c r="G422">
        <v>2160</v>
      </c>
      <c r="H422" s="1">
        <v>31258.6</v>
      </c>
      <c r="I422">
        <v>0</v>
      </c>
      <c r="J422" s="283">
        <v>45412.177658182867</v>
      </c>
      <c r="K422" t="s">
        <v>3149</v>
      </c>
      <c r="L422" t="s">
        <v>3145</v>
      </c>
      <c r="M422" t="s">
        <v>3146</v>
      </c>
      <c r="N422" t="s">
        <v>296</v>
      </c>
      <c r="O422" t="s">
        <v>215</v>
      </c>
    </row>
    <row r="423" spans="1:15" x14ac:dyDescent="0.35">
      <c r="A423">
        <v>60321</v>
      </c>
      <c r="B423" s="283">
        <v>44743</v>
      </c>
      <c r="C423">
        <v>2255</v>
      </c>
      <c r="D423">
        <v>2117</v>
      </c>
      <c r="E423">
        <v>100</v>
      </c>
      <c r="F423">
        <v>320</v>
      </c>
      <c r="G423">
        <v>2640</v>
      </c>
      <c r="H423" s="1">
        <v>2243.2600000000002</v>
      </c>
      <c r="I423">
        <v>0</v>
      </c>
      <c r="J423" s="283">
        <v>45412.177658182867</v>
      </c>
      <c r="K423" t="s">
        <v>3155</v>
      </c>
      <c r="L423" t="s">
        <v>3145</v>
      </c>
      <c r="M423" t="s">
        <v>3146</v>
      </c>
      <c r="N423" t="s">
        <v>296</v>
      </c>
      <c r="O423" t="s">
        <v>215</v>
      </c>
    </row>
    <row r="424" spans="1:15" x14ac:dyDescent="0.35">
      <c r="A424">
        <v>60331</v>
      </c>
      <c r="B424" s="283">
        <v>44743</v>
      </c>
      <c r="C424">
        <v>2256</v>
      </c>
      <c r="D424">
        <v>2117</v>
      </c>
      <c r="E424">
        <v>100</v>
      </c>
      <c r="F424">
        <v>320</v>
      </c>
      <c r="G424">
        <v>1200</v>
      </c>
      <c r="H424" s="1">
        <v>281488.33</v>
      </c>
      <c r="I424">
        <v>0</v>
      </c>
      <c r="J424" s="283">
        <v>45412.177658182867</v>
      </c>
      <c r="K424" t="s">
        <v>3144</v>
      </c>
      <c r="L424" t="s">
        <v>3145</v>
      </c>
      <c r="M424" t="s">
        <v>3146</v>
      </c>
      <c r="N424" t="s">
        <v>296</v>
      </c>
      <c r="O424" t="s">
        <v>128</v>
      </c>
    </row>
    <row r="425" spans="1:15" x14ac:dyDescent="0.35">
      <c r="A425">
        <v>60332</v>
      </c>
      <c r="B425" s="283">
        <v>44743</v>
      </c>
      <c r="C425">
        <v>2256</v>
      </c>
      <c r="D425">
        <v>2117</v>
      </c>
      <c r="E425">
        <v>100</v>
      </c>
      <c r="F425">
        <v>320</v>
      </c>
      <c r="G425">
        <v>2160</v>
      </c>
      <c r="H425" s="1">
        <v>214385.4</v>
      </c>
      <c r="I425">
        <v>0</v>
      </c>
      <c r="J425" s="283">
        <v>45412.177658182867</v>
      </c>
      <c r="K425" t="s">
        <v>3149</v>
      </c>
      <c r="L425" t="s">
        <v>3145</v>
      </c>
      <c r="M425" t="s">
        <v>3146</v>
      </c>
      <c r="N425" t="s">
        <v>296</v>
      </c>
      <c r="O425" t="s">
        <v>128</v>
      </c>
    </row>
    <row r="426" spans="1:15" x14ac:dyDescent="0.35">
      <c r="A426">
        <v>60343</v>
      </c>
      <c r="B426" s="283">
        <v>44743</v>
      </c>
      <c r="C426">
        <v>2257</v>
      </c>
      <c r="D426">
        <v>2117</v>
      </c>
      <c r="E426">
        <v>100</v>
      </c>
      <c r="F426">
        <v>320</v>
      </c>
      <c r="G426">
        <v>1200</v>
      </c>
      <c r="H426" s="1">
        <v>65924.78</v>
      </c>
      <c r="I426">
        <v>0</v>
      </c>
      <c r="J426" s="283">
        <v>45412.177658182867</v>
      </c>
      <c r="K426" t="s">
        <v>3144</v>
      </c>
      <c r="L426" t="s">
        <v>3145</v>
      </c>
      <c r="M426" t="s">
        <v>3146</v>
      </c>
      <c r="N426" t="s">
        <v>296</v>
      </c>
      <c r="O426" t="s">
        <v>185</v>
      </c>
    </row>
    <row r="427" spans="1:15" x14ac:dyDescent="0.35">
      <c r="A427">
        <v>60344</v>
      </c>
      <c r="B427" s="283">
        <v>44743</v>
      </c>
      <c r="C427">
        <v>2257</v>
      </c>
      <c r="D427">
        <v>2117</v>
      </c>
      <c r="E427">
        <v>100</v>
      </c>
      <c r="F427">
        <v>320</v>
      </c>
      <c r="G427">
        <v>2100</v>
      </c>
      <c r="H427" s="1">
        <v>83105.960000000006</v>
      </c>
      <c r="I427">
        <v>0</v>
      </c>
      <c r="J427" s="283">
        <v>45412.177658182867</v>
      </c>
      <c r="K427" t="s">
        <v>3147</v>
      </c>
      <c r="L427" t="s">
        <v>3145</v>
      </c>
      <c r="M427" t="s">
        <v>3146</v>
      </c>
      <c r="N427" t="s">
        <v>296</v>
      </c>
      <c r="O427" t="s">
        <v>185</v>
      </c>
    </row>
    <row r="428" spans="1:15" x14ac:dyDescent="0.35">
      <c r="A428">
        <v>60345</v>
      </c>
      <c r="B428" s="283">
        <v>44743</v>
      </c>
      <c r="C428">
        <v>2257</v>
      </c>
      <c r="D428">
        <v>2117</v>
      </c>
      <c r="E428">
        <v>100</v>
      </c>
      <c r="F428">
        <v>320</v>
      </c>
      <c r="G428">
        <v>2160</v>
      </c>
      <c r="H428" s="1">
        <v>78777.05</v>
      </c>
      <c r="I428">
        <v>0</v>
      </c>
      <c r="J428" s="283">
        <v>45412.177658182867</v>
      </c>
      <c r="K428" t="s">
        <v>3149</v>
      </c>
      <c r="L428" t="s">
        <v>3145</v>
      </c>
      <c r="M428" t="s">
        <v>3146</v>
      </c>
      <c r="N428" t="s">
        <v>296</v>
      </c>
      <c r="O428" t="s">
        <v>185</v>
      </c>
    </row>
    <row r="429" spans="1:15" x14ac:dyDescent="0.35">
      <c r="A429">
        <v>60346</v>
      </c>
      <c r="B429" s="283">
        <v>44743</v>
      </c>
      <c r="C429">
        <v>2257</v>
      </c>
      <c r="D429">
        <v>2117</v>
      </c>
      <c r="E429">
        <v>100</v>
      </c>
      <c r="F429">
        <v>320</v>
      </c>
      <c r="G429">
        <v>2640</v>
      </c>
      <c r="H429" s="1">
        <v>498.5</v>
      </c>
      <c r="I429">
        <v>0</v>
      </c>
      <c r="J429" s="283">
        <v>45412.177658182867</v>
      </c>
      <c r="K429" t="s">
        <v>3155</v>
      </c>
      <c r="L429" t="s">
        <v>3145</v>
      </c>
      <c r="M429" t="s">
        <v>3146</v>
      </c>
      <c r="N429" t="s">
        <v>296</v>
      </c>
      <c r="O429" t="s">
        <v>185</v>
      </c>
    </row>
    <row r="430" spans="1:15" x14ac:dyDescent="0.35">
      <c r="A430">
        <v>60369</v>
      </c>
      <c r="B430" s="283">
        <v>44743</v>
      </c>
      <c r="C430">
        <v>2180</v>
      </c>
      <c r="D430">
        <v>2148</v>
      </c>
      <c r="E430">
        <v>100</v>
      </c>
      <c r="F430">
        <v>320</v>
      </c>
      <c r="G430">
        <v>1200</v>
      </c>
      <c r="H430" s="1">
        <v>2394765.73</v>
      </c>
      <c r="I430">
        <v>0</v>
      </c>
      <c r="J430" s="283">
        <v>45412.177658182867</v>
      </c>
      <c r="K430" t="s">
        <v>3144</v>
      </c>
      <c r="L430" t="s">
        <v>3145</v>
      </c>
      <c r="M430" t="s">
        <v>3146</v>
      </c>
      <c r="N430" t="s">
        <v>457</v>
      </c>
      <c r="O430" t="s">
        <v>169</v>
      </c>
    </row>
    <row r="431" spans="1:15" x14ac:dyDescent="0.35">
      <c r="A431">
        <v>60370</v>
      </c>
      <c r="B431" s="283">
        <v>44743</v>
      </c>
      <c r="C431">
        <v>2180</v>
      </c>
      <c r="D431">
        <v>2148</v>
      </c>
      <c r="E431">
        <v>100</v>
      </c>
      <c r="F431">
        <v>320</v>
      </c>
      <c r="G431">
        <v>2100</v>
      </c>
      <c r="H431" s="1">
        <v>556116.26</v>
      </c>
      <c r="I431">
        <v>0</v>
      </c>
      <c r="J431" s="283">
        <v>45412.177658182867</v>
      </c>
      <c r="K431" t="s">
        <v>3147</v>
      </c>
      <c r="L431" t="s">
        <v>3145</v>
      </c>
      <c r="M431" t="s">
        <v>3146</v>
      </c>
      <c r="N431" t="s">
        <v>457</v>
      </c>
      <c r="O431" t="s">
        <v>169</v>
      </c>
    </row>
    <row r="432" spans="1:15" x14ac:dyDescent="0.35">
      <c r="A432">
        <v>60371</v>
      </c>
      <c r="B432" s="283">
        <v>44743</v>
      </c>
      <c r="C432">
        <v>2180</v>
      </c>
      <c r="D432">
        <v>2148</v>
      </c>
      <c r="E432">
        <v>100</v>
      </c>
      <c r="F432">
        <v>320</v>
      </c>
      <c r="G432">
        <v>2160</v>
      </c>
      <c r="H432" s="1">
        <v>110361.67</v>
      </c>
      <c r="I432">
        <v>0</v>
      </c>
      <c r="J432" s="283">
        <v>45412.177658182867</v>
      </c>
      <c r="K432" t="s">
        <v>3149</v>
      </c>
      <c r="L432" t="s">
        <v>3145</v>
      </c>
      <c r="M432" t="s">
        <v>3146</v>
      </c>
      <c r="N432" t="s">
        <v>457</v>
      </c>
      <c r="O432" t="s">
        <v>169</v>
      </c>
    </row>
    <row r="433" spans="1:15" x14ac:dyDescent="0.35">
      <c r="A433">
        <v>60372</v>
      </c>
      <c r="B433" s="283">
        <v>44743</v>
      </c>
      <c r="C433">
        <v>2180</v>
      </c>
      <c r="D433">
        <v>2148</v>
      </c>
      <c r="E433">
        <v>100</v>
      </c>
      <c r="F433">
        <v>320</v>
      </c>
      <c r="G433">
        <v>2190</v>
      </c>
      <c r="H433" s="1">
        <v>41665.360000000001</v>
      </c>
      <c r="I433">
        <v>0</v>
      </c>
      <c r="J433" s="283">
        <v>45412.177658182867</v>
      </c>
      <c r="K433" t="s">
        <v>3150</v>
      </c>
      <c r="L433" t="s">
        <v>3145</v>
      </c>
      <c r="M433" t="s">
        <v>3146</v>
      </c>
      <c r="N433" t="s">
        <v>457</v>
      </c>
      <c r="O433" t="s">
        <v>169</v>
      </c>
    </row>
    <row r="434" spans="1:15" x14ac:dyDescent="0.35">
      <c r="A434">
        <v>60373</v>
      </c>
      <c r="B434" s="283">
        <v>44743</v>
      </c>
      <c r="C434">
        <v>2180</v>
      </c>
      <c r="D434">
        <v>2148</v>
      </c>
      <c r="E434">
        <v>100</v>
      </c>
      <c r="F434">
        <v>320</v>
      </c>
      <c r="G434">
        <v>2400</v>
      </c>
      <c r="H434" s="1">
        <v>467683.84000000003</v>
      </c>
      <c r="I434">
        <v>0</v>
      </c>
      <c r="J434" s="283">
        <v>45412.177658182867</v>
      </c>
      <c r="K434" t="s">
        <v>3156</v>
      </c>
      <c r="L434" t="s">
        <v>3145</v>
      </c>
      <c r="M434" t="s">
        <v>3146</v>
      </c>
      <c r="N434" t="s">
        <v>457</v>
      </c>
      <c r="O434" t="s">
        <v>169</v>
      </c>
    </row>
    <row r="435" spans="1:15" x14ac:dyDescent="0.35">
      <c r="A435">
        <v>60374</v>
      </c>
      <c r="B435" s="283">
        <v>44743</v>
      </c>
      <c r="C435">
        <v>2180</v>
      </c>
      <c r="D435">
        <v>2148</v>
      </c>
      <c r="E435">
        <v>100</v>
      </c>
      <c r="F435">
        <v>320</v>
      </c>
      <c r="G435">
        <v>2570</v>
      </c>
      <c r="H435" s="1">
        <v>496534.15</v>
      </c>
      <c r="I435">
        <v>0</v>
      </c>
      <c r="J435" s="283">
        <v>45412.177658182867</v>
      </c>
      <c r="K435" t="s">
        <v>3157</v>
      </c>
      <c r="L435" t="s">
        <v>3145</v>
      </c>
      <c r="M435" t="s">
        <v>3146</v>
      </c>
      <c r="N435" t="s">
        <v>457</v>
      </c>
      <c r="O435" t="s">
        <v>169</v>
      </c>
    </row>
    <row r="436" spans="1:15" x14ac:dyDescent="0.35">
      <c r="A436">
        <v>60375</v>
      </c>
      <c r="B436" s="283">
        <v>44743</v>
      </c>
      <c r="C436">
        <v>2180</v>
      </c>
      <c r="D436">
        <v>2148</v>
      </c>
      <c r="E436">
        <v>100</v>
      </c>
      <c r="F436">
        <v>320</v>
      </c>
      <c r="G436">
        <v>3100</v>
      </c>
      <c r="H436" s="1">
        <v>4752.8</v>
      </c>
      <c r="I436">
        <v>0</v>
      </c>
      <c r="J436" s="283">
        <v>45412.177658182867</v>
      </c>
      <c r="K436" t="s">
        <v>3158</v>
      </c>
      <c r="L436" t="s">
        <v>3145</v>
      </c>
      <c r="M436" t="s">
        <v>3146</v>
      </c>
      <c r="N436" t="s">
        <v>457</v>
      </c>
      <c r="O436" t="s">
        <v>169</v>
      </c>
    </row>
    <row r="437" spans="1:15" x14ac:dyDescent="0.35">
      <c r="A437">
        <v>60387</v>
      </c>
      <c r="B437" s="283">
        <v>44743</v>
      </c>
      <c r="C437">
        <v>2181</v>
      </c>
      <c r="D437">
        <v>2148</v>
      </c>
      <c r="E437">
        <v>100</v>
      </c>
      <c r="F437">
        <v>320</v>
      </c>
      <c r="G437">
        <v>1200</v>
      </c>
      <c r="H437" s="1">
        <v>659677.75</v>
      </c>
      <c r="I437">
        <v>0</v>
      </c>
      <c r="J437" s="283">
        <v>45412.177658182867</v>
      </c>
      <c r="K437" t="s">
        <v>3144</v>
      </c>
      <c r="L437" t="s">
        <v>3145</v>
      </c>
      <c r="M437" t="s">
        <v>3146</v>
      </c>
      <c r="N437" t="s">
        <v>457</v>
      </c>
      <c r="O437" t="s">
        <v>156</v>
      </c>
    </row>
    <row r="438" spans="1:15" x14ac:dyDescent="0.35">
      <c r="A438">
        <v>60388</v>
      </c>
      <c r="B438" s="283">
        <v>44743</v>
      </c>
      <c r="C438">
        <v>2181</v>
      </c>
      <c r="D438">
        <v>2148</v>
      </c>
      <c r="E438">
        <v>100</v>
      </c>
      <c r="F438">
        <v>320</v>
      </c>
      <c r="G438">
        <v>2100</v>
      </c>
      <c r="H438" s="1">
        <v>216923.93</v>
      </c>
      <c r="I438">
        <v>0</v>
      </c>
      <c r="J438" s="283">
        <v>45412.177658182867</v>
      </c>
      <c r="K438" t="s">
        <v>3147</v>
      </c>
      <c r="L438" t="s">
        <v>3145</v>
      </c>
      <c r="M438" t="s">
        <v>3146</v>
      </c>
      <c r="N438" t="s">
        <v>457</v>
      </c>
      <c r="O438" t="s">
        <v>156</v>
      </c>
    </row>
    <row r="439" spans="1:15" x14ac:dyDescent="0.35">
      <c r="A439">
        <v>60389</v>
      </c>
      <c r="B439" s="283">
        <v>44743</v>
      </c>
      <c r="C439">
        <v>2181</v>
      </c>
      <c r="D439">
        <v>2148</v>
      </c>
      <c r="E439">
        <v>100</v>
      </c>
      <c r="F439">
        <v>320</v>
      </c>
      <c r="G439">
        <v>2160</v>
      </c>
      <c r="H439" s="1">
        <v>100805.23</v>
      </c>
      <c r="I439">
        <v>0</v>
      </c>
      <c r="J439" s="283">
        <v>45412.177658182867</v>
      </c>
      <c r="K439" t="s">
        <v>3149</v>
      </c>
      <c r="L439" t="s">
        <v>3145</v>
      </c>
      <c r="M439" t="s">
        <v>3146</v>
      </c>
      <c r="N439" t="s">
        <v>457</v>
      </c>
      <c r="O439" t="s">
        <v>156</v>
      </c>
    </row>
    <row r="440" spans="1:15" x14ac:dyDescent="0.35">
      <c r="A440">
        <v>60390</v>
      </c>
      <c r="B440" s="283">
        <v>44743</v>
      </c>
      <c r="C440">
        <v>2181</v>
      </c>
      <c r="D440">
        <v>2148</v>
      </c>
      <c r="E440">
        <v>100</v>
      </c>
      <c r="F440">
        <v>320</v>
      </c>
      <c r="G440">
        <v>2190</v>
      </c>
      <c r="H440" s="1">
        <v>64666.38</v>
      </c>
      <c r="I440">
        <v>0</v>
      </c>
      <c r="J440" s="283">
        <v>45412.177658182867</v>
      </c>
      <c r="K440" t="s">
        <v>3150</v>
      </c>
      <c r="L440" t="s">
        <v>3145</v>
      </c>
      <c r="M440" t="s">
        <v>3146</v>
      </c>
      <c r="N440" t="s">
        <v>457</v>
      </c>
      <c r="O440" t="s">
        <v>156</v>
      </c>
    </row>
    <row r="441" spans="1:15" x14ac:dyDescent="0.35">
      <c r="A441">
        <v>60391</v>
      </c>
      <c r="B441" s="283">
        <v>44743</v>
      </c>
      <c r="C441">
        <v>2181</v>
      </c>
      <c r="D441">
        <v>2148</v>
      </c>
      <c r="E441">
        <v>100</v>
      </c>
      <c r="F441">
        <v>320</v>
      </c>
      <c r="G441">
        <v>2400</v>
      </c>
      <c r="H441" s="1">
        <v>65114.19</v>
      </c>
      <c r="I441">
        <v>0</v>
      </c>
      <c r="J441" s="283">
        <v>45412.177658182867</v>
      </c>
      <c r="K441" t="s">
        <v>3156</v>
      </c>
      <c r="L441" t="s">
        <v>3145</v>
      </c>
      <c r="M441" t="s">
        <v>3146</v>
      </c>
      <c r="N441" t="s">
        <v>457</v>
      </c>
      <c r="O441" t="s">
        <v>156</v>
      </c>
    </row>
    <row r="442" spans="1:15" x14ac:dyDescent="0.35">
      <c r="A442">
        <v>60392</v>
      </c>
      <c r="B442" s="283">
        <v>44743</v>
      </c>
      <c r="C442">
        <v>2181</v>
      </c>
      <c r="D442">
        <v>2148</v>
      </c>
      <c r="E442">
        <v>100</v>
      </c>
      <c r="F442">
        <v>320</v>
      </c>
      <c r="G442">
        <v>2570</v>
      </c>
      <c r="H442" s="1">
        <v>58423.81</v>
      </c>
      <c r="I442">
        <v>0</v>
      </c>
      <c r="J442" s="283">
        <v>45412.177658182867</v>
      </c>
      <c r="K442" t="s">
        <v>3157</v>
      </c>
      <c r="L442" t="s">
        <v>3145</v>
      </c>
      <c r="M442" t="s">
        <v>3146</v>
      </c>
      <c r="N442" t="s">
        <v>457</v>
      </c>
      <c r="O442" t="s">
        <v>156</v>
      </c>
    </row>
    <row r="443" spans="1:15" x14ac:dyDescent="0.35">
      <c r="A443">
        <v>60393</v>
      </c>
      <c r="B443" s="283">
        <v>44743</v>
      </c>
      <c r="C443">
        <v>2181</v>
      </c>
      <c r="D443">
        <v>2148</v>
      </c>
      <c r="E443">
        <v>100</v>
      </c>
      <c r="F443">
        <v>320</v>
      </c>
      <c r="G443">
        <v>3100</v>
      </c>
      <c r="H443" s="1">
        <v>243.89</v>
      </c>
      <c r="I443">
        <v>0</v>
      </c>
      <c r="J443" s="283">
        <v>45412.177658182867</v>
      </c>
      <c r="K443" t="s">
        <v>3158</v>
      </c>
      <c r="L443" t="s">
        <v>3145</v>
      </c>
      <c r="M443" t="s">
        <v>3146</v>
      </c>
      <c r="N443" t="s">
        <v>457</v>
      </c>
      <c r="O443" t="s">
        <v>156</v>
      </c>
    </row>
    <row r="444" spans="1:15" x14ac:dyDescent="0.35">
      <c r="A444">
        <v>60403</v>
      </c>
      <c r="B444" s="283">
        <v>44743</v>
      </c>
      <c r="C444">
        <v>2182</v>
      </c>
      <c r="D444">
        <v>2148</v>
      </c>
      <c r="E444">
        <v>100</v>
      </c>
      <c r="F444">
        <v>320</v>
      </c>
      <c r="G444">
        <v>1200</v>
      </c>
      <c r="H444" s="1">
        <v>2095242.3</v>
      </c>
      <c r="I444">
        <v>0</v>
      </c>
      <c r="J444" s="283">
        <v>45412.177658182867</v>
      </c>
      <c r="K444" t="s">
        <v>3144</v>
      </c>
      <c r="L444" t="s">
        <v>3145</v>
      </c>
      <c r="M444" t="s">
        <v>3146</v>
      </c>
      <c r="N444" t="s">
        <v>457</v>
      </c>
      <c r="O444" t="s">
        <v>176</v>
      </c>
    </row>
    <row r="445" spans="1:15" x14ac:dyDescent="0.35">
      <c r="A445">
        <v>60404</v>
      </c>
      <c r="B445" s="283">
        <v>44743</v>
      </c>
      <c r="C445">
        <v>2182</v>
      </c>
      <c r="D445">
        <v>2148</v>
      </c>
      <c r="E445">
        <v>100</v>
      </c>
      <c r="F445">
        <v>320</v>
      </c>
      <c r="G445">
        <v>2100</v>
      </c>
      <c r="H445" s="1">
        <v>365623.65</v>
      </c>
      <c r="I445">
        <v>0</v>
      </c>
      <c r="J445" s="283">
        <v>45412.177658182867</v>
      </c>
      <c r="K445" t="s">
        <v>3147</v>
      </c>
      <c r="L445" t="s">
        <v>3145</v>
      </c>
      <c r="M445" t="s">
        <v>3146</v>
      </c>
      <c r="N445" t="s">
        <v>457</v>
      </c>
      <c r="O445" t="s">
        <v>176</v>
      </c>
    </row>
    <row r="446" spans="1:15" x14ac:dyDescent="0.35">
      <c r="A446">
        <v>60405</v>
      </c>
      <c r="B446" s="283">
        <v>44743</v>
      </c>
      <c r="C446">
        <v>2182</v>
      </c>
      <c r="D446">
        <v>2148</v>
      </c>
      <c r="E446">
        <v>100</v>
      </c>
      <c r="F446">
        <v>320</v>
      </c>
      <c r="G446">
        <v>2160</v>
      </c>
      <c r="H446" s="1">
        <v>127019.06</v>
      </c>
      <c r="I446">
        <v>0</v>
      </c>
      <c r="J446" s="283">
        <v>45412.177658182867</v>
      </c>
      <c r="K446" t="s">
        <v>3149</v>
      </c>
      <c r="L446" t="s">
        <v>3145</v>
      </c>
      <c r="M446" t="s">
        <v>3146</v>
      </c>
      <c r="N446" t="s">
        <v>457</v>
      </c>
      <c r="O446" t="s">
        <v>176</v>
      </c>
    </row>
    <row r="447" spans="1:15" x14ac:dyDescent="0.35">
      <c r="A447">
        <v>60406</v>
      </c>
      <c r="B447" s="283">
        <v>44743</v>
      </c>
      <c r="C447">
        <v>2182</v>
      </c>
      <c r="D447">
        <v>2148</v>
      </c>
      <c r="E447">
        <v>100</v>
      </c>
      <c r="F447">
        <v>320</v>
      </c>
      <c r="G447">
        <v>2190</v>
      </c>
      <c r="H447" s="1">
        <v>52494.16</v>
      </c>
      <c r="I447">
        <v>0</v>
      </c>
      <c r="J447" s="283">
        <v>45412.177658182867</v>
      </c>
      <c r="K447" t="s">
        <v>3150</v>
      </c>
      <c r="L447" t="s">
        <v>3145</v>
      </c>
      <c r="M447" t="s">
        <v>3146</v>
      </c>
      <c r="N447" t="s">
        <v>457</v>
      </c>
      <c r="O447" t="s">
        <v>176</v>
      </c>
    </row>
    <row r="448" spans="1:15" x14ac:dyDescent="0.35">
      <c r="A448">
        <v>60407</v>
      </c>
      <c r="B448" s="283">
        <v>44743</v>
      </c>
      <c r="C448">
        <v>2182</v>
      </c>
      <c r="D448">
        <v>2148</v>
      </c>
      <c r="E448">
        <v>100</v>
      </c>
      <c r="F448">
        <v>320</v>
      </c>
      <c r="G448">
        <v>2400</v>
      </c>
      <c r="H448" s="1">
        <v>332217.11</v>
      </c>
      <c r="I448">
        <v>0</v>
      </c>
      <c r="J448" s="283">
        <v>45412.177658182867</v>
      </c>
      <c r="K448" t="s">
        <v>3156</v>
      </c>
      <c r="L448" t="s">
        <v>3145</v>
      </c>
      <c r="M448" t="s">
        <v>3146</v>
      </c>
      <c r="N448" t="s">
        <v>457</v>
      </c>
      <c r="O448" t="s">
        <v>176</v>
      </c>
    </row>
    <row r="449" spans="1:15" x14ac:dyDescent="0.35">
      <c r="A449">
        <v>60408</v>
      </c>
      <c r="B449" s="283">
        <v>44743</v>
      </c>
      <c r="C449">
        <v>2182</v>
      </c>
      <c r="D449">
        <v>2148</v>
      </c>
      <c r="E449">
        <v>100</v>
      </c>
      <c r="F449">
        <v>320</v>
      </c>
      <c r="G449">
        <v>2570</v>
      </c>
      <c r="H449" s="1">
        <v>384136.88</v>
      </c>
      <c r="I449">
        <v>0</v>
      </c>
      <c r="J449" s="283">
        <v>45412.177658182867</v>
      </c>
      <c r="K449" t="s">
        <v>3157</v>
      </c>
      <c r="L449" t="s">
        <v>3145</v>
      </c>
      <c r="M449" t="s">
        <v>3146</v>
      </c>
      <c r="N449" t="s">
        <v>457</v>
      </c>
      <c r="O449" t="s">
        <v>176</v>
      </c>
    </row>
    <row r="450" spans="1:15" x14ac:dyDescent="0.35">
      <c r="A450">
        <v>60418</v>
      </c>
      <c r="B450" s="283">
        <v>44743</v>
      </c>
      <c r="C450">
        <v>2183</v>
      </c>
      <c r="D450">
        <v>2148</v>
      </c>
      <c r="E450">
        <v>100</v>
      </c>
      <c r="F450">
        <v>320</v>
      </c>
      <c r="G450">
        <v>1200</v>
      </c>
      <c r="H450" s="1">
        <v>1013698.44</v>
      </c>
      <c r="I450">
        <v>0</v>
      </c>
      <c r="J450" s="283">
        <v>45412.177658182867</v>
      </c>
      <c r="K450" t="s">
        <v>3144</v>
      </c>
      <c r="L450" t="s">
        <v>3145</v>
      </c>
      <c r="M450" t="s">
        <v>3146</v>
      </c>
      <c r="N450" t="s">
        <v>457</v>
      </c>
      <c r="O450" t="s">
        <v>93</v>
      </c>
    </row>
    <row r="451" spans="1:15" x14ac:dyDescent="0.35">
      <c r="A451">
        <v>60419</v>
      </c>
      <c r="B451" s="283">
        <v>44743</v>
      </c>
      <c r="C451">
        <v>2183</v>
      </c>
      <c r="D451">
        <v>2148</v>
      </c>
      <c r="E451">
        <v>100</v>
      </c>
      <c r="F451">
        <v>320</v>
      </c>
      <c r="G451">
        <v>2100</v>
      </c>
      <c r="H451" s="1">
        <v>226342.12</v>
      </c>
      <c r="I451">
        <v>0</v>
      </c>
      <c r="J451" s="283">
        <v>45412.177658182867</v>
      </c>
      <c r="K451" t="s">
        <v>3147</v>
      </c>
      <c r="L451" t="s">
        <v>3145</v>
      </c>
      <c r="M451" t="s">
        <v>3146</v>
      </c>
      <c r="N451" t="s">
        <v>457</v>
      </c>
      <c r="O451" t="s">
        <v>93</v>
      </c>
    </row>
    <row r="452" spans="1:15" x14ac:dyDescent="0.35">
      <c r="A452">
        <v>60420</v>
      </c>
      <c r="B452" s="283">
        <v>44743</v>
      </c>
      <c r="C452">
        <v>2183</v>
      </c>
      <c r="D452">
        <v>2148</v>
      </c>
      <c r="E452">
        <v>100</v>
      </c>
      <c r="F452">
        <v>320</v>
      </c>
      <c r="G452">
        <v>2160</v>
      </c>
      <c r="H452" s="1">
        <v>87678.46</v>
      </c>
      <c r="I452">
        <v>0</v>
      </c>
      <c r="J452" s="283">
        <v>45412.177658182867</v>
      </c>
      <c r="K452" t="s">
        <v>3149</v>
      </c>
      <c r="L452" t="s">
        <v>3145</v>
      </c>
      <c r="M452" t="s">
        <v>3146</v>
      </c>
      <c r="N452" t="s">
        <v>457</v>
      </c>
      <c r="O452" t="s">
        <v>93</v>
      </c>
    </row>
    <row r="453" spans="1:15" x14ac:dyDescent="0.35">
      <c r="A453">
        <v>60421</v>
      </c>
      <c r="B453" s="283">
        <v>44743</v>
      </c>
      <c r="C453">
        <v>2183</v>
      </c>
      <c r="D453">
        <v>2148</v>
      </c>
      <c r="E453">
        <v>100</v>
      </c>
      <c r="F453">
        <v>320</v>
      </c>
      <c r="G453">
        <v>2190</v>
      </c>
      <c r="H453" s="1">
        <v>34571.449999999997</v>
      </c>
      <c r="I453">
        <v>0</v>
      </c>
      <c r="J453" s="283">
        <v>45412.177658182867</v>
      </c>
      <c r="K453" t="s">
        <v>3150</v>
      </c>
      <c r="L453" t="s">
        <v>3145</v>
      </c>
      <c r="M453" t="s">
        <v>3146</v>
      </c>
      <c r="N453" t="s">
        <v>457</v>
      </c>
      <c r="O453" t="s">
        <v>93</v>
      </c>
    </row>
    <row r="454" spans="1:15" x14ac:dyDescent="0.35">
      <c r="A454">
        <v>60422</v>
      </c>
      <c r="B454" s="283">
        <v>44743</v>
      </c>
      <c r="C454">
        <v>2183</v>
      </c>
      <c r="D454">
        <v>2148</v>
      </c>
      <c r="E454">
        <v>100</v>
      </c>
      <c r="F454">
        <v>320</v>
      </c>
      <c r="G454">
        <v>2400</v>
      </c>
      <c r="H454" s="1">
        <v>147061.99</v>
      </c>
      <c r="I454">
        <v>0</v>
      </c>
      <c r="J454" s="283">
        <v>45412.177658182867</v>
      </c>
      <c r="K454" t="s">
        <v>3156</v>
      </c>
      <c r="L454" t="s">
        <v>3145</v>
      </c>
      <c r="M454" t="s">
        <v>3146</v>
      </c>
      <c r="N454" t="s">
        <v>457</v>
      </c>
      <c r="O454" t="s">
        <v>93</v>
      </c>
    </row>
    <row r="455" spans="1:15" x14ac:dyDescent="0.35">
      <c r="A455">
        <v>60423</v>
      </c>
      <c r="B455" s="283">
        <v>44743</v>
      </c>
      <c r="C455">
        <v>2183</v>
      </c>
      <c r="D455">
        <v>2148</v>
      </c>
      <c r="E455">
        <v>100</v>
      </c>
      <c r="F455">
        <v>320</v>
      </c>
      <c r="G455">
        <v>2570</v>
      </c>
      <c r="H455" s="1">
        <v>183618.84</v>
      </c>
      <c r="I455">
        <v>0</v>
      </c>
      <c r="J455" s="283">
        <v>45412.177658182867</v>
      </c>
      <c r="K455" t="s">
        <v>3157</v>
      </c>
      <c r="L455" t="s">
        <v>3145</v>
      </c>
      <c r="M455" t="s">
        <v>3146</v>
      </c>
      <c r="N455" t="s">
        <v>457</v>
      </c>
      <c r="O455" t="s">
        <v>93</v>
      </c>
    </row>
    <row r="456" spans="1:15" x14ac:dyDescent="0.35">
      <c r="A456">
        <v>60424</v>
      </c>
      <c r="B456" s="283">
        <v>44743</v>
      </c>
      <c r="C456">
        <v>2183</v>
      </c>
      <c r="D456">
        <v>2148</v>
      </c>
      <c r="E456">
        <v>100</v>
      </c>
      <c r="F456">
        <v>320</v>
      </c>
      <c r="G456">
        <v>3100</v>
      </c>
      <c r="H456" s="1">
        <v>5</v>
      </c>
      <c r="I456">
        <v>0</v>
      </c>
      <c r="J456" s="283">
        <v>45412.177658182867</v>
      </c>
      <c r="K456" t="s">
        <v>3158</v>
      </c>
      <c r="L456" t="s">
        <v>3145</v>
      </c>
      <c r="M456" t="s">
        <v>3146</v>
      </c>
      <c r="N456" t="s">
        <v>457</v>
      </c>
      <c r="O456" t="s">
        <v>93</v>
      </c>
    </row>
    <row r="457" spans="1:15" x14ac:dyDescent="0.35">
      <c r="A457">
        <v>60436</v>
      </c>
      <c r="B457" s="283">
        <v>44743</v>
      </c>
      <c r="C457">
        <v>2185</v>
      </c>
      <c r="D457">
        <v>2148</v>
      </c>
      <c r="E457">
        <v>100</v>
      </c>
      <c r="F457">
        <v>320</v>
      </c>
      <c r="G457">
        <v>1200</v>
      </c>
      <c r="H457" s="1">
        <v>1228508.26</v>
      </c>
      <c r="I457">
        <v>0</v>
      </c>
      <c r="J457" s="283">
        <v>45412.177658182867</v>
      </c>
      <c r="K457" t="s">
        <v>3144</v>
      </c>
      <c r="L457" t="s">
        <v>3145</v>
      </c>
      <c r="M457" t="s">
        <v>3146</v>
      </c>
      <c r="N457" t="s">
        <v>457</v>
      </c>
      <c r="O457" t="s">
        <v>46</v>
      </c>
    </row>
    <row r="458" spans="1:15" x14ac:dyDescent="0.35">
      <c r="A458">
        <v>60437</v>
      </c>
      <c r="B458" s="283">
        <v>44743</v>
      </c>
      <c r="C458">
        <v>2185</v>
      </c>
      <c r="D458">
        <v>2148</v>
      </c>
      <c r="E458">
        <v>100</v>
      </c>
      <c r="F458">
        <v>320</v>
      </c>
      <c r="G458">
        <v>2100</v>
      </c>
      <c r="H458" s="1">
        <v>287256.43</v>
      </c>
      <c r="I458">
        <v>0</v>
      </c>
      <c r="J458" s="283">
        <v>45412.177658182867</v>
      </c>
      <c r="K458" t="s">
        <v>3147</v>
      </c>
      <c r="L458" t="s">
        <v>3145</v>
      </c>
      <c r="M458" t="s">
        <v>3146</v>
      </c>
      <c r="N458" t="s">
        <v>457</v>
      </c>
      <c r="O458" t="s">
        <v>46</v>
      </c>
    </row>
    <row r="459" spans="1:15" x14ac:dyDescent="0.35">
      <c r="A459">
        <v>60438</v>
      </c>
      <c r="B459" s="283">
        <v>44743</v>
      </c>
      <c r="C459">
        <v>2185</v>
      </c>
      <c r="D459">
        <v>2148</v>
      </c>
      <c r="E459">
        <v>100</v>
      </c>
      <c r="F459">
        <v>320</v>
      </c>
      <c r="G459">
        <v>2160</v>
      </c>
      <c r="H459" s="1">
        <v>193293.03</v>
      </c>
      <c r="I459">
        <v>0</v>
      </c>
      <c r="J459" s="283">
        <v>45412.177658182867</v>
      </c>
      <c r="K459" t="s">
        <v>3149</v>
      </c>
      <c r="L459" t="s">
        <v>3145</v>
      </c>
      <c r="M459" t="s">
        <v>3146</v>
      </c>
      <c r="N459" t="s">
        <v>457</v>
      </c>
      <c r="O459" t="s">
        <v>46</v>
      </c>
    </row>
    <row r="460" spans="1:15" x14ac:dyDescent="0.35">
      <c r="A460">
        <v>60439</v>
      </c>
      <c r="B460" s="283">
        <v>44743</v>
      </c>
      <c r="C460">
        <v>2185</v>
      </c>
      <c r="D460">
        <v>2148</v>
      </c>
      <c r="E460">
        <v>100</v>
      </c>
      <c r="F460">
        <v>320</v>
      </c>
      <c r="G460">
        <v>2190</v>
      </c>
      <c r="H460" s="1">
        <v>170442.29</v>
      </c>
      <c r="I460">
        <v>0</v>
      </c>
      <c r="J460" s="283">
        <v>45412.177658182867</v>
      </c>
      <c r="K460" t="s">
        <v>3150</v>
      </c>
      <c r="L460" t="s">
        <v>3145</v>
      </c>
      <c r="M460" t="s">
        <v>3146</v>
      </c>
      <c r="N460" t="s">
        <v>457</v>
      </c>
      <c r="O460" t="s">
        <v>46</v>
      </c>
    </row>
    <row r="461" spans="1:15" x14ac:dyDescent="0.35">
      <c r="A461">
        <v>60440</v>
      </c>
      <c r="B461" s="283">
        <v>44743</v>
      </c>
      <c r="C461">
        <v>2185</v>
      </c>
      <c r="D461">
        <v>2148</v>
      </c>
      <c r="E461">
        <v>100</v>
      </c>
      <c r="F461">
        <v>320</v>
      </c>
      <c r="G461">
        <v>2400</v>
      </c>
      <c r="H461" s="1">
        <v>64759.32</v>
      </c>
      <c r="I461">
        <v>0</v>
      </c>
      <c r="J461" s="283">
        <v>45412.177658182867</v>
      </c>
      <c r="K461" t="s">
        <v>3156</v>
      </c>
      <c r="L461" t="s">
        <v>3145</v>
      </c>
      <c r="M461" t="s">
        <v>3146</v>
      </c>
      <c r="N461" t="s">
        <v>457</v>
      </c>
      <c r="O461" t="s">
        <v>46</v>
      </c>
    </row>
    <row r="462" spans="1:15" x14ac:dyDescent="0.35">
      <c r="A462">
        <v>60441</v>
      </c>
      <c r="B462" s="283">
        <v>44743</v>
      </c>
      <c r="C462">
        <v>2185</v>
      </c>
      <c r="D462">
        <v>2148</v>
      </c>
      <c r="E462">
        <v>100</v>
      </c>
      <c r="F462">
        <v>320</v>
      </c>
      <c r="G462">
        <v>2570</v>
      </c>
      <c r="H462" s="1">
        <v>116454.94</v>
      </c>
      <c r="I462">
        <v>0</v>
      </c>
      <c r="J462" s="283">
        <v>45412.177658182867</v>
      </c>
      <c r="K462" t="s">
        <v>3157</v>
      </c>
      <c r="L462" t="s">
        <v>3145</v>
      </c>
      <c r="M462" t="s">
        <v>3146</v>
      </c>
      <c r="N462" t="s">
        <v>457</v>
      </c>
      <c r="O462" t="s">
        <v>46</v>
      </c>
    </row>
    <row r="463" spans="1:15" x14ac:dyDescent="0.35">
      <c r="A463">
        <v>60442</v>
      </c>
      <c r="B463" s="283">
        <v>44743</v>
      </c>
      <c r="C463">
        <v>2185</v>
      </c>
      <c r="D463">
        <v>2148</v>
      </c>
      <c r="E463">
        <v>100</v>
      </c>
      <c r="F463">
        <v>320</v>
      </c>
      <c r="G463">
        <v>3100</v>
      </c>
      <c r="H463" s="1">
        <v>8.76</v>
      </c>
      <c r="I463">
        <v>0</v>
      </c>
      <c r="J463" s="283">
        <v>45412.177658182867</v>
      </c>
      <c r="K463" t="s">
        <v>3158</v>
      </c>
      <c r="L463" t="s">
        <v>3145</v>
      </c>
      <c r="M463" t="s">
        <v>3146</v>
      </c>
      <c r="N463" t="s">
        <v>457</v>
      </c>
      <c r="O463" t="s">
        <v>46</v>
      </c>
    </row>
    <row r="464" spans="1:15" x14ac:dyDescent="0.35">
      <c r="A464">
        <v>60453</v>
      </c>
      <c r="B464" s="283">
        <v>44743</v>
      </c>
      <c r="C464">
        <v>2186</v>
      </c>
      <c r="D464">
        <v>2148</v>
      </c>
      <c r="E464">
        <v>100</v>
      </c>
      <c r="F464">
        <v>320</v>
      </c>
      <c r="G464">
        <v>1200</v>
      </c>
      <c r="H464" s="1">
        <v>33248.67</v>
      </c>
      <c r="I464">
        <v>0</v>
      </c>
      <c r="J464" s="283">
        <v>45412.177658182867</v>
      </c>
      <c r="K464" t="s">
        <v>3144</v>
      </c>
      <c r="L464" t="s">
        <v>3145</v>
      </c>
      <c r="M464" t="s">
        <v>3146</v>
      </c>
      <c r="N464" t="s">
        <v>457</v>
      </c>
      <c r="O464" t="s">
        <v>56</v>
      </c>
    </row>
    <row r="465" spans="1:15" x14ac:dyDescent="0.35">
      <c r="A465">
        <v>60454</v>
      </c>
      <c r="B465" s="283">
        <v>44743</v>
      </c>
      <c r="C465">
        <v>2186</v>
      </c>
      <c r="D465">
        <v>2148</v>
      </c>
      <c r="E465">
        <v>100</v>
      </c>
      <c r="F465">
        <v>320</v>
      </c>
      <c r="G465">
        <v>2100</v>
      </c>
      <c r="H465" s="1">
        <v>25270.14</v>
      </c>
      <c r="I465">
        <v>0</v>
      </c>
      <c r="J465" s="283">
        <v>45412.177658182867</v>
      </c>
      <c r="K465" t="s">
        <v>3147</v>
      </c>
      <c r="L465" t="s">
        <v>3145</v>
      </c>
      <c r="M465" t="s">
        <v>3146</v>
      </c>
      <c r="N465" t="s">
        <v>457</v>
      </c>
      <c r="O465" t="s">
        <v>56</v>
      </c>
    </row>
    <row r="466" spans="1:15" x14ac:dyDescent="0.35">
      <c r="A466">
        <v>60455</v>
      </c>
      <c r="B466" s="283">
        <v>44743</v>
      </c>
      <c r="C466">
        <v>2186</v>
      </c>
      <c r="D466">
        <v>2148</v>
      </c>
      <c r="E466">
        <v>100</v>
      </c>
      <c r="F466">
        <v>320</v>
      </c>
      <c r="G466">
        <v>2160</v>
      </c>
      <c r="H466" s="1">
        <v>12147.6</v>
      </c>
      <c r="I466">
        <v>0</v>
      </c>
      <c r="J466" s="283">
        <v>45412.177658182867</v>
      </c>
      <c r="K466" t="s">
        <v>3149</v>
      </c>
      <c r="L466" t="s">
        <v>3145</v>
      </c>
      <c r="M466" t="s">
        <v>3146</v>
      </c>
      <c r="N466" t="s">
        <v>457</v>
      </c>
      <c r="O466" t="s">
        <v>56</v>
      </c>
    </row>
    <row r="467" spans="1:15" x14ac:dyDescent="0.35">
      <c r="A467">
        <v>60456</v>
      </c>
      <c r="B467" s="283">
        <v>44743</v>
      </c>
      <c r="C467">
        <v>2186</v>
      </c>
      <c r="D467">
        <v>2148</v>
      </c>
      <c r="E467">
        <v>100</v>
      </c>
      <c r="F467">
        <v>320</v>
      </c>
      <c r="G467">
        <v>2190</v>
      </c>
      <c r="H467" s="1">
        <v>5708.95</v>
      </c>
      <c r="I467">
        <v>0</v>
      </c>
      <c r="J467" s="283">
        <v>45412.177658182867</v>
      </c>
      <c r="K467" t="s">
        <v>3150</v>
      </c>
      <c r="L467" t="s">
        <v>3145</v>
      </c>
      <c r="M467" t="s">
        <v>3146</v>
      </c>
      <c r="N467" t="s">
        <v>457</v>
      </c>
      <c r="O467" t="s">
        <v>56</v>
      </c>
    </row>
    <row r="468" spans="1:15" x14ac:dyDescent="0.35">
      <c r="A468">
        <v>60469</v>
      </c>
      <c r="B468" s="283">
        <v>44743</v>
      </c>
      <c r="C468">
        <v>2187</v>
      </c>
      <c r="D468">
        <v>2148</v>
      </c>
      <c r="E468">
        <v>100</v>
      </c>
      <c r="F468">
        <v>320</v>
      </c>
      <c r="G468">
        <v>1200</v>
      </c>
      <c r="H468" s="1">
        <v>1061229.1399999999</v>
      </c>
      <c r="I468">
        <v>0</v>
      </c>
      <c r="J468" s="283">
        <v>45412.177658182867</v>
      </c>
      <c r="K468" t="s">
        <v>3144</v>
      </c>
      <c r="L468" t="s">
        <v>3145</v>
      </c>
      <c r="M468" t="s">
        <v>3146</v>
      </c>
      <c r="N468" t="s">
        <v>457</v>
      </c>
      <c r="O468" t="s">
        <v>65</v>
      </c>
    </row>
    <row r="469" spans="1:15" x14ac:dyDescent="0.35">
      <c r="A469">
        <v>60470</v>
      </c>
      <c r="B469" s="283">
        <v>44743</v>
      </c>
      <c r="C469">
        <v>2187</v>
      </c>
      <c r="D469">
        <v>2148</v>
      </c>
      <c r="E469">
        <v>100</v>
      </c>
      <c r="F469">
        <v>320</v>
      </c>
      <c r="G469">
        <v>2100</v>
      </c>
      <c r="H469" s="1">
        <v>184398.72</v>
      </c>
      <c r="I469">
        <v>0</v>
      </c>
      <c r="J469" s="283">
        <v>45412.177658182867</v>
      </c>
      <c r="K469" t="s">
        <v>3147</v>
      </c>
      <c r="L469" t="s">
        <v>3145</v>
      </c>
      <c r="M469" t="s">
        <v>3146</v>
      </c>
      <c r="N469" t="s">
        <v>457</v>
      </c>
      <c r="O469" t="s">
        <v>65</v>
      </c>
    </row>
    <row r="470" spans="1:15" x14ac:dyDescent="0.35">
      <c r="A470">
        <v>60471</v>
      </c>
      <c r="B470" s="283">
        <v>44743</v>
      </c>
      <c r="C470">
        <v>2187</v>
      </c>
      <c r="D470">
        <v>2148</v>
      </c>
      <c r="E470">
        <v>100</v>
      </c>
      <c r="F470">
        <v>320</v>
      </c>
      <c r="G470">
        <v>2160</v>
      </c>
      <c r="H470" s="1">
        <v>67340.55</v>
      </c>
      <c r="I470">
        <v>0</v>
      </c>
      <c r="J470" s="283">
        <v>45412.177658182867</v>
      </c>
      <c r="K470" t="s">
        <v>3149</v>
      </c>
      <c r="L470" t="s">
        <v>3145</v>
      </c>
      <c r="M470" t="s">
        <v>3146</v>
      </c>
      <c r="N470" t="s">
        <v>457</v>
      </c>
      <c r="O470" t="s">
        <v>65</v>
      </c>
    </row>
    <row r="471" spans="1:15" x14ac:dyDescent="0.35">
      <c r="A471">
        <v>60472</v>
      </c>
      <c r="B471" s="283">
        <v>44743</v>
      </c>
      <c r="C471">
        <v>2187</v>
      </c>
      <c r="D471">
        <v>2148</v>
      </c>
      <c r="E471">
        <v>100</v>
      </c>
      <c r="F471">
        <v>320</v>
      </c>
      <c r="G471">
        <v>2190</v>
      </c>
      <c r="H471" s="1">
        <v>29092.99</v>
      </c>
      <c r="I471">
        <v>0</v>
      </c>
      <c r="J471" s="283">
        <v>45412.177658182867</v>
      </c>
      <c r="K471" t="s">
        <v>3150</v>
      </c>
      <c r="L471" t="s">
        <v>3145</v>
      </c>
      <c r="M471" t="s">
        <v>3146</v>
      </c>
      <c r="N471" t="s">
        <v>457</v>
      </c>
      <c r="O471" t="s">
        <v>65</v>
      </c>
    </row>
    <row r="472" spans="1:15" x14ac:dyDescent="0.35">
      <c r="A472">
        <v>60473</v>
      </c>
      <c r="B472" s="283">
        <v>44743</v>
      </c>
      <c r="C472">
        <v>2187</v>
      </c>
      <c r="D472">
        <v>2148</v>
      </c>
      <c r="E472">
        <v>100</v>
      </c>
      <c r="F472">
        <v>320</v>
      </c>
      <c r="G472">
        <v>2400</v>
      </c>
      <c r="H472" s="1">
        <v>165421.20000000001</v>
      </c>
      <c r="I472">
        <v>0</v>
      </c>
      <c r="J472" s="283">
        <v>45412.177658182867</v>
      </c>
      <c r="K472" t="s">
        <v>3156</v>
      </c>
      <c r="L472" t="s">
        <v>3145</v>
      </c>
      <c r="M472" t="s">
        <v>3146</v>
      </c>
      <c r="N472" t="s">
        <v>457</v>
      </c>
      <c r="O472" t="s">
        <v>65</v>
      </c>
    </row>
    <row r="473" spans="1:15" x14ac:dyDescent="0.35">
      <c r="A473">
        <v>60474</v>
      </c>
      <c r="B473" s="283">
        <v>44743</v>
      </c>
      <c r="C473">
        <v>2187</v>
      </c>
      <c r="D473">
        <v>2148</v>
      </c>
      <c r="E473">
        <v>100</v>
      </c>
      <c r="F473">
        <v>320</v>
      </c>
      <c r="G473">
        <v>2570</v>
      </c>
      <c r="H473" s="1">
        <v>200248.83</v>
      </c>
      <c r="I473">
        <v>0</v>
      </c>
      <c r="J473" s="283">
        <v>45412.177658182867</v>
      </c>
      <c r="K473" t="s">
        <v>3157</v>
      </c>
      <c r="L473" t="s">
        <v>3145</v>
      </c>
      <c r="M473" t="s">
        <v>3146</v>
      </c>
      <c r="N473" t="s">
        <v>457</v>
      </c>
      <c r="O473" t="s">
        <v>65</v>
      </c>
    </row>
    <row r="474" spans="1:15" x14ac:dyDescent="0.35">
      <c r="A474">
        <v>60475</v>
      </c>
      <c r="B474" s="283">
        <v>44743</v>
      </c>
      <c r="C474">
        <v>2187</v>
      </c>
      <c r="D474">
        <v>2148</v>
      </c>
      <c r="E474">
        <v>100</v>
      </c>
      <c r="F474">
        <v>320</v>
      </c>
      <c r="G474">
        <v>3100</v>
      </c>
      <c r="H474" s="1">
        <v>252.65</v>
      </c>
      <c r="I474">
        <v>0</v>
      </c>
      <c r="J474" s="283">
        <v>45412.177658182867</v>
      </c>
      <c r="K474" t="s">
        <v>3158</v>
      </c>
      <c r="L474" t="s">
        <v>3145</v>
      </c>
      <c r="M474" t="s">
        <v>3146</v>
      </c>
      <c r="N474" t="s">
        <v>457</v>
      </c>
      <c r="O474" t="s">
        <v>65</v>
      </c>
    </row>
    <row r="475" spans="1:15" x14ac:dyDescent="0.35">
      <c r="A475">
        <v>60482</v>
      </c>
      <c r="B475" s="283">
        <v>44743</v>
      </c>
      <c r="C475">
        <v>2188</v>
      </c>
      <c r="D475">
        <v>2148</v>
      </c>
      <c r="E475">
        <v>100</v>
      </c>
      <c r="F475">
        <v>320</v>
      </c>
      <c r="G475">
        <v>1200</v>
      </c>
      <c r="H475" s="1">
        <v>141410.92000000001</v>
      </c>
      <c r="I475">
        <v>0</v>
      </c>
      <c r="J475" s="283">
        <v>45412.177658182867</v>
      </c>
      <c r="K475" t="s">
        <v>3144</v>
      </c>
      <c r="L475" t="s">
        <v>3145</v>
      </c>
      <c r="M475" t="s">
        <v>3146</v>
      </c>
      <c r="N475" t="s">
        <v>457</v>
      </c>
      <c r="O475" t="s">
        <v>178</v>
      </c>
    </row>
    <row r="476" spans="1:15" x14ac:dyDescent="0.35">
      <c r="A476">
        <v>60483</v>
      </c>
      <c r="B476" s="283">
        <v>44743</v>
      </c>
      <c r="C476">
        <v>2188</v>
      </c>
      <c r="D476">
        <v>2148</v>
      </c>
      <c r="E476">
        <v>100</v>
      </c>
      <c r="F476">
        <v>320</v>
      </c>
      <c r="G476">
        <v>2100</v>
      </c>
      <c r="H476" s="1">
        <v>107477.22</v>
      </c>
      <c r="I476">
        <v>0</v>
      </c>
      <c r="J476" s="283">
        <v>45412.177658182867</v>
      </c>
      <c r="K476" t="s">
        <v>3147</v>
      </c>
      <c r="L476" t="s">
        <v>3145</v>
      </c>
      <c r="M476" t="s">
        <v>3146</v>
      </c>
      <c r="N476" t="s">
        <v>457</v>
      </c>
      <c r="O476" t="s">
        <v>178</v>
      </c>
    </row>
    <row r="477" spans="1:15" x14ac:dyDescent="0.35">
      <c r="A477">
        <v>60484</v>
      </c>
      <c r="B477" s="283">
        <v>44743</v>
      </c>
      <c r="C477">
        <v>2188</v>
      </c>
      <c r="D477">
        <v>2148</v>
      </c>
      <c r="E477">
        <v>100</v>
      </c>
      <c r="F477">
        <v>320</v>
      </c>
      <c r="G477">
        <v>2160</v>
      </c>
      <c r="H477" s="1">
        <v>51665.29</v>
      </c>
      <c r="I477">
        <v>0</v>
      </c>
      <c r="J477" s="283">
        <v>45412.177658182867</v>
      </c>
      <c r="K477" t="s">
        <v>3149</v>
      </c>
      <c r="L477" t="s">
        <v>3145</v>
      </c>
      <c r="M477" t="s">
        <v>3146</v>
      </c>
      <c r="N477" t="s">
        <v>457</v>
      </c>
      <c r="O477" t="s">
        <v>178</v>
      </c>
    </row>
    <row r="478" spans="1:15" x14ac:dyDescent="0.35">
      <c r="A478">
        <v>60485</v>
      </c>
      <c r="B478" s="283">
        <v>44743</v>
      </c>
      <c r="C478">
        <v>2188</v>
      </c>
      <c r="D478">
        <v>2148</v>
      </c>
      <c r="E478">
        <v>100</v>
      </c>
      <c r="F478">
        <v>320</v>
      </c>
      <c r="G478">
        <v>2190</v>
      </c>
      <c r="H478" s="1">
        <v>24280.92</v>
      </c>
      <c r="I478">
        <v>0</v>
      </c>
      <c r="J478" s="283">
        <v>45412.177658182867</v>
      </c>
      <c r="K478" t="s">
        <v>3150</v>
      </c>
      <c r="L478" t="s">
        <v>3145</v>
      </c>
      <c r="M478" t="s">
        <v>3146</v>
      </c>
      <c r="N478" t="s">
        <v>457</v>
      </c>
      <c r="O478" t="s">
        <v>178</v>
      </c>
    </row>
    <row r="479" spans="1:15" x14ac:dyDescent="0.35">
      <c r="A479">
        <v>60498</v>
      </c>
      <c r="B479" s="283">
        <v>44743</v>
      </c>
      <c r="C479">
        <v>1896</v>
      </c>
      <c r="D479">
        <v>2200</v>
      </c>
      <c r="E479">
        <v>100</v>
      </c>
      <c r="F479">
        <v>320</v>
      </c>
      <c r="G479">
        <v>2100</v>
      </c>
      <c r="H479" s="1">
        <v>20198.11</v>
      </c>
      <c r="I479">
        <v>0</v>
      </c>
      <c r="J479" s="283">
        <v>45412.177658182867</v>
      </c>
      <c r="K479" t="s">
        <v>3147</v>
      </c>
      <c r="L479" t="s">
        <v>3145</v>
      </c>
      <c r="M479" t="s">
        <v>3146</v>
      </c>
      <c r="N479" t="s">
        <v>351</v>
      </c>
      <c r="O479" t="s">
        <v>40</v>
      </c>
    </row>
    <row r="480" spans="1:15" x14ac:dyDescent="0.35">
      <c r="A480">
        <v>60499</v>
      </c>
      <c r="B480" s="283">
        <v>44743</v>
      </c>
      <c r="C480">
        <v>1896</v>
      </c>
      <c r="D480">
        <v>2200</v>
      </c>
      <c r="E480">
        <v>100</v>
      </c>
      <c r="F480">
        <v>320</v>
      </c>
      <c r="G480">
        <v>2160</v>
      </c>
      <c r="H480" s="1">
        <v>970.86</v>
      </c>
      <c r="I480">
        <v>0</v>
      </c>
      <c r="J480" s="283">
        <v>45412.177658182867</v>
      </c>
      <c r="K480" t="s">
        <v>3149</v>
      </c>
      <c r="L480" t="s">
        <v>3145</v>
      </c>
      <c r="M480" t="s">
        <v>3146</v>
      </c>
      <c r="N480" t="s">
        <v>351</v>
      </c>
      <c r="O480" t="s">
        <v>40</v>
      </c>
    </row>
    <row r="481" spans="1:15" x14ac:dyDescent="0.35">
      <c r="A481">
        <v>60512</v>
      </c>
      <c r="B481" s="283">
        <v>44743</v>
      </c>
      <c r="C481">
        <v>2147</v>
      </c>
      <c r="D481">
        <v>2200</v>
      </c>
      <c r="E481">
        <v>100</v>
      </c>
      <c r="F481">
        <v>320</v>
      </c>
      <c r="G481">
        <v>2100</v>
      </c>
      <c r="H481" s="1">
        <v>694567.52</v>
      </c>
      <c r="I481">
        <v>0</v>
      </c>
      <c r="J481" s="283">
        <v>45412.177658182867</v>
      </c>
      <c r="K481" t="s">
        <v>3147</v>
      </c>
      <c r="L481" t="s">
        <v>3145</v>
      </c>
      <c r="M481" t="s">
        <v>3146</v>
      </c>
      <c r="N481" t="s">
        <v>351</v>
      </c>
      <c r="O481" t="s">
        <v>135</v>
      </c>
    </row>
    <row r="482" spans="1:15" x14ac:dyDescent="0.35">
      <c r="A482">
        <v>60513</v>
      </c>
      <c r="B482" s="283">
        <v>44743</v>
      </c>
      <c r="C482">
        <v>2147</v>
      </c>
      <c r="D482">
        <v>2200</v>
      </c>
      <c r="E482">
        <v>100</v>
      </c>
      <c r="F482">
        <v>320</v>
      </c>
      <c r="G482">
        <v>2160</v>
      </c>
      <c r="H482" s="1">
        <v>33385.58</v>
      </c>
      <c r="I482">
        <v>0</v>
      </c>
      <c r="J482" s="283">
        <v>45412.177658182867</v>
      </c>
      <c r="K482" t="s">
        <v>3149</v>
      </c>
      <c r="L482" t="s">
        <v>3145</v>
      </c>
      <c r="M482" t="s">
        <v>3146</v>
      </c>
      <c r="N482" t="s">
        <v>351</v>
      </c>
      <c r="O482" t="s">
        <v>135</v>
      </c>
    </row>
    <row r="483" spans="1:15" x14ac:dyDescent="0.35">
      <c r="A483">
        <v>60525</v>
      </c>
      <c r="B483" s="283">
        <v>44743</v>
      </c>
      <c r="C483">
        <v>2201</v>
      </c>
      <c r="D483">
        <v>2200</v>
      </c>
      <c r="E483">
        <v>100</v>
      </c>
      <c r="F483">
        <v>320</v>
      </c>
      <c r="G483">
        <v>2100</v>
      </c>
      <c r="H483" s="1">
        <v>39159.589999999997</v>
      </c>
      <c r="I483">
        <v>0</v>
      </c>
      <c r="J483" s="283">
        <v>45412.177658182867</v>
      </c>
      <c r="K483" t="s">
        <v>3147</v>
      </c>
      <c r="L483" t="s">
        <v>3145</v>
      </c>
      <c r="M483" t="s">
        <v>3146</v>
      </c>
      <c r="N483" t="s">
        <v>351</v>
      </c>
      <c r="O483" t="s">
        <v>99</v>
      </c>
    </row>
    <row r="484" spans="1:15" x14ac:dyDescent="0.35">
      <c r="A484">
        <v>60526</v>
      </c>
      <c r="B484" s="283">
        <v>44743</v>
      </c>
      <c r="C484">
        <v>2201</v>
      </c>
      <c r="D484">
        <v>2200</v>
      </c>
      <c r="E484">
        <v>100</v>
      </c>
      <c r="F484">
        <v>320</v>
      </c>
      <c r="G484">
        <v>2160</v>
      </c>
      <c r="H484" s="1">
        <v>1882.27</v>
      </c>
      <c r="I484">
        <v>0</v>
      </c>
      <c r="J484" s="283">
        <v>45412.177658182867</v>
      </c>
      <c r="K484" t="s">
        <v>3149</v>
      </c>
      <c r="L484" t="s">
        <v>3145</v>
      </c>
      <c r="M484" t="s">
        <v>3146</v>
      </c>
      <c r="N484" t="s">
        <v>351</v>
      </c>
      <c r="O484" t="s">
        <v>99</v>
      </c>
    </row>
    <row r="485" spans="1:15" x14ac:dyDescent="0.35">
      <c r="A485">
        <v>60538</v>
      </c>
      <c r="B485" s="283">
        <v>44743</v>
      </c>
      <c r="C485">
        <v>2202</v>
      </c>
      <c r="D485">
        <v>2200</v>
      </c>
      <c r="E485">
        <v>100</v>
      </c>
      <c r="F485">
        <v>320</v>
      </c>
      <c r="G485">
        <v>2100</v>
      </c>
      <c r="H485" s="1">
        <v>114181.13</v>
      </c>
      <c r="I485">
        <v>0</v>
      </c>
      <c r="J485" s="283">
        <v>45412.177658182867</v>
      </c>
      <c r="K485" t="s">
        <v>3147</v>
      </c>
      <c r="L485" t="s">
        <v>3145</v>
      </c>
      <c r="M485" t="s">
        <v>3146</v>
      </c>
      <c r="N485" t="s">
        <v>351</v>
      </c>
      <c r="O485" t="s">
        <v>162</v>
      </c>
    </row>
    <row r="486" spans="1:15" x14ac:dyDescent="0.35">
      <c r="A486">
        <v>60539</v>
      </c>
      <c r="B486" s="283">
        <v>44743</v>
      </c>
      <c r="C486">
        <v>2202</v>
      </c>
      <c r="D486">
        <v>2200</v>
      </c>
      <c r="E486">
        <v>100</v>
      </c>
      <c r="F486">
        <v>320</v>
      </c>
      <c r="G486">
        <v>2160</v>
      </c>
      <c r="H486" s="1">
        <v>5488.31</v>
      </c>
      <c r="I486">
        <v>0</v>
      </c>
      <c r="J486" s="283">
        <v>45412.177658182867</v>
      </c>
      <c r="K486" t="s">
        <v>3149</v>
      </c>
      <c r="L486" t="s">
        <v>3145</v>
      </c>
      <c r="M486" t="s">
        <v>3146</v>
      </c>
      <c r="N486" t="s">
        <v>351</v>
      </c>
      <c r="O486" t="s">
        <v>162</v>
      </c>
    </row>
    <row r="487" spans="1:15" x14ac:dyDescent="0.35">
      <c r="A487">
        <v>60551</v>
      </c>
      <c r="B487" s="283">
        <v>44743</v>
      </c>
      <c r="C487">
        <v>2203</v>
      </c>
      <c r="D487">
        <v>2200</v>
      </c>
      <c r="E487">
        <v>100</v>
      </c>
      <c r="F487">
        <v>320</v>
      </c>
      <c r="G487">
        <v>2100</v>
      </c>
      <c r="H487" s="1">
        <v>86563.31</v>
      </c>
      <c r="I487">
        <v>0</v>
      </c>
      <c r="J487" s="283">
        <v>45412.177658182867</v>
      </c>
      <c r="K487" t="s">
        <v>3147</v>
      </c>
      <c r="L487" t="s">
        <v>3145</v>
      </c>
      <c r="M487" t="s">
        <v>3146</v>
      </c>
      <c r="N487" t="s">
        <v>351</v>
      </c>
      <c r="O487" t="s">
        <v>75</v>
      </c>
    </row>
    <row r="488" spans="1:15" x14ac:dyDescent="0.35">
      <c r="A488">
        <v>60552</v>
      </c>
      <c r="B488" s="283">
        <v>44743</v>
      </c>
      <c r="C488">
        <v>2203</v>
      </c>
      <c r="D488">
        <v>2200</v>
      </c>
      <c r="E488">
        <v>100</v>
      </c>
      <c r="F488">
        <v>320</v>
      </c>
      <c r="G488">
        <v>2160</v>
      </c>
      <c r="H488" s="1">
        <v>4160.8100000000004</v>
      </c>
      <c r="I488">
        <v>0</v>
      </c>
      <c r="J488" s="283">
        <v>45412.177658182867</v>
      </c>
      <c r="K488" t="s">
        <v>3149</v>
      </c>
      <c r="L488" t="s">
        <v>3145</v>
      </c>
      <c r="M488" t="s">
        <v>3146</v>
      </c>
      <c r="N488" t="s">
        <v>351</v>
      </c>
      <c r="O488" t="s">
        <v>75</v>
      </c>
    </row>
    <row r="489" spans="1:15" x14ac:dyDescent="0.35">
      <c r="A489">
        <v>60564</v>
      </c>
      <c r="B489" s="283">
        <v>44743</v>
      </c>
      <c r="C489">
        <v>2204</v>
      </c>
      <c r="D489">
        <v>2200</v>
      </c>
      <c r="E489">
        <v>100</v>
      </c>
      <c r="F489">
        <v>320</v>
      </c>
      <c r="G489">
        <v>2100</v>
      </c>
      <c r="H489" s="1">
        <v>282773.48</v>
      </c>
      <c r="I489">
        <v>0</v>
      </c>
      <c r="J489" s="283">
        <v>45412.177658182867</v>
      </c>
      <c r="K489" t="s">
        <v>3147</v>
      </c>
      <c r="L489" t="s">
        <v>3145</v>
      </c>
      <c r="M489" t="s">
        <v>3146</v>
      </c>
      <c r="N489" t="s">
        <v>351</v>
      </c>
      <c r="O489" t="s">
        <v>208</v>
      </c>
    </row>
    <row r="490" spans="1:15" x14ac:dyDescent="0.35">
      <c r="A490">
        <v>60565</v>
      </c>
      <c r="B490" s="283">
        <v>44743</v>
      </c>
      <c r="C490">
        <v>2204</v>
      </c>
      <c r="D490">
        <v>2200</v>
      </c>
      <c r="E490">
        <v>100</v>
      </c>
      <c r="F490">
        <v>320</v>
      </c>
      <c r="G490">
        <v>2160</v>
      </c>
      <c r="H490" s="1">
        <v>13591.99</v>
      </c>
      <c r="I490">
        <v>0</v>
      </c>
      <c r="J490" s="283">
        <v>45412.177658182867</v>
      </c>
      <c r="K490" t="s">
        <v>3149</v>
      </c>
      <c r="L490" t="s">
        <v>3145</v>
      </c>
      <c r="M490" t="s">
        <v>3146</v>
      </c>
      <c r="N490" t="s">
        <v>351</v>
      </c>
      <c r="O490" t="s">
        <v>208</v>
      </c>
    </row>
    <row r="491" spans="1:15" x14ac:dyDescent="0.35">
      <c r="A491">
        <v>60577</v>
      </c>
      <c r="B491" s="283">
        <v>44743</v>
      </c>
      <c r="C491">
        <v>2205</v>
      </c>
      <c r="D491">
        <v>2200</v>
      </c>
      <c r="E491">
        <v>100</v>
      </c>
      <c r="F491">
        <v>320</v>
      </c>
      <c r="G491">
        <v>2100</v>
      </c>
      <c r="H491" s="1">
        <v>446007.17</v>
      </c>
      <c r="I491">
        <v>0</v>
      </c>
      <c r="J491" s="283">
        <v>45412.177658182867</v>
      </c>
      <c r="K491" t="s">
        <v>3147</v>
      </c>
      <c r="L491" t="s">
        <v>3145</v>
      </c>
      <c r="M491" t="s">
        <v>3146</v>
      </c>
      <c r="N491" t="s">
        <v>351</v>
      </c>
      <c r="O491" t="s">
        <v>130</v>
      </c>
    </row>
    <row r="492" spans="1:15" x14ac:dyDescent="0.35">
      <c r="A492">
        <v>60578</v>
      </c>
      <c r="B492" s="283">
        <v>44743</v>
      </c>
      <c r="C492">
        <v>2205</v>
      </c>
      <c r="D492">
        <v>2200</v>
      </c>
      <c r="E492">
        <v>100</v>
      </c>
      <c r="F492">
        <v>320</v>
      </c>
      <c r="G492">
        <v>2160</v>
      </c>
      <c r="H492" s="1">
        <v>21438.11</v>
      </c>
      <c r="I492">
        <v>0</v>
      </c>
      <c r="J492" s="283">
        <v>45412.177658182867</v>
      </c>
      <c r="K492" t="s">
        <v>3149</v>
      </c>
      <c r="L492" t="s">
        <v>3145</v>
      </c>
      <c r="M492" t="s">
        <v>3146</v>
      </c>
      <c r="N492" t="s">
        <v>351</v>
      </c>
      <c r="O492" t="s">
        <v>130</v>
      </c>
    </row>
    <row r="493" spans="1:15" x14ac:dyDescent="0.35">
      <c r="A493">
        <v>60591</v>
      </c>
      <c r="B493" s="283">
        <v>44743</v>
      </c>
      <c r="C493">
        <v>2207</v>
      </c>
      <c r="D493">
        <v>2200</v>
      </c>
      <c r="E493">
        <v>100</v>
      </c>
      <c r="F493">
        <v>320</v>
      </c>
      <c r="G493">
        <v>2100</v>
      </c>
      <c r="H493" s="1">
        <v>885419.01</v>
      </c>
      <c r="I493">
        <v>0</v>
      </c>
      <c r="J493" s="283">
        <v>45412.177658182867</v>
      </c>
      <c r="K493" t="s">
        <v>3147</v>
      </c>
      <c r="L493" t="s">
        <v>3145</v>
      </c>
      <c r="M493" t="s">
        <v>3146</v>
      </c>
      <c r="N493" t="s">
        <v>351</v>
      </c>
      <c r="O493" t="s">
        <v>157</v>
      </c>
    </row>
    <row r="494" spans="1:15" x14ac:dyDescent="0.35">
      <c r="A494">
        <v>60592</v>
      </c>
      <c r="B494" s="283">
        <v>44743</v>
      </c>
      <c r="C494">
        <v>2207</v>
      </c>
      <c r="D494">
        <v>2200</v>
      </c>
      <c r="E494">
        <v>100</v>
      </c>
      <c r="F494">
        <v>320</v>
      </c>
      <c r="G494">
        <v>2160</v>
      </c>
      <c r="H494" s="1">
        <v>42559.19</v>
      </c>
      <c r="I494">
        <v>0</v>
      </c>
      <c r="J494" s="283">
        <v>45412.177658182867</v>
      </c>
      <c r="K494" t="s">
        <v>3149</v>
      </c>
      <c r="L494" t="s">
        <v>3145</v>
      </c>
      <c r="M494" t="s">
        <v>3146</v>
      </c>
      <c r="N494" t="s">
        <v>351</v>
      </c>
      <c r="O494" t="s">
        <v>157</v>
      </c>
    </row>
    <row r="495" spans="1:15" x14ac:dyDescent="0.35">
      <c r="A495">
        <v>60604</v>
      </c>
      <c r="B495" s="283">
        <v>44743</v>
      </c>
      <c r="C495">
        <v>2208</v>
      </c>
      <c r="D495">
        <v>2200</v>
      </c>
      <c r="E495">
        <v>100</v>
      </c>
      <c r="F495">
        <v>320</v>
      </c>
      <c r="G495">
        <v>2100</v>
      </c>
      <c r="H495" s="1">
        <v>159936.01999999999</v>
      </c>
      <c r="I495">
        <v>0</v>
      </c>
      <c r="J495" s="283">
        <v>45412.177658182867</v>
      </c>
      <c r="K495" t="s">
        <v>3147</v>
      </c>
      <c r="L495" t="s">
        <v>3145</v>
      </c>
      <c r="M495" t="s">
        <v>3146</v>
      </c>
      <c r="N495" t="s">
        <v>351</v>
      </c>
      <c r="O495" t="s">
        <v>29</v>
      </c>
    </row>
    <row r="496" spans="1:15" x14ac:dyDescent="0.35">
      <c r="A496">
        <v>60605</v>
      </c>
      <c r="B496" s="283">
        <v>44743</v>
      </c>
      <c r="C496">
        <v>2208</v>
      </c>
      <c r="D496">
        <v>2200</v>
      </c>
      <c r="E496">
        <v>100</v>
      </c>
      <c r="F496">
        <v>320</v>
      </c>
      <c r="G496">
        <v>2160</v>
      </c>
      <c r="H496" s="1">
        <v>7687.6</v>
      </c>
      <c r="I496">
        <v>0</v>
      </c>
      <c r="J496" s="283">
        <v>45412.177658182867</v>
      </c>
      <c r="K496" t="s">
        <v>3149</v>
      </c>
      <c r="L496" t="s">
        <v>3145</v>
      </c>
      <c r="M496" t="s">
        <v>3146</v>
      </c>
      <c r="N496" t="s">
        <v>351</v>
      </c>
      <c r="O496" t="s">
        <v>29</v>
      </c>
    </row>
    <row r="497" spans="1:15" x14ac:dyDescent="0.35">
      <c r="A497">
        <v>60617</v>
      </c>
      <c r="B497" s="283">
        <v>44743</v>
      </c>
      <c r="C497">
        <v>2209</v>
      </c>
      <c r="D497">
        <v>2200</v>
      </c>
      <c r="E497">
        <v>100</v>
      </c>
      <c r="F497">
        <v>320</v>
      </c>
      <c r="G497">
        <v>2100</v>
      </c>
      <c r="H497" s="1">
        <v>139325.71</v>
      </c>
      <c r="I497">
        <v>0</v>
      </c>
      <c r="J497" s="283">
        <v>45412.177658182867</v>
      </c>
      <c r="K497" t="s">
        <v>3147</v>
      </c>
      <c r="L497" t="s">
        <v>3145</v>
      </c>
      <c r="M497" t="s">
        <v>3146</v>
      </c>
      <c r="N497" t="s">
        <v>351</v>
      </c>
      <c r="O497" t="s">
        <v>199</v>
      </c>
    </row>
    <row r="498" spans="1:15" x14ac:dyDescent="0.35">
      <c r="A498">
        <v>60618</v>
      </c>
      <c r="B498" s="283">
        <v>44743</v>
      </c>
      <c r="C498">
        <v>2209</v>
      </c>
      <c r="D498">
        <v>2200</v>
      </c>
      <c r="E498">
        <v>100</v>
      </c>
      <c r="F498">
        <v>320</v>
      </c>
      <c r="G498">
        <v>2160</v>
      </c>
      <c r="H498" s="1">
        <v>6696.93</v>
      </c>
      <c r="I498">
        <v>0</v>
      </c>
      <c r="J498" s="283">
        <v>45412.177658182867</v>
      </c>
      <c r="K498" t="s">
        <v>3149</v>
      </c>
      <c r="L498" t="s">
        <v>3145</v>
      </c>
      <c r="M498" t="s">
        <v>3146</v>
      </c>
      <c r="N498" t="s">
        <v>351</v>
      </c>
      <c r="O498" t="s">
        <v>199</v>
      </c>
    </row>
    <row r="499" spans="1:15" x14ac:dyDescent="0.35">
      <c r="A499">
        <v>60630</v>
      </c>
      <c r="B499" s="283">
        <v>44743</v>
      </c>
      <c r="C499">
        <v>2210</v>
      </c>
      <c r="D499">
        <v>2200</v>
      </c>
      <c r="E499">
        <v>100</v>
      </c>
      <c r="F499">
        <v>320</v>
      </c>
      <c r="G499">
        <v>2100</v>
      </c>
      <c r="H499" s="1">
        <v>8656.33</v>
      </c>
      <c r="I499">
        <v>0</v>
      </c>
      <c r="J499" s="283">
        <v>45412.177658182867</v>
      </c>
      <c r="K499" t="s">
        <v>3147</v>
      </c>
      <c r="L499" t="s">
        <v>3145</v>
      </c>
      <c r="M499" t="s">
        <v>3146</v>
      </c>
      <c r="N499" t="s">
        <v>351</v>
      </c>
      <c r="O499" t="s">
        <v>207</v>
      </c>
    </row>
    <row r="500" spans="1:15" x14ac:dyDescent="0.35">
      <c r="A500">
        <v>60631</v>
      </c>
      <c r="B500" s="283">
        <v>44743</v>
      </c>
      <c r="C500">
        <v>2210</v>
      </c>
      <c r="D500">
        <v>2200</v>
      </c>
      <c r="E500">
        <v>100</v>
      </c>
      <c r="F500">
        <v>320</v>
      </c>
      <c r="G500">
        <v>2160</v>
      </c>
      <c r="H500" s="1">
        <v>416.08</v>
      </c>
      <c r="I500">
        <v>0</v>
      </c>
      <c r="J500" s="283">
        <v>45412.177658182867</v>
      </c>
      <c r="K500" t="s">
        <v>3149</v>
      </c>
      <c r="L500" t="s">
        <v>3145</v>
      </c>
      <c r="M500" t="s">
        <v>3146</v>
      </c>
      <c r="N500" t="s">
        <v>351</v>
      </c>
      <c r="O500" t="s">
        <v>207</v>
      </c>
    </row>
    <row r="501" spans="1:15" x14ac:dyDescent="0.35">
      <c r="A501">
        <v>60643</v>
      </c>
      <c r="B501" s="283">
        <v>44743</v>
      </c>
      <c r="C501">
        <v>2212</v>
      </c>
      <c r="D501">
        <v>2200</v>
      </c>
      <c r="E501">
        <v>100</v>
      </c>
      <c r="F501">
        <v>320</v>
      </c>
      <c r="G501">
        <v>2100</v>
      </c>
      <c r="H501" s="1">
        <v>746047.74</v>
      </c>
      <c r="I501">
        <v>0</v>
      </c>
      <c r="J501" s="283">
        <v>45412.177658182867</v>
      </c>
      <c r="K501" t="s">
        <v>3147</v>
      </c>
      <c r="L501" t="s">
        <v>3145</v>
      </c>
      <c r="M501" t="s">
        <v>3146</v>
      </c>
      <c r="N501" t="s">
        <v>351</v>
      </c>
      <c r="O501" t="s">
        <v>117</v>
      </c>
    </row>
    <row r="502" spans="1:15" x14ac:dyDescent="0.35">
      <c r="A502">
        <v>60644</v>
      </c>
      <c r="B502" s="283">
        <v>44743</v>
      </c>
      <c r="C502">
        <v>2212</v>
      </c>
      <c r="D502">
        <v>2200</v>
      </c>
      <c r="E502">
        <v>100</v>
      </c>
      <c r="F502">
        <v>320</v>
      </c>
      <c r="G502">
        <v>2160</v>
      </c>
      <c r="H502" s="1">
        <v>35862.26</v>
      </c>
      <c r="I502">
        <v>0</v>
      </c>
      <c r="J502" s="283">
        <v>45412.177658182867</v>
      </c>
      <c r="K502" t="s">
        <v>3149</v>
      </c>
      <c r="L502" t="s">
        <v>3145</v>
      </c>
      <c r="M502" t="s">
        <v>3146</v>
      </c>
      <c r="N502" t="s">
        <v>351</v>
      </c>
      <c r="O502" t="s">
        <v>117</v>
      </c>
    </row>
    <row r="503" spans="1:15" x14ac:dyDescent="0.35">
      <c r="A503">
        <v>60656</v>
      </c>
      <c r="B503" s="283">
        <v>44743</v>
      </c>
      <c r="C503">
        <v>2213</v>
      </c>
      <c r="D503">
        <v>2200</v>
      </c>
      <c r="E503">
        <v>100</v>
      </c>
      <c r="F503">
        <v>320</v>
      </c>
      <c r="G503">
        <v>2100</v>
      </c>
      <c r="H503" s="1">
        <v>82441.25</v>
      </c>
      <c r="I503">
        <v>0</v>
      </c>
      <c r="J503" s="283">
        <v>45412.177658182867</v>
      </c>
      <c r="K503" t="s">
        <v>3147</v>
      </c>
      <c r="L503" t="s">
        <v>3145</v>
      </c>
      <c r="M503" t="s">
        <v>3146</v>
      </c>
      <c r="N503" t="s">
        <v>351</v>
      </c>
      <c r="O503" t="s">
        <v>209</v>
      </c>
    </row>
    <row r="504" spans="1:15" x14ac:dyDescent="0.35">
      <c r="A504">
        <v>60657</v>
      </c>
      <c r="B504" s="283">
        <v>44743</v>
      </c>
      <c r="C504">
        <v>2213</v>
      </c>
      <c r="D504">
        <v>2200</v>
      </c>
      <c r="E504">
        <v>100</v>
      </c>
      <c r="F504">
        <v>320</v>
      </c>
      <c r="G504">
        <v>2160</v>
      </c>
      <c r="H504" s="1">
        <v>3962.68</v>
      </c>
      <c r="I504">
        <v>0</v>
      </c>
      <c r="J504" s="283">
        <v>45412.177658182867</v>
      </c>
      <c r="K504" t="s">
        <v>3149</v>
      </c>
      <c r="L504" t="s">
        <v>3145</v>
      </c>
      <c r="M504" t="s">
        <v>3146</v>
      </c>
      <c r="N504" t="s">
        <v>351</v>
      </c>
      <c r="O504" t="s">
        <v>209</v>
      </c>
    </row>
    <row r="505" spans="1:15" x14ac:dyDescent="0.35">
      <c r="A505">
        <v>60669</v>
      </c>
      <c r="B505" s="283">
        <v>44743</v>
      </c>
      <c r="C505">
        <v>2214</v>
      </c>
      <c r="D505">
        <v>2200</v>
      </c>
      <c r="E505">
        <v>100</v>
      </c>
      <c r="F505">
        <v>320</v>
      </c>
      <c r="G505">
        <v>2100</v>
      </c>
      <c r="H505" s="1">
        <v>99341.7</v>
      </c>
      <c r="I505">
        <v>0</v>
      </c>
      <c r="J505" s="283">
        <v>45412.177658182867</v>
      </c>
      <c r="K505" t="s">
        <v>3147</v>
      </c>
      <c r="L505" t="s">
        <v>3145</v>
      </c>
      <c r="M505" t="s">
        <v>3146</v>
      </c>
      <c r="N505" t="s">
        <v>351</v>
      </c>
      <c r="O505" t="s">
        <v>146</v>
      </c>
    </row>
    <row r="506" spans="1:15" x14ac:dyDescent="0.35">
      <c r="A506">
        <v>60670</v>
      </c>
      <c r="B506" s="283">
        <v>44743</v>
      </c>
      <c r="C506">
        <v>2214</v>
      </c>
      <c r="D506">
        <v>2200</v>
      </c>
      <c r="E506">
        <v>100</v>
      </c>
      <c r="F506">
        <v>320</v>
      </c>
      <c r="G506">
        <v>2160</v>
      </c>
      <c r="H506" s="1">
        <v>4775.03</v>
      </c>
      <c r="I506">
        <v>0</v>
      </c>
      <c r="J506" s="283">
        <v>45412.177658182867</v>
      </c>
      <c r="K506" t="s">
        <v>3149</v>
      </c>
      <c r="L506" t="s">
        <v>3145</v>
      </c>
      <c r="M506" t="s">
        <v>3146</v>
      </c>
      <c r="N506" t="s">
        <v>351</v>
      </c>
      <c r="O506" t="s">
        <v>146</v>
      </c>
    </row>
    <row r="507" spans="1:15" x14ac:dyDescent="0.35">
      <c r="A507">
        <v>60682</v>
      </c>
      <c r="B507" s="283">
        <v>44743</v>
      </c>
      <c r="C507">
        <v>2215</v>
      </c>
      <c r="D507">
        <v>2200</v>
      </c>
      <c r="E507">
        <v>100</v>
      </c>
      <c r="F507">
        <v>320</v>
      </c>
      <c r="G507">
        <v>2100</v>
      </c>
      <c r="H507" s="1">
        <v>73418.27</v>
      </c>
      <c r="I507">
        <v>0</v>
      </c>
      <c r="J507" s="283">
        <v>45412.177658182867</v>
      </c>
      <c r="K507" t="s">
        <v>3147</v>
      </c>
      <c r="L507" t="s">
        <v>3145</v>
      </c>
      <c r="M507" t="s">
        <v>3146</v>
      </c>
      <c r="N507" t="s">
        <v>351</v>
      </c>
      <c r="O507" t="s">
        <v>104</v>
      </c>
    </row>
    <row r="508" spans="1:15" x14ac:dyDescent="0.35">
      <c r="A508">
        <v>60683</v>
      </c>
      <c r="B508" s="283">
        <v>44743</v>
      </c>
      <c r="C508">
        <v>2215</v>
      </c>
      <c r="D508">
        <v>2200</v>
      </c>
      <c r="E508">
        <v>100</v>
      </c>
      <c r="F508">
        <v>320</v>
      </c>
      <c r="G508">
        <v>2160</v>
      </c>
      <c r="H508" s="1">
        <v>3526.79</v>
      </c>
      <c r="I508">
        <v>0</v>
      </c>
      <c r="J508" s="283">
        <v>45412.177658182867</v>
      </c>
      <c r="K508" t="s">
        <v>3149</v>
      </c>
      <c r="L508" t="s">
        <v>3145</v>
      </c>
      <c r="M508" t="s">
        <v>3146</v>
      </c>
      <c r="N508" t="s">
        <v>351</v>
      </c>
      <c r="O508" t="s">
        <v>104</v>
      </c>
    </row>
    <row r="509" spans="1:15" x14ac:dyDescent="0.35">
      <c r="A509">
        <v>60695</v>
      </c>
      <c r="B509" s="283">
        <v>44743</v>
      </c>
      <c r="C509">
        <v>2216</v>
      </c>
      <c r="D509">
        <v>2200</v>
      </c>
      <c r="E509">
        <v>100</v>
      </c>
      <c r="F509">
        <v>320</v>
      </c>
      <c r="G509">
        <v>2100</v>
      </c>
      <c r="H509" s="1">
        <v>74609.33</v>
      </c>
      <c r="I509">
        <v>0</v>
      </c>
      <c r="J509" s="283">
        <v>45412.177658182867</v>
      </c>
      <c r="K509" t="s">
        <v>3147</v>
      </c>
      <c r="L509" t="s">
        <v>3145</v>
      </c>
      <c r="M509" t="s">
        <v>3146</v>
      </c>
      <c r="N509" t="s">
        <v>351</v>
      </c>
      <c r="O509" t="s">
        <v>59</v>
      </c>
    </row>
    <row r="510" spans="1:15" x14ac:dyDescent="0.35">
      <c r="A510">
        <v>60696</v>
      </c>
      <c r="B510" s="283">
        <v>44743</v>
      </c>
      <c r="C510">
        <v>2216</v>
      </c>
      <c r="D510">
        <v>2200</v>
      </c>
      <c r="E510">
        <v>100</v>
      </c>
      <c r="F510">
        <v>320</v>
      </c>
      <c r="G510">
        <v>2160</v>
      </c>
      <c r="H510" s="1">
        <v>3586.23</v>
      </c>
      <c r="I510">
        <v>0</v>
      </c>
      <c r="J510" s="283">
        <v>45412.177658182867</v>
      </c>
      <c r="K510" t="s">
        <v>3149</v>
      </c>
      <c r="L510" t="s">
        <v>3145</v>
      </c>
      <c r="M510" t="s">
        <v>3146</v>
      </c>
      <c r="N510" t="s">
        <v>351</v>
      </c>
      <c r="O510" t="s">
        <v>59</v>
      </c>
    </row>
    <row r="511" spans="1:15" x14ac:dyDescent="0.35">
      <c r="A511">
        <v>60708</v>
      </c>
      <c r="B511" s="283">
        <v>44743</v>
      </c>
      <c r="C511">
        <v>2217</v>
      </c>
      <c r="D511">
        <v>2200</v>
      </c>
      <c r="E511">
        <v>100</v>
      </c>
      <c r="F511">
        <v>320</v>
      </c>
      <c r="G511">
        <v>2100</v>
      </c>
      <c r="H511" s="1">
        <v>112120.1</v>
      </c>
      <c r="I511">
        <v>0</v>
      </c>
      <c r="J511" s="283">
        <v>45412.177658182867</v>
      </c>
      <c r="K511" t="s">
        <v>3147</v>
      </c>
      <c r="L511" t="s">
        <v>3145</v>
      </c>
      <c r="M511" t="s">
        <v>3146</v>
      </c>
      <c r="N511" t="s">
        <v>351</v>
      </c>
      <c r="O511" t="s">
        <v>76</v>
      </c>
    </row>
    <row r="512" spans="1:15" x14ac:dyDescent="0.35">
      <c r="A512">
        <v>60709</v>
      </c>
      <c r="B512" s="283">
        <v>44743</v>
      </c>
      <c r="C512">
        <v>2217</v>
      </c>
      <c r="D512">
        <v>2200</v>
      </c>
      <c r="E512">
        <v>100</v>
      </c>
      <c r="F512">
        <v>320</v>
      </c>
      <c r="G512">
        <v>2160</v>
      </c>
      <c r="H512" s="1">
        <v>5389.25</v>
      </c>
      <c r="I512">
        <v>0</v>
      </c>
      <c r="J512" s="283">
        <v>45412.177658182867</v>
      </c>
      <c r="K512" t="s">
        <v>3149</v>
      </c>
      <c r="L512" t="s">
        <v>3145</v>
      </c>
      <c r="M512" t="s">
        <v>3146</v>
      </c>
      <c r="N512" t="s">
        <v>351</v>
      </c>
      <c r="O512" t="s">
        <v>76</v>
      </c>
    </row>
    <row r="513" spans="1:15" x14ac:dyDescent="0.35">
      <c r="A513">
        <v>60721</v>
      </c>
      <c r="B513" s="283">
        <v>44743</v>
      </c>
      <c r="C513">
        <v>3997</v>
      </c>
      <c r="D513">
        <v>2200</v>
      </c>
      <c r="E513">
        <v>100</v>
      </c>
      <c r="F513">
        <v>320</v>
      </c>
      <c r="G513">
        <v>2100</v>
      </c>
      <c r="H513" s="1">
        <v>57296.67</v>
      </c>
      <c r="I513">
        <v>0</v>
      </c>
      <c r="J513" s="283">
        <v>45412.177658182867</v>
      </c>
      <c r="K513" t="s">
        <v>3147</v>
      </c>
      <c r="L513" t="s">
        <v>3145</v>
      </c>
      <c r="M513" t="s">
        <v>3146</v>
      </c>
      <c r="N513" t="s">
        <v>351</v>
      </c>
      <c r="O513" t="s">
        <v>105</v>
      </c>
    </row>
    <row r="514" spans="1:15" x14ac:dyDescent="0.35">
      <c r="A514">
        <v>60722</v>
      </c>
      <c r="B514" s="283">
        <v>44743</v>
      </c>
      <c r="C514">
        <v>3997</v>
      </c>
      <c r="D514">
        <v>2200</v>
      </c>
      <c r="E514">
        <v>100</v>
      </c>
      <c r="F514">
        <v>320</v>
      </c>
      <c r="G514">
        <v>2160</v>
      </c>
      <c r="H514" s="1">
        <v>2754.06</v>
      </c>
      <c r="I514">
        <v>0</v>
      </c>
      <c r="J514" s="283">
        <v>45412.177658182867</v>
      </c>
      <c r="K514" t="s">
        <v>3149</v>
      </c>
      <c r="L514" t="s">
        <v>3145</v>
      </c>
      <c r="M514" t="s">
        <v>3146</v>
      </c>
      <c r="N514" t="s">
        <v>351</v>
      </c>
      <c r="O514" t="s">
        <v>105</v>
      </c>
    </row>
    <row r="515" spans="1:15" x14ac:dyDescent="0.35">
      <c r="A515">
        <v>60723</v>
      </c>
      <c r="B515" s="283">
        <v>44743</v>
      </c>
      <c r="C515">
        <v>2219</v>
      </c>
      <c r="D515">
        <v>2218</v>
      </c>
      <c r="E515">
        <v>100</v>
      </c>
      <c r="F515">
        <v>320</v>
      </c>
      <c r="G515">
        <v>1200</v>
      </c>
      <c r="H515" s="1">
        <v>108700.11</v>
      </c>
      <c r="I515">
        <v>0</v>
      </c>
      <c r="J515" s="283">
        <v>45412.177658182867</v>
      </c>
      <c r="K515" t="s">
        <v>3144</v>
      </c>
      <c r="L515" t="s">
        <v>3145</v>
      </c>
      <c r="M515" t="s">
        <v>3146</v>
      </c>
      <c r="N515" t="s">
        <v>3159</v>
      </c>
      <c r="O515" t="s">
        <v>111</v>
      </c>
    </row>
    <row r="516" spans="1:15" x14ac:dyDescent="0.35">
      <c r="A516">
        <v>60724</v>
      </c>
      <c r="B516" s="283">
        <v>44743</v>
      </c>
      <c r="C516">
        <v>2219</v>
      </c>
      <c r="D516">
        <v>2218</v>
      </c>
      <c r="E516">
        <v>100</v>
      </c>
      <c r="F516">
        <v>320</v>
      </c>
      <c r="G516">
        <v>2100</v>
      </c>
      <c r="H516" s="1">
        <v>46523.76</v>
      </c>
      <c r="I516">
        <v>0</v>
      </c>
      <c r="J516" s="283">
        <v>45412.177658182867</v>
      </c>
      <c r="K516" t="s">
        <v>3147</v>
      </c>
      <c r="L516" t="s">
        <v>3145</v>
      </c>
      <c r="M516" t="s">
        <v>3146</v>
      </c>
      <c r="N516" t="s">
        <v>3159</v>
      </c>
      <c r="O516" t="s">
        <v>111</v>
      </c>
    </row>
    <row r="517" spans="1:15" x14ac:dyDescent="0.35">
      <c r="A517">
        <v>60725</v>
      </c>
      <c r="B517" s="283">
        <v>44743</v>
      </c>
      <c r="C517">
        <v>2220</v>
      </c>
      <c r="D517">
        <v>2218</v>
      </c>
      <c r="E517">
        <v>100</v>
      </c>
      <c r="F517">
        <v>320</v>
      </c>
      <c r="G517">
        <v>1200</v>
      </c>
      <c r="H517" s="1">
        <v>95420.57</v>
      </c>
      <c r="I517">
        <v>0</v>
      </c>
      <c r="J517" s="283">
        <v>45412.177658182867</v>
      </c>
      <c r="K517" t="s">
        <v>3144</v>
      </c>
      <c r="L517" t="s">
        <v>3145</v>
      </c>
      <c r="M517" t="s">
        <v>3146</v>
      </c>
      <c r="N517" t="s">
        <v>3159</v>
      </c>
      <c r="O517" t="s">
        <v>212</v>
      </c>
    </row>
    <row r="518" spans="1:15" x14ac:dyDescent="0.35">
      <c r="A518">
        <v>60726</v>
      </c>
      <c r="B518" s="283">
        <v>44743</v>
      </c>
      <c r="C518">
        <v>2220</v>
      </c>
      <c r="D518">
        <v>2218</v>
      </c>
      <c r="E518">
        <v>100</v>
      </c>
      <c r="F518">
        <v>320</v>
      </c>
      <c r="G518">
        <v>2100</v>
      </c>
      <c r="H518" s="1">
        <v>65132.12</v>
      </c>
      <c r="I518">
        <v>0</v>
      </c>
      <c r="J518" s="283">
        <v>45412.177658182867</v>
      </c>
      <c r="K518" t="s">
        <v>3147</v>
      </c>
      <c r="L518" t="s">
        <v>3145</v>
      </c>
      <c r="M518" t="s">
        <v>3146</v>
      </c>
      <c r="N518" t="s">
        <v>3159</v>
      </c>
      <c r="O518" t="s">
        <v>212</v>
      </c>
    </row>
    <row r="519" spans="1:15" x14ac:dyDescent="0.35">
      <c r="A519">
        <v>60727</v>
      </c>
      <c r="B519" s="283">
        <v>44743</v>
      </c>
      <c r="C519">
        <v>2221</v>
      </c>
      <c r="D519">
        <v>2218</v>
      </c>
      <c r="E519">
        <v>100</v>
      </c>
      <c r="F519">
        <v>320</v>
      </c>
      <c r="G519">
        <v>1200</v>
      </c>
      <c r="H519" s="1">
        <v>293617.11</v>
      </c>
      <c r="I519">
        <v>0</v>
      </c>
      <c r="J519" s="283">
        <v>45412.177658182867</v>
      </c>
      <c r="K519" t="s">
        <v>3144</v>
      </c>
      <c r="L519" t="s">
        <v>3145</v>
      </c>
      <c r="M519" t="s">
        <v>3146</v>
      </c>
      <c r="N519" t="s">
        <v>3159</v>
      </c>
      <c r="O519" t="s">
        <v>78</v>
      </c>
    </row>
    <row r="520" spans="1:15" x14ac:dyDescent="0.35">
      <c r="A520">
        <v>60728</v>
      </c>
      <c r="B520" s="283">
        <v>44743</v>
      </c>
      <c r="C520">
        <v>2221</v>
      </c>
      <c r="D520">
        <v>2218</v>
      </c>
      <c r="E520">
        <v>100</v>
      </c>
      <c r="F520">
        <v>320</v>
      </c>
      <c r="G520">
        <v>2100</v>
      </c>
      <c r="H520" s="1">
        <v>137503.01999999999</v>
      </c>
      <c r="I520">
        <v>0</v>
      </c>
      <c r="J520" s="283">
        <v>45412.177658182867</v>
      </c>
      <c r="K520" t="s">
        <v>3147</v>
      </c>
      <c r="L520" t="s">
        <v>3145</v>
      </c>
      <c r="M520" t="s">
        <v>3146</v>
      </c>
      <c r="N520" t="s">
        <v>3159</v>
      </c>
      <c r="O520" t="s">
        <v>78</v>
      </c>
    </row>
    <row r="521" spans="1:15" x14ac:dyDescent="0.35">
      <c r="A521">
        <v>60729</v>
      </c>
      <c r="B521" s="283">
        <v>44743</v>
      </c>
      <c r="C521">
        <v>2222</v>
      </c>
      <c r="D521">
        <v>2218</v>
      </c>
      <c r="E521">
        <v>100</v>
      </c>
      <c r="F521">
        <v>320</v>
      </c>
      <c r="G521">
        <v>2100</v>
      </c>
      <c r="H521" s="1">
        <v>3609.85</v>
      </c>
      <c r="I521">
        <v>0</v>
      </c>
      <c r="J521" s="283">
        <v>45412.177658182867</v>
      </c>
      <c r="K521" t="s">
        <v>3147</v>
      </c>
      <c r="L521" t="s">
        <v>3145</v>
      </c>
      <c r="M521" t="s">
        <v>3146</v>
      </c>
      <c r="N521" t="s">
        <v>3159</v>
      </c>
      <c r="O521" t="s">
        <v>206</v>
      </c>
    </row>
    <row r="522" spans="1:15" x14ac:dyDescent="0.35">
      <c r="A522">
        <v>60740</v>
      </c>
      <c r="B522" s="283">
        <v>44743</v>
      </c>
      <c r="C522">
        <v>2225</v>
      </c>
      <c r="D522">
        <v>2223</v>
      </c>
      <c r="E522">
        <v>100</v>
      </c>
      <c r="F522">
        <v>320</v>
      </c>
      <c r="G522">
        <v>1200</v>
      </c>
      <c r="H522" s="1">
        <v>11986</v>
      </c>
      <c r="I522">
        <v>0</v>
      </c>
      <c r="J522" s="283">
        <v>45412.177658182867</v>
      </c>
      <c r="K522" t="s">
        <v>3144</v>
      </c>
      <c r="L522" t="s">
        <v>3145</v>
      </c>
      <c r="M522" t="s">
        <v>3146</v>
      </c>
      <c r="N522" t="s">
        <v>613</v>
      </c>
      <c r="O522" t="s">
        <v>194</v>
      </c>
    </row>
    <row r="523" spans="1:15" x14ac:dyDescent="0.35">
      <c r="A523">
        <v>60741</v>
      </c>
      <c r="B523" s="283">
        <v>44743</v>
      </c>
      <c r="C523">
        <v>2225</v>
      </c>
      <c r="D523">
        <v>2223</v>
      </c>
      <c r="E523">
        <v>100</v>
      </c>
      <c r="F523">
        <v>320</v>
      </c>
      <c r="G523">
        <v>2100</v>
      </c>
      <c r="H523" s="1">
        <v>18725</v>
      </c>
      <c r="I523">
        <v>0</v>
      </c>
      <c r="J523" s="283">
        <v>45412.177658182867</v>
      </c>
      <c r="K523" t="s">
        <v>3147</v>
      </c>
      <c r="L523" t="s">
        <v>3145</v>
      </c>
      <c r="M523" t="s">
        <v>3146</v>
      </c>
      <c r="N523" t="s">
        <v>613</v>
      </c>
      <c r="O523" t="s">
        <v>194</v>
      </c>
    </row>
    <row r="524" spans="1:15" x14ac:dyDescent="0.35">
      <c r="A524">
        <v>60742</v>
      </c>
      <c r="B524" s="283">
        <v>44743</v>
      </c>
      <c r="C524">
        <v>2225</v>
      </c>
      <c r="D524">
        <v>2223</v>
      </c>
      <c r="E524">
        <v>100</v>
      </c>
      <c r="F524">
        <v>320</v>
      </c>
      <c r="G524">
        <v>2160</v>
      </c>
      <c r="H524" s="1">
        <v>4346</v>
      </c>
      <c r="I524">
        <v>0</v>
      </c>
      <c r="J524" s="283">
        <v>45412.177658182867</v>
      </c>
      <c r="K524" t="s">
        <v>3149</v>
      </c>
      <c r="L524" t="s">
        <v>3145</v>
      </c>
      <c r="M524" t="s">
        <v>3146</v>
      </c>
      <c r="N524" t="s">
        <v>613</v>
      </c>
      <c r="O524" t="s">
        <v>194</v>
      </c>
    </row>
    <row r="525" spans="1:15" x14ac:dyDescent="0.35">
      <c r="A525">
        <v>60747</v>
      </c>
      <c r="B525" s="283">
        <v>44743</v>
      </c>
      <c r="C525">
        <v>2229</v>
      </c>
      <c r="D525">
        <v>2223</v>
      </c>
      <c r="E525">
        <v>100</v>
      </c>
      <c r="F525">
        <v>320</v>
      </c>
      <c r="G525">
        <v>1200</v>
      </c>
      <c r="H525" s="1">
        <v>14880</v>
      </c>
      <c r="I525">
        <v>0</v>
      </c>
      <c r="J525" s="283">
        <v>45412.177658182867</v>
      </c>
      <c r="K525" t="s">
        <v>3144</v>
      </c>
      <c r="L525" t="s">
        <v>3145</v>
      </c>
      <c r="M525" t="s">
        <v>3146</v>
      </c>
      <c r="N525" t="s">
        <v>613</v>
      </c>
      <c r="O525" t="s">
        <v>73</v>
      </c>
    </row>
    <row r="526" spans="1:15" x14ac:dyDescent="0.35">
      <c r="A526">
        <v>60752</v>
      </c>
      <c r="B526" s="283">
        <v>44743</v>
      </c>
      <c r="C526">
        <v>4131</v>
      </c>
      <c r="D526">
        <v>2223</v>
      </c>
      <c r="E526">
        <v>100</v>
      </c>
      <c r="F526">
        <v>320</v>
      </c>
      <c r="G526">
        <v>1200</v>
      </c>
      <c r="H526" s="1">
        <v>108676</v>
      </c>
      <c r="I526">
        <v>0</v>
      </c>
      <c r="J526" s="283">
        <v>45412.177658182867</v>
      </c>
      <c r="K526" t="s">
        <v>3144</v>
      </c>
      <c r="L526" t="s">
        <v>3145</v>
      </c>
      <c r="M526" t="s">
        <v>3146</v>
      </c>
      <c r="N526" t="s">
        <v>613</v>
      </c>
      <c r="O526" t="s">
        <v>148</v>
      </c>
    </row>
    <row r="527" spans="1:15" x14ac:dyDescent="0.35">
      <c r="A527">
        <v>60754</v>
      </c>
      <c r="B527" s="283">
        <v>44743</v>
      </c>
      <c r="C527">
        <v>1933</v>
      </c>
      <c r="D527">
        <v>2230</v>
      </c>
      <c r="E527">
        <v>100</v>
      </c>
      <c r="F527">
        <v>320</v>
      </c>
      <c r="G527">
        <v>2100</v>
      </c>
      <c r="H527" s="1">
        <v>345309</v>
      </c>
      <c r="I527">
        <v>0</v>
      </c>
      <c r="J527" s="283">
        <v>45412.177658182867</v>
      </c>
      <c r="K527" t="s">
        <v>3147</v>
      </c>
      <c r="L527" t="s">
        <v>3145</v>
      </c>
      <c r="M527" t="s">
        <v>3146</v>
      </c>
      <c r="N527" t="s">
        <v>339</v>
      </c>
      <c r="O527" t="s">
        <v>28</v>
      </c>
    </row>
    <row r="528" spans="1:15" x14ac:dyDescent="0.35">
      <c r="A528">
        <v>60757</v>
      </c>
      <c r="B528" s="283">
        <v>44743</v>
      </c>
      <c r="C528">
        <v>1934</v>
      </c>
      <c r="D528">
        <v>2230</v>
      </c>
      <c r="E528">
        <v>100</v>
      </c>
      <c r="F528">
        <v>320</v>
      </c>
      <c r="G528">
        <v>1200</v>
      </c>
      <c r="H528" s="1">
        <v>2506</v>
      </c>
      <c r="I528">
        <v>0</v>
      </c>
      <c r="J528" s="283">
        <v>45412.177658182867</v>
      </c>
      <c r="K528" t="s">
        <v>3144</v>
      </c>
      <c r="L528" t="s">
        <v>3145</v>
      </c>
      <c r="M528" t="s">
        <v>3146</v>
      </c>
      <c r="N528" t="s">
        <v>339</v>
      </c>
      <c r="O528" t="s">
        <v>108</v>
      </c>
    </row>
    <row r="529" spans="1:15" x14ac:dyDescent="0.35">
      <c r="A529">
        <v>60758</v>
      </c>
      <c r="B529" s="283">
        <v>44743</v>
      </c>
      <c r="C529">
        <v>1934</v>
      </c>
      <c r="D529">
        <v>2230</v>
      </c>
      <c r="E529">
        <v>100</v>
      </c>
      <c r="F529">
        <v>320</v>
      </c>
      <c r="G529">
        <v>2100</v>
      </c>
      <c r="H529" s="1">
        <v>36816</v>
      </c>
      <c r="I529">
        <v>0</v>
      </c>
      <c r="J529" s="283">
        <v>45412.177658182867</v>
      </c>
      <c r="K529" t="s">
        <v>3147</v>
      </c>
      <c r="L529" t="s">
        <v>3145</v>
      </c>
      <c r="M529" t="s">
        <v>3146</v>
      </c>
      <c r="N529" t="s">
        <v>339</v>
      </c>
      <c r="O529" t="s">
        <v>108</v>
      </c>
    </row>
    <row r="530" spans="1:15" x14ac:dyDescent="0.35">
      <c r="A530">
        <v>60762</v>
      </c>
      <c r="B530" s="283">
        <v>44743</v>
      </c>
      <c r="C530">
        <v>1935</v>
      </c>
      <c r="D530">
        <v>2230</v>
      </c>
      <c r="E530">
        <v>100</v>
      </c>
      <c r="F530">
        <v>320</v>
      </c>
      <c r="G530">
        <v>1200</v>
      </c>
      <c r="H530" s="1">
        <v>585</v>
      </c>
      <c r="I530">
        <v>0</v>
      </c>
      <c r="J530" s="283">
        <v>45412.177658182867</v>
      </c>
      <c r="K530" t="s">
        <v>3144</v>
      </c>
      <c r="L530" t="s">
        <v>3145</v>
      </c>
      <c r="M530" t="s">
        <v>3146</v>
      </c>
      <c r="N530" t="s">
        <v>339</v>
      </c>
      <c r="O530" t="s">
        <v>184</v>
      </c>
    </row>
    <row r="531" spans="1:15" x14ac:dyDescent="0.35">
      <c r="A531">
        <v>60763</v>
      </c>
      <c r="B531" s="283">
        <v>44743</v>
      </c>
      <c r="C531">
        <v>1935</v>
      </c>
      <c r="D531">
        <v>2230</v>
      </c>
      <c r="E531">
        <v>100</v>
      </c>
      <c r="F531">
        <v>320</v>
      </c>
      <c r="G531">
        <v>2100</v>
      </c>
      <c r="H531" s="1">
        <v>270288</v>
      </c>
      <c r="I531">
        <v>0</v>
      </c>
      <c r="J531" s="283">
        <v>45412.177658182867</v>
      </c>
      <c r="K531" t="s">
        <v>3147</v>
      </c>
      <c r="L531" t="s">
        <v>3145</v>
      </c>
      <c r="M531" t="s">
        <v>3146</v>
      </c>
      <c r="N531" t="s">
        <v>339</v>
      </c>
      <c r="O531" t="s">
        <v>184</v>
      </c>
    </row>
    <row r="532" spans="1:15" x14ac:dyDescent="0.35">
      <c r="A532">
        <v>60764</v>
      </c>
      <c r="B532" s="283">
        <v>44743</v>
      </c>
      <c r="C532">
        <v>1935</v>
      </c>
      <c r="D532">
        <v>2230</v>
      </c>
      <c r="E532">
        <v>100</v>
      </c>
      <c r="F532">
        <v>320</v>
      </c>
      <c r="G532">
        <v>2160</v>
      </c>
      <c r="H532" s="1">
        <v>22873</v>
      </c>
      <c r="I532">
        <v>0</v>
      </c>
      <c r="J532" s="283">
        <v>45412.177658182867</v>
      </c>
      <c r="K532" t="s">
        <v>3149</v>
      </c>
      <c r="L532" t="s">
        <v>3145</v>
      </c>
      <c r="M532" t="s">
        <v>3146</v>
      </c>
      <c r="N532" t="s">
        <v>339</v>
      </c>
      <c r="O532" t="s">
        <v>184</v>
      </c>
    </row>
    <row r="533" spans="1:15" x14ac:dyDescent="0.35">
      <c r="A533">
        <v>60768</v>
      </c>
      <c r="B533" s="283">
        <v>44743</v>
      </c>
      <c r="C533">
        <v>1936</v>
      </c>
      <c r="D533">
        <v>2230</v>
      </c>
      <c r="E533">
        <v>100</v>
      </c>
      <c r="F533">
        <v>320</v>
      </c>
      <c r="G533">
        <v>1200</v>
      </c>
      <c r="H533" s="1">
        <v>21479</v>
      </c>
      <c r="I533">
        <v>0</v>
      </c>
      <c r="J533" s="283">
        <v>45412.177658182867</v>
      </c>
      <c r="K533" t="s">
        <v>3144</v>
      </c>
      <c r="L533" t="s">
        <v>3145</v>
      </c>
      <c r="M533" t="s">
        <v>3146</v>
      </c>
      <c r="N533" t="s">
        <v>339</v>
      </c>
      <c r="O533" t="s">
        <v>213</v>
      </c>
    </row>
    <row r="534" spans="1:15" x14ac:dyDescent="0.35">
      <c r="A534">
        <v>60769</v>
      </c>
      <c r="B534" s="283">
        <v>44743</v>
      </c>
      <c r="C534">
        <v>1936</v>
      </c>
      <c r="D534">
        <v>2230</v>
      </c>
      <c r="E534">
        <v>100</v>
      </c>
      <c r="F534">
        <v>320</v>
      </c>
      <c r="G534">
        <v>2100</v>
      </c>
      <c r="H534" s="1">
        <v>149174</v>
      </c>
      <c r="I534">
        <v>0</v>
      </c>
      <c r="J534" s="283">
        <v>45412.177658182867</v>
      </c>
      <c r="K534" t="s">
        <v>3147</v>
      </c>
      <c r="L534" t="s">
        <v>3145</v>
      </c>
      <c r="M534" t="s">
        <v>3146</v>
      </c>
      <c r="N534" t="s">
        <v>339</v>
      </c>
      <c r="O534" t="s">
        <v>213</v>
      </c>
    </row>
    <row r="535" spans="1:15" x14ac:dyDescent="0.35">
      <c r="A535">
        <v>60770</v>
      </c>
      <c r="B535" s="283">
        <v>44743</v>
      </c>
      <c r="C535">
        <v>1936</v>
      </c>
      <c r="D535">
        <v>2230</v>
      </c>
      <c r="E535">
        <v>100</v>
      </c>
      <c r="F535">
        <v>320</v>
      </c>
      <c r="G535">
        <v>2160</v>
      </c>
      <c r="H535" s="1">
        <v>10708</v>
      </c>
      <c r="I535">
        <v>0</v>
      </c>
      <c r="J535" s="283">
        <v>45412.177658182867</v>
      </c>
      <c r="K535" t="s">
        <v>3149</v>
      </c>
      <c r="L535" t="s">
        <v>3145</v>
      </c>
      <c r="M535" t="s">
        <v>3146</v>
      </c>
      <c r="N535" t="s">
        <v>339</v>
      </c>
      <c r="O535" t="s">
        <v>213</v>
      </c>
    </row>
    <row r="536" spans="1:15" x14ac:dyDescent="0.35">
      <c r="A536">
        <v>60773</v>
      </c>
      <c r="B536" s="283">
        <v>44743</v>
      </c>
      <c r="C536">
        <v>1944</v>
      </c>
      <c r="D536">
        <v>2230</v>
      </c>
      <c r="E536">
        <v>100</v>
      </c>
      <c r="F536">
        <v>320</v>
      </c>
      <c r="G536">
        <v>1200</v>
      </c>
      <c r="H536" s="1">
        <v>42693</v>
      </c>
      <c r="I536">
        <v>0</v>
      </c>
      <c r="J536" s="283">
        <v>45412.177658182867</v>
      </c>
      <c r="K536" t="s">
        <v>3144</v>
      </c>
      <c r="L536" t="s">
        <v>3145</v>
      </c>
      <c r="M536" t="s">
        <v>3146</v>
      </c>
      <c r="N536" t="s">
        <v>339</v>
      </c>
      <c r="O536" t="s">
        <v>182</v>
      </c>
    </row>
    <row r="537" spans="1:15" x14ac:dyDescent="0.35">
      <c r="A537">
        <v>60774</v>
      </c>
      <c r="B537" s="283">
        <v>44743</v>
      </c>
      <c r="C537">
        <v>1944</v>
      </c>
      <c r="D537">
        <v>2230</v>
      </c>
      <c r="E537">
        <v>100</v>
      </c>
      <c r="F537">
        <v>320</v>
      </c>
      <c r="G537">
        <v>2100</v>
      </c>
      <c r="H537" s="1">
        <v>263186</v>
      </c>
      <c r="I537">
        <v>0</v>
      </c>
      <c r="J537" s="283">
        <v>45412.177658182867</v>
      </c>
      <c r="K537" t="s">
        <v>3147</v>
      </c>
      <c r="L537" t="s">
        <v>3145</v>
      </c>
      <c r="M537" t="s">
        <v>3146</v>
      </c>
      <c r="N537" t="s">
        <v>339</v>
      </c>
      <c r="O537" t="s">
        <v>182</v>
      </c>
    </row>
    <row r="538" spans="1:15" x14ac:dyDescent="0.35">
      <c r="A538">
        <v>60775</v>
      </c>
      <c r="B538" s="283">
        <v>44743</v>
      </c>
      <c r="C538">
        <v>1944</v>
      </c>
      <c r="D538">
        <v>2230</v>
      </c>
      <c r="E538">
        <v>100</v>
      </c>
      <c r="F538">
        <v>320</v>
      </c>
      <c r="G538">
        <v>2160</v>
      </c>
      <c r="H538" s="1">
        <v>19184</v>
      </c>
      <c r="I538">
        <v>0</v>
      </c>
      <c r="J538" s="283">
        <v>45412.177658182867</v>
      </c>
      <c r="K538" t="s">
        <v>3149</v>
      </c>
      <c r="L538" t="s">
        <v>3145</v>
      </c>
      <c r="M538" t="s">
        <v>3146</v>
      </c>
      <c r="N538" t="s">
        <v>339</v>
      </c>
      <c r="O538" t="s">
        <v>182</v>
      </c>
    </row>
    <row r="539" spans="1:15" x14ac:dyDescent="0.35">
      <c r="A539">
        <v>60779</v>
      </c>
      <c r="B539" s="283">
        <v>44743</v>
      </c>
      <c r="C539">
        <v>1945</v>
      </c>
      <c r="D539">
        <v>2230</v>
      </c>
      <c r="E539">
        <v>100</v>
      </c>
      <c r="F539">
        <v>320</v>
      </c>
      <c r="G539">
        <v>1200</v>
      </c>
      <c r="H539" s="1">
        <v>41405</v>
      </c>
      <c r="I539">
        <v>0</v>
      </c>
      <c r="J539" s="283">
        <v>45412.177658182867</v>
      </c>
      <c r="K539" t="s">
        <v>3144</v>
      </c>
      <c r="L539" t="s">
        <v>3145</v>
      </c>
      <c r="M539" t="s">
        <v>3146</v>
      </c>
      <c r="N539" t="s">
        <v>339</v>
      </c>
      <c r="O539" t="s">
        <v>51</v>
      </c>
    </row>
    <row r="540" spans="1:15" x14ac:dyDescent="0.35">
      <c r="A540">
        <v>60780</v>
      </c>
      <c r="B540" s="283">
        <v>44743</v>
      </c>
      <c r="C540">
        <v>1945</v>
      </c>
      <c r="D540">
        <v>2230</v>
      </c>
      <c r="E540">
        <v>100</v>
      </c>
      <c r="F540">
        <v>320</v>
      </c>
      <c r="G540">
        <v>2100</v>
      </c>
      <c r="H540" s="1">
        <v>114302</v>
      </c>
      <c r="I540">
        <v>0</v>
      </c>
      <c r="J540" s="283">
        <v>45412.177658182867</v>
      </c>
      <c r="K540" t="s">
        <v>3147</v>
      </c>
      <c r="L540" t="s">
        <v>3145</v>
      </c>
      <c r="M540" t="s">
        <v>3146</v>
      </c>
      <c r="N540" t="s">
        <v>339</v>
      </c>
      <c r="O540" t="s">
        <v>51</v>
      </c>
    </row>
    <row r="541" spans="1:15" x14ac:dyDescent="0.35">
      <c r="A541">
        <v>60781</v>
      </c>
      <c r="B541" s="283">
        <v>44743</v>
      </c>
      <c r="C541">
        <v>1945</v>
      </c>
      <c r="D541">
        <v>2230</v>
      </c>
      <c r="E541">
        <v>100</v>
      </c>
      <c r="F541">
        <v>320</v>
      </c>
      <c r="G541">
        <v>2160</v>
      </c>
      <c r="H541" s="1">
        <v>32604</v>
      </c>
      <c r="I541">
        <v>0</v>
      </c>
      <c r="J541" s="283">
        <v>45412.177658182867</v>
      </c>
      <c r="K541" t="s">
        <v>3149</v>
      </c>
      <c r="L541" t="s">
        <v>3145</v>
      </c>
      <c r="M541" t="s">
        <v>3146</v>
      </c>
      <c r="N541" t="s">
        <v>339</v>
      </c>
      <c r="O541" t="s">
        <v>51</v>
      </c>
    </row>
    <row r="542" spans="1:15" x14ac:dyDescent="0.35">
      <c r="A542">
        <v>60784</v>
      </c>
      <c r="B542" s="283">
        <v>44743</v>
      </c>
      <c r="C542">
        <v>1946</v>
      </c>
      <c r="D542">
        <v>2230</v>
      </c>
      <c r="E542">
        <v>100</v>
      </c>
      <c r="F542">
        <v>320</v>
      </c>
      <c r="G542">
        <v>1200</v>
      </c>
      <c r="H542" s="1">
        <v>14965</v>
      </c>
      <c r="I542">
        <v>0</v>
      </c>
      <c r="J542" s="283">
        <v>45412.177658182867</v>
      </c>
      <c r="K542" t="s">
        <v>3144</v>
      </c>
      <c r="L542" t="s">
        <v>3145</v>
      </c>
      <c r="M542" t="s">
        <v>3146</v>
      </c>
      <c r="N542" t="s">
        <v>339</v>
      </c>
      <c r="O542" t="s">
        <v>173</v>
      </c>
    </row>
    <row r="543" spans="1:15" x14ac:dyDescent="0.35">
      <c r="A543">
        <v>60785</v>
      </c>
      <c r="B543" s="283">
        <v>44743</v>
      </c>
      <c r="C543">
        <v>1946</v>
      </c>
      <c r="D543">
        <v>2230</v>
      </c>
      <c r="E543">
        <v>100</v>
      </c>
      <c r="F543">
        <v>320</v>
      </c>
      <c r="G543">
        <v>2100</v>
      </c>
      <c r="H543" s="1">
        <v>88541</v>
      </c>
      <c r="I543">
        <v>0</v>
      </c>
      <c r="J543" s="283">
        <v>45412.177658182867</v>
      </c>
      <c r="K543" t="s">
        <v>3147</v>
      </c>
      <c r="L543" t="s">
        <v>3145</v>
      </c>
      <c r="M543" t="s">
        <v>3146</v>
      </c>
      <c r="N543" t="s">
        <v>339</v>
      </c>
      <c r="O543" t="s">
        <v>173</v>
      </c>
    </row>
    <row r="544" spans="1:15" x14ac:dyDescent="0.35">
      <c r="A544">
        <v>60786</v>
      </c>
      <c r="B544" s="283">
        <v>44743</v>
      </c>
      <c r="C544">
        <v>1946</v>
      </c>
      <c r="D544">
        <v>2230</v>
      </c>
      <c r="E544">
        <v>100</v>
      </c>
      <c r="F544">
        <v>320</v>
      </c>
      <c r="G544">
        <v>2160</v>
      </c>
      <c r="H544" s="1">
        <v>6590</v>
      </c>
      <c r="I544">
        <v>0</v>
      </c>
      <c r="J544" s="283">
        <v>45412.177658182867</v>
      </c>
      <c r="K544" t="s">
        <v>3149</v>
      </c>
      <c r="L544" t="s">
        <v>3145</v>
      </c>
      <c r="M544" t="s">
        <v>3146</v>
      </c>
      <c r="N544" t="s">
        <v>339</v>
      </c>
      <c r="O544" t="s">
        <v>173</v>
      </c>
    </row>
    <row r="545" spans="1:15" x14ac:dyDescent="0.35">
      <c r="A545">
        <v>60789</v>
      </c>
      <c r="B545" s="283">
        <v>44743</v>
      </c>
      <c r="C545">
        <v>1947</v>
      </c>
      <c r="D545">
        <v>2230</v>
      </c>
      <c r="E545">
        <v>100</v>
      </c>
      <c r="F545">
        <v>320</v>
      </c>
      <c r="G545">
        <v>2160</v>
      </c>
      <c r="H545" s="1">
        <v>12013</v>
      </c>
      <c r="I545">
        <v>0</v>
      </c>
      <c r="J545" s="283">
        <v>45412.177658182867</v>
      </c>
      <c r="K545" t="s">
        <v>3149</v>
      </c>
      <c r="L545" t="s">
        <v>3145</v>
      </c>
      <c r="M545" t="s">
        <v>3146</v>
      </c>
      <c r="N545" t="s">
        <v>339</v>
      </c>
      <c r="O545" t="s">
        <v>211</v>
      </c>
    </row>
    <row r="546" spans="1:15" x14ac:dyDescent="0.35">
      <c r="A546">
        <v>60792</v>
      </c>
      <c r="B546" s="283">
        <v>44743</v>
      </c>
      <c r="C546">
        <v>1948</v>
      </c>
      <c r="D546">
        <v>2230</v>
      </c>
      <c r="E546">
        <v>100</v>
      </c>
      <c r="F546">
        <v>320</v>
      </c>
      <c r="G546">
        <v>1200</v>
      </c>
      <c r="H546" s="1">
        <v>59027</v>
      </c>
      <c r="I546">
        <v>0</v>
      </c>
      <c r="J546" s="283">
        <v>45412.177658182867</v>
      </c>
      <c r="K546" t="s">
        <v>3144</v>
      </c>
      <c r="L546" t="s">
        <v>3145</v>
      </c>
      <c r="M546" t="s">
        <v>3146</v>
      </c>
      <c r="N546" t="s">
        <v>339</v>
      </c>
      <c r="O546" t="s">
        <v>197</v>
      </c>
    </row>
    <row r="547" spans="1:15" x14ac:dyDescent="0.35">
      <c r="A547">
        <v>60793</v>
      </c>
      <c r="B547" s="283">
        <v>44743</v>
      </c>
      <c r="C547">
        <v>1948</v>
      </c>
      <c r="D547">
        <v>2230</v>
      </c>
      <c r="E547">
        <v>100</v>
      </c>
      <c r="F547">
        <v>320</v>
      </c>
      <c r="G547">
        <v>2100</v>
      </c>
      <c r="H547" s="1">
        <v>147568</v>
      </c>
      <c r="I547">
        <v>0</v>
      </c>
      <c r="J547" s="283">
        <v>45412.177658182867</v>
      </c>
      <c r="K547" t="s">
        <v>3147</v>
      </c>
      <c r="L547" t="s">
        <v>3145</v>
      </c>
      <c r="M547" t="s">
        <v>3146</v>
      </c>
      <c r="N547" t="s">
        <v>339</v>
      </c>
      <c r="O547" t="s">
        <v>197</v>
      </c>
    </row>
    <row r="548" spans="1:15" x14ac:dyDescent="0.35">
      <c r="A548">
        <v>60794</v>
      </c>
      <c r="B548" s="283">
        <v>44743</v>
      </c>
      <c r="C548">
        <v>1948</v>
      </c>
      <c r="D548">
        <v>2230</v>
      </c>
      <c r="E548">
        <v>100</v>
      </c>
      <c r="F548">
        <v>320</v>
      </c>
      <c r="G548">
        <v>2160</v>
      </c>
      <c r="H548" s="1">
        <v>22135</v>
      </c>
      <c r="I548">
        <v>0</v>
      </c>
      <c r="J548" s="283">
        <v>45412.177658182867</v>
      </c>
      <c r="K548" t="s">
        <v>3149</v>
      </c>
      <c r="L548" t="s">
        <v>3145</v>
      </c>
      <c r="M548" t="s">
        <v>3146</v>
      </c>
      <c r="N548" t="s">
        <v>339</v>
      </c>
      <c r="O548" t="s">
        <v>197</v>
      </c>
    </row>
    <row r="549" spans="1:15" x14ac:dyDescent="0.35">
      <c r="A549">
        <v>60798</v>
      </c>
      <c r="B549" s="283">
        <v>44743</v>
      </c>
      <c r="C549">
        <v>2197</v>
      </c>
      <c r="D549">
        <v>2230</v>
      </c>
      <c r="E549">
        <v>100</v>
      </c>
      <c r="F549">
        <v>320</v>
      </c>
      <c r="G549">
        <v>1200</v>
      </c>
      <c r="H549" s="1">
        <v>56627</v>
      </c>
      <c r="I549">
        <v>0</v>
      </c>
      <c r="J549" s="283">
        <v>45412.177658182867</v>
      </c>
      <c r="K549" t="s">
        <v>3144</v>
      </c>
      <c r="L549" t="s">
        <v>3145</v>
      </c>
      <c r="M549" t="s">
        <v>3146</v>
      </c>
      <c r="N549" t="s">
        <v>339</v>
      </c>
      <c r="O549" t="s">
        <v>205</v>
      </c>
    </row>
    <row r="550" spans="1:15" x14ac:dyDescent="0.35">
      <c r="A550">
        <v>60799</v>
      </c>
      <c r="B550" s="283">
        <v>44743</v>
      </c>
      <c r="C550">
        <v>2197</v>
      </c>
      <c r="D550">
        <v>2230</v>
      </c>
      <c r="E550">
        <v>100</v>
      </c>
      <c r="F550">
        <v>320</v>
      </c>
      <c r="G550">
        <v>2100</v>
      </c>
      <c r="H550" s="1">
        <v>245701</v>
      </c>
      <c r="I550">
        <v>0</v>
      </c>
      <c r="J550" s="283">
        <v>45412.177658182867</v>
      </c>
      <c r="K550" t="s">
        <v>3147</v>
      </c>
      <c r="L550" t="s">
        <v>3145</v>
      </c>
      <c r="M550" t="s">
        <v>3146</v>
      </c>
      <c r="N550" t="s">
        <v>339</v>
      </c>
      <c r="O550" t="s">
        <v>205</v>
      </c>
    </row>
    <row r="551" spans="1:15" x14ac:dyDescent="0.35">
      <c r="A551">
        <v>60800</v>
      </c>
      <c r="B551" s="283">
        <v>44743</v>
      </c>
      <c r="C551">
        <v>2197</v>
      </c>
      <c r="D551">
        <v>2230</v>
      </c>
      <c r="E551">
        <v>100</v>
      </c>
      <c r="F551">
        <v>320</v>
      </c>
      <c r="G551">
        <v>2160</v>
      </c>
      <c r="H551" s="1">
        <v>39982</v>
      </c>
      <c r="I551">
        <v>0</v>
      </c>
      <c r="J551" s="283">
        <v>45412.177658182867</v>
      </c>
      <c r="K551" t="s">
        <v>3149</v>
      </c>
      <c r="L551" t="s">
        <v>3145</v>
      </c>
      <c r="M551" t="s">
        <v>3146</v>
      </c>
      <c r="N551" t="s">
        <v>339</v>
      </c>
      <c r="O551" t="s">
        <v>205</v>
      </c>
    </row>
    <row r="552" spans="1:15" x14ac:dyDescent="0.35">
      <c r="A552">
        <v>60801</v>
      </c>
      <c r="B552" s="283">
        <v>44743</v>
      </c>
      <c r="C552">
        <v>2198</v>
      </c>
      <c r="D552">
        <v>2230</v>
      </c>
      <c r="E552">
        <v>100</v>
      </c>
      <c r="F552">
        <v>320</v>
      </c>
      <c r="G552">
        <v>2100</v>
      </c>
      <c r="H552" s="1">
        <v>132811</v>
      </c>
      <c r="I552">
        <v>0</v>
      </c>
      <c r="J552" s="283">
        <v>45412.177658182867</v>
      </c>
      <c r="K552" t="s">
        <v>3147</v>
      </c>
      <c r="L552" t="s">
        <v>3145</v>
      </c>
      <c r="M552" t="s">
        <v>3146</v>
      </c>
      <c r="N552" t="s">
        <v>339</v>
      </c>
      <c r="O552" t="s">
        <v>138</v>
      </c>
    </row>
    <row r="553" spans="1:15" x14ac:dyDescent="0.35">
      <c r="A553">
        <v>60802</v>
      </c>
      <c r="B553" s="283">
        <v>44743</v>
      </c>
      <c r="C553">
        <v>2198</v>
      </c>
      <c r="D553">
        <v>2230</v>
      </c>
      <c r="E553">
        <v>100</v>
      </c>
      <c r="F553">
        <v>320</v>
      </c>
      <c r="G553">
        <v>2160</v>
      </c>
      <c r="H553" s="1">
        <v>8854</v>
      </c>
      <c r="I553">
        <v>0</v>
      </c>
      <c r="J553" s="283">
        <v>45412.177658182867</v>
      </c>
      <c r="K553" t="s">
        <v>3149</v>
      </c>
      <c r="L553" t="s">
        <v>3145</v>
      </c>
      <c r="M553" t="s">
        <v>3146</v>
      </c>
      <c r="N553" t="s">
        <v>339</v>
      </c>
      <c r="O553" t="s">
        <v>138</v>
      </c>
    </row>
    <row r="554" spans="1:15" x14ac:dyDescent="0.35">
      <c r="A554">
        <v>60804</v>
      </c>
      <c r="B554" s="283">
        <v>44743</v>
      </c>
      <c r="C554">
        <v>2199</v>
      </c>
      <c r="D554">
        <v>2230</v>
      </c>
      <c r="E554">
        <v>100</v>
      </c>
      <c r="F554">
        <v>320</v>
      </c>
      <c r="G554">
        <v>1200</v>
      </c>
      <c r="H554" s="1">
        <v>9987</v>
      </c>
      <c r="I554">
        <v>0</v>
      </c>
      <c r="J554" s="283">
        <v>45412.177658182867</v>
      </c>
      <c r="K554" t="s">
        <v>3144</v>
      </c>
      <c r="L554" t="s">
        <v>3145</v>
      </c>
      <c r="M554" t="s">
        <v>3146</v>
      </c>
      <c r="N554" t="s">
        <v>339</v>
      </c>
      <c r="O554" t="s">
        <v>139</v>
      </c>
    </row>
    <row r="555" spans="1:15" x14ac:dyDescent="0.35">
      <c r="A555">
        <v>60805</v>
      </c>
      <c r="B555" s="283">
        <v>44743</v>
      </c>
      <c r="C555">
        <v>2199</v>
      </c>
      <c r="D555">
        <v>2230</v>
      </c>
      <c r="E555">
        <v>100</v>
      </c>
      <c r="F555">
        <v>320</v>
      </c>
      <c r="G555">
        <v>2100</v>
      </c>
      <c r="H555" s="1">
        <v>59027</v>
      </c>
      <c r="I555">
        <v>0</v>
      </c>
      <c r="J555" s="283">
        <v>45412.177658182867</v>
      </c>
      <c r="K555" t="s">
        <v>3147</v>
      </c>
      <c r="L555" t="s">
        <v>3145</v>
      </c>
      <c r="M555" t="s">
        <v>3146</v>
      </c>
      <c r="N555" t="s">
        <v>339</v>
      </c>
      <c r="O555" t="s">
        <v>139</v>
      </c>
    </row>
    <row r="556" spans="1:15" x14ac:dyDescent="0.35">
      <c r="A556">
        <v>60806</v>
      </c>
      <c r="B556" s="283">
        <v>44743</v>
      </c>
      <c r="C556">
        <v>2199</v>
      </c>
      <c r="D556">
        <v>2230</v>
      </c>
      <c r="E556">
        <v>100</v>
      </c>
      <c r="F556">
        <v>320</v>
      </c>
      <c r="G556">
        <v>2160</v>
      </c>
      <c r="H556" s="1">
        <v>29652</v>
      </c>
      <c r="I556">
        <v>0</v>
      </c>
      <c r="J556" s="283">
        <v>45412.177658182867</v>
      </c>
      <c r="K556" t="s">
        <v>3149</v>
      </c>
      <c r="L556" t="s">
        <v>3145</v>
      </c>
      <c r="M556" t="s">
        <v>3146</v>
      </c>
      <c r="N556" t="s">
        <v>339</v>
      </c>
      <c r="O556" t="s">
        <v>139</v>
      </c>
    </row>
    <row r="557" spans="1:15" x14ac:dyDescent="0.35">
      <c r="A557">
        <v>60812</v>
      </c>
      <c r="B557" s="283">
        <v>44743</v>
      </c>
      <c r="C557">
        <v>2239</v>
      </c>
      <c r="D557">
        <v>2230</v>
      </c>
      <c r="E557">
        <v>100</v>
      </c>
      <c r="F557">
        <v>320</v>
      </c>
      <c r="G557">
        <v>1200</v>
      </c>
      <c r="H557" s="1">
        <v>95815</v>
      </c>
      <c r="I557">
        <v>0</v>
      </c>
      <c r="J557" s="283">
        <v>45412.177658182867</v>
      </c>
      <c r="K557" t="s">
        <v>3144</v>
      </c>
      <c r="L557" t="s">
        <v>3145</v>
      </c>
      <c r="M557" t="s">
        <v>3146</v>
      </c>
      <c r="N557" t="s">
        <v>339</v>
      </c>
      <c r="O557" t="s">
        <v>101</v>
      </c>
    </row>
    <row r="558" spans="1:15" x14ac:dyDescent="0.35">
      <c r="A558">
        <v>60813</v>
      </c>
      <c r="B558" s="283">
        <v>44743</v>
      </c>
      <c r="C558">
        <v>2239</v>
      </c>
      <c r="D558">
        <v>2230</v>
      </c>
      <c r="E558">
        <v>100</v>
      </c>
      <c r="F558">
        <v>320</v>
      </c>
      <c r="G558">
        <v>2100</v>
      </c>
      <c r="H558" s="1">
        <v>943504</v>
      </c>
      <c r="I558">
        <v>0</v>
      </c>
      <c r="J558" s="283">
        <v>45412.177658182867</v>
      </c>
      <c r="K558" t="s">
        <v>3147</v>
      </c>
      <c r="L558" t="s">
        <v>3145</v>
      </c>
      <c r="M558" t="s">
        <v>3146</v>
      </c>
      <c r="N558" t="s">
        <v>339</v>
      </c>
      <c r="O558" t="s">
        <v>101</v>
      </c>
    </row>
    <row r="559" spans="1:15" x14ac:dyDescent="0.35">
      <c r="A559">
        <v>60814</v>
      </c>
      <c r="B559" s="283">
        <v>44743</v>
      </c>
      <c r="C559">
        <v>2239</v>
      </c>
      <c r="D559">
        <v>2230</v>
      </c>
      <c r="E559">
        <v>100</v>
      </c>
      <c r="F559">
        <v>320</v>
      </c>
      <c r="G559">
        <v>2160</v>
      </c>
      <c r="H559" s="1">
        <v>679070</v>
      </c>
      <c r="I559">
        <v>0</v>
      </c>
      <c r="J559" s="283">
        <v>45412.177658182867</v>
      </c>
      <c r="K559" t="s">
        <v>3149</v>
      </c>
      <c r="L559" t="s">
        <v>3145</v>
      </c>
      <c r="M559" t="s">
        <v>3146</v>
      </c>
      <c r="N559" t="s">
        <v>339</v>
      </c>
      <c r="O559" t="s">
        <v>101</v>
      </c>
    </row>
    <row r="560" spans="1:15" x14ac:dyDescent="0.35">
      <c r="A560">
        <v>60818</v>
      </c>
      <c r="B560" s="283">
        <v>44743</v>
      </c>
      <c r="C560">
        <v>2240</v>
      </c>
      <c r="D560">
        <v>2230</v>
      </c>
      <c r="E560">
        <v>100</v>
      </c>
      <c r="F560">
        <v>320</v>
      </c>
      <c r="G560">
        <v>1200</v>
      </c>
      <c r="H560" s="1">
        <v>23639</v>
      </c>
      <c r="I560">
        <v>0</v>
      </c>
      <c r="J560" s="283">
        <v>45412.177658182867</v>
      </c>
      <c r="K560" t="s">
        <v>3144</v>
      </c>
      <c r="L560" t="s">
        <v>3145</v>
      </c>
      <c r="M560" t="s">
        <v>3146</v>
      </c>
      <c r="N560" t="s">
        <v>339</v>
      </c>
      <c r="O560" t="s">
        <v>33</v>
      </c>
    </row>
    <row r="561" spans="1:15" x14ac:dyDescent="0.35">
      <c r="A561">
        <v>60819</v>
      </c>
      <c r="B561" s="283">
        <v>44743</v>
      </c>
      <c r="C561">
        <v>2240</v>
      </c>
      <c r="D561">
        <v>2230</v>
      </c>
      <c r="E561">
        <v>100</v>
      </c>
      <c r="F561">
        <v>320</v>
      </c>
      <c r="G561">
        <v>2100</v>
      </c>
      <c r="H561" s="1">
        <v>44270</v>
      </c>
      <c r="I561">
        <v>0</v>
      </c>
      <c r="J561" s="283">
        <v>45412.177658182867</v>
      </c>
      <c r="K561" t="s">
        <v>3147</v>
      </c>
      <c r="L561" t="s">
        <v>3145</v>
      </c>
      <c r="M561" t="s">
        <v>3146</v>
      </c>
      <c r="N561" t="s">
        <v>339</v>
      </c>
      <c r="O561" t="s">
        <v>33</v>
      </c>
    </row>
    <row r="562" spans="1:15" x14ac:dyDescent="0.35">
      <c r="A562">
        <v>60820</v>
      </c>
      <c r="B562" s="283">
        <v>44743</v>
      </c>
      <c r="C562">
        <v>2240</v>
      </c>
      <c r="D562">
        <v>2230</v>
      </c>
      <c r="E562">
        <v>100</v>
      </c>
      <c r="F562">
        <v>320</v>
      </c>
      <c r="G562">
        <v>2160</v>
      </c>
      <c r="H562" s="1">
        <v>3090</v>
      </c>
      <c r="I562">
        <v>0</v>
      </c>
      <c r="J562" s="283">
        <v>45412.177658182867</v>
      </c>
      <c r="K562" t="s">
        <v>3149</v>
      </c>
      <c r="L562" t="s">
        <v>3145</v>
      </c>
      <c r="M562" t="s">
        <v>3146</v>
      </c>
      <c r="N562" t="s">
        <v>339</v>
      </c>
      <c r="O562" t="s">
        <v>33</v>
      </c>
    </row>
    <row r="563" spans="1:15" x14ac:dyDescent="0.35">
      <c r="A563">
        <v>60825</v>
      </c>
      <c r="B563" s="283">
        <v>44743</v>
      </c>
      <c r="C563">
        <v>2241</v>
      </c>
      <c r="D563">
        <v>2230</v>
      </c>
      <c r="E563">
        <v>100</v>
      </c>
      <c r="F563">
        <v>320</v>
      </c>
      <c r="G563">
        <v>1200</v>
      </c>
      <c r="H563" s="1">
        <v>293489</v>
      </c>
      <c r="I563">
        <v>0</v>
      </c>
      <c r="J563" s="283">
        <v>45412.177658182867</v>
      </c>
      <c r="K563" t="s">
        <v>3144</v>
      </c>
      <c r="L563" t="s">
        <v>3145</v>
      </c>
      <c r="M563" t="s">
        <v>3146</v>
      </c>
      <c r="N563" t="s">
        <v>339</v>
      </c>
      <c r="O563" t="s">
        <v>83</v>
      </c>
    </row>
    <row r="564" spans="1:15" x14ac:dyDescent="0.35">
      <c r="A564">
        <v>60826</v>
      </c>
      <c r="B564" s="283">
        <v>44743</v>
      </c>
      <c r="C564">
        <v>2241</v>
      </c>
      <c r="D564">
        <v>2230</v>
      </c>
      <c r="E564">
        <v>100</v>
      </c>
      <c r="F564">
        <v>320</v>
      </c>
      <c r="G564">
        <v>2100</v>
      </c>
      <c r="H564" s="1">
        <v>1545</v>
      </c>
      <c r="I564">
        <v>0</v>
      </c>
      <c r="J564" s="283">
        <v>45412.177658182867</v>
      </c>
      <c r="K564" t="s">
        <v>3147</v>
      </c>
      <c r="L564" t="s">
        <v>3145</v>
      </c>
      <c r="M564" t="s">
        <v>3146</v>
      </c>
      <c r="N564" t="s">
        <v>339</v>
      </c>
      <c r="O564" t="s">
        <v>83</v>
      </c>
    </row>
    <row r="565" spans="1:15" x14ac:dyDescent="0.35">
      <c r="A565">
        <v>60827</v>
      </c>
      <c r="B565" s="283">
        <v>44743</v>
      </c>
      <c r="C565">
        <v>2241</v>
      </c>
      <c r="D565">
        <v>2230</v>
      </c>
      <c r="E565">
        <v>100</v>
      </c>
      <c r="F565">
        <v>320</v>
      </c>
      <c r="G565">
        <v>2160</v>
      </c>
      <c r="H565" s="1">
        <v>7519</v>
      </c>
      <c r="I565">
        <v>0</v>
      </c>
      <c r="J565" s="283">
        <v>45412.177658182867</v>
      </c>
      <c r="K565" t="s">
        <v>3149</v>
      </c>
      <c r="L565" t="s">
        <v>3145</v>
      </c>
      <c r="M565" t="s">
        <v>3146</v>
      </c>
      <c r="N565" t="s">
        <v>339</v>
      </c>
      <c r="O565" t="s">
        <v>83</v>
      </c>
    </row>
    <row r="566" spans="1:15" x14ac:dyDescent="0.35">
      <c r="A566">
        <v>60832</v>
      </c>
      <c r="B566" s="283">
        <v>44743</v>
      </c>
      <c r="C566">
        <v>2242</v>
      </c>
      <c r="D566">
        <v>2230</v>
      </c>
      <c r="E566">
        <v>100</v>
      </c>
      <c r="F566">
        <v>320</v>
      </c>
      <c r="G566">
        <v>1200</v>
      </c>
      <c r="H566" s="1">
        <v>388397</v>
      </c>
      <c r="I566">
        <v>0</v>
      </c>
      <c r="J566" s="283">
        <v>45412.177658182867</v>
      </c>
      <c r="K566" t="s">
        <v>3144</v>
      </c>
      <c r="L566" t="s">
        <v>3145</v>
      </c>
      <c r="M566" t="s">
        <v>3146</v>
      </c>
      <c r="N566" t="s">
        <v>339</v>
      </c>
      <c r="O566" t="s">
        <v>204</v>
      </c>
    </row>
    <row r="567" spans="1:15" x14ac:dyDescent="0.35">
      <c r="A567">
        <v>60833</v>
      </c>
      <c r="B567" s="283">
        <v>44743</v>
      </c>
      <c r="C567">
        <v>2242</v>
      </c>
      <c r="D567">
        <v>2230</v>
      </c>
      <c r="E567">
        <v>100</v>
      </c>
      <c r="F567">
        <v>320</v>
      </c>
      <c r="G567">
        <v>2100</v>
      </c>
      <c r="H567" s="1">
        <v>1317472</v>
      </c>
      <c r="I567">
        <v>0</v>
      </c>
      <c r="J567" s="283">
        <v>45412.177658182867</v>
      </c>
      <c r="K567" t="s">
        <v>3147</v>
      </c>
      <c r="L567" t="s">
        <v>3145</v>
      </c>
      <c r="M567" t="s">
        <v>3146</v>
      </c>
      <c r="N567" t="s">
        <v>339</v>
      </c>
      <c r="O567" t="s">
        <v>204</v>
      </c>
    </row>
    <row r="568" spans="1:15" x14ac:dyDescent="0.35">
      <c r="A568">
        <v>60834</v>
      </c>
      <c r="B568" s="283">
        <v>44743</v>
      </c>
      <c r="C568">
        <v>2242</v>
      </c>
      <c r="D568">
        <v>2230</v>
      </c>
      <c r="E568">
        <v>100</v>
      </c>
      <c r="F568">
        <v>320</v>
      </c>
      <c r="G568">
        <v>2160</v>
      </c>
      <c r="H568" s="1">
        <v>55338</v>
      </c>
      <c r="I568">
        <v>0</v>
      </c>
      <c r="J568" s="283">
        <v>45412.177658182867</v>
      </c>
      <c r="K568" t="s">
        <v>3149</v>
      </c>
      <c r="L568" t="s">
        <v>3145</v>
      </c>
      <c r="M568" t="s">
        <v>3146</v>
      </c>
      <c r="N568" t="s">
        <v>339</v>
      </c>
      <c r="O568" t="s">
        <v>204</v>
      </c>
    </row>
    <row r="569" spans="1:15" x14ac:dyDescent="0.35">
      <c r="A569">
        <v>60838</v>
      </c>
      <c r="B569" s="283">
        <v>44743</v>
      </c>
      <c r="C569">
        <v>2243</v>
      </c>
      <c r="D569">
        <v>2230</v>
      </c>
      <c r="E569">
        <v>100</v>
      </c>
      <c r="F569">
        <v>320</v>
      </c>
      <c r="G569">
        <v>1200</v>
      </c>
      <c r="H569" s="1">
        <v>988253</v>
      </c>
      <c r="I569">
        <v>0</v>
      </c>
      <c r="J569" s="283">
        <v>45412.177658182867</v>
      </c>
      <c r="K569" t="s">
        <v>3144</v>
      </c>
      <c r="L569" t="s">
        <v>3145</v>
      </c>
      <c r="M569" t="s">
        <v>3146</v>
      </c>
      <c r="N569" t="s">
        <v>339</v>
      </c>
      <c r="O569" t="s">
        <v>34</v>
      </c>
    </row>
    <row r="570" spans="1:15" x14ac:dyDescent="0.35">
      <c r="A570">
        <v>60843</v>
      </c>
      <c r="B570" s="283">
        <v>44743</v>
      </c>
      <c r="C570">
        <v>2244</v>
      </c>
      <c r="D570">
        <v>2230</v>
      </c>
      <c r="E570">
        <v>100</v>
      </c>
      <c r="F570">
        <v>320</v>
      </c>
      <c r="G570">
        <v>1200</v>
      </c>
      <c r="H570" s="1">
        <v>79428</v>
      </c>
      <c r="I570">
        <v>0</v>
      </c>
      <c r="J570" s="283">
        <v>45412.177658182867</v>
      </c>
      <c r="K570" t="s">
        <v>3144</v>
      </c>
      <c r="L570" t="s">
        <v>3145</v>
      </c>
      <c r="M570" t="s">
        <v>3146</v>
      </c>
      <c r="N570" t="s">
        <v>339</v>
      </c>
      <c r="O570" t="s">
        <v>187</v>
      </c>
    </row>
    <row r="571" spans="1:15" x14ac:dyDescent="0.35">
      <c r="A571">
        <v>60844</v>
      </c>
      <c r="B571" s="283">
        <v>44743</v>
      </c>
      <c r="C571">
        <v>2244</v>
      </c>
      <c r="D571">
        <v>2230</v>
      </c>
      <c r="E571">
        <v>100</v>
      </c>
      <c r="F571">
        <v>320</v>
      </c>
      <c r="G571">
        <v>2100</v>
      </c>
      <c r="H571" s="1">
        <v>147568</v>
      </c>
      <c r="I571">
        <v>0</v>
      </c>
      <c r="J571" s="283">
        <v>45412.177658182867</v>
      </c>
      <c r="K571" t="s">
        <v>3147</v>
      </c>
      <c r="L571" t="s">
        <v>3145</v>
      </c>
      <c r="M571" t="s">
        <v>3146</v>
      </c>
      <c r="N571" t="s">
        <v>339</v>
      </c>
      <c r="O571" t="s">
        <v>187</v>
      </c>
    </row>
    <row r="572" spans="1:15" x14ac:dyDescent="0.35">
      <c r="A572">
        <v>60845</v>
      </c>
      <c r="B572" s="283">
        <v>44743</v>
      </c>
      <c r="C572">
        <v>2244</v>
      </c>
      <c r="D572">
        <v>2230</v>
      </c>
      <c r="E572">
        <v>100</v>
      </c>
      <c r="F572">
        <v>320</v>
      </c>
      <c r="G572">
        <v>2160</v>
      </c>
      <c r="H572" s="1">
        <v>91631</v>
      </c>
      <c r="I572">
        <v>0</v>
      </c>
      <c r="J572" s="283">
        <v>45412.177658182867</v>
      </c>
      <c r="K572" t="s">
        <v>3149</v>
      </c>
      <c r="L572" t="s">
        <v>3145</v>
      </c>
      <c r="M572" t="s">
        <v>3146</v>
      </c>
      <c r="N572" t="s">
        <v>339</v>
      </c>
      <c r="O572" t="s">
        <v>187</v>
      </c>
    </row>
    <row r="573" spans="1:15" x14ac:dyDescent="0.35">
      <c r="A573">
        <v>60850</v>
      </c>
      <c r="B573" s="283">
        <v>44743</v>
      </c>
      <c r="C573">
        <v>2262</v>
      </c>
      <c r="D573">
        <v>2230</v>
      </c>
      <c r="E573">
        <v>100</v>
      </c>
      <c r="F573">
        <v>320</v>
      </c>
      <c r="G573">
        <v>1200</v>
      </c>
      <c r="H573" s="1">
        <v>23797</v>
      </c>
      <c r="I573">
        <v>0</v>
      </c>
      <c r="J573" s="283">
        <v>45412.177658182867</v>
      </c>
      <c r="K573" t="s">
        <v>3144</v>
      </c>
      <c r="L573" t="s">
        <v>3145</v>
      </c>
      <c r="M573" t="s">
        <v>3146</v>
      </c>
      <c r="N573" t="s">
        <v>339</v>
      </c>
      <c r="O573" t="s">
        <v>116</v>
      </c>
    </row>
    <row r="574" spans="1:15" x14ac:dyDescent="0.35">
      <c r="A574">
        <v>60851</v>
      </c>
      <c r="B574" s="283">
        <v>44743</v>
      </c>
      <c r="C574">
        <v>2262</v>
      </c>
      <c r="D574">
        <v>2230</v>
      </c>
      <c r="E574">
        <v>100</v>
      </c>
      <c r="F574">
        <v>320</v>
      </c>
      <c r="G574">
        <v>2160</v>
      </c>
      <c r="H574" s="1">
        <v>8923</v>
      </c>
      <c r="I574">
        <v>0</v>
      </c>
      <c r="J574" s="283">
        <v>45412.177658182867</v>
      </c>
      <c r="K574" t="s">
        <v>3149</v>
      </c>
      <c r="L574" t="s">
        <v>3145</v>
      </c>
      <c r="M574" t="s">
        <v>3146</v>
      </c>
      <c r="N574" t="s">
        <v>339</v>
      </c>
      <c r="O574" t="s">
        <v>116</v>
      </c>
    </row>
  </sheetData>
  <autoFilter ref="B1:O574" xr:uid="{D570EFA8-F545-4B83-8062-4886A416CBCC}"/>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6ED25-8F25-4400-954D-00A69207EFD1}">
  <dimension ref="A1:M49"/>
  <sheetViews>
    <sheetView workbookViewId="0"/>
  </sheetViews>
  <sheetFormatPr defaultRowHeight="14.5" x14ac:dyDescent="0.35"/>
  <cols>
    <col min="1" max="1" width="12.81640625" bestFit="1" customWidth="1"/>
    <col min="2" max="2" width="9.81640625" bestFit="1" customWidth="1"/>
    <col min="3" max="3" width="7.453125" bestFit="1" customWidth="1"/>
    <col min="4" max="4" width="13.453125" bestFit="1" customWidth="1"/>
    <col min="5" max="5" width="10.453125" bestFit="1" customWidth="1"/>
    <col min="6" max="6" width="13.54296875" bestFit="1" customWidth="1"/>
    <col min="7" max="7" width="10.7265625" bestFit="1" customWidth="1"/>
    <col min="8" max="8" width="6.81640625" bestFit="1" customWidth="1"/>
    <col min="9" max="9" width="30.26953125" bestFit="1" customWidth="1"/>
    <col min="10" max="10" width="15.81640625" bestFit="1" customWidth="1"/>
    <col min="11" max="11" width="12.26953125" bestFit="1" customWidth="1"/>
    <col min="12" max="12" width="21.54296875" bestFit="1" customWidth="1"/>
    <col min="13" max="13" width="24.81640625" bestFit="1" customWidth="1"/>
  </cols>
  <sheetData>
    <row r="1" spans="1:13" x14ac:dyDescent="0.35">
      <c r="A1" t="s">
        <v>3131</v>
      </c>
      <c r="B1" t="s">
        <v>3132</v>
      </c>
      <c r="C1" t="s">
        <v>3133</v>
      </c>
      <c r="D1" t="s">
        <v>3134</v>
      </c>
      <c r="E1" t="s">
        <v>3135</v>
      </c>
      <c r="F1" t="s">
        <v>3136</v>
      </c>
      <c r="G1" t="s">
        <v>3137</v>
      </c>
      <c r="H1" t="s">
        <v>3138</v>
      </c>
      <c r="I1" t="s">
        <v>3139</v>
      </c>
      <c r="J1" t="s">
        <v>3140</v>
      </c>
      <c r="K1" t="s">
        <v>3141</v>
      </c>
      <c r="L1" t="s">
        <v>3142</v>
      </c>
      <c r="M1" t="s">
        <v>3143</v>
      </c>
    </row>
    <row r="2" spans="1:13" x14ac:dyDescent="0.35">
      <c r="A2">
        <v>1933</v>
      </c>
      <c r="B2">
        <v>2230</v>
      </c>
      <c r="C2">
        <v>100</v>
      </c>
      <c r="D2">
        <v>320</v>
      </c>
      <c r="E2">
        <v>2100</v>
      </c>
      <c r="F2" s="1">
        <v>345309</v>
      </c>
      <c r="G2">
        <v>0</v>
      </c>
      <c r="H2" s="283">
        <v>45412.177658182867</v>
      </c>
      <c r="I2" t="s">
        <v>3147</v>
      </c>
      <c r="J2" t="s">
        <v>3145</v>
      </c>
      <c r="K2" t="s">
        <v>3146</v>
      </c>
      <c r="L2" t="s">
        <v>339</v>
      </c>
      <c r="M2" t="s">
        <v>28</v>
      </c>
    </row>
    <row r="3" spans="1:13" x14ac:dyDescent="0.35">
      <c r="A3">
        <v>1934</v>
      </c>
      <c r="B3">
        <v>2230</v>
      </c>
      <c r="C3">
        <v>100</v>
      </c>
      <c r="D3">
        <v>320</v>
      </c>
      <c r="E3">
        <v>1200</v>
      </c>
      <c r="F3" s="1">
        <v>2506</v>
      </c>
      <c r="G3">
        <v>0</v>
      </c>
      <c r="H3" s="283">
        <v>45412.177658182867</v>
      </c>
      <c r="I3" t="s">
        <v>3144</v>
      </c>
      <c r="J3" t="s">
        <v>3145</v>
      </c>
      <c r="K3" t="s">
        <v>3146</v>
      </c>
      <c r="L3" t="s">
        <v>339</v>
      </c>
      <c r="M3" t="s">
        <v>108</v>
      </c>
    </row>
    <row r="4" spans="1:13" x14ac:dyDescent="0.35">
      <c r="A4">
        <v>1934</v>
      </c>
      <c r="B4">
        <v>2230</v>
      </c>
      <c r="C4">
        <v>100</v>
      </c>
      <c r="D4">
        <v>320</v>
      </c>
      <c r="E4">
        <v>2100</v>
      </c>
      <c r="F4" s="1">
        <v>36816</v>
      </c>
      <c r="G4">
        <v>0</v>
      </c>
      <c r="H4" s="283">
        <v>45412.177658182867</v>
      </c>
      <c r="I4" t="s">
        <v>3147</v>
      </c>
      <c r="J4" t="s">
        <v>3145</v>
      </c>
      <c r="K4" t="s">
        <v>3146</v>
      </c>
      <c r="L4" t="s">
        <v>339</v>
      </c>
      <c r="M4" t="s">
        <v>108</v>
      </c>
    </row>
    <row r="5" spans="1:13" x14ac:dyDescent="0.35">
      <c r="A5">
        <v>1935</v>
      </c>
      <c r="B5">
        <v>2230</v>
      </c>
      <c r="C5">
        <v>100</v>
      </c>
      <c r="D5">
        <v>320</v>
      </c>
      <c r="E5">
        <v>1200</v>
      </c>
      <c r="F5" s="1">
        <v>585</v>
      </c>
      <c r="G5">
        <v>0</v>
      </c>
      <c r="H5" s="283">
        <v>45412.177658182867</v>
      </c>
      <c r="I5" t="s">
        <v>3144</v>
      </c>
      <c r="J5" t="s">
        <v>3145</v>
      </c>
      <c r="K5" t="s">
        <v>3146</v>
      </c>
      <c r="L5" t="s">
        <v>339</v>
      </c>
      <c r="M5" t="s">
        <v>184</v>
      </c>
    </row>
    <row r="6" spans="1:13" x14ac:dyDescent="0.35">
      <c r="A6">
        <v>1935</v>
      </c>
      <c r="B6">
        <v>2230</v>
      </c>
      <c r="C6">
        <v>100</v>
      </c>
      <c r="D6">
        <v>320</v>
      </c>
      <c r="E6">
        <v>2100</v>
      </c>
      <c r="F6" s="1">
        <v>270288</v>
      </c>
      <c r="G6">
        <v>0</v>
      </c>
      <c r="H6" s="283">
        <v>45412.177658182867</v>
      </c>
      <c r="I6" t="s">
        <v>3147</v>
      </c>
      <c r="J6" t="s">
        <v>3145</v>
      </c>
      <c r="K6" t="s">
        <v>3146</v>
      </c>
      <c r="L6" t="s">
        <v>339</v>
      </c>
      <c r="M6" t="s">
        <v>184</v>
      </c>
    </row>
    <row r="7" spans="1:13" x14ac:dyDescent="0.35">
      <c r="A7">
        <v>1935</v>
      </c>
      <c r="B7">
        <v>2230</v>
      </c>
      <c r="C7">
        <v>100</v>
      </c>
      <c r="D7">
        <v>320</v>
      </c>
      <c r="E7">
        <v>2160</v>
      </c>
      <c r="F7" s="1">
        <v>22873</v>
      </c>
      <c r="G7">
        <v>0</v>
      </c>
      <c r="H7" s="283">
        <v>45412.177658182867</v>
      </c>
      <c r="I7" t="s">
        <v>3149</v>
      </c>
      <c r="J7" t="s">
        <v>3145</v>
      </c>
      <c r="K7" t="s">
        <v>3146</v>
      </c>
      <c r="L7" t="s">
        <v>339</v>
      </c>
      <c r="M7" t="s">
        <v>184</v>
      </c>
    </row>
    <row r="8" spans="1:13" x14ac:dyDescent="0.35">
      <c r="A8">
        <v>1936</v>
      </c>
      <c r="B8">
        <v>2230</v>
      </c>
      <c r="C8">
        <v>100</v>
      </c>
      <c r="D8">
        <v>320</v>
      </c>
      <c r="E8">
        <v>1200</v>
      </c>
      <c r="F8" s="1">
        <v>21479</v>
      </c>
      <c r="G8">
        <v>0</v>
      </c>
      <c r="H8" s="283">
        <v>45412.177658182867</v>
      </c>
      <c r="I8" t="s">
        <v>3144</v>
      </c>
      <c r="J8" t="s">
        <v>3145</v>
      </c>
      <c r="K8" t="s">
        <v>3146</v>
      </c>
      <c r="L8" t="s">
        <v>339</v>
      </c>
      <c r="M8" t="s">
        <v>213</v>
      </c>
    </row>
    <row r="9" spans="1:13" x14ac:dyDescent="0.35">
      <c r="A9">
        <v>1936</v>
      </c>
      <c r="B9">
        <v>2230</v>
      </c>
      <c r="C9">
        <v>100</v>
      </c>
      <c r="D9">
        <v>320</v>
      </c>
      <c r="E9">
        <v>2100</v>
      </c>
      <c r="F9" s="1">
        <v>149174</v>
      </c>
      <c r="G9">
        <v>0</v>
      </c>
      <c r="H9" s="283">
        <v>45412.177658182867</v>
      </c>
      <c r="I9" t="s">
        <v>3147</v>
      </c>
      <c r="J9" t="s">
        <v>3145</v>
      </c>
      <c r="K9" t="s">
        <v>3146</v>
      </c>
      <c r="L9" t="s">
        <v>339</v>
      </c>
      <c r="M9" t="s">
        <v>213</v>
      </c>
    </row>
    <row r="10" spans="1:13" x14ac:dyDescent="0.35">
      <c r="A10">
        <v>1936</v>
      </c>
      <c r="B10">
        <v>2230</v>
      </c>
      <c r="C10">
        <v>100</v>
      </c>
      <c r="D10">
        <v>320</v>
      </c>
      <c r="E10">
        <v>2160</v>
      </c>
      <c r="F10" s="1">
        <v>10708</v>
      </c>
      <c r="G10">
        <v>0</v>
      </c>
      <c r="H10" s="283">
        <v>45412.177658182867</v>
      </c>
      <c r="I10" t="s">
        <v>3149</v>
      </c>
      <c r="J10" t="s">
        <v>3145</v>
      </c>
      <c r="K10" t="s">
        <v>3146</v>
      </c>
      <c r="L10" t="s">
        <v>339</v>
      </c>
      <c r="M10" t="s">
        <v>213</v>
      </c>
    </row>
    <row r="11" spans="1:13" x14ac:dyDescent="0.35">
      <c r="A11">
        <v>1944</v>
      </c>
      <c r="B11">
        <v>2230</v>
      </c>
      <c r="C11">
        <v>100</v>
      </c>
      <c r="D11">
        <v>320</v>
      </c>
      <c r="E11">
        <v>1200</v>
      </c>
      <c r="F11" s="1">
        <v>42693</v>
      </c>
      <c r="G11">
        <v>0</v>
      </c>
      <c r="H11" s="283">
        <v>45412.177658182867</v>
      </c>
      <c r="I11" t="s">
        <v>3144</v>
      </c>
      <c r="J11" t="s">
        <v>3145</v>
      </c>
      <c r="K11" t="s">
        <v>3146</v>
      </c>
      <c r="L11" t="s">
        <v>339</v>
      </c>
      <c r="M11" t="s">
        <v>182</v>
      </c>
    </row>
    <row r="12" spans="1:13" x14ac:dyDescent="0.35">
      <c r="A12">
        <v>1944</v>
      </c>
      <c r="B12">
        <v>2230</v>
      </c>
      <c r="C12">
        <v>100</v>
      </c>
      <c r="D12">
        <v>320</v>
      </c>
      <c r="E12">
        <v>2100</v>
      </c>
      <c r="F12" s="1">
        <v>263186</v>
      </c>
      <c r="G12">
        <v>0</v>
      </c>
      <c r="H12" s="283">
        <v>45412.177658182867</v>
      </c>
      <c r="I12" t="s">
        <v>3147</v>
      </c>
      <c r="J12" t="s">
        <v>3145</v>
      </c>
      <c r="K12" t="s">
        <v>3146</v>
      </c>
      <c r="L12" t="s">
        <v>339</v>
      </c>
      <c r="M12" t="s">
        <v>182</v>
      </c>
    </row>
    <row r="13" spans="1:13" x14ac:dyDescent="0.35">
      <c r="A13">
        <v>1944</v>
      </c>
      <c r="B13">
        <v>2230</v>
      </c>
      <c r="C13">
        <v>100</v>
      </c>
      <c r="D13">
        <v>320</v>
      </c>
      <c r="E13">
        <v>2160</v>
      </c>
      <c r="F13" s="1">
        <v>19184</v>
      </c>
      <c r="G13">
        <v>0</v>
      </c>
      <c r="H13" s="283">
        <v>45412.177658182867</v>
      </c>
      <c r="I13" t="s">
        <v>3149</v>
      </c>
      <c r="J13" t="s">
        <v>3145</v>
      </c>
      <c r="K13" t="s">
        <v>3146</v>
      </c>
      <c r="L13" t="s">
        <v>339</v>
      </c>
      <c r="M13" t="s">
        <v>182</v>
      </c>
    </row>
    <row r="14" spans="1:13" x14ac:dyDescent="0.35">
      <c r="A14">
        <v>1945</v>
      </c>
      <c r="B14">
        <v>2230</v>
      </c>
      <c r="C14">
        <v>100</v>
      </c>
      <c r="D14">
        <v>320</v>
      </c>
      <c r="E14">
        <v>1200</v>
      </c>
      <c r="F14" s="1">
        <v>41405</v>
      </c>
      <c r="G14">
        <v>0</v>
      </c>
      <c r="H14" s="283">
        <v>45412.177658182867</v>
      </c>
      <c r="I14" t="s">
        <v>3144</v>
      </c>
      <c r="J14" t="s">
        <v>3145</v>
      </c>
      <c r="K14" t="s">
        <v>3146</v>
      </c>
      <c r="L14" t="s">
        <v>339</v>
      </c>
      <c r="M14" t="s">
        <v>51</v>
      </c>
    </row>
    <row r="15" spans="1:13" x14ac:dyDescent="0.35">
      <c r="A15">
        <v>1945</v>
      </c>
      <c r="B15">
        <v>2230</v>
      </c>
      <c r="C15">
        <v>100</v>
      </c>
      <c r="D15">
        <v>320</v>
      </c>
      <c r="E15">
        <v>2100</v>
      </c>
      <c r="F15" s="1">
        <v>114302</v>
      </c>
      <c r="G15">
        <v>0</v>
      </c>
      <c r="H15" s="283">
        <v>45412.177658182867</v>
      </c>
      <c r="I15" t="s">
        <v>3147</v>
      </c>
      <c r="J15" t="s">
        <v>3145</v>
      </c>
      <c r="K15" t="s">
        <v>3146</v>
      </c>
      <c r="L15" t="s">
        <v>339</v>
      </c>
      <c r="M15" t="s">
        <v>51</v>
      </c>
    </row>
    <row r="16" spans="1:13" x14ac:dyDescent="0.35">
      <c r="A16">
        <v>1945</v>
      </c>
      <c r="B16">
        <v>2230</v>
      </c>
      <c r="C16">
        <v>100</v>
      </c>
      <c r="D16">
        <v>320</v>
      </c>
      <c r="E16">
        <v>2160</v>
      </c>
      <c r="F16" s="1">
        <v>32604</v>
      </c>
      <c r="G16">
        <v>0</v>
      </c>
      <c r="H16" s="283">
        <v>45412.177658182867</v>
      </c>
      <c r="I16" t="s">
        <v>3149</v>
      </c>
      <c r="J16" t="s">
        <v>3145</v>
      </c>
      <c r="K16" t="s">
        <v>3146</v>
      </c>
      <c r="L16" t="s">
        <v>339</v>
      </c>
      <c r="M16" t="s">
        <v>51</v>
      </c>
    </row>
    <row r="17" spans="1:13" x14ac:dyDescent="0.35">
      <c r="A17">
        <v>1946</v>
      </c>
      <c r="B17">
        <v>2230</v>
      </c>
      <c r="C17">
        <v>100</v>
      </c>
      <c r="D17">
        <v>320</v>
      </c>
      <c r="E17">
        <v>1200</v>
      </c>
      <c r="F17" s="1">
        <v>14965</v>
      </c>
      <c r="G17">
        <v>0</v>
      </c>
      <c r="H17" s="283">
        <v>45412.177658182867</v>
      </c>
      <c r="I17" t="s">
        <v>3144</v>
      </c>
      <c r="J17" t="s">
        <v>3145</v>
      </c>
      <c r="K17" t="s">
        <v>3146</v>
      </c>
      <c r="L17" t="s">
        <v>339</v>
      </c>
      <c r="M17" t="s">
        <v>173</v>
      </c>
    </row>
    <row r="18" spans="1:13" x14ac:dyDescent="0.35">
      <c r="A18">
        <v>1946</v>
      </c>
      <c r="B18">
        <v>2230</v>
      </c>
      <c r="C18">
        <v>100</v>
      </c>
      <c r="D18">
        <v>320</v>
      </c>
      <c r="E18">
        <v>2100</v>
      </c>
      <c r="F18" s="1">
        <v>88541</v>
      </c>
      <c r="G18">
        <v>0</v>
      </c>
      <c r="H18" s="283">
        <v>45412.177658182867</v>
      </c>
      <c r="I18" t="s">
        <v>3147</v>
      </c>
      <c r="J18" t="s">
        <v>3145</v>
      </c>
      <c r="K18" t="s">
        <v>3146</v>
      </c>
      <c r="L18" t="s">
        <v>339</v>
      </c>
      <c r="M18" t="s">
        <v>173</v>
      </c>
    </row>
    <row r="19" spans="1:13" x14ac:dyDescent="0.35">
      <c r="A19">
        <v>1946</v>
      </c>
      <c r="B19">
        <v>2230</v>
      </c>
      <c r="C19">
        <v>100</v>
      </c>
      <c r="D19">
        <v>320</v>
      </c>
      <c r="E19">
        <v>2160</v>
      </c>
      <c r="F19" s="1">
        <v>6590</v>
      </c>
      <c r="G19">
        <v>0</v>
      </c>
      <c r="H19" s="283">
        <v>45412.177658182867</v>
      </c>
      <c r="I19" t="s">
        <v>3149</v>
      </c>
      <c r="J19" t="s">
        <v>3145</v>
      </c>
      <c r="K19" t="s">
        <v>3146</v>
      </c>
      <c r="L19" t="s">
        <v>339</v>
      </c>
      <c r="M19" t="s">
        <v>173</v>
      </c>
    </row>
    <row r="20" spans="1:13" x14ac:dyDescent="0.35">
      <c r="A20">
        <v>1947</v>
      </c>
      <c r="B20">
        <v>2230</v>
      </c>
      <c r="C20">
        <v>100</v>
      </c>
      <c r="D20">
        <v>320</v>
      </c>
      <c r="E20">
        <v>2160</v>
      </c>
      <c r="F20" s="1">
        <v>12013</v>
      </c>
      <c r="G20">
        <v>0</v>
      </c>
      <c r="H20" s="283">
        <v>45412.177658182867</v>
      </c>
      <c r="I20" t="s">
        <v>3149</v>
      </c>
      <c r="J20" t="s">
        <v>3145</v>
      </c>
      <c r="K20" t="s">
        <v>3146</v>
      </c>
      <c r="L20" t="s">
        <v>339</v>
      </c>
      <c r="M20" t="s">
        <v>211</v>
      </c>
    </row>
    <row r="21" spans="1:13" x14ac:dyDescent="0.35">
      <c r="A21">
        <v>1948</v>
      </c>
      <c r="B21">
        <v>2230</v>
      </c>
      <c r="C21">
        <v>100</v>
      </c>
      <c r="D21">
        <v>320</v>
      </c>
      <c r="E21">
        <v>1200</v>
      </c>
      <c r="F21" s="1">
        <v>59027</v>
      </c>
      <c r="G21">
        <v>0</v>
      </c>
      <c r="H21" s="283">
        <v>45412.177658182867</v>
      </c>
      <c r="I21" t="s">
        <v>3144</v>
      </c>
      <c r="J21" t="s">
        <v>3145</v>
      </c>
      <c r="K21" t="s">
        <v>3146</v>
      </c>
      <c r="L21" t="s">
        <v>339</v>
      </c>
      <c r="M21" t="s">
        <v>197</v>
      </c>
    </row>
    <row r="22" spans="1:13" x14ac:dyDescent="0.35">
      <c r="A22">
        <v>1948</v>
      </c>
      <c r="B22">
        <v>2230</v>
      </c>
      <c r="C22">
        <v>100</v>
      </c>
      <c r="D22">
        <v>320</v>
      </c>
      <c r="E22">
        <v>2100</v>
      </c>
      <c r="F22" s="1">
        <v>147568</v>
      </c>
      <c r="G22">
        <v>0</v>
      </c>
      <c r="H22" s="283">
        <v>45412.177658182867</v>
      </c>
      <c r="I22" t="s">
        <v>3147</v>
      </c>
      <c r="J22" t="s">
        <v>3145</v>
      </c>
      <c r="K22" t="s">
        <v>3146</v>
      </c>
      <c r="L22" t="s">
        <v>339</v>
      </c>
      <c r="M22" t="s">
        <v>197</v>
      </c>
    </row>
    <row r="23" spans="1:13" x14ac:dyDescent="0.35">
      <c r="A23">
        <v>1948</v>
      </c>
      <c r="B23">
        <v>2230</v>
      </c>
      <c r="C23">
        <v>100</v>
      </c>
      <c r="D23">
        <v>320</v>
      </c>
      <c r="E23">
        <v>2160</v>
      </c>
      <c r="F23" s="1">
        <v>22135</v>
      </c>
      <c r="G23">
        <v>0</v>
      </c>
      <c r="H23" s="283">
        <v>45412.177658182867</v>
      </c>
      <c r="I23" t="s">
        <v>3149</v>
      </c>
      <c r="J23" t="s">
        <v>3145</v>
      </c>
      <c r="K23" t="s">
        <v>3146</v>
      </c>
      <c r="L23" t="s">
        <v>339</v>
      </c>
      <c r="M23" t="s">
        <v>197</v>
      </c>
    </row>
    <row r="24" spans="1:13" x14ac:dyDescent="0.35">
      <c r="A24">
        <v>2197</v>
      </c>
      <c r="B24">
        <v>2230</v>
      </c>
      <c r="C24">
        <v>100</v>
      </c>
      <c r="D24">
        <v>320</v>
      </c>
      <c r="E24">
        <v>1200</v>
      </c>
      <c r="F24" s="1">
        <v>56627</v>
      </c>
      <c r="G24">
        <v>0</v>
      </c>
      <c r="H24" s="283">
        <v>45412.177658182867</v>
      </c>
      <c r="I24" t="s">
        <v>3144</v>
      </c>
      <c r="J24" t="s">
        <v>3145</v>
      </c>
      <c r="K24" t="s">
        <v>3146</v>
      </c>
      <c r="L24" t="s">
        <v>339</v>
      </c>
      <c r="M24" t="s">
        <v>205</v>
      </c>
    </row>
    <row r="25" spans="1:13" x14ac:dyDescent="0.35">
      <c r="A25">
        <v>2197</v>
      </c>
      <c r="B25">
        <v>2230</v>
      </c>
      <c r="C25">
        <v>100</v>
      </c>
      <c r="D25">
        <v>320</v>
      </c>
      <c r="E25">
        <v>2100</v>
      </c>
      <c r="F25" s="1">
        <v>245701</v>
      </c>
      <c r="G25">
        <v>0</v>
      </c>
      <c r="H25" s="283">
        <v>45412.177658182867</v>
      </c>
      <c r="I25" t="s">
        <v>3147</v>
      </c>
      <c r="J25" t="s">
        <v>3145</v>
      </c>
      <c r="K25" t="s">
        <v>3146</v>
      </c>
      <c r="L25" t="s">
        <v>339</v>
      </c>
      <c r="M25" t="s">
        <v>205</v>
      </c>
    </row>
    <row r="26" spans="1:13" x14ac:dyDescent="0.35">
      <c r="A26">
        <v>2197</v>
      </c>
      <c r="B26">
        <v>2230</v>
      </c>
      <c r="C26">
        <v>100</v>
      </c>
      <c r="D26">
        <v>320</v>
      </c>
      <c r="E26">
        <v>2160</v>
      </c>
      <c r="F26" s="1">
        <v>39982</v>
      </c>
      <c r="G26">
        <v>0</v>
      </c>
      <c r="H26" s="283">
        <v>45412.177658182867</v>
      </c>
      <c r="I26" t="s">
        <v>3149</v>
      </c>
      <c r="J26" t="s">
        <v>3145</v>
      </c>
      <c r="K26" t="s">
        <v>3146</v>
      </c>
      <c r="L26" t="s">
        <v>339</v>
      </c>
      <c r="M26" t="s">
        <v>205</v>
      </c>
    </row>
    <row r="27" spans="1:13" x14ac:dyDescent="0.35">
      <c r="A27">
        <v>2198</v>
      </c>
      <c r="B27">
        <v>2230</v>
      </c>
      <c r="C27">
        <v>100</v>
      </c>
      <c r="D27">
        <v>320</v>
      </c>
      <c r="E27">
        <v>2100</v>
      </c>
      <c r="F27" s="1">
        <v>132811</v>
      </c>
      <c r="G27">
        <v>0</v>
      </c>
      <c r="H27" s="283">
        <v>45412.177658182867</v>
      </c>
      <c r="I27" t="s">
        <v>3147</v>
      </c>
      <c r="J27" t="s">
        <v>3145</v>
      </c>
      <c r="K27" t="s">
        <v>3146</v>
      </c>
      <c r="L27" t="s">
        <v>339</v>
      </c>
      <c r="M27" t="s">
        <v>138</v>
      </c>
    </row>
    <row r="28" spans="1:13" x14ac:dyDescent="0.35">
      <c r="A28">
        <v>2198</v>
      </c>
      <c r="B28">
        <v>2230</v>
      </c>
      <c r="C28">
        <v>100</v>
      </c>
      <c r="D28">
        <v>320</v>
      </c>
      <c r="E28">
        <v>2160</v>
      </c>
      <c r="F28" s="1">
        <v>8854</v>
      </c>
      <c r="G28">
        <v>0</v>
      </c>
      <c r="H28" s="283">
        <v>45412.177658182867</v>
      </c>
      <c r="I28" t="s">
        <v>3149</v>
      </c>
      <c r="J28" t="s">
        <v>3145</v>
      </c>
      <c r="K28" t="s">
        <v>3146</v>
      </c>
      <c r="L28" t="s">
        <v>339</v>
      </c>
      <c r="M28" t="s">
        <v>138</v>
      </c>
    </row>
    <row r="29" spans="1:13" x14ac:dyDescent="0.35">
      <c r="A29">
        <v>2199</v>
      </c>
      <c r="B29">
        <v>2230</v>
      </c>
      <c r="C29">
        <v>100</v>
      </c>
      <c r="D29">
        <v>320</v>
      </c>
      <c r="E29">
        <v>1200</v>
      </c>
      <c r="F29" s="1">
        <v>9987</v>
      </c>
      <c r="G29">
        <v>0</v>
      </c>
      <c r="H29" s="283">
        <v>45412.177658182867</v>
      </c>
      <c r="I29" t="s">
        <v>3144</v>
      </c>
      <c r="J29" t="s">
        <v>3145</v>
      </c>
      <c r="K29" t="s">
        <v>3146</v>
      </c>
      <c r="L29" t="s">
        <v>339</v>
      </c>
      <c r="M29" t="s">
        <v>139</v>
      </c>
    </row>
    <row r="30" spans="1:13" x14ac:dyDescent="0.35">
      <c r="A30">
        <v>2199</v>
      </c>
      <c r="B30">
        <v>2230</v>
      </c>
      <c r="C30">
        <v>100</v>
      </c>
      <c r="D30">
        <v>320</v>
      </c>
      <c r="E30">
        <v>2100</v>
      </c>
      <c r="F30" s="1">
        <v>59027</v>
      </c>
      <c r="G30">
        <v>0</v>
      </c>
      <c r="H30" s="283">
        <v>45412.177658182867</v>
      </c>
      <c r="I30" t="s">
        <v>3147</v>
      </c>
      <c r="J30" t="s">
        <v>3145</v>
      </c>
      <c r="K30" t="s">
        <v>3146</v>
      </c>
      <c r="L30" t="s">
        <v>339</v>
      </c>
      <c r="M30" t="s">
        <v>139</v>
      </c>
    </row>
    <row r="31" spans="1:13" x14ac:dyDescent="0.35">
      <c r="A31">
        <v>2199</v>
      </c>
      <c r="B31">
        <v>2230</v>
      </c>
      <c r="C31">
        <v>100</v>
      </c>
      <c r="D31">
        <v>320</v>
      </c>
      <c r="E31">
        <v>2160</v>
      </c>
      <c r="F31" s="1">
        <v>29652</v>
      </c>
      <c r="G31">
        <v>0</v>
      </c>
      <c r="H31" s="283">
        <v>45412.177658182867</v>
      </c>
      <c r="I31" t="s">
        <v>3149</v>
      </c>
      <c r="J31" t="s">
        <v>3145</v>
      </c>
      <c r="K31" t="s">
        <v>3146</v>
      </c>
      <c r="L31" t="s">
        <v>339</v>
      </c>
      <c r="M31" t="s">
        <v>139</v>
      </c>
    </row>
    <row r="32" spans="1:13" x14ac:dyDescent="0.35">
      <c r="A32">
        <v>2239</v>
      </c>
      <c r="B32">
        <v>2230</v>
      </c>
      <c r="C32">
        <v>100</v>
      </c>
      <c r="D32">
        <v>320</v>
      </c>
      <c r="E32">
        <v>1200</v>
      </c>
      <c r="F32" s="1">
        <v>95815</v>
      </c>
      <c r="G32">
        <v>0</v>
      </c>
      <c r="H32" s="283">
        <v>45412.177658182867</v>
      </c>
      <c r="I32" t="s">
        <v>3144</v>
      </c>
      <c r="J32" t="s">
        <v>3145</v>
      </c>
      <c r="K32" t="s">
        <v>3146</v>
      </c>
      <c r="L32" t="s">
        <v>339</v>
      </c>
      <c r="M32" t="s">
        <v>101</v>
      </c>
    </row>
    <row r="33" spans="1:13" x14ac:dyDescent="0.35">
      <c r="A33">
        <v>2239</v>
      </c>
      <c r="B33">
        <v>2230</v>
      </c>
      <c r="C33">
        <v>100</v>
      </c>
      <c r="D33">
        <v>320</v>
      </c>
      <c r="E33">
        <v>2100</v>
      </c>
      <c r="F33" s="1">
        <v>943504</v>
      </c>
      <c r="G33">
        <v>0</v>
      </c>
      <c r="H33" s="283">
        <v>45412.177658182867</v>
      </c>
      <c r="I33" t="s">
        <v>3147</v>
      </c>
      <c r="J33" t="s">
        <v>3145</v>
      </c>
      <c r="K33" t="s">
        <v>3146</v>
      </c>
      <c r="L33" t="s">
        <v>339</v>
      </c>
      <c r="M33" t="s">
        <v>101</v>
      </c>
    </row>
    <row r="34" spans="1:13" x14ac:dyDescent="0.35">
      <c r="A34">
        <v>2239</v>
      </c>
      <c r="B34">
        <v>2230</v>
      </c>
      <c r="C34">
        <v>100</v>
      </c>
      <c r="D34">
        <v>320</v>
      </c>
      <c r="E34">
        <v>2160</v>
      </c>
      <c r="F34" s="1">
        <v>679070</v>
      </c>
      <c r="G34">
        <v>0</v>
      </c>
      <c r="H34" s="283">
        <v>45412.177658182867</v>
      </c>
      <c r="I34" t="s">
        <v>3149</v>
      </c>
      <c r="J34" t="s">
        <v>3145</v>
      </c>
      <c r="K34" t="s">
        <v>3146</v>
      </c>
      <c r="L34" t="s">
        <v>339</v>
      </c>
      <c r="M34" t="s">
        <v>101</v>
      </c>
    </row>
    <row r="35" spans="1:13" x14ac:dyDescent="0.35">
      <c r="A35">
        <v>2240</v>
      </c>
      <c r="B35">
        <v>2230</v>
      </c>
      <c r="C35">
        <v>100</v>
      </c>
      <c r="D35">
        <v>320</v>
      </c>
      <c r="E35">
        <v>1200</v>
      </c>
      <c r="F35" s="1">
        <v>23639</v>
      </c>
      <c r="G35">
        <v>0</v>
      </c>
      <c r="H35" s="283">
        <v>45412.177658182867</v>
      </c>
      <c r="I35" t="s">
        <v>3144</v>
      </c>
      <c r="J35" t="s">
        <v>3145</v>
      </c>
      <c r="K35" t="s">
        <v>3146</v>
      </c>
      <c r="L35" t="s">
        <v>339</v>
      </c>
      <c r="M35" t="s">
        <v>33</v>
      </c>
    </row>
    <row r="36" spans="1:13" x14ac:dyDescent="0.35">
      <c r="A36">
        <v>2240</v>
      </c>
      <c r="B36">
        <v>2230</v>
      </c>
      <c r="C36">
        <v>100</v>
      </c>
      <c r="D36">
        <v>320</v>
      </c>
      <c r="E36">
        <v>2100</v>
      </c>
      <c r="F36" s="1">
        <v>44270</v>
      </c>
      <c r="G36">
        <v>0</v>
      </c>
      <c r="H36" s="283">
        <v>45412.177658182867</v>
      </c>
      <c r="I36" t="s">
        <v>3147</v>
      </c>
      <c r="J36" t="s">
        <v>3145</v>
      </c>
      <c r="K36" t="s">
        <v>3146</v>
      </c>
      <c r="L36" t="s">
        <v>339</v>
      </c>
      <c r="M36" t="s">
        <v>33</v>
      </c>
    </row>
    <row r="37" spans="1:13" x14ac:dyDescent="0.35">
      <c r="A37">
        <v>2240</v>
      </c>
      <c r="B37">
        <v>2230</v>
      </c>
      <c r="C37">
        <v>100</v>
      </c>
      <c r="D37">
        <v>320</v>
      </c>
      <c r="E37">
        <v>2160</v>
      </c>
      <c r="F37" s="1">
        <v>3090</v>
      </c>
      <c r="G37">
        <v>0</v>
      </c>
      <c r="H37" s="283">
        <v>45412.177658182867</v>
      </c>
      <c r="I37" t="s">
        <v>3149</v>
      </c>
      <c r="J37" t="s">
        <v>3145</v>
      </c>
      <c r="K37" t="s">
        <v>3146</v>
      </c>
      <c r="L37" t="s">
        <v>339</v>
      </c>
      <c r="M37" t="s">
        <v>33</v>
      </c>
    </row>
    <row r="38" spans="1:13" x14ac:dyDescent="0.35">
      <c r="A38">
        <v>2241</v>
      </c>
      <c r="B38">
        <v>2230</v>
      </c>
      <c r="C38">
        <v>100</v>
      </c>
      <c r="D38">
        <v>320</v>
      </c>
      <c r="E38">
        <v>1200</v>
      </c>
      <c r="F38" s="1">
        <v>293489</v>
      </c>
      <c r="G38">
        <v>0</v>
      </c>
      <c r="H38" s="283">
        <v>45412.177658182867</v>
      </c>
      <c r="I38" t="s">
        <v>3144</v>
      </c>
      <c r="J38" t="s">
        <v>3145</v>
      </c>
      <c r="K38" t="s">
        <v>3146</v>
      </c>
      <c r="L38" t="s">
        <v>339</v>
      </c>
      <c r="M38" t="s">
        <v>83</v>
      </c>
    </row>
    <row r="39" spans="1:13" x14ac:dyDescent="0.35">
      <c r="A39">
        <v>2241</v>
      </c>
      <c r="B39">
        <v>2230</v>
      </c>
      <c r="C39">
        <v>100</v>
      </c>
      <c r="D39">
        <v>320</v>
      </c>
      <c r="E39">
        <v>2100</v>
      </c>
      <c r="F39" s="1">
        <v>1545</v>
      </c>
      <c r="G39">
        <v>0</v>
      </c>
      <c r="H39" s="283">
        <v>45412.177658182867</v>
      </c>
      <c r="I39" t="s">
        <v>3147</v>
      </c>
      <c r="J39" t="s">
        <v>3145</v>
      </c>
      <c r="K39" t="s">
        <v>3146</v>
      </c>
      <c r="L39" t="s">
        <v>339</v>
      </c>
      <c r="M39" t="s">
        <v>83</v>
      </c>
    </row>
    <row r="40" spans="1:13" x14ac:dyDescent="0.35">
      <c r="A40">
        <v>2241</v>
      </c>
      <c r="B40">
        <v>2230</v>
      </c>
      <c r="C40">
        <v>100</v>
      </c>
      <c r="D40">
        <v>320</v>
      </c>
      <c r="E40">
        <v>2160</v>
      </c>
      <c r="F40" s="1">
        <v>7519</v>
      </c>
      <c r="G40">
        <v>0</v>
      </c>
      <c r="H40" s="283">
        <v>45412.177658182867</v>
      </c>
      <c r="I40" t="s">
        <v>3149</v>
      </c>
      <c r="J40" t="s">
        <v>3145</v>
      </c>
      <c r="K40" t="s">
        <v>3146</v>
      </c>
      <c r="L40" t="s">
        <v>339</v>
      </c>
      <c r="M40" t="s">
        <v>83</v>
      </c>
    </row>
    <row r="41" spans="1:13" x14ac:dyDescent="0.35">
      <c r="A41">
        <v>2242</v>
      </c>
      <c r="B41">
        <v>2230</v>
      </c>
      <c r="C41">
        <v>100</v>
      </c>
      <c r="D41">
        <v>320</v>
      </c>
      <c r="E41">
        <v>1200</v>
      </c>
      <c r="F41" s="1">
        <v>388397</v>
      </c>
      <c r="G41">
        <v>0</v>
      </c>
      <c r="H41" s="283">
        <v>45412.177658182867</v>
      </c>
      <c r="I41" t="s">
        <v>3144</v>
      </c>
      <c r="J41" t="s">
        <v>3145</v>
      </c>
      <c r="K41" t="s">
        <v>3146</v>
      </c>
      <c r="L41" t="s">
        <v>339</v>
      </c>
      <c r="M41" t="s">
        <v>204</v>
      </c>
    </row>
    <row r="42" spans="1:13" x14ac:dyDescent="0.35">
      <c r="A42">
        <v>2242</v>
      </c>
      <c r="B42">
        <v>2230</v>
      </c>
      <c r="C42">
        <v>100</v>
      </c>
      <c r="D42">
        <v>320</v>
      </c>
      <c r="E42">
        <v>2100</v>
      </c>
      <c r="F42" s="1">
        <v>1317472</v>
      </c>
      <c r="G42">
        <v>0</v>
      </c>
      <c r="H42" s="283">
        <v>45412.177658182867</v>
      </c>
      <c r="I42" t="s">
        <v>3147</v>
      </c>
      <c r="J42" t="s">
        <v>3145</v>
      </c>
      <c r="K42" t="s">
        <v>3146</v>
      </c>
      <c r="L42" t="s">
        <v>339</v>
      </c>
      <c r="M42" t="s">
        <v>204</v>
      </c>
    </row>
    <row r="43" spans="1:13" x14ac:dyDescent="0.35">
      <c r="A43">
        <v>2242</v>
      </c>
      <c r="B43">
        <v>2230</v>
      </c>
      <c r="C43">
        <v>100</v>
      </c>
      <c r="D43">
        <v>320</v>
      </c>
      <c r="E43">
        <v>2160</v>
      </c>
      <c r="F43" s="1">
        <v>55338</v>
      </c>
      <c r="G43">
        <v>0</v>
      </c>
      <c r="H43" s="283">
        <v>45412.177658182867</v>
      </c>
      <c r="I43" t="s">
        <v>3149</v>
      </c>
      <c r="J43" t="s">
        <v>3145</v>
      </c>
      <c r="K43" t="s">
        <v>3146</v>
      </c>
      <c r="L43" t="s">
        <v>339</v>
      </c>
      <c r="M43" t="s">
        <v>204</v>
      </c>
    </row>
    <row r="44" spans="1:13" x14ac:dyDescent="0.35">
      <c r="A44">
        <v>2243</v>
      </c>
      <c r="B44">
        <v>2230</v>
      </c>
      <c r="C44">
        <v>100</v>
      </c>
      <c r="D44">
        <v>320</v>
      </c>
      <c r="E44">
        <v>1200</v>
      </c>
      <c r="F44" s="1">
        <v>988253</v>
      </c>
      <c r="G44">
        <v>0</v>
      </c>
      <c r="H44" s="283">
        <v>45412.177658182867</v>
      </c>
      <c r="I44" t="s">
        <v>3144</v>
      </c>
      <c r="J44" t="s">
        <v>3145</v>
      </c>
      <c r="K44" t="s">
        <v>3146</v>
      </c>
      <c r="L44" t="s">
        <v>339</v>
      </c>
      <c r="M44" t="s">
        <v>34</v>
      </c>
    </row>
    <row r="45" spans="1:13" x14ac:dyDescent="0.35">
      <c r="A45">
        <v>2244</v>
      </c>
      <c r="B45">
        <v>2230</v>
      </c>
      <c r="C45">
        <v>100</v>
      </c>
      <c r="D45">
        <v>320</v>
      </c>
      <c r="E45">
        <v>1200</v>
      </c>
      <c r="F45" s="1">
        <v>79428</v>
      </c>
      <c r="G45">
        <v>0</v>
      </c>
      <c r="H45" s="283">
        <v>45412.177658182867</v>
      </c>
      <c r="I45" t="s">
        <v>3144</v>
      </c>
      <c r="J45" t="s">
        <v>3145</v>
      </c>
      <c r="K45" t="s">
        <v>3146</v>
      </c>
      <c r="L45" t="s">
        <v>339</v>
      </c>
      <c r="M45" t="s">
        <v>187</v>
      </c>
    </row>
    <row r="46" spans="1:13" x14ac:dyDescent="0.35">
      <c r="A46">
        <v>2244</v>
      </c>
      <c r="B46">
        <v>2230</v>
      </c>
      <c r="C46">
        <v>100</v>
      </c>
      <c r="D46">
        <v>320</v>
      </c>
      <c r="E46">
        <v>2100</v>
      </c>
      <c r="F46" s="1">
        <v>147568</v>
      </c>
      <c r="G46">
        <v>0</v>
      </c>
      <c r="H46" s="283">
        <v>45412.177658182867</v>
      </c>
      <c r="I46" t="s">
        <v>3147</v>
      </c>
      <c r="J46" t="s">
        <v>3145</v>
      </c>
      <c r="K46" t="s">
        <v>3146</v>
      </c>
      <c r="L46" t="s">
        <v>339</v>
      </c>
      <c r="M46" t="s">
        <v>187</v>
      </c>
    </row>
    <row r="47" spans="1:13" x14ac:dyDescent="0.35">
      <c r="A47">
        <v>2244</v>
      </c>
      <c r="B47">
        <v>2230</v>
      </c>
      <c r="C47">
        <v>100</v>
      </c>
      <c r="D47">
        <v>320</v>
      </c>
      <c r="E47">
        <v>2160</v>
      </c>
      <c r="F47" s="1">
        <v>91631</v>
      </c>
      <c r="G47">
        <v>0</v>
      </c>
      <c r="H47" s="283">
        <v>45412.177658182867</v>
      </c>
      <c r="I47" t="s">
        <v>3149</v>
      </c>
      <c r="J47" t="s">
        <v>3145</v>
      </c>
      <c r="K47" t="s">
        <v>3146</v>
      </c>
      <c r="L47" t="s">
        <v>339</v>
      </c>
      <c r="M47" t="s">
        <v>187</v>
      </c>
    </row>
    <row r="48" spans="1:13" x14ac:dyDescent="0.35">
      <c r="A48">
        <v>2262</v>
      </c>
      <c r="B48">
        <v>2230</v>
      </c>
      <c r="C48">
        <v>100</v>
      </c>
      <c r="D48">
        <v>320</v>
      </c>
      <c r="E48">
        <v>1200</v>
      </c>
      <c r="F48" s="1">
        <v>23797</v>
      </c>
      <c r="G48">
        <v>0</v>
      </c>
      <c r="H48" s="283">
        <v>45412.177658182867</v>
      </c>
      <c r="I48" t="s">
        <v>3144</v>
      </c>
      <c r="J48" t="s">
        <v>3145</v>
      </c>
      <c r="K48" t="s">
        <v>3146</v>
      </c>
      <c r="L48" t="s">
        <v>339</v>
      </c>
      <c r="M48" t="s">
        <v>116</v>
      </c>
    </row>
    <row r="49" spans="1:13" x14ac:dyDescent="0.35">
      <c r="A49">
        <v>2262</v>
      </c>
      <c r="B49">
        <v>2230</v>
      </c>
      <c r="C49">
        <v>100</v>
      </c>
      <c r="D49">
        <v>320</v>
      </c>
      <c r="E49">
        <v>2160</v>
      </c>
      <c r="F49" s="1">
        <v>8923</v>
      </c>
      <c r="G49">
        <v>0</v>
      </c>
      <c r="H49" s="283">
        <v>45412.177658182867</v>
      </c>
      <c r="I49" t="s">
        <v>3149</v>
      </c>
      <c r="J49" t="s">
        <v>3145</v>
      </c>
      <c r="K49" t="s">
        <v>3146</v>
      </c>
      <c r="L49" t="s">
        <v>339</v>
      </c>
      <c r="M49" t="s">
        <v>116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B05AD-32B9-4E22-BB55-D2657021EA41}">
  <dimension ref="A1:O565"/>
  <sheetViews>
    <sheetView workbookViewId="0"/>
  </sheetViews>
  <sheetFormatPr defaultRowHeight="14.5" x14ac:dyDescent="0.35"/>
  <sheetData>
    <row r="1" spans="1:15" x14ac:dyDescent="0.35">
      <c r="A1" t="s">
        <v>3129</v>
      </c>
      <c r="B1" t="s">
        <v>3130</v>
      </c>
      <c r="C1" t="s">
        <v>3131</v>
      </c>
      <c r="D1" t="s">
        <v>3132</v>
      </c>
      <c r="E1" t="s">
        <v>3133</v>
      </c>
      <c r="F1" t="s">
        <v>3134</v>
      </c>
      <c r="G1" t="s">
        <v>3135</v>
      </c>
      <c r="H1" t="s">
        <v>3136</v>
      </c>
      <c r="I1" t="s">
        <v>3137</v>
      </c>
      <c r="J1" t="s">
        <v>3138</v>
      </c>
      <c r="K1" t="s">
        <v>3139</v>
      </c>
      <c r="L1" t="s">
        <v>3140</v>
      </c>
      <c r="M1" t="s">
        <v>3141</v>
      </c>
      <c r="N1" t="s">
        <v>3142</v>
      </c>
      <c r="O1" t="s">
        <v>3143</v>
      </c>
    </row>
    <row r="2" spans="1:15" x14ac:dyDescent="0.35">
      <c r="A2">
        <v>56357</v>
      </c>
      <c r="B2" s="283">
        <v>44378</v>
      </c>
      <c r="C2">
        <v>1923</v>
      </c>
      <c r="D2">
        <v>1902</v>
      </c>
      <c r="E2">
        <v>100</v>
      </c>
      <c r="F2">
        <v>320</v>
      </c>
      <c r="G2">
        <v>1200</v>
      </c>
      <c r="H2">
        <v>157202</v>
      </c>
      <c r="I2">
        <v>0</v>
      </c>
      <c r="J2" s="283">
        <v>45412.177658182867</v>
      </c>
      <c r="K2" t="s">
        <v>3144</v>
      </c>
      <c r="L2" t="s">
        <v>3145</v>
      </c>
      <c r="M2" t="s">
        <v>3146</v>
      </c>
      <c r="N2" t="s">
        <v>441</v>
      </c>
      <c r="O2" t="s">
        <v>119</v>
      </c>
    </row>
    <row r="3" spans="1:15" x14ac:dyDescent="0.35">
      <c r="A3">
        <v>56358</v>
      </c>
      <c r="B3" s="283">
        <v>44378</v>
      </c>
      <c r="C3">
        <v>1923</v>
      </c>
      <c r="D3">
        <v>1902</v>
      </c>
      <c r="E3">
        <v>100</v>
      </c>
      <c r="F3">
        <v>320</v>
      </c>
      <c r="G3">
        <v>2100</v>
      </c>
      <c r="H3">
        <v>108570</v>
      </c>
      <c r="I3">
        <v>0</v>
      </c>
      <c r="J3" s="283">
        <v>45412.177658182867</v>
      </c>
      <c r="K3" t="s">
        <v>3147</v>
      </c>
      <c r="L3" t="s">
        <v>3145</v>
      </c>
      <c r="M3" t="s">
        <v>3146</v>
      </c>
      <c r="N3" t="s">
        <v>441</v>
      </c>
      <c r="O3" t="s">
        <v>119</v>
      </c>
    </row>
    <row r="4" spans="1:15" x14ac:dyDescent="0.35">
      <c r="A4">
        <v>56359</v>
      </c>
      <c r="B4" s="283">
        <v>44378</v>
      </c>
      <c r="C4">
        <v>1923</v>
      </c>
      <c r="D4">
        <v>1902</v>
      </c>
      <c r="E4">
        <v>100</v>
      </c>
      <c r="F4">
        <v>320</v>
      </c>
      <c r="G4">
        <v>2550</v>
      </c>
      <c r="H4">
        <v>65</v>
      </c>
      <c r="I4">
        <v>0</v>
      </c>
      <c r="J4" s="283">
        <v>45412.177658182867</v>
      </c>
      <c r="K4" t="s">
        <v>3148</v>
      </c>
      <c r="L4" t="s">
        <v>3145</v>
      </c>
      <c r="M4" t="s">
        <v>3146</v>
      </c>
      <c r="N4" t="s">
        <v>441</v>
      </c>
      <c r="O4" t="s">
        <v>119</v>
      </c>
    </row>
    <row r="5" spans="1:15" x14ac:dyDescent="0.35">
      <c r="A5">
        <v>56369</v>
      </c>
      <c r="B5" s="283">
        <v>44378</v>
      </c>
      <c r="C5">
        <v>1924</v>
      </c>
      <c r="D5">
        <v>1902</v>
      </c>
      <c r="E5">
        <v>100</v>
      </c>
      <c r="F5">
        <v>320</v>
      </c>
      <c r="G5">
        <v>1200</v>
      </c>
      <c r="H5">
        <v>2633232</v>
      </c>
      <c r="I5">
        <v>0</v>
      </c>
      <c r="J5" s="283">
        <v>45412.177658182867</v>
      </c>
      <c r="K5" t="s">
        <v>3144</v>
      </c>
      <c r="L5" t="s">
        <v>3145</v>
      </c>
      <c r="M5" t="s">
        <v>3146</v>
      </c>
      <c r="N5" t="s">
        <v>441</v>
      </c>
      <c r="O5" t="s">
        <v>142</v>
      </c>
    </row>
    <row r="6" spans="1:15" x14ac:dyDescent="0.35">
      <c r="A6">
        <v>56370</v>
      </c>
      <c r="B6" s="283">
        <v>44378</v>
      </c>
      <c r="C6">
        <v>1924</v>
      </c>
      <c r="D6">
        <v>1902</v>
      </c>
      <c r="E6">
        <v>100</v>
      </c>
      <c r="F6">
        <v>320</v>
      </c>
      <c r="G6">
        <v>2550</v>
      </c>
      <c r="H6">
        <v>1126</v>
      </c>
      <c r="I6">
        <v>0</v>
      </c>
      <c r="J6" s="283">
        <v>45412.177658182867</v>
      </c>
      <c r="K6" t="s">
        <v>3148</v>
      </c>
      <c r="L6" t="s">
        <v>3145</v>
      </c>
      <c r="M6" t="s">
        <v>3146</v>
      </c>
      <c r="N6" t="s">
        <v>441</v>
      </c>
      <c r="O6" t="s">
        <v>142</v>
      </c>
    </row>
    <row r="7" spans="1:15" x14ac:dyDescent="0.35">
      <c r="A7">
        <v>56383</v>
      </c>
      <c r="B7" s="283">
        <v>44378</v>
      </c>
      <c r="C7">
        <v>1925</v>
      </c>
      <c r="D7">
        <v>1902</v>
      </c>
      <c r="E7">
        <v>100</v>
      </c>
      <c r="F7">
        <v>320</v>
      </c>
      <c r="G7">
        <v>1200</v>
      </c>
      <c r="H7">
        <v>400612</v>
      </c>
      <c r="I7">
        <v>0</v>
      </c>
      <c r="J7" s="283">
        <v>45412.177658182867</v>
      </c>
      <c r="K7" t="s">
        <v>3144</v>
      </c>
      <c r="L7" t="s">
        <v>3145</v>
      </c>
      <c r="M7" t="s">
        <v>3146</v>
      </c>
      <c r="N7" t="s">
        <v>441</v>
      </c>
      <c r="O7" t="s">
        <v>132</v>
      </c>
    </row>
    <row r="8" spans="1:15" x14ac:dyDescent="0.35">
      <c r="A8">
        <v>56384</v>
      </c>
      <c r="B8" s="283">
        <v>44378</v>
      </c>
      <c r="C8">
        <v>1925</v>
      </c>
      <c r="D8">
        <v>1902</v>
      </c>
      <c r="E8">
        <v>100</v>
      </c>
      <c r="F8">
        <v>320</v>
      </c>
      <c r="G8">
        <v>2100</v>
      </c>
      <c r="H8">
        <v>102350</v>
      </c>
      <c r="I8">
        <v>0</v>
      </c>
      <c r="J8" s="283">
        <v>45412.177658182867</v>
      </c>
      <c r="K8" t="s">
        <v>3147</v>
      </c>
      <c r="L8" t="s">
        <v>3145</v>
      </c>
      <c r="M8" t="s">
        <v>3146</v>
      </c>
      <c r="N8" t="s">
        <v>441</v>
      </c>
      <c r="O8" t="s">
        <v>132</v>
      </c>
    </row>
    <row r="9" spans="1:15" x14ac:dyDescent="0.35">
      <c r="A9">
        <v>56385</v>
      </c>
      <c r="B9" s="283">
        <v>44378</v>
      </c>
      <c r="C9">
        <v>1925</v>
      </c>
      <c r="D9">
        <v>1902</v>
      </c>
      <c r="E9">
        <v>100</v>
      </c>
      <c r="F9">
        <v>320</v>
      </c>
      <c r="G9">
        <v>2550</v>
      </c>
      <c r="H9">
        <v>170</v>
      </c>
      <c r="I9">
        <v>0</v>
      </c>
      <c r="J9" s="283">
        <v>45412.177658182867</v>
      </c>
      <c r="K9" t="s">
        <v>3148</v>
      </c>
      <c r="L9" t="s">
        <v>3145</v>
      </c>
      <c r="M9" t="s">
        <v>3146</v>
      </c>
      <c r="N9" t="s">
        <v>441</v>
      </c>
      <c r="O9" t="s">
        <v>132</v>
      </c>
    </row>
    <row r="10" spans="1:15" x14ac:dyDescent="0.35">
      <c r="A10">
        <v>56398</v>
      </c>
      <c r="B10" s="283">
        <v>44378</v>
      </c>
      <c r="C10">
        <v>1926</v>
      </c>
      <c r="D10">
        <v>1902</v>
      </c>
      <c r="E10">
        <v>100</v>
      </c>
      <c r="F10">
        <v>320</v>
      </c>
      <c r="G10">
        <v>1200</v>
      </c>
      <c r="H10">
        <v>785791</v>
      </c>
      <c r="I10">
        <v>0</v>
      </c>
      <c r="J10" s="283">
        <v>45412.177658182867</v>
      </c>
      <c r="K10" t="s">
        <v>3144</v>
      </c>
      <c r="L10" t="s">
        <v>3145</v>
      </c>
      <c r="M10" t="s">
        <v>3146</v>
      </c>
      <c r="N10" t="s">
        <v>441</v>
      </c>
      <c r="O10" t="s">
        <v>154</v>
      </c>
    </row>
    <row r="11" spans="1:15" x14ac:dyDescent="0.35">
      <c r="A11">
        <v>56399</v>
      </c>
      <c r="B11" s="283">
        <v>44378</v>
      </c>
      <c r="C11">
        <v>1926</v>
      </c>
      <c r="D11">
        <v>1902</v>
      </c>
      <c r="E11">
        <v>100</v>
      </c>
      <c r="F11">
        <v>320</v>
      </c>
      <c r="G11">
        <v>2100</v>
      </c>
      <c r="H11">
        <v>136450</v>
      </c>
      <c r="I11">
        <v>0</v>
      </c>
      <c r="J11" s="283">
        <v>45412.177658182867</v>
      </c>
      <c r="K11" t="s">
        <v>3147</v>
      </c>
      <c r="L11" t="s">
        <v>3145</v>
      </c>
      <c r="M11" t="s">
        <v>3146</v>
      </c>
      <c r="N11" t="s">
        <v>441</v>
      </c>
      <c r="O11" t="s">
        <v>154</v>
      </c>
    </row>
    <row r="12" spans="1:15" x14ac:dyDescent="0.35">
      <c r="A12">
        <v>56400</v>
      </c>
      <c r="B12" s="283">
        <v>44378</v>
      </c>
      <c r="C12">
        <v>1926</v>
      </c>
      <c r="D12">
        <v>1902</v>
      </c>
      <c r="E12">
        <v>100</v>
      </c>
      <c r="F12">
        <v>320</v>
      </c>
      <c r="G12">
        <v>2550</v>
      </c>
      <c r="H12">
        <v>336</v>
      </c>
      <c r="I12">
        <v>0</v>
      </c>
      <c r="J12" s="283">
        <v>45412.177658182867</v>
      </c>
      <c r="K12" t="s">
        <v>3148</v>
      </c>
      <c r="L12" t="s">
        <v>3145</v>
      </c>
      <c r="M12" t="s">
        <v>3146</v>
      </c>
      <c r="N12" t="s">
        <v>441</v>
      </c>
      <c r="O12" t="s">
        <v>154</v>
      </c>
    </row>
    <row r="13" spans="1:15" x14ac:dyDescent="0.35">
      <c r="A13">
        <v>56414</v>
      </c>
      <c r="B13" s="283">
        <v>44378</v>
      </c>
      <c r="C13">
        <v>1927</v>
      </c>
      <c r="D13">
        <v>1902</v>
      </c>
      <c r="E13">
        <v>100</v>
      </c>
      <c r="F13">
        <v>320</v>
      </c>
      <c r="G13">
        <v>2100</v>
      </c>
      <c r="H13">
        <v>16200</v>
      </c>
      <c r="I13">
        <v>0</v>
      </c>
      <c r="J13" s="283">
        <v>45412.177658182867</v>
      </c>
      <c r="K13" t="s">
        <v>3147</v>
      </c>
      <c r="L13" t="s">
        <v>3145</v>
      </c>
      <c r="M13" t="s">
        <v>3146</v>
      </c>
      <c r="N13" t="s">
        <v>441</v>
      </c>
      <c r="O13" t="s">
        <v>52</v>
      </c>
    </row>
    <row r="14" spans="1:15" x14ac:dyDescent="0.35">
      <c r="A14">
        <v>56426</v>
      </c>
      <c r="B14" s="283">
        <v>44378</v>
      </c>
      <c r="C14">
        <v>1928</v>
      </c>
      <c r="D14">
        <v>1902</v>
      </c>
      <c r="E14">
        <v>100</v>
      </c>
      <c r="F14">
        <v>320</v>
      </c>
      <c r="G14">
        <v>1200</v>
      </c>
      <c r="H14">
        <v>1151146</v>
      </c>
      <c r="I14">
        <v>0</v>
      </c>
      <c r="J14" s="283">
        <v>45412.177658182867</v>
      </c>
      <c r="K14" t="s">
        <v>3144</v>
      </c>
      <c r="L14" t="s">
        <v>3145</v>
      </c>
      <c r="M14" t="s">
        <v>3146</v>
      </c>
      <c r="N14" t="s">
        <v>441</v>
      </c>
      <c r="O14" t="s">
        <v>153</v>
      </c>
    </row>
    <row r="15" spans="1:15" x14ac:dyDescent="0.35">
      <c r="A15">
        <v>56427</v>
      </c>
      <c r="B15" s="283">
        <v>44378</v>
      </c>
      <c r="C15">
        <v>1928</v>
      </c>
      <c r="D15">
        <v>1902</v>
      </c>
      <c r="E15">
        <v>100</v>
      </c>
      <c r="F15">
        <v>320</v>
      </c>
      <c r="G15">
        <v>2100</v>
      </c>
      <c r="H15">
        <v>273760</v>
      </c>
      <c r="I15">
        <v>0</v>
      </c>
      <c r="J15" s="283">
        <v>45412.177658182867</v>
      </c>
      <c r="K15" t="s">
        <v>3147</v>
      </c>
      <c r="L15" t="s">
        <v>3145</v>
      </c>
      <c r="M15" t="s">
        <v>3146</v>
      </c>
      <c r="N15" t="s">
        <v>441</v>
      </c>
      <c r="O15" t="s">
        <v>153</v>
      </c>
    </row>
    <row r="16" spans="1:15" x14ac:dyDescent="0.35">
      <c r="A16">
        <v>56428</v>
      </c>
      <c r="B16" s="283">
        <v>44378</v>
      </c>
      <c r="C16">
        <v>1928</v>
      </c>
      <c r="D16">
        <v>1902</v>
      </c>
      <c r="E16">
        <v>100</v>
      </c>
      <c r="F16">
        <v>320</v>
      </c>
      <c r="G16">
        <v>2550</v>
      </c>
      <c r="H16">
        <v>489</v>
      </c>
      <c r="I16">
        <v>0</v>
      </c>
      <c r="J16" s="283">
        <v>45412.177658182867</v>
      </c>
      <c r="K16" t="s">
        <v>3148</v>
      </c>
      <c r="L16" t="s">
        <v>3145</v>
      </c>
      <c r="M16" t="s">
        <v>3146</v>
      </c>
      <c r="N16" t="s">
        <v>441</v>
      </c>
      <c r="O16" t="s">
        <v>153</v>
      </c>
    </row>
    <row r="17" spans="1:15" x14ac:dyDescent="0.35">
      <c r="A17">
        <v>56440</v>
      </c>
      <c r="B17" s="283">
        <v>44378</v>
      </c>
      <c r="C17">
        <v>1929</v>
      </c>
      <c r="D17">
        <v>1902</v>
      </c>
      <c r="E17">
        <v>100</v>
      </c>
      <c r="F17">
        <v>320</v>
      </c>
      <c r="G17">
        <v>1200</v>
      </c>
      <c r="H17">
        <v>833863</v>
      </c>
      <c r="I17">
        <v>0</v>
      </c>
      <c r="J17" s="283">
        <v>45412.177658182867</v>
      </c>
      <c r="K17" t="s">
        <v>3144</v>
      </c>
      <c r="L17" t="s">
        <v>3145</v>
      </c>
      <c r="M17" t="s">
        <v>3146</v>
      </c>
      <c r="N17" t="s">
        <v>441</v>
      </c>
      <c r="O17" t="s">
        <v>44</v>
      </c>
    </row>
    <row r="18" spans="1:15" x14ac:dyDescent="0.35">
      <c r="A18">
        <v>56441</v>
      </c>
      <c r="B18" s="283">
        <v>44378</v>
      </c>
      <c r="C18">
        <v>1929</v>
      </c>
      <c r="D18">
        <v>1902</v>
      </c>
      <c r="E18">
        <v>100</v>
      </c>
      <c r="F18">
        <v>320</v>
      </c>
      <c r="G18">
        <v>2100</v>
      </c>
      <c r="H18">
        <v>156360</v>
      </c>
      <c r="I18">
        <v>0</v>
      </c>
      <c r="J18" s="283">
        <v>45412.177658182867</v>
      </c>
      <c r="K18" t="s">
        <v>3147</v>
      </c>
      <c r="L18" t="s">
        <v>3145</v>
      </c>
      <c r="M18" t="s">
        <v>3146</v>
      </c>
      <c r="N18" t="s">
        <v>441</v>
      </c>
      <c r="O18" t="s">
        <v>44</v>
      </c>
    </row>
    <row r="19" spans="1:15" x14ac:dyDescent="0.35">
      <c r="A19">
        <v>56442</v>
      </c>
      <c r="B19" s="283">
        <v>44378</v>
      </c>
      <c r="C19">
        <v>1929</v>
      </c>
      <c r="D19">
        <v>1902</v>
      </c>
      <c r="E19">
        <v>100</v>
      </c>
      <c r="F19">
        <v>320</v>
      </c>
      <c r="G19">
        <v>2550</v>
      </c>
      <c r="H19">
        <v>357</v>
      </c>
      <c r="I19">
        <v>0</v>
      </c>
      <c r="J19" s="283">
        <v>45412.177658182867</v>
      </c>
      <c r="K19" t="s">
        <v>3148</v>
      </c>
      <c r="L19" t="s">
        <v>3145</v>
      </c>
      <c r="M19" t="s">
        <v>3146</v>
      </c>
      <c r="N19" t="s">
        <v>441</v>
      </c>
      <c r="O19" t="s">
        <v>44</v>
      </c>
    </row>
    <row r="20" spans="1:15" x14ac:dyDescent="0.35">
      <c r="A20">
        <v>56457</v>
      </c>
      <c r="B20" s="283">
        <v>44378</v>
      </c>
      <c r="C20">
        <v>1930</v>
      </c>
      <c r="D20">
        <v>1902</v>
      </c>
      <c r="E20">
        <v>100</v>
      </c>
      <c r="F20">
        <v>320</v>
      </c>
      <c r="G20">
        <v>1200</v>
      </c>
      <c r="H20">
        <v>109070</v>
      </c>
      <c r="I20">
        <v>0</v>
      </c>
      <c r="J20" s="283">
        <v>45412.177658182867</v>
      </c>
      <c r="K20" t="s">
        <v>3144</v>
      </c>
      <c r="L20" t="s">
        <v>3145</v>
      </c>
      <c r="M20" t="s">
        <v>3146</v>
      </c>
      <c r="N20" t="s">
        <v>441</v>
      </c>
      <c r="O20" t="s">
        <v>79</v>
      </c>
    </row>
    <row r="21" spans="1:15" x14ac:dyDescent="0.35">
      <c r="A21">
        <v>56458</v>
      </c>
      <c r="B21" s="283">
        <v>44378</v>
      </c>
      <c r="C21">
        <v>1930</v>
      </c>
      <c r="D21">
        <v>1902</v>
      </c>
      <c r="E21">
        <v>100</v>
      </c>
      <c r="F21">
        <v>320</v>
      </c>
      <c r="G21">
        <v>2100</v>
      </c>
      <c r="H21">
        <v>76700</v>
      </c>
      <c r="I21">
        <v>0</v>
      </c>
      <c r="J21" s="283">
        <v>45412.177658182867</v>
      </c>
      <c r="K21" t="s">
        <v>3147</v>
      </c>
      <c r="L21" t="s">
        <v>3145</v>
      </c>
      <c r="M21" t="s">
        <v>3146</v>
      </c>
      <c r="N21" t="s">
        <v>441</v>
      </c>
      <c r="O21" t="s">
        <v>79</v>
      </c>
    </row>
    <row r="22" spans="1:15" x14ac:dyDescent="0.35">
      <c r="A22">
        <v>56459</v>
      </c>
      <c r="B22" s="283">
        <v>44378</v>
      </c>
      <c r="C22">
        <v>1930</v>
      </c>
      <c r="D22">
        <v>1902</v>
      </c>
      <c r="E22">
        <v>100</v>
      </c>
      <c r="F22">
        <v>320</v>
      </c>
      <c r="G22">
        <v>2550</v>
      </c>
      <c r="H22">
        <v>46</v>
      </c>
      <c r="I22">
        <v>0</v>
      </c>
      <c r="J22" s="283">
        <v>45412.177658182867</v>
      </c>
      <c r="K22" t="s">
        <v>3148</v>
      </c>
      <c r="L22" t="s">
        <v>3145</v>
      </c>
      <c r="M22" t="s">
        <v>3146</v>
      </c>
      <c r="N22" t="s">
        <v>441</v>
      </c>
      <c r="O22" t="s">
        <v>79</v>
      </c>
    </row>
    <row r="23" spans="1:15" x14ac:dyDescent="0.35">
      <c r="A23">
        <v>56471</v>
      </c>
      <c r="B23" s="283">
        <v>44378</v>
      </c>
      <c r="C23">
        <v>1931</v>
      </c>
      <c r="D23">
        <v>1902</v>
      </c>
      <c r="E23">
        <v>100</v>
      </c>
      <c r="F23">
        <v>320</v>
      </c>
      <c r="G23">
        <v>1200</v>
      </c>
      <c r="H23">
        <v>230097</v>
      </c>
      <c r="I23">
        <v>0</v>
      </c>
      <c r="J23" s="283">
        <v>45412.177658182867</v>
      </c>
      <c r="K23" t="s">
        <v>3144</v>
      </c>
      <c r="L23" t="s">
        <v>3145</v>
      </c>
      <c r="M23" t="s">
        <v>3146</v>
      </c>
      <c r="N23" t="s">
        <v>441</v>
      </c>
      <c r="O23" t="s">
        <v>88</v>
      </c>
    </row>
    <row r="24" spans="1:15" x14ac:dyDescent="0.35">
      <c r="A24">
        <v>56472</v>
      </c>
      <c r="B24" s="283">
        <v>44378</v>
      </c>
      <c r="C24">
        <v>1931</v>
      </c>
      <c r="D24">
        <v>1902</v>
      </c>
      <c r="E24">
        <v>100</v>
      </c>
      <c r="F24">
        <v>320</v>
      </c>
      <c r="G24">
        <v>2100</v>
      </c>
      <c r="H24">
        <v>63310</v>
      </c>
      <c r="I24">
        <v>0</v>
      </c>
      <c r="J24" s="283">
        <v>45412.177658182867</v>
      </c>
      <c r="K24" t="s">
        <v>3147</v>
      </c>
      <c r="L24" t="s">
        <v>3145</v>
      </c>
      <c r="M24" t="s">
        <v>3146</v>
      </c>
      <c r="N24" t="s">
        <v>441</v>
      </c>
      <c r="O24" t="s">
        <v>88</v>
      </c>
    </row>
    <row r="25" spans="1:15" x14ac:dyDescent="0.35">
      <c r="A25">
        <v>56473</v>
      </c>
      <c r="B25" s="283">
        <v>44378</v>
      </c>
      <c r="C25">
        <v>1931</v>
      </c>
      <c r="D25">
        <v>1902</v>
      </c>
      <c r="E25">
        <v>100</v>
      </c>
      <c r="F25">
        <v>320</v>
      </c>
      <c r="G25">
        <v>2550</v>
      </c>
      <c r="H25">
        <v>98</v>
      </c>
      <c r="I25">
        <v>0</v>
      </c>
      <c r="J25" s="283">
        <v>45412.177658182867</v>
      </c>
      <c r="K25" t="s">
        <v>3148</v>
      </c>
      <c r="L25" t="s">
        <v>3145</v>
      </c>
      <c r="M25" t="s">
        <v>3146</v>
      </c>
      <c r="N25" t="s">
        <v>441</v>
      </c>
      <c r="O25" t="s">
        <v>88</v>
      </c>
    </row>
    <row r="26" spans="1:15" x14ac:dyDescent="0.35">
      <c r="A26">
        <v>56483</v>
      </c>
      <c r="B26" s="283">
        <v>44378</v>
      </c>
      <c r="C26">
        <v>1964</v>
      </c>
      <c r="D26">
        <v>1949</v>
      </c>
      <c r="E26">
        <v>100</v>
      </c>
      <c r="F26">
        <v>320</v>
      </c>
      <c r="G26">
        <v>1200</v>
      </c>
      <c r="H26">
        <v>19971</v>
      </c>
      <c r="I26">
        <v>0</v>
      </c>
      <c r="J26" s="283">
        <v>45412.177658182867</v>
      </c>
      <c r="K26" t="s">
        <v>3144</v>
      </c>
      <c r="L26" t="s">
        <v>3145</v>
      </c>
      <c r="M26" t="s">
        <v>3146</v>
      </c>
      <c r="N26" t="s">
        <v>366</v>
      </c>
      <c r="O26" t="s">
        <v>55</v>
      </c>
    </row>
    <row r="27" spans="1:15" x14ac:dyDescent="0.35">
      <c r="A27">
        <v>56484</v>
      </c>
      <c r="B27" s="283">
        <v>44378</v>
      </c>
      <c r="C27">
        <v>1964</v>
      </c>
      <c r="D27">
        <v>1949</v>
      </c>
      <c r="E27">
        <v>100</v>
      </c>
      <c r="F27">
        <v>320</v>
      </c>
      <c r="G27">
        <v>2100</v>
      </c>
      <c r="H27">
        <v>148965</v>
      </c>
      <c r="I27">
        <v>0</v>
      </c>
      <c r="J27" s="283">
        <v>45412.177658182867</v>
      </c>
      <c r="K27" t="s">
        <v>3147</v>
      </c>
      <c r="L27" t="s">
        <v>3145</v>
      </c>
      <c r="M27" t="s">
        <v>3146</v>
      </c>
      <c r="N27" t="s">
        <v>366</v>
      </c>
      <c r="O27" t="s">
        <v>55</v>
      </c>
    </row>
    <row r="28" spans="1:15" x14ac:dyDescent="0.35">
      <c r="A28">
        <v>56485</v>
      </c>
      <c r="B28" s="283">
        <v>44378</v>
      </c>
      <c r="C28">
        <v>1964</v>
      </c>
      <c r="D28">
        <v>1949</v>
      </c>
      <c r="E28">
        <v>100</v>
      </c>
      <c r="F28">
        <v>320</v>
      </c>
      <c r="G28">
        <v>2160</v>
      </c>
      <c r="H28">
        <v>86940</v>
      </c>
      <c r="I28">
        <v>0</v>
      </c>
      <c r="J28" s="283">
        <v>45412.177658182867</v>
      </c>
      <c r="K28" t="s">
        <v>3149</v>
      </c>
      <c r="L28" t="s">
        <v>3145</v>
      </c>
      <c r="M28" t="s">
        <v>3146</v>
      </c>
      <c r="N28" t="s">
        <v>366</v>
      </c>
      <c r="O28" t="s">
        <v>55</v>
      </c>
    </row>
    <row r="29" spans="1:15" x14ac:dyDescent="0.35">
      <c r="A29">
        <v>56489</v>
      </c>
      <c r="B29" s="283">
        <v>44378</v>
      </c>
      <c r="C29">
        <v>1965</v>
      </c>
      <c r="D29">
        <v>1949</v>
      </c>
      <c r="E29">
        <v>100</v>
      </c>
      <c r="F29">
        <v>320</v>
      </c>
      <c r="G29">
        <v>1200</v>
      </c>
      <c r="H29">
        <v>1187713</v>
      </c>
      <c r="I29">
        <v>0</v>
      </c>
      <c r="J29" s="283">
        <v>45412.177658182867</v>
      </c>
      <c r="K29" t="s">
        <v>3144</v>
      </c>
      <c r="L29" t="s">
        <v>3145</v>
      </c>
      <c r="M29" t="s">
        <v>3146</v>
      </c>
      <c r="N29" t="s">
        <v>366</v>
      </c>
      <c r="O29" t="s">
        <v>54</v>
      </c>
    </row>
    <row r="30" spans="1:15" x14ac:dyDescent="0.35">
      <c r="A30">
        <v>56490</v>
      </c>
      <c r="B30" s="283">
        <v>44378</v>
      </c>
      <c r="C30">
        <v>1965</v>
      </c>
      <c r="D30">
        <v>1949</v>
      </c>
      <c r="E30">
        <v>100</v>
      </c>
      <c r="F30">
        <v>320</v>
      </c>
      <c r="G30">
        <v>2100</v>
      </c>
      <c r="H30">
        <v>54450</v>
      </c>
      <c r="I30">
        <v>0</v>
      </c>
      <c r="J30" s="283">
        <v>45412.177658182867</v>
      </c>
      <c r="K30" t="s">
        <v>3147</v>
      </c>
      <c r="L30" t="s">
        <v>3145</v>
      </c>
      <c r="M30" t="s">
        <v>3146</v>
      </c>
      <c r="N30" t="s">
        <v>366</v>
      </c>
      <c r="O30" t="s">
        <v>54</v>
      </c>
    </row>
    <row r="31" spans="1:15" x14ac:dyDescent="0.35">
      <c r="A31">
        <v>56491</v>
      </c>
      <c r="B31" s="283">
        <v>44378</v>
      </c>
      <c r="C31">
        <v>1965</v>
      </c>
      <c r="D31">
        <v>1949</v>
      </c>
      <c r="E31">
        <v>100</v>
      </c>
      <c r="F31">
        <v>320</v>
      </c>
      <c r="G31">
        <v>2160</v>
      </c>
      <c r="H31">
        <v>248364</v>
      </c>
      <c r="I31">
        <v>0</v>
      </c>
      <c r="J31" s="283">
        <v>45412.177658182867</v>
      </c>
      <c r="K31" t="s">
        <v>3149</v>
      </c>
      <c r="L31" t="s">
        <v>3145</v>
      </c>
      <c r="M31" t="s">
        <v>3146</v>
      </c>
      <c r="N31" t="s">
        <v>366</v>
      </c>
      <c r="O31" t="s">
        <v>54</v>
      </c>
    </row>
    <row r="32" spans="1:15" x14ac:dyDescent="0.35">
      <c r="A32">
        <v>56492</v>
      </c>
      <c r="B32" s="283">
        <v>44378</v>
      </c>
      <c r="C32">
        <v>1965</v>
      </c>
      <c r="D32">
        <v>1949</v>
      </c>
      <c r="E32">
        <v>100</v>
      </c>
      <c r="F32">
        <v>320</v>
      </c>
      <c r="G32">
        <v>2190</v>
      </c>
      <c r="H32">
        <v>18747</v>
      </c>
      <c r="I32">
        <v>0</v>
      </c>
      <c r="J32" s="283">
        <v>45412.177658182867</v>
      </c>
      <c r="K32" t="s">
        <v>3150</v>
      </c>
      <c r="L32" t="s">
        <v>3145</v>
      </c>
      <c r="M32" t="s">
        <v>3146</v>
      </c>
      <c r="N32" t="s">
        <v>366</v>
      </c>
      <c r="O32" t="s">
        <v>54</v>
      </c>
    </row>
    <row r="33" spans="1:15" x14ac:dyDescent="0.35">
      <c r="A33">
        <v>56498</v>
      </c>
      <c r="B33" s="283">
        <v>44378</v>
      </c>
      <c r="C33">
        <v>1966</v>
      </c>
      <c r="D33">
        <v>1949</v>
      </c>
      <c r="E33">
        <v>100</v>
      </c>
      <c r="F33">
        <v>320</v>
      </c>
      <c r="G33">
        <v>1200</v>
      </c>
      <c r="H33">
        <v>120872</v>
      </c>
      <c r="I33">
        <v>0</v>
      </c>
      <c r="J33" s="283">
        <v>45412.177658182867</v>
      </c>
      <c r="K33" t="s">
        <v>3144</v>
      </c>
      <c r="L33" t="s">
        <v>3145</v>
      </c>
      <c r="M33" t="s">
        <v>3146</v>
      </c>
      <c r="N33" t="s">
        <v>366</v>
      </c>
      <c r="O33" t="s">
        <v>141</v>
      </c>
    </row>
    <row r="34" spans="1:15" x14ac:dyDescent="0.35">
      <c r="A34">
        <v>56499</v>
      </c>
      <c r="B34" s="283">
        <v>44378</v>
      </c>
      <c r="C34">
        <v>1966</v>
      </c>
      <c r="D34">
        <v>1949</v>
      </c>
      <c r="E34">
        <v>100</v>
      </c>
      <c r="F34">
        <v>320</v>
      </c>
      <c r="G34">
        <v>2100</v>
      </c>
      <c r="H34">
        <v>616284</v>
      </c>
      <c r="I34">
        <v>0</v>
      </c>
      <c r="J34" s="283">
        <v>45412.177658182867</v>
      </c>
      <c r="K34" t="s">
        <v>3147</v>
      </c>
      <c r="L34" t="s">
        <v>3145</v>
      </c>
      <c r="M34" t="s">
        <v>3146</v>
      </c>
      <c r="N34" t="s">
        <v>366</v>
      </c>
      <c r="O34" t="s">
        <v>141</v>
      </c>
    </row>
    <row r="35" spans="1:15" x14ac:dyDescent="0.35">
      <c r="A35">
        <v>56500</v>
      </c>
      <c r="B35" s="283">
        <v>44378</v>
      </c>
      <c r="C35">
        <v>1966</v>
      </c>
      <c r="D35">
        <v>1949</v>
      </c>
      <c r="E35">
        <v>100</v>
      </c>
      <c r="F35">
        <v>320</v>
      </c>
      <c r="G35">
        <v>2160</v>
      </c>
      <c r="H35">
        <v>340777</v>
      </c>
      <c r="I35">
        <v>0</v>
      </c>
      <c r="J35" s="283">
        <v>45412.177658182867</v>
      </c>
      <c r="K35" t="s">
        <v>3149</v>
      </c>
      <c r="L35" t="s">
        <v>3145</v>
      </c>
      <c r="M35" t="s">
        <v>3146</v>
      </c>
      <c r="N35" t="s">
        <v>366</v>
      </c>
      <c r="O35" t="s">
        <v>141</v>
      </c>
    </row>
    <row r="36" spans="1:15" x14ac:dyDescent="0.35">
      <c r="A36">
        <v>56505</v>
      </c>
      <c r="B36" s="283">
        <v>44378</v>
      </c>
      <c r="C36">
        <v>1967</v>
      </c>
      <c r="D36">
        <v>1949</v>
      </c>
      <c r="E36">
        <v>100</v>
      </c>
      <c r="F36">
        <v>320</v>
      </c>
      <c r="G36">
        <v>1200</v>
      </c>
      <c r="H36">
        <v>2094</v>
      </c>
      <c r="I36">
        <v>0</v>
      </c>
      <c r="J36" s="283">
        <v>45412.177658182867</v>
      </c>
      <c r="K36" t="s">
        <v>3144</v>
      </c>
      <c r="L36" t="s">
        <v>3145</v>
      </c>
      <c r="M36" t="s">
        <v>3146</v>
      </c>
      <c r="N36" t="s">
        <v>366</v>
      </c>
      <c r="O36" t="s">
        <v>170</v>
      </c>
    </row>
    <row r="37" spans="1:15" x14ac:dyDescent="0.35">
      <c r="A37">
        <v>56506</v>
      </c>
      <c r="B37" s="283">
        <v>44378</v>
      </c>
      <c r="C37">
        <v>1967</v>
      </c>
      <c r="D37">
        <v>1949</v>
      </c>
      <c r="E37">
        <v>100</v>
      </c>
      <c r="F37">
        <v>320</v>
      </c>
      <c r="G37">
        <v>2100</v>
      </c>
      <c r="H37">
        <v>38562</v>
      </c>
      <c r="I37">
        <v>0</v>
      </c>
      <c r="J37" s="283">
        <v>45412.177658182867</v>
      </c>
      <c r="K37" t="s">
        <v>3147</v>
      </c>
      <c r="L37" t="s">
        <v>3145</v>
      </c>
      <c r="M37" t="s">
        <v>3146</v>
      </c>
      <c r="N37" t="s">
        <v>366</v>
      </c>
      <c r="O37" t="s">
        <v>170</v>
      </c>
    </row>
    <row r="38" spans="1:15" x14ac:dyDescent="0.35">
      <c r="A38">
        <v>56507</v>
      </c>
      <c r="B38" s="283">
        <v>44378</v>
      </c>
      <c r="C38">
        <v>1967</v>
      </c>
      <c r="D38">
        <v>1949</v>
      </c>
      <c r="E38">
        <v>100</v>
      </c>
      <c r="F38">
        <v>320</v>
      </c>
      <c r="G38">
        <v>2160</v>
      </c>
      <c r="H38">
        <v>1280</v>
      </c>
      <c r="I38">
        <v>0</v>
      </c>
      <c r="J38" s="283">
        <v>45412.177658182867</v>
      </c>
      <c r="K38" t="s">
        <v>3149</v>
      </c>
      <c r="L38" t="s">
        <v>3145</v>
      </c>
      <c r="M38" t="s">
        <v>3146</v>
      </c>
      <c r="N38" t="s">
        <v>366</v>
      </c>
      <c r="O38" t="s">
        <v>170</v>
      </c>
    </row>
    <row r="39" spans="1:15" x14ac:dyDescent="0.35">
      <c r="A39">
        <v>56512</v>
      </c>
      <c r="B39" s="283">
        <v>44378</v>
      </c>
      <c r="C39">
        <v>1968</v>
      </c>
      <c r="D39">
        <v>1949</v>
      </c>
      <c r="E39">
        <v>100</v>
      </c>
      <c r="F39">
        <v>320</v>
      </c>
      <c r="G39">
        <v>1200</v>
      </c>
      <c r="H39">
        <v>20201</v>
      </c>
      <c r="I39">
        <v>0</v>
      </c>
      <c r="J39" s="283">
        <v>45412.177658182867</v>
      </c>
      <c r="K39" t="s">
        <v>3144</v>
      </c>
      <c r="L39" t="s">
        <v>3145</v>
      </c>
      <c r="M39" t="s">
        <v>3146</v>
      </c>
      <c r="N39" t="s">
        <v>366</v>
      </c>
      <c r="O39" t="s">
        <v>137</v>
      </c>
    </row>
    <row r="40" spans="1:15" x14ac:dyDescent="0.35">
      <c r="A40">
        <v>56513</v>
      </c>
      <c r="B40" s="283">
        <v>44378</v>
      </c>
      <c r="C40">
        <v>1968</v>
      </c>
      <c r="D40">
        <v>1949</v>
      </c>
      <c r="E40">
        <v>100</v>
      </c>
      <c r="F40">
        <v>320</v>
      </c>
      <c r="G40">
        <v>2100</v>
      </c>
      <c r="H40">
        <v>153369</v>
      </c>
      <c r="I40">
        <v>0</v>
      </c>
      <c r="J40" s="283">
        <v>45412.177658182867</v>
      </c>
      <c r="K40" t="s">
        <v>3147</v>
      </c>
      <c r="L40" t="s">
        <v>3145</v>
      </c>
      <c r="M40" t="s">
        <v>3146</v>
      </c>
      <c r="N40" t="s">
        <v>366</v>
      </c>
      <c r="O40" t="s">
        <v>137</v>
      </c>
    </row>
    <row r="41" spans="1:15" x14ac:dyDescent="0.35">
      <c r="A41">
        <v>56514</v>
      </c>
      <c r="B41" s="283">
        <v>44378</v>
      </c>
      <c r="C41">
        <v>1968</v>
      </c>
      <c r="D41">
        <v>1949</v>
      </c>
      <c r="E41">
        <v>100</v>
      </c>
      <c r="F41">
        <v>320</v>
      </c>
      <c r="G41">
        <v>2160</v>
      </c>
      <c r="H41">
        <v>23347</v>
      </c>
      <c r="I41">
        <v>0</v>
      </c>
      <c r="J41" s="283">
        <v>45412.177658182867</v>
      </c>
      <c r="K41" t="s">
        <v>3149</v>
      </c>
      <c r="L41" t="s">
        <v>3145</v>
      </c>
      <c r="M41" t="s">
        <v>3146</v>
      </c>
      <c r="N41" t="s">
        <v>366</v>
      </c>
      <c r="O41" t="s">
        <v>137</v>
      </c>
    </row>
    <row r="42" spans="1:15" x14ac:dyDescent="0.35">
      <c r="A42">
        <v>56518</v>
      </c>
      <c r="B42" s="283">
        <v>44378</v>
      </c>
      <c r="C42">
        <v>1969</v>
      </c>
      <c r="D42">
        <v>1949</v>
      </c>
      <c r="E42">
        <v>100</v>
      </c>
      <c r="F42">
        <v>320</v>
      </c>
      <c r="G42">
        <v>1200</v>
      </c>
      <c r="H42">
        <v>257849</v>
      </c>
      <c r="I42">
        <v>0</v>
      </c>
      <c r="J42" s="283">
        <v>45412.177658182867</v>
      </c>
      <c r="K42" t="s">
        <v>3144</v>
      </c>
      <c r="L42" t="s">
        <v>3145</v>
      </c>
      <c r="M42" t="s">
        <v>3146</v>
      </c>
      <c r="N42" t="s">
        <v>366</v>
      </c>
      <c r="O42" t="s">
        <v>32</v>
      </c>
    </row>
    <row r="43" spans="1:15" x14ac:dyDescent="0.35">
      <c r="A43">
        <v>56519</v>
      </c>
      <c r="B43" s="283">
        <v>44378</v>
      </c>
      <c r="C43">
        <v>1969</v>
      </c>
      <c r="D43">
        <v>1949</v>
      </c>
      <c r="E43">
        <v>100</v>
      </c>
      <c r="F43">
        <v>320</v>
      </c>
      <c r="G43">
        <v>2100</v>
      </c>
      <c r="H43">
        <v>53239</v>
      </c>
      <c r="I43">
        <v>0</v>
      </c>
      <c r="J43" s="283">
        <v>45412.177658182867</v>
      </c>
      <c r="K43" t="s">
        <v>3147</v>
      </c>
      <c r="L43" t="s">
        <v>3145</v>
      </c>
      <c r="M43" t="s">
        <v>3146</v>
      </c>
      <c r="N43" t="s">
        <v>366</v>
      </c>
      <c r="O43" t="s">
        <v>32</v>
      </c>
    </row>
    <row r="44" spans="1:15" x14ac:dyDescent="0.35">
      <c r="A44">
        <v>56520</v>
      </c>
      <c r="B44" s="283">
        <v>44378</v>
      </c>
      <c r="C44">
        <v>1969</v>
      </c>
      <c r="D44">
        <v>1949</v>
      </c>
      <c r="E44">
        <v>100</v>
      </c>
      <c r="F44">
        <v>320</v>
      </c>
      <c r="G44">
        <v>2160</v>
      </c>
      <c r="H44">
        <v>16062</v>
      </c>
      <c r="I44">
        <v>0</v>
      </c>
      <c r="J44" s="283">
        <v>45412.177658182867</v>
      </c>
      <c r="K44" t="s">
        <v>3149</v>
      </c>
      <c r="L44" t="s">
        <v>3145</v>
      </c>
      <c r="M44" t="s">
        <v>3146</v>
      </c>
      <c r="N44" t="s">
        <v>366</v>
      </c>
      <c r="O44" t="s">
        <v>32</v>
      </c>
    </row>
    <row r="45" spans="1:15" x14ac:dyDescent="0.35">
      <c r="A45">
        <v>56525</v>
      </c>
      <c r="B45" s="283">
        <v>44378</v>
      </c>
      <c r="C45">
        <v>1972</v>
      </c>
      <c r="D45">
        <v>1949</v>
      </c>
      <c r="E45">
        <v>100</v>
      </c>
      <c r="F45">
        <v>320</v>
      </c>
      <c r="G45">
        <v>1200</v>
      </c>
      <c r="H45">
        <v>45332</v>
      </c>
      <c r="I45">
        <v>0</v>
      </c>
      <c r="J45" s="283">
        <v>45412.177658182867</v>
      </c>
      <c r="K45" t="s">
        <v>3144</v>
      </c>
      <c r="L45" t="s">
        <v>3145</v>
      </c>
      <c r="M45" t="s">
        <v>3146</v>
      </c>
      <c r="N45" t="s">
        <v>366</v>
      </c>
      <c r="O45" t="s">
        <v>47</v>
      </c>
    </row>
    <row r="46" spans="1:15" x14ac:dyDescent="0.35">
      <c r="A46">
        <v>56526</v>
      </c>
      <c r="B46" s="283">
        <v>44378</v>
      </c>
      <c r="C46">
        <v>1972</v>
      </c>
      <c r="D46">
        <v>1949</v>
      </c>
      <c r="E46">
        <v>100</v>
      </c>
      <c r="F46">
        <v>320</v>
      </c>
      <c r="G46">
        <v>2100</v>
      </c>
      <c r="H46">
        <v>121814</v>
      </c>
      <c r="I46">
        <v>0</v>
      </c>
      <c r="J46" s="283">
        <v>45412.177658182867</v>
      </c>
      <c r="K46" t="s">
        <v>3147</v>
      </c>
      <c r="L46" t="s">
        <v>3145</v>
      </c>
      <c r="M46" t="s">
        <v>3146</v>
      </c>
      <c r="N46" t="s">
        <v>366</v>
      </c>
      <c r="O46" t="s">
        <v>47</v>
      </c>
    </row>
    <row r="47" spans="1:15" x14ac:dyDescent="0.35">
      <c r="A47">
        <v>56527</v>
      </c>
      <c r="B47" s="283">
        <v>44378</v>
      </c>
      <c r="C47">
        <v>1972</v>
      </c>
      <c r="D47">
        <v>1949</v>
      </c>
      <c r="E47">
        <v>100</v>
      </c>
      <c r="F47">
        <v>320</v>
      </c>
      <c r="G47">
        <v>2160</v>
      </c>
      <c r="H47">
        <v>33030</v>
      </c>
      <c r="I47">
        <v>0</v>
      </c>
      <c r="J47" s="283">
        <v>45412.177658182867</v>
      </c>
      <c r="K47" t="s">
        <v>3149</v>
      </c>
      <c r="L47" t="s">
        <v>3145</v>
      </c>
      <c r="M47" t="s">
        <v>3146</v>
      </c>
      <c r="N47" t="s">
        <v>366</v>
      </c>
      <c r="O47" t="s">
        <v>47</v>
      </c>
    </row>
    <row r="48" spans="1:15" x14ac:dyDescent="0.35">
      <c r="A48">
        <v>56528</v>
      </c>
      <c r="B48" s="283">
        <v>44378</v>
      </c>
      <c r="C48">
        <v>1972</v>
      </c>
      <c r="D48">
        <v>1949</v>
      </c>
      <c r="E48">
        <v>100</v>
      </c>
      <c r="F48">
        <v>320</v>
      </c>
      <c r="G48">
        <v>2190</v>
      </c>
      <c r="H48">
        <v>24103</v>
      </c>
      <c r="I48">
        <v>0</v>
      </c>
      <c r="J48" s="283">
        <v>45412.177658182867</v>
      </c>
      <c r="K48" t="s">
        <v>3150</v>
      </c>
      <c r="L48" t="s">
        <v>3145</v>
      </c>
      <c r="M48" t="s">
        <v>3146</v>
      </c>
      <c r="N48" t="s">
        <v>366</v>
      </c>
      <c r="O48" t="s">
        <v>47</v>
      </c>
    </row>
    <row r="49" spans="1:15" x14ac:dyDescent="0.35">
      <c r="A49">
        <v>56532</v>
      </c>
      <c r="B49" s="283">
        <v>44378</v>
      </c>
      <c r="C49">
        <v>1973</v>
      </c>
      <c r="D49">
        <v>1949</v>
      </c>
      <c r="E49">
        <v>100</v>
      </c>
      <c r="F49">
        <v>320</v>
      </c>
      <c r="G49">
        <v>1200</v>
      </c>
      <c r="H49">
        <v>86068</v>
      </c>
      <c r="I49">
        <v>0</v>
      </c>
      <c r="J49" s="283">
        <v>45412.177658182867</v>
      </c>
      <c r="K49" t="s">
        <v>3144</v>
      </c>
      <c r="L49" t="s">
        <v>3145</v>
      </c>
      <c r="M49" t="s">
        <v>3146</v>
      </c>
      <c r="N49" t="s">
        <v>366</v>
      </c>
      <c r="O49" t="s">
        <v>168</v>
      </c>
    </row>
    <row r="50" spans="1:15" x14ac:dyDescent="0.35">
      <c r="A50">
        <v>56533</v>
      </c>
      <c r="B50" s="283">
        <v>44378</v>
      </c>
      <c r="C50">
        <v>1973</v>
      </c>
      <c r="D50">
        <v>1949</v>
      </c>
      <c r="E50">
        <v>100</v>
      </c>
      <c r="F50">
        <v>320</v>
      </c>
      <c r="G50">
        <v>2100</v>
      </c>
      <c r="H50">
        <v>29793</v>
      </c>
      <c r="I50">
        <v>0</v>
      </c>
      <c r="J50" s="283">
        <v>45412.177658182867</v>
      </c>
      <c r="K50" t="s">
        <v>3147</v>
      </c>
      <c r="L50" t="s">
        <v>3145</v>
      </c>
      <c r="M50" t="s">
        <v>3146</v>
      </c>
      <c r="N50" t="s">
        <v>366</v>
      </c>
      <c r="O50" t="s">
        <v>168</v>
      </c>
    </row>
    <row r="51" spans="1:15" x14ac:dyDescent="0.35">
      <c r="A51">
        <v>56534</v>
      </c>
      <c r="B51" s="283">
        <v>44378</v>
      </c>
      <c r="C51">
        <v>1973</v>
      </c>
      <c r="D51">
        <v>1949</v>
      </c>
      <c r="E51">
        <v>100</v>
      </c>
      <c r="F51">
        <v>320</v>
      </c>
      <c r="G51">
        <v>2160</v>
      </c>
      <c r="H51">
        <v>17388</v>
      </c>
      <c r="I51">
        <v>0</v>
      </c>
      <c r="J51" s="283">
        <v>45412.177658182867</v>
      </c>
      <c r="K51" t="s">
        <v>3149</v>
      </c>
      <c r="L51" t="s">
        <v>3145</v>
      </c>
      <c r="M51" t="s">
        <v>3146</v>
      </c>
      <c r="N51" t="s">
        <v>366</v>
      </c>
      <c r="O51" t="s">
        <v>168</v>
      </c>
    </row>
    <row r="52" spans="1:15" x14ac:dyDescent="0.35">
      <c r="A52">
        <v>56540</v>
      </c>
      <c r="B52" s="283">
        <v>44378</v>
      </c>
      <c r="C52">
        <v>1974</v>
      </c>
      <c r="D52">
        <v>1949</v>
      </c>
      <c r="E52">
        <v>100</v>
      </c>
      <c r="F52">
        <v>320</v>
      </c>
      <c r="G52">
        <v>1200</v>
      </c>
      <c r="H52">
        <v>15924</v>
      </c>
      <c r="I52">
        <v>0</v>
      </c>
      <c r="J52" s="283">
        <v>45412.177658182867</v>
      </c>
      <c r="K52" t="s">
        <v>3144</v>
      </c>
      <c r="L52" t="s">
        <v>3145</v>
      </c>
      <c r="M52" t="s">
        <v>3146</v>
      </c>
      <c r="N52" t="s">
        <v>366</v>
      </c>
      <c r="O52" t="s">
        <v>39</v>
      </c>
    </row>
    <row r="53" spans="1:15" x14ac:dyDescent="0.35">
      <c r="A53">
        <v>56546</v>
      </c>
      <c r="B53" s="283">
        <v>44378</v>
      </c>
      <c r="C53">
        <v>2001</v>
      </c>
      <c r="D53">
        <v>1949</v>
      </c>
      <c r="E53">
        <v>100</v>
      </c>
      <c r="F53">
        <v>320</v>
      </c>
      <c r="G53">
        <v>1200</v>
      </c>
      <c r="H53">
        <v>15104</v>
      </c>
      <c r="I53">
        <v>0</v>
      </c>
      <c r="J53" s="283">
        <v>45412.177658182867</v>
      </c>
      <c r="K53" t="s">
        <v>3144</v>
      </c>
      <c r="L53" t="s">
        <v>3145</v>
      </c>
      <c r="M53" t="s">
        <v>3146</v>
      </c>
      <c r="N53" t="s">
        <v>366</v>
      </c>
      <c r="O53" t="s">
        <v>175</v>
      </c>
    </row>
    <row r="54" spans="1:15" x14ac:dyDescent="0.35">
      <c r="A54">
        <v>56547</v>
      </c>
      <c r="B54" s="283">
        <v>44378</v>
      </c>
      <c r="C54">
        <v>2001</v>
      </c>
      <c r="D54">
        <v>1949</v>
      </c>
      <c r="E54">
        <v>100</v>
      </c>
      <c r="F54">
        <v>320</v>
      </c>
      <c r="G54">
        <v>2100</v>
      </c>
      <c r="H54">
        <v>148429</v>
      </c>
      <c r="I54">
        <v>0</v>
      </c>
      <c r="J54" s="283">
        <v>45412.177658182867</v>
      </c>
      <c r="K54" t="s">
        <v>3147</v>
      </c>
      <c r="L54" t="s">
        <v>3145</v>
      </c>
      <c r="M54" t="s">
        <v>3146</v>
      </c>
      <c r="N54" t="s">
        <v>366</v>
      </c>
      <c r="O54" t="s">
        <v>175</v>
      </c>
    </row>
    <row r="55" spans="1:15" x14ac:dyDescent="0.35">
      <c r="A55">
        <v>56548</v>
      </c>
      <c r="B55" s="283">
        <v>44378</v>
      </c>
      <c r="C55">
        <v>2001</v>
      </c>
      <c r="D55">
        <v>1949</v>
      </c>
      <c r="E55">
        <v>100</v>
      </c>
      <c r="F55">
        <v>320</v>
      </c>
      <c r="G55">
        <v>2160</v>
      </c>
      <c r="H55">
        <v>135828</v>
      </c>
      <c r="I55">
        <v>0</v>
      </c>
      <c r="J55" s="283">
        <v>45412.177658182867</v>
      </c>
      <c r="K55" t="s">
        <v>3149</v>
      </c>
      <c r="L55" t="s">
        <v>3145</v>
      </c>
      <c r="M55" t="s">
        <v>3146</v>
      </c>
      <c r="N55" t="s">
        <v>366</v>
      </c>
      <c r="O55" t="s">
        <v>175</v>
      </c>
    </row>
    <row r="56" spans="1:15" x14ac:dyDescent="0.35">
      <c r="A56">
        <v>56549</v>
      </c>
      <c r="B56" s="283">
        <v>44378</v>
      </c>
      <c r="C56">
        <v>2001</v>
      </c>
      <c r="D56">
        <v>1949</v>
      </c>
      <c r="E56">
        <v>100</v>
      </c>
      <c r="F56">
        <v>320</v>
      </c>
      <c r="G56">
        <v>2190</v>
      </c>
      <c r="H56">
        <v>29273</v>
      </c>
      <c r="I56">
        <v>0</v>
      </c>
      <c r="J56" s="283">
        <v>45412.177658182867</v>
      </c>
      <c r="K56" t="s">
        <v>3150</v>
      </c>
      <c r="L56" t="s">
        <v>3145</v>
      </c>
      <c r="M56" t="s">
        <v>3146</v>
      </c>
      <c r="N56" t="s">
        <v>366</v>
      </c>
      <c r="O56" t="s">
        <v>175</v>
      </c>
    </row>
    <row r="57" spans="1:15" x14ac:dyDescent="0.35">
      <c r="A57">
        <v>56558</v>
      </c>
      <c r="B57" s="283">
        <v>44378</v>
      </c>
      <c r="C57">
        <v>1970</v>
      </c>
      <c r="D57">
        <v>1975</v>
      </c>
      <c r="E57">
        <v>100</v>
      </c>
      <c r="F57">
        <v>320</v>
      </c>
      <c r="G57">
        <v>1200</v>
      </c>
      <c r="H57">
        <v>184851.1</v>
      </c>
      <c r="I57">
        <v>0</v>
      </c>
      <c r="J57" s="283">
        <v>45412.177658182867</v>
      </c>
      <c r="K57" t="s">
        <v>3144</v>
      </c>
      <c r="L57" t="s">
        <v>3145</v>
      </c>
      <c r="M57" t="s">
        <v>3146</v>
      </c>
      <c r="N57" t="s">
        <v>385</v>
      </c>
      <c r="O57" t="s">
        <v>61</v>
      </c>
    </row>
    <row r="58" spans="1:15" x14ac:dyDescent="0.35">
      <c r="A58">
        <v>56559</v>
      </c>
      <c r="B58" s="283">
        <v>44378</v>
      </c>
      <c r="C58">
        <v>1970</v>
      </c>
      <c r="D58">
        <v>1975</v>
      </c>
      <c r="E58">
        <v>100</v>
      </c>
      <c r="F58">
        <v>320</v>
      </c>
      <c r="G58">
        <v>2160</v>
      </c>
      <c r="H58">
        <v>77068.7</v>
      </c>
      <c r="I58">
        <v>0</v>
      </c>
      <c r="J58" s="283">
        <v>45412.177658182867</v>
      </c>
      <c r="K58" t="s">
        <v>3149</v>
      </c>
      <c r="L58" t="s">
        <v>3145</v>
      </c>
      <c r="M58" t="s">
        <v>3146</v>
      </c>
      <c r="N58" t="s">
        <v>385</v>
      </c>
      <c r="O58" t="s">
        <v>61</v>
      </c>
    </row>
    <row r="59" spans="1:15" x14ac:dyDescent="0.35">
      <c r="A59">
        <v>56560</v>
      </c>
      <c r="B59" s="283">
        <v>44378</v>
      </c>
      <c r="C59">
        <v>1970</v>
      </c>
      <c r="D59">
        <v>1975</v>
      </c>
      <c r="E59">
        <v>100</v>
      </c>
      <c r="F59">
        <v>320</v>
      </c>
      <c r="G59">
        <v>2190</v>
      </c>
      <c r="H59">
        <v>8144.48</v>
      </c>
      <c r="I59">
        <v>0</v>
      </c>
      <c r="J59" s="283">
        <v>45412.177658182867</v>
      </c>
      <c r="K59" t="s">
        <v>3150</v>
      </c>
      <c r="L59" t="s">
        <v>3145</v>
      </c>
      <c r="M59" t="s">
        <v>3146</v>
      </c>
      <c r="N59" t="s">
        <v>385</v>
      </c>
      <c r="O59" t="s">
        <v>61</v>
      </c>
    </row>
    <row r="60" spans="1:15" x14ac:dyDescent="0.35">
      <c r="A60">
        <v>56561</v>
      </c>
      <c r="B60" s="283">
        <v>44378</v>
      </c>
      <c r="C60">
        <v>1970</v>
      </c>
      <c r="D60">
        <v>1975</v>
      </c>
      <c r="E60">
        <v>100</v>
      </c>
      <c r="F60">
        <v>320</v>
      </c>
      <c r="G60">
        <v>2230</v>
      </c>
      <c r="H60">
        <v>63579.13</v>
      </c>
      <c r="I60">
        <v>0</v>
      </c>
      <c r="J60" s="283">
        <v>45412.177658182867</v>
      </c>
      <c r="K60" t="s">
        <v>3151</v>
      </c>
      <c r="L60" t="s">
        <v>3145</v>
      </c>
      <c r="M60" t="s">
        <v>3146</v>
      </c>
      <c r="N60" t="s">
        <v>385</v>
      </c>
      <c r="O60" t="s">
        <v>61</v>
      </c>
    </row>
    <row r="61" spans="1:15" x14ac:dyDescent="0.35">
      <c r="A61">
        <v>56570</v>
      </c>
      <c r="B61" s="283">
        <v>44378</v>
      </c>
      <c r="C61">
        <v>1976</v>
      </c>
      <c r="D61">
        <v>1975</v>
      </c>
      <c r="E61">
        <v>100</v>
      </c>
      <c r="F61">
        <v>320</v>
      </c>
      <c r="G61">
        <v>1200</v>
      </c>
      <c r="H61">
        <v>2323159.92</v>
      </c>
      <c r="I61">
        <v>0</v>
      </c>
      <c r="J61" s="283">
        <v>45412.177658182867</v>
      </c>
      <c r="K61" t="s">
        <v>3144</v>
      </c>
      <c r="L61" t="s">
        <v>3145</v>
      </c>
      <c r="M61" t="s">
        <v>3146</v>
      </c>
      <c r="N61" t="s">
        <v>385</v>
      </c>
      <c r="O61" t="s">
        <v>35</v>
      </c>
    </row>
    <row r="62" spans="1:15" x14ac:dyDescent="0.35">
      <c r="A62">
        <v>56571</v>
      </c>
      <c r="B62" s="283">
        <v>44378</v>
      </c>
      <c r="C62">
        <v>1976</v>
      </c>
      <c r="D62">
        <v>1975</v>
      </c>
      <c r="E62">
        <v>100</v>
      </c>
      <c r="F62">
        <v>320</v>
      </c>
      <c r="G62">
        <v>2100</v>
      </c>
      <c r="H62">
        <v>145294.20000000001</v>
      </c>
      <c r="I62">
        <v>0</v>
      </c>
      <c r="J62" s="283">
        <v>45412.177658182867</v>
      </c>
      <c r="K62" t="s">
        <v>3147</v>
      </c>
      <c r="L62" t="s">
        <v>3145</v>
      </c>
      <c r="M62" t="s">
        <v>3146</v>
      </c>
      <c r="N62" t="s">
        <v>385</v>
      </c>
      <c r="O62" t="s">
        <v>35</v>
      </c>
    </row>
    <row r="63" spans="1:15" x14ac:dyDescent="0.35">
      <c r="A63">
        <v>56572</v>
      </c>
      <c r="B63" s="283">
        <v>44378</v>
      </c>
      <c r="C63">
        <v>1976</v>
      </c>
      <c r="D63">
        <v>1975</v>
      </c>
      <c r="E63">
        <v>100</v>
      </c>
      <c r="F63">
        <v>320</v>
      </c>
      <c r="G63">
        <v>2160</v>
      </c>
      <c r="H63">
        <v>452384.2</v>
      </c>
      <c r="I63">
        <v>0</v>
      </c>
      <c r="J63" s="283">
        <v>45412.177658182867</v>
      </c>
      <c r="K63" t="s">
        <v>3149</v>
      </c>
      <c r="L63" t="s">
        <v>3145</v>
      </c>
      <c r="M63" t="s">
        <v>3146</v>
      </c>
      <c r="N63" t="s">
        <v>385</v>
      </c>
      <c r="O63" t="s">
        <v>35</v>
      </c>
    </row>
    <row r="64" spans="1:15" x14ac:dyDescent="0.35">
      <c r="A64">
        <v>56573</v>
      </c>
      <c r="B64" s="283">
        <v>44378</v>
      </c>
      <c r="C64">
        <v>1976</v>
      </c>
      <c r="D64">
        <v>1975</v>
      </c>
      <c r="E64">
        <v>100</v>
      </c>
      <c r="F64">
        <v>320</v>
      </c>
      <c r="G64">
        <v>2230</v>
      </c>
      <c r="H64">
        <v>271871.02</v>
      </c>
      <c r="I64">
        <v>0</v>
      </c>
      <c r="J64" s="283">
        <v>45412.177658182867</v>
      </c>
      <c r="K64" t="s">
        <v>3151</v>
      </c>
      <c r="L64" t="s">
        <v>3145</v>
      </c>
      <c r="M64" t="s">
        <v>3146</v>
      </c>
      <c r="N64" t="s">
        <v>385</v>
      </c>
      <c r="O64" t="s">
        <v>35</v>
      </c>
    </row>
    <row r="65" spans="1:15" x14ac:dyDescent="0.35">
      <c r="A65">
        <v>56582</v>
      </c>
      <c r="B65" s="283">
        <v>44378</v>
      </c>
      <c r="C65">
        <v>1977</v>
      </c>
      <c r="D65">
        <v>1975</v>
      </c>
      <c r="E65">
        <v>100</v>
      </c>
      <c r="F65">
        <v>320</v>
      </c>
      <c r="G65">
        <v>1200</v>
      </c>
      <c r="H65">
        <v>995285.47</v>
      </c>
      <c r="I65">
        <v>0</v>
      </c>
      <c r="J65" s="283">
        <v>45412.177658182867</v>
      </c>
      <c r="K65" t="s">
        <v>3144</v>
      </c>
      <c r="L65" t="s">
        <v>3145</v>
      </c>
      <c r="M65" t="s">
        <v>3146</v>
      </c>
      <c r="N65" t="s">
        <v>385</v>
      </c>
      <c r="O65" t="s">
        <v>174</v>
      </c>
    </row>
    <row r="66" spans="1:15" x14ac:dyDescent="0.35">
      <c r="A66">
        <v>56583</v>
      </c>
      <c r="B66" s="283">
        <v>44378</v>
      </c>
      <c r="C66">
        <v>1977</v>
      </c>
      <c r="D66">
        <v>1975</v>
      </c>
      <c r="E66">
        <v>100</v>
      </c>
      <c r="F66">
        <v>320</v>
      </c>
      <c r="G66">
        <v>2160</v>
      </c>
      <c r="H66">
        <v>187486.15</v>
      </c>
      <c r="I66">
        <v>0</v>
      </c>
      <c r="J66" s="283">
        <v>45412.177658182867</v>
      </c>
      <c r="K66" t="s">
        <v>3149</v>
      </c>
      <c r="L66" t="s">
        <v>3145</v>
      </c>
      <c r="M66" t="s">
        <v>3146</v>
      </c>
      <c r="N66" t="s">
        <v>385</v>
      </c>
      <c r="O66" t="s">
        <v>174</v>
      </c>
    </row>
    <row r="67" spans="1:15" x14ac:dyDescent="0.35">
      <c r="A67">
        <v>56584</v>
      </c>
      <c r="B67" s="283">
        <v>44378</v>
      </c>
      <c r="C67">
        <v>1977</v>
      </c>
      <c r="D67">
        <v>1975</v>
      </c>
      <c r="E67">
        <v>100</v>
      </c>
      <c r="F67">
        <v>320</v>
      </c>
      <c r="G67">
        <v>2230</v>
      </c>
      <c r="H67">
        <v>146779.20000000001</v>
      </c>
      <c r="I67">
        <v>0</v>
      </c>
      <c r="J67" s="283">
        <v>45412.177658182867</v>
      </c>
      <c r="K67" t="s">
        <v>3151</v>
      </c>
      <c r="L67" t="s">
        <v>3145</v>
      </c>
      <c r="M67" t="s">
        <v>3146</v>
      </c>
      <c r="N67" t="s">
        <v>385</v>
      </c>
      <c r="O67" t="s">
        <v>174</v>
      </c>
    </row>
    <row r="68" spans="1:15" x14ac:dyDescent="0.35">
      <c r="A68">
        <v>56594</v>
      </c>
      <c r="B68" s="283">
        <v>44378</v>
      </c>
      <c r="C68">
        <v>1978</v>
      </c>
      <c r="D68">
        <v>1975</v>
      </c>
      <c r="E68">
        <v>100</v>
      </c>
      <c r="F68">
        <v>320</v>
      </c>
      <c r="G68">
        <v>1200</v>
      </c>
      <c r="H68">
        <v>53546.11</v>
      </c>
      <c r="I68">
        <v>0</v>
      </c>
      <c r="J68" s="283">
        <v>45412.177658182867</v>
      </c>
      <c r="K68" t="s">
        <v>3144</v>
      </c>
      <c r="L68" t="s">
        <v>3145</v>
      </c>
      <c r="M68" t="s">
        <v>3146</v>
      </c>
      <c r="N68" t="s">
        <v>385</v>
      </c>
      <c r="O68" t="s">
        <v>189</v>
      </c>
    </row>
    <row r="69" spans="1:15" x14ac:dyDescent="0.35">
      <c r="A69">
        <v>56595</v>
      </c>
      <c r="B69" s="283">
        <v>44378</v>
      </c>
      <c r="C69">
        <v>1978</v>
      </c>
      <c r="D69">
        <v>1975</v>
      </c>
      <c r="E69">
        <v>100</v>
      </c>
      <c r="F69">
        <v>320</v>
      </c>
      <c r="G69">
        <v>2160</v>
      </c>
      <c r="H69">
        <v>27103.89</v>
      </c>
      <c r="I69">
        <v>0</v>
      </c>
      <c r="J69" s="283">
        <v>45412.177658182867</v>
      </c>
      <c r="K69" t="s">
        <v>3149</v>
      </c>
      <c r="L69" t="s">
        <v>3145</v>
      </c>
      <c r="M69" t="s">
        <v>3146</v>
      </c>
      <c r="N69" t="s">
        <v>385</v>
      </c>
      <c r="O69" t="s">
        <v>189</v>
      </c>
    </row>
    <row r="70" spans="1:15" x14ac:dyDescent="0.35">
      <c r="A70">
        <v>56596</v>
      </c>
      <c r="B70" s="283">
        <v>44378</v>
      </c>
      <c r="C70">
        <v>1978</v>
      </c>
      <c r="D70">
        <v>1975</v>
      </c>
      <c r="E70">
        <v>100</v>
      </c>
      <c r="F70">
        <v>320</v>
      </c>
      <c r="G70">
        <v>2230</v>
      </c>
      <c r="H70">
        <v>11815.11</v>
      </c>
      <c r="I70">
        <v>0</v>
      </c>
      <c r="J70" s="283">
        <v>45412.177658182867</v>
      </c>
      <c r="K70" t="s">
        <v>3151</v>
      </c>
      <c r="L70" t="s">
        <v>3145</v>
      </c>
      <c r="M70" t="s">
        <v>3146</v>
      </c>
      <c r="N70" t="s">
        <v>385</v>
      </c>
      <c r="O70" t="s">
        <v>189</v>
      </c>
    </row>
    <row r="71" spans="1:15" x14ac:dyDescent="0.35">
      <c r="A71">
        <v>56608</v>
      </c>
      <c r="B71" s="283">
        <v>44378</v>
      </c>
      <c r="C71">
        <v>1990</v>
      </c>
      <c r="D71">
        <v>1980</v>
      </c>
      <c r="E71">
        <v>100</v>
      </c>
      <c r="F71">
        <v>320</v>
      </c>
      <c r="G71">
        <v>1200</v>
      </c>
      <c r="H71">
        <v>14346.14</v>
      </c>
      <c r="I71">
        <v>0</v>
      </c>
      <c r="J71" s="283">
        <v>45412.177658182867</v>
      </c>
      <c r="K71" t="s">
        <v>3144</v>
      </c>
      <c r="L71" t="s">
        <v>3145</v>
      </c>
      <c r="M71" t="s">
        <v>3146</v>
      </c>
      <c r="N71" t="s">
        <v>432</v>
      </c>
      <c r="O71" t="s">
        <v>150</v>
      </c>
    </row>
    <row r="72" spans="1:15" x14ac:dyDescent="0.35">
      <c r="A72">
        <v>56609</v>
      </c>
      <c r="B72" s="283">
        <v>44378</v>
      </c>
      <c r="C72">
        <v>1990</v>
      </c>
      <c r="D72">
        <v>1980</v>
      </c>
      <c r="E72">
        <v>100</v>
      </c>
      <c r="F72">
        <v>320</v>
      </c>
      <c r="G72">
        <v>2100</v>
      </c>
      <c r="H72">
        <v>72537.36</v>
      </c>
      <c r="I72">
        <v>0</v>
      </c>
      <c r="J72" s="283">
        <v>45412.177658182867</v>
      </c>
      <c r="K72" t="s">
        <v>3147</v>
      </c>
      <c r="L72" t="s">
        <v>3145</v>
      </c>
      <c r="M72" t="s">
        <v>3146</v>
      </c>
      <c r="N72" t="s">
        <v>432</v>
      </c>
      <c r="O72" t="s">
        <v>150</v>
      </c>
    </row>
    <row r="73" spans="1:15" x14ac:dyDescent="0.35">
      <c r="A73">
        <v>56610</v>
      </c>
      <c r="B73" s="283">
        <v>44378</v>
      </c>
      <c r="C73">
        <v>1990</v>
      </c>
      <c r="D73">
        <v>1980</v>
      </c>
      <c r="E73">
        <v>100</v>
      </c>
      <c r="F73">
        <v>320</v>
      </c>
      <c r="G73">
        <v>2160</v>
      </c>
      <c r="H73">
        <v>22507.9</v>
      </c>
      <c r="I73">
        <v>0</v>
      </c>
      <c r="J73" s="283">
        <v>45412.177658182867</v>
      </c>
      <c r="K73" t="s">
        <v>3149</v>
      </c>
      <c r="L73" t="s">
        <v>3145</v>
      </c>
      <c r="M73" t="s">
        <v>3146</v>
      </c>
      <c r="N73" t="s">
        <v>432</v>
      </c>
      <c r="O73" t="s">
        <v>150</v>
      </c>
    </row>
    <row r="74" spans="1:15" x14ac:dyDescent="0.35">
      <c r="A74">
        <v>56611</v>
      </c>
      <c r="B74" s="283">
        <v>44378</v>
      </c>
      <c r="C74">
        <v>1990</v>
      </c>
      <c r="D74">
        <v>1980</v>
      </c>
      <c r="E74">
        <v>100</v>
      </c>
      <c r="F74">
        <v>320</v>
      </c>
      <c r="G74">
        <v>2190</v>
      </c>
      <c r="H74">
        <v>3972.58</v>
      </c>
      <c r="I74">
        <v>0</v>
      </c>
      <c r="J74" s="283">
        <v>45412.177658182867</v>
      </c>
      <c r="K74" t="s">
        <v>3150</v>
      </c>
      <c r="L74" t="s">
        <v>3145</v>
      </c>
      <c r="M74" t="s">
        <v>3146</v>
      </c>
      <c r="N74" t="s">
        <v>432</v>
      </c>
      <c r="O74" t="s">
        <v>150</v>
      </c>
    </row>
    <row r="75" spans="1:15" x14ac:dyDescent="0.35">
      <c r="A75">
        <v>56623</v>
      </c>
      <c r="B75" s="283">
        <v>44378</v>
      </c>
      <c r="C75">
        <v>1991</v>
      </c>
      <c r="D75">
        <v>1980</v>
      </c>
      <c r="E75">
        <v>100</v>
      </c>
      <c r="F75">
        <v>320</v>
      </c>
      <c r="G75">
        <v>1200</v>
      </c>
      <c r="H75">
        <v>409924.15</v>
      </c>
      <c r="I75">
        <v>0</v>
      </c>
      <c r="J75" s="283">
        <v>45412.177658182867</v>
      </c>
      <c r="K75" t="s">
        <v>3144</v>
      </c>
      <c r="L75" t="s">
        <v>3145</v>
      </c>
      <c r="M75" t="s">
        <v>3146</v>
      </c>
      <c r="N75" t="s">
        <v>432</v>
      </c>
      <c r="O75" t="s">
        <v>71</v>
      </c>
    </row>
    <row r="76" spans="1:15" x14ac:dyDescent="0.35">
      <c r="A76">
        <v>56624</v>
      </c>
      <c r="B76" s="283">
        <v>44378</v>
      </c>
      <c r="C76">
        <v>1991</v>
      </c>
      <c r="D76">
        <v>1980</v>
      </c>
      <c r="E76">
        <v>100</v>
      </c>
      <c r="F76">
        <v>320</v>
      </c>
      <c r="G76">
        <v>2100</v>
      </c>
      <c r="H76">
        <v>1348507.94</v>
      </c>
      <c r="I76">
        <v>0</v>
      </c>
      <c r="J76" s="283">
        <v>45412.177658182867</v>
      </c>
      <c r="K76" t="s">
        <v>3147</v>
      </c>
      <c r="L76" t="s">
        <v>3145</v>
      </c>
      <c r="M76" t="s">
        <v>3146</v>
      </c>
      <c r="N76" t="s">
        <v>432</v>
      </c>
      <c r="O76" t="s">
        <v>71</v>
      </c>
    </row>
    <row r="77" spans="1:15" x14ac:dyDescent="0.35">
      <c r="A77">
        <v>56625</v>
      </c>
      <c r="B77" s="283">
        <v>44378</v>
      </c>
      <c r="C77">
        <v>1991</v>
      </c>
      <c r="D77">
        <v>1980</v>
      </c>
      <c r="E77">
        <v>100</v>
      </c>
      <c r="F77">
        <v>320</v>
      </c>
      <c r="G77">
        <v>2160</v>
      </c>
      <c r="H77">
        <v>213825.03</v>
      </c>
      <c r="I77">
        <v>0</v>
      </c>
      <c r="J77" s="283">
        <v>45412.177658182867</v>
      </c>
      <c r="K77" t="s">
        <v>3149</v>
      </c>
      <c r="L77" t="s">
        <v>3145</v>
      </c>
      <c r="M77" t="s">
        <v>3146</v>
      </c>
      <c r="N77" t="s">
        <v>432</v>
      </c>
      <c r="O77" t="s">
        <v>71</v>
      </c>
    </row>
    <row r="78" spans="1:15" x14ac:dyDescent="0.35">
      <c r="A78">
        <v>56626</v>
      </c>
      <c r="B78" s="283">
        <v>44378</v>
      </c>
      <c r="C78">
        <v>1991</v>
      </c>
      <c r="D78">
        <v>1980</v>
      </c>
      <c r="E78">
        <v>100</v>
      </c>
      <c r="F78">
        <v>320</v>
      </c>
      <c r="G78">
        <v>2190</v>
      </c>
      <c r="H78">
        <v>37739.49</v>
      </c>
      <c r="I78">
        <v>0</v>
      </c>
      <c r="J78" s="283">
        <v>45412.177658182867</v>
      </c>
      <c r="K78" t="s">
        <v>3150</v>
      </c>
      <c r="L78" t="s">
        <v>3145</v>
      </c>
      <c r="M78" t="s">
        <v>3146</v>
      </c>
      <c r="N78" t="s">
        <v>432</v>
      </c>
      <c r="O78" t="s">
        <v>71</v>
      </c>
    </row>
    <row r="79" spans="1:15" x14ac:dyDescent="0.35">
      <c r="A79">
        <v>56638</v>
      </c>
      <c r="B79" s="283">
        <v>44378</v>
      </c>
      <c r="C79">
        <v>1992</v>
      </c>
      <c r="D79">
        <v>1980</v>
      </c>
      <c r="E79">
        <v>100</v>
      </c>
      <c r="F79">
        <v>320</v>
      </c>
      <c r="G79">
        <v>1200</v>
      </c>
      <c r="H79">
        <v>16387.14</v>
      </c>
      <c r="I79">
        <v>0</v>
      </c>
      <c r="J79" s="283">
        <v>45412.177658182867</v>
      </c>
      <c r="K79" t="s">
        <v>3144</v>
      </c>
      <c r="L79" t="s">
        <v>3145</v>
      </c>
      <c r="M79" t="s">
        <v>3146</v>
      </c>
      <c r="N79" t="s">
        <v>432</v>
      </c>
      <c r="O79" t="s">
        <v>90</v>
      </c>
    </row>
    <row r="80" spans="1:15" x14ac:dyDescent="0.35">
      <c r="A80">
        <v>56639</v>
      </c>
      <c r="B80" s="283">
        <v>44378</v>
      </c>
      <c r="C80">
        <v>1992</v>
      </c>
      <c r="D80">
        <v>1980</v>
      </c>
      <c r="E80">
        <v>100</v>
      </c>
      <c r="F80">
        <v>320</v>
      </c>
      <c r="G80">
        <v>2100</v>
      </c>
      <c r="H80">
        <v>116683.31</v>
      </c>
      <c r="I80">
        <v>0</v>
      </c>
      <c r="J80" s="283">
        <v>45412.177658182867</v>
      </c>
      <c r="K80" t="s">
        <v>3147</v>
      </c>
      <c r="L80" t="s">
        <v>3145</v>
      </c>
      <c r="M80" t="s">
        <v>3146</v>
      </c>
      <c r="N80" t="s">
        <v>432</v>
      </c>
      <c r="O80" t="s">
        <v>90</v>
      </c>
    </row>
    <row r="81" spans="1:15" x14ac:dyDescent="0.35">
      <c r="A81">
        <v>56640</v>
      </c>
      <c r="B81" s="283">
        <v>44378</v>
      </c>
      <c r="C81">
        <v>1992</v>
      </c>
      <c r="D81">
        <v>1980</v>
      </c>
      <c r="E81">
        <v>100</v>
      </c>
      <c r="F81">
        <v>320</v>
      </c>
      <c r="G81">
        <v>2160</v>
      </c>
      <c r="H81">
        <v>35884.080000000002</v>
      </c>
      <c r="I81">
        <v>0</v>
      </c>
      <c r="J81" s="283">
        <v>45412.177658182867</v>
      </c>
      <c r="K81" t="s">
        <v>3149</v>
      </c>
      <c r="L81" t="s">
        <v>3145</v>
      </c>
      <c r="M81" t="s">
        <v>3146</v>
      </c>
      <c r="N81" t="s">
        <v>432</v>
      </c>
      <c r="O81" t="s">
        <v>90</v>
      </c>
    </row>
    <row r="82" spans="1:15" x14ac:dyDescent="0.35">
      <c r="A82">
        <v>56641</v>
      </c>
      <c r="B82" s="283">
        <v>44378</v>
      </c>
      <c r="C82">
        <v>1992</v>
      </c>
      <c r="D82">
        <v>1980</v>
      </c>
      <c r="E82">
        <v>100</v>
      </c>
      <c r="F82">
        <v>320</v>
      </c>
      <c r="G82">
        <v>2190</v>
      </c>
      <c r="H82">
        <v>4568.47</v>
      </c>
      <c r="I82">
        <v>0</v>
      </c>
      <c r="J82" s="283">
        <v>45412.177658182867</v>
      </c>
      <c r="K82" t="s">
        <v>3150</v>
      </c>
      <c r="L82" t="s">
        <v>3145</v>
      </c>
      <c r="M82" t="s">
        <v>3146</v>
      </c>
      <c r="N82" t="s">
        <v>432</v>
      </c>
      <c r="O82" t="s">
        <v>90</v>
      </c>
    </row>
    <row r="83" spans="1:15" x14ac:dyDescent="0.35">
      <c r="A83">
        <v>56653</v>
      </c>
      <c r="B83" s="283">
        <v>44378</v>
      </c>
      <c r="C83">
        <v>1993</v>
      </c>
      <c r="D83">
        <v>1980</v>
      </c>
      <c r="E83">
        <v>100</v>
      </c>
      <c r="F83">
        <v>320</v>
      </c>
      <c r="G83">
        <v>1200</v>
      </c>
      <c r="H83">
        <v>7158.28</v>
      </c>
      <c r="I83">
        <v>0</v>
      </c>
      <c r="J83" s="283">
        <v>45412.177658182867</v>
      </c>
      <c r="K83" t="s">
        <v>3144</v>
      </c>
      <c r="L83" t="s">
        <v>3145</v>
      </c>
      <c r="M83" t="s">
        <v>3146</v>
      </c>
      <c r="N83" t="s">
        <v>432</v>
      </c>
      <c r="O83" t="s">
        <v>70</v>
      </c>
    </row>
    <row r="84" spans="1:15" x14ac:dyDescent="0.35">
      <c r="A84">
        <v>56654</v>
      </c>
      <c r="B84" s="283">
        <v>44378</v>
      </c>
      <c r="C84">
        <v>1993</v>
      </c>
      <c r="D84">
        <v>1980</v>
      </c>
      <c r="E84">
        <v>100</v>
      </c>
      <c r="F84">
        <v>320</v>
      </c>
      <c r="G84">
        <v>2100</v>
      </c>
      <c r="H84">
        <v>46983.61</v>
      </c>
      <c r="I84">
        <v>0</v>
      </c>
      <c r="J84" s="283">
        <v>45412.177658182867</v>
      </c>
      <c r="K84" t="s">
        <v>3147</v>
      </c>
      <c r="L84" t="s">
        <v>3145</v>
      </c>
      <c r="M84" t="s">
        <v>3146</v>
      </c>
      <c r="N84" t="s">
        <v>432</v>
      </c>
      <c r="O84" t="s">
        <v>70</v>
      </c>
    </row>
    <row r="85" spans="1:15" x14ac:dyDescent="0.35">
      <c r="A85">
        <v>56655</v>
      </c>
      <c r="B85" s="283">
        <v>44378</v>
      </c>
      <c r="C85">
        <v>1993</v>
      </c>
      <c r="D85">
        <v>1980</v>
      </c>
      <c r="E85">
        <v>100</v>
      </c>
      <c r="F85">
        <v>320</v>
      </c>
      <c r="G85">
        <v>2160</v>
      </c>
      <c r="H85">
        <v>8073.48</v>
      </c>
      <c r="I85">
        <v>0</v>
      </c>
      <c r="J85" s="283">
        <v>45412.177658182867</v>
      </c>
      <c r="K85" t="s">
        <v>3149</v>
      </c>
      <c r="L85" t="s">
        <v>3145</v>
      </c>
      <c r="M85" t="s">
        <v>3146</v>
      </c>
      <c r="N85" t="s">
        <v>432</v>
      </c>
      <c r="O85" t="s">
        <v>70</v>
      </c>
    </row>
    <row r="86" spans="1:15" x14ac:dyDescent="0.35">
      <c r="A86">
        <v>56656</v>
      </c>
      <c r="B86" s="283">
        <v>44378</v>
      </c>
      <c r="C86">
        <v>1993</v>
      </c>
      <c r="D86">
        <v>1980</v>
      </c>
      <c r="E86">
        <v>100</v>
      </c>
      <c r="F86">
        <v>320</v>
      </c>
      <c r="G86">
        <v>2190</v>
      </c>
      <c r="H86">
        <v>1424.95</v>
      </c>
      <c r="I86">
        <v>0</v>
      </c>
      <c r="J86" s="283">
        <v>45412.177658182867</v>
      </c>
      <c r="K86" t="s">
        <v>3150</v>
      </c>
      <c r="L86" t="s">
        <v>3145</v>
      </c>
      <c r="M86" t="s">
        <v>3146</v>
      </c>
      <c r="N86" t="s">
        <v>432</v>
      </c>
      <c r="O86" t="s">
        <v>70</v>
      </c>
    </row>
    <row r="87" spans="1:15" x14ac:dyDescent="0.35">
      <c r="A87">
        <v>56668</v>
      </c>
      <c r="B87" s="283">
        <v>44378</v>
      </c>
      <c r="C87">
        <v>1994</v>
      </c>
      <c r="D87">
        <v>1980</v>
      </c>
      <c r="E87">
        <v>100</v>
      </c>
      <c r="F87">
        <v>320</v>
      </c>
      <c r="G87">
        <v>1200</v>
      </c>
      <c r="H87">
        <v>31472.77</v>
      </c>
      <c r="I87">
        <v>0</v>
      </c>
      <c r="J87" s="283">
        <v>45412.177658182867</v>
      </c>
      <c r="K87" t="s">
        <v>3144</v>
      </c>
      <c r="L87" t="s">
        <v>3145</v>
      </c>
      <c r="M87" t="s">
        <v>3146</v>
      </c>
      <c r="N87" t="s">
        <v>432</v>
      </c>
      <c r="O87" t="s">
        <v>193</v>
      </c>
    </row>
    <row r="88" spans="1:15" x14ac:dyDescent="0.35">
      <c r="A88">
        <v>56669</v>
      </c>
      <c r="B88" s="283">
        <v>44378</v>
      </c>
      <c r="C88">
        <v>1994</v>
      </c>
      <c r="D88">
        <v>1980</v>
      </c>
      <c r="E88">
        <v>100</v>
      </c>
      <c r="F88">
        <v>320</v>
      </c>
      <c r="G88">
        <v>2100</v>
      </c>
      <c r="H88">
        <v>287359.96999999997</v>
      </c>
      <c r="I88">
        <v>0</v>
      </c>
      <c r="J88" s="283">
        <v>45412.177658182867</v>
      </c>
      <c r="K88" t="s">
        <v>3147</v>
      </c>
      <c r="L88" t="s">
        <v>3145</v>
      </c>
      <c r="M88" t="s">
        <v>3146</v>
      </c>
      <c r="N88" t="s">
        <v>432</v>
      </c>
      <c r="O88" t="s">
        <v>193</v>
      </c>
    </row>
    <row r="89" spans="1:15" x14ac:dyDescent="0.35">
      <c r="A89">
        <v>56670</v>
      </c>
      <c r="B89" s="283">
        <v>44378</v>
      </c>
      <c r="C89">
        <v>1994</v>
      </c>
      <c r="D89">
        <v>1980</v>
      </c>
      <c r="E89">
        <v>100</v>
      </c>
      <c r="F89">
        <v>320</v>
      </c>
      <c r="G89">
        <v>2160</v>
      </c>
      <c r="H89">
        <v>44703.98</v>
      </c>
      <c r="I89">
        <v>0</v>
      </c>
      <c r="J89" s="283">
        <v>45412.177658182867</v>
      </c>
      <c r="K89" t="s">
        <v>3149</v>
      </c>
      <c r="L89" t="s">
        <v>3145</v>
      </c>
      <c r="M89" t="s">
        <v>3146</v>
      </c>
      <c r="N89" t="s">
        <v>432</v>
      </c>
      <c r="O89" t="s">
        <v>193</v>
      </c>
    </row>
    <row r="90" spans="1:15" x14ac:dyDescent="0.35">
      <c r="A90">
        <v>56671</v>
      </c>
      <c r="B90" s="283">
        <v>44378</v>
      </c>
      <c r="C90">
        <v>1994</v>
      </c>
      <c r="D90">
        <v>1980</v>
      </c>
      <c r="E90">
        <v>100</v>
      </c>
      <c r="F90">
        <v>320</v>
      </c>
      <c r="G90">
        <v>2190</v>
      </c>
      <c r="H90">
        <v>9655.09</v>
      </c>
      <c r="I90">
        <v>0</v>
      </c>
      <c r="J90" s="283">
        <v>45412.177658182867</v>
      </c>
      <c r="K90" t="s">
        <v>3150</v>
      </c>
      <c r="L90" t="s">
        <v>3145</v>
      </c>
      <c r="M90" t="s">
        <v>3146</v>
      </c>
      <c r="N90" t="s">
        <v>432</v>
      </c>
      <c r="O90" t="s">
        <v>193</v>
      </c>
    </row>
    <row r="91" spans="1:15" x14ac:dyDescent="0.35">
      <c r="A91">
        <v>56683</v>
      </c>
      <c r="B91" s="283">
        <v>44378</v>
      </c>
      <c r="C91">
        <v>1995</v>
      </c>
      <c r="D91">
        <v>1980</v>
      </c>
      <c r="E91">
        <v>100</v>
      </c>
      <c r="F91">
        <v>320</v>
      </c>
      <c r="G91">
        <v>1200</v>
      </c>
      <c r="H91">
        <v>7128.7</v>
      </c>
      <c r="I91">
        <v>0</v>
      </c>
      <c r="J91" s="283">
        <v>45412.177658182867</v>
      </c>
      <c r="K91" t="s">
        <v>3144</v>
      </c>
      <c r="L91" t="s">
        <v>3145</v>
      </c>
      <c r="M91" t="s">
        <v>3146</v>
      </c>
      <c r="N91" t="s">
        <v>432</v>
      </c>
      <c r="O91" t="s">
        <v>43</v>
      </c>
    </row>
    <row r="92" spans="1:15" x14ac:dyDescent="0.35">
      <c r="A92">
        <v>56684</v>
      </c>
      <c r="B92" s="283">
        <v>44378</v>
      </c>
      <c r="C92">
        <v>1995</v>
      </c>
      <c r="D92">
        <v>1980</v>
      </c>
      <c r="E92">
        <v>100</v>
      </c>
      <c r="F92">
        <v>320</v>
      </c>
      <c r="G92">
        <v>2100</v>
      </c>
      <c r="H92">
        <v>37660.86</v>
      </c>
      <c r="I92">
        <v>0</v>
      </c>
      <c r="J92" s="283">
        <v>45412.177658182867</v>
      </c>
      <c r="K92" t="s">
        <v>3147</v>
      </c>
      <c r="L92" t="s">
        <v>3145</v>
      </c>
      <c r="M92" t="s">
        <v>3146</v>
      </c>
      <c r="N92" t="s">
        <v>432</v>
      </c>
      <c r="O92" t="s">
        <v>43</v>
      </c>
    </row>
    <row r="93" spans="1:15" x14ac:dyDescent="0.35">
      <c r="A93">
        <v>56685</v>
      </c>
      <c r="B93" s="283">
        <v>44378</v>
      </c>
      <c r="C93">
        <v>1995</v>
      </c>
      <c r="D93">
        <v>1980</v>
      </c>
      <c r="E93">
        <v>100</v>
      </c>
      <c r="F93">
        <v>320</v>
      </c>
      <c r="G93">
        <v>2160</v>
      </c>
      <c r="H93">
        <v>8171.35</v>
      </c>
      <c r="I93">
        <v>0</v>
      </c>
      <c r="J93" s="283">
        <v>45412.177658182867</v>
      </c>
      <c r="K93" t="s">
        <v>3149</v>
      </c>
      <c r="L93" t="s">
        <v>3145</v>
      </c>
      <c r="M93" t="s">
        <v>3146</v>
      </c>
      <c r="N93" t="s">
        <v>432</v>
      </c>
      <c r="O93" t="s">
        <v>43</v>
      </c>
    </row>
    <row r="94" spans="1:15" x14ac:dyDescent="0.35">
      <c r="A94">
        <v>56686</v>
      </c>
      <c r="B94" s="283">
        <v>44378</v>
      </c>
      <c r="C94">
        <v>1995</v>
      </c>
      <c r="D94">
        <v>1980</v>
      </c>
      <c r="E94">
        <v>100</v>
      </c>
      <c r="F94">
        <v>320</v>
      </c>
      <c r="G94">
        <v>2190</v>
      </c>
      <c r="H94">
        <v>1442.22</v>
      </c>
      <c r="I94">
        <v>0</v>
      </c>
      <c r="J94" s="283">
        <v>45412.177658182867</v>
      </c>
      <c r="K94" t="s">
        <v>3150</v>
      </c>
      <c r="L94" t="s">
        <v>3145</v>
      </c>
      <c r="M94" t="s">
        <v>3146</v>
      </c>
      <c r="N94" t="s">
        <v>432</v>
      </c>
      <c r="O94" t="s">
        <v>43</v>
      </c>
    </row>
    <row r="95" spans="1:15" x14ac:dyDescent="0.35">
      <c r="A95">
        <v>56698</v>
      </c>
      <c r="B95" s="283">
        <v>44378</v>
      </c>
      <c r="C95">
        <v>1996</v>
      </c>
      <c r="D95">
        <v>1980</v>
      </c>
      <c r="E95">
        <v>100</v>
      </c>
      <c r="F95">
        <v>320</v>
      </c>
      <c r="G95">
        <v>1200</v>
      </c>
      <c r="H95">
        <v>8992.2199999999993</v>
      </c>
      <c r="I95">
        <v>0</v>
      </c>
      <c r="J95" s="283">
        <v>45412.177658182867</v>
      </c>
      <c r="K95" t="s">
        <v>3144</v>
      </c>
      <c r="L95" t="s">
        <v>3145</v>
      </c>
      <c r="M95" t="s">
        <v>3146</v>
      </c>
      <c r="N95" t="s">
        <v>432</v>
      </c>
      <c r="O95" t="s">
        <v>143</v>
      </c>
    </row>
    <row r="96" spans="1:15" x14ac:dyDescent="0.35">
      <c r="A96">
        <v>56699</v>
      </c>
      <c r="B96" s="283">
        <v>44378</v>
      </c>
      <c r="C96">
        <v>1996</v>
      </c>
      <c r="D96">
        <v>1980</v>
      </c>
      <c r="E96">
        <v>100</v>
      </c>
      <c r="F96">
        <v>320</v>
      </c>
      <c r="G96">
        <v>2100</v>
      </c>
      <c r="H96">
        <v>50429.63</v>
      </c>
      <c r="I96">
        <v>0</v>
      </c>
      <c r="J96" s="283">
        <v>45412.177658182867</v>
      </c>
      <c r="K96" t="s">
        <v>3147</v>
      </c>
      <c r="L96" t="s">
        <v>3145</v>
      </c>
      <c r="M96" t="s">
        <v>3146</v>
      </c>
      <c r="N96" t="s">
        <v>432</v>
      </c>
      <c r="O96" t="s">
        <v>143</v>
      </c>
    </row>
    <row r="97" spans="1:15" x14ac:dyDescent="0.35">
      <c r="A97">
        <v>56700</v>
      </c>
      <c r="B97" s="283">
        <v>44378</v>
      </c>
      <c r="C97">
        <v>1996</v>
      </c>
      <c r="D97">
        <v>1980</v>
      </c>
      <c r="E97">
        <v>100</v>
      </c>
      <c r="F97">
        <v>320</v>
      </c>
      <c r="G97">
        <v>2160</v>
      </c>
      <c r="H97">
        <v>12819.72</v>
      </c>
      <c r="I97">
        <v>0</v>
      </c>
      <c r="J97" s="283">
        <v>45412.177658182867</v>
      </c>
      <c r="K97" t="s">
        <v>3149</v>
      </c>
      <c r="L97" t="s">
        <v>3145</v>
      </c>
      <c r="M97" t="s">
        <v>3146</v>
      </c>
      <c r="N97" t="s">
        <v>432</v>
      </c>
      <c r="O97" t="s">
        <v>143</v>
      </c>
    </row>
    <row r="98" spans="1:15" x14ac:dyDescent="0.35">
      <c r="A98">
        <v>56701</v>
      </c>
      <c r="B98" s="283">
        <v>44378</v>
      </c>
      <c r="C98">
        <v>1996</v>
      </c>
      <c r="D98">
        <v>1980</v>
      </c>
      <c r="E98">
        <v>100</v>
      </c>
      <c r="F98">
        <v>320</v>
      </c>
      <c r="G98">
        <v>2190</v>
      </c>
      <c r="H98">
        <v>2262.64</v>
      </c>
      <c r="I98">
        <v>0</v>
      </c>
      <c r="J98" s="283">
        <v>45412.177658182867</v>
      </c>
      <c r="K98" t="s">
        <v>3150</v>
      </c>
      <c r="L98" t="s">
        <v>3145</v>
      </c>
      <c r="M98" t="s">
        <v>3146</v>
      </c>
      <c r="N98" t="s">
        <v>432</v>
      </c>
      <c r="O98" t="s">
        <v>143</v>
      </c>
    </row>
    <row r="99" spans="1:15" x14ac:dyDescent="0.35">
      <c r="A99">
        <v>56713</v>
      </c>
      <c r="B99" s="283">
        <v>44378</v>
      </c>
      <c r="C99">
        <v>1997</v>
      </c>
      <c r="D99">
        <v>1980</v>
      </c>
      <c r="E99">
        <v>100</v>
      </c>
      <c r="F99">
        <v>320</v>
      </c>
      <c r="G99">
        <v>1200</v>
      </c>
      <c r="H99">
        <v>7927.35</v>
      </c>
      <c r="I99">
        <v>0</v>
      </c>
      <c r="J99" s="283">
        <v>45412.177658182867</v>
      </c>
      <c r="K99" t="s">
        <v>3144</v>
      </c>
      <c r="L99" t="s">
        <v>3145</v>
      </c>
      <c r="M99" t="s">
        <v>3146</v>
      </c>
      <c r="N99" t="s">
        <v>432</v>
      </c>
      <c r="O99" t="s">
        <v>219</v>
      </c>
    </row>
    <row r="100" spans="1:15" x14ac:dyDescent="0.35">
      <c r="A100">
        <v>56714</v>
      </c>
      <c r="B100" s="283">
        <v>44378</v>
      </c>
      <c r="C100">
        <v>1997</v>
      </c>
      <c r="D100">
        <v>1980</v>
      </c>
      <c r="E100">
        <v>100</v>
      </c>
      <c r="F100">
        <v>320</v>
      </c>
      <c r="G100">
        <v>2100</v>
      </c>
      <c r="H100">
        <v>43300.47</v>
      </c>
      <c r="I100">
        <v>0</v>
      </c>
      <c r="J100" s="283">
        <v>45412.177658182867</v>
      </c>
      <c r="K100" t="s">
        <v>3147</v>
      </c>
      <c r="L100" t="s">
        <v>3145</v>
      </c>
      <c r="M100" t="s">
        <v>3146</v>
      </c>
      <c r="N100" t="s">
        <v>432</v>
      </c>
      <c r="O100" t="s">
        <v>219</v>
      </c>
    </row>
    <row r="101" spans="1:15" x14ac:dyDescent="0.35">
      <c r="A101">
        <v>56715</v>
      </c>
      <c r="B101" s="283">
        <v>44378</v>
      </c>
      <c r="C101">
        <v>1997</v>
      </c>
      <c r="D101">
        <v>1980</v>
      </c>
      <c r="E101">
        <v>100</v>
      </c>
      <c r="F101">
        <v>320</v>
      </c>
      <c r="G101">
        <v>2160</v>
      </c>
      <c r="H101">
        <v>9101.02</v>
      </c>
      <c r="I101">
        <v>0</v>
      </c>
      <c r="J101" s="283">
        <v>45412.177658182867</v>
      </c>
      <c r="K101" t="s">
        <v>3149</v>
      </c>
      <c r="L101" t="s">
        <v>3145</v>
      </c>
      <c r="M101" t="s">
        <v>3146</v>
      </c>
      <c r="N101" t="s">
        <v>432</v>
      </c>
      <c r="O101" t="s">
        <v>219</v>
      </c>
    </row>
    <row r="102" spans="1:15" x14ac:dyDescent="0.35">
      <c r="A102">
        <v>56716</v>
      </c>
      <c r="B102" s="283">
        <v>44378</v>
      </c>
      <c r="C102">
        <v>1997</v>
      </c>
      <c r="D102">
        <v>1980</v>
      </c>
      <c r="E102">
        <v>100</v>
      </c>
      <c r="F102">
        <v>320</v>
      </c>
      <c r="G102">
        <v>2190</v>
      </c>
      <c r="H102">
        <v>1606.3</v>
      </c>
      <c r="I102">
        <v>0</v>
      </c>
      <c r="J102" s="283">
        <v>45412.177658182867</v>
      </c>
      <c r="K102" t="s">
        <v>3150</v>
      </c>
      <c r="L102" t="s">
        <v>3145</v>
      </c>
      <c r="M102" t="s">
        <v>3146</v>
      </c>
      <c r="N102" t="s">
        <v>432</v>
      </c>
      <c r="O102" t="s">
        <v>219</v>
      </c>
    </row>
    <row r="103" spans="1:15" x14ac:dyDescent="0.35">
      <c r="A103">
        <v>56728</v>
      </c>
      <c r="B103" s="283">
        <v>44378</v>
      </c>
      <c r="C103">
        <v>1998</v>
      </c>
      <c r="D103">
        <v>1980</v>
      </c>
      <c r="E103">
        <v>100</v>
      </c>
      <c r="F103">
        <v>320</v>
      </c>
      <c r="G103">
        <v>1200</v>
      </c>
      <c r="H103">
        <v>7513.24</v>
      </c>
      <c r="I103">
        <v>0</v>
      </c>
      <c r="J103" s="283">
        <v>45412.177658182867</v>
      </c>
      <c r="K103" t="s">
        <v>3144</v>
      </c>
      <c r="L103" t="s">
        <v>3145</v>
      </c>
      <c r="M103" t="s">
        <v>3146</v>
      </c>
      <c r="N103" t="s">
        <v>432</v>
      </c>
      <c r="O103" t="s">
        <v>77</v>
      </c>
    </row>
    <row r="104" spans="1:15" x14ac:dyDescent="0.35">
      <c r="A104">
        <v>56729</v>
      </c>
      <c r="B104" s="283">
        <v>44378</v>
      </c>
      <c r="C104">
        <v>1998</v>
      </c>
      <c r="D104">
        <v>1980</v>
      </c>
      <c r="E104">
        <v>100</v>
      </c>
      <c r="F104">
        <v>320</v>
      </c>
      <c r="G104">
        <v>2100</v>
      </c>
      <c r="H104">
        <v>31251.040000000001</v>
      </c>
      <c r="I104">
        <v>0</v>
      </c>
      <c r="J104" s="283">
        <v>45412.177658182867</v>
      </c>
      <c r="K104" t="s">
        <v>3147</v>
      </c>
      <c r="L104" t="s">
        <v>3145</v>
      </c>
      <c r="M104" t="s">
        <v>3146</v>
      </c>
      <c r="N104" t="s">
        <v>432</v>
      </c>
      <c r="O104" t="s">
        <v>77</v>
      </c>
    </row>
    <row r="105" spans="1:15" x14ac:dyDescent="0.35">
      <c r="A105">
        <v>56730</v>
      </c>
      <c r="B105" s="283">
        <v>44378</v>
      </c>
      <c r="C105">
        <v>1998</v>
      </c>
      <c r="D105">
        <v>1980</v>
      </c>
      <c r="E105">
        <v>100</v>
      </c>
      <c r="F105">
        <v>320</v>
      </c>
      <c r="G105">
        <v>2160</v>
      </c>
      <c r="H105">
        <v>8905.2999999999993</v>
      </c>
      <c r="I105">
        <v>0</v>
      </c>
      <c r="J105" s="283">
        <v>45412.177658182867</v>
      </c>
      <c r="K105" t="s">
        <v>3149</v>
      </c>
      <c r="L105" t="s">
        <v>3145</v>
      </c>
      <c r="M105" t="s">
        <v>3146</v>
      </c>
      <c r="N105" t="s">
        <v>432</v>
      </c>
      <c r="O105" t="s">
        <v>77</v>
      </c>
    </row>
    <row r="106" spans="1:15" x14ac:dyDescent="0.35">
      <c r="A106">
        <v>56731</v>
      </c>
      <c r="B106" s="283">
        <v>44378</v>
      </c>
      <c r="C106">
        <v>1998</v>
      </c>
      <c r="D106">
        <v>1980</v>
      </c>
      <c r="E106">
        <v>100</v>
      </c>
      <c r="F106">
        <v>320</v>
      </c>
      <c r="G106">
        <v>2190</v>
      </c>
      <c r="H106">
        <v>1571.76</v>
      </c>
      <c r="I106">
        <v>0</v>
      </c>
      <c r="J106" s="283">
        <v>45412.177658182867</v>
      </c>
      <c r="K106" t="s">
        <v>3150</v>
      </c>
      <c r="L106" t="s">
        <v>3145</v>
      </c>
      <c r="M106" t="s">
        <v>3146</v>
      </c>
      <c r="N106" t="s">
        <v>432</v>
      </c>
      <c r="O106" t="s">
        <v>77</v>
      </c>
    </row>
    <row r="107" spans="1:15" x14ac:dyDescent="0.35">
      <c r="A107">
        <v>56743</v>
      </c>
      <c r="B107" s="283">
        <v>44378</v>
      </c>
      <c r="C107">
        <v>1999</v>
      </c>
      <c r="D107">
        <v>1980</v>
      </c>
      <c r="E107">
        <v>100</v>
      </c>
      <c r="F107">
        <v>320</v>
      </c>
      <c r="G107">
        <v>1200</v>
      </c>
      <c r="H107">
        <v>6477.95</v>
      </c>
      <c r="I107">
        <v>0</v>
      </c>
      <c r="J107" s="283">
        <v>45412.177658182867</v>
      </c>
      <c r="K107" t="s">
        <v>3144</v>
      </c>
      <c r="L107" t="s">
        <v>3145</v>
      </c>
      <c r="M107" t="s">
        <v>3146</v>
      </c>
      <c r="N107" t="s">
        <v>432</v>
      </c>
      <c r="O107" t="s">
        <v>177</v>
      </c>
    </row>
    <row r="108" spans="1:15" x14ac:dyDescent="0.35">
      <c r="A108">
        <v>56744</v>
      </c>
      <c r="B108" s="283">
        <v>44378</v>
      </c>
      <c r="C108">
        <v>1999</v>
      </c>
      <c r="D108">
        <v>1980</v>
      </c>
      <c r="E108">
        <v>100</v>
      </c>
      <c r="F108">
        <v>320</v>
      </c>
      <c r="G108">
        <v>2100</v>
      </c>
      <c r="H108">
        <v>115163.34</v>
      </c>
      <c r="I108">
        <v>0</v>
      </c>
      <c r="J108" s="283">
        <v>45412.177658182867</v>
      </c>
      <c r="K108" t="s">
        <v>3147</v>
      </c>
      <c r="L108" t="s">
        <v>3145</v>
      </c>
      <c r="M108" t="s">
        <v>3146</v>
      </c>
      <c r="N108" t="s">
        <v>432</v>
      </c>
      <c r="O108" t="s">
        <v>177</v>
      </c>
    </row>
    <row r="109" spans="1:15" x14ac:dyDescent="0.35">
      <c r="A109">
        <v>56745</v>
      </c>
      <c r="B109" s="283">
        <v>44378</v>
      </c>
      <c r="C109">
        <v>1999</v>
      </c>
      <c r="D109">
        <v>1980</v>
      </c>
      <c r="E109">
        <v>100</v>
      </c>
      <c r="F109">
        <v>320</v>
      </c>
      <c r="G109">
        <v>2160</v>
      </c>
      <c r="H109">
        <v>12526.13</v>
      </c>
      <c r="I109">
        <v>0</v>
      </c>
      <c r="J109" s="283">
        <v>45412.177658182867</v>
      </c>
      <c r="K109" t="s">
        <v>3149</v>
      </c>
      <c r="L109" t="s">
        <v>3145</v>
      </c>
      <c r="M109" t="s">
        <v>3146</v>
      </c>
      <c r="N109" t="s">
        <v>432</v>
      </c>
      <c r="O109" t="s">
        <v>177</v>
      </c>
    </row>
    <row r="110" spans="1:15" x14ac:dyDescent="0.35">
      <c r="A110">
        <v>56746</v>
      </c>
      <c r="B110" s="283">
        <v>44378</v>
      </c>
      <c r="C110">
        <v>1999</v>
      </c>
      <c r="D110">
        <v>1980</v>
      </c>
      <c r="E110">
        <v>100</v>
      </c>
      <c r="F110">
        <v>320</v>
      </c>
      <c r="G110">
        <v>2190</v>
      </c>
      <c r="H110">
        <v>2210.83</v>
      </c>
      <c r="I110">
        <v>0</v>
      </c>
      <c r="J110" s="283">
        <v>45412.177658182867</v>
      </c>
      <c r="K110" t="s">
        <v>3150</v>
      </c>
      <c r="L110" t="s">
        <v>3145</v>
      </c>
      <c r="M110" t="s">
        <v>3146</v>
      </c>
      <c r="N110" t="s">
        <v>432</v>
      </c>
      <c r="O110" t="s">
        <v>177</v>
      </c>
    </row>
    <row r="111" spans="1:15" x14ac:dyDescent="0.35">
      <c r="A111">
        <v>56758</v>
      </c>
      <c r="B111" s="283">
        <v>44378</v>
      </c>
      <c r="C111">
        <v>2000</v>
      </c>
      <c r="D111">
        <v>1980</v>
      </c>
      <c r="E111">
        <v>100</v>
      </c>
      <c r="F111">
        <v>320</v>
      </c>
      <c r="G111">
        <v>1200</v>
      </c>
      <c r="H111">
        <v>8193.57</v>
      </c>
      <c r="I111">
        <v>0</v>
      </c>
      <c r="J111" s="283">
        <v>45412.177658182867</v>
      </c>
      <c r="K111" t="s">
        <v>3144</v>
      </c>
      <c r="L111" t="s">
        <v>3145</v>
      </c>
      <c r="M111" t="s">
        <v>3146</v>
      </c>
      <c r="N111" t="s">
        <v>432</v>
      </c>
      <c r="O111" t="s">
        <v>89</v>
      </c>
    </row>
    <row r="112" spans="1:15" x14ac:dyDescent="0.35">
      <c r="A112">
        <v>56759</v>
      </c>
      <c r="B112" s="283">
        <v>44378</v>
      </c>
      <c r="C112">
        <v>2000</v>
      </c>
      <c r="D112">
        <v>1980</v>
      </c>
      <c r="E112">
        <v>100</v>
      </c>
      <c r="F112">
        <v>320</v>
      </c>
      <c r="G112">
        <v>2100</v>
      </c>
      <c r="H112">
        <v>110112.89</v>
      </c>
      <c r="I112">
        <v>0</v>
      </c>
      <c r="J112" s="283">
        <v>45412.177658182867</v>
      </c>
      <c r="K112" t="s">
        <v>3147</v>
      </c>
      <c r="L112" t="s">
        <v>3145</v>
      </c>
      <c r="M112" t="s">
        <v>3146</v>
      </c>
      <c r="N112" t="s">
        <v>432</v>
      </c>
      <c r="O112" t="s">
        <v>89</v>
      </c>
    </row>
    <row r="113" spans="1:15" x14ac:dyDescent="0.35">
      <c r="A113">
        <v>56760</v>
      </c>
      <c r="B113" s="283">
        <v>44378</v>
      </c>
      <c r="C113">
        <v>2000</v>
      </c>
      <c r="D113">
        <v>1980</v>
      </c>
      <c r="E113">
        <v>100</v>
      </c>
      <c r="F113">
        <v>320</v>
      </c>
      <c r="G113">
        <v>2160</v>
      </c>
      <c r="H113">
        <v>10422.14</v>
      </c>
      <c r="I113">
        <v>0</v>
      </c>
      <c r="J113" s="283">
        <v>45412.177658182867</v>
      </c>
      <c r="K113" t="s">
        <v>3149</v>
      </c>
      <c r="L113" t="s">
        <v>3145</v>
      </c>
      <c r="M113" t="s">
        <v>3146</v>
      </c>
      <c r="N113" t="s">
        <v>432</v>
      </c>
      <c r="O113" t="s">
        <v>89</v>
      </c>
    </row>
    <row r="114" spans="1:15" x14ac:dyDescent="0.35">
      <c r="A114">
        <v>56761</v>
      </c>
      <c r="B114" s="283">
        <v>44378</v>
      </c>
      <c r="C114">
        <v>2000</v>
      </c>
      <c r="D114">
        <v>1980</v>
      </c>
      <c r="E114">
        <v>100</v>
      </c>
      <c r="F114">
        <v>320</v>
      </c>
      <c r="G114">
        <v>2190</v>
      </c>
      <c r="H114">
        <v>1839.48</v>
      </c>
      <c r="I114">
        <v>0</v>
      </c>
      <c r="J114" s="283">
        <v>45412.177658182867</v>
      </c>
      <c r="K114" t="s">
        <v>3150</v>
      </c>
      <c r="L114" t="s">
        <v>3145</v>
      </c>
      <c r="M114" t="s">
        <v>3146</v>
      </c>
      <c r="N114" t="s">
        <v>432</v>
      </c>
      <c r="O114" t="s">
        <v>89</v>
      </c>
    </row>
    <row r="115" spans="1:15" x14ac:dyDescent="0.35">
      <c r="A115">
        <v>56773</v>
      </c>
      <c r="B115" s="283">
        <v>44378</v>
      </c>
      <c r="C115">
        <v>2002</v>
      </c>
      <c r="D115">
        <v>1980</v>
      </c>
      <c r="E115">
        <v>100</v>
      </c>
      <c r="F115">
        <v>320</v>
      </c>
      <c r="G115">
        <v>1200</v>
      </c>
      <c r="H115">
        <v>30378.32</v>
      </c>
      <c r="I115">
        <v>0</v>
      </c>
      <c r="J115" s="283">
        <v>45412.177658182867</v>
      </c>
      <c r="K115" t="s">
        <v>3144</v>
      </c>
      <c r="L115" t="s">
        <v>3145</v>
      </c>
      <c r="M115" t="s">
        <v>3146</v>
      </c>
      <c r="N115" t="s">
        <v>432</v>
      </c>
      <c r="O115" t="s">
        <v>216</v>
      </c>
    </row>
    <row r="116" spans="1:15" x14ac:dyDescent="0.35">
      <c r="A116">
        <v>56774</v>
      </c>
      <c r="B116" s="283">
        <v>44378</v>
      </c>
      <c r="C116">
        <v>2002</v>
      </c>
      <c r="D116">
        <v>1980</v>
      </c>
      <c r="E116">
        <v>100</v>
      </c>
      <c r="F116">
        <v>320</v>
      </c>
      <c r="G116">
        <v>2100</v>
      </c>
      <c r="H116">
        <v>316262</v>
      </c>
      <c r="I116">
        <v>0</v>
      </c>
      <c r="J116" s="283">
        <v>45412.177658182867</v>
      </c>
      <c r="K116" t="s">
        <v>3147</v>
      </c>
      <c r="L116" t="s">
        <v>3145</v>
      </c>
      <c r="M116" t="s">
        <v>3146</v>
      </c>
      <c r="N116" t="s">
        <v>432</v>
      </c>
      <c r="O116" t="s">
        <v>216</v>
      </c>
    </row>
    <row r="117" spans="1:15" x14ac:dyDescent="0.35">
      <c r="A117">
        <v>56775</v>
      </c>
      <c r="B117" s="283">
        <v>44378</v>
      </c>
      <c r="C117">
        <v>2002</v>
      </c>
      <c r="D117">
        <v>1980</v>
      </c>
      <c r="E117">
        <v>100</v>
      </c>
      <c r="F117">
        <v>320</v>
      </c>
      <c r="G117">
        <v>2160</v>
      </c>
      <c r="H117">
        <v>53089.279999999999</v>
      </c>
      <c r="I117">
        <v>0</v>
      </c>
      <c r="J117" s="283">
        <v>45412.177658182867</v>
      </c>
      <c r="K117" t="s">
        <v>3149</v>
      </c>
      <c r="L117" t="s">
        <v>3145</v>
      </c>
      <c r="M117" t="s">
        <v>3146</v>
      </c>
      <c r="N117" t="s">
        <v>432</v>
      </c>
      <c r="O117" t="s">
        <v>216</v>
      </c>
    </row>
    <row r="118" spans="1:15" x14ac:dyDescent="0.35">
      <c r="A118">
        <v>56776</v>
      </c>
      <c r="B118" s="283">
        <v>44378</v>
      </c>
      <c r="C118">
        <v>2002</v>
      </c>
      <c r="D118">
        <v>1980</v>
      </c>
      <c r="E118">
        <v>100</v>
      </c>
      <c r="F118">
        <v>320</v>
      </c>
      <c r="G118">
        <v>2190</v>
      </c>
      <c r="H118">
        <v>9370.1</v>
      </c>
      <c r="I118">
        <v>0</v>
      </c>
      <c r="J118" s="283">
        <v>45412.177658182867</v>
      </c>
      <c r="K118" t="s">
        <v>3150</v>
      </c>
      <c r="L118" t="s">
        <v>3145</v>
      </c>
      <c r="M118" t="s">
        <v>3146</v>
      </c>
      <c r="N118" t="s">
        <v>432</v>
      </c>
      <c r="O118" t="s">
        <v>216</v>
      </c>
    </row>
    <row r="119" spans="1:15" x14ac:dyDescent="0.35">
      <c r="A119">
        <v>56788</v>
      </c>
      <c r="B119" s="283">
        <v>44378</v>
      </c>
      <c r="C119">
        <v>2003</v>
      </c>
      <c r="D119">
        <v>1980</v>
      </c>
      <c r="E119">
        <v>100</v>
      </c>
      <c r="F119">
        <v>320</v>
      </c>
      <c r="G119">
        <v>1200</v>
      </c>
      <c r="H119">
        <v>28692.28</v>
      </c>
      <c r="I119">
        <v>0</v>
      </c>
      <c r="J119" s="283">
        <v>45412.177658182867</v>
      </c>
      <c r="K119" t="s">
        <v>3144</v>
      </c>
      <c r="L119" t="s">
        <v>3145</v>
      </c>
      <c r="M119" t="s">
        <v>3146</v>
      </c>
      <c r="N119" t="s">
        <v>432</v>
      </c>
      <c r="O119" t="s">
        <v>201</v>
      </c>
    </row>
    <row r="120" spans="1:15" x14ac:dyDescent="0.35">
      <c r="A120">
        <v>56789</v>
      </c>
      <c r="B120" s="283">
        <v>44378</v>
      </c>
      <c r="C120">
        <v>2003</v>
      </c>
      <c r="D120">
        <v>1980</v>
      </c>
      <c r="E120">
        <v>100</v>
      </c>
      <c r="F120">
        <v>320</v>
      </c>
      <c r="G120">
        <v>2100</v>
      </c>
      <c r="H120">
        <v>212503.79</v>
      </c>
      <c r="I120">
        <v>0</v>
      </c>
      <c r="J120" s="283">
        <v>45412.177658182867</v>
      </c>
      <c r="K120" t="s">
        <v>3147</v>
      </c>
      <c r="L120" t="s">
        <v>3145</v>
      </c>
      <c r="M120" t="s">
        <v>3146</v>
      </c>
      <c r="N120" t="s">
        <v>432</v>
      </c>
      <c r="O120" t="s">
        <v>201</v>
      </c>
    </row>
    <row r="121" spans="1:15" x14ac:dyDescent="0.35">
      <c r="A121">
        <v>56790</v>
      </c>
      <c r="B121" s="283">
        <v>44378</v>
      </c>
      <c r="C121">
        <v>2003</v>
      </c>
      <c r="D121">
        <v>1980</v>
      </c>
      <c r="E121">
        <v>100</v>
      </c>
      <c r="F121">
        <v>320</v>
      </c>
      <c r="G121">
        <v>2160</v>
      </c>
      <c r="H121">
        <v>49272.71</v>
      </c>
      <c r="I121">
        <v>0</v>
      </c>
      <c r="J121" s="283">
        <v>45412.177658182867</v>
      </c>
      <c r="K121" t="s">
        <v>3149</v>
      </c>
      <c r="L121" t="s">
        <v>3145</v>
      </c>
      <c r="M121" t="s">
        <v>3146</v>
      </c>
      <c r="N121" t="s">
        <v>432</v>
      </c>
      <c r="O121" t="s">
        <v>201</v>
      </c>
    </row>
    <row r="122" spans="1:15" x14ac:dyDescent="0.35">
      <c r="A122">
        <v>56791</v>
      </c>
      <c r="B122" s="283">
        <v>44378</v>
      </c>
      <c r="C122">
        <v>2003</v>
      </c>
      <c r="D122">
        <v>1980</v>
      </c>
      <c r="E122">
        <v>100</v>
      </c>
      <c r="F122">
        <v>320</v>
      </c>
      <c r="G122">
        <v>2190</v>
      </c>
      <c r="H122">
        <v>8696.49</v>
      </c>
      <c r="I122">
        <v>0</v>
      </c>
      <c r="J122" s="283">
        <v>45412.177658182867</v>
      </c>
      <c r="K122" t="s">
        <v>3150</v>
      </c>
      <c r="L122" t="s">
        <v>3145</v>
      </c>
      <c r="M122" t="s">
        <v>3146</v>
      </c>
      <c r="N122" t="s">
        <v>432</v>
      </c>
      <c r="O122" t="s">
        <v>201</v>
      </c>
    </row>
    <row r="123" spans="1:15" x14ac:dyDescent="0.35">
      <c r="A123">
        <v>56796</v>
      </c>
      <c r="B123" s="283">
        <v>44378</v>
      </c>
      <c r="C123">
        <v>2005</v>
      </c>
      <c r="D123">
        <v>2004</v>
      </c>
      <c r="E123">
        <v>100</v>
      </c>
      <c r="F123">
        <v>320</v>
      </c>
      <c r="G123">
        <v>1200</v>
      </c>
      <c r="H123">
        <v>168310</v>
      </c>
      <c r="I123">
        <v>0</v>
      </c>
      <c r="J123" s="283">
        <v>45412.177658182867</v>
      </c>
      <c r="K123" t="s">
        <v>3144</v>
      </c>
      <c r="L123" t="s">
        <v>3145</v>
      </c>
      <c r="M123" t="s">
        <v>3146</v>
      </c>
      <c r="N123" t="s">
        <v>310</v>
      </c>
      <c r="O123" t="s">
        <v>24</v>
      </c>
    </row>
    <row r="124" spans="1:15" x14ac:dyDescent="0.35">
      <c r="A124">
        <v>56801</v>
      </c>
      <c r="B124" s="283">
        <v>44378</v>
      </c>
      <c r="C124">
        <v>2006</v>
      </c>
      <c r="D124">
        <v>2004</v>
      </c>
      <c r="E124">
        <v>100</v>
      </c>
      <c r="F124">
        <v>320</v>
      </c>
      <c r="G124">
        <v>1200</v>
      </c>
      <c r="H124">
        <v>145884</v>
      </c>
      <c r="I124">
        <v>0</v>
      </c>
      <c r="J124" s="283">
        <v>45412.177658182867</v>
      </c>
      <c r="K124" t="s">
        <v>3144</v>
      </c>
      <c r="L124" t="s">
        <v>3145</v>
      </c>
      <c r="M124" t="s">
        <v>3146</v>
      </c>
      <c r="N124" t="s">
        <v>310</v>
      </c>
      <c r="O124" t="s">
        <v>53</v>
      </c>
    </row>
    <row r="125" spans="1:15" x14ac:dyDescent="0.35">
      <c r="A125">
        <v>56806</v>
      </c>
      <c r="B125" s="283">
        <v>44378</v>
      </c>
      <c r="C125">
        <v>2195</v>
      </c>
      <c r="D125">
        <v>2004</v>
      </c>
      <c r="E125">
        <v>100</v>
      </c>
      <c r="F125">
        <v>320</v>
      </c>
      <c r="G125">
        <v>1200</v>
      </c>
      <c r="H125">
        <v>246777</v>
      </c>
      <c r="I125">
        <v>0</v>
      </c>
      <c r="J125" s="283">
        <v>45412.177658182867</v>
      </c>
      <c r="K125" t="s">
        <v>3144</v>
      </c>
      <c r="L125" t="s">
        <v>3145</v>
      </c>
      <c r="M125" t="s">
        <v>3146</v>
      </c>
      <c r="N125" t="s">
        <v>310</v>
      </c>
      <c r="O125" t="s">
        <v>186</v>
      </c>
    </row>
    <row r="126" spans="1:15" x14ac:dyDescent="0.35">
      <c r="A126">
        <v>56811</v>
      </c>
      <c r="B126" s="283">
        <v>44378</v>
      </c>
      <c r="C126">
        <v>2247</v>
      </c>
      <c r="D126">
        <v>2004</v>
      </c>
      <c r="E126">
        <v>100</v>
      </c>
      <c r="F126">
        <v>320</v>
      </c>
      <c r="G126">
        <v>1200</v>
      </c>
      <c r="H126">
        <v>56234</v>
      </c>
      <c r="I126">
        <v>0</v>
      </c>
      <c r="J126" s="283">
        <v>45412.177658182867</v>
      </c>
      <c r="K126" t="s">
        <v>3144</v>
      </c>
      <c r="L126" t="s">
        <v>3145</v>
      </c>
      <c r="M126" t="s">
        <v>3146</v>
      </c>
      <c r="N126" t="s">
        <v>310</v>
      </c>
      <c r="O126" t="s">
        <v>195</v>
      </c>
    </row>
    <row r="127" spans="1:15" x14ac:dyDescent="0.35">
      <c r="A127">
        <v>56816</v>
      </c>
      <c r="B127" s="283">
        <v>44378</v>
      </c>
      <c r="C127">
        <v>2248</v>
      </c>
      <c r="D127">
        <v>2004</v>
      </c>
      <c r="E127">
        <v>100</v>
      </c>
      <c r="F127">
        <v>320</v>
      </c>
      <c r="G127">
        <v>1200</v>
      </c>
      <c r="H127">
        <v>95544</v>
      </c>
      <c r="I127">
        <v>0</v>
      </c>
      <c r="J127" s="283">
        <v>45412.177658182867</v>
      </c>
      <c r="K127" t="s">
        <v>3144</v>
      </c>
      <c r="L127" t="s">
        <v>3145</v>
      </c>
      <c r="M127" t="s">
        <v>3146</v>
      </c>
      <c r="N127" t="s">
        <v>310</v>
      </c>
      <c r="O127" t="s">
        <v>84</v>
      </c>
    </row>
    <row r="128" spans="1:15" x14ac:dyDescent="0.35">
      <c r="A128">
        <v>56821</v>
      </c>
      <c r="B128" s="283">
        <v>44378</v>
      </c>
      <c r="C128">
        <v>2249</v>
      </c>
      <c r="D128">
        <v>2004</v>
      </c>
      <c r="E128">
        <v>100</v>
      </c>
      <c r="F128">
        <v>320</v>
      </c>
      <c r="G128">
        <v>1200</v>
      </c>
      <c r="H128">
        <v>71067</v>
      </c>
      <c r="I128">
        <v>0</v>
      </c>
      <c r="J128" s="283">
        <v>45412.177658182867</v>
      </c>
      <c r="K128" t="s">
        <v>3144</v>
      </c>
      <c r="L128" t="s">
        <v>3145</v>
      </c>
      <c r="M128" t="s">
        <v>3146</v>
      </c>
      <c r="N128" t="s">
        <v>310</v>
      </c>
      <c r="O128" t="s">
        <v>131</v>
      </c>
    </row>
    <row r="129" spans="1:15" x14ac:dyDescent="0.35">
      <c r="A129">
        <v>56827</v>
      </c>
      <c r="B129" s="283">
        <v>44378</v>
      </c>
      <c r="C129">
        <v>2008</v>
      </c>
      <c r="D129">
        <v>2007</v>
      </c>
      <c r="E129">
        <v>100</v>
      </c>
      <c r="F129">
        <v>320</v>
      </c>
      <c r="G129">
        <v>1200</v>
      </c>
      <c r="H129">
        <v>26248.03</v>
      </c>
      <c r="I129">
        <v>0</v>
      </c>
      <c r="J129" s="283">
        <v>45412.177658182867</v>
      </c>
      <c r="K129" t="s">
        <v>3144</v>
      </c>
      <c r="L129" t="s">
        <v>3145</v>
      </c>
      <c r="M129" t="s">
        <v>3146</v>
      </c>
      <c r="N129" t="s">
        <v>579</v>
      </c>
      <c r="O129" t="s">
        <v>109</v>
      </c>
    </row>
    <row r="130" spans="1:15" x14ac:dyDescent="0.35">
      <c r="A130">
        <v>56828</v>
      </c>
      <c r="B130" s="283">
        <v>44378</v>
      </c>
      <c r="C130">
        <v>2008</v>
      </c>
      <c r="D130">
        <v>2007</v>
      </c>
      <c r="E130">
        <v>100</v>
      </c>
      <c r="F130">
        <v>320</v>
      </c>
      <c r="G130">
        <v>2100</v>
      </c>
      <c r="H130">
        <v>166992.51</v>
      </c>
      <c r="I130">
        <v>0</v>
      </c>
      <c r="J130" s="283">
        <v>45412.177658182867</v>
      </c>
      <c r="K130" t="s">
        <v>3147</v>
      </c>
      <c r="L130" t="s">
        <v>3145</v>
      </c>
      <c r="M130" t="s">
        <v>3146</v>
      </c>
      <c r="N130" t="s">
        <v>579</v>
      </c>
      <c r="O130" t="s">
        <v>109</v>
      </c>
    </row>
    <row r="131" spans="1:15" x14ac:dyDescent="0.35">
      <c r="A131">
        <v>56829</v>
      </c>
      <c r="B131" s="283">
        <v>44378</v>
      </c>
      <c r="C131">
        <v>2008</v>
      </c>
      <c r="D131">
        <v>2007</v>
      </c>
      <c r="E131">
        <v>100</v>
      </c>
      <c r="F131">
        <v>320</v>
      </c>
      <c r="G131">
        <v>2190</v>
      </c>
      <c r="H131">
        <v>21585.96</v>
      </c>
      <c r="I131">
        <v>0</v>
      </c>
      <c r="J131" s="283">
        <v>45412.177658182867</v>
      </c>
      <c r="K131" t="s">
        <v>3150</v>
      </c>
      <c r="L131" t="s">
        <v>3145</v>
      </c>
      <c r="M131" t="s">
        <v>3146</v>
      </c>
      <c r="N131" t="s">
        <v>579</v>
      </c>
      <c r="O131" t="s">
        <v>109</v>
      </c>
    </row>
    <row r="132" spans="1:15" x14ac:dyDescent="0.35">
      <c r="A132">
        <v>56836</v>
      </c>
      <c r="B132" s="283">
        <v>44378</v>
      </c>
      <c r="C132">
        <v>2009</v>
      </c>
      <c r="D132">
        <v>2007</v>
      </c>
      <c r="E132">
        <v>100</v>
      </c>
      <c r="F132">
        <v>320</v>
      </c>
      <c r="G132">
        <v>1200</v>
      </c>
      <c r="H132">
        <v>7364.32</v>
      </c>
      <c r="I132">
        <v>0</v>
      </c>
      <c r="J132" s="283">
        <v>45412.177658182867</v>
      </c>
      <c r="K132" t="s">
        <v>3144</v>
      </c>
      <c r="L132" t="s">
        <v>3145</v>
      </c>
      <c r="M132" t="s">
        <v>3146</v>
      </c>
      <c r="N132" t="s">
        <v>579</v>
      </c>
      <c r="O132" t="s">
        <v>171</v>
      </c>
    </row>
    <row r="133" spans="1:15" x14ac:dyDescent="0.35">
      <c r="A133">
        <v>56837</v>
      </c>
      <c r="B133" s="283">
        <v>44378</v>
      </c>
      <c r="C133">
        <v>2009</v>
      </c>
      <c r="D133">
        <v>2007</v>
      </c>
      <c r="E133">
        <v>100</v>
      </c>
      <c r="F133">
        <v>320</v>
      </c>
      <c r="G133">
        <v>2100</v>
      </c>
      <c r="H133">
        <v>28028.880000000001</v>
      </c>
      <c r="I133">
        <v>0</v>
      </c>
      <c r="J133" s="283">
        <v>45412.177658182867</v>
      </c>
      <c r="K133" t="s">
        <v>3147</v>
      </c>
      <c r="L133" t="s">
        <v>3145</v>
      </c>
      <c r="M133" t="s">
        <v>3146</v>
      </c>
      <c r="N133" t="s">
        <v>579</v>
      </c>
      <c r="O133" t="s">
        <v>171</v>
      </c>
    </row>
    <row r="134" spans="1:15" x14ac:dyDescent="0.35">
      <c r="A134">
        <v>56838</v>
      </c>
      <c r="B134" s="283">
        <v>44378</v>
      </c>
      <c r="C134">
        <v>2009</v>
      </c>
      <c r="D134">
        <v>2007</v>
      </c>
      <c r="E134">
        <v>100</v>
      </c>
      <c r="F134">
        <v>320</v>
      </c>
      <c r="G134">
        <v>2190</v>
      </c>
      <c r="H134">
        <v>5147.3500000000004</v>
      </c>
      <c r="I134">
        <v>0</v>
      </c>
      <c r="J134" s="283">
        <v>45412.177658182867</v>
      </c>
      <c r="K134" t="s">
        <v>3150</v>
      </c>
      <c r="L134" t="s">
        <v>3145</v>
      </c>
      <c r="M134" t="s">
        <v>3146</v>
      </c>
      <c r="N134" t="s">
        <v>579</v>
      </c>
      <c r="O134" t="s">
        <v>171</v>
      </c>
    </row>
    <row r="135" spans="1:15" x14ac:dyDescent="0.35">
      <c r="A135">
        <v>56845</v>
      </c>
      <c r="B135" s="283">
        <v>44378</v>
      </c>
      <c r="C135">
        <v>2010</v>
      </c>
      <c r="D135">
        <v>2007</v>
      </c>
      <c r="E135">
        <v>100</v>
      </c>
      <c r="F135">
        <v>320</v>
      </c>
      <c r="G135">
        <v>1200</v>
      </c>
      <c r="H135">
        <v>33874.269999999997</v>
      </c>
      <c r="I135">
        <v>0</v>
      </c>
      <c r="J135" s="283">
        <v>45412.177658182867</v>
      </c>
      <c r="K135" t="s">
        <v>3144</v>
      </c>
      <c r="L135" t="s">
        <v>3145</v>
      </c>
      <c r="M135" t="s">
        <v>3146</v>
      </c>
      <c r="N135" t="s">
        <v>579</v>
      </c>
      <c r="O135" t="s">
        <v>134</v>
      </c>
    </row>
    <row r="136" spans="1:15" x14ac:dyDescent="0.35">
      <c r="A136">
        <v>56846</v>
      </c>
      <c r="B136" s="283">
        <v>44378</v>
      </c>
      <c r="C136">
        <v>2010</v>
      </c>
      <c r="D136">
        <v>2007</v>
      </c>
      <c r="E136">
        <v>100</v>
      </c>
      <c r="F136">
        <v>320</v>
      </c>
      <c r="G136">
        <v>2190</v>
      </c>
      <c r="H136">
        <v>32966.129999999997</v>
      </c>
      <c r="I136">
        <v>0</v>
      </c>
      <c r="J136" s="283">
        <v>45412.177658182867</v>
      </c>
      <c r="K136" t="s">
        <v>3150</v>
      </c>
      <c r="L136" t="s">
        <v>3145</v>
      </c>
      <c r="M136" t="s">
        <v>3146</v>
      </c>
      <c r="N136" t="s">
        <v>579</v>
      </c>
      <c r="O136" t="s">
        <v>134</v>
      </c>
    </row>
    <row r="137" spans="1:15" x14ac:dyDescent="0.35">
      <c r="A137">
        <v>56853</v>
      </c>
      <c r="B137" s="283">
        <v>44378</v>
      </c>
      <c r="C137">
        <v>2011</v>
      </c>
      <c r="D137">
        <v>2007</v>
      </c>
      <c r="E137">
        <v>100</v>
      </c>
      <c r="F137">
        <v>320</v>
      </c>
      <c r="G137">
        <v>1200</v>
      </c>
      <c r="H137">
        <v>41268.25</v>
      </c>
      <c r="I137">
        <v>0</v>
      </c>
      <c r="J137" s="283">
        <v>45412.177658182867</v>
      </c>
      <c r="K137" t="s">
        <v>3144</v>
      </c>
      <c r="L137" t="s">
        <v>3145</v>
      </c>
      <c r="M137" t="s">
        <v>3146</v>
      </c>
      <c r="N137" t="s">
        <v>579</v>
      </c>
      <c r="O137" t="s">
        <v>67</v>
      </c>
    </row>
    <row r="138" spans="1:15" x14ac:dyDescent="0.35">
      <c r="A138">
        <v>56854</v>
      </c>
      <c r="B138" s="283">
        <v>44378</v>
      </c>
      <c r="C138">
        <v>2011</v>
      </c>
      <c r="D138">
        <v>2007</v>
      </c>
      <c r="E138">
        <v>100</v>
      </c>
      <c r="F138">
        <v>320</v>
      </c>
      <c r="G138">
        <v>2190</v>
      </c>
      <c r="H138">
        <v>36961.089999999997</v>
      </c>
      <c r="I138">
        <v>0</v>
      </c>
      <c r="J138" s="283">
        <v>45412.177658182867</v>
      </c>
      <c r="K138" t="s">
        <v>3150</v>
      </c>
      <c r="L138" t="s">
        <v>3145</v>
      </c>
      <c r="M138" t="s">
        <v>3146</v>
      </c>
      <c r="N138" t="s">
        <v>579</v>
      </c>
      <c r="O138" t="s">
        <v>67</v>
      </c>
    </row>
    <row r="139" spans="1:15" x14ac:dyDescent="0.35">
      <c r="A139">
        <v>56861</v>
      </c>
      <c r="B139" s="283">
        <v>44378</v>
      </c>
      <c r="C139">
        <v>2012</v>
      </c>
      <c r="D139">
        <v>2007</v>
      </c>
      <c r="E139">
        <v>100</v>
      </c>
      <c r="F139">
        <v>320</v>
      </c>
      <c r="G139">
        <v>1200</v>
      </c>
      <c r="H139">
        <v>34823.21</v>
      </c>
      <c r="I139">
        <v>0</v>
      </c>
      <c r="J139" s="283">
        <v>45412.177658182867</v>
      </c>
      <c r="K139" t="s">
        <v>3144</v>
      </c>
      <c r="L139" t="s">
        <v>3145</v>
      </c>
      <c r="M139" t="s">
        <v>3146</v>
      </c>
      <c r="N139" t="s">
        <v>579</v>
      </c>
      <c r="O139" t="s">
        <v>122</v>
      </c>
    </row>
    <row r="140" spans="1:15" x14ac:dyDescent="0.35">
      <c r="A140">
        <v>56862</v>
      </c>
      <c r="B140" s="283">
        <v>44378</v>
      </c>
      <c r="C140">
        <v>2012</v>
      </c>
      <c r="D140">
        <v>2007</v>
      </c>
      <c r="E140">
        <v>100</v>
      </c>
      <c r="F140">
        <v>320</v>
      </c>
      <c r="G140">
        <v>2190</v>
      </c>
      <c r="H140">
        <v>30950.19</v>
      </c>
      <c r="I140">
        <v>0</v>
      </c>
      <c r="J140" s="283">
        <v>45412.177658182867</v>
      </c>
      <c r="K140" t="s">
        <v>3150</v>
      </c>
      <c r="L140" t="s">
        <v>3145</v>
      </c>
      <c r="M140" t="s">
        <v>3146</v>
      </c>
      <c r="N140" t="s">
        <v>579</v>
      </c>
      <c r="O140" t="s">
        <v>122</v>
      </c>
    </row>
    <row r="141" spans="1:15" x14ac:dyDescent="0.35">
      <c r="A141">
        <v>56871</v>
      </c>
      <c r="B141" s="283">
        <v>44378</v>
      </c>
      <c r="C141">
        <v>2015</v>
      </c>
      <c r="D141">
        <v>2013</v>
      </c>
      <c r="E141">
        <v>100</v>
      </c>
      <c r="F141">
        <v>320</v>
      </c>
      <c r="G141">
        <v>2100</v>
      </c>
      <c r="H141">
        <v>43199.519999999997</v>
      </c>
      <c r="I141">
        <v>0</v>
      </c>
      <c r="J141" s="283">
        <v>45412.177658182867</v>
      </c>
      <c r="K141" t="s">
        <v>3147</v>
      </c>
      <c r="L141" t="s">
        <v>3145</v>
      </c>
      <c r="M141" t="s">
        <v>3146</v>
      </c>
      <c r="N141" t="s">
        <v>585</v>
      </c>
      <c r="O141" t="s">
        <v>95</v>
      </c>
    </row>
    <row r="142" spans="1:15" x14ac:dyDescent="0.35">
      <c r="A142">
        <v>56872</v>
      </c>
      <c r="B142" s="283">
        <v>44378</v>
      </c>
      <c r="C142">
        <v>2015</v>
      </c>
      <c r="D142">
        <v>2013</v>
      </c>
      <c r="E142">
        <v>100</v>
      </c>
      <c r="F142">
        <v>320</v>
      </c>
      <c r="G142">
        <v>2190</v>
      </c>
      <c r="H142">
        <v>133446.5</v>
      </c>
      <c r="I142">
        <v>0</v>
      </c>
      <c r="J142" s="283">
        <v>45412.177658182867</v>
      </c>
      <c r="K142" t="s">
        <v>3150</v>
      </c>
      <c r="L142" t="s">
        <v>3145</v>
      </c>
      <c r="M142" t="s">
        <v>3146</v>
      </c>
      <c r="N142" t="s">
        <v>585</v>
      </c>
      <c r="O142" t="s">
        <v>95</v>
      </c>
    </row>
    <row r="143" spans="1:15" x14ac:dyDescent="0.35">
      <c r="A143">
        <v>56881</v>
      </c>
      <c r="B143" s="283">
        <v>44378</v>
      </c>
      <c r="C143">
        <v>2016</v>
      </c>
      <c r="D143">
        <v>2013</v>
      </c>
      <c r="E143">
        <v>100</v>
      </c>
      <c r="F143">
        <v>320</v>
      </c>
      <c r="G143">
        <v>2100</v>
      </c>
      <c r="H143">
        <v>1175.7</v>
      </c>
      <c r="I143">
        <v>0</v>
      </c>
      <c r="J143" s="283">
        <v>45412.177658182867</v>
      </c>
      <c r="K143" t="s">
        <v>3147</v>
      </c>
      <c r="L143" t="s">
        <v>3145</v>
      </c>
      <c r="M143" t="s">
        <v>3146</v>
      </c>
      <c r="N143" t="s">
        <v>585</v>
      </c>
      <c r="O143" t="s">
        <v>163</v>
      </c>
    </row>
    <row r="144" spans="1:15" x14ac:dyDescent="0.35">
      <c r="A144">
        <v>56882</v>
      </c>
      <c r="B144" s="283">
        <v>44378</v>
      </c>
      <c r="C144">
        <v>2016</v>
      </c>
      <c r="D144">
        <v>2013</v>
      </c>
      <c r="E144">
        <v>100</v>
      </c>
      <c r="F144">
        <v>320</v>
      </c>
      <c r="G144">
        <v>2190</v>
      </c>
      <c r="H144">
        <v>15138.03</v>
      </c>
      <c r="I144">
        <v>0</v>
      </c>
      <c r="J144" s="283">
        <v>45412.177658182867</v>
      </c>
      <c r="K144" t="s">
        <v>3150</v>
      </c>
      <c r="L144" t="s">
        <v>3145</v>
      </c>
      <c r="M144" t="s">
        <v>3146</v>
      </c>
      <c r="N144" t="s">
        <v>585</v>
      </c>
      <c r="O144" t="s">
        <v>163</v>
      </c>
    </row>
    <row r="145" spans="1:15" x14ac:dyDescent="0.35">
      <c r="A145">
        <v>56891</v>
      </c>
      <c r="B145" s="283">
        <v>44378</v>
      </c>
      <c r="C145">
        <v>2017</v>
      </c>
      <c r="D145">
        <v>2013</v>
      </c>
      <c r="E145">
        <v>100</v>
      </c>
      <c r="F145">
        <v>320</v>
      </c>
      <c r="G145">
        <v>2100</v>
      </c>
      <c r="H145">
        <v>1336.48</v>
      </c>
      <c r="I145">
        <v>0</v>
      </c>
      <c r="J145" s="283">
        <v>45412.177658182867</v>
      </c>
      <c r="K145" t="s">
        <v>3147</v>
      </c>
      <c r="L145" t="s">
        <v>3145</v>
      </c>
      <c r="M145" t="s">
        <v>3146</v>
      </c>
      <c r="N145" t="s">
        <v>585</v>
      </c>
      <c r="O145" t="s">
        <v>68</v>
      </c>
    </row>
    <row r="146" spans="1:15" x14ac:dyDescent="0.35">
      <c r="A146">
        <v>56892</v>
      </c>
      <c r="B146" s="283">
        <v>44378</v>
      </c>
      <c r="C146">
        <v>2017</v>
      </c>
      <c r="D146">
        <v>2013</v>
      </c>
      <c r="E146">
        <v>100</v>
      </c>
      <c r="F146">
        <v>320</v>
      </c>
      <c r="G146">
        <v>2190</v>
      </c>
      <c r="H146">
        <v>17095.89</v>
      </c>
      <c r="I146">
        <v>0</v>
      </c>
      <c r="J146" s="283">
        <v>45412.177658182867</v>
      </c>
      <c r="K146" t="s">
        <v>3150</v>
      </c>
      <c r="L146" t="s">
        <v>3145</v>
      </c>
      <c r="M146" t="s">
        <v>3146</v>
      </c>
      <c r="N146" t="s">
        <v>585</v>
      </c>
      <c r="O146" t="s">
        <v>68</v>
      </c>
    </row>
    <row r="147" spans="1:15" x14ac:dyDescent="0.35">
      <c r="A147">
        <v>56901</v>
      </c>
      <c r="B147" s="283">
        <v>44378</v>
      </c>
      <c r="C147">
        <v>2018</v>
      </c>
      <c r="D147">
        <v>2013</v>
      </c>
      <c r="E147">
        <v>100</v>
      </c>
      <c r="F147">
        <v>320</v>
      </c>
      <c r="G147">
        <v>2100</v>
      </c>
      <c r="H147">
        <v>1175.7</v>
      </c>
      <c r="I147">
        <v>0</v>
      </c>
      <c r="J147" s="283">
        <v>45412.177658182867</v>
      </c>
      <c r="K147" t="s">
        <v>3147</v>
      </c>
      <c r="L147" t="s">
        <v>3145</v>
      </c>
      <c r="M147" t="s">
        <v>3146</v>
      </c>
      <c r="N147" t="s">
        <v>585</v>
      </c>
      <c r="O147" t="s">
        <v>200</v>
      </c>
    </row>
    <row r="148" spans="1:15" x14ac:dyDescent="0.35">
      <c r="A148">
        <v>56902</v>
      </c>
      <c r="B148" s="283">
        <v>44378</v>
      </c>
      <c r="C148">
        <v>2018</v>
      </c>
      <c r="D148">
        <v>2013</v>
      </c>
      <c r="E148">
        <v>100</v>
      </c>
      <c r="F148">
        <v>320</v>
      </c>
      <c r="G148">
        <v>2190</v>
      </c>
      <c r="H148">
        <v>15057.3</v>
      </c>
      <c r="I148">
        <v>0</v>
      </c>
      <c r="J148" s="283">
        <v>45412.177658182867</v>
      </c>
      <c r="K148" t="s">
        <v>3150</v>
      </c>
      <c r="L148" t="s">
        <v>3145</v>
      </c>
      <c r="M148" t="s">
        <v>3146</v>
      </c>
      <c r="N148" t="s">
        <v>585</v>
      </c>
      <c r="O148" t="s">
        <v>200</v>
      </c>
    </row>
    <row r="149" spans="1:15" x14ac:dyDescent="0.35">
      <c r="A149">
        <v>56911</v>
      </c>
      <c r="B149" s="283">
        <v>44378</v>
      </c>
      <c r="C149">
        <v>2019</v>
      </c>
      <c r="D149">
        <v>2013</v>
      </c>
      <c r="E149">
        <v>100</v>
      </c>
      <c r="F149">
        <v>320</v>
      </c>
      <c r="G149">
        <v>2100</v>
      </c>
      <c r="H149">
        <v>1627.9</v>
      </c>
      <c r="I149">
        <v>0</v>
      </c>
      <c r="J149" s="283">
        <v>45412.177658182867</v>
      </c>
      <c r="K149" t="s">
        <v>3147</v>
      </c>
      <c r="L149" t="s">
        <v>3145</v>
      </c>
      <c r="M149" t="s">
        <v>3146</v>
      </c>
      <c r="N149" t="s">
        <v>585</v>
      </c>
      <c r="O149" t="s">
        <v>72</v>
      </c>
    </row>
    <row r="150" spans="1:15" x14ac:dyDescent="0.35">
      <c r="A150">
        <v>56912</v>
      </c>
      <c r="B150" s="283">
        <v>44378</v>
      </c>
      <c r="C150">
        <v>2019</v>
      </c>
      <c r="D150">
        <v>2013</v>
      </c>
      <c r="E150">
        <v>100</v>
      </c>
      <c r="F150">
        <v>320</v>
      </c>
      <c r="G150">
        <v>2190</v>
      </c>
      <c r="H150">
        <v>20935.900000000001</v>
      </c>
      <c r="I150">
        <v>0</v>
      </c>
      <c r="J150" s="283">
        <v>45412.177658182867</v>
      </c>
      <c r="K150" t="s">
        <v>3150</v>
      </c>
      <c r="L150" t="s">
        <v>3145</v>
      </c>
      <c r="M150" t="s">
        <v>3146</v>
      </c>
      <c r="N150" t="s">
        <v>585</v>
      </c>
      <c r="O150" t="s">
        <v>72</v>
      </c>
    </row>
    <row r="151" spans="1:15" x14ac:dyDescent="0.35">
      <c r="A151">
        <v>56921</v>
      </c>
      <c r="B151" s="283">
        <v>44378</v>
      </c>
      <c r="C151">
        <v>2020</v>
      </c>
      <c r="D151">
        <v>2013</v>
      </c>
      <c r="E151">
        <v>100</v>
      </c>
      <c r="F151">
        <v>320</v>
      </c>
      <c r="G151">
        <v>2100</v>
      </c>
      <c r="H151">
        <v>1426.92</v>
      </c>
      <c r="I151">
        <v>0</v>
      </c>
      <c r="J151" s="283">
        <v>45412.177658182867</v>
      </c>
      <c r="K151" t="s">
        <v>3147</v>
      </c>
      <c r="L151" t="s">
        <v>3145</v>
      </c>
      <c r="M151" t="s">
        <v>3146</v>
      </c>
      <c r="N151" t="s">
        <v>585</v>
      </c>
      <c r="O151" t="s">
        <v>85</v>
      </c>
    </row>
    <row r="152" spans="1:15" x14ac:dyDescent="0.35">
      <c r="A152">
        <v>56922</v>
      </c>
      <c r="B152" s="283">
        <v>44378</v>
      </c>
      <c r="C152">
        <v>2020</v>
      </c>
      <c r="D152">
        <v>2013</v>
      </c>
      <c r="E152">
        <v>100</v>
      </c>
      <c r="F152">
        <v>320</v>
      </c>
      <c r="G152">
        <v>2190</v>
      </c>
      <c r="H152">
        <v>18342.25</v>
      </c>
      <c r="I152">
        <v>0</v>
      </c>
      <c r="J152" s="283">
        <v>45412.177658182867</v>
      </c>
      <c r="K152" t="s">
        <v>3150</v>
      </c>
      <c r="L152" t="s">
        <v>3145</v>
      </c>
      <c r="M152" t="s">
        <v>3146</v>
      </c>
      <c r="N152" t="s">
        <v>585</v>
      </c>
      <c r="O152" t="s">
        <v>85</v>
      </c>
    </row>
    <row r="153" spans="1:15" x14ac:dyDescent="0.35">
      <c r="A153">
        <v>56931</v>
      </c>
      <c r="B153" s="283">
        <v>44378</v>
      </c>
      <c r="C153">
        <v>2021</v>
      </c>
      <c r="D153">
        <v>2013</v>
      </c>
      <c r="E153">
        <v>100</v>
      </c>
      <c r="F153">
        <v>320</v>
      </c>
      <c r="G153">
        <v>2100</v>
      </c>
      <c r="H153">
        <v>1235.99</v>
      </c>
      <c r="I153">
        <v>0</v>
      </c>
      <c r="J153" s="283">
        <v>45412.177658182867</v>
      </c>
      <c r="K153" t="s">
        <v>3147</v>
      </c>
      <c r="L153" t="s">
        <v>3145</v>
      </c>
      <c r="M153" t="s">
        <v>3146</v>
      </c>
      <c r="N153" t="s">
        <v>585</v>
      </c>
      <c r="O153" t="s">
        <v>69</v>
      </c>
    </row>
    <row r="154" spans="1:15" x14ac:dyDescent="0.35">
      <c r="A154">
        <v>56932</v>
      </c>
      <c r="B154" s="283">
        <v>44378</v>
      </c>
      <c r="C154">
        <v>2021</v>
      </c>
      <c r="D154">
        <v>2013</v>
      </c>
      <c r="E154">
        <v>100</v>
      </c>
      <c r="F154">
        <v>320</v>
      </c>
      <c r="G154">
        <v>2190</v>
      </c>
      <c r="H154">
        <v>15859.61</v>
      </c>
      <c r="I154">
        <v>0</v>
      </c>
      <c r="J154" s="283">
        <v>45412.177658182867</v>
      </c>
      <c r="K154" t="s">
        <v>3150</v>
      </c>
      <c r="L154" t="s">
        <v>3145</v>
      </c>
      <c r="M154" t="s">
        <v>3146</v>
      </c>
      <c r="N154" t="s">
        <v>585</v>
      </c>
      <c r="O154" t="s">
        <v>69</v>
      </c>
    </row>
    <row r="155" spans="1:15" x14ac:dyDescent="0.35">
      <c r="A155">
        <v>56941</v>
      </c>
      <c r="B155" s="283">
        <v>44378</v>
      </c>
      <c r="C155">
        <v>2022</v>
      </c>
      <c r="D155">
        <v>2013</v>
      </c>
      <c r="E155">
        <v>100</v>
      </c>
      <c r="F155">
        <v>320</v>
      </c>
      <c r="G155">
        <v>2100</v>
      </c>
      <c r="H155">
        <v>1627.9</v>
      </c>
      <c r="I155">
        <v>0</v>
      </c>
      <c r="J155" s="283">
        <v>45412.177658182867</v>
      </c>
      <c r="K155" t="s">
        <v>3147</v>
      </c>
      <c r="L155" t="s">
        <v>3145</v>
      </c>
      <c r="M155" t="s">
        <v>3146</v>
      </c>
      <c r="N155" t="s">
        <v>585</v>
      </c>
      <c r="O155" t="s">
        <v>191</v>
      </c>
    </row>
    <row r="156" spans="1:15" x14ac:dyDescent="0.35">
      <c r="A156">
        <v>56942</v>
      </c>
      <c r="B156" s="283">
        <v>44378</v>
      </c>
      <c r="C156">
        <v>2022</v>
      </c>
      <c r="D156">
        <v>2013</v>
      </c>
      <c r="E156">
        <v>100</v>
      </c>
      <c r="F156">
        <v>320</v>
      </c>
      <c r="G156">
        <v>2190</v>
      </c>
      <c r="H156">
        <v>20870.3</v>
      </c>
      <c r="I156">
        <v>0</v>
      </c>
      <c r="J156" s="283">
        <v>45412.177658182867</v>
      </c>
      <c r="K156" t="s">
        <v>3150</v>
      </c>
      <c r="L156" t="s">
        <v>3145</v>
      </c>
      <c r="M156" t="s">
        <v>3146</v>
      </c>
      <c r="N156" t="s">
        <v>585</v>
      </c>
      <c r="O156" t="s">
        <v>191</v>
      </c>
    </row>
    <row r="157" spans="1:15" x14ac:dyDescent="0.35">
      <c r="A157">
        <v>56950</v>
      </c>
      <c r="B157" s="283">
        <v>44378</v>
      </c>
      <c r="C157">
        <v>2023</v>
      </c>
      <c r="D157">
        <v>2013</v>
      </c>
      <c r="E157">
        <v>100</v>
      </c>
      <c r="F157">
        <v>320</v>
      </c>
      <c r="G157">
        <v>2100</v>
      </c>
      <c r="H157">
        <v>47671.21</v>
      </c>
      <c r="I157">
        <v>0</v>
      </c>
      <c r="J157" s="283">
        <v>45412.177658182867</v>
      </c>
      <c r="K157" t="s">
        <v>3147</v>
      </c>
      <c r="L157" t="s">
        <v>3145</v>
      </c>
      <c r="M157" t="s">
        <v>3146</v>
      </c>
      <c r="N157" t="s">
        <v>585</v>
      </c>
      <c r="O157" t="s">
        <v>96</v>
      </c>
    </row>
    <row r="158" spans="1:15" x14ac:dyDescent="0.35">
      <c r="A158">
        <v>56951</v>
      </c>
      <c r="B158" s="283">
        <v>44378</v>
      </c>
      <c r="C158">
        <v>2023</v>
      </c>
      <c r="D158">
        <v>2013</v>
      </c>
      <c r="E158">
        <v>100</v>
      </c>
      <c r="F158">
        <v>320</v>
      </c>
      <c r="G158">
        <v>2190</v>
      </c>
      <c r="H158">
        <v>132138.6</v>
      </c>
      <c r="I158">
        <v>0</v>
      </c>
      <c r="J158" s="283">
        <v>45412.177658182867</v>
      </c>
      <c r="K158" t="s">
        <v>3150</v>
      </c>
      <c r="L158" t="s">
        <v>3145</v>
      </c>
      <c r="M158" t="s">
        <v>3146</v>
      </c>
      <c r="N158" t="s">
        <v>585</v>
      </c>
      <c r="O158" t="s">
        <v>96</v>
      </c>
    </row>
    <row r="159" spans="1:15" x14ac:dyDescent="0.35">
      <c r="A159">
        <v>57007</v>
      </c>
      <c r="B159" s="283">
        <v>44378</v>
      </c>
      <c r="C159">
        <v>2039</v>
      </c>
      <c r="D159">
        <v>2025</v>
      </c>
      <c r="E159">
        <v>100</v>
      </c>
      <c r="F159">
        <v>320</v>
      </c>
      <c r="G159">
        <v>1200</v>
      </c>
      <c r="H159">
        <v>315467.96999999997</v>
      </c>
      <c r="I159">
        <v>0</v>
      </c>
      <c r="J159" s="283">
        <v>45412.177658182867</v>
      </c>
      <c r="K159" t="s">
        <v>3144</v>
      </c>
      <c r="L159" t="s">
        <v>3145</v>
      </c>
      <c r="M159" t="s">
        <v>3146</v>
      </c>
      <c r="N159" t="s">
        <v>319</v>
      </c>
      <c r="O159" t="s">
        <v>161</v>
      </c>
    </row>
    <row r="160" spans="1:15" x14ac:dyDescent="0.35">
      <c r="A160">
        <v>57008</v>
      </c>
      <c r="B160" s="283">
        <v>44378</v>
      </c>
      <c r="C160">
        <v>2039</v>
      </c>
      <c r="D160">
        <v>2025</v>
      </c>
      <c r="E160">
        <v>100</v>
      </c>
      <c r="F160">
        <v>320</v>
      </c>
      <c r="G160">
        <v>2100</v>
      </c>
      <c r="H160">
        <v>38748.93</v>
      </c>
      <c r="I160">
        <v>0</v>
      </c>
      <c r="J160" s="283">
        <v>45412.177658182867</v>
      </c>
      <c r="K160" t="s">
        <v>3147</v>
      </c>
      <c r="L160" t="s">
        <v>3145</v>
      </c>
      <c r="M160" t="s">
        <v>3146</v>
      </c>
      <c r="N160" t="s">
        <v>319</v>
      </c>
      <c r="O160" t="s">
        <v>161</v>
      </c>
    </row>
    <row r="161" spans="1:15" x14ac:dyDescent="0.35">
      <c r="A161">
        <v>57009</v>
      </c>
      <c r="B161" s="283">
        <v>44378</v>
      </c>
      <c r="C161">
        <v>2039</v>
      </c>
      <c r="D161">
        <v>2025</v>
      </c>
      <c r="E161">
        <v>100</v>
      </c>
      <c r="F161">
        <v>320</v>
      </c>
      <c r="G161">
        <v>2190</v>
      </c>
      <c r="H161">
        <v>26628.720000000001</v>
      </c>
      <c r="I161">
        <v>0</v>
      </c>
      <c r="J161" s="283">
        <v>45412.177658182867</v>
      </c>
      <c r="K161" t="s">
        <v>3150</v>
      </c>
      <c r="L161" t="s">
        <v>3145</v>
      </c>
      <c r="M161" t="s">
        <v>3146</v>
      </c>
      <c r="N161" t="s">
        <v>319</v>
      </c>
      <c r="O161" t="s">
        <v>161</v>
      </c>
    </row>
    <row r="162" spans="1:15" x14ac:dyDescent="0.35">
      <c r="A162">
        <v>57026</v>
      </c>
      <c r="B162" s="283">
        <v>44378</v>
      </c>
      <c r="C162">
        <v>2041</v>
      </c>
      <c r="D162">
        <v>2025</v>
      </c>
      <c r="E162">
        <v>100</v>
      </c>
      <c r="F162">
        <v>320</v>
      </c>
      <c r="G162">
        <v>1200</v>
      </c>
      <c r="H162">
        <v>288173.77</v>
      </c>
      <c r="I162">
        <v>0</v>
      </c>
      <c r="J162" s="283">
        <v>45412.177658182867</v>
      </c>
      <c r="K162" t="s">
        <v>3144</v>
      </c>
      <c r="L162" t="s">
        <v>3145</v>
      </c>
      <c r="M162" t="s">
        <v>3146</v>
      </c>
      <c r="N162" t="s">
        <v>319</v>
      </c>
      <c r="O162" t="s">
        <v>26</v>
      </c>
    </row>
    <row r="163" spans="1:15" x14ac:dyDescent="0.35">
      <c r="A163">
        <v>57027</v>
      </c>
      <c r="B163" s="283">
        <v>44378</v>
      </c>
      <c r="C163">
        <v>2041</v>
      </c>
      <c r="D163">
        <v>2025</v>
      </c>
      <c r="E163">
        <v>100</v>
      </c>
      <c r="F163">
        <v>320</v>
      </c>
      <c r="G163">
        <v>2100</v>
      </c>
      <c r="H163">
        <v>201576.02</v>
      </c>
      <c r="I163">
        <v>0</v>
      </c>
      <c r="J163" s="283">
        <v>45412.177658182867</v>
      </c>
      <c r="K163" t="s">
        <v>3147</v>
      </c>
      <c r="L163" t="s">
        <v>3145</v>
      </c>
      <c r="M163" t="s">
        <v>3146</v>
      </c>
      <c r="N163" t="s">
        <v>319</v>
      </c>
      <c r="O163" t="s">
        <v>26</v>
      </c>
    </row>
    <row r="164" spans="1:15" x14ac:dyDescent="0.35">
      <c r="A164">
        <v>57028</v>
      </c>
      <c r="B164" s="283">
        <v>44378</v>
      </c>
      <c r="C164">
        <v>2041</v>
      </c>
      <c r="D164">
        <v>2025</v>
      </c>
      <c r="E164">
        <v>100</v>
      </c>
      <c r="F164">
        <v>320</v>
      </c>
      <c r="G164">
        <v>2190</v>
      </c>
      <c r="H164">
        <v>42825.7</v>
      </c>
      <c r="I164">
        <v>0</v>
      </c>
      <c r="J164" s="283">
        <v>45412.177658182867</v>
      </c>
      <c r="K164" t="s">
        <v>3150</v>
      </c>
      <c r="L164" t="s">
        <v>3145</v>
      </c>
      <c r="M164" t="s">
        <v>3146</v>
      </c>
      <c r="N164" t="s">
        <v>319</v>
      </c>
      <c r="O164" t="s">
        <v>26</v>
      </c>
    </row>
    <row r="165" spans="1:15" x14ac:dyDescent="0.35">
      <c r="A165">
        <v>57042</v>
      </c>
      <c r="B165" s="283">
        <v>44378</v>
      </c>
      <c r="C165">
        <v>2042</v>
      </c>
      <c r="D165">
        <v>2025</v>
      </c>
      <c r="E165">
        <v>100</v>
      </c>
      <c r="F165">
        <v>320</v>
      </c>
      <c r="G165">
        <v>1200</v>
      </c>
      <c r="H165">
        <v>890482.21</v>
      </c>
      <c r="I165">
        <v>0</v>
      </c>
      <c r="J165" s="283">
        <v>45412.177658182867</v>
      </c>
      <c r="K165" t="s">
        <v>3144</v>
      </c>
      <c r="L165" t="s">
        <v>3145</v>
      </c>
      <c r="M165" t="s">
        <v>3146</v>
      </c>
      <c r="N165" t="s">
        <v>319</v>
      </c>
      <c r="O165" t="s">
        <v>49</v>
      </c>
    </row>
    <row r="166" spans="1:15" x14ac:dyDescent="0.35">
      <c r="A166">
        <v>57043</v>
      </c>
      <c r="B166" s="283">
        <v>44378</v>
      </c>
      <c r="C166">
        <v>2042</v>
      </c>
      <c r="D166">
        <v>2025</v>
      </c>
      <c r="E166">
        <v>100</v>
      </c>
      <c r="F166">
        <v>320</v>
      </c>
      <c r="G166">
        <v>2100</v>
      </c>
      <c r="H166">
        <v>129845.28</v>
      </c>
      <c r="I166">
        <v>0</v>
      </c>
      <c r="J166" s="283">
        <v>45412.177658182867</v>
      </c>
      <c r="K166" t="s">
        <v>3147</v>
      </c>
      <c r="L166" t="s">
        <v>3145</v>
      </c>
      <c r="M166" t="s">
        <v>3146</v>
      </c>
      <c r="N166" t="s">
        <v>319</v>
      </c>
      <c r="O166" t="s">
        <v>49</v>
      </c>
    </row>
    <row r="167" spans="1:15" x14ac:dyDescent="0.35">
      <c r="A167">
        <v>57044</v>
      </c>
      <c r="B167" s="283">
        <v>44378</v>
      </c>
      <c r="C167">
        <v>2042</v>
      </c>
      <c r="D167">
        <v>2025</v>
      </c>
      <c r="E167">
        <v>100</v>
      </c>
      <c r="F167">
        <v>320</v>
      </c>
      <c r="G167">
        <v>2190</v>
      </c>
      <c r="H167">
        <v>64302.29</v>
      </c>
      <c r="I167">
        <v>0</v>
      </c>
      <c r="J167" s="283">
        <v>45412.177658182867</v>
      </c>
      <c r="K167" t="s">
        <v>3150</v>
      </c>
      <c r="L167" t="s">
        <v>3145</v>
      </c>
      <c r="M167" t="s">
        <v>3146</v>
      </c>
      <c r="N167" t="s">
        <v>319</v>
      </c>
      <c r="O167" t="s">
        <v>49</v>
      </c>
    </row>
    <row r="168" spans="1:15" x14ac:dyDescent="0.35">
      <c r="A168">
        <v>57060</v>
      </c>
      <c r="B168" s="283">
        <v>44378</v>
      </c>
      <c r="C168">
        <v>2043</v>
      </c>
      <c r="D168">
        <v>2025</v>
      </c>
      <c r="E168">
        <v>100</v>
      </c>
      <c r="F168">
        <v>320</v>
      </c>
      <c r="G168">
        <v>1200</v>
      </c>
      <c r="H168">
        <v>367120.56</v>
      </c>
      <c r="I168">
        <v>0</v>
      </c>
      <c r="J168" s="283">
        <v>45412.177658182867</v>
      </c>
      <c r="K168" t="s">
        <v>3144</v>
      </c>
      <c r="L168" t="s">
        <v>3145</v>
      </c>
      <c r="M168" t="s">
        <v>3146</v>
      </c>
      <c r="N168" t="s">
        <v>319</v>
      </c>
      <c r="O168" t="s">
        <v>74</v>
      </c>
    </row>
    <row r="169" spans="1:15" x14ac:dyDescent="0.35">
      <c r="A169">
        <v>57061</v>
      </c>
      <c r="B169" s="283">
        <v>44378</v>
      </c>
      <c r="C169">
        <v>2043</v>
      </c>
      <c r="D169">
        <v>2025</v>
      </c>
      <c r="E169">
        <v>100</v>
      </c>
      <c r="F169">
        <v>320</v>
      </c>
      <c r="G169">
        <v>2100</v>
      </c>
      <c r="H169">
        <v>45490.27</v>
      </c>
      <c r="I169">
        <v>0</v>
      </c>
      <c r="J169" s="283">
        <v>45412.177658182867</v>
      </c>
      <c r="K169" t="s">
        <v>3147</v>
      </c>
      <c r="L169" t="s">
        <v>3145</v>
      </c>
      <c r="M169" t="s">
        <v>3146</v>
      </c>
      <c r="N169" t="s">
        <v>319</v>
      </c>
      <c r="O169" t="s">
        <v>74</v>
      </c>
    </row>
    <row r="170" spans="1:15" x14ac:dyDescent="0.35">
      <c r="A170">
        <v>57062</v>
      </c>
      <c r="B170" s="283">
        <v>44378</v>
      </c>
      <c r="C170">
        <v>2043</v>
      </c>
      <c r="D170">
        <v>2025</v>
      </c>
      <c r="E170">
        <v>100</v>
      </c>
      <c r="F170">
        <v>320</v>
      </c>
      <c r="G170">
        <v>2190</v>
      </c>
      <c r="H170">
        <v>31488.06</v>
      </c>
      <c r="I170">
        <v>0</v>
      </c>
      <c r="J170" s="283">
        <v>45412.177658182867</v>
      </c>
      <c r="K170" t="s">
        <v>3150</v>
      </c>
      <c r="L170" t="s">
        <v>3145</v>
      </c>
      <c r="M170" t="s">
        <v>3146</v>
      </c>
      <c r="N170" t="s">
        <v>319</v>
      </c>
      <c r="O170" t="s">
        <v>74</v>
      </c>
    </row>
    <row r="171" spans="1:15" x14ac:dyDescent="0.35">
      <c r="A171">
        <v>57079</v>
      </c>
      <c r="B171" s="283">
        <v>44378</v>
      </c>
      <c r="C171">
        <v>2044</v>
      </c>
      <c r="D171">
        <v>2025</v>
      </c>
      <c r="E171">
        <v>100</v>
      </c>
      <c r="F171">
        <v>320</v>
      </c>
      <c r="G171">
        <v>1200</v>
      </c>
      <c r="H171">
        <v>50616.34</v>
      </c>
      <c r="I171">
        <v>0</v>
      </c>
      <c r="J171" s="283">
        <v>45412.177658182867</v>
      </c>
      <c r="K171" t="s">
        <v>3144</v>
      </c>
      <c r="L171" t="s">
        <v>3145</v>
      </c>
      <c r="M171" t="s">
        <v>3146</v>
      </c>
      <c r="N171" t="s">
        <v>319</v>
      </c>
      <c r="O171" t="s">
        <v>179</v>
      </c>
    </row>
    <row r="172" spans="1:15" x14ac:dyDescent="0.35">
      <c r="A172">
        <v>57080</v>
      </c>
      <c r="B172" s="283">
        <v>44378</v>
      </c>
      <c r="C172">
        <v>2044</v>
      </c>
      <c r="D172">
        <v>2025</v>
      </c>
      <c r="E172">
        <v>100</v>
      </c>
      <c r="F172">
        <v>320</v>
      </c>
      <c r="G172">
        <v>2100</v>
      </c>
      <c r="H172">
        <v>337557.06</v>
      </c>
      <c r="I172">
        <v>0</v>
      </c>
      <c r="J172" s="283">
        <v>45412.177658182867</v>
      </c>
      <c r="K172" t="s">
        <v>3147</v>
      </c>
      <c r="L172" t="s">
        <v>3145</v>
      </c>
      <c r="M172" t="s">
        <v>3146</v>
      </c>
      <c r="N172" t="s">
        <v>319</v>
      </c>
      <c r="O172" t="s">
        <v>179</v>
      </c>
    </row>
    <row r="173" spans="1:15" x14ac:dyDescent="0.35">
      <c r="A173">
        <v>57081</v>
      </c>
      <c r="B173" s="283">
        <v>44378</v>
      </c>
      <c r="C173">
        <v>2044</v>
      </c>
      <c r="D173">
        <v>2025</v>
      </c>
      <c r="E173">
        <v>100</v>
      </c>
      <c r="F173">
        <v>320</v>
      </c>
      <c r="G173">
        <v>2190</v>
      </c>
      <c r="H173">
        <v>16928.7</v>
      </c>
      <c r="I173">
        <v>0</v>
      </c>
      <c r="J173" s="283">
        <v>45412.177658182867</v>
      </c>
      <c r="K173" t="s">
        <v>3150</v>
      </c>
      <c r="L173" t="s">
        <v>3145</v>
      </c>
      <c r="M173" t="s">
        <v>3146</v>
      </c>
      <c r="N173" t="s">
        <v>319</v>
      </c>
      <c r="O173" t="s">
        <v>179</v>
      </c>
    </row>
    <row r="174" spans="1:15" x14ac:dyDescent="0.35">
      <c r="A174">
        <v>57082</v>
      </c>
      <c r="B174" s="283">
        <v>44378</v>
      </c>
      <c r="C174">
        <v>2044</v>
      </c>
      <c r="D174">
        <v>2025</v>
      </c>
      <c r="E174">
        <v>100</v>
      </c>
      <c r="F174">
        <v>320</v>
      </c>
      <c r="G174">
        <v>2660</v>
      </c>
      <c r="H174">
        <v>1406.91</v>
      </c>
      <c r="I174">
        <v>0</v>
      </c>
      <c r="J174" s="283">
        <v>45412.177658182867</v>
      </c>
      <c r="K174" t="s">
        <v>3152</v>
      </c>
      <c r="L174" t="s">
        <v>3145</v>
      </c>
      <c r="M174" t="s">
        <v>3146</v>
      </c>
      <c r="N174" t="s">
        <v>319</v>
      </c>
      <c r="O174" t="s">
        <v>179</v>
      </c>
    </row>
    <row r="175" spans="1:15" x14ac:dyDescent="0.35">
      <c r="A175">
        <v>57098</v>
      </c>
      <c r="B175" s="283">
        <v>44378</v>
      </c>
      <c r="C175">
        <v>2045</v>
      </c>
      <c r="D175">
        <v>2025</v>
      </c>
      <c r="E175">
        <v>100</v>
      </c>
      <c r="F175">
        <v>320</v>
      </c>
      <c r="G175">
        <v>1200</v>
      </c>
      <c r="H175">
        <v>21695.14</v>
      </c>
      <c r="I175">
        <v>0</v>
      </c>
      <c r="J175" s="283">
        <v>45412.177658182867</v>
      </c>
      <c r="K175" t="s">
        <v>3144</v>
      </c>
      <c r="L175" t="s">
        <v>3145</v>
      </c>
      <c r="M175" t="s">
        <v>3146</v>
      </c>
      <c r="N175" t="s">
        <v>319</v>
      </c>
      <c r="O175" t="s">
        <v>172</v>
      </c>
    </row>
    <row r="176" spans="1:15" x14ac:dyDescent="0.35">
      <c r="A176">
        <v>57099</v>
      </c>
      <c r="B176" s="283">
        <v>44378</v>
      </c>
      <c r="C176">
        <v>2045</v>
      </c>
      <c r="D176">
        <v>2025</v>
      </c>
      <c r="E176">
        <v>100</v>
      </c>
      <c r="F176">
        <v>320</v>
      </c>
      <c r="G176">
        <v>2100</v>
      </c>
      <c r="H176">
        <v>88511.42</v>
      </c>
      <c r="I176">
        <v>0</v>
      </c>
      <c r="J176" s="283">
        <v>45412.177658182867</v>
      </c>
      <c r="K176" t="s">
        <v>3147</v>
      </c>
      <c r="L176" t="s">
        <v>3145</v>
      </c>
      <c r="M176" t="s">
        <v>3146</v>
      </c>
      <c r="N176" t="s">
        <v>319</v>
      </c>
      <c r="O176" t="s">
        <v>172</v>
      </c>
    </row>
    <row r="177" spans="1:15" x14ac:dyDescent="0.35">
      <c r="A177">
        <v>57100</v>
      </c>
      <c r="B177" s="283">
        <v>44378</v>
      </c>
      <c r="C177">
        <v>2045</v>
      </c>
      <c r="D177">
        <v>2025</v>
      </c>
      <c r="E177">
        <v>100</v>
      </c>
      <c r="F177">
        <v>320</v>
      </c>
      <c r="G177">
        <v>2190</v>
      </c>
      <c r="H177">
        <v>7866.12</v>
      </c>
      <c r="I177">
        <v>0</v>
      </c>
      <c r="J177" s="283">
        <v>45412.177658182867</v>
      </c>
      <c r="K177" t="s">
        <v>3150</v>
      </c>
      <c r="L177" t="s">
        <v>3145</v>
      </c>
      <c r="M177" t="s">
        <v>3146</v>
      </c>
      <c r="N177" t="s">
        <v>319</v>
      </c>
      <c r="O177" t="s">
        <v>172</v>
      </c>
    </row>
    <row r="178" spans="1:15" x14ac:dyDescent="0.35">
      <c r="A178">
        <v>57114</v>
      </c>
      <c r="B178" s="283">
        <v>44378</v>
      </c>
      <c r="C178">
        <v>2046</v>
      </c>
      <c r="D178">
        <v>2025</v>
      </c>
      <c r="E178">
        <v>100</v>
      </c>
      <c r="F178">
        <v>320</v>
      </c>
      <c r="G178">
        <v>1200</v>
      </c>
      <c r="H178">
        <v>10768.49</v>
      </c>
      <c r="I178">
        <v>0</v>
      </c>
      <c r="J178" s="283">
        <v>45412.177658182867</v>
      </c>
      <c r="K178" t="s">
        <v>3144</v>
      </c>
      <c r="L178" t="s">
        <v>3145</v>
      </c>
      <c r="M178" t="s">
        <v>3146</v>
      </c>
      <c r="N178" t="s">
        <v>319</v>
      </c>
      <c r="O178" t="s">
        <v>42</v>
      </c>
    </row>
    <row r="179" spans="1:15" x14ac:dyDescent="0.35">
      <c r="A179">
        <v>57115</v>
      </c>
      <c r="B179" s="283">
        <v>44378</v>
      </c>
      <c r="C179">
        <v>2046</v>
      </c>
      <c r="D179">
        <v>2025</v>
      </c>
      <c r="E179">
        <v>100</v>
      </c>
      <c r="F179">
        <v>320</v>
      </c>
      <c r="G179">
        <v>2100</v>
      </c>
      <c r="H179">
        <v>124961.64</v>
      </c>
      <c r="I179">
        <v>0</v>
      </c>
      <c r="J179" s="283">
        <v>45412.177658182867</v>
      </c>
      <c r="K179" t="s">
        <v>3147</v>
      </c>
      <c r="L179" t="s">
        <v>3145</v>
      </c>
      <c r="M179" t="s">
        <v>3146</v>
      </c>
      <c r="N179" t="s">
        <v>319</v>
      </c>
      <c r="O179" t="s">
        <v>42</v>
      </c>
    </row>
    <row r="180" spans="1:15" x14ac:dyDescent="0.35">
      <c r="A180">
        <v>57116</v>
      </c>
      <c r="B180" s="283">
        <v>44378</v>
      </c>
      <c r="C180">
        <v>2046</v>
      </c>
      <c r="D180">
        <v>2025</v>
      </c>
      <c r="E180">
        <v>100</v>
      </c>
      <c r="F180">
        <v>320</v>
      </c>
      <c r="G180">
        <v>2190</v>
      </c>
      <c r="H180">
        <v>7451.54</v>
      </c>
      <c r="I180">
        <v>0</v>
      </c>
      <c r="J180" s="283">
        <v>45412.177658182867</v>
      </c>
      <c r="K180" t="s">
        <v>3150</v>
      </c>
      <c r="L180" t="s">
        <v>3145</v>
      </c>
      <c r="M180" t="s">
        <v>3146</v>
      </c>
      <c r="N180" t="s">
        <v>319</v>
      </c>
      <c r="O180" t="s">
        <v>42</v>
      </c>
    </row>
    <row r="181" spans="1:15" x14ac:dyDescent="0.35">
      <c r="A181">
        <v>57126</v>
      </c>
      <c r="B181" s="283">
        <v>44378</v>
      </c>
      <c r="C181">
        <v>2047</v>
      </c>
      <c r="D181">
        <v>2025</v>
      </c>
      <c r="E181">
        <v>100</v>
      </c>
      <c r="F181">
        <v>320</v>
      </c>
      <c r="G181">
        <v>2100</v>
      </c>
      <c r="H181">
        <v>3847.19</v>
      </c>
      <c r="I181">
        <v>0</v>
      </c>
      <c r="J181" s="283">
        <v>45412.177658182867</v>
      </c>
      <c r="K181" t="s">
        <v>3147</v>
      </c>
      <c r="L181" t="s">
        <v>3145</v>
      </c>
      <c r="M181" t="s">
        <v>3146</v>
      </c>
      <c r="N181" t="s">
        <v>319</v>
      </c>
      <c r="O181" t="s">
        <v>165</v>
      </c>
    </row>
    <row r="182" spans="1:15" x14ac:dyDescent="0.35">
      <c r="A182">
        <v>57127</v>
      </c>
      <c r="B182" s="283">
        <v>44378</v>
      </c>
      <c r="C182">
        <v>2047</v>
      </c>
      <c r="D182">
        <v>2025</v>
      </c>
      <c r="E182">
        <v>100</v>
      </c>
      <c r="F182">
        <v>320</v>
      </c>
      <c r="G182">
        <v>2190</v>
      </c>
      <c r="H182">
        <v>214.05</v>
      </c>
      <c r="I182">
        <v>0</v>
      </c>
      <c r="J182" s="283">
        <v>45412.177658182867</v>
      </c>
      <c r="K182" t="s">
        <v>3150</v>
      </c>
      <c r="L182" t="s">
        <v>3145</v>
      </c>
      <c r="M182" t="s">
        <v>3146</v>
      </c>
      <c r="N182" t="s">
        <v>319</v>
      </c>
      <c r="O182" t="s">
        <v>165</v>
      </c>
    </row>
    <row r="183" spans="1:15" x14ac:dyDescent="0.35">
      <c r="A183">
        <v>57128</v>
      </c>
      <c r="B183" s="283">
        <v>44378</v>
      </c>
      <c r="C183">
        <v>2047</v>
      </c>
      <c r="D183">
        <v>2025</v>
      </c>
      <c r="E183">
        <v>100</v>
      </c>
      <c r="F183">
        <v>320</v>
      </c>
      <c r="G183">
        <v>2660</v>
      </c>
      <c r="H183">
        <v>18.63</v>
      </c>
      <c r="I183">
        <v>0</v>
      </c>
      <c r="J183" s="283">
        <v>45412.177658182867</v>
      </c>
      <c r="K183" t="s">
        <v>3152</v>
      </c>
      <c r="L183" t="s">
        <v>3145</v>
      </c>
      <c r="M183" t="s">
        <v>3146</v>
      </c>
      <c r="N183" t="s">
        <v>319</v>
      </c>
      <c r="O183" t="s">
        <v>165</v>
      </c>
    </row>
    <row r="184" spans="1:15" x14ac:dyDescent="0.35">
      <c r="A184">
        <v>57135</v>
      </c>
      <c r="B184" s="283">
        <v>44378</v>
      </c>
      <c r="C184">
        <v>2048</v>
      </c>
      <c r="D184">
        <v>2025</v>
      </c>
      <c r="E184">
        <v>100</v>
      </c>
      <c r="F184">
        <v>320</v>
      </c>
      <c r="G184">
        <v>1200</v>
      </c>
      <c r="H184">
        <v>1317426.8899999999</v>
      </c>
      <c r="I184">
        <v>0</v>
      </c>
      <c r="J184" s="283">
        <v>45412.177658182867</v>
      </c>
      <c r="K184" t="s">
        <v>3144</v>
      </c>
      <c r="L184" t="s">
        <v>3145</v>
      </c>
      <c r="M184" t="s">
        <v>3146</v>
      </c>
      <c r="N184" t="s">
        <v>319</v>
      </c>
      <c r="O184" t="s">
        <v>129</v>
      </c>
    </row>
    <row r="185" spans="1:15" x14ac:dyDescent="0.35">
      <c r="A185">
        <v>57136</v>
      </c>
      <c r="B185" s="283">
        <v>44378</v>
      </c>
      <c r="C185">
        <v>2048</v>
      </c>
      <c r="D185">
        <v>2025</v>
      </c>
      <c r="E185">
        <v>100</v>
      </c>
      <c r="F185">
        <v>320</v>
      </c>
      <c r="G185">
        <v>2100</v>
      </c>
      <c r="H185">
        <v>181911.36</v>
      </c>
      <c r="I185">
        <v>0</v>
      </c>
      <c r="J185" s="283">
        <v>45412.177658182867</v>
      </c>
      <c r="K185" t="s">
        <v>3147</v>
      </c>
      <c r="L185" t="s">
        <v>3145</v>
      </c>
      <c r="M185" t="s">
        <v>3146</v>
      </c>
      <c r="N185" t="s">
        <v>319</v>
      </c>
      <c r="O185" t="s">
        <v>129</v>
      </c>
    </row>
    <row r="186" spans="1:15" x14ac:dyDescent="0.35">
      <c r="A186">
        <v>57137</v>
      </c>
      <c r="B186" s="283">
        <v>44378</v>
      </c>
      <c r="C186">
        <v>2048</v>
      </c>
      <c r="D186">
        <v>2025</v>
      </c>
      <c r="E186">
        <v>100</v>
      </c>
      <c r="F186">
        <v>320</v>
      </c>
      <c r="G186">
        <v>2190</v>
      </c>
      <c r="H186">
        <v>113470.92</v>
      </c>
      <c r="I186">
        <v>0</v>
      </c>
      <c r="J186" s="283">
        <v>45412.177658182867</v>
      </c>
      <c r="K186" t="s">
        <v>3150</v>
      </c>
      <c r="L186" t="s">
        <v>3145</v>
      </c>
      <c r="M186" t="s">
        <v>3146</v>
      </c>
      <c r="N186" t="s">
        <v>319</v>
      </c>
      <c r="O186" t="s">
        <v>129</v>
      </c>
    </row>
    <row r="187" spans="1:15" x14ac:dyDescent="0.35">
      <c r="A187">
        <v>57153</v>
      </c>
      <c r="B187" s="283">
        <v>44378</v>
      </c>
      <c r="C187">
        <v>2054</v>
      </c>
      <c r="D187">
        <v>2025</v>
      </c>
      <c r="E187">
        <v>100</v>
      </c>
      <c r="F187">
        <v>320</v>
      </c>
      <c r="G187">
        <v>1200</v>
      </c>
      <c r="H187">
        <v>198390.89</v>
      </c>
      <c r="I187">
        <v>0</v>
      </c>
      <c r="J187" s="283">
        <v>45412.177658182867</v>
      </c>
      <c r="K187" t="s">
        <v>3144</v>
      </c>
      <c r="L187" t="s">
        <v>3145</v>
      </c>
      <c r="M187" t="s">
        <v>3146</v>
      </c>
      <c r="N187" t="s">
        <v>319</v>
      </c>
      <c r="O187" t="s">
        <v>91</v>
      </c>
    </row>
    <row r="188" spans="1:15" x14ac:dyDescent="0.35">
      <c r="A188">
        <v>57154</v>
      </c>
      <c r="B188" s="283">
        <v>44378</v>
      </c>
      <c r="C188">
        <v>2054</v>
      </c>
      <c r="D188">
        <v>2025</v>
      </c>
      <c r="E188">
        <v>100</v>
      </c>
      <c r="F188">
        <v>320</v>
      </c>
      <c r="G188">
        <v>2100</v>
      </c>
      <c r="H188">
        <v>200170.57</v>
      </c>
      <c r="I188">
        <v>0</v>
      </c>
      <c r="J188" s="283">
        <v>45412.177658182867</v>
      </c>
      <c r="K188" t="s">
        <v>3147</v>
      </c>
      <c r="L188" t="s">
        <v>3145</v>
      </c>
      <c r="M188" t="s">
        <v>3146</v>
      </c>
      <c r="N188" t="s">
        <v>319</v>
      </c>
      <c r="O188" t="s">
        <v>91</v>
      </c>
    </row>
    <row r="189" spans="1:15" x14ac:dyDescent="0.35">
      <c r="A189">
        <v>57155</v>
      </c>
      <c r="B189" s="283">
        <v>44378</v>
      </c>
      <c r="C189">
        <v>2054</v>
      </c>
      <c r="D189">
        <v>2025</v>
      </c>
      <c r="E189">
        <v>100</v>
      </c>
      <c r="F189">
        <v>320</v>
      </c>
      <c r="G189">
        <v>2190</v>
      </c>
      <c r="H189">
        <v>32340.06</v>
      </c>
      <c r="I189">
        <v>0</v>
      </c>
      <c r="J189" s="283">
        <v>45412.177658182867</v>
      </c>
      <c r="K189" t="s">
        <v>3150</v>
      </c>
      <c r="L189" t="s">
        <v>3145</v>
      </c>
      <c r="M189" t="s">
        <v>3146</v>
      </c>
      <c r="N189" t="s">
        <v>319</v>
      </c>
      <c r="O189" t="s">
        <v>91</v>
      </c>
    </row>
    <row r="190" spans="1:15" x14ac:dyDescent="0.35">
      <c r="A190">
        <v>57172</v>
      </c>
      <c r="B190" s="283">
        <v>44378</v>
      </c>
      <c r="C190">
        <v>2055</v>
      </c>
      <c r="D190">
        <v>2025</v>
      </c>
      <c r="E190">
        <v>100</v>
      </c>
      <c r="F190">
        <v>320</v>
      </c>
      <c r="G190">
        <v>1200</v>
      </c>
      <c r="H190">
        <v>221317.91</v>
      </c>
      <c r="I190">
        <v>0</v>
      </c>
      <c r="J190" s="283">
        <v>45412.177658182867</v>
      </c>
      <c r="K190" t="s">
        <v>3144</v>
      </c>
      <c r="L190" t="s">
        <v>3145</v>
      </c>
      <c r="M190" t="s">
        <v>3146</v>
      </c>
      <c r="N190" t="s">
        <v>319</v>
      </c>
      <c r="O190" t="s">
        <v>203</v>
      </c>
    </row>
    <row r="191" spans="1:15" x14ac:dyDescent="0.35">
      <c r="A191">
        <v>57173</v>
      </c>
      <c r="B191" s="283">
        <v>44378</v>
      </c>
      <c r="C191">
        <v>2055</v>
      </c>
      <c r="D191">
        <v>2025</v>
      </c>
      <c r="E191">
        <v>100</v>
      </c>
      <c r="F191">
        <v>320</v>
      </c>
      <c r="G191">
        <v>2100</v>
      </c>
      <c r="H191">
        <v>9569.32</v>
      </c>
      <c r="I191">
        <v>0</v>
      </c>
      <c r="J191" s="283">
        <v>45412.177658182867</v>
      </c>
      <c r="K191" t="s">
        <v>3147</v>
      </c>
      <c r="L191" t="s">
        <v>3145</v>
      </c>
      <c r="M191" t="s">
        <v>3146</v>
      </c>
      <c r="N191" t="s">
        <v>319</v>
      </c>
      <c r="O191" t="s">
        <v>203</v>
      </c>
    </row>
    <row r="192" spans="1:15" x14ac:dyDescent="0.35">
      <c r="A192">
        <v>57174</v>
      </c>
      <c r="B192" s="283">
        <v>44378</v>
      </c>
      <c r="C192">
        <v>2055</v>
      </c>
      <c r="D192">
        <v>2025</v>
      </c>
      <c r="E192">
        <v>100</v>
      </c>
      <c r="F192">
        <v>320</v>
      </c>
      <c r="G192">
        <v>2190</v>
      </c>
      <c r="H192">
        <v>8564.2999999999993</v>
      </c>
      <c r="I192">
        <v>0</v>
      </c>
      <c r="J192" s="283">
        <v>45412.177658182867</v>
      </c>
      <c r="K192" t="s">
        <v>3150</v>
      </c>
      <c r="L192" t="s">
        <v>3145</v>
      </c>
      <c r="M192" t="s">
        <v>3146</v>
      </c>
      <c r="N192" t="s">
        <v>319</v>
      </c>
      <c r="O192" t="s">
        <v>203</v>
      </c>
    </row>
    <row r="193" spans="1:15" x14ac:dyDescent="0.35">
      <c r="A193">
        <v>57191</v>
      </c>
      <c r="B193" s="283">
        <v>44378</v>
      </c>
      <c r="C193">
        <v>2056</v>
      </c>
      <c r="D193">
        <v>2025</v>
      </c>
      <c r="E193">
        <v>100</v>
      </c>
      <c r="F193">
        <v>320</v>
      </c>
      <c r="G193">
        <v>1200</v>
      </c>
      <c r="H193">
        <v>72374.23</v>
      </c>
      <c r="I193">
        <v>0</v>
      </c>
      <c r="J193" s="283">
        <v>45412.177658182867</v>
      </c>
      <c r="K193" t="s">
        <v>3144</v>
      </c>
      <c r="L193" t="s">
        <v>3145</v>
      </c>
      <c r="M193" t="s">
        <v>3146</v>
      </c>
      <c r="N193" t="s">
        <v>319</v>
      </c>
      <c r="O193" t="s">
        <v>3153</v>
      </c>
    </row>
    <row r="194" spans="1:15" x14ac:dyDescent="0.35">
      <c r="A194">
        <v>57192</v>
      </c>
      <c r="B194" s="283">
        <v>44378</v>
      </c>
      <c r="C194">
        <v>2056</v>
      </c>
      <c r="D194">
        <v>2025</v>
      </c>
      <c r="E194">
        <v>100</v>
      </c>
      <c r="F194">
        <v>320</v>
      </c>
      <c r="G194">
        <v>2100</v>
      </c>
      <c r="H194">
        <v>149469.59</v>
      </c>
      <c r="I194">
        <v>0</v>
      </c>
      <c r="J194" s="283">
        <v>45412.177658182867</v>
      </c>
      <c r="K194" t="s">
        <v>3147</v>
      </c>
      <c r="L194" t="s">
        <v>3145</v>
      </c>
      <c r="M194" t="s">
        <v>3146</v>
      </c>
      <c r="N194" t="s">
        <v>319</v>
      </c>
      <c r="O194" t="s">
        <v>3153</v>
      </c>
    </row>
    <row r="195" spans="1:15" x14ac:dyDescent="0.35">
      <c r="A195">
        <v>57193</v>
      </c>
      <c r="B195" s="283">
        <v>44378</v>
      </c>
      <c r="C195">
        <v>2056</v>
      </c>
      <c r="D195">
        <v>2025</v>
      </c>
      <c r="E195">
        <v>100</v>
      </c>
      <c r="F195">
        <v>320</v>
      </c>
      <c r="G195">
        <v>2190</v>
      </c>
      <c r="H195">
        <v>22985.83</v>
      </c>
      <c r="I195">
        <v>0</v>
      </c>
      <c r="J195" s="283">
        <v>45412.177658182867</v>
      </c>
      <c r="K195" t="s">
        <v>3150</v>
      </c>
      <c r="L195" t="s">
        <v>3145</v>
      </c>
      <c r="M195" t="s">
        <v>3146</v>
      </c>
      <c r="N195" t="s">
        <v>319</v>
      </c>
      <c r="O195" t="s">
        <v>3153</v>
      </c>
    </row>
    <row r="196" spans="1:15" x14ac:dyDescent="0.35">
      <c r="A196">
        <v>57209</v>
      </c>
      <c r="B196" s="283">
        <v>44378</v>
      </c>
      <c r="C196">
        <v>2057</v>
      </c>
      <c r="D196">
        <v>2025</v>
      </c>
      <c r="E196">
        <v>100</v>
      </c>
      <c r="F196">
        <v>320</v>
      </c>
      <c r="G196">
        <v>1200</v>
      </c>
      <c r="H196">
        <v>398398.17</v>
      </c>
      <c r="I196">
        <v>0</v>
      </c>
      <c r="J196" s="283">
        <v>45412.177658182867</v>
      </c>
      <c r="K196" t="s">
        <v>3144</v>
      </c>
      <c r="L196" t="s">
        <v>3145</v>
      </c>
      <c r="M196" t="s">
        <v>3146</v>
      </c>
      <c r="N196" t="s">
        <v>319</v>
      </c>
      <c r="O196" t="s">
        <v>114</v>
      </c>
    </row>
    <row r="197" spans="1:15" x14ac:dyDescent="0.35">
      <c r="A197">
        <v>57210</v>
      </c>
      <c r="B197" s="283">
        <v>44378</v>
      </c>
      <c r="C197">
        <v>2057</v>
      </c>
      <c r="D197">
        <v>2025</v>
      </c>
      <c r="E197">
        <v>100</v>
      </c>
      <c r="F197">
        <v>320</v>
      </c>
      <c r="G197">
        <v>2100</v>
      </c>
      <c r="H197">
        <v>477.81</v>
      </c>
      <c r="I197">
        <v>0</v>
      </c>
      <c r="J197" s="283">
        <v>45412.177658182867</v>
      </c>
      <c r="K197" t="s">
        <v>3147</v>
      </c>
      <c r="L197" t="s">
        <v>3145</v>
      </c>
      <c r="M197" t="s">
        <v>3146</v>
      </c>
      <c r="N197" t="s">
        <v>319</v>
      </c>
      <c r="O197" t="s">
        <v>114</v>
      </c>
    </row>
    <row r="198" spans="1:15" x14ac:dyDescent="0.35">
      <c r="A198">
        <v>57211</v>
      </c>
      <c r="B198" s="283">
        <v>44378</v>
      </c>
      <c r="C198">
        <v>2057</v>
      </c>
      <c r="D198">
        <v>2025</v>
      </c>
      <c r="E198">
        <v>100</v>
      </c>
      <c r="F198">
        <v>320</v>
      </c>
      <c r="G198">
        <v>2190</v>
      </c>
      <c r="H198">
        <v>10901.97</v>
      </c>
      <c r="I198">
        <v>0</v>
      </c>
      <c r="J198" s="283">
        <v>45412.177658182867</v>
      </c>
      <c r="K198" t="s">
        <v>3150</v>
      </c>
      <c r="L198" t="s">
        <v>3145</v>
      </c>
      <c r="M198" t="s">
        <v>3146</v>
      </c>
      <c r="N198" t="s">
        <v>319</v>
      </c>
      <c r="O198" t="s">
        <v>114</v>
      </c>
    </row>
    <row r="199" spans="1:15" x14ac:dyDescent="0.35">
      <c r="A199">
        <v>57212</v>
      </c>
      <c r="B199" s="283">
        <v>44378</v>
      </c>
      <c r="C199">
        <v>2057</v>
      </c>
      <c r="D199">
        <v>2025</v>
      </c>
      <c r="E199">
        <v>100</v>
      </c>
      <c r="F199">
        <v>320</v>
      </c>
      <c r="G199">
        <v>2660</v>
      </c>
      <c r="H199">
        <v>14814.46</v>
      </c>
      <c r="I199">
        <v>0</v>
      </c>
      <c r="J199" s="283">
        <v>45412.177658182867</v>
      </c>
      <c r="K199" t="s">
        <v>3152</v>
      </c>
      <c r="L199" t="s">
        <v>3145</v>
      </c>
      <c r="M199" t="s">
        <v>3146</v>
      </c>
      <c r="N199" t="s">
        <v>319</v>
      </c>
      <c r="O199" t="s">
        <v>114</v>
      </c>
    </row>
    <row r="200" spans="1:15" x14ac:dyDescent="0.35">
      <c r="A200">
        <v>57235</v>
      </c>
      <c r="B200" s="283">
        <v>44378</v>
      </c>
      <c r="C200">
        <v>2050</v>
      </c>
      <c r="D200">
        <v>2049</v>
      </c>
      <c r="E200">
        <v>100</v>
      </c>
      <c r="F200">
        <v>320</v>
      </c>
      <c r="G200">
        <v>2100</v>
      </c>
      <c r="H200">
        <v>237388.81</v>
      </c>
      <c r="I200">
        <v>0</v>
      </c>
      <c r="J200" s="283">
        <v>45412.177658182867</v>
      </c>
      <c r="K200" t="s">
        <v>3147</v>
      </c>
      <c r="L200" t="s">
        <v>3145</v>
      </c>
      <c r="M200" t="s">
        <v>3146</v>
      </c>
      <c r="N200" t="s">
        <v>330</v>
      </c>
      <c r="O200" t="s">
        <v>63</v>
      </c>
    </row>
    <row r="201" spans="1:15" x14ac:dyDescent="0.35">
      <c r="A201">
        <v>57236</v>
      </c>
      <c r="B201" s="283">
        <v>44378</v>
      </c>
      <c r="C201">
        <v>2050</v>
      </c>
      <c r="D201">
        <v>2049</v>
      </c>
      <c r="E201">
        <v>100</v>
      </c>
      <c r="F201">
        <v>320</v>
      </c>
      <c r="G201">
        <v>2190</v>
      </c>
      <c r="H201">
        <v>16461.169999999998</v>
      </c>
      <c r="I201">
        <v>0</v>
      </c>
      <c r="J201" s="283">
        <v>45412.177658182867</v>
      </c>
      <c r="K201" t="s">
        <v>3150</v>
      </c>
      <c r="L201" t="s">
        <v>3145</v>
      </c>
      <c r="M201" t="s">
        <v>3146</v>
      </c>
      <c r="N201" t="s">
        <v>330</v>
      </c>
      <c r="O201" t="s">
        <v>63</v>
      </c>
    </row>
    <row r="202" spans="1:15" x14ac:dyDescent="0.35">
      <c r="A202">
        <v>57237</v>
      </c>
      <c r="B202" s="283">
        <v>44378</v>
      </c>
      <c r="C202">
        <v>2050</v>
      </c>
      <c r="D202">
        <v>2049</v>
      </c>
      <c r="E202">
        <v>100</v>
      </c>
      <c r="F202">
        <v>320</v>
      </c>
      <c r="G202">
        <v>2240</v>
      </c>
      <c r="H202">
        <v>157.36000000000001</v>
      </c>
      <c r="I202">
        <v>0</v>
      </c>
      <c r="J202" s="283">
        <v>45412.177658182867</v>
      </c>
      <c r="K202" t="s">
        <v>3154</v>
      </c>
      <c r="L202" t="s">
        <v>3145</v>
      </c>
      <c r="M202" t="s">
        <v>3146</v>
      </c>
      <c r="N202" t="s">
        <v>330</v>
      </c>
      <c r="O202" t="s">
        <v>63</v>
      </c>
    </row>
    <row r="203" spans="1:15" x14ac:dyDescent="0.35">
      <c r="A203">
        <v>57244</v>
      </c>
      <c r="B203" s="283">
        <v>44378</v>
      </c>
      <c r="C203">
        <v>2051</v>
      </c>
      <c r="D203">
        <v>2049</v>
      </c>
      <c r="E203">
        <v>100</v>
      </c>
      <c r="F203">
        <v>320</v>
      </c>
      <c r="G203">
        <v>2100</v>
      </c>
      <c r="H203">
        <v>10029.15</v>
      </c>
      <c r="I203">
        <v>0</v>
      </c>
      <c r="J203" s="283">
        <v>45412.177658182867</v>
      </c>
      <c r="K203" t="s">
        <v>3147</v>
      </c>
      <c r="L203" t="s">
        <v>3145</v>
      </c>
      <c r="M203" t="s">
        <v>3146</v>
      </c>
      <c r="N203" t="s">
        <v>330</v>
      </c>
      <c r="O203" t="s">
        <v>27</v>
      </c>
    </row>
    <row r="204" spans="1:15" x14ac:dyDescent="0.35">
      <c r="A204">
        <v>57245</v>
      </c>
      <c r="B204" s="283">
        <v>44378</v>
      </c>
      <c r="C204">
        <v>2051</v>
      </c>
      <c r="D204">
        <v>2049</v>
      </c>
      <c r="E204">
        <v>100</v>
      </c>
      <c r="F204">
        <v>320</v>
      </c>
      <c r="G204">
        <v>2190</v>
      </c>
      <c r="H204">
        <v>547.71</v>
      </c>
      <c r="I204">
        <v>0</v>
      </c>
      <c r="J204" s="283">
        <v>45412.177658182867</v>
      </c>
      <c r="K204" t="s">
        <v>3150</v>
      </c>
      <c r="L204" t="s">
        <v>3145</v>
      </c>
      <c r="M204" t="s">
        <v>3146</v>
      </c>
      <c r="N204" t="s">
        <v>330</v>
      </c>
      <c r="O204" t="s">
        <v>27</v>
      </c>
    </row>
    <row r="205" spans="1:15" x14ac:dyDescent="0.35">
      <c r="A205">
        <v>57246</v>
      </c>
      <c r="B205" s="283">
        <v>44378</v>
      </c>
      <c r="C205">
        <v>2051</v>
      </c>
      <c r="D205">
        <v>2049</v>
      </c>
      <c r="E205">
        <v>100</v>
      </c>
      <c r="F205">
        <v>320</v>
      </c>
      <c r="G205">
        <v>2240</v>
      </c>
      <c r="H205">
        <v>6.65</v>
      </c>
      <c r="I205">
        <v>0</v>
      </c>
      <c r="J205" s="283">
        <v>45412.177658182867</v>
      </c>
      <c r="K205" t="s">
        <v>3154</v>
      </c>
      <c r="L205" t="s">
        <v>3145</v>
      </c>
      <c r="M205" t="s">
        <v>3146</v>
      </c>
      <c r="N205" t="s">
        <v>330</v>
      </c>
      <c r="O205" t="s">
        <v>27</v>
      </c>
    </row>
    <row r="206" spans="1:15" x14ac:dyDescent="0.35">
      <c r="A206">
        <v>57252</v>
      </c>
      <c r="B206" s="283">
        <v>44378</v>
      </c>
      <c r="C206">
        <v>2052</v>
      </c>
      <c r="D206">
        <v>2049</v>
      </c>
      <c r="E206">
        <v>100</v>
      </c>
      <c r="F206">
        <v>320</v>
      </c>
      <c r="G206">
        <v>2100</v>
      </c>
      <c r="H206">
        <v>15278.15</v>
      </c>
      <c r="I206">
        <v>0</v>
      </c>
      <c r="J206" s="283">
        <v>45412.177658182867</v>
      </c>
      <c r="K206" t="s">
        <v>3147</v>
      </c>
      <c r="L206" t="s">
        <v>3145</v>
      </c>
      <c r="M206" t="s">
        <v>3146</v>
      </c>
      <c r="N206" t="s">
        <v>330</v>
      </c>
      <c r="O206" t="s">
        <v>38</v>
      </c>
    </row>
    <row r="207" spans="1:15" x14ac:dyDescent="0.35">
      <c r="A207">
        <v>57253</v>
      </c>
      <c r="B207" s="283">
        <v>44378</v>
      </c>
      <c r="C207">
        <v>2052</v>
      </c>
      <c r="D207">
        <v>2049</v>
      </c>
      <c r="E207">
        <v>100</v>
      </c>
      <c r="F207">
        <v>320</v>
      </c>
      <c r="G207">
        <v>2190</v>
      </c>
      <c r="H207">
        <v>834.37</v>
      </c>
      <c r="I207">
        <v>0</v>
      </c>
      <c r="J207" s="283">
        <v>45412.177658182867</v>
      </c>
      <c r="K207" t="s">
        <v>3150</v>
      </c>
      <c r="L207" t="s">
        <v>3145</v>
      </c>
      <c r="M207" t="s">
        <v>3146</v>
      </c>
      <c r="N207" t="s">
        <v>330</v>
      </c>
      <c r="O207" t="s">
        <v>38</v>
      </c>
    </row>
    <row r="208" spans="1:15" x14ac:dyDescent="0.35">
      <c r="A208">
        <v>57254</v>
      </c>
      <c r="B208" s="283">
        <v>44378</v>
      </c>
      <c r="C208">
        <v>2052</v>
      </c>
      <c r="D208">
        <v>2049</v>
      </c>
      <c r="E208">
        <v>100</v>
      </c>
      <c r="F208">
        <v>320</v>
      </c>
      <c r="G208">
        <v>2240</v>
      </c>
      <c r="H208">
        <v>10.130000000000001</v>
      </c>
      <c r="I208">
        <v>0</v>
      </c>
      <c r="J208" s="283">
        <v>45412.177658182867</v>
      </c>
      <c r="K208" t="s">
        <v>3154</v>
      </c>
      <c r="L208" t="s">
        <v>3145</v>
      </c>
      <c r="M208" t="s">
        <v>3146</v>
      </c>
      <c r="N208" t="s">
        <v>330</v>
      </c>
      <c r="O208" t="s">
        <v>38</v>
      </c>
    </row>
    <row r="209" spans="1:15" x14ac:dyDescent="0.35">
      <c r="A209">
        <v>57261</v>
      </c>
      <c r="B209" s="283">
        <v>44378</v>
      </c>
      <c r="C209">
        <v>2053</v>
      </c>
      <c r="D209">
        <v>2049</v>
      </c>
      <c r="E209">
        <v>100</v>
      </c>
      <c r="F209">
        <v>320</v>
      </c>
      <c r="G209">
        <v>2100</v>
      </c>
      <c r="H209">
        <v>947740.06</v>
      </c>
      <c r="I209">
        <v>0</v>
      </c>
      <c r="J209" s="283">
        <v>45412.177658182867</v>
      </c>
      <c r="K209" t="s">
        <v>3147</v>
      </c>
      <c r="L209" t="s">
        <v>3145</v>
      </c>
      <c r="M209" t="s">
        <v>3146</v>
      </c>
      <c r="N209" t="s">
        <v>330</v>
      </c>
      <c r="O209" t="s">
        <v>106</v>
      </c>
    </row>
    <row r="210" spans="1:15" x14ac:dyDescent="0.35">
      <c r="A210">
        <v>57262</v>
      </c>
      <c r="B210" s="283">
        <v>44378</v>
      </c>
      <c r="C210">
        <v>2053</v>
      </c>
      <c r="D210">
        <v>2049</v>
      </c>
      <c r="E210">
        <v>100</v>
      </c>
      <c r="F210">
        <v>320</v>
      </c>
      <c r="G210">
        <v>2190</v>
      </c>
      <c r="H210">
        <v>48260.99</v>
      </c>
      <c r="I210">
        <v>0</v>
      </c>
      <c r="J210" s="283">
        <v>45412.177658182867</v>
      </c>
      <c r="K210" t="s">
        <v>3150</v>
      </c>
      <c r="L210" t="s">
        <v>3145</v>
      </c>
      <c r="M210" t="s">
        <v>3146</v>
      </c>
      <c r="N210" t="s">
        <v>330</v>
      </c>
      <c r="O210" t="s">
        <v>106</v>
      </c>
    </row>
    <row r="211" spans="1:15" x14ac:dyDescent="0.35">
      <c r="A211">
        <v>57263</v>
      </c>
      <c r="B211" s="283">
        <v>44378</v>
      </c>
      <c r="C211">
        <v>2053</v>
      </c>
      <c r="D211">
        <v>2049</v>
      </c>
      <c r="E211">
        <v>100</v>
      </c>
      <c r="F211">
        <v>320</v>
      </c>
      <c r="G211">
        <v>2240</v>
      </c>
      <c r="H211">
        <v>628.21</v>
      </c>
      <c r="I211">
        <v>0</v>
      </c>
      <c r="J211" s="283">
        <v>45412.177658182867</v>
      </c>
      <c r="K211" t="s">
        <v>3154</v>
      </c>
      <c r="L211" t="s">
        <v>3145</v>
      </c>
      <c r="M211" t="s">
        <v>3146</v>
      </c>
      <c r="N211" t="s">
        <v>330</v>
      </c>
      <c r="O211" t="s">
        <v>106</v>
      </c>
    </row>
    <row r="212" spans="1:15" x14ac:dyDescent="0.35">
      <c r="A212">
        <v>57277</v>
      </c>
      <c r="B212" s="283">
        <v>44378</v>
      </c>
      <c r="C212">
        <v>2059</v>
      </c>
      <c r="D212">
        <v>2058</v>
      </c>
      <c r="E212">
        <v>100</v>
      </c>
      <c r="F212">
        <v>320</v>
      </c>
      <c r="G212">
        <v>2100</v>
      </c>
      <c r="H212">
        <v>263187.74</v>
      </c>
      <c r="I212">
        <v>0</v>
      </c>
      <c r="J212" s="283">
        <v>45412.177658182867</v>
      </c>
      <c r="K212" t="s">
        <v>3147</v>
      </c>
      <c r="L212" t="s">
        <v>3145</v>
      </c>
      <c r="M212" t="s">
        <v>3146</v>
      </c>
      <c r="N212" t="s">
        <v>272</v>
      </c>
      <c r="O212" t="s">
        <v>118</v>
      </c>
    </row>
    <row r="213" spans="1:15" x14ac:dyDescent="0.35">
      <c r="A213">
        <v>57278</v>
      </c>
      <c r="B213" s="283">
        <v>44378</v>
      </c>
      <c r="C213">
        <v>2059</v>
      </c>
      <c r="D213">
        <v>2058</v>
      </c>
      <c r="E213">
        <v>100</v>
      </c>
      <c r="F213">
        <v>320</v>
      </c>
      <c r="G213">
        <v>2190</v>
      </c>
      <c r="H213">
        <v>32827.22</v>
      </c>
      <c r="I213">
        <v>0</v>
      </c>
      <c r="J213" s="283">
        <v>45412.177658182867</v>
      </c>
      <c r="K213" t="s">
        <v>3150</v>
      </c>
      <c r="L213" t="s">
        <v>3145</v>
      </c>
      <c r="M213" t="s">
        <v>3146</v>
      </c>
      <c r="N213" t="s">
        <v>272</v>
      </c>
      <c r="O213" t="s">
        <v>118</v>
      </c>
    </row>
    <row r="214" spans="1:15" x14ac:dyDescent="0.35">
      <c r="A214">
        <v>57279</v>
      </c>
      <c r="B214" s="283">
        <v>44378</v>
      </c>
      <c r="C214">
        <v>2059</v>
      </c>
      <c r="D214">
        <v>2058</v>
      </c>
      <c r="E214">
        <v>100</v>
      </c>
      <c r="F214">
        <v>320</v>
      </c>
      <c r="G214">
        <v>2210</v>
      </c>
      <c r="H214">
        <v>17530.5</v>
      </c>
      <c r="I214">
        <v>0</v>
      </c>
      <c r="J214" s="283">
        <v>45412.177658182867</v>
      </c>
      <c r="K214" t="s">
        <v>3168</v>
      </c>
      <c r="L214" t="s">
        <v>3145</v>
      </c>
      <c r="M214" t="s">
        <v>3146</v>
      </c>
      <c r="N214" t="s">
        <v>272</v>
      </c>
      <c r="O214" t="s">
        <v>118</v>
      </c>
    </row>
    <row r="215" spans="1:15" x14ac:dyDescent="0.35">
      <c r="A215">
        <v>57290</v>
      </c>
      <c r="B215" s="283">
        <v>44378</v>
      </c>
      <c r="C215">
        <v>2060</v>
      </c>
      <c r="D215">
        <v>2058</v>
      </c>
      <c r="E215">
        <v>100</v>
      </c>
      <c r="F215">
        <v>320</v>
      </c>
      <c r="G215">
        <v>1200</v>
      </c>
      <c r="H215">
        <v>1077.8</v>
      </c>
      <c r="I215">
        <v>0</v>
      </c>
      <c r="J215" s="283">
        <v>45412.177658182867</v>
      </c>
      <c r="K215" t="s">
        <v>3144</v>
      </c>
      <c r="L215" t="s">
        <v>3145</v>
      </c>
      <c r="M215" t="s">
        <v>3146</v>
      </c>
      <c r="N215" t="s">
        <v>272</v>
      </c>
      <c r="O215" t="s">
        <v>155</v>
      </c>
    </row>
    <row r="216" spans="1:15" x14ac:dyDescent="0.35">
      <c r="A216">
        <v>57291</v>
      </c>
      <c r="B216" s="283">
        <v>44378</v>
      </c>
      <c r="C216">
        <v>2060</v>
      </c>
      <c r="D216">
        <v>2058</v>
      </c>
      <c r="E216">
        <v>100</v>
      </c>
      <c r="F216">
        <v>320</v>
      </c>
      <c r="G216">
        <v>2100</v>
      </c>
      <c r="H216">
        <v>27162.89</v>
      </c>
      <c r="I216">
        <v>0</v>
      </c>
      <c r="J216" s="283">
        <v>45412.177658182867</v>
      </c>
      <c r="K216" t="s">
        <v>3147</v>
      </c>
      <c r="L216" t="s">
        <v>3145</v>
      </c>
      <c r="M216" t="s">
        <v>3146</v>
      </c>
      <c r="N216" t="s">
        <v>272</v>
      </c>
      <c r="O216" t="s">
        <v>155</v>
      </c>
    </row>
    <row r="217" spans="1:15" x14ac:dyDescent="0.35">
      <c r="A217">
        <v>57292</v>
      </c>
      <c r="B217" s="283">
        <v>44378</v>
      </c>
      <c r="C217">
        <v>2060</v>
      </c>
      <c r="D217">
        <v>2058</v>
      </c>
      <c r="E217">
        <v>100</v>
      </c>
      <c r="F217">
        <v>320</v>
      </c>
      <c r="G217">
        <v>2190</v>
      </c>
      <c r="H217">
        <v>19744.66</v>
      </c>
      <c r="I217">
        <v>0</v>
      </c>
      <c r="J217" s="283">
        <v>45412.177658182867</v>
      </c>
      <c r="K217" t="s">
        <v>3150</v>
      </c>
      <c r="L217" t="s">
        <v>3145</v>
      </c>
      <c r="M217" t="s">
        <v>3146</v>
      </c>
      <c r="N217" t="s">
        <v>272</v>
      </c>
      <c r="O217" t="s">
        <v>155</v>
      </c>
    </row>
    <row r="218" spans="1:15" x14ac:dyDescent="0.35">
      <c r="A218">
        <v>57293</v>
      </c>
      <c r="B218" s="283">
        <v>44378</v>
      </c>
      <c r="C218">
        <v>2060</v>
      </c>
      <c r="D218">
        <v>2058</v>
      </c>
      <c r="E218">
        <v>100</v>
      </c>
      <c r="F218">
        <v>320</v>
      </c>
      <c r="G218">
        <v>2210</v>
      </c>
      <c r="H218">
        <v>8765.25</v>
      </c>
      <c r="I218">
        <v>0</v>
      </c>
      <c r="J218" s="283">
        <v>45412.177658182867</v>
      </c>
      <c r="K218" t="s">
        <v>3168</v>
      </c>
      <c r="L218" t="s">
        <v>3145</v>
      </c>
      <c r="M218" t="s">
        <v>3146</v>
      </c>
      <c r="N218" t="s">
        <v>272</v>
      </c>
      <c r="O218" t="s">
        <v>155</v>
      </c>
    </row>
    <row r="219" spans="1:15" x14ac:dyDescent="0.35">
      <c r="A219">
        <v>57303</v>
      </c>
      <c r="B219" s="283">
        <v>44378</v>
      </c>
      <c r="C219">
        <v>2061</v>
      </c>
      <c r="D219">
        <v>2058</v>
      </c>
      <c r="E219">
        <v>100</v>
      </c>
      <c r="F219">
        <v>320</v>
      </c>
      <c r="G219">
        <v>2100</v>
      </c>
      <c r="H219">
        <v>228518.86</v>
      </c>
      <c r="I219">
        <v>0</v>
      </c>
      <c r="J219" s="283">
        <v>45412.177658182867</v>
      </c>
      <c r="K219" t="s">
        <v>3147</v>
      </c>
      <c r="L219" t="s">
        <v>3145</v>
      </c>
      <c r="M219" t="s">
        <v>3146</v>
      </c>
      <c r="N219" t="s">
        <v>272</v>
      </c>
      <c r="O219" t="s">
        <v>144</v>
      </c>
    </row>
    <row r="220" spans="1:15" x14ac:dyDescent="0.35">
      <c r="A220">
        <v>57304</v>
      </c>
      <c r="B220" s="283">
        <v>44378</v>
      </c>
      <c r="C220">
        <v>2061</v>
      </c>
      <c r="D220">
        <v>2058</v>
      </c>
      <c r="E220">
        <v>100</v>
      </c>
      <c r="F220">
        <v>320</v>
      </c>
      <c r="G220">
        <v>2190</v>
      </c>
      <c r="H220">
        <v>2100</v>
      </c>
      <c r="I220">
        <v>0</v>
      </c>
      <c r="J220" s="283">
        <v>45412.177658182867</v>
      </c>
      <c r="K220" t="s">
        <v>3150</v>
      </c>
      <c r="L220" t="s">
        <v>3145</v>
      </c>
      <c r="M220" t="s">
        <v>3146</v>
      </c>
      <c r="N220" t="s">
        <v>272</v>
      </c>
      <c r="O220" t="s">
        <v>144</v>
      </c>
    </row>
    <row r="221" spans="1:15" x14ac:dyDescent="0.35">
      <c r="A221">
        <v>57313</v>
      </c>
      <c r="B221" s="283">
        <v>44378</v>
      </c>
      <c r="C221">
        <v>2062</v>
      </c>
      <c r="D221">
        <v>2058</v>
      </c>
      <c r="E221">
        <v>100</v>
      </c>
      <c r="F221">
        <v>320</v>
      </c>
      <c r="G221">
        <v>1200</v>
      </c>
      <c r="H221">
        <v>12796.79</v>
      </c>
      <c r="I221">
        <v>0</v>
      </c>
      <c r="J221" s="283">
        <v>45412.177658182867</v>
      </c>
      <c r="K221" t="s">
        <v>3144</v>
      </c>
      <c r="L221" t="s">
        <v>3145</v>
      </c>
      <c r="M221" t="s">
        <v>3146</v>
      </c>
      <c r="N221" t="s">
        <v>272</v>
      </c>
      <c r="O221" t="s">
        <v>167</v>
      </c>
    </row>
    <row r="222" spans="1:15" x14ac:dyDescent="0.35">
      <c r="A222">
        <v>57314</v>
      </c>
      <c r="B222" s="283">
        <v>44378</v>
      </c>
      <c r="C222">
        <v>2062</v>
      </c>
      <c r="D222">
        <v>2058</v>
      </c>
      <c r="E222">
        <v>100</v>
      </c>
      <c r="F222">
        <v>320</v>
      </c>
      <c r="G222">
        <v>2100</v>
      </c>
      <c r="H222">
        <v>9071.7199999999993</v>
      </c>
      <c r="I222">
        <v>0</v>
      </c>
      <c r="J222" s="283">
        <v>45412.177658182867</v>
      </c>
      <c r="K222" t="s">
        <v>3147</v>
      </c>
      <c r="L222" t="s">
        <v>3145</v>
      </c>
      <c r="M222" t="s">
        <v>3146</v>
      </c>
      <c r="N222" t="s">
        <v>272</v>
      </c>
      <c r="O222" t="s">
        <v>167</v>
      </c>
    </row>
    <row r="223" spans="1:15" x14ac:dyDescent="0.35">
      <c r="A223">
        <v>57315</v>
      </c>
      <c r="B223" s="283">
        <v>44378</v>
      </c>
      <c r="C223">
        <v>2062</v>
      </c>
      <c r="D223">
        <v>2058</v>
      </c>
      <c r="E223">
        <v>100</v>
      </c>
      <c r="F223">
        <v>320</v>
      </c>
      <c r="G223">
        <v>2190</v>
      </c>
      <c r="H223">
        <v>4954.67</v>
      </c>
      <c r="I223">
        <v>0</v>
      </c>
      <c r="J223" s="283">
        <v>45412.177658182867</v>
      </c>
      <c r="K223" t="s">
        <v>3150</v>
      </c>
      <c r="L223" t="s">
        <v>3145</v>
      </c>
      <c r="M223" t="s">
        <v>3146</v>
      </c>
      <c r="N223" t="s">
        <v>272</v>
      </c>
      <c r="O223" t="s">
        <v>167</v>
      </c>
    </row>
    <row r="224" spans="1:15" x14ac:dyDescent="0.35">
      <c r="A224">
        <v>57316</v>
      </c>
      <c r="B224" s="283">
        <v>44378</v>
      </c>
      <c r="C224">
        <v>2062</v>
      </c>
      <c r="D224">
        <v>2058</v>
      </c>
      <c r="E224">
        <v>100</v>
      </c>
      <c r="F224">
        <v>320</v>
      </c>
      <c r="G224">
        <v>2210</v>
      </c>
      <c r="H224">
        <v>4382.63</v>
      </c>
      <c r="I224">
        <v>0</v>
      </c>
      <c r="J224" s="283">
        <v>45412.177658182867</v>
      </c>
      <c r="K224" t="s">
        <v>3168</v>
      </c>
      <c r="L224" t="s">
        <v>3145</v>
      </c>
      <c r="M224" t="s">
        <v>3146</v>
      </c>
      <c r="N224" t="s">
        <v>272</v>
      </c>
      <c r="O224" t="s">
        <v>167</v>
      </c>
    </row>
    <row r="225" spans="1:15" x14ac:dyDescent="0.35">
      <c r="A225">
        <v>57325</v>
      </c>
      <c r="B225" s="283">
        <v>44378</v>
      </c>
      <c r="C225">
        <v>2063</v>
      </c>
      <c r="D225">
        <v>2058</v>
      </c>
      <c r="E225">
        <v>100</v>
      </c>
      <c r="F225">
        <v>320</v>
      </c>
      <c r="G225">
        <v>1200</v>
      </c>
      <c r="H225">
        <v>24858.36</v>
      </c>
      <c r="I225">
        <v>0</v>
      </c>
      <c r="J225" s="283">
        <v>45412.177658182867</v>
      </c>
      <c r="K225" t="s">
        <v>3144</v>
      </c>
      <c r="L225" t="s">
        <v>3145</v>
      </c>
      <c r="M225" t="s">
        <v>3146</v>
      </c>
      <c r="N225" t="s">
        <v>272</v>
      </c>
      <c r="O225" t="s">
        <v>14</v>
      </c>
    </row>
    <row r="226" spans="1:15" x14ac:dyDescent="0.35">
      <c r="A226">
        <v>57326</v>
      </c>
      <c r="B226" s="283">
        <v>44378</v>
      </c>
      <c r="C226">
        <v>2063</v>
      </c>
      <c r="D226">
        <v>2058</v>
      </c>
      <c r="E226">
        <v>100</v>
      </c>
      <c r="F226">
        <v>320</v>
      </c>
      <c r="G226">
        <v>2100</v>
      </c>
      <c r="H226">
        <v>8382.17</v>
      </c>
      <c r="I226">
        <v>0</v>
      </c>
      <c r="J226" s="283">
        <v>45412.177658182867</v>
      </c>
      <c r="K226" t="s">
        <v>3147</v>
      </c>
      <c r="L226" t="s">
        <v>3145</v>
      </c>
      <c r="M226" t="s">
        <v>3146</v>
      </c>
      <c r="N226" t="s">
        <v>272</v>
      </c>
      <c r="O226" t="s">
        <v>14</v>
      </c>
    </row>
    <row r="227" spans="1:15" x14ac:dyDescent="0.35">
      <c r="A227">
        <v>57327</v>
      </c>
      <c r="B227" s="283">
        <v>44378</v>
      </c>
      <c r="C227">
        <v>2063</v>
      </c>
      <c r="D227">
        <v>2058</v>
      </c>
      <c r="E227">
        <v>100</v>
      </c>
      <c r="F227">
        <v>320</v>
      </c>
      <c r="G227">
        <v>2190</v>
      </c>
      <c r="H227">
        <v>5125.05</v>
      </c>
      <c r="I227">
        <v>0</v>
      </c>
      <c r="J227" s="283">
        <v>45412.177658182867</v>
      </c>
      <c r="K227" t="s">
        <v>3150</v>
      </c>
      <c r="L227" t="s">
        <v>3145</v>
      </c>
      <c r="M227" t="s">
        <v>3146</v>
      </c>
      <c r="N227" t="s">
        <v>272</v>
      </c>
      <c r="O227" t="s">
        <v>14</v>
      </c>
    </row>
    <row r="228" spans="1:15" x14ac:dyDescent="0.35">
      <c r="A228">
        <v>57328</v>
      </c>
      <c r="B228" s="283">
        <v>44378</v>
      </c>
      <c r="C228">
        <v>2063</v>
      </c>
      <c r="D228">
        <v>2058</v>
      </c>
      <c r="E228">
        <v>100</v>
      </c>
      <c r="F228">
        <v>320</v>
      </c>
      <c r="G228">
        <v>2210</v>
      </c>
      <c r="H228">
        <v>4382.62</v>
      </c>
      <c r="I228">
        <v>0</v>
      </c>
      <c r="J228" s="283">
        <v>45412.177658182867</v>
      </c>
      <c r="K228" t="s">
        <v>3168</v>
      </c>
      <c r="L228" t="s">
        <v>3145</v>
      </c>
      <c r="M228" t="s">
        <v>3146</v>
      </c>
      <c r="N228" t="s">
        <v>272</v>
      </c>
      <c r="O228" t="s">
        <v>14</v>
      </c>
    </row>
    <row r="229" spans="1:15" x14ac:dyDescent="0.35">
      <c r="A229">
        <v>57337</v>
      </c>
      <c r="B229" s="283">
        <v>44378</v>
      </c>
      <c r="C229">
        <v>2081</v>
      </c>
      <c r="D229">
        <v>2064</v>
      </c>
      <c r="E229">
        <v>100</v>
      </c>
      <c r="F229">
        <v>320</v>
      </c>
      <c r="G229">
        <v>1200</v>
      </c>
      <c r="H229">
        <v>217899</v>
      </c>
      <c r="I229">
        <v>0</v>
      </c>
      <c r="J229" s="283">
        <v>45412.177658182867</v>
      </c>
      <c r="K229" t="s">
        <v>3144</v>
      </c>
      <c r="L229" t="s">
        <v>3145</v>
      </c>
      <c r="M229" t="s">
        <v>3146</v>
      </c>
      <c r="N229" t="s">
        <v>391</v>
      </c>
      <c r="O229" t="s">
        <v>166</v>
      </c>
    </row>
    <row r="230" spans="1:15" x14ac:dyDescent="0.35">
      <c r="A230">
        <v>57338</v>
      </c>
      <c r="B230" s="283">
        <v>44378</v>
      </c>
      <c r="C230">
        <v>2081</v>
      </c>
      <c r="D230">
        <v>2064</v>
      </c>
      <c r="E230">
        <v>100</v>
      </c>
      <c r="F230">
        <v>320</v>
      </c>
      <c r="G230">
        <v>2100</v>
      </c>
      <c r="H230">
        <v>15177</v>
      </c>
      <c r="I230">
        <v>0</v>
      </c>
      <c r="J230" s="283">
        <v>45412.177658182867</v>
      </c>
      <c r="K230" t="s">
        <v>3147</v>
      </c>
      <c r="L230" t="s">
        <v>3145</v>
      </c>
      <c r="M230" t="s">
        <v>3146</v>
      </c>
      <c r="N230" t="s">
        <v>391</v>
      </c>
      <c r="O230" t="s">
        <v>166</v>
      </c>
    </row>
    <row r="231" spans="1:15" x14ac:dyDescent="0.35">
      <c r="A231">
        <v>57339</v>
      </c>
      <c r="B231" s="283">
        <v>44378</v>
      </c>
      <c r="C231">
        <v>2081</v>
      </c>
      <c r="D231">
        <v>2064</v>
      </c>
      <c r="E231">
        <v>100</v>
      </c>
      <c r="F231">
        <v>320</v>
      </c>
      <c r="G231">
        <v>2190</v>
      </c>
      <c r="H231">
        <v>34640</v>
      </c>
      <c r="I231">
        <v>0</v>
      </c>
      <c r="J231" s="283">
        <v>45412.177658182867</v>
      </c>
      <c r="K231" t="s">
        <v>3150</v>
      </c>
      <c r="L231" t="s">
        <v>3145</v>
      </c>
      <c r="M231" t="s">
        <v>3146</v>
      </c>
      <c r="N231" t="s">
        <v>391</v>
      </c>
      <c r="O231" t="s">
        <v>166</v>
      </c>
    </row>
    <row r="232" spans="1:15" x14ac:dyDescent="0.35">
      <c r="A232">
        <v>57340</v>
      </c>
      <c r="B232" s="283">
        <v>44378</v>
      </c>
      <c r="C232">
        <v>2081</v>
      </c>
      <c r="D232">
        <v>2064</v>
      </c>
      <c r="E232">
        <v>100</v>
      </c>
      <c r="F232">
        <v>320</v>
      </c>
      <c r="G232">
        <v>2660</v>
      </c>
      <c r="H232">
        <v>1371</v>
      </c>
      <c r="I232">
        <v>0</v>
      </c>
      <c r="J232" s="283">
        <v>45412.177658182867</v>
      </c>
      <c r="K232" t="s">
        <v>3152</v>
      </c>
      <c r="L232" t="s">
        <v>3145</v>
      </c>
      <c r="M232" t="s">
        <v>3146</v>
      </c>
      <c r="N232" t="s">
        <v>391</v>
      </c>
      <c r="O232" t="s">
        <v>166</v>
      </c>
    </row>
    <row r="233" spans="1:15" x14ac:dyDescent="0.35">
      <c r="A233">
        <v>57353</v>
      </c>
      <c r="B233" s="283">
        <v>44378</v>
      </c>
      <c r="C233">
        <v>2082</v>
      </c>
      <c r="D233">
        <v>2064</v>
      </c>
      <c r="E233">
        <v>100</v>
      </c>
      <c r="F233">
        <v>320</v>
      </c>
      <c r="G233">
        <v>1200</v>
      </c>
      <c r="H233">
        <v>2684797</v>
      </c>
      <c r="I233">
        <v>0</v>
      </c>
      <c r="J233" s="283">
        <v>45412.177658182867</v>
      </c>
      <c r="K233" t="s">
        <v>3144</v>
      </c>
      <c r="L233" t="s">
        <v>3145</v>
      </c>
      <c r="M233" t="s">
        <v>3146</v>
      </c>
      <c r="N233" t="s">
        <v>391</v>
      </c>
      <c r="O233" t="s">
        <v>80</v>
      </c>
    </row>
    <row r="234" spans="1:15" x14ac:dyDescent="0.35">
      <c r="A234">
        <v>57354</v>
      </c>
      <c r="B234" s="283">
        <v>44378</v>
      </c>
      <c r="C234">
        <v>2082</v>
      </c>
      <c r="D234">
        <v>2064</v>
      </c>
      <c r="E234">
        <v>100</v>
      </c>
      <c r="F234">
        <v>320</v>
      </c>
      <c r="G234">
        <v>2100</v>
      </c>
      <c r="H234">
        <v>927293</v>
      </c>
      <c r="I234">
        <v>0</v>
      </c>
      <c r="J234" s="283">
        <v>45412.177658182867</v>
      </c>
      <c r="K234" t="s">
        <v>3147</v>
      </c>
      <c r="L234" t="s">
        <v>3145</v>
      </c>
      <c r="M234" t="s">
        <v>3146</v>
      </c>
      <c r="N234" t="s">
        <v>391</v>
      </c>
      <c r="O234" t="s">
        <v>80</v>
      </c>
    </row>
    <row r="235" spans="1:15" x14ac:dyDescent="0.35">
      <c r="A235">
        <v>57355</v>
      </c>
      <c r="B235" s="283">
        <v>44378</v>
      </c>
      <c r="C235">
        <v>2082</v>
      </c>
      <c r="D235">
        <v>2064</v>
      </c>
      <c r="E235">
        <v>100</v>
      </c>
      <c r="F235">
        <v>320</v>
      </c>
      <c r="G235">
        <v>2190</v>
      </c>
      <c r="H235">
        <v>336020</v>
      </c>
      <c r="I235">
        <v>0</v>
      </c>
      <c r="J235" s="283">
        <v>45412.177658182867</v>
      </c>
      <c r="K235" t="s">
        <v>3150</v>
      </c>
      <c r="L235" t="s">
        <v>3145</v>
      </c>
      <c r="M235" t="s">
        <v>3146</v>
      </c>
      <c r="N235" t="s">
        <v>391</v>
      </c>
      <c r="O235" t="s">
        <v>80</v>
      </c>
    </row>
    <row r="236" spans="1:15" x14ac:dyDescent="0.35">
      <c r="A236">
        <v>57356</v>
      </c>
      <c r="B236" s="283">
        <v>44378</v>
      </c>
      <c r="C236">
        <v>2082</v>
      </c>
      <c r="D236">
        <v>2064</v>
      </c>
      <c r="E236">
        <v>100</v>
      </c>
      <c r="F236">
        <v>320</v>
      </c>
      <c r="G236">
        <v>2660</v>
      </c>
      <c r="H236">
        <v>12295</v>
      </c>
      <c r="I236">
        <v>0</v>
      </c>
      <c r="J236" s="283">
        <v>45412.177658182867</v>
      </c>
      <c r="K236" t="s">
        <v>3152</v>
      </c>
      <c r="L236" t="s">
        <v>3145</v>
      </c>
      <c r="M236" t="s">
        <v>3146</v>
      </c>
      <c r="N236" t="s">
        <v>391</v>
      </c>
      <c r="O236" t="s">
        <v>80</v>
      </c>
    </row>
    <row r="237" spans="1:15" x14ac:dyDescent="0.35">
      <c r="A237">
        <v>57369</v>
      </c>
      <c r="B237" s="283">
        <v>44378</v>
      </c>
      <c r="C237">
        <v>2083</v>
      </c>
      <c r="D237">
        <v>2064</v>
      </c>
      <c r="E237">
        <v>100</v>
      </c>
      <c r="F237">
        <v>320</v>
      </c>
      <c r="G237">
        <v>1200</v>
      </c>
      <c r="H237">
        <v>2222999</v>
      </c>
      <c r="I237">
        <v>0</v>
      </c>
      <c r="J237" s="283">
        <v>45412.177658182867</v>
      </c>
      <c r="K237" t="s">
        <v>3144</v>
      </c>
      <c r="L237" t="s">
        <v>3145</v>
      </c>
      <c r="M237" t="s">
        <v>3146</v>
      </c>
      <c r="N237" t="s">
        <v>391</v>
      </c>
      <c r="O237" t="s">
        <v>196</v>
      </c>
    </row>
    <row r="238" spans="1:15" x14ac:dyDescent="0.35">
      <c r="A238">
        <v>57370</v>
      </c>
      <c r="B238" s="283">
        <v>44378</v>
      </c>
      <c r="C238">
        <v>2083</v>
      </c>
      <c r="D238">
        <v>2064</v>
      </c>
      <c r="E238">
        <v>100</v>
      </c>
      <c r="F238">
        <v>320</v>
      </c>
      <c r="G238">
        <v>2100</v>
      </c>
      <c r="H238">
        <v>131882</v>
      </c>
      <c r="I238">
        <v>0</v>
      </c>
      <c r="J238" s="283">
        <v>45412.177658182867</v>
      </c>
      <c r="K238" t="s">
        <v>3147</v>
      </c>
      <c r="L238" t="s">
        <v>3145</v>
      </c>
      <c r="M238" t="s">
        <v>3146</v>
      </c>
      <c r="N238" t="s">
        <v>391</v>
      </c>
      <c r="O238" t="s">
        <v>196</v>
      </c>
    </row>
    <row r="239" spans="1:15" x14ac:dyDescent="0.35">
      <c r="A239">
        <v>57371</v>
      </c>
      <c r="B239" s="283">
        <v>44378</v>
      </c>
      <c r="C239">
        <v>2083</v>
      </c>
      <c r="D239">
        <v>2064</v>
      </c>
      <c r="E239">
        <v>100</v>
      </c>
      <c r="F239">
        <v>320</v>
      </c>
      <c r="G239">
        <v>2190</v>
      </c>
      <c r="H239">
        <v>258405</v>
      </c>
      <c r="I239">
        <v>0</v>
      </c>
      <c r="J239" s="283">
        <v>45412.177658182867</v>
      </c>
      <c r="K239" t="s">
        <v>3150</v>
      </c>
      <c r="L239" t="s">
        <v>3145</v>
      </c>
      <c r="M239" t="s">
        <v>3146</v>
      </c>
      <c r="N239" t="s">
        <v>391</v>
      </c>
      <c r="O239" t="s">
        <v>196</v>
      </c>
    </row>
    <row r="240" spans="1:15" x14ac:dyDescent="0.35">
      <c r="A240">
        <v>57372</v>
      </c>
      <c r="B240" s="283">
        <v>44378</v>
      </c>
      <c r="C240">
        <v>2083</v>
      </c>
      <c r="D240">
        <v>2064</v>
      </c>
      <c r="E240">
        <v>100</v>
      </c>
      <c r="F240">
        <v>320</v>
      </c>
      <c r="G240">
        <v>2660</v>
      </c>
      <c r="H240">
        <v>10093</v>
      </c>
      <c r="I240">
        <v>0</v>
      </c>
      <c r="J240" s="283">
        <v>45412.177658182867</v>
      </c>
      <c r="K240" t="s">
        <v>3152</v>
      </c>
      <c r="L240" t="s">
        <v>3145</v>
      </c>
      <c r="M240" t="s">
        <v>3146</v>
      </c>
      <c r="N240" t="s">
        <v>391</v>
      </c>
      <c r="O240" t="s">
        <v>196</v>
      </c>
    </row>
    <row r="241" spans="1:15" x14ac:dyDescent="0.35">
      <c r="A241">
        <v>57387</v>
      </c>
      <c r="B241" s="283">
        <v>44378</v>
      </c>
      <c r="C241">
        <v>2084</v>
      </c>
      <c r="D241">
        <v>2064</v>
      </c>
      <c r="E241">
        <v>100</v>
      </c>
      <c r="F241">
        <v>320</v>
      </c>
      <c r="G241">
        <v>1200</v>
      </c>
      <c r="H241">
        <v>195066</v>
      </c>
      <c r="I241">
        <v>0</v>
      </c>
      <c r="J241" s="283">
        <v>45412.177658182867</v>
      </c>
      <c r="K241" t="s">
        <v>3144</v>
      </c>
      <c r="L241" t="s">
        <v>3145</v>
      </c>
      <c r="M241" t="s">
        <v>3146</v>
      </c>
      <c r="N241" t="s">
        <v>391</v>
      </c>
      <c r="O241" t="s">
        <v>82</v>
      </c>
    </row>
    <row r="242" spans="1:15" x14ac:dyDescent="0.35">
      <c r="A242">
        <v>57388</v>
      </c>
      <c r="B242" s="283">
        <v>44378</v>
      </c>
      <c r="C242">
        <v>2084</v>
      </c>
      <c r="D242">
        <v>2064</v>
      </c>
      <c r="E242">
        <v>100</v>
      </c>
      <c r="F242">
        <v>320</v>
      </c>
      <c r="G242">
        <v>2100</v>
      </c>
      <c r="H242">
        <v>7442</v>
      </c>
      <c r="I242">
        <v>0</v>
      </c>
      <c r="J242" s="283">
        <v>45412.177658182867</v>
      </c>
      <c r="K242" t="s">
        <v>3147</v>
      </c>
      <c r="L242" t="s">
        <v>3145</v>
      </c>
      <c r="M242" t="s">
        <v>3146</v>
      </c>
      <c r="N242" t="s">
        <v>391</v>
      </c>
      <c r="O242" t="s">
        <v>82</v>
      </c>
    </row>
    <row r="243" spans="1:15" x14ac:dyDescent="0.35">
      <c r="A243">
        <v>57389</v>
      </c>
      <c r="B243" s="283">
        <v>44378</v>
      </c>
      <c r="C243">
        <v>2084</v>
      </c>
      <c r="D243">
        <v>2064</v>
      </c>
      <c r="E243">
        <v>100</v>
      </c>
      <c r="F243">
        <v>320</v>
      </c>
      <c r="G243">
        <v>2190</v>
      </c>
      <c r="H243">
        <v>11299</v>
      </c>
      <c r="I243">
        <v>0</v>
      </c>
      <c r="J243" s="283">
        <v>45412.177658182867</v>
      </c>
      <c r="K243" t="s">
        <v>3150</v>
      </c>
      <c r="L243" t="s">
        <v>3145</v>
      </c>
      <c r="M243" t="s">
        <v>3146</v>
      </c>
      <c r="N243" t="s">
        <v>391</v>
      </c>
      <c r="O243" t="s">
        <v>82</v>
      </c>
    </row>
    <row r="244" spans="1:15" x14ac:dyDescent="0.35">
      <c r="A244">
        <v>57390</v>
      </c>
      <c r="B244" s="283">
        <v>44378</v>
      </c>
      <c r="C244">
        <v>2084</v>
      </c>
      <c r="D244">
        <v>2064</v>
      </c>
      <c r="E244">
        <v>100</v>
      </c>
      <c r="F244">
        <v>320</v>
      </c>
      <c r="G244">
        <v>2660</v>
      </c>
      <c r="H244">
        <v>156</v>
      </c>
      <c r="I244">
        <v>0</v>
      </c>
      <c r="J244" s="283">
        <v>45412.177658182867</v>
      </c>
      <c r="K244" t="s">
        <v>3152</v>
      </c>
      <c r="L244" t="s">
        <v>3145</v>
      </c>
      <c r="M244" t="s">
        <v>3146</v>
      </c>
      <c r="N244" t="s">
        <v>391</v>
      </c>
      <c r="O244" t="s">
        <v>82</v>
      </c>
    </row>
    <row r="245" spans="1:15" x14ac:dyDescent="0.35">
      <c r="A245">
        <v>57403</v>
      </c>
      <c r="B245" s="283">
        <v>44378</v>
      </c>
      <c r="C245">
        <v>2085</v>
      </c>
      <c r="D245">
        <v>2064</v>
      </c>
      <c r="E245">
        <v>100</v>
      </c>
      <c r="F245">
        <v>320</v>
      </c>
      <c r="G245">
        <v>2100</v>
      </c>
      <c r="H245">
        <v>43180</v>
      </c>
      <c r="I245">
        <v>0</v>
      </c>
      <c r="J245" s="283">
        <v>45412.177658182867</v>
      </c>
      <c r="K245" t="s">
        <v>3147</v>
      </c>
      <c r="L245" t="s">
        <v>3145</v>
      </c>
      <c r="M245" t="s">
        <v>3146</v>
      </c>
      <c r="N245" t="s">
        <v>391</v>
      </c>
      <c r="O245" t="s">
        <v>125</v>
      </c>
    </row>
    <row r="246" spans="1:15" x14ac:dyDescent="0.35">
      <c r="A246">
        <v>57404</v>
      </c>
      <c r="B246" s="283">
        <v>44378</v>
      </c>
      <c r="C246">
        <v>2085</v>
      </c>
      <c r="D246">
        <v>2064</v>
      </c>
      <c r="E246">
        <v>100</v>
      </c>
      <c r="F246">
        <v>320</v>
      </c>
      <c r="G246">
        <v>2190</v>
      </c>
      <c r="H246">
        <v>2213</v>
      </c>
      <c r="I246">
        <v>0</v>
      </c>
      <c r="J246" s="283">
        <v>45412.177658182867</v>
      </c>
      <c r="K246" t="s">
        <v>3150</v>
      </c>
      <c r="L246" t="s">
        <v>3145</v>
      </c>
      <c r="M246" t="s">
        <v>3146</v>
      </c>
      <c r="N246" t="s">
        <v>391</v>
      </c>
      <c r="O246" t="s">
        <v>125</v>
      </c>
    </row>
    <row r="247" spans="1:15" x14ac:dyDescent="0.35">
      <c r="A247">
        <v>57418</v>
      </c>
      <c r="B247" s="283">
        <v>44378</v>
      </c>
      <c r="C247">
        <v>2086</v>
      </c>
      <c r="D247">
        <v>2064</v>
      </c>
      <c r="E247">
        <v>100</v>
      </c>
      <c r="F247">
        <v>320</v>
      </c>
      <c r="G247">
        <v>1200</v>
      </c>
      <c r="H247">
        <v>351170</v>
      </c>
      <c r="I247">
        <v>0</v>
      </c>
      <c r="J247" s="283">
        <v>45412.177658182867</v>
      </c>
      <c r="K247" t="s">
        <v>3144</v>
      </c>
      <c r="L247" t="s">
        <v>3145</v>
      </c>
      <c r="M247" t="s">
        <v>3146</v>
      </c>
      <c r="N247" t="s">
        <v>391</v>
      </c>
      <c r="O247" t="s">
        <v>60</v>
      </c>
    </row>
    <row r="248" spans="1:15" x14ac:dyDescent="0.35">
      <c r="A248">
        <v>57419</v>
      </c>
      <c r="B248" s="283">
        <v>44378</v>
      </c>
      <c r="C248">
        <v>2086</v>
      </c>
      <c r="D248">
        <v>2064</v>
      </c>
      <c r="E248">
        <v>100</v>
      </c>
      <c r="F248">
        <v>320</v>
      </c>
      <c r="G248">
        <v>2100</v>
      </c>
      <c r="H248">
        <v>66384</v>
      </c>
      <c r="I248">
        <v>0</v>
      </c>
      <c r="J248" s="283">
        <v>45412.177658182867</v>
      </c>
      <c r="K248" t="s">
        <v>3147</v>
      </c>
      <c r="L248" t="s">
        <v>3145</v>
      </c>
      <c r="M248" t="s">
        <v>3146</v>
      </c>
      <c r="N248" t="s">
        <v>391</v>
      </c>
      <c r="O248" t="s">
        <v>60</v>
      </c>
    </row>
    <row r="249" spans="1:15" x14ac:dyDescent="0.35">
      <c r="A249">
        <v>57420</v>
      </c>
      <c r="B249" s="283">
        <v>44378</v>
      </c>
      <c r="C249">
        <v>2086</v>
      </c>
      <c r="D249">
        <v>2064</v>
      </c>
      <c r="E249">
        <v>100</v>
      </c>
      <c r="F249">
        <v>320</v>
      </c>
      <c r="G249">
        <v>2190</v>
      </c>
      <c r="H249">
        <v>90825</v>
      </c>
      <c r="I249">
        <v>0</v>
      </c>
      <c r="J249" s="283">
        <v>45412.177658182867</v>
      </c>
      <c r="K249" t="s">
        <v>3150</v>
      </c>
      <c r="L249" t="s">
        <v>3145</v>
      </c>
      <c r="M249" t="s">
        <v>3146</v>
      </c>
      <c r="N249" t="s">
        <v>391</v>
      </c>
      <c r="O249" t="s">
        <v>60</v>
      </c>
    </row>
    <row r="250" spans="1:15" x14ac:dyDescent="0.35">
      <c r="A250">
        <v>57421</v>
      </c>
      <c r="B250" s="283">
        <v>44378</v>
      </c>
      <c r="C250">
        <v>2086</v>
      </c>
      <c r="D250">
        <v>2064</v>
      </c>
      <c r="E250">
        <v>100</v>
      </c>
      <c r="F250">
        <v>320</v>
      </c>
      <c r="G250">
        <v>2660</v>
      </c>
      <c r="H250">
        <v>3494</v>
      </c>
      <c r="I250">
        <v>0</v>
      </c>
      <c r="J250" s="283">
        <v>45412.177658182867</v>
      </c>
      <c r="K250" t="s">
        <v>3152</v>
      </c>
      <c r="L250" t="s">
        <v>3145</v>
      </c>
      <c r="M250" t="s">
        <v>3146</v>
      </c>
      <c r="N250" t="s">
        <v>391</v>
      </c>
      <c r="O250" t="s">
        <v>60</v>
      </c>
    </row>
    <row r="251" spans="1:15" x14ac:dyDescent="0.35">
      <c r="A251">
        <v>57433</v>
      </c>
      <c r="B251" s="283">
        <v>44378</v>
      </c>
      <c r="C251">
        <v>2087</v>
      </c>
      <c r="D251">
        <v>2064</v>
      </c>
      <c r="E251">
        <v>100</v>
      </c>
      <c r="F251">
        <v>320</v>
      </c>
      <c r="G251">
        <v>1200</v>
      </c>
      <c r="H251">
        <v>887972</v>
      </c>
      <c r="I251">
        <v>0</v>
      </c>
      <c r="J251" s="283">
        <v>45412.177658182867</v>
      </c>
      <c r="K251" t="s">
        <v>3144</v>
      </c>
      <c r="L251" t="s">
        <v>3145</v>
      </c>
      <c r="M251" t="s">
        <v>3146</v>
      </c>
      <c r="N251" t="s">
        <v>391</v>
      </c>
      <c r="O251" t="s">
        <v>192</v>
      </c>
    </row>
    <row r="252" spans="1:15" x14ac:dyDescent="0.35">
      <c r="A252">
        <v>57434</v>
      </c>
      <c r="B252" s="283">
        <v>44378</v>
      </c>
      <c r="C252">
        <v>2087</v>
      </c>
      <c r="D252">
        <v>2064</v>
      </c>
      <c r="E252">
        <v>100</v>
      </c>
      <c r="F252">
        <v>320</v>
      </c>
      <c r="G252">
        <v>2100</v>
      </c>
      <c r="H252">
        <v>82074</v>
      </c>
      <c r="I252">
        <v>0</v>
      </c>
      <c r="J252" s="283">
        <v>45412.177658182867</v>
      </c>
      <c r="K252" t="s">
        <v>3147</v>
      </c>
      <c r="L252" t="s">
        <v>3145</v>
      </c>
      <c r="M252" t="s">
        <v>3146</v>
      </c>
      <c r="N252" t="s">
        <v>391</v>
      </c>
      <c r="O252" t="s">
        <v>192</v>
      </c>
    </row>
    <row r="253" spans="1:15" x14ac:dyDescent="0.35">
      <c r="A253">
        <v>57435</v>
      </c>
      <c r="B253" s="283">
        <v>44378</v>
      </c>
      <c r="C253">
        <v>2087</v>
      </c>
      <c r="D253">
        <v>2064</v>
      </c>
      <c r="E253">
        <v>100</v>
      </c>
      <c r="F253">
        <v>320</v>
      </c>
      <c r="G253">
        <v>2190</v>
      </c>
      <c r="H253">
        <v>119247</v>
      </c>
      <c r="I253">
        <v>0</v>
      </c>
      <c r="J253" s="283">
        <v>45412.177658182867</v>
      </c>
      <c r="K253" t="s">
        <v>3150</v>
      </c>
      <c r="L253" t="s">
        <v>3145</v>
      </c>
      <c r="M253" t="s">
        <v>3146</v>
      </c>
      <c r="N253" t="s">
        <v>391</v>
      </c>
      <c r="O253" t="s">
        <v>192</v>
      </c>
    </row>
    <row r="254" spans="1:15" x14ac:dyDescent="0.35">
      <c r="A254">
        <v>57436</v>
      </c>
      <c r="B254" s="283">
        <v>44378</v>
      </c>
      <c r="C254">
        <v>2087</v>
      </c>
      <c r="D254">
        <v>2064</v>
      </c>
      <c r="E254">
        <v>100</v>
      </c>
      <c r="F254">
        <v>320</v>
      </c>
      <c r="G254">
        <v>2660</v>
      </c>
      <c r="H254">
        <v>4600</v>
      </c>
      <c r="I254">
        <v>0</v>
      </c>
      <c r="J254" s="283">
        <v>45412.177658182867</v>
      </c>
      <c r="K254" t="s">
        <v>3152</v>
      </c>
      <c r="L254" t="s">
        <v>3145</v>
      </c>
      <c r="M254" t="s">
        <v>3146</v>
      </c>
      <c r="N254" t="s">
        <v>391</v>
      </c>
      <c r="O254" t="s">
        <v>192</v>
      </c>
    </row>
    <row r="255" spans="1:15" x14ac:dyDescent="0.35">
      <c r="A255">
        <v>57451</v>
      </c>
      <c r="B255" s="283">
        <v>44378</v>
      </c>
      <c r="C255">
        <v>2088</v>
      </c>
      <c r="D255">
        <v>2064</v>
      </c>
      <c r="E255">
        <v>100</v>
      </c>
      <c r="F255">
        <v>320</v>
      </c>
      <c r="G255">
        <v>1200</v>
      </c>
      <c r="H255">
        <v>348538</v>
      </c>
      <c r="I255">
        <v>0</v>
      </c>
      <c r="J255" s="283">
        <v>45412.177658182867</v>
      </c>
      <c r="K255" t="s">
        <v>3144</v>
      </c>
      <c r="L255" t="s">
        <v>3145</v>
      </c>
      <c r="M255" t="s">
        <v>3146</v>
      </c>
      <c r="N255" t="s">
        <v>391</v>
      </c>
      <c r="O255" t="s">
        <v>36</v>
      </c>
    </row>
    <row r="256" spans="1:15" x14ac:dyDescent="0.35">
      <c r="A256">
        <v>57452</v>
      </c>
      <c r="B256" s="283">
        <v>44378</v>
      </c>
      <c r="C256">
        <v>2088</v>
      </c>
      <c r="D256">
        <v>2064</v>
      </c>
      <c r="E256">
        <v>100</v>
      </c>
      <c r="F256">
        <v>320</v>
      </c>
      <c r="G256">
        <v>2100</v>
      </c>
      <c r="H256">
        <v>251640</v>
      </c>
      <c r="I256">
        <v>0</v>
      </c>
      <c r="J256" s="283">
        <v>45412.177658182867</v>
      </c>
      <c r="K256" t="s">
        <v>3147</v>
      </c>
      <c r="L256" t="s">
        <v>3145</v>
      </c>
      <c r="M256" t="s">
        <v>3146</v>
      </c>
      <c r="N256" t="s">
        <v>391</v>
      </c>
      <c r="O256" t="s">
        <v>36</v>
      </c>
    </row>
    <row r="257" spans="1:15" x14ac:dyDescent="0.35">
      <c r="A257">
        <v>57453</v>
      </c>
      <c r="B257" s="283">
        <v>44378</v>
      </c>
      <c r="C257">
        <v>2088</v>
      </c>
      <c r="D257">
        <v>2064</v>
      </c>
      <c r="E257">
        <v>100</v>
      </c>
      <c r="F257">
        <v>320</v>
      </c>
      <c r="G257">
        <v>2190</v>
      </c>
      <c r="H257">
        <v>53706</v>
      </c>
      <c r="I257">
        <v>0</v>
      </c>
      <c r="J257" s="283">
        <v>45412.177658182867</v>
      </c>
      <c r="K257" t="s">
        <v>3150</v>
      </c>
      <c r="L257" t="s">
        <v>3145</v>
      </c>
      <c r="M257" t="s">
        <v>3146</v>
      </c>
      <c r="N257" t="s">
        <v>391</v>
      </c>
      <c r="O257" t="s">
        <v>36</v>
      </c>
    </row>
    <row r="258" spans="1:15" x14ac:dyDescent="0.35">
      <c r="A258">
        <v>57454</v>
      </c>
      <c r="B258" s="283">
        <v>44378</v>
      </c>
      <c r="C258">
        <v>2088</v>
      </c>
      <c r="D258">
        <v>2064</v>
      </c>
      <c r="E258">
        <v>100</v>
      </c>
      <c r="F258">
        <v>320</v>
      </c>
      <c r="G258">
        <v>2660</v>
      </c>
      <c r="H258">
        <v>2131</v>
      </c>
      <c r="I258">
        <v>0</v>
      </c>
      <c r="J258" s="283">
        <v>45412.177658182867</v>
      </c>
      <c r="K258" t="s">
        <v>3152</v>
      </c>
      <c r="L258" t="s">
        <v>3145</v>
      </c>
      <c r="M258" t="s">
        <v>3146</v>
      </c>
      <c r="N258" t="s">
        <v>391</v>
      </c>
      <c r="O258" t="s">
        <v>36</v>
      </c>
    </row>
    <row r="259" spans="1:15" x14ac:dyDescent="0.35">
      <c r="A259">
        <v>57466</v>
      </c>
      <c r="B259" s="283">
        <v>44378</v>
      </c>
      <c r="C259">
        <v>2089</v>
      </c>
      <c r="D259">
        <v>2064</v>
      </c>
      <c r="E259">
        <v>100</v>
      </c>
      <c r="F259">
        <v>320</v>
      </c>
      <c r="G259">
        <v>1200</v>
      </c>
      <c r="H259">
        <v>87000</v>
      </c>
      <c r="I259">
        <v>0</v>
      </c>
      <c r="J259" s="283">
        <v>45412.177658182867</v>
      </c>
      <c r="K259" t="s">
        <v>3144</v>
      </c>
      <c r="L259" t="s">
        <v>3145</v>
      </c>
      <c r="M259" t="s">
        <v>3146</v>
      </c>
      <c r="N259" t="s">
        <v>391</v>
      </c>
      <c r="O259" t="s">
        <v>62</v>
      </c>
    </row>
    <row r="260" spans="1:15" x14ac:dyDescent="0.35">
      <c r="A260">
        <v>57467</v>
      </c>
      <c r="B260" s="283">
        <v>44378</v>
      </c>
      <c r="C260">
        <v>2089</v>
      </c>
      <c r="D260">
        <v>2064</v>
      </c>
      <c r="E260">
        <v>100</v>
      </c>
      <c r="F260">
        <v>320</v>
      </c>
      <c r="G260">
        <v>2100</v>
      </c>
      <c r="H260">
        <v>70660</v>
      </c>
      <c r="I260">
        <v>0</v>
      </c>
      <c r="J260" s="283">
        <v>45412.177658182867</v>
      </c>
      <c r="K260" t="s">
        <v>3147</v>
      </c>
      <c r="L260" t="s">
        <v>3145</v>
      </c>
      <c r="M260" t="s">
        <v>3146</v>
      </c>
      <c r="N260" t="s">
        <v>391</v>
      </c>
      <c r="O260" t="s">
        <v>62</v>
      </c>
    </row>
    <row r="261" spans="1:15" x14ac:dyDescent="0.35">
      <c r="A261">
        <v>57468</v>
      </c>
      <c r="B261" s="283">
        <v>44378</v>
      </c>
      <c r="C261">
        <v>2089</v>
      </c>
      <c r="D261">
        <v>2064</v>
      </c>
      <c r="E261">
        <v>100</v>
      </c>
      <c r="F261">
        <v>320</v>
      </c>
      <c r="G261">
        <v>2190</v>
      </c>
      <c r="H261">
        <v>4490</v>
      </c>
      <c r="I261">
        <v>0</v>
      </c>
      <c r="J261" s="283">
        <v>45412.177658182867</v>
      </c>
      <c r="K261" t="s">
        <v>3150</v>
      </c>
      <c r="L261" t="s">
        <v>3145</v>
      </c>
      <c r="M261" t="s">
        <v>3146</v>
      </c>
      <c r="N261" t="s">
        <v>391</v>
      </c>
      <c r="O261" t="s">
        <v>62</v>
      </c>
    </row>
    <row r="262" spans="1:15" x14ac:dyDescent="0.35">
      <c r="A262">
        <v>57483</v>
      </c>
      <c r="B262" s="283">
        <v>44378</v>
      </c>
      <c r="C262">
        <v>2090</v>
      </c>
      <c r="D262">
        <v>2064</v>
      </c>
      <c r="E262">
        <v>100</v>
      </c>
      <c r="F262">
        <v>320</v>
      </c>
      <c r="G262">
        <v>2100</v>
      </c>
      <c r="H262">
        <v>47977</v>
      </c>
      <c r="I262">
        <v>0</v>
      </c>
      <c r="J262" s="283">
        <v>45412.177658182867</v>
      </c>
      <c r="K262" t="s">
        <v>3147</v>
      </c>
      <c r="L262" t="s">
        <v>3145</v>
      </c>
      <c r="M262" t="s">
        <v>3146</v>
      </c>
      <c r="N262" t="s">
        <v>391</v>
      </c>
      <c r="O262" t="s">
        <v>127</v>
      </c>
    </row>
    <row r="263" spans="1:15" x14ac:dyDescent="0.35">
      <c r="A263">
        <v>57484</v>
      </c>
      <c r="B263" s="283">
        <v>44378</v>
      </c>
      <c r="C263">
        <v>2090</v>
      </c>
      <c r="D263">
        <v>2064</v>
      </c>
      <c r="E263">
        <v>100</v>
      </c>
      <c r="F263">
        <v>320</v>
      </c>
      <c r="G263">
        <v>2190</v>
      </c>
      <c r="H263">
        <v>2731</v>
      </c>
      <c r="I263">
        <v>0</v>
      </c>
      <c r="J263" s="283">
        <v>45412.177658182867</v>
      </c>
      <c r="K263" t="s">
        <v>3150</v>
      </c>
      <c r="L263" t="s">
        <v>3145</v>
      </c>
      <c r="M263" t="s">
        <v>3146</v>
      </c>
      <c r="N263" t="s">
        <v>391</v>
      </c>
      <c r="O263" t="s">
        <v>127</v>
      </c>
    </row>
    <row r="264" spans="1:15" x14ac:dyDescent="0.35">
      <c r="A264">
        <v>57497</v>
      </c>
      <c r="B264" s="283">
        <v>44378</v>
      </c>
      <c r="C264">
        <v>2091</v>
      </c>
      <c r="D264">
        <v>2064</v>
      </c>
      <c r="E264">
        <v>100</v>
      </c>
      <c r="F264">
        <v>320</v>
      </c>
      <c r="G264">
        <v>1200</v>
      </c>
      <c r="H264">
        <v>527714</v>
      </c>
      <c r="I264">
        <v>0</v>
      </c>
      <c r="J264" s="283">
        <v>45412.177658182867</v>
      </c>
      <c r="K264" t="s">
        <v>3144</v>
      </c>
      <c r="L264" t="s">
        <v>3145</v>
      </c>
      <c r="M264" t="s">
        <v>3146</v>
      </c>
      <c r="N264" t="s">
        <v>391</v>
      </c>
      <c r="O264" t="s">
        <v>112</v>
      </c>
    </row>
    <row r="265" spans="1:15" x14ac:dyDescent="0.35">
      <c r="A265">
        <v>57498</v>
      </c>
      <c r="B265" s="283">
        <v>44378</v>
      </c>
      <c r="C265">
        <v>2091</v>
      </c>
      <c r="D265">
        <v>2064</v>
      </c>
      <c r="E265">
        <v>100</v>
      </c>
      <c r="F265">
        <v>320</v>
      </c>
      <c r="G265">
        <v>2100</v>
      </c>
      <c r="H265">
        <v>51709</v>
      </c>
      <c r="I265">
        <v>0</v>
      </c>
      <c r="J265" s="283">
        <v>45412.177658182867</v>
      </c>
      <c r="K265" t="s">
        <v>3147</v>
      </c>
      <c r="L265" t="s">
        <v>3145</v>
      </c>
      <c r="M265" t="s">
        <v>3146</v>
      </c>
      <c r="N265" t="s">
        <v>391</v>
      </c>
      <c r="O265" t="s">
        <v>112</v>
      </c>
    </row>
    <row r="266" spans="1:15" x14ac:dyDescent="0.35">
      <c r="A266">
        <v>57499</v>
      </c>
      <c r="B266" s="283">
        <v>44378</v>
      </c>
      <c r="C266">
        <v>2091</v>
      </c>
      <c r="D266">
        <v>2064</v>
      </c>
      <c r="E266">
        <v>100</v>
      </c>
      <c r="F266">
        <v>320</v>
      </c>
      <c r="G266">
        <v>2190</v>
      </c>
      <c r="H266">
        <v>63443</v>
      </c>
      <c r="I266">
        <v>0</v>
      </c>
      <c r="J266" s="283">
        <v>45412.177658182867</v>
      </c>
      <c r="K266" t="s">
        <v>3150</v>
      </c>
      <c r="L266" t="s">
        <v>3145</v>
      </c>
      <c r="M266" t="s">
        <v>3146</v>
      </c>
      <c r="N266" t="s">
        <v>391</v>
      </c>
      <c r="O266" t="s">
        <v>112</v>
      </c>
    </row>
    <row r="267" spans="1:15" x14ac:dyDescent="0.35">
      <c r="A267">
        <v>57500</v>
      </c>
      <c r="B267" s="283">
        <v>44378</v>
      </c>
      <c r="C267">
        <v>2091</v>
      </c>
      <c r="D267">
        <v>2064</v>
      </c>
      <c r="E267">
        <v>100</v>
      </c>
      <c r="F267">
        <v>320</v>
      </c>
      <c r="G267">
        <v>2660</v>
      </c>
      <c r="H267">
        <v>2287</v>
      </c>
      <c r="I267">
        <v>0</v>
      </c>
      <c r="J267" s="283">
        <v>45412.177658182867</v>
      </c>
      <c r="K267" t="s">
        <v>3152</v>
      </c>
      <c r="L267" t="s">
        <v>3145</v>
      </c>
      <c r="M267" t="s">
        <v>3146</v>
      </c>
      <c r="N267" t="s">
        <v>391</v>
      </c>
      <c r="O267" t="s">
        <v>112</v>
      </c>
    </row>
    <row r="268" spans="1:15" x14ac:dyDescent="0.35">
      <c r="A268">
        <v>57513</v>
      </c>
      <c r="B268" s="283">
        <v>44378</v>
      </c>
      <c r="C268">
        <v>2092</v>
      </c>
      <c r="D268">
        <v>2064</v>
      </c>
      <c r="E268">
        <v>100</v>
      </c>
      <c r="F268">
        <v>320</v>
      </c>
      <c r="G268">
        <v>1200</v>
      </c>
      <c r="H268">
        <v>122304</v>
      </c>
      <c r="I268">
        <v>0</v>
      </c>
      <c r="J268" s="283">
        <v>45412.177658182867</v>
      </c>
      <c r="K268" t="s">
        <v>3144</v>
      </c>
      <c r="L268" t="s">
        <v>3145</v>
      </c>
      <c r="M268" t="s">
        <v>3146</v>
      </c>
      <c r="N268" t="s">
        <v>391</v>
      </c>
      <c r="O268" t="s">
        <v>123</v>
      </c>
    </row>
    <row r="269" spans="1:15" x14ac:dyDescent="0.35">
      <c r="A269">
        <v>57514</v>
      </c>
      <c r="B269" s="283">
        <v>44378</v>
      </c>
      <c r="C269">
        <v>2092</v>
      </c>
      <c r="D269">
        <v>2064</v>
      </c>
      <c r="E269">
        <v>100</v>
      </c>
      <c r="F269">
        <v>320</v>
      </c>
      <c r="G269">
        <v>2100</v>
      </c>
      <c r="H269">
        <v>160417</v>
      </c>
      <c r="I269">
        <v>0</v>
      </c>
      <c r="J269" s="283">
        <v>45412.177658182867</v>
      </c>
      <c r="K269" t="s">
        <v>3147</v>
      </c>
      <c r="L269" t="s">
        <v>3145</v>
      </c>
      <c r="M269" t="s">
        <v>3146</v>
      </c>
      <c r="N269" t="s">
        <v>391</v>
      </c>
      <c r="O269" t="s">
        <v>123</v>
      </c>
    </row>
    <row r="270" spans="1:15" x14ac:dyDescent="0.35">
      <c r="A270">
        <v>57515</v>
      </c>
      <c r="B270" s="283">
        <v>44378</v>
      </c>
      <c r="C270">
        <v>2092</v>
      </c>
      <c r="D270">
        <v>2064</v>
      </c>
      <c r="E270">
        <v>100</v>
      </c>
      <c r="F270">
        <v>320</v>
      </c>
      <c r="G270">
        <v>2190</v>
      </c>
      <c r="H270">
        <v>21125</v>
      </c>
      <c r="I270">
        <v>0</v>
      </c>
      <c r="J270" s="283">
        <v>45412.177658182867</v>
      </c>
      <c r="K270" t="s">
        <v>3150</v>
      </c>
      <c r="L270" t="s">
        <v>3145</v>
      </c>
      <c r="M270" t="s">
        <v>3146</v>
      </c>
      <c r="N270" t="s">
        <v>391</v>
      </c>
      <c r="O270" t="s">
        <v>123</v>
      </c>
    </row>
    <row r="271" spans="1:15" x14ac:dyDescent="0.35">
      <c r="A271">
        <v>57516</v>
      </c>
      <c r="B271" s="283">
        <v>44378</v>
      </c>
      <c r="C271">
        <v>2092</v>
      </c>
      <c r="D271">
        <v>2064</v>
      </c>
      <c r="E271">
        <v>100</v>
      </c>
      <c r="F271">
        <v>320</v>
      </c>
      <c r="G271">
        <v>2660</v>
      </c>
      <c r="H271">
        <v>468</v>
      </c>
      <c r="I271">
        <v>0</v>
      </c>
      <c r="J271" s="283">
        <v>45412.177658182867</v>
      </c>
      <c r="K271" t="s">
        <v>3152</v>
      </c>
      <c r="L271" t="s">
        <v>3145</v>
      </c>
      <c r="M271" t="s">
        <v>3146</v>
      </c>
      <c r="N271" t="s">
        <v>391</v>
      </c>
      <c r="O271" t="s">
        <v>123</v>
      </c>
    </row>
    <row r="272" spans="1:15" x14ac:dyDescent="0.35">
      <c r="A272">
        <v>57529</v>
      </c>
      <c r="B272" s="283">
        <v>44378</v>
      </c>
      <c r="C272">
        <v>2093</v>
      </c>
      <c r="D272">
        <v>2064</v>
      </c>
      <c r="E272">
        <v>100</v>
      </c>
      <c r="F272">
        <v>320</v>
      </c>
      <c r="G272">
        <v>1200</v>
      </c>
      <c r="H272">
        <v>121281</v>
      </c>
      <c r="I272">
        <v>0</v>
      </c>
      <c r="J272" s="283">
        <v>45412.177658182867</v>
      </c>
      <c r="K272" t="s">
        <v>3144</v>
      </c>
      <c r="L272" t="s">
        <v>3145</v>
      </c>
      <c r="M272" t="s">
        <v>3146</v>
      </c>
      <c r="N272" t="s">
        <v>391</v>
      </c>
      <c r="O272" t="s">
        <v>151</v>
      </c>
    </row>
    <row r="273" spans="1:15" x14ac:dyDescent="0.35">
      <c r="A273">
        <v>57530</v>
      </c>
      <c r="B273" s="283">
        <v>44378</v>
      </c>
      <c r="C273">
        <v>2093</v>
      </c>
      <c r="D273">
        <v>2064</v>
      </c>
      <c r="E273">
        <v>100</v>
      </c>
      <c r="F273">
        <v>320</v>
      </c>
      <c r="G273">
        <v>2100</v>
      </c>
      <c r="H273">
        <v>35331</v>
      </c>
      <c r="I273">
        <v>0</v>
      </c>
      <c r="J273" s="283">
        <v>45412.177658182867</v>
      </c>
      <c r="K273" t="s">
        <v>3147</v>
      </c>
      <c r="L273" t="s">
        <v>3145</v>
      </c>
      <c r="M273" t="s">
        <v>3146</v>
      </c>
      <c r="N273" t="s">
        <v>391</v>
      </c>
      <c r="O273" t="s">
        <v>151</v>
      </c>
    </row>
    <row r="274" spans="1:15" x14ac:dyDescent="0.35">
      <c r="A274">
        <v>57531</v>
      </c>
      <c r="B274" s="283">
        <v>44378</v>
      </c>
      <c r="C274">
        <v>2093</v>
      </c>
      <c r="D274">
        <v>2064</v>
      </c>
      <c r="E274">
        <v>100</v>
      </c>
      <c r="F274">
        <v>320</v>
      </c>
      <c r="G274">
        <v>2190</v>
      </c>
      <c r="H274">
        <v>96821</v>
      </c>
      <c r="I274">
        <v>0</v>
      </c>
      <c r="J274" s="283">
        <v>45412.177658182867</v>
      </c>
      <c r="K274" t="s">
        <v>3150</v>
      </c>
      <c r="L274" t="s">
        <v>3145</v>
      </c>
      <c r="M274" t="s">
        <v>3146</v>
      </c>
      <c r="N274" t="s">
        <v>391</v>
      </c>
      <c r="O274" t="s">
        <v>151</v>
      </c>
    </row>
    <row r="275" spans="1:15" x14ac:dyDescent="0.35">
      <c r="A275">
        <v>57532</v>
      </c>
      <c r="B275" s="283">
        <v>44378</v>
      </c>
      <c r="C275">
        <v>2093</v>
      </c>
      <c r="D275">
        <v>2064</v>
      </c>
      <c r="E275">
        <v>100</v>
      </c>
      <c r="F275">
        <v>320</v>
      </c>
      <c r="G275">
        <v>2660</v>
      </c>
      <c r="H275">
        <v>475</v>
      </c>
      <c r="I275">
        <v>0</v>
      </c>
      <c r="J275" s="283">
        <v>45412.177658182867</v>
      </c>
      <c r="K275" t="s">
        <v>3152</v>
      </c>
      <c r="L275" t="s">
        <v>3145</v>
      </c>
      <c r="M275" t="s">
        <v>3146</v>
      </c>
      <c r="N275" t="s">
        <v>391</v>
      </c>
      <c r="O275" t="s">
        <v>151</v>
      </c>
    </row>
    <row r="276" spans="1:15" x14ac:dyDescent="0.35">
      <c r="A276">
        <v>57547</v>
      </c>
      <c r="B276" s="283">
        <v>44378</v>
      </c>
      <c r="C276">
        <v>2094</v>
      </c>
      <c r="D276">
        <v>2064</v>
      </c>
      <c r="E276">
        <v>100</v>
      </c>
      <c r="F276">
        <v>320</v>
      </c>
      <c r="G276">
        <v>1200</v>
      </c>
      <c r="H276">
        <v>95459</v>
      </c>
      <c r="I276">
        <v>0</v>
      </c>
      <c r="J276" s="283">
        <v>45412.177658182867</v>
      </c>
      <c r="K276" t="s">
        <v>3144</v>
      </c>
      <c r="L276" t="s">
        <v>3145</v>
      </c>
      <c r="M276" t="s">
        <v>3146</v>
      </c>
      <c r="N276" t="s">
        <v>391</v>
      </c>
      <c r="O276" t="s">
        <v>126</v>
      </c>
    </row>
    <row r="277" spans="1:15" x14ac:dyDescent="0.35">
      <c r="A277">
        <v>57548</v>
      </c>
      <c r="B277" s="283">
        <v>44378</v>
      </c>
      <c r="C277">
        <v>2094</v>
      </c>
      <c r="D277">
        <v>2064</v>
      </c>
      <c r="E277">
        <v>100</v>
      </c>
      <c r="F277">
        <v>320</v>
      </c>
      <c r="G277">
        <v>2100</v>
      </c>
      <c r="H277">
        <v>75364</v>
      </c>
      <c r="I277">
        <v>0</v>
      </c>
      <c r="J277" s="283">
        <v>45412.177658182867</v>
      </c>
      <c r="K277" t="s">
        <v>3147</v>
      </c>
      <c r="L277" t="s">
        <v>3145</v>
      </c>
      <c r="M277" t="s">
        <v>3146</v>
      </c>
      <c r="N277" t="s">
        <v>391</v>
      </c>
      <c r="O277" t="s">
        <v>126</v>
      </c>
    </row>
    <row r="278" spans="1:15" x14ac:dyDescent="0.35">
      <c r="A278">
        <v>57549</v>
      </c>
      <c r="B278" s="283">
        <v>44378</v>
      </c>
      <c r="C278">
        <v>2094</v>
      </c>
      <c r="D278">
        <v>2064</v>
      </c>
      <c r="E278">
        <v>100</v>
      </c>
      <c r="F278">
        <v>320</v>
      </c>
      <c r="G278">
        <v>2190</v>
      </c>
      <c r="H278">
        <v>13884</v>
      </c>
      <c r="I278">
        <v>0</v>
      </c>
      <c r="J278" s="283">
        <v>45412.177658182867</v>
      </c>
      <c r="K278" t="s">
        <v>3150</v>
      </c>
      <c r="L278" t="s">
        <v>3145</v>
      </c>
      <c r="M278" t="s">
        <v>3146</v>
      </c>
      <c r="N278" t="s">
        <v>391</v>
      </c>
      <c r="O278" t="s">
        <v>126</v>
      </c>
    </row>
    <row r="279" spans="1:15" x14ac:dyDescent="0.35">
      <c r="A279">
        <v>57550</v>
      </c>
      <c r="B279" s="283">
        <v>44378</v>
      </c>
      <c r="C279">
        <v>2094</v>
      </c>
      <c r="D279">
        <v>2064</v>
      </c>
      <c r="E279">
        <v>100</v>
      </c>
      <c r="F279">
        <v>320</v>
      </c>
      <c r="G279">
        <v>2660</v>
      </c>
      <c r="H279">
        <v>394</v>
      </c>
      <c r="I279">
        <v>0</v>
      </c>
      <c r="J279" s="283">
        <v>45412.177658182867</v>
      </c>
      <c r="K279" t="s">
        <v>3152</v>
      </c>
      <c r="L279" t="s">
        <v>3145</v>
      </c>
      <c r="M279" t="s">
        <v>3146</v>
      </c>
      <c r="N279" t="s">
        <v>391</v>
      </c>
      <c r="O279" t="s">
        <v>126</v>
      </c>
    </row>
    <row r="280" spans="1:15" x14ac:dyDescent="0.35">
      <c r="A280">
        <v>57565</v>
      </c>
      <c r="B280" s="283">
        <v>44378</v>
      </c>
      <c r="C280">
        <v>2095</v>
      </c>
      <c r="D280">
        <v>2064</v>
      </c>
      <c r="E280">
        <v>100</v>
      </c>
      <c r="F280">
        <v>320</v>
      </c>
      <c r="G280">
        <v>1200</v>
      </c>
      <c r="H280">
        <v>25639</v>
      </c>
      <c r="I280">
        <v>0</v>
      </c>
      <c r="J280" s="283">
        <v>45412.177658182867</v>
      </c>
      <c r="K280" t="s">
        <v>3144</v>
      </c>
      <c r="L280" t="s">
        <v>3145</v>
      </c>
      <c r="M280" t="s">
        <v>3146</v>
      </c>
      <c r="N280" t="s">
        <v>391</v>
      </c>
      <c r="O280" t="s">
        <v>37</v>
      </c>
    </row>
    <row r="281" spans="1:15" x14ac:dyDescent="0.35">
      <c r="A281">
        <v>57566</v>
      </c>
      <c r="B281" s="283">
        <v>44378</v>
      </c>
      <c r="C281">
        <v>2095</v>
      </c>
      <c r="D281">
        <v>2064</v>
      </c>
      <c r="E281">
        <v>100</v>
      </c>
      <c r="F281">
        <v>320</v>
      </c>
      <c r="G281">
        <v>2100</v>
      </c>
      <c r="H281">
        <v>15776</v>
      </c>
      <c r="I281">
        <v>0</v>
      </c>
      <c r="J281" s="283">
        <v>45412.177658182867</v>
      </c>
      <c r="K281" t="s">
        <v>3147</v>
      </c>
      <c r="L281" t="s">
        <v>3145</v>
      </c>
      <c r="M281" t="s">
        <v>3146</v>
      </c>
      <c r="N281" t="s">
        <v>391</v>
      </c>
      <c r="O281" t="s">
        <v>37</v>
      </c>
    </row>
    <row r="282" spans="1:15" x14ac:dyDescent="0.35">
      <c r="A282">
        <v>57567</v>
      </c>
      <c r="B282" s="283">
        <v>44378</v>
      </c>
      <c r="C282">
        <v>2095</v>
      </c>
      <c r="D282">
        <v>2064</v>
      </c>
      <c r="E282">
        <v>100</v>
      </c>
      <c r="F282">
        <v>320</v>
      </c>
      <c r="G282">
        <v>2190</v>
      </c>
      <c r="H282">
        <v>2493</v>
      </c>
      <c r="I282">
        <v>0</v>
      </c>
      <c r="J282" s="283">
        <v>45412.177658182867</v>
      </c>
      <c r="K282" t="s">
        <v>3150</v>
      </c>
      <c r="L282" t="s">
        <v>3145</v>
      </c>
      <c r="M282" t="s">
        <v>3146</v>
      </c>
      <c r="N282" t="s">
        <v>391</v>
      </c>
      <c r="O282" t="s">
        <v>37</v>
      </c>
    </row>
    <row r="283" spans="1:15" x14ac:dyDescent="0.35">
      <c r="A283">
        <v>57579</v>
      </c>
      <c r="B283" s="283">
        <v>44378</v>
      </c>
      <c r="C283">
        <v>2096</v>
      </c>
      <c r="D283">
        <v>2064</v>
      </c>
      <c r="E283">
        <v>100</v>
      </c>
      <c r="F283">
        <v>320</v>
      </c>
      <c r="G283">
        <v>1200</v>
      </c>
      <c r="H283">
        <v>32050</v>
      </c>
      <c r="I283">
        <v>0</v>
      </c>
      <c r="J283" s="283">
        <v>45412.177658182867</v>
      </c>
      <c r="K283" t="s">
        <v>3144</v>
      </c>
      <c r="L283" t="s">
        <v>3145</v>
      </c>
      <c r="M283" t="s">
        <v>3146</v>
      </c>
      <c r="N283" t="s">
        <v>391</v>
      </c>
      <c r="O283" t="s">
        <v>190</v>
      </c>
    </row>
    <row r="284" spans="1:15" x14ac:dyDescent="0.35">
      <c r="A284">
        <v>57580</v>
      </c>
      <c r="B284" s="283">
        <v>44378</v>
      </c>
      <c r="C284">
        <v>2096</v>
      </c>
      <c r="D284">
        <v>2064</v>
      </c>
      <c r="E284">
        <v>100</v>
      </c>
      <c r="F284">
        <v>320</v>
      </c>
      <c r="G284">
        <v>2100</v>
      </c>
      <c r="H284">
        <v>204704</v>
      </c>
      <c r="I284">
        <v>0</v>
      </c>
      <c r="J284" s="283">
        <v>45412.177658182867</v>
      </c>
      <c r="K284" t="s">
        <v>3147</v>
      </c>
      <c r="L284" t="s">
        <v>3145</v>
      </c>
      <c r="M284" t="s">
        <v>3146</v>
      </c>
      <c r="N284" t="s">
        <v>391</v>
      </c>
      <c r="O284" t="s">
        <v>190</v>
      </c>
    </row>
    <row r="285" spans="1:15" x14ac:dyDescent="0.35">
      <c r="A285">
        <v>57581</v>
      </c>
      <c r="B285" s="283">
        <v>44378</v>
      </c>
      <c r="C285">
        <v>2096</v>
      </c>
      <c r="D285">
        <v>2064</v>
      </c>
      <c r="E285">
        <v>100</v>
      </c>
      <c r="F285">
        <v>320</v>
      </c>
      <c r="G285">
        <v>2190</v>
      </c>
      <c r="H285">
        <v>14085</v>
      </c>
      <c r="I285">
        <v>0</v>
      </c>
      <c r="J285" s="283">
        <v>45412.177658182867</v>
      </c>
      <c r="K285" t="s">
        <v>3150</v>
      </c>
      <c r="L285" t="s">
        <v>3145</v>
      </c>
      <c r="M285" t="s">
        <v>3146</v>
      </c>
      <c r="N285" t="s">
        <v>391</v>
      </c>
      <c r="O285" t="s">
        <v>190</v>
      </c>
    </row>
    <row r="286" spans="1:15" x14ac:dyDescent="0.35">
      <c r="A286">
        <v>57597</v>
      </c>
      <c r="B286" s="283">
        <v>44378</v>
      </c>
      <c r="C286">
        <v>1898</v>
      </c>
      <c r="D286">
        <v>2098</v>
      </c>
      <c r="E286">
        <v>100</v>
      </c>
      <c r="F286">
        <v>320</v>
      </c>
      <c r="G286">
        <v>1200</v>
      </c>
      <c r="H286">
        <v>1453</v>
      </c>
      <c r="I286">
        <v>0</v>
      </c>
      <c r="J286" s="283">
        <v>45412.177658182867</v>
      </c>
      <c r="K286" t="s">
        <v>3144</v>
      </c>
      <c r="L286" t="s">
        <v>3145</v>
      </c>
      <c r="M286" t="s">
        <v>3146</v>
      </c>
      <c r="N286" t="s">
        <v>290</v>
      </c>
      <c r="O286" t="s">
        <v>133</v>
      </c>
    </row>
    <row r="287" spans="1:15" x14ac:dyDescent="0.35">
      <c r="A287">
        <v>57598</v>
      </c>
      <c r="B287" s="283">
        <v>44378</v>
      </c>
      <c r="C287">
        <v>1898</v>
      </c>
      <c r="D287">
        <v>2098</v>
      </c>
      <c r="E287">
        <v>100</v>
      </c>
      <c r="F287">
        <v>320</v>
      </c>
      <c r="G287">
        <v>2100</v>
      </c>
      <c r="H287">
        <v>40044</v>
      </c>
      <c r="I287">
        <v>0</v>
      </c>
      <c r="J287" s="283">
        <v>45412.177658182867</v>
      </c>
      <c r="K287" t="s">
        <v>3147</v>
      </c>
      <c r="L287" t="s">
        <v>3145</v>
      </c>
      <c r="M287" t="s">
        <v>3146</v>
      </c>
      <c r="N287" t="s">
        <v>290</v>
      </c>
      <c r="O287" t="s">
        <v>133</v>
      </c>
    </row>
    <row r="288" spans="1:15" x14ac:dyDescent="0.35">
      <c r="A288">
        <v>57599</v>
      </c>
      <c r="B288" s="283">
        <v>44378</v>
      </c>
      <c r="C288">
        <v>1898</v>
      </c>
      <c r="D288">
        <v>2098</v>
      </c>
      <c r="E288">
        <v>100</v>
      </c>
      <c r="F288">
        <v>320</v>
      </c>
      <c r="G288">
        <v>2160</v>
      </c>
      <c r="H288">
        <v>16925</v>
      </c>
      <c r="I288">
        <v>0</v>
      </c>
      <c r="J288" s="283">
        <v>45412.177658182867</v>
      </c>
      <c r="K288" t="s">
        <v>3149</v>
      </c>
      <c r="L288" t="s">
        <v>3145</v>
      </c>
      <c r="M288" t="s">
        <v>3146</v>
      </c>
      <c r="N288" t="s">
        <v>290</v>
      </c>
      <c r="O288" t="s">
        <v>133</v>
      </c>
    </row>
    <row r="289" spans="1:15" x14ac:dyDescent="0.35">
      <c r="A289">
        <v>57608</v>
      </c>
      <c r="B289" s="283">
        <v>44378</v>
      </c>
      <c r="C289">
        <v>1899</v>
      </c>
      <c r="D289">
        <v>2098</v>
      </c>
      <c r="E289">
        <v>100</v>
      </c>
      <c r="F289">
        <v>320</v>
      </c>
      <c r="G289">
        <v>1200</v>
      </c>
      <c r="H289">
        <v>1453</v>
      </c>
      <c r="I289">
        <v>0</v>
      </c>
      <c r="J289" s="283">
        <v>45412.177658182867</v>
      </c>
      <c r="K289" t="s">
        <v>3144</v>
      </c>
      <c r="L289" t="s">
        <v>3145</v>
      </c>
      <c r="M289" t="s">
        <v>3146</v>
      </c>
      <c r="N289" t="s">
        <v>290</v>
      </c>
      <c r="O289" t="s">
        <v>20</v>
      </c>
    </row>
    <row r="290" spans="1:15" x14ac:dyDescent="0.35">
      <c r="A290">
        <v>57609</v>
      </c>
      <c r="B290" s="283">
        <v>44378</v>
      </c>
      <c r="C290">
        <v>1899</v>
      </c>
      <c r="D290">
        <v>2098</v>
      </c>
      <c r="E290">
        <v>100</v>
      </c>
      <c r="F290">
        <v>320</v>
      </c>
      <c r="G290">
        <v>2100</v>
      </c>
      <c r="H290">
        <v>100942</v>
      </c>
      <c r="I290">
        <v>0</v>
      </c>
      <c r="J290" s="283">
        <v>45412.177658182867</v>
      </c>
      <c r="K290" t="s">
        <v>3147</v>
      </c>
      <c r="L290" t="s">
        <v>3145</v>
      </c>
      <c r="M290" t="s">
        <v>3146</v>
      </c>
      <c r="N290" t="s">
        <v>290</v>
      </c>
      <c r="O290" t="s">
        <v>20</v>
      </c>
    </row>
    <row r="291" spans="1:15" x14ac:dyDescent="0.35">
      <c r="A291">
        <v>57610</v>
      </c>
      <c r="B291" s="283">
        <v>44378</v>
      </c>
      <c r="C291">
        <v>1899</v>
      </c>
      <c r="D291">
        <v>2098</v>
      </c>
      <c r="E291">
        <v>100</v>
      </c>
      <c r="F291">
        <v>320</v>
      </c>
      <c r="G291">
        <v>2160</v>
      </c>
      <c r="H291">
        <v>36057</v>
      </c>
      <c r="I291">
        <v>0</v>
      </c>
      <c r="J291" s="283">
        <v>45412.177658182867</v>
      </c>
      <c r="K291" t="s">
        <v>3149</v>
      </c>
      <c r="L291" t="s">
        <v>3145</v>
      </c>
      <c r="M291" t="s">
        <v>3146</v>
      </c>
      <c r="N291" t="s">
        <v>290</v>
      </c>
      <c r="O291" t="s">
        <v>20</v>
      </c>
    </row>
    <row r="292" spans="1:15" x14ac:dyDescent="0.35">
      <c r="A292">
        <v>57611</v>
      </c>
      <c r="B292" s="283">
        <v>44378</v>
      </c>
      <c r="C292">
        <v>1899</v>
      </c>
      <c r="D292">
        <v>2098</v>
      </c>
      <c r="E292">
        <v>100</v>
      </c>
      <c r="F292">
        <v>320</v>
      </c>
      <c r="G292">
        <v>2210</v>
      </c>
      <c r="H292">
        <v>0</v>
      </c>
      <c r="I292">
        <v>0</v>
      </c>
      <c r="J292" s="283">
        <v>45412.177658182867</v>
      </c>
      <c r="K292" t="s">
        <v>3168</v>
      </c>
      <c r="L292" t="s">
        <v>3145</v>
      </c>
      <c r="M292" t="s">
        <v>3146</v>
      </c>
      <c r="N292" t="s">
        <v>290</v>
      </c>
      <c r="O292" t="s">
        <v>20</v>
      </c>
    </row>
    <row r="293" spans="1:15" x14ac:dyDescent="0.35">
      <c r="A293">
        <v>57612</v>
      </c>
      <c r="B293" s="283">
        <v>44378</v>
      </c>
      <c r="C293">
        <v>1899</v>
      </c>
      <c r="D293">
        <v>2098</v>
      </c>
      <c r="E293">
        <v>100</v>
      </c>
      <c r="F293">
        <v>320</v>
      </c>
      <c r="G293">
        <v>2660</v>
      </c>
      <c r="H293">
        <v>0</v>
      </c>
      <c r="I293">
        <v>0</v>
      </c>
      <c r="J293" s="283">
        <v>45412.177658182867</v>
      </c>
      <c r="K293" t="s">
        <v>3152</v>
      </c>
      <c r="L293" t="s">
        <v>3145</v>
      </c>
      <c r="M293" t="s">
        <v>3146</v>
      </c>
      <c r="N293" t="s">
        <v>290</v>
      </c>
      <c r="O293" t="s">
        <v>20</v>
      </c>
    </row>
    <row r="294" spans="1:15" x14ac:dyDescent="0.35">
      <c r="A294">
        <v>57621</v>
      </c>
      <c r="B294" s="283">
        <v>44378</v>
      </c>
      <c r="C294">
        <v>1900</v>
      </c>
      <c r="D294">
        <v>2098</v>
      </c>
      <c r="E294">
        <v>100</v>
      </c>
      <c r="F294">
        <v>320</v>
      </c>
      <c r="G294">
        <v>1200</v>
      </c>
      <c r="H294">
        <v>15978</v>
      </c>
      <c r="I294">
        <v>0</v>
      </c>
      <c r="J294" s="283">
        <v>45412.177658182867</v>
      </c>
      <c r="K294" t="s">
        <v>3144</v>
      </c>
      <c r="L294" t="s">
        <v>3145</v>
      </c>
      <c r="M294" t="s">
        <v>3146</v>
      </c>
      <c r="N294" t="s">
        <v>290</v>
      </c>
      <c r="O294" t="s">
        <v>160</v>
      </c>
    </row>
    <row r="295" spans="1:15" x14ac:dyDescent="0.35">
      <c r="A295">
        <v>57622</v>
      </c>
      <c r="B295" s="283">
        <v>44378</v>
      </c>
      <c r="C295">
        <v>1900</v>
      </c>
      <c r="D295">
        <v>2098</v>
      </c>
      <c r="E295">
        <v>100</v>
      </c>
      <c r="F295">
        <v>320</v>
      </c>
      <c r="G295">
        <v>2100</v>
      </c>
      <c r="H295">
        <v>102389</v>
      </c>
      <c r="I295">
        <v>0</v>
      </c>
      <c r="J295" s="283">
        <v>45412.177658182867</v>
      </c>
      <c r="K295" t="s">
        <v>3147</v>
      </c>
      <c r="L295" t="s">
        <v>3145</v>
      </c>
      <c r="M295" t="s">
        <v>3146</v>
      </c>
      <c r="N295" t="s">
        <v>290</v>
      </c>
      <c r="O295" t="s">
        <v>160</v>
      </c>
    </row>
    <row r="296" spans="1:15" x14ac:dyDescent="0.35">
      <c r="A296">
        <v>57623</v>
      </c>
      <c r="B296" s="283">
        <v>44378</v>
      </c>
      <c r="C296">
        <v>1900</v>
      </c>
      <c r="D296">
        <v>2098</v>
      </c>
      <c r="E296">
        <v>100</v>
      </c>
      <c r="F296">
        <v>320</v>
      </c>
      <c r="G296">
        <v>2160</v>
      </c>
      <c r="H296">
        <v>54086</v>
      </c>
      <c r="I296">
        <v>0</v>
      </c>
      <c r="J296" s="283">
        <v>45412.177658182867</v>
      </c>
      <c r="K296" t="s">
        <v>3149</v>
      </c>
      <c r="L296" t="s">
        <v>3145</v>
      </c>
      <c r="M296" t="s">
        <v>3146</v>
      </c>
      <c r="N296" t="s">
        <v>290</v>
      </c>
      <c r="O296" t="s">
        <v>160</v>
      </c>
    </row>
    <row r="297" spans="1:15" x14ac:dyDescent="0.35">
      <c r="A297">
        <v>57632</v>
      </c>
      <c r="B297" s="283">
        <v>44378</v>
      </c>
      <c r="C297">
        <v>1901</v>
      </c>
      <c r="D297">
        <v>2098</v>
      </c>
      <c r="E297">
        <v>100</v>
      </c>
      <c r="F297">
        <v>320</v>
      </c>
      <c r="G297">
        <v>1200</v>
      </c>
      <c r="H297">
        <v>56648</v>
      </c>
      <c r="I297">
        <v>0</v>
      </c>
      <c r="J297" s="283">
        <v>45412.177658182867</v>
      </c>
      <c r="K297" t="s">
        <v>3144</v>
      </c>
      <c r="L297" t="s">
        <v>3145</v>
      </c>
      <c r="M297" t="s">
        <v>3146</v>
      </c>
      <c r="N297" t="s">
        <v>290</v>
      </c>
      <c r="O297" t="s">
        <v>58</v>
      </c>
    </row>
    <row r="298" spans="1:15" x14ac:dyDescent="0.35">
      <c r="A298">
        <v>57633</v>
      </c>
      <c r="B298" s="283">
        <v>44378</v>
      </c>
      <c r="C298">
        <v>1901</v>
      </c>
      <c r="D298">
        <v>2098</v>
      </c>
      <c r="E298">
        <v>100</v>
      </c>
      <c r="F298">
        <v>320</v>
      </c>
      <c r="G298">
        <v>2100</v>
      </c>
      <c r="H298">
        <v>468758</v>
      </c>
      <c r="I298">
        <v>0</v>
      </c>
      <c r="J298" s="283">
        <v>45412.177658182867</v>
      </c>
      <c r="K298" t="s">
        <v>3147</v>
      </c>
      <c r="L298" t="s">
        <v>3145</v>
      </c>
      <c r="M298" t="s">
        <v>3146</v>
      </c>
      <c r="N298" t="s">
        <v>290</v>
      </c>
      <c r="O298" t="s">
        <v>58</v>
      </c>
    </row>
    <row r="299" spans="1:15" x14ac:dyDescent="0.35">
      <c r="A299">
        <v>57634</v>
      </c>
      <c r="B299" s="283">
        <v>44378</v>
      </c>
      <c r="C299">
        <v>1901</v>
      </c>
      <c r="D299">
        <v>2098</v>
      </c>
      <c r="E299">
        <v>100</v>
      </c>
      <c r="F299">
        <v>320</v>
      </c>
      <c r="G299">
        <v>2160</v>
      </c>
      <c r="H299">
        <v>408595</v>
      </c>
      <c r="I299">
        <v>0</v>
      </c>
      <c r="J299" s="283">
        <v>45412.177658182867</v>
      </c>
      <c r="K299" t="s">
        <v>3149</v>
      </c>
      <c r="L299" t="s">
        <v>3145</v>
      </c>
      <c r="M299" t="s">
        <v>3146</v>
      </c>
      <c r="N299" t="s">
        <v>290</v>
      </c>
      <c r="O299" t="s">
        <v>58</v>
      </c>
    </row>
    <row r="300" spans="1:15" x14ac:dyDescent="0.35">
      <c r="A300">
        <v>57643</v>
      </c>
      <c r="B300" s="283">
        <v>44378</v>
      </c>
      <c r="C300">
        <v>2097</v>
      </c>
      <c r="D300">
        <v>2098</v>
      </c>
      <c r="E300">
        <v>100</v>
      </c>
      <c r="F300">
        <v>320</v>
      </c>
      <c r="G300">
        <v>1200</v>
      </c>
      <c r="H300">
        <v>26146</v>
      </c>
      <c r="I300">
        <v>0</v>
      </c>
      <c r="J300" s="283">
        <v>45412.177658182867</v>
      </c>
      <c r="K300" t="s">
        <v>3144</v>
      </c>
      <c r="L300" t="s">
        <v>3145</v>
      </c>
      <c r="M300" t="s">
        <v>3146</v>
      </c>
      <c r="N300" t="s">
        <v>290</v>
      </c>
      <c r="O300" t="s">
        <v>121</v>
      </c>
    </row>
    <row r="301" spans="1:15" x14ac:dyDescent="0.35">
      <c r="A301">
        <v>57644</v>
      </c>
      <c r="B301" s="283">
        <v>44378</v>
      </c>
      <c r="C301">
        <v>2097</v>
      </c>
      <c r="D301">
        <v>2098</v>
      </c>
      <c r="E301">
        <v>100</v>
      </c>
      <c r="F301">
        <v>320</v>
      </c>
      <c r="G301">
        <v>2100</v>
      </c>
      <c r="H301">
        <v>520301</v>
      </c>
      <c r="I301">
        <v>0</v>
      </c>
      <c r="J301" s="283">
        <v>45412.177658182867</v>
      </c>
      <c r="K301" t="s">
        <v>3147</v>
      </c>
      <c r="L301" t="s">
        <v>3145</v>
      </c>
      <c r="M301" t="s">
        <v>3146</v>
      </c>
      <c r="N301" t="s">
        <v>290</v>
      </c>
      <c r="O301" t="s">
        <v>121</v>
      </c>
    </row>
    <row r="302" spans="1:15" x14ac:dyDescent="0.35">
      <c r="A302">
        <v>57645</v>
      </c>
      <c r="B302" s="283">
        <v>44378</v>
      </c>
      <c r="C302">
        <v>2097</v>
      </c>
      <c r="D302">
        <v>2098</v>
      </c>
      <c r="E302">
        <v>100</v>
      </c>
      <c r="F302">
        <v>320</v>
      </c>
      <c r="G302">
        <v>2160</v>
      </c>
      <c r="H302">
        <v>549528</v>
      </c>
      <c r="I302">
        <v>0</v>
      </c>
      <c r="J302" s="283">
        <v>45412.177658182867</v>
      </c>
      <c r="K302" t="s">
        <v>3149</v>
      </c>
      <c r="L302" t="s">
        <v>3145</v>
      </c>
      <c r="M302" t="s">
        <v>3146</v>
      </c>
      <c r="N302" t="s">
        <v>290</v>
      </c>
      <c r="O302" t="s">
        <v>121</v>
      </c>
    </row>
    <row r="303" spans="1:15" x14ac:dyDescent="0.35">
      <c r="A303">
        <v>57654</v>
      </c>
      <c r="B303" s="283">
        <v>44378</v>
      </c>
      <c r="C303">
        <v>2099</v>
      </c>
      <c r="D303">
        <v>2098</v>
      </c>
      <c r="E303">
        <v>100</v>
      </c>
      <c r="F303">
        <v>320</v>
      </c>
      <c r="G303">
        <v>1200</v>
      </c>
      <c r="H303">
        <v>8715</v>
      </c>
      <c r="I303">
        <v>0</v>
      </c>
      <c r="J303" s="283">
        <v>45412.177658182867</v>
      </c>
      <c r="K303" t="s">
        <v>3144</v>
      </c>
      <c r="L303" t="s">
        <v>3145</v>
      </c>
      <c r="M303" t="s">
        <v>3146</v>
      </c>
      <c r="N303" t="s">
        <v>290</v>
      </c>
      <c r="O303" t="s">
        <v>98</v>
      </c>
    </row>
    <row r="304" spans="1:15" x14ac:dyDescent="0.35">
      <c r="A304">
        <v>57655</v>
      </c>
      <c r="B304" s="283">
        <v>44378</v>
      </c>
      <c r="C304">
        <v>2099</v>
      </c>
      <c r="D304">
        <v>2098</v>
      </c>
      <c r="E304">
        <v>100</v>
      </c>
      <c r="F304">
        <v>320</v>
      </c>
      <c r="G304">
        <v>2100</v>
      </c>
      <c r="H304">
        <v>109182</v>
      </c>
      <c r="I304">
        <v>0</v>
      </c>
      <c r="J304" s="283">
        <v>45412.177658182867</v>
      </c>
      <c r="K304" t="s">
        <v>3147</v>
      </c>
      <c r="L304" t="s">
        <v>3145</v>
      </c>
      <c r="M304" t="s">
        <v>3146</v>
      </c>
      <c r="N304" t="s">
        <v>290</v>
      </c>
      <c r="O304" t="s">
        <v>98</v>
      </c>
    </row>
    <row r="305" spans="1:15" x14ac:dyDescent="0.35">
      <c r="A305">
        <v>57656</v>
      </c>
      <c r="B305" s="283">
        <v>44378</v>
      </c>
      <c r="C305">
        <v>2099</v>
      </c>
      <c r="D305">
        <v>2098</v>
      </c>
      <c r="E305">
        <v>100</v>
      </c>
      <c r="F305">
        <v>320</v>
      </c>
      <c r="G305">
        <v>2160</v>
      </c>
      <c r="H305">
        <v>39000</v>
      </c>
      <c r="I305">
        <v>0</v>
      </c>
      <c r="J305" s="283">
        <v>45412.177658182867</v>
      </c>
      <c r="K305" t="s">
        <v>3149</v>
      </c>
      <c r="L305" t="s">
        <v>3145</v>
      </c>
      <c r="M305" t="s">
        <v>3146</v>
      </c>
      <c r="N305" t="s">
        <v>290</v>
      </c>
      <c r="O305" t="s">
        <v>98</v>
      </c>
    </row>
    <row r="306" spans="1:15" x14ac:dyDescent="0.35">
      <c r="A306">
        <v>57664</v>
      </c>
      <c r="B306" s="283">
        <v>44378</v>
      </c>
      <c r="C306">
        <v>2100</v>
      </c>
      <c r="D306">
        <v>2098</v>
      </c>
      <c r="E306">
        <v>100</v>
      </c>
      <c r="F306">
        <v>320</v>
      </c>
      <c r="G306">
        <v>1200</v>
      </c>
      <c r="H306">
        <v>59554</v>
      </c>
      <c r="I306">
        <v>0</v>
      </c>
      <c r="J306" s="283">
        <v>45412.177658182867</v>
      </c>
      <c r="K306" t="s">
        <v>3144</v>
      </c>
      <c r="L306" t="s">
        <v>3145</v>
      </c>
      <c r="M306" t="s">
        <v>3146</v>
      </c>
      <c r="N306" t="s">
        <v>290</v>
      </c>
      <c r="O306" t="s">
        <v>92</v>
      </c>
    </row>
    <row r="307" spans="1:15" x14ac:dyDescent="0.35">
      <c r="A307">
        <v>57665</v>
      </c>
      <c r="B307" s="283">
        <v>44378</v>
      </c>
      <c r="C307">
        <v>2100</v>
      </c>
      <c r="D307">
        <v>2098</v>
      </c>
      <c r="E307">
        <v>100</v>
      </c>
      <c r="F307">
        <v>320</v>
      </c>
      <c r="G307">
        <v>2100</v>
      </c>
      <c r="H307">
        <v>893637</v>
      </c>
      <c r="I307">
        <v>0</v>
      </c>
      <c r="J307" s="283">
        <v>45412.177658182867</v>
      </c>
      <c r="K307" t="s">
        <v>3147</v>
      </c>
      <c r="L307" t="s">
        <v>3145</v>
      </c>
      <c r="M307" t="s">
        <v>3146</v>
      </c>
      <c r="N307" t="s">
        <v>290</v>
      </c>
      <c r="O307" t="s">
        <v>92</v>
      </c>
    </row>
    <row r="308" spans="1:15" x14ac:dyDescent="0.35">
      <c r="A308">
        <v>57666</v>
      </c>
      <c r="B308" s="283">
        <v>44378</v>
      </c>
      <c r="C308">
        <v>2100</v>
      </c>
      <c r="D308">
        <v>2098</v>
      </c>
      <c r="E308">
        <v>100</v>
      </c>
      <c r="F308">
        <v>320</v>
      </c>
      <c r="G308">
        <v>2160</v>
      </c>
      <c r="H308">
        <v>611850</v>
      </c>
      <c r="I308">
        <v>0</v>
      </c>
      <c r="J308" s="283">
        <v>45412.177658182867</v>
      </c>
      <c r="K308" t="s">
        <v>3149</v>
      </c>
      <c r="L308" t="s">
        <v>3145</v>
      </c>
      <c r="M308" t="s">
        <v>3146</v>
      </c>
      <c r="N308" t="s">
        <v>290</v>
      </c>
      <c r="O308" t="s">
        <v>92</v>
      </c>
    </row>
    <row r="309" spans="1:15" x14ac:dyDescent="0.35">
      <c r="A309">
        <v>57675</v>
      </c>
      <c r="B309" s="283">
        <v>44378</v>
      </c>
      <c r="C309">
        <v>2101</v>
      </c>
      <c r="D309">
        <v>2098</v>
      </c>
      <c r="E309">
        <v>100</v>
      </c>
      <c r="F309">
        <v>320</v>
      </c>
      <c r="G309">
        <v>1200</v>
      </c>
      <c r="H309">
        <v>30503</v>
      </c>
      <c r="I309">
        <v>0</v>
      </c>
      <c r="J309" s="283">
        <v>45412.177658182867</v>
      </c>
      <c r="K309" t="s">
        <v>3144</v>
      </c>
      <c r="L309" t="s">
        <v>3145</v>
      </c>
      <c r="M309" t="s">
        <v>3146</v>
      </c>
      <c r="N309" t="s">
        <v>290</v>
      </c>
      <c r="O309" t="s">
        <v>120</v>
      </c>
    </row>
    <row r="310" spans="1:15" x14ac:dyDescent="0.35">
      <c r="A310">
        <v>57676</v>
      </c>
      <c r="B310" s="283">
        <v>44378</v>
      </c>
      <c r="C310">
        <v>2101</v>
      </c>
      <c r="D310">
        <v>2098</v>
      </c>
      <c r="E310">
        <v>100</v>
      </c>
      <c r="F310">
        <v>320</v>
      </c>
      <c r="G310">
        <v>2100</v>
      </c>
      <c r="H310">
        <v>408858</v>
      </c>
      <c r="I310">
        <v>0</v>
      </c>
      <c r="J310" s="283">
        <v>45412.177658182867</v>
      </c>
      <c r="K310" t="s">
        <v>3147</v>
      </c>
      <c r="L310" t="s">
        <v>3145</v>
      </c>
      <c r="M310" t="s">
        <v>3146</v>
      </c>
      <c r="N310" t="s">
        <v>290</v>
      </c>
      <c r="O310" t="s">
        <v>120</v>
      </c>
    </row>
    <row r="311" spans="1:15" x14ac:dyDescent="0.35">
      <c r="A311">
        <v>57677</v>
      </c>
      <c r="B311" s="283">
        <v>44378</v>
      </c>
      <c r="C311">
        <v>2101</v>
      </c>
      <c r="D311">
        <v>2098</v>
      </c>
      <c r="E311">
        <v>100</v>
      </c>
      <c r="F311">
        <v>320</v>
      </c>
      <c r="G311">
        <v>2160</v>
      </c>
      <c r="H311">
        <v>350124</v>
      </c>
      <c r="I311">
        <v>0</v>
      </c>
      <c r="J311" s="283">
        <v>45412.177658182867</v>
      </c>
      <c r="K311" t="s">
        <v>3149</v>
      </c>
      <c r="L311" t="s">
        <v>3145</v>
      </c>
      <c r="M311" t="s">
        <v>3146</v>
      </c>
      <c r="N311" t="s">
        <v>290</v>
      </c>
      <c r="O311" t="s">
        <v>120</v>
      </c>
    </row>
    <row r="312" spans="1:15" x14ac:dyDescent="0.35">
      <c r="A312">
        <v>57686</v>
      </c>
      <c r="B312" s="283">
        <v>44378</v>
      </c>
      <c r="C312">
        <v>2102</v>
      </c>
      <c r="D312">
        <v>2098</v>
      </c>
      <c r="E312">
        <v>100</v>
      </c>
      <c r="F312">
        <v>320</v>
      </c>
      <c r="G312">
        <v>1200</v>
      </c>
      <c r="H312">
        <v>21788</v>
      </c>
      <c r="I312">
        <v>0</v>
      </c>
      <c r="J312" s="283">
        <v>45412.177658182867</v>
      </c>
      <c r="K312" t="s">
        <v>3144</v>
      </c>
      <c r="L312" t="s">
        <v>3145</v>
      </c>
      <c r="M312" t="s">
        <v>3146</v>
      </c>
      <c r="N312" t="s">
        <v>290</v>
      </c>
      <c r="O312" t="s">
        <v>202</v>
      </c>
    </row>
    <row r="313" spans="1:15" x14ac:dyDescent="0.35">
      <c r="A313">
        <v>57687</v>
      </c>
      <c r="B313" s="283">
        <v>44378</v>
      </c>
      <c r="C313">
        <v>2102</v>
      </c>
      <c r="D313">
        <v>2098</v>
      </c>
      <c r="E313">
        <v>100</v>
      </c>
      <c r="F313">
        <v>320</v>
      </c>
      <c r="G313">
        <v>2100</v>
      </c>
      <c r="H313">
        <v>339305</v>
      </c>
      <c r="I313">
        <v>0</v>
      </c>
      <c r="J313" s="283">
        <v>45412.177658182867</v>
      </c>
      <c r="K313" t="s">
        <v>3147</v>
      </c>
      <c r="L313" t="s">
        <v>3145</v>
      </c>
      <c r="M313" t="s">
        <v>3146</v>
      </c>
      <c r="N313" t="s">
        <v>290</v>
      </c>
      <c r="O313" t="s">
        <v>202</v>
      </c>
    </row>
    <row r="314" spans="1:15" x14ac:dyDescent="0.35">
      <c r="A314">
        <v>57688</v>
      </c>
      <c r="B314" s="283">
        <v>44378</v>
      </c>
      <c r="C314">
        <v>2102</v>
      </c>
      <c r="D314">
        <v>2098</v>
      </c>
      <c r="E314">
        <v>100</v>
      </c>
      <c r="F314">
        <v>320</v>
      </c>
      <c r="G314">
        <v>2160</v>
      </c>
      <c r="H314">
        <v>170216</v>
      </c>
      <c r="I314">
        <v>0</v>
      </c>
      <c r="J314" s="283">
        <v>45412.177658182867</v>
      </c>
      <c r="K314" t="s">
        <v>3149</v>
      </c>
      <c r="L314" t="s">
        <v>3145</v>
      </c>
      <c r="M314" t="s">
        <v>3146</v>
      </c>
      <c r="N314" t="s">
        <v>290</v>
      </c>
      <c r="O314" t="s">
        <v>202</v>
      </c>
    </row>
    <row r="315" spans="1:15" x14ac:dyDescent="0.35">
      <c r="A315">
        <v>57697</v>
      </c>
      <c r="B315" s="283">
        <v>44378</v>
      </c>
      <c r="C315">
        <v>2103</v>
      </c>
      <c r="D315">
        <v>2098</v>
      </c>
      <c r="E315">
        <v>100</v>
      </c>
      <c r="F315">
        <v>320</v>
      </c>
      <c r="G315">
        <v>1200</v>
      </c>
      <c r="H315">
        <v>5810</v>
      </c>
      <c r="I315">
        <v>0</v>
      </c>
      <c r="J315" s="283">
        <v>45412.177658182867</v>
      </c>
      <c r="K315" t="s">
        <v>3144</v>
      </c>
      <c r="L315" t="s">
        <v>3145</v>
      </c>
      <c r="M315" t="s">
        <v>3146</v>
      </c>
      <c r="N315" t="s">
        <v>290</v>
      </c>
      <c r="O315" t="s">
        <v>183</v>
      </c>
    </row>
    <row r="316" spans="1:15" x14ac:dyDescent="0.35">
      <c r="A316">
        <v>57698</v>
      </c>
      <c r="B316" s="283">
        <v>44378</v>
      </c>
      <c r="C316">
        <v>2103</v>
      </c>
      <c r="D316">
        <v>2098</v>
      </c>
      <c r="E316">
        <v>100</v>
      </c>
      <c r="F316">
        <v>320</v>
      </c>
      <c r="G316">
        <v>2100</v>
      </c>
      <c r="H316">
        <v>281992</v>
      </c>
      <c r="I316">
        <v>0</v>
      </c>
      <c r="J316" s="283">
        <v>45412.177658182867</v>
      </c>
      <c r="K316" t="s">
        <v>3147</v>
      </c>
      <c r="L316" t="s">
        <v>3145</v>
      </c>
      <c r="M316" t="s">
        <v>3146</v>
      </c>
      <c r="N316" t="s">
        <v>290</v>
      </c>
      <c r="O316" t="s">
        <v>183</v>
      </c>
    </row>
    <row r="317" spans="1:15" x14ac:dyDescent="0.35">
      <c r="A317">
        <v>57699</v>
      </c>
      <c r="B317" s="283">
        <v>44378</v>
      </c>
      <c r="C317">
        <v>2103</v>
      </c>
      <c r="D317">
        <v>2098</v>
      </c>
      <c r="E317">
        <v>100</v>
      </c>
      <c r="F317">
        <v>320</v>
      </c>
      <c r="G317">
        <v>2160</v>
      </c>
      <c r="H317">
        <v>98429</v>
      </c>
      <c r="I317">
        <v>0</v>
      </c>
      <c r="J317" s="283">
        <v>45412.177658182867</v>
      </c>
      <c r="K317" t="s">
        <v>3149</v>
      </c>
      <c r="L317" t="s">
        <v>3145</v>
      </c>
      <c r="M317" t="s">
        <v>3146</v>
      </c>
      <c r="N317" t="s">
        <v>290</v>
      </c>
      <c r="O317" t="s">
        <v>183</v>
      </c>
    </row>
    <row r="318" spans="1:15" x14ac:dyDescent="0.35">
      <c r="A318">
        <v>57708</v>
      </c>
      <c r="B318" s="283">
        <v>44378</v>
      </c>
      <c r="C318">
        <v>2104</v>
      </c>
      <c r="D318">
        <v>2098</v>
      </c>
      <c r="E318">
        <v>100</v>
      </c>
      <c r="F318">
        <v>320</v>
      </c>
      <c r="G318">
        <v>1200</v>
      </c>
      <c r="H318">
        <v>1453</v>
      </c>
      <c r="I318">
        <v>0</v>
      </c>
      <c r="J318" s="283">
        <v>45412.177658182867</v>
      </c>
      <c r="K318" t="s">
        <v>3144</v>
      </c>
      <c r="L318" t="s">
        <v>3145</v>
      </c>
      <c r="M318" t="s">
        <v>3146</v>
      </c>
      <c r="N318" t="s">
        <v>290</v>
      </c>
      <c r="O318" t="s">
        <v>181</v>
      </c>
    </row>
    <row r="319" spans="1:15" x14ac:dyDescent="0.35">
      <c r="A319">
        <v>57709</v>
      </c>
      <c r="B319" s="283">
        <v>44378</v>
      </c>
      <c r="C319">
        <v>2104</v>
      </c>
      <c r="D319">
        <v>2098</v>
      </c>
      <c r="E319">
        <v>100</v>
      </c>
      <c r="F319">
        <v>320</v>
      </c>
      <c r="G319">
        <v>2100</v>
      </c>
      <c r="H319">
        <v>576470</v>
      </c>
      <c r="I319">
        <v>0</v>
      </c>
      <c r="J319" s="283">
        <v>45412.177658182867</v>
      </c>
      <c r="K319" t="s">
        <v>3147</v>
      </c>
      <c r="L319" t="s">
        <v>3145</v>
      </c>
      <c r="M319" t="s">
        <v>3146</v>
      </c>
      <c r="N319" t="s">
        <v>290</v>
      </c>
      <c r="O319" t="s">
        <v>181</v>
      </c>
    </row>
    <row r="320" spans="1:15" x14ac:dyDescent="0.35">
      <c r="A320">
        <v>57710</v>
      </c>
      <c r="B320" s="283">
        <v>44378</v>
      </c>
      <c r="C320">
        <v>2104</v>
      </c>
      <c r="D320">
        <v>2098</v>
      </c>
      <c r="E320">
        <v>100</v>
      </c>
      <c r="F320">
        <v>320</v>
      </c>
      <c r="G320">
        <v>2160</v>
      </c>
      <c r="H320">
        <v>272635</v>
      </c>
      <c r="I320">
        <v>0</v>
      </c>
      <c r="J320" s="283">
        <v>45412.177658182867</v>
      </c>
      <c r="K320" t="s">
        <v>3149</v>
      </c>
      <c r="L320" t="s">
        <v>3145</v>
      </c>
      <c r="M320" t="s">
        <v>3146</v>
      </c>
      <c r="N320" t="s">
        <v>290</v>
      </c>
      <c r="O320" t="s">
        <v>181</v>
      </c>
    </row>
    <row r="321" spans="1:15" x14ac:dyDescent="0.35">
      <c r="A321">
        <v>57719</v>
      </c>
      <c r="B321" s="283">
        <v>44378</v>
      </c>
      <c r="C321">
        <v>2105</v>
      </c>
      <c r="D321">
        <v>2098</v>
      </c>
      <c r="E321">
        <v>100</v>
      </c>
      <c r="F321">
        <v>320</v>
      </c>
      <c r="G321">
        <v>1200</v>
      </c>
      <c r="H321">
        <v>2905</v>
      </c>
      <c r="I321">
        <v>0</v>
      </c>
      <c r="J321" s="283">
        <v>45412.177658182867</v>
      </c>
      <c r="K321" t="s">
        <v>3144</v>
      </c>
      <c r="L321" t="s">
        <v>3145</v>
      </c>
      <c r="M321" t="s">
        <v>3146</v>
      </c>
      <c r="N321" t="s">
        <v>290</v>
      </c>
      <c r="O321" t="s">
        <v>48</v>
      </c>
    </row>
    <row r="322" spans="1:15" x14ac:dyDescent="0.35">
      <c r="A322">
        <v>57720</v>
      </c>
      <c r="B322" s="283">
        <v>44378</v>
      </c>
      <c r="C322">
        <v>2105</v>
      </c>
      <c r="D322">
        <v>2098</v>
      </c>
      <c r="E322">
        <v>100</v>
      </c>
      <c r="F322">
        <v>320</v>
      </c>
      <c r="G322">
        <v>2100</v>
      </c>
      <c r="H322">
        <v>138933</v>
      </c>
      <c r="I322">
        <v>0</v>
      </c>
      <c r="J322" s="283">
        <v>45412.177658182867</v>
      </c>
      <c r="K322" t="s">
        <v>3147</v>
      </c>
      <c r="L322" t="s">
        <v>3145</v>
      </c>
      <c r="M322" t="s">
        <v>3146</v>
      </c>
      <c r="N322" t="s">
        <v>290</v>
      </c>
      <c r="O322" t="s">
        <v>48</v>
      </c>
    </row>
    <row r="323" spans="1:15" x14ac:dyDescent="0.35">
      <c r="A323">
        <v>57721</v>
      </c>
      <c r="B323" s="283">
        <v>44378</v>
      </c>
      <c r="C323">
        <v>2105</v>
      </c>
      <c r="D323">
        <v>2098</v>
      </c>
      <c r="E323">
        <v>100</v>
      </c>
      <c r="F323">
        <v>320</v>
      </c>
      <c r="G323">
        <v>2160</v>
      </c>
      <c r="H323">
        <v>36425</v>
      </c>
      <c r="I323">
        <v>0</v>
      </c>
      <c r="J323" s="283">
        <v>45412.177658182867</v>
      </c>
      <c r="K323" t="s">
        <v>3149</v>
      </c>
      <c r="L323" t="s">
        <v>3145</v>
      </c>
      <c r="M323" t="s">
        <v>3146</v>
      </c>
      <c r="N323" t="s">
        <v>290</v>
      </c>
      <c r="O323" t="s">
        <v>48</v>
      </c>
    </row>
    <row r="324" spans="1:15" x14ac:dyDescent="0.35">
      <c r="A324">
        <v>57725</v>
      </c>
      <c r="B324" s="283">
        <v>44378</v>
      </c>
      <c r="C324">
        <v>1895</v>
      </c>
      <c r="D324">
        <v>2106</v>
      </c>
      <c r="E324">
        <v>100</v>
      </c>
      <c r="F324">
        <v>320</v>
      </c>
      <c r="G324">
        <v>1200</v>
      </c>
      <c r="H324">
        <v>12315.78</v>
      </c>
      <c r="I324">
        <v>0</v>
      </c>
      <c r="J324" s="283">
        <v>45412.177658182867</v>
      </c>
      <c r="K324" t="s">
        <v>3144</v>
      </c>
      <c r="L324" t="s">
        <v>3145</v>
      </c>
      <c r="M324" t="s">
        <v>3146</v>
      </c>
      <c r="N324" t="s">
        <v>279</v>
      </c>
      <c r="O324" t="s">
        <v>103</v>
      </c>
    </row>
    <row r="325" spans="1:15" x14ac:dyDescent="0.35">
      <c r="A325">
        <v>57726</v>
      </c>
      <c r="B325" s="283">
        <v>44378</v>
      </c>
      <c r="C325">
        <v>1895</v>
      </c>
      <c r="D325">
        <v>2106</v>
      </c>
      <c r="E325">
        <v>100</v>
      </c>
      <c r="F325">
        <v>320</v>
      </c>
      <c r="G325">
        <v>2100</v>
      </c>
      <c r="H325">
        <v>26461.65</v>
      </c>
      <c r="I325">
        <v>0</v>
      </c>
      <c r="J325" s="283">
        <v>45412.177658182867</v>
      </c>
      <c r="K325" t="s">
        <v>3147</v>
      </c>
      <c r="L325" t="s">
        <v>3145</v>
      </c>
      <c r="M325" t="s">
        <v>3146</v>
      </c>
      <c r="N325" t="s">
        <v>279</v>
      </c>
      <c r="O325" t="s">
        <v>103</v>
      </c>
    </row>
    <row r="326" spans="1:15" x14ac:dyDescent="0.35">
      <c r="A326">
        <v>57727</v>
      </c>
      <c r="B326" s="283">
        <v>44378</v>
      </c>
      <c r="C326">
        <v>1895</v>
      </c>
      <c r="D326">
        <v>2106</v>
      </c>
      <c r="E326">
        <v>100</v>
      </c>
      <c r="F326">
        <v>320</v>
      </c>
      <c r="G326">
        <v>2160</v>
      </c>
      <c r="H326">
        <v>4893.7299999999996</v>
      </c>
      <c r="I326">
        <v>0</v>
      </c>
      <c r="J326" s="283">
        <v>45412.177658182867</v>
      </c>
      <c r="K326" t="s">
        <v>3149</v>
      </c>
      <c r="L326" t="s">
        <v>3145</v>
      </c>
      <c r="M326" t="s">
        <v>3146</v>
      </c>
      <c r="N326" t="s">
        <v>279</v>
      </c>
      <c r="O326" t="s">
        <v>103</v>
      </c>
    </row>
    <row r="327" spans="1:15" x14ac:dyDescent="0.35">
      <c r="A327">
        <v>57728</v>
      </c>
      <c r="B327" s="283">
        <v>44378</v>
      </c>
      <c r="C327">
        <v>1895</v>
      </c>
      <c r="D327">
        <v>2106</v>
      </c>
      <c r="E327">
        <v>100</v>
      </c>
      <c r="F327">
        <v>320</v>
      </c>
      <c r="G327">
        <v>2190</v>
      </c>
      <c r="H327">
        <v>8228.93</v>
      </c>
      <c r="I327">
        <v>0</v>
      </c>
      <c r="J327" s="283">
        <v>45412.177658182867</v>
      </c>
      <c r="K327" t="s">
        <v>3150</v>
      </c>
      <c r="L327" t="s">
        <v>3145</v>
      </c>
      <c r="M327" t="s">
        <v>3146</v>
      </c>
      <c r="N327" t="s">
        <v>279</v>
      </c>
      <c r="O327" t="s">
        <v>103</v>
      </c>
    </row>
    <row r="328" spans="1:15" x14ac:dyDescent="0.35">
      <c r="A328">
        <v>57732</v>
      </c>
      <c r="B328" s="283">
        <v>44378</v>
      </c>
      <c r="C328">
        <v>2107</v>
      </c>
      <c r="D328">
        <v>2106</v>
      </c>
      <c r="E328">
        <v>100</v>
      </c>
      <c r="F328">
        <v>320</v>
      </c>
      <c r="G328">
        <v>1200</v>
      </c>
      <c r="H328">
        <v>13044.84</v>
      </c>
      <c r="I328">
        <v>0</v>
      </c>
      <c r="J328" s="283">
        <v>45412.177658182867</v>
      </c>
      <c r="K328" t="s">
        <v>3144</v>
      </c>
      <c r="L328" t="s">
        <v>3145</v>
      </c>
      <c r="M328" t="s">
        <v>3146</v>
      </c>
      <c r="N328" t="s">
        <v>279</v>
      </c>
      <c r="O328" t="s">
        <v>110</v>
      </c>
    </row>
    <row r="329" spans="1:15" x14ac:dyDescent="0.35">
      <c r="A329">
        <v>57733</v>
      </c>
      <c r="B329" s="283">
        <v>44378</v>
      </c>
      <c r="C329">
        <v>2107</v>
      </c>
      <c r="D329">
        <v>2106</v>
      </c>
      <c r="E329">
        <v>100</v>
      </c>
      <c r="F329">
        <v>320</v>
      </c>
      <c r="G329">
        <v>2100</v>
      </c>
      <c r="H329">
        <v>52860.35</v>
      </c>
      <c r="I329">
        <v>0</v>
      </c>
      <c r="J329" s="283">
        <v>45412.177658182867</v>
      </c>
      <c r="K329" t="s">
        <v>3147</v>
      </c>
      <c r="L329" t="s">
        <v>3145</v>
      </c>
      <c r="M329" t="s">
        <v>3146</v>
      </c>
      <c r="N329" t="s">
        <v>279</v>
      </c>
      <c r="O329" t="s">
        <v>110</v>
      </c>
    </row>
    <row r="330" spans="1:15" x14ac:dyDescent="0.35">
      <c r="A330">
        <v>57734</v>
      </c>
      <c r="B330" s="283">
        <v>44378</v>
      </c>
      <c r="C330">
        <v>2107</v>
      </c>
      <c r="D330">
        <v>2106</v>
      </c>
      <c r="E330">
        <v>100</v>
      </c>
      <c r="F330">
        <v>320</v>
      </c>
      <c r="G330">
        <v>2160</v>
      </c>
      <c r="H330">
        <v>3991.36</v>
      </c>
      <c r="I330">
        <v>0</v>
      </c>
      <c r="J330" s="283">
        <v>45412.177658182867</v>
      </c>
      <c r="K330" t="s">
        <v>3149</v>
      </c>
      <c r="L330" t="s">
        <v>3145</v>
      </c>
      <c r="M330" t="s">
        <v>3146</v>
      </c>
      <c r="N330" t="s">
        <v>279</v>
      </c>
      <c r="O330" t="s">
        <v>110</v>
      </c>
    </row>
    <row r="331" spans="1:15" x14ac:dyDescent="0.35">
      <c r="A331">
        <v>57735</v>
      </c>
      <c r="B331" s="283">
        <v>44378</v>
      </c>
      <c r="C331">
        <v>2107</v>
      </c>
      <c r="D331">
        <v>2106</v>
      </c>
      <c r="E331">
        <v>100</v>
      </c>
      <c r="F331">
        <v>320</v>
      </c>
      <c r="G331">
        <v>2190</v>
      </c>
      <c r="H331">
        <v>6711.58</v>
      </c>
      <c r="I331">
        <v>0</v>
      </c>
      <c r="J331" s="283">
        <v>45412.177658182867</v>
      </c>
      <c r="K331" t="s">
        <v>3150</v>
      </c>
      <c r="L331" t="s">
        <v>3145</v>
      </c>
      <c r="M331" t="s">
        <v>3146</v>
      </c>
      <c r="N331" t="s">
        <v>279</v>
      </c>
      <c r="O331" t="s">
        <v>110</v>
      </c>
    </row>
    <row r="332" spans="1:15" x14ac:dyDescent="0.35">
      <c r="A332">
        <v>57740</v>
      </c>
      <c r="B332" s="283">
        <v>44378</v>
      </c>
      <c r="C332">
        <v>2108</v>
      </c>
      <c r="D332">
        <v>2106</v>
      </c>
      <c r="E332">
        <v>100</v>
      </c>
      <c r="F332">
        <v>320</v>
      </c>
      <c r="G332">
        <v>1200</v>
      </c>
      <c r="H332">
        <v>16130.26</v>
      </c>
      <c r="I332">
        <v>0</v>
      </c>
      <c r="J332" s="283">
        <v>45412.177658182867</v>
      </c>
      <c r="K332" t="s">
        <v>3144</v>
      </c>
      <c r="L332" t="s">
        <v>3145</v>
      </c>
      <c r="M332" t="s">
        <v>3146</v>
      </c>
      <c r="N332" t="s">
        <v>279</v>
      </c>
      <c r="O332" t="s">
        <v>152</v>
      </c>
    </row>
    <row r="333" spans="1:15" x14ac:dyDescent="0.35">
      <c r="A333">
        <v>57741</v>
      </c>
      <c r="B333" s="283">
        <v>44378</v>
      </c>
      <c r="C333">
        <v>2108</v>
      </c>
      <c r="D333">
        <v>2106</v>
      </c>
      <c r="E333">
        <v>100</v>
      </c>
      <c r="F333">
        <v>320</v>
      </c>
      <c r="G333">
        <v>2100</v>
      </c>
      <c r="H333">
        <v>53931.66</v>
      </c>
      <c r="I333">
        <v>0</v>
      </c>
      <c r="J333" s="283">
        <v>45412.177658182867</v>
      </c>
      <c r="K333" t="s">
        <v>3147</v>
      </c>
      <c r="L333" t="s">
        <v>3145</v>
      </c>
      <c r="M333" t="s">
        <v>3146</v>
      </c>
      <c r="N333" t="s">
        <v>279</v>
      </c>
      <c r="O333" t="s">
        <v>152</v>
      </c>
    </row>
    <row r="334" spans="1:15" x14ac:dyDescent="0.35">
      <c r="A334">
        <v>57745</v>
      </c>
      <c r="B334" s="283">
        <v>44378</v>
      </c>
      <c r="C334">
        <v>2109</v>
      </c>
      <c r="D334">
        <v>2106</v>
      </c>
      <c r="E334">
        <v>100</v>
      </c>
      <c r="F334">
        <v>320</v>
      </c>
      <c r="G334">
        <v>1200</v>
      </c>
      <c r="H334">
        <v>1991.92</v>
      </c>
      <c r="I334">
        <v>0</v>
      </c>
      <c r="J334" s="283">
        <v>45412.177658182867</v>
      </c>
      <c r="K334" t="s">
        <v>3144</v>
      </c>
      <c r="L334" t="s">
        <v>3145</v>
      </c>
      <c r="M334" t="s">
        <v>3146</v>
      </c>
      <c r="N334" t="s">
        <v>279</v>
      </c>
      <c r="O334" t="s">
        <v>113</v>
      </c>
    </row>
    <row r="335" spans="1:15" x14ac:dyDescent="0.35">
      <c r="A335">
        <v>57746</v>
      </c>
      <c r="B335" s="283">
        <v>44378</v>
      </c>
      <c r="C335">
        <v>2109</v>
      </c>
      <c r="D335">
        <v>2106</v>
      </c>
      <c r="E335">
        <v>100</v>
      </c>
      <c r="F335">
        <v>320</v>
      </c>
      <c r="G335">
        <v>2100</v>
      </c>
      <c r="H335">
        <v>6888.51</v>
      </c>
      <c r="I335">
        <v>0</v>
      </c>
      <c r="J335" s="283">
        <v>45412.177658182867</v>
      </c>
      <c r="K335" t="s">
        <v>3147</v>
      </c>
      <c r="L335" t="s">
        <v>3145</v>
      </c>
      <c r="M335" t="s">
        <v>3146</v>
      </c>
      <c r="N335" t="s">
        <v>279</v>
      </c>
      <c r="O335" t="s">
        <v>113</v>
      </c>
    </row>
    <row r="336" spans="1:15" x14ac:dyDescent="0.35">
      <c r="A336">
        <v>57747</v>
      </c>
      <c r="B336" s="283">
        <v>44378</v>
      </c>
      <c r="C336">
        <v>2109</v>
      </c>
      <c r="D336">
        <v>2106</v>
      </c>
      <c r="E336">
        <v>100</v>
      </c>
      <c r="F336">
        <v>320</v>
      </c>
      <c r="G336">
        <v>2160</v>
      </c>
      <c r="H336">
        <v>791.5</v>
      </c>
      <c r="I336">
        <v>0</v>
      </c>
      <c r="J336" s="283">
        <v>45412.177658182867</v>
      </c>
      <c r="K336" t="s">
        <v>3149</v>
      </c>
      <c r="L336" t="s">
        <v>3145</v>
      </c>
      <c r="M336" t="s">
        <v>3146</v>
      </c>
      <c r="N336" t="s">
        <v>279</v>
      </c>
      <c r="O336" t="s">
        <v>113</v>
      </c>
    </row>
    <row r="337" spans="1:15" x14ac:dyDescent="0.35">
      <c r="A337">
        <v>57748</v>
      </c>
      <c r="B337" s="283">
        <v>44378</v>
      </c>
      <c r="C337">
        <v>2109</v>
      </c>
      <c r="D337">
        <v>2106</v>
      </c>
      <c r="E337">
        <v>100</v>
      </c>
      <c r="F337">
        <v>320</v>
      </c>
      <c r="G337">
        <v>2190</v>
      </c>
      <c r="H337">
        <v>1330.92</v>
      </c>
      <c r="I337">
        <v>0</v>
      </c>
      <c r="J337" s="283">
        <v>45412.177658182867</v>
      </c>
      <c r="K337" t="s">
        <v>3150</v>
      </c>
      <c r="L337" t="s">
        <v>3145</v>
      </c>
      <c r="M337" t="s">
        <v>3146</v>
      </c>
      <c r="N337" t="s">
        <v>279</v>
      </c>
      <c r="O337" t="s">
        <v>113</v>
      </c>
    </row>
    <row r="338" spans="1:15" x14ac:dyDescent="0.35">
      <c r="A338">
        <v>57752</v>
      </c>
      <c r="B338" s="283">
        <v>44378</v>
      </c>
      <c r="C338">
        <v>2110</v>
      </c>
      <c r="D338">
        <v>2106</v>
      </c>
      <c r="E338">
        <v>100</v>
      </c>
      <c r="F338">
        <v>320</v>
      </c>
      <c r="G338">
        <v>1200</v>
      </c>
      <c r="H338">
        <v>91855.33</v>
      </c>
      <c r="I338">
        <v>0</v>
      </c>
      <c r="J338" s="283">
        <v>45412.177658182867</v>
      </c>
      <c r="K338" t="s">
        <v>3144</v>
      </c>
      <c r="L338" t="s">
        <v>3145</v>
      </c>
      <c r="M338" t="s">
        <v>3146</v>
      </c>
      <c r="N338" t="s">
        <v>279</v>
      </c>
      <c r="O338" t="s">
        <v>149</v>
      </c>
    </row>
    <row r="339" spans="1:15" x14ac:dyDescent="0.35">
      <c r="A339">
        <v>57753</v>
      </c>
      <c r="B339" s="283">
        <v>44378</v>
      </c>
      <c r="C339">
        <v>2110</v>
      </c>
      <c r="D339">
        <v>2106</v>
      </c>
      <c r="E339">
        <v>100</v>
      </c>
      <c r="F339">
        <v>320</v>
      </c>
      <c r="G339">
        <v>2100</v>
      </c>
      <c r="H339">
        <v>263051.78999999998</v>
      </c>
      <c r="I339">
        <v>0</v>
      </c>
      <c r="J339" s="283">
        <v>45412.177658182867</v>
      </c>
      <c r="K339" t="s">
        <v>3147</v>
      </c>
      <c r="L339" t="s">
        <v>3145</v>
      </c>
      <c r="M339" t="s">
        <v>3146</v>
      </c>
      <c r="N339" t="s">
        <v>279</v>
      </c>
      <c r="O339" t="s">
        <v>149</v>
      </c>
    </row>
    <row r="340" spans="1:15" x14ac:dyDescent="0.35">
      <c r="A340">
        <v>57754</v>
      </c>
      <c r="B340" s="283">
        <v>44378</v>
      </c>
      <c r="C340">
        <v>2110</v>
      </c>
      <c r="D340">
        <v>2106</v>
      </c>
      <c r="E340">
        <v>100</v>
      </c>
      <c r="F340">
        <v>320</v>
      </c>
      <c r="G340">
        <v>2160</v>
      </c>
      <c r="H340">
        <v>36499.1</v>
      </c>
      <c r="I340">
        <v>0</v>
      </c>
      <c r="J340" s="283">
        <v>45412.177658182867</v>
      </c>
      <c r="K340" t="s">
        <v>3149</v>
      </c>
      <c r="L340" t="s">
        <v>3145</v>
      </c>
      <c r="M340" t="s">
        <v>3146</v>
      </c>
      <c r="N340" t="s">
        <v>279</v>
      </c>
      <c r="O340" t="s">
        <v>149</v>
      </c>
    </row>
    <row r="341" spans="1:15" x14ac:dyDescent="0.35">
      <c r="A341">
        <v>57755</v>
      </c>
      <c r="B341" s="283">
        <v>44378</v>
      </c>
      <c r="C341">
        <v>2110</v>
      </c>
      <c r="D341">
        <v>2106</v>
      </c>
      <c r="E341">
        <v>100</v>
      </c>
      <c r="F341">
        <v>320</v>
      </c>
      <c r="G341">
        <v>2190</v>
      </c>
      <c r="H341">
        <v>61374.16</v>
      </c>
      <c r="I341">
        <v>0</v>
      </c>
      <c r="J341" s="283">
        <v>45412.177658182867</v>
      </c>
      <c r="K341" t="s">
        <v>3150</v>
      </c>
      <c r="L341" t="s">
        <v>3145</v>
      </c>
      <c r="M341" t="s">
        <v>3146</v>
      </c>
      <c r="N341" t="s">
        <v>279</v>
      </c>
      <c r="O341" t="s">
        <v>149</v>
      </c>
    </row>
    <row r="342" spans="1:15" x14ac:dyDescent="0.35">
      <c r="A342">
        <v>57759</v>
      </c>
      <c r="B342" s="283">
        <v>44378</v>
      </c>
      <c r="C342">
        <v>2111</v>
      </c>
      <c r="D342">
        <v>2106</v>
      </c>
      <c r="E342">
        <v>100</v>
      </c>
      <c r="F342">
        <v>320</v>
      </c>
      <c r="G342">
        <v>1200</v>
      </c>
      <c r="H342">
        <v>7184.35</v>
      </c>
      <c r="I342">
        <v>0</v>
      </c>
      <c r="J342" s="283">
        <v>45412.177658182867</v>
      </c>
      <c r="K342" t="s">
        <v>3144</v>
      </c>
      <c r="L342" t="s">
        <v>3145</v>
      </c>
      <c r="M342" t="s">
        <v>3146</v>
      </c>
      <c r="N342" t="s">
        <v>279</v>
      </c>
      <c r="O342" t="s">
        <v>23</v>
      </c>
    </row>
    <row r="343" spans="1:15" x14ac:dyDescent="0.35">
      <c r="A343">
        <v>57760</v>
      </c>
      <c r="B343" s="283">
        <v>44378</v>
      </c>
      <c r="C343">
        <v>2111</v>
      </c>
      <c r="D343">
        <v>2106</v>
      </c>
      <c r="E343">
        <v>100</v>
      </c>
      <c r="F343">
        <v>320</v>
      </c>
      <c r="G343">
        <v>2100</v>
      </c>
      <c r="H343">
        <v>26016.74</v>
      </c>
      <c r="I343">
        <v>0</v>
      </c>
      <c r="J343" s="283">
        <v>45412.177658182867</v>
      </c>
      <c r="K343" t="s">
        <v>3147</v>
      </c>
      <c r="L343" t="s">
        <v>3145</v>
      </c>
      <c r="M343" t="s">
        <v>3146</v>
      </c>
      <c r="N343" t="s">
        <v>279</v>
      </c>
      <c r="O343" t="s">
        <v>23</v>
      </c>
    </row>
    <row r="344" spans="1:15" x14ac:dyDescent="0.35">
      <c r="A344">
        <v>57761</v>
      </c>
      <c r="B344" s="283">
        <v>44378</v>
      </c>
      <c r="C344">
        <v>2111</v>
      </c>
      <c r="D344">
        <v>2106</v>
      </c>
      <c r="E344">
        <v>100</v>
      </c>
      <c r="F344">
        <v>320</v>
      </c>
      <c r="G344">
        <v>2160</v>
      </c>
      <c r="H344">
        <v>4046.8</v>
      </c>
      <c r="I344">
        <v>0</v>
      </c>
      <c r="J344" s="283">
        <v>45412.177658182867</v>
      </c>
      <c r="K344" t="s">
        <v>3149</v>
      </c>
      <c r="L344" t="s">
        <v>3145</v>
      </c>
      <c r="M344" t="s">
        <v>3146</v>
      </c>
      <c r="N344" t="s">
        <v>279</v>
      </c>
      <c r="O344" t="s">
        <v>23</v>
      </c>
    </row>
    <row r="345" spans="1:15" x14ac:dyDescent="0.35">
      <c r="A345">
        <v>57762</v>
      </c>
      <c r="B345" s="283">
        <v>44378</v>
      </c>
      <c r="C345">
        <v>2111</v>
      </c>
      <c r="D345">
        <v>2106</v>
      </c>
      <c r="E345">
        <v>100</v>
      </c>
      <c r="F345">
        <v>320</v>
      </c>
      <c r="G345">
        <v>2190</v>
      </c>
      <c r="H345">
        <v>6804.79</v>
      </c>
      <c r="I345">
        <v>0</v>
      </c>
      <c r="J345" s="283">
        <v>45412.177658182867</v>
      </c>
      <c r="K345" t="s">
        <v>3150</v>
      </c>
      <c r="L345" t="s">
        <v>3145</v>
      </c>
      <c r="M345" t="s">
        <v>3146</v>
      </c>
      <c r="N345" t="s">
        <v>279</v>
      </c>
      <c r="O345" t="s">
        <v>23</v>
      </c>
    </row>
    <row r="346" spans="1:15" x14ac:dyDescent="0.35">
      <c r="A346">
        <v>57766</v>
      </c>
      <c r="B346" s="283">
        <v>44378</v>
      </c>
      <c r="C346">
        <v>2112</v>
      </c>
      <c r="D346">
        <v>2106</v>
      </c>
      <c r="E346">
        <v>100</v>
      </c>
      <c r="F346">
        <v>320</v>
      </c>
      <c r="G346">
        <v>1200</v>
      </c>
      <c r="H346">
        <v>124.01</v>
      </c>
      <c r="I346">
        <v>0</v>
      </c>
      <c r="J346" s="283">
        <v>45412.177658182867</v>
      </c>
      <c r="K346" t="s">
        <v>3144</v>
      </c>
      <c r="L346" t="s">
        <v>3145</v>
      </c>
      <c r="M346" t="s">
        <v>3146</v>
      </c>
      <c r="N346" t="s">
        <v>279</v>
      </c>
      <c r="O346" t="s">
        <v>124</v>
      </c>
    </row>
    <row r="347" spans="1:15" x14ac:dyDescent="0.35">
      <c r="A347">
        <v>57767</v>
      </c>
      <c r="B347" s="283">
        <v>44378</v>
      </c>
      <c r="C347">
        <v>2112</v>
      </c>
      <c r="D347">
        <v>2106</v>
      </c>
      <c r="E347">
        <v>100</v>
      </c>
      <c r="F347">
        <v>320</v>
      </c>
      <c r="G347">
        <v>2100</v>
      </c>
      <c r="H347">
        <v>686.79</v>
      </c>
      <c r="I347">
        <v>0</v>
      </c>
      <c r="J347" s="283">
        <v>45412.177658182867</v>
      </c>
      <c r="K347" t="s">
        <v>3147</v>
      </c>
      <c r="L347" t="s">
        <v>3145</v>
      </c>
      <c r="M347" t="s">
        <v>3146</v>
      </c>
      <c r="N347" t="s">
        <v>279</v>
      </c>
      <c r="O347" t="s">
        <v>124</v>
      </c>
    </row>
    <row r="348" spans="1:15" x14ac:dyDescent="0.35">
      <c r="A348">
        <v>57768</v>
      </c>
      <c r="B348" s="283">
        <v>44378</v>
      </c>
      <c r="C348">
        <v>2112</v>
      </c>
      <c r="D348">
        <v>2106</v>
      </c>
      <c r="E348">
        <v>100</v>
      </c>
      <c r="F348">
        <v>320</v>
      </c>
      <c r="G348">
        <v>2160</v>
      </c>
      <c r="H348">
        <v>49.28</v>
      </c>
      <c r="I348">
        <v>0</v>
      </c>
      <c r="J348" s="283">
        <v>45412.177658182867</v>
      </c>
      <c r="K348" t="s">
        <v>3149</v>
      </c>
      <c r="L348" t="s">
        <v>3145</v>
      </c>
      <c r="M348" t="s">
        <v>3146</v>
      </c>
      <c r="N348" t="s">
        <v>279</v>
      </c>
      <c r="O348" t="s">
        <v>124</v>
      </c>
    </row>
    <row r="349" spans="1:15" x14ac:dyDescent="0.35">
      <c r="A349">
        <v>57769</v>
      </c>
      <c r="B349" s="283">
        <v>44378</v>
      </c>
      <c r="C349">
        <v>2112</v>
      </c>
      <c r="D349">
        <v>2106</v>
      </c>
      <c r="E349">
        <v>100</v>
      </c>
      <c r="F349">
        <v>320</v>
      </c>
      <c r="G349">
        <v>2190</v>
      </c>
      <c r="H349">
        <v>82.86</v>
      </c>
      <c r="I349">
        <v>0</v>
      </c>
      <c r="J349" s="283">
        <v>45412.177658182867</v>
      </c>
      <c r="K349" t="s">
        <v>3150</v>
      </c>
      <c r="L349" t="s">
        <v>3145</v>
      </c>
      <c r="M349" t="s">
        <v>3146</v>
      </c>
      <c r="N349" t="s">
        <v>279</v>
      </c>
      <c r="O349" t="s">
        <v>124</v>
      </c>
    </row>
    <row r="350" spans="1:15" x14ac:dyDescent="0.35">
      <c r="A350">
        <v>57773</v>
      </c>
      <c r="B350" s="283">
        <v>44378</v>
      </c>
      <c r="C350">
        <v>2113</v>
      </c>
      <c r="D350">
        <v>2106</v>
      </c>
      <c r="E350">
        <v>100</v>
      </c>
      <c r="F350">
        <v>320</v>
      </c>
      <c r="G350">
        <v>1200</v>
      </c>
      <c r="H350">
        <v>26295.57</v>
      </c>
      <c r="I350">
        <v>0</v>
      </c>
      <c r="J350" s="283">
        <v>45412.177658182867</v>
      </c>
      <c r="K350" t="s">
        <v>3144</v>
      </c>
      <c r="L350" t="s">
        <v>3145</v>
      </c>
      <c r="M350" t="s">
        <v>3146</v>
      </c>
      <c r="N350" t="s">
        <v>279</v>
      </c>
      <c r="O350" t="s">
        <v>17</v>
      </c>
    </row>
    <row r="351" spans="1:15" x14ac:dyDescent="0.35">
      <c r="A351">
        <v>57774</v>
      </c>
      <c r="B351" s="283">
        <v>44378</v>
      </c>
      <c r="C351">
        <v>2113</v>
      </c>
      <c r="D351">
        <v>2106</v>
      </c>
      <c r="E351">
        <v>100</v>
      </c>
      <c r="F351">
        <v>320</v>
      </c>
      <c r="G351">
        <v>2100</v>
      </c>
      <c r="H351">
        <v>67174.13</v>
      </c>
      <c r="I351">
        <v>0</v>
      </c>
      <c r="J351" s="283">
        <v>45412.177658182867</v>
      </c>
      <c r="K351" t="s">
        <v>3147</v>
      </c>
      <c r="L351" t="s">
        <v>3145</v>
      </c>
      <c r="M351" t="s">
        <v>3146</v>
      </c>
      <c r="N351" t="s">
        <v>279</v>
      </c>
      <c r="O351" t="s">
        <v>17</v>
      </c>
    </row>
    <row r="352" spans="1:15" x14ac:dyDescent="0.35">
      <c r="A352">
        <v>57775</v>
      </c>
      <c r="B352" s="283">
        <v>44378</v>
      </c>
      <c r="C352">
        <v>2113</v>
      </c>
      <c r="D352">
        <v>2106</v>
      </c>
      <c r="E352">
        <v>100</v>
      </c>
      <c r="F352">
        <v>320</v>
      </c>
      <c r="G352">
        <v>2160</v>
      </c>
      <c r="H352">
        <v>10448.65</v>
      </c>
      <c r="I352">
        <v>0</v>
      </c>
      <c r="J352" s="283">
        <v>45412.177658182867</v>
      </c>
      <c r="K352" t="s">
        <v>3149</v>
      </c>
      <c r="L352" t="s">
        <v>3145</v>
      </c>
      <c r="M352" t="s">
        <v>3146</v>
      </c>
      <c r="N352" t="s">
        <v>279</v>
      </c>
      <c r="O352" t="s">
        <v>17</v>
      </c>
    </row>
    <row r="353" spans="1:15" x14ac:dyDescent="0.35">
      <c r="A353">
        <v>57776</v>
      </c>
      <c r="B353" s="283">
        <v>44378</v>
      </c>
      <c r="C353">
        <v>2113</v>
      </c>
      <c r="D353">
        <v>2106</v>
      </c>
      <c r="E353">
        <v>100</v>
      </c>
      <c r="F353">
        <v>320</v>
      </c>
      <c r="G353">
        <v>2190</v>
      </c>
      <c r="H353">
        <v>17569.68</v>
      </c>
      <c r="I353">
        <v>0</v>
      </c>
      <c r="J353" s="283">
        <v>45412.177658182867</v>
      </c>
      <c r="K353" t="s">
        <v>3150</v>
      </c>
      <c r="L353" t="s">
        <v>3145</v>
      </c>
      <c r="M353" t="s">
        <v>3146</v>
      </c>
      <c r="N353" t="s">
        <v>279</v>
      </c>
      <c r="O353" t="s">
        <v>17</v>
      </c>
    </row>
    <row r="354" spans="1:15" x14ac:dyDescent="0.35">
      <c r="A354">
        <v>57780</v>
      </c>
      <c r="B354" s="283">
        <v>44378</v>
      </c>
      <c r="C354">
        <v>2114</v>
      </c>
      <c r="D354">
        <v>2106</v>
      </c>
      <c r="E354">
        <v>100</v>
      </c>
      <c r="F354">
        <v>320</v>
      </c>
      <c r="G354">
        <v>1200</v>
      </c>
      <c r="H354">
        <v>22114.99</v>
      </c>
      <c r="I354">
        <v>0</v>
      </c>
      <c r="J354" s="283">
        <v>45412.177658182867</v>
      </c>
      <c r="K354" t="s">
        <v>3144</v>
      </c>
      <c r="L354" t="s">
        <v>3145</v>
      </c>
      <c r="M354" t="s">
        <v>3146</v>
      </c>
      <c r="N354" t="s">
        <v>279</v>
      </c>
      <c r="O354" t="s">
        <v>97</v>
      </c>
    </row>
    <row r="355" spans="1:15" x14ac:dyDescent="0.35">
      <c r="A355">
        <v>57781</v>
      </c>
      <c r="B355" s="283">
        <v>44378</v>
      </c>
      <c r="C355">
        <v>2114</v>
      </c>
      <c r="D355">
        <v>2106</v>
      </c>
      <c r="E355">
        <v>100</v>
      </c>
      <c r="F355">
        <v>320</v>
      </c>
      <c r="G355">
        <v>2100</v>
      </c>
      <c r="H355">
        <v>11464.5</v>
      </c>
      <c r="I355">
        <v>0</v>
      </c>
      <c r="J355" s="283">
        <v>45412.177658182867</v>
      </c>
      <c r="K355" t="s">
        <v>3147</v>
      </c>
      <c r="L355" t="s">
        <v>3145</v>
      </c>
      <c r="M355" t="s">
        <v>3146</v>
      </c>
      <c r="N355" t="s">
        <v>279</v>
      </c>
      <c r="O355" t="s">
        <v>97</v>
      </c>
    </row>
    <row r="356" spans="1:15" x14ac:dyDescent="0.35">
      <c r="A356">
        <v>57782</v>
      </c>
      <c r="B356" s="283">
        <v>44378</v>
      </c>
      <c r="C356">
        <v>2114</v>
      </c>
      <c r="D356">
        <v>2106</v>
      </c>
      <c r="E356">
        <v>100</v>
      </c>
      <c r="F356">
        <v>320</v>
      </c>
      <c r="G356">
        <v>2160</v>
      </c>
      <c r="H356">
        <v>8787.48</v>
      </c>
      <c r="I356">
        <v>0</v>
      </c>
      <c r="J356" s="283">
        <v>45412.177658182867</v>
      </c>
      <c r="K356" t="s">
        <v>3149</v>
      </c>
      <c r="L356" t="s">
        <v>3145</v>
      </c>
      <c r="M356" t="s">
        <v>3146</v>
      </c>
      <c r="N356" t="s">
        <v>279</v>
      </c>
      <c r="O356" t="s">
        <v>97</v>
      </c>
    </row>
    <row r="357" spans="1:15" x14ac:dyDescent="0.35">
      <c r="A357">
        <v>57783</v>
      </c>
      <c r="B357" s="283">
        <v>44378</v>
      </c>
      <c r="C357">
        <v>2114</v>
      </c>
      <c r="D357">
        <v>2106</v>
      </c>
      <c r="E357">
        <v>100</v>
      </c>
      <c r="F357">
        <v>320</v>
      </c>
      <c r="G357">
        <v>2190</v>
      </c>
      <c r="H357">
        <v>14776.38</v>
      </c>
      <c r="I357">
        <v>0</v>
      </c>
      <c r="J357" s="283">
        <v>45412.177658182867</v>
      </c>
      <c r="K357" t="s">
        <v>3150</v>
      </c>
      <c r="L357" t="s">
        <v>3145</v>
      </c>
      <c r="M357" t="s">
        <v>3146</v>
      </c>
      <c r="N357" t="s">
        <v>279</v>
      </c>
      <c r="O357" t="s">
        <v>97</v>
      </c>
    </row>
    <row r="358" spans="1:15" x14ac:dyDescent="0.35">
      <c r="A358">
        <v>57787</v>
      </c>
      <c r="B358" s="283">
        <v>44378</v>
      </c>
      <c r="C358">
        <v>2115</v>
      </c>
      <c r="D358">
        <v>2106</v>
      </c>
      <c r="E358">
        <v>100</v>
      </c>
      <c r="F358">
        <v>320</v>
      </c>
      <c r="G358">
        <v>1200</v>
      </c>
      <c r="H358">
        <v>2564.27</v>
      </c>
      <c r="I358">
        <v>0</v>
      </c>
      <c r="J358" s="283">
        <v>45412.177658182867</v>
      </c>
      <c r="K358" t="s">
        <v>3144</v>
      </c>
      <c r="L358" t="s">
        <v>3145</v>
      </c>
      <c r="M358" t="s">
        <v>3146</v>
      </c>
      <c r="N358" t="s">
        <v>279</v>
      </c>
      <c r="O358" t="s">
        <v>25</v>
      </c>
    </row>
    <row r="359" spans="1:15" x14ac:dyDescent="0.35">
      <c r="A359">
        <v>57788</v>
      </c>
      <c r="B359" s="283">
        <v>44378</v>
      </c>
      <c r="C359">
        <v>2115</v>
      </c>
      <c r="D359">
        <v>2106</v>
      </c>
      <c r="E359">
        <v>100</v>
      </c>
      <c r="F359">
        <v>320</v>
      </c>
      <c r="G359">
        <v>2100</v>
      </c>
      <c r="H359">
        <v>7810.64</v>
      </c>
      <c r="I359">
        <v>0</v>
      </c>
      <c r="J359" s="283">
        <v>45412.177658182867</v>
      </c>
      <c r="K359" t="s">
        <v>3147</v>
      </c>
      <c r="L359" t="s">
        <v>3145</v>
      </c>
      <c r="M359" t="s">
        <v>3146</v>
      </c>
      <c r="N359" t="s">
        <v>279</v>
      </c>
      <c r="O359" t="s">
        <v>25</v>
      </c>
    </row>
    <row r="360" spans="1:15" x14ac:dyDescent="0.35">
      <c r="A360">
        <v>57789</v>
      </c>
      <c r="B360" s="283">
        <v>44378</v>
      </c>
      <c r="C360">
        <v>2115</v>
      </c>
      <c r="D360">
        <v>2106</v>
      </c>
      <c r="E360">
        <v>100</v>
      </c>
      <c r="F360">
        <v>320</v>
      </c>
      <c r="G360">
        <v>2160</v>
      </c>
      <c r="H360">
        <v>1018.92</v>
      </c>
      <c r="I360">
        <v>0</v>
      </c>
      <c r="J360" s="283">
        <v>45412.177658182867</v>
      </c>
      <c r="K360" t="s">
        <v>3149</v>
      </c>
      <c r="L360" t="s">
        <v>3145</v>
      </c>
      <c r="M360" t="s">
        <v>3146</v>
      </c>
      <c r="N360" t="s">
        <v>279</v>
      </c>
      <c r="O360" t="s">
        <v>25</v>
      </c>
    </row>
    <row r="361" spans="1:15" x14ac:dyDescent="0.35">
      <c r="A361">
        <v>57790</v>
      </c>
      <c r="B361" s="283">
        <v>44378</v>
      </c>
      <c r="C361">
        <v>2115</v>
      </c>
      <c r="D361">
        <v>2106</v>
      </c>
      <c r="E361">
        <v>100</v>
      </c>
      <c r="F361">
        <v>320</v>
      </c>
      <c r="G361">
        <v>2190</v>
      </c>
      <c r="H361">
        <v>1713.35</v>
      </c>
      <c r="I361">
        <v>0</v>
      </c>
      <c r="J361" s="283">
        <v>45412.177658182867</v>
      </c>
      <c r="K361" t="s">
        <v>3150</v>
      </c>
      <c r="L361" t="s">
        <v>3145</v>
      </c>
      <c r="M361" t="s">
        <v>3146</v>
      </c>
      <c r="N361" t="s">
        <v>279</v>
      </c>
      <c r="O361" t="s">
        <v>25</v>
      </c>
    </row>
    <row r="362" spans="1:15" x14ac:dyDescent="0.35">
      <c r="A362">
        <v>57794</v>
      </c>
      <c r="B362" s="283">
        <v>44378</v>
      </c>
      <c r="C362">
        <v>2116</v>
      </c>
      <c r="D362">
        <v>2106</v>
      </c>
      <c r="E362">
        <v>100</v>
      </c>
      <c r="F362">
        <v>320</v>
      </c>
      <c r="G362">
        <v>1200</v>
      </c>
      <c r="H362">
        <v>68702.350000000006</v>
      </c>
      <c r="I362">
        <v>0</v>
      </c>
      <c r="J362" s="283">
        <v>45412.177658182867</v>
      </c>
      <c r="K362" t="s">
        <v>3144</v>
      </c>
      <c r="L362" t="s">
        <v>3145</v>
      </c>
      <c r="M362" t="s">
        <v>3146</v>
      </c>
      <c r="N362" t="s">
        <v>279</v>
      </c>
      <c r="O362" t="s">
        <v>210</v>
      </c>
    </row>
    <row r="363" spans="1:15" x14ac:dyDescent="0.35">
      <c r="A363">
        <v>57795</v>
      </c>
      <c r="B363" s="283">
        <v>44378</v>
      </c>
      <c r="C363">
        <v>2116</v>
      </c>
      <c r="D363">
        <v>2106</v>
      </c>
      <c r="E363">
        <v>100</v>
      </c>
      <c r="F363">
        <v>320</v>
      </c>
      <c r="G363">
        <v>2100</v>
      </c>
      <c r="H363">
        <v>166505.65</v>
      </c>
      <c r="I363">
        <v>0</v>
      </c>
      <c r="J363" s="283">
        <v>45412.177658182867</v>
      </c>
      <c r="K363" t="s">
        <v>3147</v>
      </c>
      <c r="L363" t="s">
        <v>3145</v>
      </c>
      <c r="M363" t="s">
        <v>3146</v>
      </c>
      <c r="N363" t="s">
        <v>279</v>
      </c>
      <c r="O363" t="s">
        <v>210</v>
      </c>
    </row>
    <row r="364" spans="1:15" x14ac:dyDescent="0.35">
      <c r="A364">
        <v>57796</v>
      </c>
      <c r="B364" s="283">
        <v>44378</v>
      </c>
      <c r="C364">
        <v>2116</v>
      </c>
      <c r="D364">
        <v>2106</v>
      </c>
      <c r="E364">
        <v>100</v>
      </c>
      <c r="F364">
        <v>320</v>
      </c>
      <c r="G364">
        <v>2160</v>
      </c>
      <c r="H364">
        <v>27299.17</v>
      </c>
      <c r="I364">
        <v>0</v>
      </c>
      <c r="J364" s="283">
        <v>45412.177658182867</v>
      </c>
      <c r="K364" t="s">
        <v>3149</v>
      </c>
      <c r="L364" t="s">
        <v>3145</v>
      </c>
      <c r="M364" t="s">
        <v>3146</v>
      </c>
      <c r="N364" t="s">
        <v>279</v>
      </c>
      <c r="O364" t="s">
        <v>210</v>
      </c>
    </row>
    <row r="365" spans="1:15" x14ac:dyDescent="0.35">
      <c r="A365">
        <v>57797</v>
      </c>
      <c r="B365" s="283">
        <v>44378</v>
      </c>
      <c r="C365">
        <v>2116</v>
      </c>
      <c r="D365">
        <v>2106</v>
      </c>
      <c r="E365">
        <v>100</v>
      </c>
      <c r="F365">
        <v>320</v>
      </c>
      <c r="G365">
        <v>2190</v>
      </c>
      <c r="H365">
        <v>45904.24</v>
      </c>
      <c r="I365">
        <v>0</v>
      </c>
      <c r="J365" s="283">
        <v>45412.177658182867</v>
      </c>
      <c r="K365" t="s">
        <v>3150</v>
      </c>
      <c r="L365" t="s">
        <v>3145</v>
      </c>
      <c r="M365" t="s">
        <v>3146</v>
      </c>
      <c r="N365" t="s">
        <v>279</v>
      </c>
      <c r="O365" t="s">
        <v>210</v>
      </c>
    </row>
    <row r="366" spans="1:15" x14ac:dyDescent="0.35">
      <c r="A366">
        <v>57809</v>
      </c>
      <c r="B366" s="283">
        <v>44378</v>
      </c>
      <c r="C366">
        <v>2137</v>
      </c>
      <c r="D366">
        <v>2117</v>
      </c>
      <c r="E366">
        <v>100</v>
      </c>
      <c r="F366">
        <v>320</v>
      </c>
      <c r="G366">
        <v>1200</v>
      </c>
      <c r="H366">
        <v>56796.6</v>
      </c>
      <c r="I366">
        <v>0</v>
      </c>
      <c r="J366" s="283">
        <v>45412.177658182867</v>
      </c>
      <c r="K366" t="s">
        <v>3144</v>
      </c>
      <c r="L366" t="s">
        <v>3145</v>
      </c>
      <c r="M366" t="s">
        <v>3146</v>
      </c>
      <c r="N366" t="s">
        <v>296</v>
      </c>
      <c r="O366" t="s">
        <v>87</v>
      </c>
    </row>
    <row r="367" spans="1:15" x14ac:dyDescent="0.35">
      <c r="A367">
        <v>57810</v>
      </c>
      <c r="B367" s="283">
        <v>44378</v>
      </c>
      <c r="C367">
        <v>2137</v>
      </c>
      <c r="D367">
        <v>2117</v>
      </c>
      <c r="E367">
        <v>100</v>
      </c>
      <c r="F367">
        <v>320</v>
      </c>
      <c r="G367">
        <v>2100</v>
      </c>
      <c r="H367">
        <v>185560.24</v>
      </c>
      <c r="I367">
        <v>0</v>
      </c>
      <c r="J367" s="283">
        <v>45412.177658182867</v>
      </c>
      <c r="K367" t="s">
        <v>3147</v>
      </c>
      <c r="L367" t="s">
        <v>3145</v>
      </c>
      <c r="M367" t="s">
        <v>3146</v>
      </c>
      <c r="N367" t="s">
        <v>296</v>
      </c>
      <c r="O367" t="s">
        <v>87</v>
      </c>
    </row>
    <row r="368" spans="1:15" x14ac:dyDescent="0.35">
      <c r="A368">
        <v>57811</v>
      </c>
      <c r="B368" s="283">
        <v>44378</v>
      </c>
      <c r="C368">
        <v>2137</v>
      </c>
      <c r="D368">
        <v>2117</v>
      </c>
      <c r="E368">
        <v>100</v>
      </c>
      <c r="F368">
        <v>320</v>
      </c>
      <c r="G368">
        <v>2160</v>
      </c>
      <c r="H368">
        <v>133092.12</v>
      </c>
      <c r="I368">
        <v>0</v>
      </c>
      <c r="J368" s="283">
        <v>45412.177658182867</v>
      </c>
      <c r="K368" t="s">
        <v>3149</v>
      </c>
      <c r="L368" t="s">
        <v>3145</v>
      </c>
      <c r="M368" t="s">
        <v>3146</v>
      </c>
      <c r="N368" t="s">
        <v>296</v>
      </c>
      <c r="O368" t="s">
        <v>87</v>
      </c>
    </row>
    <row r="369" spans="1:15" x14ac:dyDescent="0.35">
      <c r="A369">
        <v>57812</v>
      </c>
      <c r="B369" s="283">
        <v>44378</v>
      </c>
      <c r="C369">
        <v>2137</v>
      </c>
      <c r="D369">
        <v>2117</v>
      </c>
      <c r="E369">
        <v>100</v>
      </c>
      <c r="F369">
        <v>320</v>
      </c>
      <c r="G369">
        <v>2640</v>
      </c>
      <c r="H369">
        <v>8451.68</v>
      </c>
      <c r="I369">
        <v>0</v>
      </c>
      <c r="J369" s="283">
        <v>45412.177658182867</v>
      </c>
      <c r="K369" t="s">
        <v>3155</v>
      </c>
      <c r="L369" t="s">
        <v>3145</v>
      </c>
      <c r="M369" t="s">
        <v>3146</v>
      </c>
      <c r="N369" t="s">
        <v>296</v>
      </c>
      <c r="O369" t="s">
        <v>87</v>
      </c>
    </row>
    <row r="370" spans="1:15" x14ac:dyDescent="0.35">
      <c r="A370">
        <v>57825</v>
      </c>
      <c r="B370" s="283">
        <v>44378</v>
      </c>
      <c r="C370">
        <v>2138</v>
      </c>
      <c r="D370">
        <v>2117</v>
      </c>
      <c r="E370">
        <v>100</v>
      </c>
      <c r="F370">
        <v>320</v>
      </c>
      <c r="G370">
        <v>2100</v>
      </c>
      <c r="H370">
        <v>305147.5</v>
      </c>
      <c r="I370">
        <v>0</v>
      </c>
      <c r="J370" s="283">
        <v>45412.177658182867</v>
      </c>
      <c r="K370" t="s">
        <v>3147</v>
      </c>
      <c r="L370" t="s">
        <v>3145</v>
      </c>
      <c r="M370" t="s">
        <v>3146</v>
      </c>
      <c r="N370" t="s">
        <v>296</v>
      </c>
      <c r="O370" t="s">
        <v>188</v>
      </c>
    </row>
    <row r="371" spans="1:15" x14ac:dyDescent="0.35">
      <c r="A371">
        <v>57826</v>
      </c>
      <c r="B371" s="283">
        <v>44378</v>
      </c>
      <c r="C371">
        <v>2138</v>
      </c>
      <c r="D371">
        <v>2117</v>
      </c>
      <c r="E371">
        <v>100</v>
      </c>
      <c r="F371">
        <v>320</v>
      </c>
      <c r="G371">
        <v>2160</v>
      </c>
      <c r="H371">
        <v>39852.239999999998</v>
      </c>
      <c r="I371">
        <v>0</v>
      </c>
      <c r="J371" s="283">
        <v>45412.177658182867</v>
      </c>
      <c r="K371" t="s">
        <v>3149</v>
      </c>
      <c r="L371" t="s">
        <v>3145</v>
      </c>
      <c r="M371" t="s">
        <v>3146</v>
      </c>
      <c r="N371" t="s">
        <v>296</v>
      </c>
      <c r="O371" t="s">
        <v>188</v>
      </c>
    </row>
    <row r="372" spans="1:15" x14ac:dyDescent="0.35">
      <c r="A372">
        <v>57839</v>
      </c>
      <c r="B372" s="283">
        <v>44378</v>
      </c>
      <c r="C372">
        <v>2139</v>
      </c>
      <c r="D372">
        <v>2117</v>
      </c>
      <c r="E372">
        <v>100</v>
      </c>
      <c r="F372">
        <v>320</v>
      </c>
      <c r="G372">
        <v>1200</v>
      </c>
      <c r="H372">
        <v>65924.62</v>
      </c>
      <c r="I372">
        <v>0</v>
      </c>
      <c r="J372" s="283">
        <v>45412.177658182867</v>
      </c>
      <c r="K372" t="s">
        <v>3144</v>
      </c>
      <c r="L372" t="s">
        <v>3145</v>
      </c>
      <c r="M372" t="s">
        <v>3146</v>
      </c>
      <c r="N372" t="s">
        <v>296</v>
      </c>
      <c r="O372" t="s">
        <v>45</v>
      </c>
    </row>
    <row r="373" spans="1:15" x14ac:dyDescent="0.35">
      <c r="A373">
        <v>57840</v>
      </c>
      <c r="B373" s="283">
        <v>44378</v>
      </c>
      <c r="C373">
        <v>2139</v>
      </c>
      <c r="D373">
        <v>2117</v>
      </c>
      <c r="E373">
        <v>100</v>
      </c>
      <c r="F373">
        <v>320</v>
      </c>
      <c r="G373">
        <v>2100</v>
      </c>
      <c r="H373">
        <v>80939.98</v>
      </c>
      <c r="I373">
        <v>0</v>
      </c>
      <c r="J373" s="283">
        <v>45412.177658182867</v>
      </c>
      <c r="K373" t="s">
        <v>3147</v>
      </c>
      <c r="L373" t="s">
        <v>3145</v>
      </c>
      <c r="M373" t="s">
        <v>3146</v>
      </c>
      <c r="N373" t="s">
        <v>296</v>
      </c>
      <c r="O373" t="s">
        <v>45</v>
      </c>
    </row>
    <row r="374" spans="1:15" x14ac:dyDescent="0.35">
      <c r="A374">
        <v>57841</v>
      </c>
      <c r="B374" s="283">
        <v>44378</v>
      </c>
      <c r="C374">
        <v>2139</v>
      </c>
      <c r="D374">
        <v>2117</v>
      </c>
      <c r="E374">
        <v>100</v>
      </c>
      <c r="F374">
        <v>320</v>
      </c>
      <c r="G374">
        <v>2160</v>
      </c>
      <c r="H374">
        <v>126247.84</v>
      </c>
      <c r="I374">
        <v>0</v>
      </c>
      <c r="J374" s="283">
        <v>45412.177658182867</v>
      </c>
      <c r="K374" t="s">
        <v>3149</v>
      </c>
      <c r="L374" t="s">
        <v>3145</v>
      </c>
      <c r="M374" t="s">
        <v>3146</v>
      </c>
      <c r="N374" t="s">
        <v>296</v>
      </c>
      <c r="O374" t="s">
        <v>45</v>
      </c>
    </row>
    <row r="375" spans="1:15" x14ac:dyDescent="0.35">
      <c r="A375">
        <v>57842</v>
      </c>
      <c r="B375" s="283">
        <v>44378</v>
      </c>
      <c r="C375">
        <v>2139</v>
      </c>
      <c r="D375">
        <v>2117</v>
      </c>
      <c r="E375">
        <v>100</v>
      </c>
      <c r="F375">
        <v>320</v>
      </c>
      <c r="G375">
        <v>2640</v>
      </c>
      <c r="H375">
        <v>45443</v>
      </c>
      <c r="I375">
        <v>0</v>
      </c>
      <c r="J375" s="283">
        <v>45412.177658182867</v>
      </c>
      <c r="K375" t="s">
        <v>3155</v>
      </c>
      <c r="L375" t="s">
        <v>3145</v>
      </c>
      <c r="M375" t="s">
        <v>3146</v>
      </c>
      <c r="N375" t="s">
        <v>296</v>
      </c>
      <c r="O375" t="s">
        <v>45</v>
      </c>
    </row>
    <row r="376" spans="1:15" x14ac:dyDescent="0.35">
      <c r="A376">
        <v>57854</v>
      </c>
      <c r="B376" s="283">
        <v>44378</v>
      </c>
      <c r="C376">
        <v>2140</v>
      </c>
      <c r="D376">
        <v>2117</v>
      </c>
      <c r="E376">
        <v>100</v>
      </c>
      <c r="F376">
        <v>320</v>
      </c>
      <c r="G376">
        <v>2100</v>
      </c>
      <c r="H376">
        <v>133526.49</v>
      </c>
      <c r="I376">
        <v>0</v>
      </c>
      <c r="J376" s="283">
        <v>45412.177658182867</v>
      </c>
      <c r="K376" t="s">
        <v>3147</v>
      </c>
      <c r="L376" t="s">
        <v>3145</v>
      </c>
      <c r="M376" t="s">
        <v>3146</v>
      </c>
      <c r="N376" t="s">
        <v>296</v>
      </c>
      <c r="O376" t="s">
        <v>107</v>
      </c>
    </row>
    <row r="377" spans="1:15" x14ac:dyDescent="0.35">
      <c r="A377">
        <v>57855</v>
      </c>
      <c r="B377" s="283">
        <v>44378</v>
      </c>
      <c r="C377">
        <v>2140</v>
      </c>
      <c r="D377">
        <v>2117</v>
      </c>
      <c r="E377">
        <v>100</v>
      </c>
      <c r="F377">
        <v>320</v>
      </c>
      <c r="G377">
        <v>2160</v>
      </c>
      <c r="H377">
        <v>81521</v>
      </c>
      <c r="I377">
        <v>0</v>
      </c>
      <c r="J377" s="283">
        <v>45412.177658182867</v>
      </c>
      <c r="K377" t="s">
        <v>3149</v>
      </c>
      <c r="L377" t="s">
        <v>3145</v>
      </c>
      <c r="M377" t="s">
        <v>3146</v>
      </c>
      <c r="N377" t="s">
        <v>296</v>
      </c>
      <c r="O377" t="s">
        <v>107</v>
      </c>
    </row>
    <row r="378" spans="1:15" x14ac:dyDescent="0.35">
      <c r="A378">
        <v>57856</v>
      </c>
      <c r="B378" s="283">
        <v>44378</v>
      </c>
      <c r="C378">
        <v>2140</v>
      </c>
      <c r="D378">
        <v>2117</v>
      </c>
      <c r="E378">
        <v>100</v>
      </c>
      <c r="F378">
        <v>320</v>
      </c>
      <c r="G378">
        <v>2640</v>
      </c>
      <c r="H378">
        <v>1473.95</v>
      </c>
      <c r="I378">
        <v>0</v>
      </c>
      <c r="J378" s="283">
        <v>45412.177658182867</v>
      </c>
      <c r="K378" t="s">
        <v>3155</v>
      </c>
      <c r="L378" t="s">
        <v>3145</v>
      </c>
      <c r="M378" t="s">
        <v>3146</v>
      </c>
      <c r="N378" t="s">
        <v>296</v>
      </c>
      <c r="O378" t="s">
        <v>107</v>
      </c>
    </row>
    <row r="379" spans="1:15" x14ac:dyDescent="0.35">
      <c r="A379">
        <v>57868</v>
      </c>
      <c r="B379" s="283">
        <v>44378</v>
      </c>
      <c r="C379">
        <v>2141</v>
      </c>
      <c r="D379">
        <v>2117</v>
      </c>
      <c r="E379">
        <v>100</v>
      </c>
      <c r="F379">
        <v>320</v>
      </c>
      <c r="G379">
        <v>2100</v>
      </c>
      <c r="H379">
        <v>403758.1</v>
      </c>
      <c r="I379">
        <v>0</v>
      </c>
      <c r="J379" s="283">
        <v>45412.177658182867</v>
      </c>
      <c r="K379" t="s">
        <v>3147</v>
      </c>
      <c r="L379" t="s">
        <v>3145</v>
      </c>
      <c r="M379" t="s">
        <v>3146</v>
      </c>
      <c r="N379" t="s">
        <v>296</v>
      </c>
      <c r="O379" t="s">
        <v>145</v>
      </c>
    </row>
    <row r="380" spans="1:15" x14ac:dyDescent="0.35">
      <c r="A380">
        <v>57869</v>
      </c>
      <c r="B380" s="283">
        <v>44378</v>
      </c>
      <c r="C380">
        <v>2141</v>
      </c>
      <c r="D380">
        <v>2117</v>
      </c>
      <c r="E380">
        <v>100</v>
      </c>
      <c r="F380">
        <v>320</v>
      </c>
      <c r="G380">
        <v>2160</v>
      </c>
      <c r="H380">
        <v>160655.4</v>
      </c>
      <c r="I380">
        <v>0</v>
      </c>
      <c r="J380" s="283">
        <v>45412.177658182867</v>
      </c>
      <c r="K380" t="s">
        <v>3149</v>
      </c>
      <c r="L380" t="s">
        <v>3145</v>
      </c>
      <c r="M380" t="s">
        <v>3146</v>
      </c>
      <c r="N380" t="s">
        <v>296</v>
      </c>
      <c r="O380" t="s">
        <v>145</v>
      </c>
    </row>
    <row r="381" spans="1:15" x14ac:dyDescent="0.35">
      <c r="A381">
        <v>57890</v>
      </c>
      <c r="B381" s="283">
        <v>44378</v>
      </c>
      <c r="C381">
        <v>2143</v>
      </c>
      <c r="D381">
        <v>2117</v>
      </c>
      <c r="E381">
        <v>100</v>
      </c>
      <c r="F381">
        <v>320</v>
      </c>
      <c r="G381">
        <v>2100</v>
      </c>
      <c r="H381">
        <v>173172.7</v>
      </c>
      <c r="I381">
        <v>0</v>
      </c>
      <c r="J381" s="283">
        <v>45412.177658182867</v>
      </c>
      <c r="K381" t="s">
        <v>3147</v>
      </c>
      <c r="L381" t="s">
        <v>3145</v>
      </c>
      <c r="M381" t="s">
        <v>3146</v>
      </c>
      <c r="N381" t="s">
        <v>296</v>
      </c>
      <c r="O381" t="s">
        <v>147</v>
      </c>
    </row>
    <row r="382" spans="1:15" x14ac:dyDescent="0.35">
      <c r="A382">
        <v>57891</v>
      </c>
      <c r="B382" s="283">
        <v>44378</v>
      </c>
      <c r="C382">
        <v>2143</v>
      </c>
      <c r="D382">
        <v>2117</v>
      </c>
      <c r="E382">
        <v>100</v>
      </c>
      <c r="F382">
        <v>320</v>
      </c>
      <c r="G382">
        <v>2160</v>
      </c>
      <c r="H382">
        <v>15117.6</v>
      </c>
      <c r="I382">
        <v>0</v>
      </c>
      <c r="J382" s="283">
        <v>45412.177658182867</v>
      </c>
      <c r="K382" t="s">
        <v>3149</v>
      </c>
      <c r="L382" t="s">
        <v>3145</v>
      </c>
      <c r="M382" t="s">
        <v>3146</v>
      </c>
      <c r="N382" t="s">
        <v>296</v>
      </c>
      <c r="O382" t="s">
        <v>147</v>
      </c>
    </row>
    <row r="383" spans="1:15" x14ac:dyDescent="0.35">
      <c r="A383">
        <v>57902</v>
      </c>
      <c r="B383" s="283">
        <v>44378</v>
      </c>
      <c r="C383">
        <v>2144</v>
      </c>
      <c r="D383">
        <v>2117</v>
      </c>
      <c r="E383">
        <v>100</v>
      </c>
      <c r="F383">
        <v>320</v>
      </c>
      <c r="G383">
        <v>2100</v>
      </c>
      <c r="H383">
        <v>25132.3</v>
      </c>
      <c r="I383">
        <v>0</v>
      </c>
      <c r="J383" s="283">
        <v>45412.177658182867</v>
      </c>
      <c r="K383" t="s">
        <v>3147</v>
      </c>
      <c r="L383" t="s">
        <v>3145</v>
      </c>
      <c r="M383" t="s">
        <v>3146</v>
      </c>
      <c r="N383" t="s">
        <v>296</v>
      </c>
      <c r="O383" t="s">
        <v>198</v>
      </c>
    </row>
    <row r="384" spans="1:15" x14ac:dyDescent="0.35">
      <c r="A384">
        <v>57903</v>
      </c>
      <c r="B384" s="283">
        <v>44378</v>
      </c>
      <c r="C384">
        <v>2144</v>
      </c>
      <c r="D384">
        <v>2117</v>
      </c>
      <c r="E384">
        <v>100</v>
      </c>
      <c r="F384">
        <v>320</v>
      </c>
      <c r="G384">
        <v>2160</v>
      </c>
      <c r="H384">
        <v>735</v>
      </c>
      <c r="I384">
        <v>0</v>
      </c>
      <c r="J384" s="283">
        <v>45412.177658182867</v>
      </c>
      <c r="K384" t="s">
        <v>3149</v>
      </c>
      <c r="L384" t="s">
        <v>3145</v>
      </c>
      <c r="M384" t="s">
        <v>3146</v>
      </c>
      <c r="N384" t="s">
        <v>296</v>
      </c>
      <c r="O384" t="s">
        <v>198</v>
      </c>
    </row>
    <row r="385" spans="1:15" x14ac:dyDescent="0.35">
      <c r="A385">
        <v>57904</v>
      </c>
      <c r="B385" s="283">
        <v>44378</v>
      </c>
      <c r="C385">
        <v>2144</v>
      </c>
      <c r="D385">
        <v>2117</v>
      </c>
      <c r="E385">
        <v>100</v>
      </c>
      <c r="F385">
        <v>320</v>
      </c>
      <c r="G385">
        <v>2640</v>
      </c>
      <c r="H385">
        <v>1821.61</v>
      </c>
      <c r="I385">
        <v>0</v>
      </c>
      <c r="J385" s="283">
        <v>45412.177658182867</v>
      </c>
      <c r="K385" t="s">
        <v>3155</v>
      </c>
      <c r="L385" t="s">
        <v>3145</v>
      </c>
      <c r="M385" t="s">
        <v>3146</v>
      </c>
      <c r="N385" t="s">
        <v>296</v>
      </c>
      <c r="O385" t="s">
        <v>198</v>
      </c>
    </row>
    <row r="386" spans="1:15" x14ac:dyDescent="0.35">
      <c r="A386">
        <v>57915</v>
      </c>
      <c r="B386" s="283">
        <v>44378</v>
      </c>
      <c r="C386">
        <v>2145</v>
      </c>
      <c r="D386">
        <v>2117</v>
      </c>
      <c r="E386">
        <v>100</v>
      </c>
      <c r="F386">
        <v>320</v>
      </c>
      <c r="G386">
        <v>2100</v>
      </c>
      <c r="H386">
        <v>129255.43</v>
      </c>
      <c r="I386">
        <v>0</v>
      </c>
      <c r="J386" s="283">
        <v>45412.177658182867</v>
      </c>
      <c r="K386" t="s">
        <v>3147</v>
      </c>
      <c r="L386" t="s">
        <v>3145</v>
      </c>
      <c r="M386" t="s">
        <v>3146</v>
      </c>
      <c r="N386" t="s">
        <v>296</v>
      </c>
      <c r="O386" t="s">
        <v>136</v>
      </c>
    </row>
    <row r="387" spans="1:15" x14ac:dyDescent="0.35">
      <c r="A387">
        <v>57916</v>
      </c>
      <c r="B387" s="283">
        <v>44378</v>
      </c>
      <c r="C387">
        <v>2145</v>
      </c>
      <c r="D387">
        <v>2117</v>
      </c>
      <c r="E387">
        <v>100</v>
      </c>
      <c r="F387">
        <v>320</v>
      </c>
      <c r="G387">
        <v>2160</v>
      </c>
      <c r="H387">
        <v>29279.91</v>
      </c>
      <c r="I387">
        <v>0</v>
      </c>
      <c r="J387" s="283">
        <v>45412.177658182867</v>
      </c>
      <c r="K387" t="s">
        <v>3149</v>
      </c>
      <c r="L387" t="s">
        <v>3145</v>
      </c>
      <c r="M387" t="s">
        <v>3146</v>
      </c>
      <c r="N387" t="s">
        <v>296</v>
      </c>
      <c r="O387" t="s">
        <v>136</v>
      </c>
    </row>
    <row r="388" spans="1:15" x14ac:dyDescent="0.35">
      <c r="A388">
        <v>57917</v>
      </c>
      <c r="B388" s="283">
        <v>44378</v>
      </c>
      <c r="C388">
        <v>2145</v>
      </c>
      <c r="D388">
        <v>2117</v>
      </c>
      <c r="E388">
        <v>100</v>
      </c>
      <c r="F388">
        <v>320</v>
      </c>
      <c r="G388">
        <v>2640</v>
      </c>
      <c r="H388">
        <v>971.54</v>
      </c>
      <c r="I388">
        <v>0</v>
      </c>
      <c r="J388" s="283">
        <v>45412.177658182867</v>
      </c>
      <c r="K388" t="s">
        <v>3155</v>
      </c>
      <c r="L388" t="s">
        <v>3145</v>
      </c>
      <c r="M388" t="s">
        <v>3146</v>
      </c>
      <c r="N388" t="s">
        <v>296</v>
      </c>
      <c r="O388" t="s">
        <v>136</v>
      </c>
    </row>
    <row r="389" spans="1:15" x14ac:dyDescent="0.35">
      <c r="A389">
        <v>57930</v>
      </c>
      <c r="B389" s="283">
        <v>44378</v>
      </c>
      <c r="C389">
        <v>2146</v>
      </c>
      <c r="D389">
        <v>2117</v>
      </c>
      <c r="E389">
        <v>100</v>
      </c>
      <c r="F389">
        <v>320</v>
      </c>
      <c r="G389">
        <v>1200</v>
      </c>
      <c r="H389">
        <v>97365.6</v>
      </c>
      <c r="I389">
        <v>0</v>
      </c>
      <c r="J389" s="283">
        <v>45412.177658182867</v>
      </c>
      <c r="K389" t="s">
        <v>3144</v>
      </c>
      <c r="L389" t="s">
        <v>3145</v>
      </c>
      <c r="M389" t="s">
        <v>3146</v>
      </c>
      <c r="N389" t="s">
        <v>296</v>
      </c>
      <c r="O389" t="s">
        <v>217</v>
      </c>
    </row>
    <row r="390" spans="1:15" x14ac:dyDescent="0.35">
      <c r="A390">
        <v>57931</v>
      </c>
      <c r="B390" s="283">
        <v>44378</v>
      </c>
      <c r="C390">
        <v>2146</v>
      </c>
      <c r="D390">
        <v>2117</v>
      </c>
      <c r="E390">
        <v>100</v>
      </c>
      <c r="F390">
        <v>320</v>
      </c>
      <c r="G390">
        <v>2100</v>
      </c>
      <c r="H390">
        <v>11107.37</v>
      </c>
      <c r="I390">
        <v>0</v>
      </c>
      <c r="J390" s="283">
        <v>45412.177658182867</v>
      </c>
      <c r="K390" t="s">
        <v>3147</v>
      </c>
      <c r="L390" t="s">
        <v>3145</v>
      </c>
      <c r="M390" t="s">
        <v>3146</v>
      </c>
      <c r="N390" t="s">
        <v>296</v>
      </c>
      <c r="O390" t="s">
        <v>217</v>
      </c>
    </row>
    <row r="391" spans="1:15" x14ac:dyDescent="0.35">
      <c r="A391">
        <v>57932</v>
      </c>
      <c r="B391" s="283">
        <v>44378</v>
      </c>
      <c r="C391">
        <v>2146</v>
      </c>
      <c r="D391">
        <v>2117</v>
      </c>
      <c r="E391">
        <v>100</v>
      </c>
      <c r="F391">
        <v>320</v>
      </c>
      <c r="G391">
        <v>2160</v>
      </c>
      <c r="H391">
        <v>185023.72</v>
      </c>
      <c r="I391">
        <v>0</v>
      </c>
      <c r="J391" s="283">
        <v>45412.177658182867</v>
      </c>
      <c r="K391" t="s">
        <v>3149</v>
      </c>
      <c r="L391" t="s">
        <v>3145</v>
      </c>
      <c r="M391" t="s">
        <v>3146</v>
      </c>
      <c r="N391" t="s">
        <v>296</v>
      </c>
      <c r="O391" t="s">
        <v>217</v>
      </c>
    </row>
    <row r="392" spans="1:15" x14ac:dyDescent="0.35">
      <c r="A392">
        <v>57933</v>
      </c>
      <c r="B392" s="283">
        <v>44378</v>
      </c>
      <c r="C392">
        <v>2146</v>
      </c>
      <c r="D392">
        <v>2117</v>
      </c>
      <c r="E392">
        <v>100</v>
      </c>
      <c r="F392">
        <v>320</v>
      </c>
      <c r="G392">
        <v>2640</v>
      </c>
      <c r="H392">
        <v>116746.79</v>
      </c>
      <c r="I392">
        <v>0</v>
      </c>
      <c r="J392" s="283">
        <v>45412.177658182867</v>
      </c>
      <c r="K392" t="s">
        <v>3155</v>
      </c>
      <c r="L392" t="s">
        <v>3145</v>
      </c>
      <c r="M392" t="s">
        <v>3146</v>
      </c>
      <c r="N392" t="s">
        <v>296</v>
      </c>
      <c r="O392" t="s">
        <v>217</v>
      </c>
    </row>
    <row r="393" spans="1:15" x14ac:dyDescent="0.35">
      <c r="A393">
        <v>57945</v>
      </c>
      <c r="B393" s="283">
        <v>44378</v>
      </c>
      <c r="C393">
        <v>2190</v>
      </c>
      <c r="D393">
        <v>2117</v>
      </c>
      <c r="E393">
        <v>100</v>
      </c>
      <c r="F393">
        <v>320</v>
      </c>
      <c r="G393">
        <v>1200</v>
      </c>
      <c r="H393">
        <v>64910.400000000001</v>
      </c>
      <c r="I393">
        <v>0</v>
      </c>
      <c r="J393" s="283">
        <v>45412.177658182867</v>
      </c>
      <c r="K393" t="s">
        <v>3144</v>
      </c>
      <c r="L393" t="s">
        <v>3145</v>
      </c>
      <c r="M393" t="s">
        <v>3146</v>
      </c>
      <c r="N393" t="s">
        <v>296</v>
      </c>
      <c r="O393" t="s">
        <v>64</v>
      </c>
    </row>
    <row r="394" spans="1:15" x14ac:dyDescent="0.35">
      <c r="A394">
        <v>57946</v>
      </c>
      <c r="B394" s="283">
        <v>44378</v>
      </c>
      <c r="C394">
        <v>2190</v>
      </c>
      <c r="D394">
        <v>2117</v>
      </c>
      <c r="E394">
        <v>100</v>
      </c>
      <c r="F394">
        <v>320</v>
      </c>
      <c r="G394">
        <v>2100</v>
      </c>
      <c r="H394">
        <v>292941.59999999998</v>
      </c>
      <c r="I394">
        <v>0</v>
      </c>
      <c r="J394" s="283">
        <v>45412.177658182867</v>
      </c>
      <c r="K394" t="s">
        <v>3147</v>
      </c>
      <c r="L394" t="s">
        <v>3145</v>
      </c>
      <c r="M394" t="s">
        <v>3146</v>
      </c>
      <c r="N394" t="s">
        <v>296</v>
      </c>
      <c r="O394" t="s">
        <v>64</v>
      </c>
    </row>
    <row r="395" spans="1:15" x14ac:dyDescent="0.35">
      <c r="A395">
        <v>57947</v>
      </c>
      <c r="B395" s="283">
        <v>44378</v>
      </c>
      <c r="C395">
        <v>2190</v>
      </c>
      <c r="D395">
        <v>2117</v>
      </c>
      <c r="E395">
        <v>100</v>
      </c>
      <c r="F395">
        <v>320</v>
      </c>
      <c r="G395">
        <v>2160</v>
      </c>
      <c r="H395">
        <v>114144.1</v>
      </c>
      <c r="I395">
        <v>0</v>
      </c>
      <c r="J395" s="283">
        <v>45412.177658182867</v>
      </c>
      <c r="K395" t="s">
        <v>3149</v>
      </c>
      <c r="L395" t="s">
        <v>3145</v>
      </c>
      <c r="M395" t="s">
        <v>3146</v>
      </c>
      <c r="N395" t="s">
        <v>296</v>
      </c>
      <c r="O395" t="s">
        <v>64</v>
      </c>
    </row>
    <row r="396" spans="1:15" x14ac:dyDescent="0.35">
      <c r="A396">
        <v>57958</v>
      </c>
      <c r="B396" s="283">
        <v>44378</v>
      </c>
      <c r="C396">
        <v>2191</v>
      </c>
      <c r="D396">
        <v>2117</v>
      </c>
      <c r="E396">
        <v>100</v>
      </c>
      <c r="F396">
        <v>320</v>
      </c>
      <c r="G396">
        <v>1200</v>
      </c>
      <c r="H396">
        <v>32455.200000000001</v>
      </c>
      <c r="I396">
        <v>0</v>
      </c>
      <c r="J396" s="283">
        <v>45412.177658182867</v>
      </c>
      <c r="K396" t="s">
        <v>3144</v>
      </c>
      <c r="L396" t="s">
        <v>3145</v>
      </c>
      <c r="M396" t="s">
        <v>3146</v>
      </c>
      <c r="N396" t="s">
        <v>296</v>
      </c>
      <c r="O396" t="s">
        <v>50</v>
      </c>
    </row>
    <row r="397" spans="1:15" x14ac:dyDescent="0.35">
      <c r="A397">
        <v>57959</v>
      </c>
      <c r="B397" s="283">
        <v>44378</v>
      </c>
      <c r="C397">
        <v>2191</v>
      </c>
      <c r="D397">
        <v>2117</v>
      </c>
      <c r="E397">
        <v>100</v>
      </c>
      <c r="F397">
        <v>320</v>
      </c>
      <c r="G397">
        <v>2100</v>
      </c>
      <c r="H397">
        <v>13532.6</v>
      </c>
      <c r="I397">
        <v>0</v>
      </c>
      <c r="J397" s="283">
        <v>45412.177658182867</v>
      </c>
      <c r="K397" t="s">
        <v>3147</v>
      </c>
      <c r="L397" t="s">
        <v>3145</v>
      </c>
      <c r="M397" t="s">
        <v>3146</v>
      </c>
      <c r="N397" t="s">
        <v>296</v>
      </c>
      <c r="O397" t="s">
        <v>50</v>
      </c>
    </row>
    <row r="398" spans="1:15" x14ac:dyDescent="0.35">
      <c r="A398">
        <v>57960</v>
      </c>
      <c r="B398" s="283">
        <v>44378</v>
      </c>
      <c r="C398">
        <v>2191</v>
      </c>
      <c r="D398">
        <v>2117</v>
      </c>
      <c r="E398">
        <v>100</v>
      </c>
      <c r="F398">
        <v>320</v>
      </c>
      <c r="G398">
        <v>2160</v>
      </c>
      <c r="H398">
        <v>147718.9</v>
      </c>
      <c r="I398">
        <v>0</v>
      </c>
      <c r="J398" s="283">
        <v>45412.177658182867</v>
      </c>
      <c r="K398" t="s">
        <v>3149</v>
      </c>
      <c r="L398" t="s">
        <v>3145</v>
      </c>
      <c r="M398" t="s">
        <v>3146</v>
      </c>
      <c r="N398" t="s">
        <v>296</v>
      </c>
      <c r="O398" t="s">
        <v>50</v>
      </c>
    </row>
    <row r="399" spans="1:15" x14ac:dyDescent="0.35">
      <c r="A399">
        <v>57969</v>
      </c>
      <c r="B399" s="283">
        <v>44378</v>
      </c>
      <c r="C399">
        <v>2192</v>
      </c>
      <c r="D399">
        <v>2117</v>
      </c>
      <c r="E399">
        <v>100</v>
      </c>
      <c r="F399">
        <v>320</v>
      </c>
      <c r="G399">
        <v>2100</v>
      </c>
      <c r="H399">
        <v>36617.699999999997</v>
      </c>
      <c r="I399">
        <v>0</v>
      </c>
      <c r="J399" s="283">
        <v>45412.177658182867</v>
      </c>
      <c r="K399" t="s">
        <v>3147</v>
      </c>
      <c r="L399" t="s">
        <v>3145</v>
      </c>
      <c r="M399" t="s">
        <v>3146</v>
      </c>
      <c r="N399" t="s">
        <v>296</v>
      </c>
      <c r="O399" t="s">
        <v>158</v>
      </c>
    </row>
    <row r="400" spans="1:15" x14ac:dyDescent="0.35">
      <c r="A400">
        <v>57970</v>
      </c>
      <c r="B400" s="283">
        <v>44378</v>
      </c>
      <c r="C400">
        <v>2192</v>
      </c>
      <c r="D400">
        <v>2117</v>
      </c>
      <c r="E400">
        <v>100</v>
      </c>
      <c r="F400">
        <v>320</v>
      </c>
      <c r="G400">
        <v>2160</v>
      </c>
      <c r="H400">
        <v>32813.800000000003</v>
      </c>
      <c r="I400">
        <v>0</v>
      </c>
      <c r="J400" s="283">
        <v>45412.177658182867</v>
      </c>
      <c r="K400" t="s">
        <v>3149</v>
      </c>
      <c r="L400" t="s">
        <v>3145</v>
      </c>
      <c r="M400" t="s">
        <v>3146</v>
      </c>
      <c r="N400" t="s">
        <v>296</v>
      </c>
      <c r="O400" t="s">
        <v>158</v>
      </c>
    </row>
    <row r="401" spans="1:15" x14ac:dyDescent="0.35">
      <c r="A401">
        <v>57971</v>
      </c>
      <c r="B401" s="283">
        <v>44378</v>
      </c>
      <c r="C401">
        <v>2192</v>
      </c>
      <c r="D401">
        <v>2117</v>
      </c>
      <c r="E401">
        <v>100</v>
      </c>
      <c r="F401">
        <v>320</v>
      </c>
      <c r="G401">
        <v>2640</v>
      </c>
      <c r="H401">
        <v>0</v>
      </c>
      <c r="I401">
        <v>0</v>
      </c>
      <c r="J401" s="283">
        <v>45412.177658182867</v>
      </c>
      <c r="K401" t="s">
        <v>3155</v>
      </c>
      <c r="L401" t="s">
        <v>3145</v>
      </c>
      <c r="M401" t="s">
        <v>3146</v>
      </c>
      <c r="N401" t="s">
        <v>296</v>
      </c>
      <c r="O401" t="s">
        <v>158</v>
      </c>
    </row>
    <row r="402" spans="1:15" x14ac:dyDescent="0.35">
      <c r="A402">
        <v>57982</v>
      </c>
      <c r="B402" s="283">
        <v>44378</v>
      </c>
      <c r="C402">
        <v>2193</v>
      </c>
      <c r="D402">
        <v>2117</v>
      </c>
      <c r="E402">
        <v>100</v>
      </c>
      <c r="F402">
        <v>320</v>
      </c>
      <c r="G402">
        <v>2100</v>
      </c>
      <c r="H402">
        <v>29815.55</v>
      </c>
      <c r="I402">
        <v>0</v>
      </c>
      <c r="J402" s="283">
        <v>45412.177658182867</v>
      </c>
      <c r="K402" t="s">
        <v>3147</v>
      </c>
      <c r="L402" t="s">
        <v>3145</v>
      </c>
      <c r="M402" t="s">
        <v>3146</v>
      </c>
      <c r="N402" t="s">
        <v>296</v>
      </c>
      <c r="O402" t="s">
        <v>81</v>
      </c>
    </row>
    <row r="403" spans="1:15" x14ac:dyDescent="0.35">
      <c r="A403">
        <v>57983</v>
      </c>
      <c r="B403" s="283">
        <v>44378</v>
      </c>
      <c r="C403">
        <v>2193</v>
      </c>
      <c r="D403">
        <v>2117</v>
      </c>
      <c r="E403">
        <v>100</v>
      </c>
      <c r="F403">
        <v>320</v>
      </c>
      <c r="G403">
        <v>2160</v>
      </c>
      <c r="H403">
        <v>12565.9</v>
      </c>
      <c r="I403">
        <v>0</v>
      </c>
      <c r="J403" s="283">
        <v>45412.177658182867</v>
      </c>
      <c r="K403" t="s">
        <v>3149</v>
      </c>
      <c r="L403" t="s">
        <v>3145</v>
      </c>
      <c r="M403" t="s">
        <v>3146</v>
      </c>
      <c r="N403" t="s">
        <v>296</v>
      </c>
      <c r="O403" t="s">
        <v>81</v>
      </c>
    </row>
    <row r="404" spans="1:15" x14ac:dyDescent="0.35">
      <c r="A404">
        <v>57995</v>
      </c>
      <c r="B404" s="283">
        <v>44378</v>
      </c>
      <c r="C404">
        <v>2251</v>
      </c>
      <c r="D404">
        <v>2117</v>
      </c>
      <c r="E404">
        <v>100</v>
      </c>
      <c r="F404">
        <v>320</v>
      </c>
      <c r="G404">
        <v>1200</v>
      </c>
      <c r="H404">
        <v>40569</v>
      </c>
      <c r="I404">
        <v>0</v>
      </c>
      <c r="J404" s="283">
        <v>45412.177658182867</v>
      </c>
      <c r="K404" t="s">
        <v>3144</v>
      </c>
      <c r="L404" t="s">
        <v>3145</v>
      </c>
      <c r="M404" t="s">
        <v>3146</v>
      </c>
      <c r="N404" t="s">
        <v>296</v>
      </c>
      <c r="O404" t="s">
        <v>218</v>
      </c>
    </row>
    <row r="405" spans="1:15" x14ac:dyDescent="0.35">
      <c r="A405">
        <v>57996</v>
      </c>
      <c r="B405" s="283">
        <v>44378</v>
      </c>
      <c r="C405">
        <v>2251</v>
      </c>
      <c r="D405">
        <v>2117</v>
      </c>
      <c r="E405">
        <v>100</v>
      </c>
      <c r="F405">
        <v>320</v>
      </c>
      <c r="G405">
        <v>2100</v>
      </c>
      <c r="H405">
        <v>81354.960000000006</v>
      </c>
      <c r="I405">
        <v>0</v>
      </c>
      <c r="J405" s="283">
        <v>45412.177658182867</v>
      </c>
      <c r="K405" t="s">
        <v>3147</v>
      </c>
      <c r="L405" t="s">
        <v>3145</v>
      </c>
      <c r="M405" t="s">
        <v>3146</v>
      </c>
      <c r="N405" t="s">
        <v>296</v>
      </c>
      <c r="O405" t="s">
        <v>218</v>
      </c>
    </row>
    <row r="406" spans="1:15" x14ac:dyDescent="0.35">
      <c r="A406">
        <v>57997</v>
      </c>
      <c r="B406" s="283">
        <v>44378</v>
      </c>
      <c r="C406">
        <v>2251</v>
      </c>
      <c r="D406">
        <v>2117</v>
      </c>
      <c r="E406">
        <v>100</v>
      </c>
      <c r="F406">
        <v>320</v>
      </c>
      <c r="G406">
        <v>2160</v>
      </c>
      <c r="H406">
        <v>20534.400000000001</v>
      </c>
      <c r="I406">
        <v>0</v>
      </c>
      <c r="J406" s="283">
        <v>45412.177658182867</v>
      </c>
      <c r="K406" t="s">
        <v>3149</v>
      </c>
      <c r="L406" t="s">
        <v>3145</v>
      </c>
      <c r="M406" t="s">
        <v>3146</v>
      </c>
      <c r="N406" t="s">
        <v>296</v>
      </c>
      <c r="O406" t="s">
        <v>218</v>
      </c>
    </row>
    <row r="407" spans="1:15" x14ac:dyDescent="0.35">
      <c r="A407">
        <v>58009</v>
      </c>
      <c r="B407" s="283">
        <v>44378</v>
      </c>
      <c r="C407">
        <v>2252</v>
      </c>
      <c r="D407">
        <v>2117</v>
      </c>
      <c r="E407">
        <v>100</v>
      </c>
      <c r="F407">
        <v>320</v>
      </c>
      <c r="G407">
        <v>2100</v>
      </c>
      <c r="H407">
        <v>120428.15</v>
      </c>
      <c r="I407">
        <v>0</v>
      </c>
      <c r="J407" s="283">
        <v>45412.177658182867</v>
      </c>
      <c r="K407" t="s">
        <v>3147</v>
      </c>
      <c r="L407" t="s">
        <v>3145</v>
      </c>
      <c r="M407" t="s">
        <v>3146</v>
      </c>
      <c r="N407" t="s">
        <v>296</v>
      </c>
      <c r="O407" t="s">
        <v>21</v>
      </c>
    </row>
    <row r="408" spans="1:15" x14ac:dyDescent="0.35">
      <c r="A408">
        <v>58010</v>
      </c>
      <c r="B408" s="283">
        <v>44378</v>
      </c>
      <c r="C408">
        <v>2252</v>
      </c>
      <c r="D408">
        <v>2117</v>
      </c>
      <c r="E408">
        <v>100</v>
      </c>
      <c r="F408">
        <v>320</v>
      </c>
      <c r="G408">
        <v>2160</v>
      </c>
      <c r="H408">
        <v>27201.64</v>
      </c>
      <c r="I408">
        <v>0</v>
      </c>
      <c r="J408" s="283">
        <v>45412.177658182867</v>
      </c>
      <c r="K408" t="s">
        <v>3149</v>
      </c>
      <c r="L408" t="s">
        <v>3145</v>
      </c>
      <c r="M408" t="s">
        <v>3146</v>
      </c>
      <c r="N408" t="s">
        <v>296</v>
      </c>
      <c r="O408" t="s">
        <v>21</v>
      </c>
    </row>
    <row r="409" spans="1:15" x14ac:dyDescent="0.35">
      <c r="A409">
        <v>58022</v>
      </c>
      <c r="B409" s="283">
        <v>44378</v>
      </c>
      <c r="C409">
        <v>2253</v>
      </c>
      <c r="D409">
        <v>2117</v>
      </c>
      <c r="E409">
        <v>100</v>
      </c>
      <c r="F409">
        <v>320</v>
      </c>
      <c r="G409">
        <v>2100</v>
      </c>
      <c r="H409">
        <v>41471.949999999997</v>
      </c>
      <c r="I409">
        <v>0</v>
      </c>
      <c r="J409" s="283">
        <v>45412.177658182867</v>
      </c>
      <c r="K409" t="s">
        <v>3147</v>
      </c>
      <c r="L409" t="s">
        <v>3145</v>
      </c>
      <c r="M409" t="s">
        <v>3146</v>
      </c>
      <c r="N409" t="s">
        <v>296</v>
      </c>
      <c r="O409" t="s">
        <v>66</v>
      </c>
    </row>
    <row r="410" spans="1:15" x14ac:dyDescent="0.35">
      <c r="A410">
        <v>58023</v>
      </c>
      <c r="B410" s="283">
        <v>44378</v>
      </c>
      <c r="C410">
        <v>2253</v>
      </c>
      <c r="D410">
        <v>2117</v>
      </c>
      <c r="E410">
        <v>100</v>
      </c>
      <c r="F410">
        <v>320</v>
      </c>
      <c r="G410">
        <v>2160</v>
      </c>
      <c r="H410">
        <v>85124.7</v>
      </c>
      <c r="I410">
        <v>0</v>
      </c>
      <c r="J410" s="283">
        <v>45412.177658182867</v>
      </c>
      <c r="K410" t="s">
        <v>3149</v>
      </c>
      <c r="L410" t="s">
        <v>3145</v>
      </c>
      <c r="M410" t="s">
        <v>3146</v>
      </c>
      <c r="N410" t="s">
        <v>296</v>
      </c>
      <c r="O410" t="s">
        <v>66</v>
      </c>
    </row>
    <row r="411" spans="1:15" x14ac:dyDescent="0.35">
      <c r="A411">
        <v>58045</v>
      </c>
      <c r="B411" s="283">
        <v>44378</v>
      </c>
      <c r="C411">
        <v>2255</v>
      </c>
      <c r="D411">
        <v>2117</v>
      </c>
      <c r="E411">
        <v>100</v>
      </c>
      <c r="F411">
        <v>320</v>
      </c>
      <c r="G411">
        <v>2100</v>
      </c>
      <c r="H411">
        <v>18521</v>
      </c>
      <c r="I411">
        <v>0</v>
      </c>
      <c r="J411" s="283">
        <v>45412.177658182867</v>
      </c>
      <c r="K411" t="s">
        <v>3147</v>
      </c>
      <c r="L411" t="s">
        <v>3145</v>
      </c>
      <c r="M411" t="s">
        <v>3146</v>
      </c>
      <c r="N411" t="s">
        <v>296</v>
      </c>
      <c r="O411" t="s">
        <v>215</v>
      </c>
    </row>
    <row r="412" spans="1:15" x14ac:dyDescent="0.35">
      <c r="A412">
        <v>58046</v>
      </c>
      <c r="B412" s="283">
        <v>44378</v>
      </c>
      <c r="C412">
        <v>2255</v>
      </c>
      <c r="D412">
        <v>2117</v>
      </c>
      <c r="E412">
        <v>100</v>
      </c>
      <c r="F412">
        <v>320</v>
      </c>
      <c r="G412">
        <v>2160</v>
      </c>
      <c r="H412">
        <v>31947.599999999999</v>
      </c>
      <c r="I412">
        <v>0</v>
      </c>
      <c r="J412" s="283">
        <v>45412.177658182867</v>
      </c>
      <c r="K412" t="s">
        <v>3149</v>
      </c>
      <c r="L412" t="s">
        <v>3145</v>
      </c>
      <c r="M412" t="s">
        <v>3146</v>
      </c>
      <c r="N412" t="s">
        <v>296</v>
      </c>
      <c r="O412" t="s">
        <v>215</v>
      </c>
    </row>
    <row r="413" spans="1:15" x14ac:dyDescent="0.35">
      <c r="A413">
        <v>58047</v>
      </c>
      <c r="B413" s="283">
        <v>44378</v>
      </c>
      <c r="C413">
        <v>2255</v>
      </c>
      <c r="D413">
        <v>2117</v>
      </c>
      <c r="E413">
        <v>100</v>
      </c>
      <c r="F413">
        <v>320</v>
      </c>
      <c r="G413">
        <v>2640</v>
      </c>
      <c r="H413">
        <v>3863.72</v>
      </c>
      <c r="I413">
        <v>0</v>
      </c>
      <c r="J413" s="283">
        <v>45412.177658182867</v>
      </c>
      <c r="K413" t="s">
        <v>3155</v>
      </c>
      <c r="L413" t="s">
        <v>3145</v>
      </c>
      <c r="M413" t="s">
        <v>3146</v>
      </c>
      <c r="N413" t="s">
        <v>296</v>
      </c>
      <c r="O413" t="s">
        <v>215</v>
      </c>
    </row>
    <row r="414" spans="1:15" x14ac:dyDescent="0.35">
      <c r="A414">
        <v>58059</v>
      </c>
      <c r="B414" s="283">
        <v>44378</v>
      </c>
      <c r="C414">
        <v>2256</v>
      </c>
      <c r="D414">
        <v>2117</v>
      </c>
      <c r="E414">
        <v>100</v>
      </c>
      <c r="F414">
        <v>320</v>
      </c>
      <c r="G414">
        <v>1200</v>
      </c>
      <c r="H414">
        <v>228200.62</v>
      </c>
      <c r="I414">
        <v>0</v>
      </c>
      <c r="J414" s="283">
        <v>45412.177658182867</v>
      </c>
      <c r="K414" t="s">
        <v>3144</v>
      </c>
      <c r="L414" t="s">
        <v>3145</v>
      </c>
      <c r="M414" t="s">
        <v>3146</v>
      </c>
      <c r="N414" t="s">
        <v>296</v>
      </c>
      <c r="O414" t="s">
        <v>128</v>
      </c>
    </row>
    <row r="415" spans="1:15" x14ac:dyDescent="0.35">
      <c r="A415">
        <v>58060</v>
      </c>
      <c r="B415" s="283">
        <v>44378</v>
      </c>
      <c r="C415">
        <v>2256</v>
      </c>
      <c r="D415">
        <v>2117</v>
      </c>
      <c r="E415">
        <v>100</v>
      </c>
      <c r="F415">
        <v>320</v>
      </c>
      <c r="G415">
        <v>2100</v>
      </c>
      <c r="H415">
        <v>0</v>
      </c>
      <c r="I415">
        <v>0</v>
      </c>
      <c r="J415" s="283">
        <v>45412.177658182867</v>
      </c>
      <c r="K415" t="s">
        <v>3147</v>
      </c>
      <c r="L415" t="s">
        <v>3145</v>
      </c>
      <c r="M415" t="s">
        <v>3146</v>
      </c>
      <c r="N415" t="s">
        <v>296</v>
      </c>
      <c r="O415" t="s">
        <v>128</v>
      </c>
    </row>
    <row r="416" spans="1:15" x14ac:dyDescent="0.35">
      <c r="A416">
        <v>58061</v>
      </c>
      <c r="B416" s="283">
        <v>44378</v>
      </c>
      <c r="C416">
        <v>2256</v>
      </c>
      <c r="D416">
        <v>2117</v>
      </c>
      <c r="E416">
        <v>100</v>
      </c>
      <c r="F416">
        <v>320</v>
      </c>
      <c r="G416">
        <v>2160</v>
      </c>
      <c r="H416">
        <v>258111.35</v>
      </c>
      <c r="I416">
        <v>0</v>
      </c>
      <c r="J416" s="283">
        <v>45412.177658182867</v>
      </c>
      <c r="K416" t="s">
        <v>3149</v>
      </c>
      <c r="L416" t="s">
        <v>3145</v>
      </c>
      <c r="M416" t="s">
        <v>3146</v>
      </c>
      <c r="N416" t="s">
        <v>296</v>
      </c>
      <c r="O416" t="s">
        <v>128</v>
      </c>
    </row>
    <row r="417" spans="1:15" x14ac:dyDescent="0.35">
      <c r="A417">
        <v>58072</v>
      </c>
      <c r="B417" s="283">
        <v>44378</v>
      </c>
      <c r="C417">
        <v>2257</v>
      </c>
      <c r="D417">
        <v>2117</v>
      </c>
      <c r="E417">
        <v>100</v>
      </c>
      <c r="F417">
        <v>320</v>
      </c>
      <c r="G417">
        <v>1200</v>
      </c>
      <c r="H417">
        <v>81138</v>
      </c>
      <c r="I417">
        <v>0</v>
      </c>
      <c r="J417" s="283">
        <v>45412.177658182867</v>
      </c>
      <c r="K417" t="s">
        <v>3144</v>
      </c>
      <c r="L417" t="s">
        <v>3145</v>
      </c>
      <c r="M417" t="s">
        <v>3146</v>
      </c>
      <c r="N417" t="s">
        <v>296</v>
      </c>
      <c r="O417" t="s">
        <v>185</v>
      </c>
    </row>
    <row r="418" spans="1:15" x14ac:dyDescent="0.35">
      <c r="A418">
        <v>58073</v>
      </c>
      <c r="B418" s="283">
        <v>44378</v>
      </c>
      <c r="C418">
        <v>2257</v>
      </c>
      <c r="D418">
        <v>2117</v>
      </c>
      <c r="E418">
        <v>100</v>
      </c>
      <c r="F418">
        <v>320</v>
      </c>
      <c r="G418">
        <v>2100</v>
      </c>
      <c r="H418">
        <v>58944.93</v>
      </c>
      <c r="I418">
        <v>0</v>
      </c>
      <c r="J418" s="283">
        <v>45412.177658182867</v>
      </c>
      <c r="K418" t="s">
        <v>3147</v>
      </c>
      <c r="L418" t="s">
        <v>3145</v>
      </c>
      <c r="M418" t="s">
        <v>3146</v>
      </c>
      <c r="N418" t="s">
        <v>296</v>
      </c>
      <c r="O418" t="s">
        <v>185</v>
      </c>
    </row>
    <row r="419" spans="1:15" x14ac:dyDescent="0.35">
      <c r="A419">
        <v>58074</v>
      </c>
      <c r="B419" s="283">
        <v>44378</v>
      </c>
      <c r="C419">
        <v>2257</v>
      </c>
      <c r="D419">
        <v>2117</v>
      </c>
      <c r="E419">
        <v>100</v>
      </c>
      <c r="F419">
        <v>320</v>
      </c>
      <c r="G419">
        <v>2160</v>
      </c>
      <c r="H419">
        <v>51760.27</v>
      </c>
      <c r="I419">
        <v>0</v>
      </c>
      <c r="J419" s="283">
        <v>45412.177658182867</v>
      </c>
      <c r="K419" t="s">
        <v>3149</v>
      </c>
      <c r="L419" t="s">
        <v>3145</v>
      </c>
      <c r="M419" t="s">
        <v>3146</v>
      </c>
      <c r="N419" t="s">
        <v>296</v>
      </c>
      <c r="O419" t="s">
        <v>185</v>
      </c>
    </row>
    <row r="420" spans="1:15" x14ac:dyDescent="0.35">
      <c r="A420">
        <v>58075</v>
      </c>
      <c r="B420" s="283">
        <v>44378</v>
      </c>
      <c r="C420">
        <v>2257</v>
      </c>
      <c r="D420">
        <v>2117</v>
      </c>
      <c r="E420">
        <v>100</v>
      </c>
      <c r="F420">
        <v>320</v>
      </c>
      <c r="G420">
        <v>2640</v>
      </c>
      <c r="H420">
        <v>610.16</v>
      </c>
      <c r="I420">
        <v>0</v>
      </c>
      <c r="J420" s="283">
        <v>45412.177658182867</v>
      </c>
      <c r="K420" t="s">
        <v>3155</v>
      </c>
      <c r="L420" t="s">
        <v>3145</v>
      </c>
      <c r="M420" t="s">
        <v>3146</v>
      </c>
      <c r="N420" t="s">
        <v>296</v>
      </c>
      <c r="O420" t="s">
        <v>185</v>
      </c>
    </row>
    <row r="421" spans="1:15" x14ac:dyDescent="0.35">
      <c r="A421">
        <v>58097</v>
      </c>
      <c r="B421" s="283">
        <v>44378</v>
      </c>
      <c r="C421">
        <v>2180</v>
      </c>
      <c r="D421">
        <v>2148</v>
      </c>
      <c r="E421">
        <v>100</v>
      </c>
      <c r="F421">
        <v>320</v>
      </c>
      <c r="G421">
        <v>1200</v>
      </c>
      <c r="H421">
        <v>2139465.85</v>
      </c>
      <c r="I421">
        <v>0</v>
      </c>
      <c r="J421" s="283">
        <v>45412.177658182867</v>
      </c>
      <c r="K421" t="s">
        <v>3144</v>
      </c>
      <c r="L421" t="s">
        <v>3145</v>
      </c>
      <c r="M421" t="s">
        <v>3146</v>
      </c>
      <c r="N421" t="s">
        <v>457</v>
      </c>
      <c r="O421" t="s">
        <v>169</v>
      </c>
    </row>
    <row r="422" spans="1:15" x14ac:dyDescent="0.35">
      <c r="A422">
        <v>58098</v>
      </c>
      <c r="B422" s="283">
        <v>44378</v>
      </c>
      <c r="C422">
        <v>2180</v>
      </c>
      <c r="D422">
        <v>2148</v>
      </c>
      <c r="E422">
        <v>100</v>
      </c>
      <c r="F422">
        <v>320</v>
      </c>
      <c r="G422">
        <v>2100</v>
      </c>
      <c r="H422">
        <v>449543.94</v>
      </c>
      <c r="I422">
        <v>0</v>
      </c>
      <c r="J422" s="283">
        <v>45412.177658182867</v>
      </c>
      <c r="K422" t="s">
        <v>3147</v>
      </c>
      <c r="L422" t="s">
        <v>3145</v>
      </c>
      <c r="M422" t="s">
        <v>3146</v>
      </c>
      <c r="N422" t="s">
        <v>457</v>
      </c>
      <c r="O422" t="s">
        <v>169</v>
      </c>
    </row>
    <row r="423" spans="1:15" x14ac:dyDescent="0.35">
      <c r="A423">
        <v>58099</v>
      </c>
      <c r="B423" s="283">
        <v>44378</v>
      </c>
      <c r="C423">
        <v>2180</v>
      </c>
      <c r="D423">
        <v>2148</v>
      </c>
      <c r="E423">
        <v>100</v>
      </c>
      <c r="F423">
        <v>320</v>
      </c>
      <c r="G423">
        <v>2160</v>
      </c>
      <c r="H423">
        <v>115834.21</v>
      </c>
      <c r="I423">
        <v>0</v>
      </c>
      <c r="J423" s="283">
        <v>45412.177658182867</v>
      </c>
      <c r="K423" t="s">
        <v>3149</v>
      </c>
      <c r="L423" t="s">
        <v>3145</v>
      </c>
      <c r="M423" t="s">
        <v>3146</v>
      </c>
      <c r="N423" t="s">
        <v>457</v>
      </c>
      <c r="O423" t="s">
        <v>169</v>
      </c>
    </row>
    <row r="424" spans="1:15" x14ac:dyDescent="0.35">
      <c r="A424">
        <v>58100</v>
      </c>
      <c r="B424" s="283">
        <v>44378</v>
      </c>
      <c r="C424">
        <v>2180</v>
      </c>
      <c r="D424">
        <v>2148</v>
      </c>
      <c r="E424">
        <v>100</v>
      </c>
      <c r="F424">
        <v>320</v>
      </c>
      <c r="G424">
        <v>2190</v>
      </c>
      <c r="H424">
        <v>89434.93</v>
      </c>
      <c r="I424">
        <v>0</v>
      </c>
      <c r="J424" s="283">
        <v>45412.177658182867</v>
      </c>
      <c r="K424" t="s">
        <v>3150</v>
      </c>
      <c r="L424" t="s">
        <v>3145</v>
      </c>
      <c r="M424" t="s">
        <v>3146</v>
      </c>
      <c r="N424" t="s">
        <v>457</v>
      </c>
      <c r="O424" t="s">
        <v>169</v>
      </c>
    </row>
    <row r="425" spans="1:15" x14ac:dyDescent="0.35">
      <c r="A425">
        <v>58101</v>
      </c>
      <c r="B425" s="283">
        <v>44378</v>
      </c>
      <c r="C425">
        <v>2180</v>
      </c>
      <c r="D425">
        <v>2148</v>
      </c>
      <c r="E425">
        <v>100</v>
      </c>
      <c r="F425">
        <v>320</v>
      </c>
      <c r="G425">
        <v>2400</v>
      </c>
      <c r="H425">
        <v>403405.68</v>
      </c>
      <c r="I425">
        <v>0</v>
      </c>
      <c r="J425" s="283">
        <v>45412.177658182867</v>
      </c>
      <c r="K425" t="s">
        <v>3156</v>
      </c>
      <c r="L425" t="s">
        <v>3145</v>
      </c>
      <c r="M425" t="s">
        <v>3146</v>
      </c>
      <c r="N425" t="s">
        <v>457</v>
      </c>
      <c r="O425" t="s">
        <v>169</v>
      </c>
    </row>
    <row r="426" spans="1:15" x14ac:dyDescent="0.35">
      <c r="A426">
        <v>58102</v>
      </c>
      <c r="B426" s="283">
        <v>44378</v>
      </c>
      <c r="C426">
        <v>2180</v>
      </c>
      <c r="D426">
        <v>2148</v>
      </c>
      <c r="E426">
        <v>100</v>
      </c>
      <c r="F426">
        <v>320</v>
      </c>
      <c r="G426">
        <v>2570</v>
      </c>
      <c r="H426">
        <v>303290.67</v>
      </c>
      <c r="I426">
        <v>0</v>
      </c>
      <c r="J426" s="283">
        <v>45412.177658182867</v>
      </c>
      <c r="K426" t="s">
        <v>3157</v>
      </c>
      <c r="L426" t="s">
        <v>3145</v>
      </c>
      <c r="M426" t="s">
        <v>3146</v>
      </c>
      <c r="N426" t="s">
        <v>457</v>
      </c>
      <c r="O426" t="s">
        <v>169</v>
      </c>
    </row>
    <row r="427" spans="1:15" x14ac:dyDescent="0.35">
      <c r="A427">
        <v>58103</v>
      </c>
      <c r="B427" s="283">
        <v>44378</v>
      </c>
      <c r="C427">
        <v>2180</v>
      </c>
      <c r="D427">
        <v>2148</v>
      </c>
      <c r="E427">
        <v>100</v>
      </c>
      <c r="F427">
        <v>320</v>
      </c>
      <c r="G427">
        <v>3100</v>
      </c>
      <c r="H427">
        <v>7005.93</v>
      </c>
      <c r="I427">
        <v>0</v>
      </c>
      <c r="J427" s="283">
        <v>45412.177658182867</v>
      </c>
      <c r="K427" t="s">
        <v>3158</v>
      </c>
      <c r="L427" t="s">
        <v>3145</v>
      </c>
      <c r="M427" t="s">
        <v>3146</v>
      </c>
      <c r="N427" t="s">
        <v>457</v>
      </c>
      <c r="O427" t="s">
        <v>169</v>
      </c>
    </row>
    <row r="428" spans="1:15" x14ac:dyDescent="0.35">
      <c r="A428">
        <v>58115</v>
      </c>
      <c r="B428" s="283">
        <v>44378</v>
      </c>
      <c r="C428">
        <v>2181</v>
      </c>
      <c r="D428">
        <v>2148</v>
      </c>
      <c r="E428">
        <v>100</v>
      </c>
      <c r="F428">
        <v>320</v>
      </c>
      <c r="G428">
        <v>1200</v>
      </c>
      <c r="H428">
        <v>466615.72</v>
      </c>
      <c r="I428">
        <v>0</v>
      </c>
      <c r="J428" s="283">
        <v>45412.177658182867</v>
      </c>
      <c r="K428" t="s">
        <v>3144</v>
      </c>
      <c r="L428" t="s">
        <v>3145</v>
      </c>
      <c r="M428" t="s">
        <v>3146</v>
      </c>
      <c r="N428" t="s">
        <v>457</v>
      </c>
      <c r="O428" t="s">
        <v>156</v>
      </c>
    </row>
    <row r="429" spans="1:15" x14ac:dyDescent="0.35">
      <c r="A429">
        <v>58116</v>
      </c>
      <c r="B429" s="283">
        <v>44378</v>
      </c>
      <c r="C429">
        <v>2181</v>
      </c>
      <c r="D429">
        <v>2148</v>
      </c>
      <c r="E429">
        <v>100</v>
      </c>
      <c r="F429">
        <v>320</v>
      </c>
      <c r="G429">
        <v>2100</v>
      </c>
      <c r="H429">
        <v>128868.16</v>
      </c>
      <c r="I429">
        <v>0</v>
      </c>
      <c r="J429" s="283">
        <v>45412.177658182867</v>
      </c>
      <c r="K429" t="s">
        <v>3147</v>
      </c>
      <c r="L429" t="s">
        <v>3145</v>
      </c>
      <c r="M429" t="s">
        <v>3146</v>
      </c>
      <c r="N429" t="s">
        <v>457</v>
      </c>
      <c r="O429" t="s">
        <v>156</v>
      </c>
    </row>
    <row r="430" spans="1:15" x14ac:dyDescent="0.35">
      <c r="A430">
        <v>58117</v>
      </c>
      <c r="B430" s="283">
        <v>44378</v>
      </c>
      <c r="C430">
        <v>2181</v>
      </c>
      <c r="D430">
        <v>2148</v>
      </c>
      <c r="E430">
        <v>100</v>
      </c>
      <c r="F430">
        <v>320</v>
      </c>
      <c r="G430">
        <v>2160</v>
      </c>
      <c r="H430">
        <v>44179.49</v>
      </c>
      <c r="I430">
        <v>0</v>
      </c>
      <c r="J430" s="283">
        <v>45412.177658182867</v>
      </c>
      <c r="K430" t="s">
        <v>3149</v>
      </c>
      <c r="L430" t="s">
        <v>3145</v>
      </c>
      <c r="M430" t="s">
        <v>3146</v>
      </c>
      <c r="N430" t="s">
        <v>457</v>
      </c>
      <c r="O430" t="s">
        <v>156</v>
      </c>
    </row>
    <row r="431" spans="1:15" x14ac:dyDescent="0.35">
      <c r="A431">
        <v>58118</v>
      </c>
      <c r="B431" s="283">
        <v>44378</v>
      </c>
      <c r="C431">
        <v>2181</v>
      </c>
      <c r="D431">
        <v>2148</v>
      </c>
      <c r="E431">
        <v>100</v>
      </c>
      <c r="F431">
        <v>320</v>
      </c>
      <c r="G431">
        <v>2190</v>
      </c>
      <c r="H431">
        <v>57923.09</v>
      </c>
      <c r="I431">
        <v>0</v>
      </c>
      <c r="J431" s="283">
        <v>45412.177658182867</v>
      </c>
      <c r="K431" t="s">
        <v>3150</v>
      </c>
      <c r="L431" t="s">
        <v>3145</v>
      </c>
      <c r="M431" t="s">
        <v>3146</v>
      </c>
      <c r="N431" t="s">
        <v>457</v>
      </c>
      <c r="O431" t="s">
        <v>156</v>
      </c>
    </row>
    <row r="432" spans="1:15" x14ac:dyDescent="0.35">
      <c r="A432">
        <v>58119</v>
      </c>
      <c r="B432" s="283">
        <v>44378</v>
      </c>
      <c r="C432">
        <v>2181</v>
      </c>
      <c r="D432">
        <v>2148</v>
      </c>
      <c r="E432">
        <v>100</v>
      </c>
      <c r="F432">
        <v>320</v>
      </c>
      <c r="G432">
        <v>2400</v>
      </c>
      <c r="H432">
        <v>61043.61</v>
      </c>
      <c r="I432">
        <v>0</v>
      </c>
      <c r="J432" s="283">
        <v>45412.177658182867</v>
      </c>
      <c r="K432" t="s">
        <v>3156</v>
      </c>
      <c r="L432" t="s">
        <v>3145</v>
      </c>
      <c r="M432" t="s">
        <v>3146</v>
      </c>
      <c r="N432" t="s">
        <v>457</v>
      </c>
      <c r="O432" t="s">
        <v>156</v>
      </c>
    </row>
    <row r="433" spans="1:15" x14ac:dyDescent="0.35">
      <c r="A433">
        <v>58120</v>
      </c>
      <c r="B433" s="283">
        <v>44378</v>
      </c>
      <c r="C433">
        <v>2181</v>
      </c>
      <c r="D433">
        <v>2148</v>
      </c>
      <c r="E433">
        <v>100</v>
      </c>
      <c r="F433">
        <v>320</v>
      </c>
      <c r="G433">
        <v>2570</v>
      </c>
      <c r="H433">
        <v>50247.040000000001</v>
      </c>
      <c r="I433">
        <v>0</v>
      </c>
      <c r="J433" s="283">
        <v>45412.177658182867</v>
      </c>
      <c r="K433" t="s">
        <v>3157</v>
      </c>
      <c r="L433" t="s">
        <v>3145</v>
      </c>
      <c r="M433" t="s">
        <v>3146</v>
      </c>
      <c r="N433" t="s">
        <v>457</v>
      </c>
      <c r="O433" t="s">
        <v>156</v>
      </c>
    </row>
    <row r="434" spans="1:15" x14ac:dyDescent="0.35">
      <c r="A434">
        <v>58121</v>
      </c>
      <c r="B434" s="283">
        <v>44378</v>
      </c>
      <c r="C434">
        <v>2181</v>
      </c>
      <c r="D434">
        <v>2148</v>
      </c>
      <c r="E434">
        <v>100</v>
      </c>
      <c r="F434">
        <v>320</v>
      </c>
      <c r="G434">
        <v>3100</v>
      </c>
      <c r="H434">
        <v>2156.87</v>
      </c>
      <c r="I434">
        <v>0</v>
      </c>
      <c r="J434" s="283">
        <v>45412.177658182867</v>
      </c>
      <c r="K434" t="s">
        <v>3158</v>
      </c>
      <c r="L434" t="s">
        <v>3145</v>
      </c>
      <c r="M434" t="s">
        <v>3146</v>
      </c>
      <c r="N434" t="s">
        <v>457</v>
      </c>
      <c r="O434" t="s">
        <v>156</v>
      </c>
    </row>
    <row r="435" spans="1:15" x14ac:dyDescent="0.35">
      <c r="A435">
        <v>58130</v>
      </c>
      <c r="B435" s="283">
        <v>44378</v>
      </c>
      <c r="C435">
        <v>2182</v>
      </c>
      <c r="D435">
        <v>2148</v>
      </c>
      <c r="E435">
        <v>100</v>
      </c>
      <c r="F435">
        <v>320</v>
      </c>
      <c r="G435">
        <v>1200</v>
      </c>
      <c r="H435">
        <v>1094689.81</v>
      </c>
      <c r="I435">
        <v>0</v>
      </c>
      <c r="J435" s="283">
        <v>45412.177658182867</v>
      </c>
      <c r="K435" t="s">
        <v>3144</v>
      </c>
      <c r="L435" t="s">
        <v>3145</v>
      </c>
      <c r="M435" t="s">
        <v>3146</v>
      </c>
      <c r="N435" t="s">
        <v>457</v>
      </c>
      <c r="O435" t="s">
        <v>176</v>
      </c>
    </row>
    <row r="436" spans="1:15" x14ac:dyDescent="0.35">
      <c r="A436">
        <v>58131</v>
      </c>
      <c r="B436" s="283">
        <v>44378</v>
      </c>
      <c r="C436">
        <v>2182</v>
      </c>
      <c r="D436">
        <v>2148</v>
      </c>
      <c r="E436">
        <v>100</v>
      </c>
      <c r="F436">
        <v>320</v>
      </c>
      <c r="G436">
        <v>2100</v>
      </c>
      <c r="H436">
        <v>241395.46</v>
      </c>
      <c r="I436">
        <v>0</v>
      </c>
      <c r="J436" s="283">
        <v>45412.177658182867</v>
      </c>
      <c r="K436" t="s">
        <v>3147</v>
      </c>
      <c r="L436" t="s">
        <v>3145</v>
      </c>
      <c r="M436" t="s">
        <v>3146</v>
      </c>
      <c r="N436" t="s">
        <v>457</v>
      </c>
      <c r="O436" t="s">
        <v>176</v>
      </c>
    </row>
    <row r="437" spans="1:15" x14ac:dyDescent="0.35">
      <c r="A437">
        <v>58132</v>
      </c>
      <c r="B437" s="283">
        <v>44378</v>
      </c>
      <c r="C437">
        <v>2182</v>
      </c>
      <c r="D437">
        <v>2148</v>
      </c>
      <c r="E437">
        <v>100</v>
      </c>
      <c r="F437">
        <v>320</v>
      </c>
      <c r="G437">
        <v>2160</v>
      </c>
      <c r="H437">
        <v>89691.58</v>
      </c>
      <c r="I437">
        <v>0</v>
      </c>
      <c r="J437" s="283">
        <v>45412.177658182867</v>
      </c>
      <c r="K437" t="s">
        <v>3149</v>
      </c>
      <c r="L437" t="s">
        <v>3145</v>
      </c>
      <c r="M437" t="s">
        <v>3146</v>
      </c>
      <c r="N437" t="s">
        <v>457</v>
      </c>
      <c r="O437" t="s">
        <v>176</v>
      </c>
    </row>
    <row r="438" spans="1:15" x14ac:dyDescent="0.35">
      <c r="A438">
        <v>58133</v>
      </c>
      <c r="B438" s="283">
        <v>44378</v>
      </c>
      <c r="C438">
        <v>2182</v>
      </c>
      <c r="D438">
        <v>2148</v>
      </c>
      <c r="E438">
        <v>100</v>
      </c>
      <c r="F438">
        <v>320</v>
      </c>
      <c r="G438">
        <v>2190</v>
      </c>
      <c r="H438">
        <v>103494.11</v>
      </c>
      <c r="I438">
        <v>0</v>
      </c>
      <c r="J438" s="283">
        <v>45412.177658182867</v>
      </c>
      <c r="K438" t="s">
        <v>3150</v>
      </c>
      <c r="L438" t="s">
        <v>3145</v>
      </c>
      <c r="M438" t="s">
        <v>3146</v>
      </c>
      <c r="N438" t="s">
        <v>457</v>
      </c>
      <c r="O438" t="s">
        <v>176</v>
      </c>
    </row>
    <row r="439" spans="1:15" x14ac:dyDescent="0.35">
      <c r="A439">
        <v>58134</v>
      </c>
      <c r="B439" s="283">
        <v>44378</v>
      </c>
      <c r="C439">
        <v>2182</v>
      </c>
      <c r="D439">
        <v>2148</v>
      </c>
      <c r="E439">
        <v>100</v>
      </c>
      <c r="F439">
        <v>320</v>
      </c>
      <c r="G439">
        <v>2400</v>
      </c>
      <c r="H439">
        <v>152016.29</v>
      </c>
      <c r="I439">
        <v>0</v>
      </c>
      <c r="J439" s="283">
        <v>45412.177658182867</v>
      </c>
      <c r="K439" t="s">
        <v>3156</v>
      </c>
      <c r="L439" t="s">
        <v>3145</v>
      </c>
      <c r="M439" t="s">
        <v>3146</v>
      </c>
      <c r="N439" t="s">
        <v>457</v>
      </c>
      <c r="O439" t="s">
        <v>176</v>
      </c>
    </row>
    <row r="440" spans="1:15" x14ac:dyDescent="0.35">
      <c r="A440">
        <v>58135</v>
      </c>
      <c r="B440" s="283">
        <v>44378</v>
      </c>
      <c r="C440">
        <v>2182</v>
      </c>
      <c r="D440">
        <v>2148</v>
      </c>
      <c r="E440">
        <v>100</v>
      </c>
      <c r="F440">
        <v>320</v>
      </c>
      <c r="G440">
        <v>2570</v>
      </c>
      <c r="H440">
        <v>127325.29</v>
      </c>
      <c r="I440">
        <v>0</v>
      </c>
      <c r="J440" s="283">
        <v>45412.177658182867</v>
      </c>
      <c r="K440" t="s">
        <v>3157</v>
      </c>
      <c r="L440" t="s">
        <v>3145</v>
      </c>
      <c r="M440" t="s">
        <v>3146</v>
      </c>
      <c r="N440" t="s">
        <v>457</v>
      </c>
      <c r="O440" t="s">
        <v>176</v>
      </c>
    </row>
    <row r="441" spans="1:15" x14ac:dyDescent="0.35">
      <c r="A441">
        <v>58136</v>
      </c>
      <c r="B441" s="283">
        <v>44378</v>
      </c>
      <c r="C441">
        <v>2182</v>
      </c>
      <c r="D441">
        <v>2148</v>
      </c>
      <c r="E441">
        <v>100</v>
      </c>
      <c r="F441">
        <v>320</v>
      </c>
      <c r="G441">
        <v>3100</v>
      </c>
      <c r="H441">
        <v>7515.91</v>
      </c>
      <c r="I441">
        <v>0</v>
      </c>
      <c r="J441" s="283">
        <v>45412.177658182867</v>
      </c>
      <c r="K441" t="s">
        <v>3158</v>
      </c>
      <c r="L441" t="s">
        <v>3145</v>
      </c>
      <c r="M441" t="s">
        <v>3146</v>
      </c>
      <c r="N441" t="s">
        <v>457</v>
      </c>
      <c r="O441" t="s">
        <v>176</v>
      </c>
    </row>
    <row r="442" spans="1:15" x14ac:dyDescent="0.35">
      <c r="A442">
        <v>58146</v>
      </c>
      <c r="B442" s="283">
        <v>44378</v>
      </c>
      <c r="C442">
        <v>2183</v>
      </c>
      <c r="D442">
        <v>2148</v>
      </c>
      <c r="E442">
        <v>100</v>
      </c>
      <c r="F442">
        <v>320</v>
      </c>
      <c r="G442">
        <v>1200</v>
      </c>
      <c r="H442">
        <v>885351.67</v>
      </c>
      <c r="I442">
        <v>0</v>
      </c>
      <c r="J442" s="283">
        <v>45412.177658182867</v>
      </c>
      <c r="K442" t="s">
        <v>3144</v>
      </c>
      <c r="L442" t="s">
        <v>3145</v>
      </c>
      <c r="M442" t="s">
        <v>3146</v>
      </c>
      <c r="N442" t="s">
        <v>457</v>
      </c>
      <c r="O442" t="s">
        <v>93</v>
      </c>
    </row>
    <row r="443" spans="1:15" x14ac:dyDescent="0.35">
      <c r="A443">
        <v>58147</v>
      </c>
      <c r="B443" s="283">
        <v>44378</v>
      </c>
      <c r="C443">
        <v>2183</v>
      </c>
      <c r="D443">
        <v>2148</v>
      </c>
      <c r="E443">
        <v>100</v>
      </c>
      <c r="F443">
        <v>320</v>
      </c>
      <c r="G443">
        <v>2100</v>
      </c>
      <c r="H443">
        <v>238858.45</v>
      </c>
      <c r="I443">
        <v>0</v>
      </c>
      <c r="J443" s="283">
        <v>45412.177658182867</v>
      </c>
      <c r="K443" t="s">
        <v>3147</v>
      </c>
      <c r="L443" t="s">
        <v>3145</v>
      </c>
      <c r="M443" t="s">
        <v>3146</v>
      </c>
      <c r="N443" t="s">
        <v>457</v>
      </c>
      <c r="O443" t="s">
        <v>93</v>
      </c>
    </row>
    <row r="444" spans="1:15" x14ac:dyDescent="0.35">
      <c r="A444">
        <v>58148</v>
      </c>
      <c r="B444" s="283">
        <v>44378</v>
      </c>
      <c r="C444">
        <v>2183</v>
      </c>
      <c r="D444">
        <v>2148</v>
      </c>
      <c r="E444">
        <v>100</v>
      </c>
      <c r="F444">
        <v>320</v>
      </c>
      <c r="G444">
        <v>2160</v>
      </c>
      <c r="H444">
        <v>100737.32</v>
      </c>
      <c r="I444">
        <v>0</v>
      </c>
      <c r="J444" s="283">
        <v>45412.177658182867</v>
      </c>
      <c r="K444" t="s">
        <v>3149</v>
      </c>
      <c r="L444" t="s">
        <v>3145</v>
      </c>
      <c r="M444" t="s">
        <v>3146</v>
      </c>
      <c r="N444" t="s">
        <v>457</v>
      </c>
      <c r="O444" t="s">
        <v>93</v>
      </c>
    </row>
    <row r="445" spans="1:15" x14ac:dyDescent="0.35">
      <c r="A445">
        <v>58149</v>
      </c>
      <c r="B445" s="283">
        <v>44378</v>
      </c>
      <c r="C445">
        <v>2183</v>
      </c>
      <c r="D445">
        <v>2148</v>
      </c>
      <c r="E445">
        <v>100</v>
      </c>
      <c r="F445">
        <v>320</v>
      </c>
      <c r="G445">
        <v>2190</v>
      </c>
      <c r="H445">
        <v>87560.29</v>
      </c>
      <c r="I445">
        <v>0</v>
      </c>
      <c r="J445" s="283">
        <v>45412.177658182867</v>
      </c>
      <c r="K445" t="s">
        <v>3150</v>
      </c>
      <c r="L445" t="s">
        <v>3145</v>
      </c>
      <c r="M445" t="s">
        <v>3146</v>
      </c>
      <c r="N445" t="s">
        <v>457</v>
      </c>
      <c r="O445" t="s">
        <v>93</v>
      </c>
    </row>
    <row r="446" spans="1:15" x14ac:dyDescent="0.35">
      <c r="A446">
        <v>58150</v>
      </c>
      <c r="B446" s="283">
        <v>44378</v>
      </c>
      <c r="C446">
        <v>2183</v>
      </c>
      <c r="D446">
        <v>2148</v>
      </c>
      <c r="E446">
        <v>100</v>
      </c>
      <c r="F446">
        <v>320</v>
      </c>
      <c r="G446">
        <v>2400</v>
      </c>
      <c r="H446">
        <v>118431.92</v>
      </c>
      <c r="I446">
        <v>0</v>
      </c>
      <c r="J446" s="283">
        <v>45412.177658182867</v>
      </c>
      <c r="K446" t="s">
        <v>3156</v>
      </c>
      <c r="L446" t="s">
        <v>3145</v>
      </c>
      <c r="M446" t="s">
        <v>3146</v>
      </c>
      <c r="N446" t="s">
        <v>457</v>
      </c>
      <c r="O446" t="s">
        <v>93</v>
      </c>
    </row>
    <row r="447" spans="1:15" x14ac:dyDescent="0.35">
      <c r="A447">
        <v>58151</v>
      </c>
      <c r="B447" s="283">
        <v>44378</v>
      </c>
      <c r="C447">
        <v>2183</v>
      </c>
      <c r="D447">
        <v>2148</v>
      </c>
      <c r="E447">
        <v>100</v>
      </c>
      <c r="F447">
        <v>320</v>
      </c>
      <c r="G447">
        <v>2570</v>
      </c>
      <c r="H447">
        <v>96951.24</v>
      </c>
      <c r="I447">
        <v>0</v>
      </c>
      <c r="J447" s="283">
        <v>45412.177658182867</v>
      </c>
      <c r="K447" t="s">
        <v>3157</v>
      </c>
      <c r="L447" t="s">
        <v>3145</v>
      </c>
      <c r="M447" t="s">
        <v>3146</v>
      </c>
      <c r="N447" t="s">
        <v>457</v>
      </c>
      <c r="O447" t="s">
        <v>93</v>
      </c>
    </row>
    <row r="448" spans="1:15" x14ac:dyDescent="0.35">
      <c r="A448">
        <v>58152</v>
      </c>
      <c r="B448" s="283">
        <v>44378</v>
      </c>
      <c r="C448">
        <v>2183</v>
      </c>
      <c r="D448">
        <v>2148</v>
      </c>
      <c r="E448">
        <v>100</v>
      </c>
      <c r="F448">
        <v>320</v>
      </c>
      <c r="G448">
        <v>3100</v>
      </c>
      <c r="H448">
        <v>5977.59</v>
      </c>
      <c r="I448">
        <v>0</v>
      </c>
      <c r="J448" s="283">
        <v>45412.177658182867</v>
      </c>
      <c r="K448" t="s">
        <v>3158</v>
      </c>
      <c r="L448" t="s">
        <v>3145</v>
      </c>
      <c r="M448" t="s">
        <v>3146</v>
      </c>
      <c r="N448" t="s">
        <v>457</v>
      </c>
      <c r="O448" t="s">
        <v>93</v>
      </c>
    </row>
    <row r="449" spans="1:15" x14ac:dyDescent="0.35">
      <c r="A449">
        <v>58160</v>
      </c>
      <c r="B449" s="283">
        <v>44378</v>
      </c>
      <c r="C449">
        <v>2185</v>
      </c>
      <c r="D449">
        <v>2148</v>
      </c>
      <c r="E449">
        <v>100</v>
      </c>
      <c r="F449">
        <v>320</v>
      </c>
      <c r="G449">
        <v>1200</v>
      </c>
      <c r="H449">
        <v>1179663.8700000001</v>
      </c>
      <c r="I449">
        <v>0</v>
      </c>
      <c r="J449" s="283">
        <v>45412.177658182867</v>
      </c>
      <c r="K449" t="s">
        <v>3144</v>
      </c>
      <c r="L449" t="s">
        <v>3145</v>
      </c>
      <c r="M449" t="s">
        <v>3146</v>
      </c>
      <c r="N449" t="s">
        <v>457</v>
      </c>
      <c r="O449" t="s">
        <v>46</v>
      </c>
    </row>
    <row r="450" spans="1:15" x14ac:dyDescent="0.35">
      <c r="A450">
        <v>58161</v>
      </c>
      <c r="B450" s="283">
        <v>44378</v>
      </c>
      <c r="C450">
        <v>2185</v>
      </c>
      <c r="D450">
        <v>2148</v>
      </c>
      <c r="E450">
        <v>100</v>
      </c>
      <c r="F450">
        <v>320</v>
      </c>
      <c r="G450">
        <v>2100</v>
      </c>
      <c r="H450">
        <v>322356.53000000003</v>
      </c>
      <c r="I450">
        <v>0</v>
      </c>
      <c r="J450" s="283">
        <v>45412.177658182867</v>
      </c>
      <c r="K450" t="s">
        <v>3147</v>
      </c>
      <c r="L450" t="s">
        <v>3145</v>
      </c>
      <c r="M450" t="s">
        <v>3146</v>
      </c>
      <c r="N450" t="s">
        <v>457</v>
      </c>
      <c r="O450" t="s">
        <v>46</v>
      </c>
    </row>
    <row r="451" spans="1:15" x14ac:dyDescent="0.35">
      <c r="A451">
        <v>58162</v>
      </c>
      <c r="B451" s="283">
        <v>44378</v>
      </c>
      <c r="C451">
        <v>2185</v>
      </c>
      <c r="D451">
        <v>2148</v>
      </c>
      <c r="E451">
        <v>100</v>
      </c>
      <c r="F451">
        <v>320</v>
      </c>
      <c r="G451">
        <v>2160</v>
      </c>
      <c r="H451">
        <v>159981.22</v>
      </c>
      <c r="I451">
        <v>0</v>
      </c>
      <c r="J451" s="283">
        <v>45412.177658182867</v>
      </c>
      <c r="K451" t="s">
        <v>3149</v>
      </c>
      <c r="L451" t="s">
        <v>3145</v>
      </c>
      <c r="M451" t="s">
        <v>3146</v>
      </c>
      <c r="N451" t="s">
        <v>457</v>
      </c>
      <c r="O451" t="s">
        <v>46</v>
      </c>
    </row>
    <row r="452" spans="1:15" x14ac:dyDescent="0.35">
      <c r="A452">
        <v>58163</v>
      </c>
      <c r="B452" s="283">
        <v>44378</v>
      </c>
      <c r="C452">
        <v>2185</v>
      </c>
      <c r="D452">
        <v>2148</v>
      </c>
      <c r="E452">
        <v>100</v>
      </c>
      <c r="F452">
        <v>320</v>
      </c>
      <c r="G452">
        <v>2190</v>
      </c>
      <c r="H452">
        <v>247236.3</v>
      </c>
      <c r="I452">
        <v>0</v>
      </c>
      <c r="J452" s="283">
        <v>45412.177658182867</v>
      </c>
      <c r="K452" t="s">
        <v>3150</v>
      </c>
      <c r="L452" t="s">
        <v>3145</v>
      </c>
      <c r="M452" t="s">
        <v>3146</v>
      </c>
      <c r="N452" t="s">
        <v>457</v>
      </c>
      <c r="O452" t="s">
        <v>46</v>
      </c>
    </row>
    <row r="453" spans="1:15" x14ac:dyDescent="0.35">
      <c r="A453">
        <v>58164</v>
      </c>
      <c r="B453" s="283">
        <v>44378</v>
      </c>
      <c r="C453">
        <v>2185</v>
      </c>
      <c r="D453">
        <v>2148</v>
      </c>
      <c r="E453">
        <v>100</v>
      </c>
      <c r="F453">
        <v>320</v>
      </c>
      <c r="G453">
        <v>2400</v>
      </c>
      <c r="H453">
        <v>38517.81</v>
      </c>
      <c r="I453">
        <v>0</v>
      </c>
      <c r="J453" s="283">
        <v>45412.177658182867</v>
      </c>
      <c r="K453" t="s">
        <v>3156</v>
      </c>
      <c r="L453" t="s">
        <v>3145</v>
      </c>
      <c r="M453" t="s">
        <v>3146</v>
      </c>
      <c r="N453" t="s">
        <v>457</v>
      </c>
      <c r="O453" t="s">
        <v>46</v>
      </c>
    </row>
    <row r="454" spans="1:15" x14ac:dyDescent="0.35">
      <c r="A454">
        <v>58165</v>
      </c>
      <c r="B454" s="283">
        <v>44378</v>
      </c>
      <c r="C454">
        <v>2185</v>
      </c>
      <c r="D454">
        <v>2148</v>
      </c>
      <c r="E454">
        <v>100</v>
      </c>
      <c r="F454">
        <v>320</v>
      </c>
      <c r="G454">
        <v>2570</v>
      </c>
      <c r="H454">
        <v>62591.46</v>
      </c>
      <c r="I454">
        <v>0</v>
      </c>
      <c r="J454" s="283">
        <v>45412.177658182867</v>
      </c>
      <c r="K454" t="s">
        <v>3157</v>
      </c>
      <c r="L454" t="s">
        <v>3145</v>
      </c>
      <c r="M454" t="s">
        <v>3146</v>
      </c>
      <c r="N454" t="s">
        <v>457</v>
      </c>
      <c r="O454" t="s">
        <v>46</v>
      </c>
    </row>
    <row r="455" spans="1:15" x14ac:dyDescent="0.35">
      <c r="A455">
        <v>58166</v>
      </c>
      <c r="B455" s="283">
        <v>44378</v>
      </c>
      <c r="C455">
        <v>2185</v>
      </c>
      <c r="D455">
        <v>2148</v>
      </c>
      <c r="E455">
        <v>100</v>
      </c>
      <c r="F455">
        <v>320</v>
      </c>
      <c r="G455">
        <v>3100</v>
      </c>
      <c r="H455">
        <v>2580.2600000000002</v>
      </c>
      <c r="I455">
        <v>0</v>
      </c>
      <c r="J455" s="283">
        <v>45412.177658182867</v>
      </c>
      <c r="K455" t="s">
        <v>3158</v>
      </c>
      <c r="L455" t="s">
        <v>3145</v>
      </c>
      <c r="M455" t="s">
        <v>3146</v>
      </c>
      <c r="N455" t="s">
        <v>457</v>
      </c>
      <c r="O455" t="s">
        <v>46</v>
      </c>
    </row>
    <row r="456" spans="1:15" x14ac:dyDescent="0.35">
      <c r="A456">
        <v>58177</v>
      </c>
      <c r="B456" s="283">
        <v>44378</v>
      </c>
      <c r="C456">
        <v>2186</v>
      </c>
      <c r="D456">
        <v>2148</v>
      </c>
      <c r="E456">
        <v>100</v>
      </c>
      <c r="F456">
        <v>320</v>
      </c>
      <c r="G456">
        <v>1200</v>
      </c>
      <c r="H456">
        <v>61906.48</v>
      </c>
      <c r="I456">
        <v>0</v>
      </c>
      <c r="J456" s="283">
        <v>45412.177658182867</v>
      </c>
      <c r="K456" t="s">
        <v>3144</v>
      </c>
      <c r="L456" t="s">
        <v>3145</v>
      </c>
      <c r="M456" t="s">
        <v>3146</v>
      </c>
      <c r="N456" t="s">
        <v>457</v>
      </c>
      <c r="O456" t="s">
        <v>56</v>
      </c>
    </row>
    <row r="457" spans="1:15" x14ac:dyDescent="0.35">
      <c r="A457">
        <v>58178</v>
      </c>
      <c r="B457" s="283">
        <v>44378</v>
      </c>
      <c r="C457">
        <v>2186</v>
      </c>
      <c r="D457">
        <v>2148</v>
      </c>
      <c r="E457">
        <v>100</v>
      </c>
      <c r="F457">
        <v>320</v>
      </c>
      <c r="G457">
        <v>2100</v>
      </c>
      <c r="H457">
        <v>49134.01</v>
      </c>
      <c r="I457">
        <v>0</v>
      </c>
      <c r="J457" s="283">
        <v>45412.177658182867</v>
      </c>
      <c r="K457" t="s">
        <v>3147</v>
      </c>
      <c r="L457" t="s">
        <v>3145</v>
      </c>
      <c r="M457" t="s">
        <v>3146</v>
      </c>
      <c r="N457" t="s">
        <v>457</v>
      </c>
      <c r="O457" t="s">
        <v>56</v>
      </c>
    </row>
    <row r="458" spans="1:15" x14ac:dyDescent="0.35">
      <c r="A458">
        <v>58179</v>
      </c>
      <c r="B458" s="283">
        <v>44378</v>
      </c>
      <c r="C458">
        <v>2186</v>
      </c>
      <c r="D458">
        <v>2148</v>
      </c>
      <c r="E458">
        <v>100</v>
      </c>
      <c r="F458">
        <v>320</v>
      </c>
      <c r="G458">
        <v>2160</v>
      </c>
      <c r="H458">
        <v>25714.67</v>
      </c>
      <c r="I458">
        <v>0</v>
      </c>
      <c r="J458" s="283">
        <v>45412.177658182867</v>
      </c>
      <c r="K458" t="s">
        <v>3149</v>
      </c>
      <c r="L458" t="s">
        <v>3145</v>
      </c>
      <c r="M458" t="s">
        <v>3146</v>
      </c>
      <c r="N458" t="s">
        <v>457</v>
      </c>
      <c r="O458" t="s">
        <v>56</v>
      </c>
    </row>
    <row r="459" spans="1:15" x14ac:dyDescent="0.35">
      <c r="A459">
        <v>58180</v>
      </c>
      <c r="B459" s="283">
        <v>44378</v>
      </c>
      <c r="C459">
        <v>2186</v>
      </c>
      <c r="D459">
        <v>2148</v>
      </c>
      <c r="E459">
        <v>100</v>
      </c>
      <c r="F459">
        <v>320</v>
      </c>
      <c r="G459">
        <v>2190</v>
      </c>
      <c r="H459">
        <v>17050.419999999998</v>
      </c>
      <c r="I459">
        <v>0</v>
      </c>
      <c r="J459" s="283">
        <v>45412.177658182867</v>
      </c>
      <c r="K459" t="s">
        <v>3150</v>
      </c>
      <c r="L459" t="s">
        <v>3145</v>
      </c>
      <c r="M459" t="s">
        <v>3146</v>
      </c>
      <c r="N459" t="s">
        <v>457</v>
      </c>
      <c r="O459" t="s">
        <v>56</v>
      </c>
    </row>
    <row r="460" spans="1:15" x14ac:dyDescent="0.35">
      <c r="A460">
        <v>58192</v>
      </c>
      <c r="B460" s="283">
        <v>44378</v>
      </c>
      <c r="C460">
        <v>2187</v>
      </c>
      <c r="D460">
        <v>2148</v>
      </c>
      <c r="E460">
        <v>100</v>
      </c>
      <c r="F460">
        <v>320</v>
      </c>
      <c r="G460">
        <v>1200</v>
      </c>
      <c r="H460">
        <v>1116261.48</v>
      </c>
      <c r="I460">
        <v>0</v>
      </c>
      <c r="J460" s="283">
        <v>45412.177658182867</v>
      </c>
      <c r="K460" t="s">
        <v>3144</v>
      </c>
      <c r="L460" t="s">
        <v>3145</v>
      </c>
      <c r="M460" t="s">
        <v>3146</v>
      </c>
      <c r="N460" t="s">
        <v>457</v>
      </c>
      <c r="O460" t="s">
        <v>65</v>
      </c>
    </row>
    <row r="461" spans="1:15" x14ac:dyDescent="0.35">
      <c r="A461">
        <v>58193</v>
      </c>
      <c r="B461" s="283">
        <v>44378</v>
      </c>
      <c r="C461">
        <v>2187</v>
      </c>
      <c r="D461">
        <v>2148</v>
      </c>
      <c r="E461">
        <v>100</v>
      </c>
      <c r="F461">
        <v>320</v>
      </c>
      <c r="G461">
        <v>2100</v>
      </c>
      <c r="H461">
        <v>226993.57</v>
      </c>
      <c r="I461">
        <v>0</v>
      </c>
      <c r="J461" s="283">
        <v>45412.177658182867</v>
      </c>
      <c r="K461" t="s">
        <v>3147</v>
      </c>
      <c r="L461" t="s">
        <v>3145</v>
      </c>
      <c r="M461" t="s">
        <v>3146</v>
      </c>
      <c r="N461" t="s">
        <v>457</v>
      </c>
      <c r="O461" t="s">
        <v>65</v>
      </c>
    </row>
    <row r="462" spans="1:15" x14ac:dyDescent="0.35">
      <c r="A462">
        <v>58194</v>
      </c>
      <c r="B462" s="283">
        <v>44378</v>
      </c>
      <c r="C462">
        <v>2187</v>
      </c>
      <c r="D462">
        <v>2148</v>
      </c>
      <c r="E462">
        <v>100</v>
      </c>
      <c r="F462">
        <v>320</v>
      </c>
      <c r="G462">
        <v>2160</v>
      </c>
      <c r="H462">
        <v>84234.03</v>
      </c>
      <c r="I462">
        <v>0</v>
      </c>
      <c r="J462" s="283">
        <v>45412.177658182867</v>
      </c>
      <c r="K462" t="s">
        <v>3149</v>
      </c>
      <c r="L462" t="s">
        <v>3145</v>
      </c>
      <c r="M462" t="s">
        <v>3146</v>
      </c>
      <c r="N462" t="s">
        <v>457</v>
      </c>
      <c r="O462" t="s">
        <v>65</v>
      </c>
    </row>
    <row r="463" spans="1:15" x14ac:dyDescent="0.35">
      <c r="A463">
        <v>58195</v>
      </c>
      <c r="B463" s="283">
        <v>44378</v>
      </c>
      <c r="C463">
        <v>2187</v>
      </c>
      <c r="D463">
        <v>2148</v>
      </c>
      <c r="E463">
        <v>100</v>
      </c>
      <c r="F463">
        <v>320</v>
      </c>
      <c r="G463">
        <v>2190</v>
      </c>
      <c r="H463">
        <v>96491.17</v>
      </c>
      <c r="I463">
        <v>0</v>
      </c>
      <c r="J463" s="283">
        <v>45412.177658182867</v>
      </c>
      <c r="K463" t="s">
        <v>3150</v>
      </c>
      <c r="L463" t="s">
        <v>3145</v>
      </c>
      <c r="M463" t="s">
        <v>3146</v>
      </c>
      <c r="N463" t="s">
        <v>457</v>
      </c>
      <c r="O463" t="s">
        <v>65</v>
      </c>
    </row>
    <row r="464" spans="1:15" x14ac:dyDescent="0.35">
      <c r="A464">
        <v>58196</v>
      </c>
      <c r="B464" s="283">
        <v>44378</v>
      </c>
      <c r="C464">
        <v>2187</v>
      </c>
      <c r="D464">
        <v>2148</v>
      </c>
      <c r="E464">
        <v>100</v>
      </c>
      <c r="F464">
        <v>320</v>
      </c>
      <c r="G464">
        <v>2400</v>
      </c>
      <c r="H464">
        <v>160423.19</v>
      </c>
      <c r="I464">
        <v>0</v>
      </c>
      <c r="J464" s="283">
        <v>45412.177658182867</v>
      </c>
      <c r="K464" t="s">
        <v>3156</v>
      </c>
      <c r="L464" t="s">
        <v>3145</v>
      </c>
      <c r="M464" t="s">
        <v>3146</v>
      </c>
      <c r="N464" t="s">
        <v>457</v>
      </c>
      <c r="O464" t="s">
        <v>65</v>
      </c>
    </row>
    <row r="465" spans="1:15" x14ac:dyDescent="0.35">
      <c r="A465">
        <v>58197</v>
      </c>
      <c r="B465" s="283">
        <v>44378</v>
      </c>
      <c r="C465">
        <v>2187</v>
      </c>
      <c r="D465">
        <v>2148</v>
      </c>
      <c r="E465">
        <v>100</v>
      </c>
      <c r="F465">
        <v>320</v>
      </c>
      <c r="G465">
        <v>2570</v>
      </c>
      <c r="H465">
        <v>132316.4</v>
      </c>
      <c r="I465">
        <v>0</v>
      </c>
      <c r="J465" s="283">
        <v>45412.177658182867</v>
      </c>
      <c r="K465" t="s">
        <v>3157</v>
      </c>
      <c r="L465" t="s">
        <v>3145</v>
      </c>
      <c r="M465" t="s">
        <v>3146</v>
      </c>
      <c r="N465" t="s">
        <v>457</v>
      </c>
      <c r="O465" t="s">
        <v>65</v>
      </c>
    </row>
    <row r="466" spans="1:15" x14ac:dyDescent="0.35">
      <c r="A466">
        <v>58198</v>
      </c>
      <c r="B466" s="283">
        <v>44378</v>
      </c>
      <c r="C466">
        <v>2187</v>
      </c>
      <c r="D466">
        <v>2148</v>
      </c>
      <c r="E466">
        <v>100</v>
      </c>
      <c r="F466">
        <v>320</v>
      </c>
      <c r="G466">
        <v>3100</v>
      </c>
      <c r="H466">
        <v>7548.67</v>
      </c>
      <c r="I466">
        <v>0</v>
      </c>
      <c r="J466" s="283">
        <v>45412.177658182867</v>
      </c>
      <c r="K466" t="s">
        <v>3158</v>
      </c>
      <c r="L466" t="s">
        <v>3145</v>
      </c>
      <c r="M466" t="s">
        <v>3146</v>
      </c>
      <c r="N466" t="s">
        <v>457</v>
      </c>
      <c r="O466" t="s">
        <v>65</v>
      </c>
    </row>
    <row r="467" spans="1:15" x14ac:dyDescent="0.35">
      <c r="A467">
        <v>58205</v>
      </c>
      <c r="B467" s="283">
        <v>44378</v>
      </c>
      <c r="C467">
        <v>2188</v>
      </c>
      <c r="D467">
        <v>2148</v>
      </c>
      <c r="E467">
        <v>100</v>
      </c>
      <c r="F467">
        <v>320</v>
      </c>
      <c r="G467">
        <v>1200</v>
      </c>
      <c r="H467">
        <v>144325.59</v>
      </c>
      <c r="I467">
        <v>0</v>
      </c>
      <c r="J467" s="283">
        <v>45412.177658182867</v>
      </c>
      <c r="K467" t="s">
        <v>3144</v>
      </c>
      <c r="L467" t="s">
        <v>3145</v>
      </c>
      <c r="M467" t="s">
        <v>3146</v>
      </c>
      <c r="N467" t="s">
        <v>457</v>
      </c>
      <c r="O467" t="s">
        <v>178</v>
      </c>
    </row>
    <row r="468" spans="1:15" x14ac:dyDescent="0.35">
      <c r="A468">
        <v>58206</v>
      </c>
      <c r="B468" s="283">
        <v>44378</v>
      </c>
      <c r="C468">
        <v>2188</v>
      </c>
      <c r="D468">
        <v>2148</v>
      </c>
      <c r="E468">
        <v>100</v>
      </c>
      <c r="F468">
        <v>320</v>
      </c>
      <c r="G468">
        <v>2100</v>
      </c>
      <c r="H468">
        <v>114548.53</v>
      </c>
      <c r="I468">
        <v>0</v>
      </c>
      <c r="J468" s="283">
        <v>45412.177658182867</v>
      </c>
      <c r="K468" t="s">
        <v>3147</v>
      </c>
      <c r="L468" t="s">
        <v>3145</v>
      </c>
      <c r="M468" t="s">
        <v>3146</v>
      </c>
      <c r="N468" t="s">
        <v>457</v>
      </c>
      <c r="O468" t="s">
        <v>178</v>
      </c>
    </row>
    <row r="469" spans="1:15" x14ac:dyDescent="0.35">
      <c r="A469">
        <v>58207</v>
      </c>
      <c r="B469" s="283">
        <v>44378</v>
      </c>
      <c r="C469">
        <v>2188</v>
      </c>
      <c r="D469">
        <v>2148</v>
      </c>
      <c r="E469">
        <v>100</v>
      </c>
      <c r="F469">
        <v>320</v>
      </c>
      <c r="G469">
        <v>2160</v>
      </c>
      <c r="H469">
        <v>59949.86</v>
      </c>
      <c r="I469">
        <v>0</v>
      </c>
      <c r="J469" s="283">
        <v>45412.177658182867</v>
      </c>
      <c r="K469" t="s">
        <v>3149</v>
      </c>
      <c r="L469" t="s">
        <v>3145</v>
      </c>
      <c r="M469" t="s">
        <v>3146</v>
      </c>
      <c r="N469" t="s">
        <v>457</v>
      </c>
      <c r="O469" t="s">
        <v>178</v>
      </c>
    </row>
    <row r="470" spans="1:15" x14ac:dyDescent="0.35">
      <c r="A470">
        <v>58208</v>
      </c>
      <c r="B470" s="283">
        <v>44378</v>
      </c>
      <c r="C470">
        <v>2188</v>
      </c>
      <c r="D470">
        <v>2148</v>
      </c>
      <c r="E470">
        <v>100</v>
      </c>
      <c r="F470">
        <v>320</v>
      </c>
      <c r="G470">
        <v>2190</v>
      </c>
      <c r="H470">
        <v>39750.47</v>
      </c>
      <c r="I470">
        <v>0</v>
      </c>
      <c r="J470" s="283">
        <v>45412.177658182867</v>
      </c>
      <c r="K470" t="s">
        <v>3150</v>
      </c>
      <c r="L470" t="s">
        <v>3145</v>
      </c>
      <c r="M470" t="s">
        <v>3146</v>
      </c>
      <c r="N470" t="s">
        <v>457</v>
      </c>
      <c r="O470" t="s">
        <v>178</v>
      </c>
    </row>
    <row r="471" spans="1:15" x14ac:dyDescent="0.35">
      <c r="A471">
        <v>58221</v>
      </c>
      <c r="B471" s="283">
        <v>44378</v>
      </c>
      <c r="C471">
        <v>1896</v>
      </c>
      <c r="D471">
        <v>2200</v>
      </c>
      <c r="E471">
        <v>100</v>
      </c>
      <c r="F471">
        <v>320</v>
      </c>
      <c r="G471">
        <v>2100</v>
      </c>
      <c r="H471">
        <v>17460.97</v>
      </c>
      <c r="I471">
        <v>0</v>
      </c>
      <c r="J471" s="283">
        <v>45412.177658182867</v>
      </c>
      <c r="K471" t="s">
        <v>3147</v>
      </c>
      <c r="L471" t="s">
        <v>3145</v>
      </c>
      <c r="M471" t="s">
        <v>3146</v>
      </c>
      <c r="N471" t="s">
        <v>351</v>
      </c>
      <c r="O471" t="s">
        <v>40</v>
      </c>
    </row>
    <row r="472" spans="1:15" x14ac:dyDescent="0.35">
      <c r="A472">
        <v>58222</v>
      </c>
      <c r="B472" s="283">
        <v>44378</v>
      </c>
      <c r="C472">
        <v>1896</v>
      </c>
      <c r="D472">
        <v>2200</v>
      </c>
      <c r="E472">
        <v>100</v>
      </c>
      <c r="F472">
        <v>320</v>
      </c>
      <c r="G472">
        <v>2160</v>
      </c>
      <c r="H472">
        <v>1240.6500000000001</v>
      </c>
      <c r="I472">
        <v>0</v>
      </c>
      <c r="J472" s="283">
        <v>45412.177658182867</v>
      </c>
      <c r="K472" t="s">
        <v>3149</v>
      </c>
      <c r="L472" t="s">
        <v>3145</v>
      </c>
      <c r="M472" t="s">
        <v>3146</v>
      </c>
      <c r="N472" t="s">
        <v>351</v>
      </c>
      <c r="O472" t="s">
        <v>40</v>
      </c>
    </row>
    <row r="473" spans="1:15" x14ac:dyDescent="0.35">
      <c r="A473">
        <v>58235</v>
      </c>
      <c r="B473" s="283">
        <v>44378</v>
      </c>
      <c r="C473">
        <v>2147</v>
      </c>
      <c r="D473">
        <v>2200</v>
      </c>
      <c r="E473">
        <v>100</v>
      </c>
      <c r="F473">
        <v>320</v>
      </c>
      <c r="G473">
        <v>2100</v>
      </c>
      <c r="H473">
        <v>624012.18999999994</v>
      </c>
      <c r="I473">
        <v>0</v>
      </c>
      <c r="J473" s="283">
        <v>45412.177658182867</v>
      </c>
      <c r="K473" t="s">
        <v>3147</v>
      </c>
      <c r="L473" t="s">
        <v>3145</v>
      </c>
      <c r="M473" t="s">
        <v>3146</v>
      </c>
      <c r="N473" t="s">
        <v>351</v>
      </c>
      <c r="O473" t="s">
        <v>135</v>
      </c>
    </row>
    <row r="474" spans="1:15" x14ac:dyDescent="0.35">
      <c r="A474">
        <v>58236</v>
      </c>
      <c r="B474" s="283">
        <v>44378</v>
      </c>
      <c r="C474">
        <v>2147</v>
      </c>
      <c r="D474">
        <v>2200</v>
      </c>
      <c r="E474">
        <v>100</v>
      </c>
      <c r="F474">
        <v>320</v>
      </c>
      <c r="G474">
        <v>2160</v>
      </c>
      <c r="H474">
        <v>44825.3</v>
      </c>
      <c r="I474">
        <v>0</v>
      </c>
      <c r="J474" s="283">
        <v>45412.177658182867</v>
      </c>
      <c r="K474" t="s">
        <v>3149</v>
      </c>
      <c r="L474" t="s">
        <v>3145</v>
      </c>
      <c r="M474" t="s">
        <v>3146</v>
      </c>
      <c r="N474" t="s">
        <v>351</v>
      </c>
      <c r="O474" t="s">
        <v>135</v>
      </c>
    </row>
    <row r="475" spans="1:15" x14ac:dyDescent="0.35">
      <c r="A475">
        <v>58248</v>
      </c>
      <c r="B475" s="283">
        <v>44378</v>
      </c>
      <c r="C475">
        <v>2201</v>
      </c>
      <c r="D475">
        <v>2200</v>
      </c>
      <c r="E475">
        <v>100</v>
      </c>
      <c r="F475">
        <v>320</v>
      </c>
      <c r="G475">
        <v>2100</v>
      </c>
      <c r="H475">
        <v>37701.86</v>
      </c>
      <c r="I475">
        <v>0</v>
      </c>
      <c r="J475" s="283">
        <v>45412.177658182867</v>
      </c>
      <c r="K475" t="s">
        <v>3147</v>
      </c>
      <c r="L475" t="s">
        <v>3145</v>
      </c>
      <c r="M475" t="s">
        <v>3146</v>
      </c>
      <c r="N475" t="s">
        <v>351</v>
      </c>
      <c r="O475" t="s">
        <v>99</v>
      </c>
    </row>
    <row r="476" spans="1:15" x14ac:dyDescent="0.35">
      <c r="A476">
        <v>58249</v>
      </c>
      <c r="B476" s="283">
        <v>44378</v>
      </c>
      <c r="C476">
        <v>2201</v>
      </c>
      <c r="D476">
        <v>2200</v>
      </c>
      <c r="E476">
        <v>100</v>
      </c>
      <c r="F476">
        <v>320</v>
      </c>
      <c r="G476">
        <v>2160</v>
      </c>
      <c r="H476">
        <v>2697.07</v>
      </c>
      <c r="I476">
        <v>0</v>
      </c>
      <c r="J476" s="283">
        <v>45412.177658182867</v>
      </c>
      <c r="K476" t="s">
        <v>3149</v>
      </c>
      <c r="L476" t="s">
        <v>3145</v>
      </c>
      <c r="M476" t="s">
        <v>3146</v>
      </c>
      <c r="N476" t="s">
        <v>351</v>
      </c>
      <c r="O476" t="s">
        <v>99</v>
      </c>
    </row>
    <row r="477" spans="1:15" x14ac:dyDescent="0.35">
      <c r="A477">
        <v>58261</v>
      </c>
      <c r="B477" s="283">
        <v>44378</v>
      </c>
      <c r="C477">
        <v>2202</v>
      </c>
      <c r="D477">
        <v>2200</v>
      </c>
      <c r="E477">
        <v>100</v>
      </c>
      <c r="F477">
        <v>320</v>
      </c>
      <c r="G477">
        <v>2100</v>
      </c>
      <c r="H477">
        <v>74977.94</v>
      </c>
      <c r="I477">
        <v>0</v>
      </c>
      <c r="J477" s="283">
        <v>45412.177658182867</v>
      </c>
      <c r="K477" t="s">
        <v>3147</v>
      </c>
      <c r="L477" t="s">
        <v>3145</v>
      </c>
      <c r="M477" t="s">
        <v>3146</v>
      </c>
      <c r="N477" t="s">
        <v>351</v>
      </c>
      <c r="O477" t="s">
        <v>162</v>
      </c>
    </row>
    <row r="478" spans="1:15" x14ac:dyDescent="0.35">
      <c r="A478">
        <v>58262</v>
      </c>
      <c r="B478" s="283">
        <v>44378</v>
      </c>
      <c r="C478">
        <v>2202</v>
      </c>
      <c r="D478">
        <v>2200</v>
      </c>
      <c r="E478">
        <v>100</v>
      </c>
      <c r="F478">
        <v>320</v>
      </c>
      <c r="G478">
        <v>2160</v>
      </c>
      <c r="H478">
        <v>5367.17</v>
      </c>
      <c r="I478">
        <v>0</v>
      </c>
      <c r="J478" s="283">
        <v>45412.177658182867</v>
      </c>
      <c r="K478" t="s">
        <v>3149</v>
      </c>
      <c r="L478" t="s">
        <v>3145</v>
      </c>
      <c r="M478" t="s">
        <v>3146</v>
      </c>
      <c r="N478" t="s">
        <v>351</v>
      </c>
      <c r="O478" t="s">
        <v>162</v>
      </c>
    </row>
    <row r="479" spans="1:15" x14ac:dyDescent="0.35">
      <c r="A479">
        <v>58274</v>
      </c>
      <c r="B479" s="283">
        <v>44378</v>
      </c>
      <c r="C479">
        <v>2203</v>
      </c>
      <c r="D479">
        <v>2200</v>
      </c>
      <c r="E479">
        <v>100</v>
      </c>
      <c r="F479">
        <v>320</v>
      </c>
      <c r="G479">
        <v>2100</v>
      </c>
      <c r="H479">
        <v>77921.490000000005</v>
      </c>
      <c r="I479">
        <v>0</v>
      </c>
      <c r="J479" s="283">
        <v>45412.177658182867</v>
      </c>
      <c r="K479" t="s">
        <v>3147</v>
      </c>
      <c r="L479" t="s">
        <v>3145</v>
      </c>
      <c r="M479" t="s">
        <v>3146</v>
      </c>
      <c r="N479" t="s">
        <v>351</v>
      </c>
      <c r="O479" t="s">
        <v>75</v>
      </c>
    </row>
    <row r="480" spans="1:15" x14ac:dyDescent="0.35">
      <c r="A480">
        <v>58275</v>
      </c>
      <c r="B480" s="283">
        <v>44378</v>
      </c>
      <c r="C480">
        <v>2203</v>
      </c>
      <c r="D480">
        <v>2200</v>
      </c>
      <c r="E480">
        <v>100</v>
      </c>
      <c r="F480">
        <v>320</v>
      </c>
      <c r="G480">
        <v>2160</v>
      </c>
      <c r="H480">
        <v>5582.93</v>
      </c>
      <c r="I480">
        <v>0</v>
      </c>
      <c r="J480" s="283">
        <v>45412.177658182867</v>
      </c>
      <c r="K480" t="s">
        <v>3149</v>
      </c>
      <c r="L480" t="s">
        <v>3145</v>
      </c>
      <c r="M480" t="s">
        <v>3146</v>
      </c>
      <c r="N480" t="s">
        <v>351</v>
      </c>
      <c r="O480" t="s">
        <v>75</v>
      </c>
    </row>
    <row r="481" spans="1:15" x14ac:dyDescent="0.35">
      <c r="A481">
        <v>58287</v>
      </c>
      <c r="B481" s="283">
        <v>44378</v>
      </c>
      <c r="C481">
        <v>2204</v>
      </c>
      <c r="D481">
        <v>2200</v>
      </c>
      <c r="E481">
        <v>100</v>
      </c>
      <c r="F481">
        <v>320</v>
      </c>
      <c r="G481">
        <v>2100</v>
      </c>
      <c r="H481">
        <v>263231.46000000002</v>
      </c>
      <c r="I481">
        <v>0</v>
      </c>
      <c r="J481" s="283">
        <v>45412.177658182867</v>
      </c>
      <c r="K481" t="s">
        <v>3147</v>
      </c>
      <c r="L481" t="s">
        <v>3145</v>
      </c>
      <c r="M481" t="s">
        <v>3146</v>
      </c>
      <c r="N481" t="s">
        <v>351</v>
      </c>
      <c r="O481" t="s">
        <v>208</v>
      </c>
    </row>
    <row r="482" spans="1:15" x14ac:dyDescent="0.35">
      <c r="A482">
        <v>58288</v>
      </c>
      <c r="B482" s="283">
        <v>44378</v>
      </c>
      <c r="C482">
        <v>2204</v>
      </c>
      <c r="D482">
        <v>2200</v>
      </c>
      <c r="E482">
        <v>100</v>
      </c>
      <c r="F482">
        <v>320</v>
      </c>
      <c r="G482">
        <v>2160</v>
      </c>
      <c r="H482">
        <v>18879.490000000002</v>
      </c>
      <c r="I482">
        <v>0</v>
      </c>
      <c r="J482" s="283">
        <v>45412.177658182867</v>
      </c>
      <c r="K482" t="s">
        <v>3149</v>
      </c>
      <c r="L482" t="s">
        <v>3145</v>
      </c>
      <c r="M482" t="s">
        <v>3146</v>
      </c>
      <c r="N482" t="s">
        <v>351</v>
      </c>
      <c r="O482" t="s">
        <v>208</v>
      </c>
    </row>
    <row r="483" spans="1:15" x14ac:dyDescent="0.35">
      <c r="A483">
        <v>58300</v>
      </c>
      <c r="B483" s="283">
        <v>44378</v>
      </c>
      <c r="C483">
        <v>2205</v>
      </c>
      <c r="D483">
        <v>2200</v>
      </c>
      <c r="E483">
        <v>100</v>
      </c>
      <c r="F483">
        <v>320</v>
      </c>
      <c r="G483">
        <v>2100</v>
      </c>
      <c r="H483">
        <v>401122.96</v>
      </c>
      <c r="I483">
        <v>0</v>
      </c>
      <c r="J483" s="283">
        <v>45412.177658182867</v>
      </c>
      <c r="K483" t="s">
        <v>3147</v>
      </c>
      <c r="L483" t="s">
        <v>3145</v>
      </c>
      <c r="M483" t="s">
        <v>3146</v>
      </c>
      <c r="N483" t="s">
        <v>351</v>
      </c>
      <c r="O483" t="s">
        <v>130</v>
      </c>
    </row>
    <row r="484" spans="1:15" x14ac:dyDescent="0.35">
      <c r="A484">
        <v>58301</v>
      </c>
      <c r="B484" s="283">
        <v>44378</v>
      </c>
      <c r="C484">
        <v>2205</v>
      </c>
      <c r="D484">
        <v>2200</v>
      </c>
      <c r="E484">
        <v>100</v>
      </c>
      <c r="F484">
        <v>320</v>
      </c>
      <c r="G484">
        <v>2160</v>
      </c>
      <c r="H484">
        <v>28777.73</v>
      </c>
      <c r="I484">
        <v>0</v>
      </c>
      <c r="J484" s="283">
        <v>45412.177658182867</v>
      </c>
      <c r="K484" t="s">
        <v>3149</v>
      </c>
      <c r="L484" t="s">
        <v>3145</v>
      </c>
      <c r="M484" t="s">
        <v>3146</v>
      </c>
      <c r="N484" t="s">
        <v>351</v>
      </c>
      <c r="O484" t="s">
        <v>130</v>
      </c>
    </row>
    <row r="485" spans="1:15" x14ac:dyDescent="0.35">
      <c r="A485">
        <v>58314</v>
      </c>
      <c r="B485" s="283">
        <v>44378</v>
      </c>
      <c r="C485">
        <v>2207</v>
      </c>
      <c r="D485">
        <v>2200</v>
      </c>
      <c r="E485">
        <v>100</v>
      </c>
      <c r="F485">
        <v>320</v>
      </c>
      <c r="G485">
        <v>2100</v>
      </c>
      <c r="H485">
        <v>845854.42</v>
      </c>
      <c r="I485">
        <v>0</v>
      </c>
      <c r="J485" s="283">
        <v>45412.177658182867</v>
      </c>
      <c r="K485" t="s">
        <v>3147</v>
      </c>
      <c r="L485" t="s">
        <v>3145</v>
      </c>
      <c r="M485" t="s">
        <v>3146</v>
      </c>
      <c r="N485" t="s">
        <v>351</v>
      </c>
      <c r="O485" t="s">
        <v>157</v>
      </c>
    </row>
    <row r="486" spans="1:15" x14ac:dyDescent="0.35">
      <c r="A486">
        <v>58315</v>
      </c>
      <c r="B486" s="283">
        <v>44378</v>
      </c>
      <c r="C486">
        <v>2207</v>
      </c>
      <c r="D486">
        <v>2200</v>
      </c>
      <c r="E486">
        <v>100</v>
      </c>
      <c r="F486">
        <v>320</v>
      </c>
      <c r="G486">
        <v>2160</v>
      </c>
      <c r="H486">
        <v>60684.07</v>
      </c>
      <c r="I486">
        <v>0</v>
      </c>
      <c r="J486" s="283">
        <v>45412.177658182867</v>
      </c>
      <c r="K486" t="s">
        <v>3149</v>
      </c>
      <c r="L486" t="s">
        <v>3145</v>
      </c>
      <c r="M486" t="s">
        <v>3146</v>
      </c>
      <c r="N486" t="s">
        <v>351</v>
      </c>
      <c r="O486" t="s">
        <v>157</v>
      </c>
    </row>
    <row r="487" spans="1:15" x14ac:dyDescent="0.35">
      <c r="A487">
        <v>58327</v>
      </c>
      <c r="B487" s="283">
        <v>44378</v>
      </c>
      <c r="C487">
        <v>2208</v>
      </c>
      <c r="D487">
        <v>2200</v>
      </c>
      <c r="E487">
        <v>100</v>
      </c>
      <c r="F487">
        <v>320</v>
      </c>
      <c r="G487">
        <v>2100</v>
      </c>
      <c r="H487">
        <v>153381.6</v>
      </c>
      <c r="I487">
        <v>0</v>
      </c>
      <c r="J487" s="283">
        <v>45412.177658182867</v>
      </c>
      <c r="K487" t="s">
        <v>3147</v>
      </c>
      <c r="L487" t="s">
        <v>3145</v>
      </c>
      <c r="M487" t="s">
        <v>3146</v>
      </c>
      <c r="N487" t="s">
        <v>351</v>
      </c>
      <c r="O487" t="s">
        <v>29</v>
      </c>
    </row>
    <row r="488" spans="1:15" x14ac:dyDescent="0.35">
      <c r="A488">
        <v>58328</v>
      </c>
      <c r="B488" s="283">
        <v>44378</v>
      </c>
      <c r="C488">
        <v>2208</v>
      </c>
      <c r="D488">
        <v>2200</v>
      </c>
      <c r="E488">
        <v>100</v>
      </c>
      <c r="F488">
        <v>320</v>
      </c>
      <c r="G488">
        <v>2160</v>
      </c>
      <c r="H488">
        <v>11004.04</v>
      </c>
      <c r="I488">
        <v>0</v>
      </c>
      <c r="J488" s="283">
        <v>45412.177658182867</v>
      </c>
      <c r="K488" t="s">
        <v>3149</v>
      </c>
      <c r="L488" t="s">
        <v>3145</v>
      </c>
      <c r="M488" t="s">
        <v>3146</v>
      </c>
      <c r="N488" t="s">
        <v>351</v>
      </c>
      <c r="O488" t="s">
        <v>29</v>
      </c>
    </row>
    <row r="489" spans="1:15" x14ac:dyDescent="0.35">
      <c r="A489">
        <v>58340</v>
      </c>
      <c r="B489" s="283">
        <v>44378</v>
      </c>
      <c r="C489">
        <v>2209</v>
      </c>
      <c r="D489">
        <v>2200</v>
      </c>
      <c r="E489">
        <v>100</v>
      </c>
      <c r="F489">
        <v>320</v>
      </c>
      <c r="G489">
        <v>2100</v>
      </c>
      <c r="H489">
        <v>133457.03</v>
      </c>
      <c r="I489">
        <v>0</v>
      </c>
      <c r="J489" s="283">
        <v>45412.177658182867</v>
      </c>
      <c r="K489" t="s">
        <v>3147</v>
      </c>
      <c r="L489" t="s">
        <v>3145</v>
      </c>
      <c r="M489" t="s">
        <v>3146</v>
      </c>
      <c r="N489" t="s">
        <v>351</v>
      </c>
      <c r="O489" t="s">
        <v>199</v>
      </c>
    </row>
    <row r="490" spans="1:15" x14ac:dyDescent="0.35">
      <c r="A490">
        <v>58341</v>
      </c>
      <c r="B490" s="283">
        <v>44378</v>
      </c>
      <c r="C490">
        <v>2209</v>
      </c>
      <c r="D490">
        <v>2200</v>
      </c>
      <c r="E490">
        <v>100</v>
      </c>
      <c r="F490">
        <v>320</v>
      </c>
      <c r="G490">
        <v>2160</v>
      </c>
      <c r="H490">
        <v>9574.6</v>
      </c>
      <c r="I490">
        <v>0</v>
      </c>
      <c r="J490" s="283">
        <v>45412.177658182867</v>
      </c>
      <c r="K490" t="s">
        <v>3149</v>
      </c>
      <c r="L490" t="s">
        <v>3145</v>
      </c>
      <c r="M490" t="s">
        <v>3146</v>
      </c>
      <c r="N490" t="s">
        <v>351</v>
      </c>
      <c r="O490" t="s">
        <v>199</v>
      </c>
    </row>
    <row r="491" spans="1:15" x14ac:dyDescent="0.35">
      <c r="A491">
        <v>58353</v>
      </c>
      <c r="B491" s="283">
        <v>44378</v>
      </c>
      <c r="C491">
        <v>2210</v>
      </c>
      <c r="D491">
        <v>2200</v>
      </c>
      <c r="E491">
        <v>100</v>
      </c>
      <c r="F491">
        <v>320</v>
      </c>
      <c r="G491">
        <v>2100</v>
      </c>
      <c r="H491">
        <v>7628.71</v>
      </c>
      <c r="I491">
        <v>0</v>
      </c>
      <c r="J491" s="283">
        <v>45412.177658182867</v>
      </c>
      <c r="K491" t="s">
        <v>3147</v>
      </c>
      <c r="L491" t="s">
        <v>3145</v>
      </c>
      <c r="M491" t="s">
        <v>3146</v>
      </c>
      <c r="N491" t="s">
        <v>351</v>
      </c>
      <c r="O491" t="s">
        <v>207</v>
      </c>
    </row>
    <row r="492" spans="1:15" x14ac:dyDescent="0.35">
      <c r="A492">
        <v>58354</v>
      </c>
      <c r="B492" s="283">
        <v>44378</v>
      </c>
      <c r="C492">
        <v>2210</v>
      </c>
      <c r="D492">
        <v>2200</v>
      </c>
      <c r="E492">
        <v>100</v>
      </c>
      <c r="F492">
        <v>320</v>
      </c>
      <c r="G492">
        <v>2160</v>
      </c>
      <c r="H492">
        <v>539.41</v>
      </c>
      <c r="I492">
        <v>0</v>
      </c>
      <c r="J492" s="283">
        <v>45412.177658182867</v>
      </c>
      <c r="K492" t="s">
        <v>3149</v>
      </c>
      <c r="L492" t="s">
        <v>3145</v>
      </c>
      <c r="M492" t="s">
        <v>3146</v>
      </c>
      <c r="N492" t="s">
        <v>351</v>
      </c>
      <c r="O492" t="s">
        <v>207</v>
      </c>
    </row>
    <row r="493" spans="1:15" x14ac:dyDescent="0.35">
      <c r="A493">
        <v>58366</v>
      </c>
      <c r="B493" s="283">
        <v>44378</v>
      </c>
      <c r="C493">
        <v>2212</v>
      </c>
      <c r="D493">
        <v>2200</v>
      </c>
      <c r="E493">
        <v>100</v>
      </c>
      <c r="F493">
        <v>320</v>
      </c>
      <c r="G493">
        <v>2100</v>
      </c>
      <c r="H493">
        <v>685658.92</v>
      </c>
      <c r="I493">
        <v>0</v>
      </c>
      <c r="J493" s="283">
        <v>45412.177658182867</v>
      </c>
      <c r="K493" t="s">
        <v>3147</v>
      </c>
      <c r="L493" t="s">
        <v>3145</v>
      </c>
      <c r="M493" t="s">
        <v>3146</v>
      </c>
      <c r="N493" t="s">
        <v>351</v>
      </c>
      <c r="O493" t="s">
        <v>117</v>
      </c>
    </row>
    <row r="494" spans="1:15" x14ac:dyDescent="0.35">
      <c r="A494">
        <v>58367</v>
      </c>
      <c r="B494" s="283">
        <v>44378</v>
      </c>
      <c r="C494">
        <v>2212</v>
      </c>
      <c r="D494">
        <v>2200</v>
      </c>
      <c r="E494">
        <v>100</v>
      </c>
      <c r="F494">
        <v>320</v>
      </c>
      <c r="G494">
        <v>2160</v>
      </c>
      <c r="H494">
        <v>49221.52</v>
      </c>
      <c r="I494">
        <v>0</v>
      </c>
      <c r="J494" s="283">
        <v>45412.177658182867</v>
      </c>
      <c r="K494" t="s">
        <v>3149</v>
      </c>
      <c r="L494" t="s">
        <v>3145</v>
      </c>
      <c r="M494" t="s">
        <v>3146</v>
      </c>
      <c r="N494" t="s">
        <v>351</v>
      </c>
      <c r="O494" t="s">
        <v>117</v>
      </c>
    </row>
    <row r="495" spans="1:15" x14ac:dyDescent="0.35">
      <c r="A495">
        <v>58379</v>
      </c>
      <c r="B495" s="283">
        <v>44378</v>
      </c>
      <c r="C495">
        <v>2213</v>
      </c>
      <c r="D495">
        <v>2200</v>
      </c>
      <c r="E495">
        <v>100</v>
      </c>
      <c r="F495">
        <v>320</v>
      </c>
      <c r="G495">
        <v>2100</v>
      </c>
      <c r="H495">
        <v>75621</v>
      </c>
      <c r="I495">
        <v>0</v>
      </c>
      <c r="J495" s="283">
        <v>45412.177658182867</v>
      </c>
      <c r="K495" t="s">
        <v>3147</v>
      </c>
      <c r="L495" t="s">
        <v>3145</v>
      </c>
      <c r="M495" t="s">
        <v>3146</v>
      </c>
      <c r="N495" t="s">
        <v>351</v>
      </c>
      <c r="O495" t="s">
        <v>209</v>
      </c>
    </row>
    <row r="496" spans="1:15" x14ac:dyDescent="0.35">
      <c r="A496">
        <v>58380</v>
      </c>
      <c r="B496" s="283">
        <v>44378</v>
      </c>
      <c r="C496">
        <v>2213</v>
      </c>
      <c r="D496">
        <v>2200</v>
      </c>
      <c r="E496">
        <v>100</v>
      </c>
      <c r="F496">
        <v>320</v>
      </c>
      <c r="G496">
        <v>2160</v>
      </c>
      <c r="H496">
        <v>5421.11</v>
      </c>
      <c r="I496">
        <v>0</v>
      </c>
      <c r="J496" s="283">
        <v>45412.177658182867</v>
      </c>
      <c r="K496" t="s">
        <v>3149</v>
      </c>
      <c r="L496" t="s">
        <v>3145</v>
      </c>
      <c r="M496" t="s">
        <v>3146</v>
      </c>
      <c r="N496" t="s">
        <v>351</v>
      </c>
      <c r="O496" t="s">
        <v>209</v>
      </c>
    </row>
    <row r="497" spans="1:15" x14ac:dyDescent="0.35">
      <c r="A497">
        <v>58392</v>
      </c>
      <c r="B497" s="283">
        <v>44378</v>
      </c>
      <c r="C497">
        <v>2214</v>
      </c>
      <c r="D497">
        <v>2200</v>
      </c>
      <c r="E497">
        <v>100</v>
      </c>
      <c r="F497">
        <v>320</v>
      </c>
      <c r="G497">
        <v>2100</v>
      </c>
      <c r="H497">
        <v>73683.320000000007</v>
      </c>
      <c r="I497">
        <v>0</v>
      </c>
      <c r="J497" s="283">
        <v>45412.177658182867</v>
      </c>
      <c r="K497" t="s">
        <v>3147</v>
      </c>
      <c r="L497" t="s">
        <v>3145</v>
      </c>
      <c r="M497" t="s">
        <v>3146</v>
      </c>
      <c r="N497" t="s">
        <v>351</v>
      </c>
      <c r="O497" t="s">
        <v>146</v>
      </c>
    </row>
    <row r="498" spans="1:15" x14ac:dyDescent="0.35">
      <c r="A498">
        <v>58393</v>
      </c>
      <c r="B498" s="283">
        <v>44378</v>
      </c>
      <c r="C498">
        <v>2214</v>
      </c>
      <c r="D498">
        <v>2200</v>
      </c>
      <c r="E498">
        <v>100</v>
      </c>
      <c r="F498">
        <v>320</v>
      </c>
      <c r="G498">
        <v>2160</v>
      </c>
      <c r="H498">
        <v>5286.26</v>
      </c>
      <c r="I498">
        <v>0</v>
      </c>
      <c r="J498" s="283">
        <v>45412.177658182867</v>
      </c>
      <c r="K498" t="s">
        <v>3149</v>
      </c>
      <c r="L498" t="s">
        <v>3145</v>
      </c>
      <c r="M498" t="s">
        <v>3146</v>
      </c>
      <c r="N498" t="s">
        <v>351</v>
      </c>
      <c r="O498" t="s">
        <v>146</v>
      </c>
    </row>
    <row r="499" spans="1:15" x14ac:dyDescent="0.35">
      <c r="A499">
        <v>58405</v>
      </c>
      <c r="B499" s="283">
        <v>44378</v>
      </c>
      <c r="C499">
        <v>2215</v>
      </c>
      <c r="D499">
        <v>2200</v>
      </c>
      <c r="E499">
        <v>100</v>
      </c>
      <c r="F499">
        <v>320</v>
      </c>
      <c r="G499">
        <v>2100</v>
      </c>
      <c r="H499">
        <v>69633.03</v>
      </c>
      <c r="I499">
        <v>0</v>
      </c>
      <c r="J499" s="283">
        <v>45412.177658182867</v>
      </c>
      <c r="K499" t="s">
        <v>3147</v>
      </c>
      <c r="L499" t="s">
        <v>3145</v>
      </c>
      <c r="M499" t="s">
        <v>3146</v>
      </c>
      <c r="N499" t="s">
        <v>351</v>
      </c>
      <c r="O499" t="s">
        <v>104</v>
      </c>
    </row>
    <row r="500" spans="1:15" x14ac:dyDescent="0.35">
      <c r="A500">
        <v>58406</v>
      </c>
      <c r="B500" s="283">
        <v>44378</v>
      </c>
      <c r="C500">
        <v>2215</v>
      </c>
      <c r="D500">
        <v>2200</v>
      </c>
      <c r="E500">
        <v>100</v>
      </c>
      <c r="F500">
        <v>320</v>
      </c>
      <c r="G500">
        <v>2160</v>
      </c>
      <c r="H500">
        <v>4989.58</v>
      </c>
      <c r="I500">
        <v>0</v>
      </c>
      <c r="J500" s="283">
        <v>45412.177658182867</v>
      </c>
      <c r="K500" t="s">
        <v>3149</v>
      </c>
      <c r="L500" t="s">
        <v>3145</v>
      </c>
      <c r="M500" t="s">
        <v>3146</v>
      </c>
      <c r="N500" t="s">
        <v>351</v>
      </c>
      <c r="O500" t="s">
        <v>104</v>
      </c>
    </row>
    <row r="501" spans="1:15" x14ac:dyDescent="0.35">
      <c r="A501">
        <v>58418</v>
      </c>
      <c r="B501" s="283">
        <v>44378</v>
      </c>
      <c r="C501">
        <v>2216</v>
      </c>
      <c r="D501">
        <v>2200</v>
      </c>
      <c r="E501">
        <v>100</v>
      </c>
      <c r="F501">
        <v>320</v>
      </c>
      <c r="G501">
        <v>2100</v>
      </c>
      <c r="H501">
        <v>71221.77</v>
      </c>
      <c r="I501">
        <v>0</v>
      </c>
      <c r="J501" s="283">
        <v>45412.177658182867</v>
      </c>
      <c r="K501" t="s">
        <v>3147</v>
      </c>
      <c r="L501" t="s">
        <v>3145</v>
      </c>
      <c r="M501" t="s">
        <v>3146</v>
      </c>
      <c r="N501" t="s">
        <v>351</v>
      </c>
      <c r="O501" t="s">
        <v>59</v>
      </c>
    </row>
    <row r="502" spans="1:15" x14ac:dyDescent="0.35">
      <c r="A502">
        <v>58419</v>
      </c>
      <c r="B502" s="283">
        <v>44378</v>
      </c>
      <c r="C502">
        <v>2216</v>
      </c>
      <c r="D502">
        <v>2200</v>
      </c>
      <c r="E502">
        <v>100</v>
      </c>
      <c r="F502">
        <v>320</v>
      </c>
      <c r="G502">
        <v>2160</v>
      </c>
      <c r="H502">
        <v>5097.46</v>
      </c>
      <c r="I502">
        <v>0</v>
      </c>
      <c r="J502" s="283">
        <v>45412.177658182867</v>
      </c>
      <c r="K502" t="s">
        <v>3149</v>
      </c>
      <c r="L502" t="s">
        <v>3145</v>
      </c>
      <c r="M502" t="s">
        <v>3146</v>
      </c>
      <c r="N502" t="s">
        <v>351</v>
      </c>
      <c r="O502" t="s">
        <v>59</v>
      </c>
    </row>
    <row r="503" spans="1:15" x14ac:dyDescent="0.35">
      <c r="A503">
        <v>58431</v>
      </c>
      <c r="B503" s="283">
        <v>44378</v>
      </c>
      <c r="C503">
        <v>2217</v>
      </c>
      <c r="D503">
        <v>2200</v>
      </c>
      <c r="E503">
        <v>100</v>
      </c>
      <c r="F503">
        <v>320</v>
      </c>
      <c r="G503">
        <v>2100</v>
      </c>
      <c r="H503">
        <v>96239.44</v>
      </c>
      <c r="I503">
        <v>0</v>
      </c>
      <c r="J503" s="283">
        <v>45412.177658182867</v>
      </c>
      <c r="K503" t="s">
        <v>3147</v>
      </c>
      <c r="L503" t="s">
        <v>3145</v>
      </c>
      <c r="M503" t="s">
        <v>3146</v>
      </c>
      <c r="N503" t="s">
        <v>351</v>
      </c>
      <c r="O503" t="s">
        <v>76</v>
      </c>
    </row>
    <row r="504" spans="1:15" x14ac:dyDescent="0.35">
      <c r="A504">
        <v>58432</v>
      </c>
      <c r="B504" s="283">
        <v>44378</v>
      </c>
      <c r="C504">
        <v>2217</v>
      </c>
      <c r="D504">
        <v>2200</v>
      </c>
      <c r="E504">
        <v>100</v>
      </c>
      <c r="F504">
        <v>320</v>
      </c>
      <c r="G504">
        <v>2160</v>
      </c>
      <c r="H504">
        <v>6904.5</v>
      </c>
      <c r="I504">
        <v>0</v>
      </c>
      <c r="J504" s="283">
        <v>45412.177658182867</v>
      </c>
      <c r="K504" t="s">
        <v>3149</v>
      </c>
      <c r="L504" t="s">
        <v>3145</v>
      </c>
      <c r="M504" t="s">
        <v>3146</v>
      </c>
      <c r="N504" t="s">
        <v>351</v>
      </c>
      <c r="O504" t="s">
        <v>76</v>
      </c>
    </row>
    <row r="505" spans="1:15" x14ac:dyDescent="0.35">
      <c r="A505">
        <v>58444</v>
      </c>
      <c r="B505" s="283">
        <v>44378</v>
      </c>
      <c r="C505">
        <v>3997</v>
      </c>
      <c r="D505">
        <v>2200</v>
      </c>
      <c r="E505">
        <v>100</v>
      </c>
      <c r="F505">
        <v>320</v>
      </c>
      <c r="G505">
        <v>2100</v>
      </c>
      <c r="H505">
        <v>50544.88</v>
      </c>
      <c r="I505">
        <v>0</v>
      </c>
      <c r="J505" s="283">
        <v>45412.177658182867</v>
      </c>
      <c r="K505" t="s">
        <v>3147</v>
      </c>
      <c r="L505" t="s">
        <v>3145</v>
      </c>
      <c r="M505" t="s">
        <v>3146</v>
      </c>
      <c r="N505" t="s">
        <v>351</v>
      </c>
      <c r="O505" t="s">
        <v>105</v>
      </c>
    </row>
    <row r="506" spans="1:15" x14ac:dyDescent="0.35">
      <c r="A506">
        <v>58445</v>
      </c>
      <c r="B506" s="283">
        <v>44378</v>
      </c>
      <c r="C506">
        <v>3997</v>
      </c>
      <c r="D506">
        <v>2200</v>
      </c>
      <c r="E506">
        <v>100</v>
      </c>
      <c r="F506">
        <v>320</v>
      </c>
      <c r="G506">
        <v>2160</v>
      </c>
      <c r="H506">
        <v>3614.07</v>
      </c>
      <c r="I506">
        <v>0</v>
      </c>
      <c r="J506" s="283">
        <v>45412.177658182867</v>
      </c>
      <c r="K506" t="s">
        <v>3149</v>
      </c>
      <c r="L506" t="s">
        <v>3145</v>
      </c>
      <c r="M506" t="s">
        <v>3146</v>
      </c>
      <c r="N506" t="s">
        <v>351</v>
      </c>
      <c r="O506" t="s">
        <v>105</v>
      </c>
    </row>
    <row r="507" spans="1:15" x14ac:dyDescent="0.35">
      <c r="A507">
        <v>58446</v>
      </c>
      <c r="B507" s="283">
        <v>44378</v>
      </c>
      <c r="C507">
        <v>2219</v>
      </c>
      <c r="D507">
        <v>2218</v>
      </c>
      <c r="E507">
        <v>100</v>
      </c>
      <c r="F507">
        <v>320</v>
      </c>
      <c r="G507">
        <v>1200</v>
      </c>
      <c r="H507">
        <v>126667.12</v>
      </c>
      <c r="I507">
        <v>0</v>
      </c>
      <c r="J507" s="283">
        <v>45412.177658182867</v>
      </c>
      <c r="K507" t="s">
        <v>3144</v>
      </c>
      <c r="L507" t="s">
        <v>3145</v>
      </c>
      <c r="M507" t="s">
        <v>3146</v>
      </c>
      <c r="N507" t="s">
        <v>3159</v>
      </c>
      <c r="O507" t="s">
        <v>111</v>
      </c>
    </row>
    <row r="508" spans="1:15" x14ac:dyDescent="0.35">
      <c r="A508">
        <v>58447</v>
      </c>
      <c r="B508" s="283">
        <v>44378</v>
      </c>
      <c r="C508">
        <v>2219</v>
      </c>
      <c r="D508">
        <v>2218</v>
      </c>
      <c r="E508">
        <v>100</v>
      </c>
      <c r="F508">
        <v>320</v>
      </c>
      <c r="G508">
        <v>2100</v>
      </c>
      <c r="H508">
        <v>72475.399999999994</v>
      </c>
      <c r="I508">
        <v>0</v>
      </c>
      <c r="J508" s="283">
        <v>45412.177658182867</v>
      </c>
      <c r="K508" t="s">
        <v>3147</v>
      </c>
      <c r="L508" t="s">
        <v>3145</v>
      </c>
      <c r="M508" t="s">
        <v>3146</v>
      </c>
      <c r="N508" t="s">
        <v>3159</v>
      </c>
      <c r="O508" t="s">
        <v>111</v>
      </c>
    </row>
    <row r="509" spans="1:15" x14ac:dyDescent="0.35">
      <c r="A509">
        <v>58448</v>
      </c>
      <c r="B509" s="283">
        <v>44378</v>
      </c>
      <c r="C509">
        <v>2220</v>
      </c>
      <c r="D509">
        <v>2218</v>
      </c>
      <c r="E509">
        <v>100</v>
      </c>
      <c r="F509">
        <v>320</v>
      </c>
      <c r="G509">
        <v>1200</v>
      </c>
      <c r="H509">
        <v>92236.51</v>
      </c>
      <c r="I509">
        <v>0</v>
      </c>
      <c r="J509" s="283">
        <v>45412.177658182867</v>
      </c>
      <c r="K509" t="s">
        <v>3144</v>
      </c>
      <c r="L509" t="s">
        <v>3145</v>
      </c>
      <c r="M509" t="s">
        <v>3146</v>
      </c>
      <c r="N509" t="s">
        <v>3159</v>
      </c>
      <c r="O509" t="s">
        <v>212</v>
      </c>
    </row>
    <row r="510" spans="1:15" x14ac:dyDescent="0.35">
      <c r="A510">
        <v>58449</v>
      </c>
      <c r="B510" s="283">
        <v>44378</v>
      </c>
      <c r="C510">
        <v>2220</v>
      </c>
      <c r="D510">
        <v>2218</v>
      </c>
      <c r="E510">
        <v>100</v>
      </c>
      <c r="F510">
        <v>320</v>
      </c>
      <c r="G510">
        <v>2100</v>
      </c>
      <c r="H510">
        <v>70312.070000000007</v>
      </c>
      <c r="I510">
        <v>0</v>
      </c>
      <c r="J510" s="283">
        <v>45412.177658182867</v>
      </c>
      <c r="K510" t="s">
        <v>3147</v>
      </c>
      <c r="L510" t="s">
        <v>3145</v>
      </c>
      <c r="M510" t="s">
        <v>3146</v>
      </c>
      <c r="N510" t="s">
        <v>3159</v>
      </c>
      <c r="O510" t="s">
        <v>212</v>
      </c>
    </row>
    <row r="511" spans="1:15" x14ac:dyDescent="0.35">
      <c r="A511">
        <v>58450</v>
      </c>
      <c r="B511" s="283">
        <v>44378</v>
      </c>
      <c r="C511">
        <v>2221</v>
      </c>
      <c r="D511">
        <v>2218</v>
      </c>
      <c r="E511">
        <v>100</v>
      </c>
      <c r="F511">
        <v>320</v>
      </c>
      <c r="G511">
        <v>1200</v>
      </c>
      <c r="H511">
        <v>232143.19</v>
      </c>
      <c r="I511">
        <v>0</v>
      </c>
      <c r="J511" s="283">
        <v>45412.177658182867</v>
      </c>
      <c r="K511" t="s">
        <v>3144</v>
      </c>
      <c r="L511" t="s">
        <v>3145</v>
      </c>
      <c r="M511" t="s">
        <v>3146</v>
      </c>
      <c r="N511" t="s">
        <v>3159</v>
      </c>
      <c r="O511" t="s">
        <v>78</v>
      </c>
    </row>
    <row r="512" spans="1:15" x14ac:dyDescent="0.35">
      <c r="A512">
        <v>58451</v>
      </c>
      <c r="B512" s="283">
        <v>44378</v>
      </c>
      <c r="C512">
        <v>2221</v>
      </c>
      <c r="D512">
        <v>2218</v>
      </c>
      <c r="E512">
        <v>100</v>
      </c>
      <c r="F512">
        <v>320</v>
      </c>
      <c r="G512">
        <v>2100</v>
      </c>
      <c r="H512">
        <v>124595.08</v>
      </c>
      <c r="I512">
        <v>0</v>
      </c>
      <c r="J512" s="283">
        <v>45412.177658182867</v>
      </c>
      <c r="K512" t="s">
        <v>3147</v>
      </c>
      <c r="L512" t="s">
        <v>3145</v>
      </c>
      <c r="M512" t="s">
        <v>3146</v>
      </c>
      <c r="N512" t="s">
        <v>3159</v>
      </c>
      <c r="O512" t="s">
        <v>78</v>
      </c>
    </row>
    <row r="513" spans="1:15" x14ac:dyDescent="0.35">
      <c r="A513">
        <v>58452</v>
      </c>
      <c r="B513" s="283">
        <v>44378</v>
      </c>
      <c r="C513">
        <v>2222</v>
      </c>
      <c r="D513">
        <v>2218</v>
      </c>
      <c r="E513">
        <v>100</v>
      </c>
      <c r="F513">
        <v>320</v>
      </c>
      <c r="G513">
        <v>1200</v>
      </c>
      <c r="H513">
        <v>3700</v>
      </c>
      <c r="I513">
        <v>0</v>
      </c>
      <c r="J513" s="283">
        <v>45412.177658182867</v>
      </c>
      <c r="K513" t="s">
        <v>3144</v>
      </c>
      <c r="L513" t="s">
        <v>3145</v>
      </c>
      <c r="M513" t="s">
        <v>3146</v>
      </c>
      <c r="N513" t="s">
        <v>3159</v>
      </c>
      <c r="O513" t="s">
        <v>206</v>
      </c>
    </row>
    <row r="514" spans="1:15" x14ac:dyDescent="0.35">
      <c r="A514">
        <v>58454</v>
      </c>
      <c r="B514" s="283">
        <v>44378</v>
      </c>
      <c r="C514">
        <v>1933</v>
      </c>
      <c r="D514">
        <v>2230</v>
      </c>
      <c r="E514">
        <v>100</v>
      </c>
      <c r="F514">
        <v>320</v>
      </c>
      <c r="G514">
        <v>1200</v>
      </c>
      <c r="H514">
        <v>35992</v>
      </c>
      <c r="I514">
        <v>0</v>
      </c>
      <c r="J514" s="283">
        <v>45412.177658182867</v>
      </c>
      <c r="K514" t="s">
        <v>3144</v>
      </c>
      <c r="L514" t="s">
        <v>3145</v>
      </c>
      <c r="M514" t="s">
        <v>3146</v>
      </c>
      <c r="N514" t="s">
        <v>339</v>
      </c>
      <c r="O514" t="s">
        <v>28</v>
      </c>
    </row>
    <row r="515" spans="1:15" x14ac:dyDescent="0.35">
      <c r="A515">
        <v>58455</v>
      </c>
      <c r="B515" s="283">
        <v>44378</v>
      </c>
      <c r="C515">
        <v>1933</v>
      </c>
      <c r="D515">
        <v>2230</v>
      </c>
      <c r="E515">
        <v>100</v>
      </c>
      <c r="F515">
        <v>320</v>
      </c>
      <c r="G515">
        <v>2100</v>
      </c>
      <c r="H515">
        <v>547082</v>
      </c>
      <c r="I515">
        <v>0</v>
      </c>
      <c r="J515" s="283">
        <v>45412.177658182867</v>
      </c>
      <c r="K515" t="s">
        <v>3147</v>
      </c>
      <c r="L515" t="s">
        <v>3145</v>
      </c>
      <c r="M515" t="s">
        <v>3146</v>
      </c>
      <c r="N515" t="s">
        <v>339</v>
      </c>
      <c r="O515" t="s">
        <v>28</v>
      </c>
    </row>
    <row r="516" spans="1:15" x14ac:dyDescent="0.35">
      <c r="A516">
        <v>58458</v>
      </c>
      <c r="B516" s="283">
        <v>44378</v>
      </c>
      <c r="C516">
        <v>1934</v>
      </c>
      <c r="D516">
        <v>2230</v>
      </c>
      <c r="E516">
        <v>100</v>
      </c>
      <c r="F516">
        <v>320</v>
      </c>
      <c r="G516">
        <v>1200</v>
      </c>
      <c r="H516">
        <v>1395</v>
      </c>
      <c r="I516">
        <v>0</v>
      </c>
      <c r="J516" s="283">
        <v>45412.177658182867</v>
      </c>
      <c r="K516" t="s">
        <v>3144</v>
      </c>
      <c r="L516" t="s">
        <v>3145</v>
      </c>
      <c r="M516" t="s">
        <v>3146</v>
      </c>
      <c r="N516" t="s">
        <v>339</v>
      </c>
      <c r="O516" t="s">
        <v>108</v>
      </c>
    </row>
    <row r="517" spans="1:15" x14ac:dyDescent="0.35">
      <c r="A517">
        <v>58459</v>
      </c>
      <c r="B517" s="283">
        <v>44378</v>
      </c>
      <c r="C517">
        <v>1934</v>
      </c>
      <c r="D517">
        <v>2230</v>
      </c>
      <c r="E517">
        <v>100</v>
      </c>
      <c r="F517">
        <v>320</v>
      </c>
      <c r="G517">
        <v>2100</v>
      </c>
      <c r="H517">
        <v>68248</v>
      </c>
      <c r="I517">
        <v>0</v>
      </c>
      <c r="J517" s="283">
        <v>45412.177658182867</v>
      </c>
      <c r="K517" t="s">
        <v>3147</v>
      </c>
      <c r="L517" t="s">
        <v>3145</v>
      </c>
      <c r="M517" t="s">
        <v>3146</v>
      </c>
      <c r="N517" t="s">
        <v>339</v>
      </c>
      <c r="O517" t="s">
        <v>108</v>
      </c>
    </row>
    <row r="518" spans="1:15" x14ac:dyDescent="0.35">
      <c r="A518">
        <v>58462</v>
      </c>
      <c r="B518" s="283">
        <v>44378</v>
      </c>
      <c r="C518">
        <v>1935</v>
      </c>
      <c r="D518">
        <v>2230</v>
      </c>
      <c r="E518">
        <v>100</v>
      </c>
      <c r="F518">
        <v>320</v>
      </c>
      <c r="G518">
        <v>1200</v>
      </c>
      <c r="H518">
        <v>56287</v>
      </c>
      <c r="I518">
        <v>0</v>
      </c>
      <c r="J518" s="283">
        <v>45412.177658182867</v>
      </c>
      <c r="K518" t="s">
        <v>3144</v>
      </c>
      <c r="L518" t="s">
        <v>3145</v>
      </c>
      <c r="M518" t="s">
        <v>3146</v>
      </c>
      <c r="N518" t="s">
        <v>339</v>
      </c>
      <c r="O518" t="s">
        <v>184</v>
      </c>
    </row>
    <row r="519" spans="1:15" x14ac:dyDescent="0.35">
      <c r="A519">
        <v>58463</v>
      </c>
      <c r="B519" s="283">
        <v>44378</v>
      </c>
      <c r="C519">
        <v>1935</v>
      </c>
      <c r="D519">
        <v>2230</v>
      </c>
      <c r="E519">
        <v>100</v>
      </c>
      <c r="F519">
        <v>320</v>
      </c>
      <c r="G519">
        <v>2100</v>
      </c>
      <c r="H519">
        <v>409665</v>
      </c>
      <c r="I519">
        <v>0</v>
      </c>
      <c r="J519" s="283">
        <v>45412.177658182867</v>
      </c>
      <c r="K519" t="s">
        <v>3147</v>
      </c>
      <c r="L519" t="s">
        <v>3145</v>
      </c>
      <c r="M519" t="s">
        <v>3146</v>
      </c>
      <c r="N519" t="s">
        <v>339</v>
      </c>
      <c r="O519" t="s">
        <v>184</v>
      </c>
    </row>
    <row r="520" spans="1:15" x14ac:dyDescent="0.35">
      <c r="A520">
        <v>58466</v>
      </c>
      <c r="B520" s="283">
        <v>44378</v>
      </c>
      <c r="C520">
        <v>1936</v>
      </c>
      <c r="D520">
        <v>2230</v>
      </c>
      <c r="E520">
        <v>100</v>
      </c>
      <c r="F520">
        <v>320</v>
      </c>
      <c r="G520">
        <v>1200</v>
      </c>
      <c r="H520">
        <v>39596</v>
      </c>
      <c r="I520">
        <v>0</v>
      </c>
      <c r="J520" s="283">
        <v>45412.177658182867</v>
      </c>
      <c r="K520" t="s">
        <v>3144</v>
      </c>
      <c r="L520" t="s">
        <v>3145</v>
      </c>
      <c r="M520" t="s">
        <v>3146</v>
      </c>
      <c r="N520" t="s">
        <v>339</v>
      </c>
      <c r="O520" t="s">
        <v>213</v>
      </c>
    </row>
    <row r="521" spans="1:15" x14ac:dyDescent="0.35">
      <c r="A521">
        <v>58467</v>
      </c>
      <c r="B521" s="283">
        <v>44378</v>
      </c>
      <c r="C521">
        <v>1936</v>
      </c>
      <c r="D521">
        <v>2230</v>
      </c>
      <c r="E521">
        <v>100</v>
      </c>
      <c r="F521">
        <v>320</v>
      </c>
      <c r="G521">
        <v>2100</v>
      </c>
      <c r="H521">
        <v>287663</v>
      </c>
      <c r="I521">
        <v>0</v>
      </c>
      <c r="J521" s="283">
        <v>45412.177658182867</v>
      </c>
      <c r="K521" t="s">
        <v>3147</v>
      </c>
      <c r="L521" t="s">
        <v>3145</v>
      </c>
      <c r="M521" t="s">
        <v>3146</v>
      </c>
      <c r="N521" t="s">
        <v>339</v>
      </c>
      <c r="O521" t="s">
        <v>213</v>
      </c>
    </row>
    <row r="522" spans="1:15" x14ac:dyDescent="0.35">
      <c r="A522">
        <v>58468</v>
      </c>
      <c r="B522" s="283">
        <v>44378</v>
      </c>
      <c r="C522">
        <v>1936</v>
      </c>
      <c r="D522">
        <v>2230</v>
      </c>
      <c r="E522">
        <v>100</v>
      </c>
      <c r="F522">
        <v>320</v>
      </c>
      <c r="G522">
        <v>2160</v>
      </c>
      <c r="H522">
        <v>2100</v>
      </c>
      <c r="I522">
        <v>0</v>
      </c>
      <c r="J522" s="283">
        <v>45412.177658182867</v>
      </c>
      <c r="K522" t="s">
        <v>3149</v>
      </c>
      <c r="L522" t="s">
        <v>3145</v>
      </c>
      <c r="M522" t="s">
        <v>3146</v>
      </c>
      <c r="N522" t="s">
        <v>339</v>
      </c>
      <c r="O522" t="s">
        <v>213</v>
      </c>
    </row>
    <row r="523" spans="1:15" x14ac:dyDescent="0.35">
      <c r="A523">
        <v>58471</v>
      </c>
      <c r="B523" s="283">
        <v>44378</v>
      </c>
      <c r="C523">
        <v>1944</v>
      </c>
      <c r="D523">
        <v>2230</v>
      </c>
      <c r="E523">
        <v>100</v>
      </c>
      <c r="F523">
        <v>320</v>
      </c>
      <c r="G523">
        <v>1200</v>
      </c>
      <c r="H523">
        <v>339491</v>
      </c>
      <c r="I523">
        <v>0</v>
      </c>
      <c r="J523" s="283">
        <v>45412.177658182867</v>
      </c>
      <c r="K523" t="s">
        <v>3144</v>
      </c>
      <c r="L523" t="s">
        <v>3145</v>
      </c>
      <c r="M523" t="s">
        <v>3146</v>
      </c>
      <c r="N523" t="s">
        <v>339</v>
      </c>
      <c r="O523" t="s">
        <v>182</v>
      </c>
    </row>
    <row r="524" spans="1:15" x14ac:dyDescent="0.35">
      <c r="A524">
        <v>58472</v>
      </c>
      <c r="B524" s="283">
        <v>44378</v>
      </c>
      <c r="C524">
        <v>1944</v>
      </c>
      <c r="D524">
        <v>2230</v>
      </c>
      <c r="E524">
        <v>100</v>
      </c>
      <c r="F524">
        <v>320</v>
      </c>
      <c r="G524">
        <v>2100</v>
      </c>
      <c r="H524">
        <v>738286</v>
      </c>
      <c r="I524">
        <v>0</v>
      </c>
      <c r="J524" s="283">
        <v>45412.177658182867</v>
      </c>
      <c r="K524" t="s">
        <v>3147</v>
      </c>
      <c r="L524" t="s">
        <v>3145</v>
      </c>
      <c r="M524" t="s">
        <v>3146</v>
      </c>
      <c r="N524" t="s">
        <v>339</v>
      </c>
      <c r="O524" t="s">
        <v>182</v>
      </c>
    </row>
    <row r="525" spans="1:15" x14ac:dyDescent="0.35">
      <c r="A525">
        <v>58473</v>
      </c>
      <c r="B525" s="283">
        <v>44378</v>
      </c>
      <c r="C525">
        <v>1944</v>
      </c>
      <c r="D525">
        <v>2230</v>
      </c>
      <c r="E525">
        <v>100</v>
      </c>
      <c r="F525">
        <v>320</v>
      </c>
      <c r="G525">
        <v>2160</v>
      </c>
      <c r="H525">
        <v>4200</v>
      </c>
      <c r="I525">
        <v>0</v>
      </c>
      <c r="J525" s="283">
        <v>45412.177658182867</v>
      </c>
      <c r="K525" t="s">
        <v>3149</v>
      </c>
      <c r="L525" t="s">
        <v>3145</v>
      </c>
      <c r="M525" t="s">
        <v>3146</v>
      </c>
      <c r="N525" t="s">
        <v>339</v>
      </c>
      <c r="O525" t="s">
        <v>182</v>
      </c>
    </row>
    <row r="526" spans="1:15" x14ac:dyDescent="0.35">
      <c r="A526">
        <v>58477</v>
      </c>
      <c r="B526" s="283">
        <v>44378</v>
      </c>
      <c r="C526">
        <v>1945</v>
      </c>
      <c r="D526">
        <v>2230</v>
      </c>
      <c r="E526">
        <v>100</v>
      </c>
      <c r="F526">
        <v>320</v>
      </c>
      <c r="G526">
        <v>1200</v>
      </c>
      <c r="H526">
        <v>54775</v>
      </c>
      <c r="I526">
        <v>0</v>
      </c>
      <c r="J526" s="283">
        <v>45412.177658182867</v>
      </c>
      <c r="K526" t="s">
        <v>3144</v>
      </c>
      <c r="L526" t="s">
        <v>3145</v>
      </c>
      <c r="M526" t="s">
        <v>3146</v>
      </c>
      <c r="N526" t="s">
        <v>339</v>
      </c>
      <c r="O526" t="s">
        <v>51</v>
      </c>
    </row>
    <row r="527" spans="1:15" x14ac:dyDescent="0.35">
      <c r="A527">
        <v>58478</v>
      </c>
      <c r="B527" s="283">
        <v>44378</v>
      </c>
      <c r="C527">
        <v>1945</v>
      </c>
      <c r="D527">
        <v>2230</v>
      </c>
      <c r="E527">
        <v>100</v>
      </c>
      <c r="F527">
        <v>320</v>
      </c>
      <c r="G527">
        <v>2100</v>
      </c>
      <c r="H527">
        <v>25914</v>
      </c>
      <c r="I527">
        <v>0</v>
      </c>
      <c r="J527" s="283">
        <v>45412.177658182867</v>
      </c>
      <c r="K527" t="s">
        <v>3147</v>
      </c>
      <c r="L527" t="s">
        <v>3145</v>
      </c>
      <c r="M527" t="s">
        <v>3146</v>
      </c>
      <c r="N527" t="s">
        <v>339</v>
      </c>
      <c r="O527" t="s">
        <v>51</v>
      </c>
    </row>
    <row r="528" spans="1:15" x14ac:dyDescent="0.35">
      <c r="A528">
        <v>58481</v>
      </c>
      <c r="B528" s="283">
        <v>44378</v>
      </c>
      <c r="C528">
        <v>1946</v>
      </c>
      <c r="D528">
        <v>2230</v>
      </c>
      <c r="E528">
        <v>100</v>
      </c>
      <c r="F528">
        <v>320</v>
      </c>
      <c r="G528">
        <v>1200</v>
      </c>
      <c r="H528">
        <v>33284</v>
      </c>
      <c r="I528">
        <v>0</v>
      </c>
      <c r="J528" s="283">
        <v>45412.177658182867</v>
      </c>
      <c r="K528" t="s">
        <v>3144</v>
      </c>
      <c r="L528" t="s">
        <v>3145</v>
      </c>
      <c r="M528" t="s">
        <v>3146</v>
      </c>
      <c r="N528" t="s">
        <v>339</v>
      </c>
      <c r="O528" t="s">
        <v>173</v>
      </c>
    </row>
    <row r="529" spans="1:15" x14ac:dyDescent="0.35">
      <c r="A529">
        <v>58482</v>
      </c>
      <c r="B529" s="283">
        <v>44378</v>
      </c>
      <c r="C529">
        <v>1946</v>
      </c>
      <c r="D529">
        <v>2230</v>
      </c>
      <c r="E529">
        <v>100</v>
      </c>
      <c r="F529">
        <v>320</v>
      </c>
      <c r="G529">
        <v>2100</v>
      </c>
      <c r="H529">
        <v>129572</v>
      </c>
      <c r="I529">
        <v>0</v>
      </c>
      <c r="J529" s="283">
        <v>45412.177658182867</v>
      </c>
      <c r="K529" t="s">
        <v>3147</v>
      </c>
      <c r="L529" t="s">
        <v>3145</v>
      </c>
      <c r="M529" t="s">
        <v>3146</v>
      </c>
      <c r="N529" t="s">
        <v>339</v>
      </c>
      <c r="O529" t="s">
        <v>173</v>
      </c>
    </row>
    <row r="530" spans="1:15" x14ac:dyDescent="0.35">
      <c r="A530">
        <v>58483</v>
      </c>
      <c r="B530" s="283">
        <v>44378</v>
      </c>
      <c r="C530">
        <v>1946</v>
      </c>
      <c r="D530">
        <v>2230</v>
      </c>
      <c r="E530">
        <v>100</v>
      </c>
      <c r="F530">
        <v>320</v>
      </c>
      <c r="G530">
        <v>2160</v>
      </c>
      <c r="H530">
        <v>4500</v>
      </c>
      <c r="I530">
        <v>0</v>
      </c>
      <c r="J530" s="283">
        <v>45412.177658182867</v>
      </c>
      <c r="K530" t="s">
        <v>3149</v>
      </c>
      <c r="L530" t="s">
        <v>3145</v>
      </c>
      <c r="M530" t="s">
        <v>3146</v>
      </c>
      <c r="N530" t="s">
        <v>339</v>
      </c>
      <c r="O530" t="s">
        <v>173</v>
      </c>
    </row>
    <row r="531" spans="1:15" x14ac:dyDescent="0.35">
      <c r="A531">
        <v>58485</v>
      </c>
      <c r="B531" s="283">
        <v>44378</v>
      </c>
      <c r="C531">
        <v>1947</v>
      </c>
      <c r="D531">
        <v>2230</v>
      </c>
      <c r="E531">
        <v>100</v>
      </c>
      <c r="F531">
        <v>320</v>
      </c>
      <c r="G531">
        <v>1200</v>
      </c>
      <c r="H531">
        <v>4607</v>
      </c>
      <c r="I531">
        <v>0</v>
      </c>
      <c r="J531" s="283">
        <v>45412.177658182867</v>
      </c>
      <c r="K531" t="s">
        <v>3144</v>
      </c>
      <c r="L531" t="s">
        <v>3145</v>
      </c>
      <c r="M531" t="s">
        <v>3146</v>
      </c>
      <c r="N531" t="s">
        <v>339</v>
      </c>
      <c r="O531" t="s">
        <v>211</v>
      </c>
    </row>
    <row r="532" spans="1:15" x14ac:dyDescent="0.35">
      <c r="A532">
        <v>58486</v>
      </c>
      <c r="B532" s="283">
        <v>44378</v>
      </c>
      <c r="C532">
        <v>1947</v>
      </c>
      <c r="D532">
        <v>2230</v>
      </c>
      <c r="E532">
        <v>100</v>
      </c>
      <c r="F532">
        <v>320</v>
      </c>
      <c r="G532">
        <v>2100</v>
      </c>
      <c r="H532">
        <v>76304</v>
      </c>
      <c r="I532">
        <v>0</v>
      </c>
      <c r="J532" s="283">
        <v>45412.177658182867</v>
      </c>
      <c r="K532" t="s">
        <v>3147</v>
      </c>
      <c r="L532" t="s">
        <v>3145</v>
      </c>
      <c r="M532" t="s">
        <v>3146</v>
      </c>
      <c r="N532" t="s">
        <v>339</v>
      </c>
      <c r="O532" t="s">
        <v>211</v>
      </c>
    </row>
    <row r="533" spans="1:15" x14ac:dyDescent="0.35">
      <c r="A533">
        <v>58487</v>
      </c>
      <c r="B533" s="283">
        <v>44378</v>
      </c>
      <c r="C533">
        <v>1947</v>
      </c>
      <c r="D533">
        <v>2230</v>
      </c>
      <c r="E533">
        <v>100</v>
      </c>
      <c r="F533">
        <v>320</v>
      </c>
      <c r="G533">
        <v>2160</v>
      </c>
      <c r="H533">
        <v>3500</v>
      </c>
      <c r="I533">
        <v>0</v>
      </c>
      <c r="J533" s="283">
        <v>45412.177658182867</v>
      </c>
      <c r="K533" t="s">
        <v>3149</v>
      </c>
      <c r="L533" t="s">
        <v>3145</v>
      </c>
      <c r="M533" t="s">
        <v>3146</v>
      </c>
      <c r="N533" t="s">
        <v>339</v>
      </c>
      <c r="O533" t="s">
        <v>211</v>
      </c>
    </row>
    <row r="534" spans="1:15" x14ac:dyDescent="0.35">
      <c r="A534">
        <v>58489</v>
      </c>
      <c r="B534" s="283">
        <v>44378</v>
      </c>
      <c r="C534">
        <v>1948</v>
      </c>
      <c r="D534">
        <v>2230</v>
      </c>
      <c r="E534">
        <v>100</v>
      </c>
      <c r="F534">
        <v>320</v>
      </c>
      <c r="G534">
        <v>1200</v>
      </c>
      <c r="H534">
        <v>471680</v>
      </c>
      <c r="I534">
        <v>0</v>
      </c>
      <c r="J534" s="283">
        <v>45412.177658182867</v>
      </c>
      <c r="K534" t="s">
        <v>3144</v>
      </c>
      <c r="L534" t="s">
        <v>3145</v>
      </c>
      <c r="M534" t="s">
        <v>3146</v>
      </c>
      <c r="N534" t="s">
        <v>339</v>
      </c>
      <c r="O534" t="s">
        <v>197</v>
      </c>
    </row>
    <row r="535" spans="1:15" x14ac:dyDescent="0.35">
      <c r="A535">
        <v>58490</v>
      </c>
      <c r="B535" s="283">
        <v>44378</v>
      </c>
      <c r="C535">
        <v>1948</v>
      </c>
      <c r="D535">
        <v>2230</v>
      </c>
      <c r="E535">
        <v>100</v>
      </c>
      <c r="F535">
        <v>320</v>
      </c>
      <c r="G535">
        <v>2100</v>
      </c>
      <c r="H535">
        <v>331469</v>
      </c>
      <c r="I535">
        <v>0</v>
      </c>
      <c r="J535" s="283">
        <v>45412.177658182867</v>
      </c>
      <c r="K535" t="s">
        <v>3147</v>
      </c>
      <c r="L535" t="s">
        <v>3145</v>
      </c>
      <c r="M535" t="s">
        <v>3146</v>
      </c>
      <c r="N535" t="s">
        <v>339</v>
      </c>
      <c r="O535" t="s">
        <v>197</v>
      </c>
    </row>
    <row r="536" spans="1:15" x14ac:dyDescent="0.35">
      <c r="A536">
        <v>58494</v>
      </c>
      <c r="B536" s="283">
        <v>44378</v>
      </c>
      <c r="C536">
        <v>2197</v>
      </c>
      <c r="D536">
        <v>2230</v>
      </c>
      <c r="E536">
        <v>100</v>
      </c>
      <c r="F536">
        <v>320</v>
      </c>
      <c r="G536">
        <v>1200</v>
      </c>
      <c r="H536">
        <v>82330</v>
      </c>
      <c r="I536">
        <v>0</v>
      </c>
      <c r="J536" s="283">
        <v>45412.177658182867</v>
      </c>
      <c r="K536" t="s">
        <v>3144</v>
      </c>
      <c r="L536" t="s">
        <v>3145</v>
      </c>
      <c r="M536" t="s">
        <v>3146</v>
      </c>
      <c r="N536" t="s">
        <v>339</v>
      </c>
      <c r="O536" t="s">
        <v>205</v>
      </c>
    </row>
    <row r="537" spans="1:15" x14ac:dyDescent="0.35">
      <c r="A537">
        <v>58495</v>
      </c>
      <c r="B537" s="283">
        <v>44378</v>
      </c>
      <c r="C537">
        <v>2197</v>
      </c>
      <c r="D537">
        <v>2230</v>
      </c>
      <c r="E537">
        <v>100</v>
      </c>
      <c r="F537">
        <v>320</v>
      </c>
      <c r="G537">
        <v>2100</v>
      </c>
      <c r="H537">
        <v>508448</v>
      </c>
      <c r="I537">
        <v>0</v>
      </c>
      <c r="J537" s="283">
        <v>45412.177658182867</v>
      </c>
      <c r="K537" t="s">
        <v>3147</v>
      </c>
      <c r="L537" t="s">
        <v>3145</v>
      </c>
      <c r="M537" t="s">
        <v>3146</v>
      </c>
      <c r="N537" t="s">
        <v>339</v>
      </c>
      <c r="O537" t="s">
        <v>205</v>
      </c>
    </row>
    <row r="538" spans="1:15" x14ac:dyDescent="0.35">
      <c r="A538">
        <v>58496</v>
      </c>
      <c r="B538" s="283">
        <v>44378</v>
      </c>
      <c r="C538">
        <v>2197</v>
      </c>
      <c r="D538">
        <v>2230</v>
      </c>
      <c r="E538">
        <v>100</v>
      </c>
      <c r="F538">
        <v>320</v>
      </c>
      <c r="G538">
        <v>2160</v>
      </c>
      <c r="H538">
        <v>3000</v>
      </c>
      <c r="I538">
        <v>0</v>
      </c>
      <c r="J538" s="283">
        <v>45412.177658182867</v>
      </c>
      <c r="K538" t="s">
        <v>3149</v>
      </c>
      <c r="L538" t="s">
        <v>3145</v>
      </c>
      <c r="M538" t="s">
        <v>3146</v>
      </c>
      <c r="N538" t="s">
        <v>339</v>
      </c>
      <c r="O538" t="s">
        <v>205</v>
      </c>
    </row>
    <row r="539" spans="1:15" x14ac:dyDescent="0.35">
      <c r="A539">
        <v>58497</v>
      </c>
      <c r="B539" s="283">
        <v>44378</v>
      </c>
      <c r="C539">
        <v>2198</v>
      </c>
      <c r="D539">
        <v>2230</v>
      </c>
      <c r="E539">
        <v>100</v>
      </c>
      <c r="F539">
        <v>320</v>
      </c>
      <c r="G539">
        <v>1200</v>
      </c>
      <c r="H539">
        <v>10237</v>
      </c>
      <c r="I539">
        <v>0</v>
      </c>
      <c r="J539" s="283">
        <v>45412.177658182867</v>
      </c>
      <c r="K539" t="s">
        <v>3144</v>
      </c>
      <c r="L539" t="s">
        <v>3145</v>
      </c>
      <c r="M539" t="s">
        <v>3146</v>
      </c>
      <c r="N539" t="s">
        <v>339</v>
      </c>
      <c r="O539" t="s">
        <v>138</v>
      </c>
    </row>
    <row r="540" spans="1:15" x14ac:dyDescent="0.35">
      <c r="A540">
        <v>58498</v>
      </c>
      <c r="B540" s="283">
        <v>44378</v>
      </c>
      <c r="C540">
        <v>2198</v>
      </c>
      <c r="D540">
        <v>2230</v>
      </c>
      <c r="E540">
        <v>100</v>
      </c>
      <c r="F540">
        <v>320</v>
      </c>
      <c r="G540">
        <v>2100</v>
      </c>
      <c r="H540">
        <v>262783</v>
      </c>
      <c r="I540">
        <v>0</v>
      </c>
      <c r="J540" s="283">
        <v>45412.177658182867</v>
      </c>
      <c r="K540" t="s">
        <v>3147</v>
      </c>
      <c r="L540" t="s">
        <v>3145</v>
      </c>
      <c r="M540" t="s">
        <v>3146</v>
      </c>
      <c r="N540" t="s">
        <v>339</v>
      </c>
      <c r="O540" t="s">
        <v>138</v>
      </c>
    </row>
    <row r="541" spans="1:15" x14ac:dyDescent="0.35">
      <c r="A541">
        <v>58499</v>
      </c>
      <c r="B541" s="283">
        <v>44378</v>
      </c>
      <c r="C541">
        <v>2198</v>
      </c>
      <c r="D541">
        <v>2230</v>
      </c>
      <c r="E541">
        <v>100</v>
      </c>
      <c r="F541">
        <v>320</v>
      </c>
      <c r="G541">
        <v>2160</v>
      </c>
      <c r="H541">
        <v>6000</v>
      </c>
      <c r="I541">
        <v>0</v>
      </c>
      <c r="J541" s="283">
        <v>45412.177658182867</v>
      </c>
      <c r="K541" t="s">
        <v>3149</v>
      </c>
      <c r="L541" t="s">
        <v>3145</v>
      </c>
      <c r="M541" t="s">
        <v>3146</v>
      </c>
      <c r="N541" t="s">
        <v>339</v>
      </c>
      <c r="O541" t="s">
        <v>138</v>
      </c>
    </row>
    <row r="542" spans="1:15" x14ac:dyDescent="0.35">
      <c r="A542">
        <v>58500</v>
      </c>
      <c r="B542" s="283">
        <v>44378</v>
      </c>
      <c r="C542">
        <v>2199</v>
      </c>
      <c r="D542">
        <v>2230</v>
      </c>
      <c r="E542">
        <v>100</v>
      </c>
      <c r="F542">
        <v>320</v>
      </c>
      <c r="G542">
        <v>1200</v>
      </c>
      <c r="H542">
        <v>37441</v>
      </c>
      <c r="I542">
        <v>0</v>
      </c>
      <c r="J542" s="283">
        <v>45412.177658182867</v>
      </c>
      <c r="K542" t="s">
        <v>3144</v>
      </c>
      <c r="L542" t="s">
        <v>3145</v>
      </c>
      <c r="M542" t="s">
        <v>3146</v>
      </c>
      <c r="N542" t="s">
        <v>339</v>
      </c>
      <c r="O542" t="s">
        <v>139</v>
      </c>
    </row>
    <row r="543" spans="1:15" x14ac:dyDescent="0.35">
      <c r="A543">
        <v>58501</v>
      </c>
      <c r="B543" s="283">
        <v>44378</v>
      </c>
      <c r="C543">
        <v>2199</v>
      </c>
      <c r="D543">
        <v>2230</v>
      </c>
      <c r="E543">
        <v>100</v>
      </c>
      <c r="F543">
        <v>320</v>
      </c>
      <c r="G543">
        <v>2100</v>
      </c>
      <c r="H543">
        <v>138210</v>
      </c>
      <c r="I543">
        <v>0</v>
      </c>
      <c r="J543" s="283">
        <v>45412.177658182867</v>
      </c>
      <c r="K543" t="s">
        <v>3147</v>
      </c>
      <c r="L543" t="s">
        <v>3145</v>
      </c>
      <c r="M543" t="s">
        <v>3146</v>
      </c>
      <c r="N543" t="s">
        <v>339</v>
      </c>
      <c r="O543" t="s">
        <v>139</v>
      </c>
    </row>
    <row r="544" spans="1:15" x14ac:dyDescent="0.35">
      <c r="A544">
        <v>58502</v>
      </c>
      <c r="B544" s="283">
        <v>44378</v>
      </c>
      <c r="C544">
        <v>2199</v>
      </c>
      <c r="D544">
        <v>2230</v>
      </c>
      <c r="E544">
        <v>100</v>
      </c>
      <c r="F544">
        <v>320</v>
      </c>
      <c r="G544">
        <v>2160</v>
      </c>
      <c r="H544">
        <v>2400</v>
      </c>
      <c r="I544">
        <v>0</v>
      </c>
      <c r="J544" s="283">
        <v>45412.177658182867</v>
      </c>
      <c r="K544" t="s">
        <v>3149</v>
      </c>
      <c r="L544" t="s">
        <v>3145</v>
      </c>
      <c r="M544" t="s">
        <v>3146</v>
      </c>
      <c r="N544" t="s">
        <v>339</v>
      </c>
      <c r="O544" t="s">
        <v>139</v>
      </c>
    </row>
    <row r="545" spans="1:15" x14ac:dyDescent="0.35">
      <c r="A545">
        <v>58507</v>
      </c>
      <c r="B545" s="283">
        <v>44378</v>
      </c>
      <c r="C545">
        <v>2239</v>
      </c>
      <c r="D545">
        <v>2230</v>
      </c>
      <c r="E545">
        <v>100</v>
      </c>
      <c r="F545">
        <v>320</v>
      </c>
      <c r="G545">
        <v>1200</v>
      </c>
      <c r="H545">
        <v>3268157</v>
      </c>
      <c r="I545">
        <v>0</v>
      </c>
      <c r="J545" s="283">
        <v>45412.177658182867</v>
      </c>
      <c r="K545" t="s">
        <v>3144</v>
      </c>
      <c r="L545" t="s">
        <v>3145</v>
      </c>
      <c r="M545" t="s">
        <v>3146</v>
      </c>
      <c r="N545" t="s">
        <v>339</v>
      </c>
      <c r="O545" t="s">
        <v>101</v>
      </c>
    </row>
    <row r="546" spans="1:15" x14ac:dyDescent="0.35">
      <c r="A546">
        <v>58508</v>
      </c>
      <c r="B546" s="283">
        <v>44378</v>
      </c>
      <c r="C546">
        <v>2239</v>
      </c>
      <c r="D546">
        <v>2230</v>
      </c>
      <c r="E546">
        <v>100</v>
      </c>
      <c r="F546">
        <v>320</v>
      </c>
      <c r="G546">
        <v>2100</v>
      </c>
      <c r="H546">
        <v>636477</v>
      </c>
      <c r="I546">
        <v>0</v>
      </c>
      <c r="J546" s="283">
        <v>45412.177658182867</v>
      </c>
      <c r="K546" t="s">
        <v>3147</v>
      </c>
      <c r="L546" t="s">
        <v>3145</v>
      </c>
      <c r="M546" t="s">
        <v>3146</v>
      </c>
      <c r="N546" t="s">
        <v>339</v>
      </c>
      <c r="O546" t="s">
        <v>101</v>
      </c>
    </row>
    <row r="547" spans="1:15" x14ac:dyDescent="0.35">
      <c r="A547">
        <v>58509</v>
      </c>
      <c r="B547" s="283">
        <v>44378</v>
      </c>
      <c r="C547">
        <v>2239</v>
      </c>
      <c r="D547">
        <v>2230</v>
      </c>
      <c r="E547">
        <v>100</v>
      </c>
      <c r="F547">
        <v>320</v>
      </c>
      <c r="G547">
        <v>2160</v>
      </c>
      <c r="H547">
        <v>475098</v>
      </c>
      <c r="I547">
        <v>0</v>
      </c>
      <c r="J547" s="283">
        <v>45412.177658182867</v>
      </c>
      <c r="K547" t="s">
        <v>3149</v>
      </c>
      <c r="L547" t="s">
        <v>3145</v>
      </c>
      <c r="M547" t="s">
        <v>3146</v>
      </c>
      <c r="N547" t="s">
        <v>339</v>
      </c>
      <c r="O547" t="s">
        <v>101</v>
      </c>
    </row>
    <row r="548" spans="1:15" x14ac:dyDescent="0.35">
      <c r="A548">
        <v>58513</v>
      </c>
      <c r="B548" s="283">
        <v>44378</v>
      </c>
      <c r="C548">
        <v>2240</v>
      </c>
      <c r="D548">
        <v>2230</v>
      </c>
      <c r="E548">
        <v>100</v>
      </c>
      <c r="F548">
        <v>320</v>
      </c>
      <c r="G548">
        <v>1200</v>
      </c>
      <c r="H548">
        <v>20731</v>
      </c>
      <c r="I548">
        <v>0</v>
      </c>
      <c r="J548" s="283">
        <v>45412.177658182867</v>
      </c>
      <c r="K548" t="s">
        <v>3144</v>
      </c>
      <c r="L548" t="s">
        <v>3145</v>
      </c>
      <c r="M548" t="s">
        <v>3146</v>
      </c>
      <c r="N548" t="s">
        <v>339</v>
      </c>
      <c r="O548" t="s">
        <v>33</v>
      </c>
    </row>
    <row r="549" spans="1:15" x14ac:dyDescent="0.35">
      <c r="A549">
        <v>58514</v>
      </c>
      <c r="B549" s="283">
        <v>44378</v>
      </c>
      <c r="C549">
        <v>2240</v>
      </c>
      <c r="D549">
        <v>2230</v>
      </c>
      <c r="E549">
        <v>100</v>
      </c>
      <c r="F549">
        <v>320</v>
      </c>
      <c r="G549">
        <v>2100</v>
      </c>
      <c r="H549">
        <v>230351</v>
      </c>
      <c r="I549">
        <v>0</v>
      </c>
      <c r="J549" s="283">
        <v>45412.177658182867</v>
      </c>
      <c r="K549" t="s">
        <v>3147</v>
      </c>
      <c r="L549" t="s">
        <v>3145</v>
      </c>
      <c r="M549" t="s">
        <v>3146</v>
      </c>
      <c r="N549" t="s">
        <v>339</v>
      </c>
      <c r="O549" t="s">
        <v>33</v>
      </c>
    </row>
    <row r="550" spans="1:15" x14ac:dyDescent="0.35">
      <c r="A550">
        <v>58515</v>
      </c>
      <c r="B550" s="283">
        <v>44378</v>
      </c>
      <c r="C550">
        <v>2240</v>
      </c>
      <c r="D550">
        <v>2230</v>
      </c>
      <c r="E550">
        <v>100</v>
      </c>
      <c r="F550">
        <v>320</v>
      </c>
      <c r="G550">
        <v>2160</v>
      </c>
      <c r="H550">
        <v>3000</v>
      </c>
      <c r="I550">
        <v>0</v>
      </c>
      <c r="J550" s="283">
        <v>45412.177658182867</v>
      </c>
      <c r="K550" t="s">
        <v>3149</v>
      </c>
      <c r="L550" t="s">
        <v>3145</v>
      </c>
      <c r="M550" t="s">
        <v>3146</v>
      </c>
      <c r="N550" t="s">
        <v>339</v>
      </c>
      <c r="O550" t="s">
        <v>33</v>
      </c>
    </row>
    <row r="551" spans="1:15" x14ac:dyDescent="0.35">
      <c r="A551">
        <v>58521</v>
      </c>
      <c r="B551" s="283">
        <v>44378</v>
      </c>
      <c r="C551">
        <v>2241</v>
      </c>
      <c r="D551">
        <v>2230</v>
      </c>
      <c r="E551">
        <v>100</v>
      </c>
      <c r="F551">
        <v>320</v>
      </c>
      <c r="G551">
        <v>1200</v>
      </c>
      <c r="H551">
        <v>287035</v>
      </c>
      <c r="I551">
        <v>0</v>
      </c>
      <c r="J551" s="283">
        <v>45412.177658182867</v>
      </c>
      <c r="K551" t="s">
        <v>3144</v>
      </c>
      <c r="L551" t="s">
        <v>3145</v>
      </c>
      <c r="M551" t="s">
        <v>3146</v>
      </c>
      <c r="N551" t="s">
        <v>339</v>
      </c>
      <c r="O551" t="s">
        <v>83</v>
      </c>
    </row>
    <row r="552" spans="1:15" x14ac:dyDescent="0.35">
      <c r="A552">
        <v>58522</v>
      </c>
      <c r="B552" s="283">
        <v>44378</v>
      </c>
      <c r="C552">
        <v>2241</v>
      </c>
      <c r="D552">
        <v>2230</v>
      </c>
      <c r="E552">
        <v>100</v>
      </c>
      <c r="F552">
        <v>320</v>
      </c>
      <c r="G552">
        <v>2160</v>
      </c>
      <c r="H552">
        <v>6000</v>
      </c>
      <c r="I552">
        <v>0</v>
      </c>
      <c r="J552" s="283">
        <v>45412.177658182867</v>
      </c>
      <c r="K552" t="s">
        <v>3149</v>
      </c>
      <c r="L552" t="s">
        <v>3145</v>
      </c>
      <c r="M552" t="s">
        <v>3146</v>
      </c>
      <c r="N552" t="s">
        <v>339</v>
      </c>
      <c r="O552" t="s">
        <v>83</v>
      </c>
    </row>
    <row r="553" spans="1:15" x14ac:dyDescent="0.35">
      <c r="A553">
        <v>58529</v>
      </c>
      <c r="B553" s="283">
        <v>44378</v>
      </c>
      <c r="C553">
        <v>2242</v>
      </c>
      <c r="D553">
        <v>2230</v>
      </c>
      <c r="E553">
        <v>100</v>
      </c>
      <c r="F553">
        <v>320</v>
      </c>
      <c r="G553">
        <v>1200</v>
      </c>
      <c r="H553">
        <v>1337209</v>
      </c>
      <c r="I553">
        <v>0</v>
      </c>
      <c r="J553" s="283">
        <v>45412.177658182867</v>
      </c>
      <c r="K553" t="s">
        <v>3144</v>
      </c>
      <c r="L553" t="s">
        <v>3145</v>
      </c>
      <c r="M553" t="s">
        <v>3146</v>
      </c>
      <c r="N553" t="s">
        <v>339</v>
      </c>
      <c r="O553" t="s">
        <v>204</v>
      </c>
    </row>
    <row r="554" spans="1:15" x14ac:dyDescent="0.35">
      <c r="A554">
        <v>58530</v>
      </c>
      <c r="B554" s="283">
        <v>44378</v>
      </c>
      <c r="C554">
        <v>2242</v>
      </c>
      <c r="D554">
        <v>2230</v>
      </c>
      <c r="E554">
        <v>100</v>
      </c>
      <c r="F554">
        <v>320</v>
      </c>
      <c r="G554">
        <v>2100</v>
      </c>
      <c r="H554">
        <v>2234611</v>
      </c>
      <c r="I554">
        <v>0</v>
      </c>
      <c r="J554" s="283">
        <v>45412.177658182867</v>
      </c>
      <c r="K554" t="s">
        <v>3147</v>
      </c>
      <c r="L554" t="s">
        <v>3145</v>
      </c>
      <c r="M554" t="s">
        <v>3146</v>
      </c>
      <c r="N554" t="s">
        <v>339</v>
      </c>
      <c r="O554" t="s">
        <v>204</v>
      </c>
    </row>
    <row r="555" spans="1:15" x14ac:dyDescent="0.35">
      <c r="A555">
        <v>58531</v>
      </c>
      <c r="B555" s="283">
        <v>44378</v>
      </c>
      <c r="C555">
        <v>2242</v>
      </c>
      <c r="D555">
        <v>2230</v>
      </c>
      <c r="E555">
        <v>100</v>
      </c>
      <c r="F555">
        <v>320</v>
      </c>
      <c r="G555">
        <v>2160</v>
      </c>
      <c r="H555">
        <v>57588</v>
      </c>
      <c r="I555">
        <v>0</v>
      </c>
      <c r="J555" s="283">
        <v>45412.177658182867</v>
      </c>
      <c r="K555" t="s">
        <v>3149</v>
      </c>
      <c r="L555" t="s">
        <v>3145</v>
      </c>
      <c r="M555" t="s">
        <v>3146</v>
      </c>
      <c r="N555" t="s">
        <v>339</v>
      </c>
      <c r="O555" t="s">
        <v>204</v>
      </c>
    </row>
    <row r="556" spans="1:15" x14ac:dyDescent="0.35">
      <c r="A556">
        <v>58535</v>
      </c>
      <c r="B556" s="283">
        <v>44378</v>
      </c>
      <c r="C556">
        <v>2243</v>
      </c>
      <c r="D556">
        <v>2230</v>
      </c>
      <c r="E556">
        <v>100</v>
      </c>
      <c r="F556">
        <v>320</v>
      </c>
      <c r="G556">
        <v>1200</v>
      </c>
      <c r="H556">
        <v>5727911</v>
      </c>
      <c r="I556">
        <v>0</v>
      </c>
      <c r="J556" s="283">
        <v>45412.177658182867</v>
      </c>
      <c r="K556" t="s">
        <v>3144</v>
      </c>
      <c r="L556" t="s">
        <v>3145</v>
      </c>
      <c r="M556" t="s">
        <v>3146</v>
      </c>
      <c r="N556" t="s">
        <v>339</v>
      </c>
      <c r="O556" t="s">
        <v>34</v>
      </c>
    </row>
    <row r="557" spans="1:15" x14ac:dyDescent="0.35">
      <c r="A557">
        <v>58541</v>
      </c>
      <c r="B557" s="283">
        <v>44378</v>
      </c>
      <c r="C557">
        <v>2244</v>
      </c>
      <c r="D557">
        <v>2230</v>
      </c>
      <c r="E557">
        <v>100</v>
      </c>
      <c r="F557">
        <v>320</v>
      </c>
      <c r="G557">
        <v>1200</v>
      </c>
      <c r="H557">
        <v>688380</v>
      </c>
      <c r="I557">
        <v>0</v>
      </c>
      <c r="J557" s="283">
        <v>45412.177658182867</v>
      </c>
      <c r="K557" t="s">
        <v>3144</v>
      </c>
      <c r="L557" t="s">
        <v>3145</v>
      </c>
      <c r="M557" t="s">
        <v>3146</v>
      </c>
      <c r="N557" t="s">
        <v>339</v>
      </c>
      <c r="O557" t="s">
        <v>187</v>
      </c>
    </row>
    <row r="558" spans="1:15" x14ac:dyDescent="0.35">
      <c r="A558">
        <v>58542</v>
      </c>
      <c r="B558" s="283">
        <v>44378</v>
      </c>
      <c r="C558">
        <v>2244</v>
      </c>
      <c r="D558">
        <v>2230</v>
      </c>
      <c r="E558">
        <v>100</v>
      </c>
      <c r="F558">
        <v>320</v>
      </c>
      <c r="G558">
        <v>2100</v>
      </c>
      <c r="H558">
        <v>507939</v>
      </c>
      <c r="I558">
        <v>0</v>
      </c>
      <c r="J558" s="283">
        <v>45412.177658182867</v>
      </c>
      <c r="K558" t="s">
        <v>3147</v>
      </c>
      <c r="L558" t="s">
        <v>3145</v>
      </c>
      <c r="M558" t="s">
        <v>3146</v>
      </c>
      <c r="N558" t="s">
        <v>339</v>
      </c>
      <c r="O558" t="s">
        <v>187</v>
      </c>
    </row>
    <row r="559" spans="1:15" x14ac:dyDescent="0.35">
      <c r="A559">
        <v>58543</v>
      </c>
      <c r="B559" s="283">
        <v>44378</v>
      </c>
      <c r="C559">
        <v>2244</v>
      </c>
      <c r="D559">
        <v>2230</v>
      </c>
      <c r="E559">
        <v>100</v>
      </c>
      <c r="F559">
        <v>320</v>
      </c>
      <c r="G559">
        <v>2160</v>
      </c>
      <c r="H559">
        <v>3000</v>
      </c>
      <c r="I559">
        <v>0</v>
      </c>
      <c r="J559" s="283">
        <v>45412.177658182867</v>
      </c>
      <c r="K559" t="s">
        <v>3149</v>
      </c>
      <c r="L559" t="s">
        <v>3145</v>
      </c>
      <c r="M559" t="s">
        <v>3146</v>
      </c>
      <c r="N559" t="s">
        <v>339</v>
      </c>
      <c r="O559" t="s">
        <v>187</v>
      </c>
    </row>
    <row r="560" spans="1:15" x14ac:dyDescent="0.35">
      <c r="A560">
        <v>58547</v>
      </c>
      <c r="B560" s="283">
        <v>44378</v>
      </c>
      <c r="C560">
        <v>2245</v>
      </c>
      <c r="D560">
        <v>2230</v>
      </c>
      <c r="E560">
        <v>100</v>
      </c>
      <c r="F560">
        <v>320</v>
      </c>
      <c r="G560">
        <v>1200</v>
      </c>
      <c r="H560">
        <v>118855</v>
      </c>
      <c r="I560">
        <v>0</v>
      </c>
      <c r="J560" s="283">
        <v>45412.177658182867</v>
      </c>
      <c r="K560" t="s">
        <v>3144</v>
      </c>
      <c r="L560" t="s">
        <v>3145</v>
      </c>
      <c r="M560" t="s">
        <v>3146</v>
      </c>
      <c r="N560" t="s">
        <v>339</v>
      </c>
      <c r="O560" t="s">
        <v>86</v>
      </c>
    </row>
    <row r="561" spans="1:15" x14ac:dyDescent="0.35">
      <c r="A561">
        <v>58548</v>
      </c>
      <c r="B561" s="283">
        <v>44378</v>
      </c>
      <c r="C561">
        <v>2245</v>
      </c>
      <c r="D561">
        <v>2230</v>
      </c>
      <c r="E561">
        <v>100</v>
      </c>
      <c r="F561">
        <v>320</v>
      </c>
      <c r="G561">
        <v>2100</v>
      </c>
      <c r="H561">
        <v>132751</v>
      </c>
      <c r="I561">
        <v>0</v>
      </c>
      <c r="J561" s="283">
        <v>45412.177658182867</v>
      </c>
      <c r="K561" t="s">
        <v>3147</v>
      </c>
      <c r="L561" t="s">
        <v>3145</v>
      </c>
      <c r="M561" t="s">
        <v>3146</v>
      </c>
      <c r="N561" t="s">
        <v>339</v>
      </c>
      <c r="O561" t="s">
        <v>86</v>
      </c>
    </row>
    <row r="562" spans="1:15" x14ac:dyDescent="0.35">
      <c r="A562">
        <v>58549</v>
      </c>
      <c r="B562" s="283">
        <v>44378</v>
      </c>
      <c r="C562">
        <v>2245</v>
      </c>
      <c r="D562">
        <v>2230</v>
      </c>
      <c r="E562">
        <v>100</v>
      </c>
      <c r="F562">
        <v>320</v>
      </c>
      <c r="G562">
        <v>2160</v>
      </c>
      <c r="H562">
        <v>3000</v>
      </c>
      <c r="I562">
        <v>0</v>
      </c>
      <c r="J562" s="283">
        <v>45412.177658182867</v>
      </c>
      <c r="K562" t="s">
        <v>3149</v>
      </c>
      <c r="L562" t="s">
        <v>3145</v>
      </c>
      <c r="M562" t="s">
        <v>3146</v>
      </c>
      <c r="N562" t="s">
        <v>339</v>
      </c>
      <c r="O562" t="s">
        <v>86</v>
      </c>
    </row>
    <row r="563" spans="1:15" x14ac:dyDescent="0.35">
      <c r="A563">
        <v>58552</v>
      </c>
      <c r="B563" s="283">
        <v>44378</v>
      </c>
      <c r="C563">
        <v>2262</v>
      </c>
      <c r="D563">
        <v>2230</v>
      </c>
      <c r="E563">
        <v>100</v>
      </c>
      <c r="F563">
        <v>320</v>
      </c>
      <c r="G563">
        <v>1200</v>
      </c>
      <c r="H563">
        <v>32683</v>
      </c>
      <c r="I563">
        <v>0</v>
      </c>
      <c r="J563" s="283">
        <v>45412.177658182867</v>
      </c>
      <c r="K563" t="s">
        <v>3144</v>
      </c>
      <c r="L563" t="s">
        <v>3145</v>
      </c>
      <c r="M563" t="s">
        <v>3146</v>
      </c>
      <c r="N563" t="s">
        <v>339</v>
      </c>
      <c r="O563" t="s">
        <v>116</v>
      </c>
    </row>
    <row r="564" spans="1:15" x14ac:dyDescent="0.35">
      <c r="A564">
        <v>58553</v>
      </c>
      <c r="B564" s="283">
        <v>44378</v>
      </c>
      <c r="C564">
        <v>2262</v>
      </c>
      <c r="D564">
        <v>2230</v>
      </c>
      <c r="E564">
        <v>100</v>
      </c>
      <c r="F564">
        <v>320</v>
      </c>
      <c r="G564">
        <v>2100</v>
      </c>
      <c r="H564">
        <v>24475</v>
      </c>
      <c r="I564">
        <v>0</v>
      </c>
      <c r="J564" s="283">
        <v>45412.177658182867</v>
      </c>
      <c r="K564" t="s">
        <v>3147</v>
      </c>
      <c r="L564" t="s">
        <v>3145</v>
      </c>
      <c r="M564" t="s">
        <v>3146</v>
      </c>
      <c r="N564" t="s">
        <v>339</v>
      </c>
      <c r="O564" t="s">
        <v>116</v>
      </c>
    </row>
    <row r="565" spans="1:15" x14ac:dyDescent="0.35">
      <c r="A565">
        <v>58554</v>
      </c>
      <c r="B565" s="283">
        <v>44378</v>
      </c>
      <c r="C565">
        <v>2262</v>
      </c>
      <c r="D565">
        <v>2230</v>
      </c>
      <c r="E565">
        <v>100</v>
      </c>
      <c r="F565">
        <v>320</v>
      </c>
      <c r="G565">
        <v>2160</v>
      </c>
      <c r="H565">
        <v>1500</v>
      </c>
      <c r="I565">
        <v>0</v>
      </c>
      <c r="J565" s="283">
        <v>45412.177658182867</v>
      </c>
      <c r="K565" t="s">
        <v>3149</v>
      </c>
      <c r="L565" t="s">
        <v>3145</v>
      </c>
      <c r="M565" t="s">
        <v>3146</v>
      </c>
      <c r="N565" t="s">
        <v>339</v>
      </c>
      <c r="O565" t="s">
        <v>116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08BF6-DBB4-47D7-ABF9-83472BA3ED03}">
  <dimension ref="A1:E20"/>
  <sheetViews>
    <sheetView workbookViewId="0"/>
  </sheetViews>
  <sheetFormatPr defaultRowHeight="14.5" x14ac:dyDescent="0.35"/>
  <cols>
    <col min="1" max="1" width="12.81640625" bestFit="1" customWidth="1"/>
    <col min="2" max="2" width="24.81640625" bestFit="1" customWidth="1"/>
    <col min="3" max="3" width="12.1796875" bestFit="1" customWidth="1"/>
    <col min="4" max="4" width="13.54296875" bestFit="1" customWidth="1"/>
    <col min="5" max="5" width="11.7265625" bestFit="1" customWidth="1"/>
  </cols>
  <sheetData>
    <row r="1" spans="1:5" x14ac:dyDescent="0.35">
      <c r="A1" t="s">
        <v>3131</v>
      </c>
      <c r="B1" t="s">
        <v>3143</v>
      </c>
      <c r="C1" s="79" t="s">
        <v>3166</v>
      </c>
      <c r="D1" s="79" t="s">
        <v>3167</v>
      </c>
    </row>
    <row r="2" spans="1:5" x14ac:dyDescent="0.35">
      <c r="A2">
        <v>1933</v>
      </c>
      <c r="B2" t="s">
        <v>28</v>
      </c>
      <c r="C2" s="247">
        <v>345309</v>
      </c>
      <c r="D2" s="247">
        <v>583074</v>
      </c>
      <c r="E2" s="284">
        <f>C2-D2</f>
        <v>-237765</v>
      </c>
    </row>
    <row r="3" spans="1:5" x14ac:dyDescent="0.35">
      <c r="A3">
        <v>1934</v>
      </c>
      <c r="B3" t="s">
        <v>108</v>
      </c>
      <c r="C3" s="247">
        <v>39322</v>
      </c>
      <c r="D3" s="247">
        <v>69643</v>
      </c>
      <c r="E3" s="284">
        <f t="shared" ref="E3:E20" si="0">C3-D3</f>
        <v>-30321</v>
      </c>
    </row>
    <row r="4" spans="1:5" x14ac:dyDescent="0.35">
      <c r="A4">
        <v>1935</v>
      </c>
      <c r="B4" t="s">
        <v>184</v>
      </c>
      <c r="C4" s="247">
        <v>293746</v>
      </c>
      <c r="D4" s="247">
        <v>465952</v>
      </c>
      <c r="E4" s="284">
        <f t="shared" si="0"/>
        <v>-172206</v>
      </c>
    </row>
    <row r="5" spans="1:5" x14ac:dyDescent="0.35">
      <c r="A5">
        <v>1936</v>
      </c>
      <c r="B5" t="s">
        <v>213</v>
      </c>
      <c r="C5" s="247">
        <v>181361</v>
      </c>
      <c r="D5" s="247">
        <v>329359</v>
      </c>
      <c r="E5" s="284">
        <f t="shared" si="0"/>
        <v>-147998</v>
      </c>
    </row>
    <row r="6" spans="1:5" x14ac:dyDescent="0.35">
      <c r="A6">
        <v>1944</v>
      </c>
      <c r="B6" t="s">
        <v>182</v>
      </c>
      <c r="C6" s="247">
        <v>325063</v>
      </c>
      <c r="D6" s="247">
        <v>1081977</v>
      </c>
      <c r="E6" s="284">
        <f t="shared" si="0"/>
        <v>-756914</v>
      </c>
    </row>
    <row r="7" spans="1:5" x14ac:dyDescent="0.35">
      <c r="A7">
        <v>1945</v>
      </c>
      <c r="B7" t="s">
        <v>51</v>
      </c>
      <c r="C7" s="247">
        <v>188311</v>
      </c>
      <c r="D7" s="247">
        <v>80689</v>
      </c>
      <c r="E7" s="284">
        <f t="shared" si="0"/>
        <v>107622</v>
      </c>
    </row>
    <row r="8" spans="1:5" x14ac:dyDescent="0.35">
      <c r="A8">
        <v>1946</v>
      </c>
      <c r="B8" t="s">
        <v>173</v>
      </c>
      <c r="C8" s="247">
        <v>110096</v>
      </c>
      <c r="D8" s="247">
        <v>167356</v>
      </c>
      <c r="E8" s="284">
        <f t="shared" si="0"/>
        <v>-57260</v>
      </c>
    </row>
    <row r="9" spans="1:5" x14ac:dyDescent="0.35">
      <c r="A9">
        <v>1947</v>
      </c>
      <c r="B9" t="s">
        <v>211</v>
      </c>
      <c r="C9" s="247">
        <v>12013</v>
      </c>
      <c r="D9" s="247">
        <v>84411</v>
      </c>
      <c r="E9" s="284">
        <f t="shared" si="0"/>
        <v>-72398</v>
      </c>
    </row>
    <row r="10" spans="1:5" x14ac:dyDescent="0.35">
      <c r="A10">
        <v>1948</v>
      </c>
      <c r="B10" t="s">
        <v>197</v>
      </c>
      <c r="C10" s="247">
        <v>228730</v>
      </c>
      <c r="D10" s="247">
        <v>803149</v>
      </c>
      <c r="E10" s="284">
        <f t="shared" si="0"/>
        <v>-574419</v>
      </c>
    </row>
    <row r="11" spans="1:5" x14ac:dyDescent="0.35">
      <c r="A11">
        <v>2197</v>
      </c>
      <c r="B11" t="s">
        <v>205</v>
      </c>
      <c r="C11" s="247">
        <v>342310</v>
      </c>
      <c r="D11" s="247">
        <v>593778</v>
      </c>
      <c r="E11" s="284">
        <f t="shared" si="0"/>
        <v>-251468</v>
      </c>
    </row>
    <row r="12" spans="1:5" x14ac:dyDescent="0.35">
      <c r="A12">
        <v>2198</v>
      </c>
      <c r="B12" t="s">
        <v>138</v>
      </c>
      <c r="C12" s="247">
        <v>141665</v>
      </c>
      <c r="D12" s="247">
        <v>279020</v>
      </c>
      <c r="E12" s="284">
        <f t="shared" si="0"/>
        <v>-137355</v>
      </c>
    </row>
    <row r="13" spans="1:5" x14ac:dyDescent="0.35">
      <c r="A13">
        <v>2199</v>
      </c>
      <c r="B13" t="s">
        <v>139</v>
      </c>
      <c r="C13" s="247">
        <v>98666</v>
      </c>
      <c r="D13" s="247">
        <v>178051</v>
      </c>
      <c r="E13" s="284">
        <f t="shared" si="0"/>
        <v>-79385</v>
      </c>
    </row>
    <row r="14" spans="1:5" x14ac:dyDescent="0.35">
      <c r="A14">
        <v>2239</v>
      </c>
      <c r="B14" t="s">
        <v>101</v>
      </c>
      <c r="C14" s="247">
        <v>1718389</v>
      </c>
      <c r="D14" s="247">
        <v>4379732</v>
      </c>
      <c r="E14" s="285">
        <f t="shared" si="0"/>
        <v>-2661343</v>
      </c>
    </row>
    <row r="15" spans="1:5" x14ac:dyDescent="0.35">
      <c r="A15">
        <v>2240</v>
      </c>
      <c r="B15" t="s">
        <v>33</v>
      </c>
      <c r="C15" s="247">
        <v>70999</v>
      </c>
      <c r="D15" s="247">
        <v>254082</v>
      </c>
      <c r="E15" s="284">
        <f t="shared" si="0"/>
        <v>-183083</v>
      </c>
    </row>
    <row r="16" spans="1:5" x14ac:dyDescent="0.35">
      <c r="A16">
        <v>2241</v>
      </c>
      <c r="B16" t="s">
        <v>83</v>
      </c>
      <c r="C16" s="247">
        <v>302553</v>
      </c>
      <c r="D16" s="247">
        <v>293035</v>
      </c>
      <c r="E16" s="284">
        <f t="shared" si="0"/>
        <v>9518</v>
      </c>
    </row>
    <row r="17" spans="1:5" x14ac:dyDescent="0.35">
      <c r="A17">
        <v>2242</v>
      </c>
      <c r="B17" t="s">
        <v>204</v>
      </c>
      <c r="C17" s="247">
        <v>1761207</v>
      </c>
      <c r="D17" s="247">
        <v>3629408</v>
      </c>
      <c r="E17" s="285">
        <f t="shared" si="0"/>
        <v>-1868201</v>
      </c>
    </row>
    <row r="18" spans="1:5" x14ac:dyDescent="0.35">
      <c r="A18">
        <v>2243</v>
      </c>
      <c r="B18" t="s">
        <v>34</v>
      </c>
      <c r="C18" s="247">
        <v>988253</v>
      </c>
      <c r="D18" s="247">
        <v>5727911</v>
      </c>
      <c r="E18" s="285">
        <f t="shared" si="0"/>
        <v>-4739658</v>
      </c>
    </row>
    <row r="19" spans="1:5" x14ac:dyDescent="0.35">
      <c r="A19">
        <v>2244</v>
      </c>
      <c r="B19" t="s">
        <v>187</v>
      </c>
      <c r="C19" s="247">
        <v>318627</v>
      </c>
      <c r="D19" s="247">
        <v>1199319</v>
      </c>
      <c r="E19" s="284">
        <f t="shared" si="0"/>
        <v>-880692</v>
      </c>
    </row>
    <row r="20" spans="1:5" x14ac:dyDescent="0.35">
      <c r="A20">
        <v>2262</v>
      </c>
      <c r="B20" t="s">
        <v>116</v>
      </c>
      <c r="C20" s="247">
        <v>32720</v>
      </c>
      <c r="D20" s="247">
        <v>58658</v>
      </c>
      <c r="E20" s="284">
        <f t="shared" si="0"/>
        <v>-25938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D354"/>
  <sheetViews>
    <sheetView workbookViewId="0">
      <selection activeCell="F16" sqref="F16"/>
    </sheetView>
  </sheetViews>
  <sheetFormatPr defaultColWidth="9.1796875" defaultRowHeight="14.5" x14ac:dyDescent="0.35"/>
  <cols>
    <col min="1" max="1" width="29" bestFit="1" customWidth="1"/>
    <col min="2" max="2" width="8.1796875" bestFit="1" customWidth="1"/>
    <col min="3" max="3" width="10.7265625" bestFit="1" customWidth="1"/>
    <col min="4" max="4" width="9.26953125" bestFit="1" customWidth="1"/>
    <col min="5" max="5" width="20.81640625" bestFit="1" customWidth="1"/>
    <col min="6" max="6" width="13.453125" bestFit="1" customWidth="1"/>
    <col min="7" max="7" width="14.81640625" bestFit="1" customWidth="1"/>
    <col min="8" max="8" width="14.7265625" bestFit="1" customWidth="1"/>
    <col min="9" max="9" width="20.26953125" bestFit="1" customWidth="1"/>
    <col min="10" max="10" width="18.81640625" bestFit="1" customWidth="1"/>
    <col min="11" max="11" width="15" bestFit="1" customWidth="1"/>
    <col min="12" max="12" width="22.7265625" bestFit="1" customWidth="1"/>
    <col min="13" max="13" width="14.7265625" bestFit="1" customWidth="1"/>
    <col min="14" max="14" width="18.7265625" bestFit="1" customWidth="1"/>
    <col min="15" max="15" width="23.81640625" bestFit="1" customWidth="1"/>
    <col min="16" max="16" width="18.7265625" bestFit="1" customWidth="1"/>
    <col min="17" max="17" width="19.81640625" bestFit="1" customWidth="1"/>
    <col min="18" max="18" width="15" bestFit="1" customWidth="1"/>
    <col min="19" max="19" width="15.81640625" bestFit="1" customWidth="1"/>
    <col min="20" max="20" width="28.26953125" bestFit="1" customWidth="1"/>
    <col min="21" max="21" width="18.7265625" bestFit="1" customWidth="1"/>
    <col min="22" max="22" width="14.26953125" bestFit="1" customWidth="1"/>
    <col min="23" max="23" width="14" customWidth="1"/>
    <col min="24" max="24" width="14.81640625" bestFit="1" customWidth="1"/>
    <col min="25" max="25" width="10.7265625" bestFit="1" customWidth="1"/>
  </cols>
  <sheetData>
    <row r="1" spans="1:30" x14ac:dyDescent="0.35">
      <c r="A1" t="s">
        <v>244</v>
      </c>
      <c r="B1" t="s">
        <v>245</v>
      </c>
      <c r="C1" t="s">
        <v>246</v>
      </c>
      <c r="D1" t="s">
        <v>247</v>
      </c>
      <c r="E1" t="s">
        <v>248</v>
      </c>
      <c r="F1" t="s">
        <v>249</v>
      </c>
      <c r="G1" t="s">
        <v>250</v>
      </c>
      <c r="H1" t="s">
        <v>251</v>
      </c>
      <c r="I1" t="s">
        <v>252</v>
      </c>
      <c r="J1" t="s">
        <v>253</v>
      </c>
      <c r="K1" t="s">
        <v>1785</v>
      </c>
      <c r="L1" t="s">
        <v>254</v>
      </c>
      <c r="M1" t="s">
        <v>255</v>
      </c>
      <c r="N1" t="s">
        <v>256</v>
      </c>
      <c r="O1" t="s">
        <v>257</v>
      </c>
      <c r="P1" t="s">
        <v>258</v>
      </c>
      <c r="Q1" t="s">
        <v>259</v>
      </c>
      <c r="R1" t="s">
        <v>1794</v>
      </c>
      <c r="S1" t="s">
        <v>260</v>
      </c>
      <c r="T1" t="s">
        <v>1835</v>
      </c>
      <c r="U1" t="s">
        <v>261</v>
      </c>
      <c r="V1" t="s">
        <v>262</v>
      </c>
      <c r="W1" t="s">
        <v>263</v>
      </c>
      <c r="X1" t="s">
        <v>264</v>
      </c>
      <c r="Y1" t="s">
        <v>265</v>
      </c>
      <c r="Z1" t="s">
        <v>266</v>
      </c>
      <c r="AA1" t="s">
        <v>267</v>
      </c>
      <c r="AB1" t="s">
        <v>268</v>
      </c>
      <c r="AC1" t="s">
        <v>269</v>
      </c>
      <c r="AD1" t="s">
        <v>270</v>
      </c>
    </row>
    <row r="2" spans="1:30" x14ac:dyDescent="0.35">
      <c r="A2" t="s">
        <v>14</v>
      </c>
      <c r="B2">
        <v>2063</v>
      </c>
      <c r="C2" t="s">
        <v>271</v>
      </c>
      <c r="D2">
        <v>2058</v>
      </c>
      <c r="E2" t="s">
        <v>272</v>
      </c>
      <c r="F2" t="s">
        <v>273</v>
      </c>
      <c r="G2" t="s">
        <v>390</v>
      </c>
      <c r="H2" t="s">
        <v>2142</v>
      </c>
      <c r="I2" t="e">
        <v>#REF!</v>
      </c>
      <c r="J2" t="s">
        <v>2143</v>
      </c>
      <c r="K2" t="s">
        <v>2144</v>
      </c>
      <c r="L2" t="s">
        <v>2145</v>
      </c>
      <c r="M2" t="s">
        <v>276</v>
      </c>
      <c r="N2" t="s">
        <v>390</v>
      </c>
      <c r="O2" t="s">
        <v>2142</v>
      </c>
      <c r="P2" t="s">
        <v>277</v>
      </c>
      <c r="Q2" t="s">
        <v>2143</v>
      </c>
      <c r="R2" t="s">
        <v>2144</v>
      </c>
      <c r="S2" t="s">
        <v>2145</v>
      </c>
      <c r="T2" t="s">
        <v>1862</v>
      </c>
      <c r="U2" t="s">
        <v>549</v>
      </c>
      <c r="V2" t="s">
        <v>986</v>
      </c>
      <c r="W2" t="e">
        <v>#REF!</v>
      </c>
      <c r="X2" s="10">
        <v>5419473371</v>
      </c>
      <c r="AA2" t="s">
        <v>1836</v>
      </c>
      <c r="AB2" t="e">
        <v>#REF!</v>
      </c>
      <c r="AC2" t="e">
        <v>#REF!</v>
      </c>
      <c r="AD2" t="e">
        <v>#REF!</v>
      </c>
    </row>
    <row r="3" spans="1:30" x14ac:dyDescent="0.35">
      <c r="A3" t="s">
        <v>17</v>
      </c>
      <c r="B3">
        <v>2113</v>
      </c>
      <c r="C3" t="s">
        <v>278</v>
      </c>
      <c r="D3">
        <v>2106</v>
      </c>
      <c r="E3" t="s">
        <v>279</v>
      </c>
      <c r="F3" t="s">
        <v>273</v>
      </c>
      <c r="G3" t="s">
        <v>656</v>
      </c>
      <c r="H3" t="s">
        <v>2146</v>
      </c>
      <c r="I3" t="e">
        <v>#REF!</v>
      </c>
      <c r="J3" t="s">
        <v>2147</v>
      </c>
      <c r="K3" t="s">
        <v>2144</v>
      </c>
      <c r="L3" t="s">
        <v>2148</v>
      </c>
      <c r="M3" t="s">
        <v>276</v>
      </c>
      <c r="N3" t="s">
        <v>281</v>
      </c>
      <c r="O3" t="s">
        <v>282</v>
      </c>
      <c r="P3" t="s">
        <v>283</v>
      </c>
      <c r="Q3" t="s">
        <v>2149</v>
      </c>
      <c r="R3" t="s">
        <v>2150</v>
      </c>
      <c r="S3" t="s">
        <v>284</v>
      </c>
      <c r="U3" t="s">
        <v>285</v>
      </c>
      <c r="V3" t="s">
        <v>286</v>
      </c>
      <c r="W3" t="e">
        <v>#REF!</v>
      </c>
      <c r="X3" s="10">
        <v>5413722335</v>
      </c>
      <c r="Y3" t="s">
        <v>287</v>
      </c>
      <c r="AA3" t="s">
        <v>288</v>
      </c>
      <c r="AB3" t="e">
        <v>#REF!</v>
      </c>
      <c r="AC3" t="e">
        <v>#REF!</v>
      </c>
      <c r="AD3" t="e">
        <v>#REF!</v>
      </c>
    </row>
    <row r="4" spans="1:30" x14ac:dyDescent="0.35">
      <c r="A4" t="s">
        <v>20</v>
      </c>
      <c r="B4">
        <v>1899</v>
      </c>
      <c r="C4" t="s">
        <v>289</v>
      </c>
      <c r="D4">
        <v>2098</v>
      </c>
      <c r="E4" t="s">
        <v>290</v>
      </c>
      <c r="F4" t="s">
        <v>273</v>
      </c>
      <c r="G4" t="s">
        <v>386</v>
      </c>
      <c r="H4" t="s">
        <v>514</v>
      </c>
      <c r="I4" t="e">
        <v>#REF!</v>
      </c>
      <c r="J4" t="s">
        <v>2151</v>
      </c>
      <c r="K4" t="s">
        <v>2144</v>
      </c>
      <c r="L4" t="s">
        <v>2152</v>
      </c>
      <c r="M4" t="s">
        <v>276</v>
      </c>
      <c r="N4" t="s">
        <v>461</v>
      </c>
      <c r="O4" t="s">
        <v>2153</v>
      </c>
      <c r="P4" t="s">
        <v>291</v>
      </c>
      <c r="Q4" t="s">
        <v>2154</v>
      </c>
      <c r="R4" t="s">
        <v>2144</v>
      </c>
      <c r="S4" t="s">
        <v>2155</v>
      </c>
      <c r="U4" t="s">
        <v>292</v>
      </c>
      <c r="V4" t="s">
        <v>293</v>
      </c>
      <c r="W4" t="e">
        <v>#REF!</v>
      </c>
      <c r="X4" s="10">
        <v>5414874305</v>
      </c>
      <c r="AA4" t="s">
        <v>294</v>
      </c>
      <c r="AB4" t="e">
        <v>#REF!</v>
      </c>
      <c r="AC4" t="e">
        <v>#REF!</v>
      </c>
      <c r="AD4" t="e">
        <v>#REF!</v>
      </c>
    </row>
    <row r="5" spans="1:30" x14ac:dyDescent="0.35">
      <c r="A5" t="s">
        <v>21</v>
      </c>
      <c r="B5">
        <v>2252</v>
      </c>
      <c r="C5" t="s">
        <v>295</v>
      </c>
      <c r="D5">
        <v>2117</v>
      </c>
      <c r="E5" t="s">
        <v>296</v>
      </c>
      <c r="F5" t="s">
        <v>273</v>
      </c>
      <c r="G5" t="s">
        <v>297</v>
      </c>
      <c r="H5" t="s">
        <v>298</v>
      </c>
      <c r="I5" t="e">
        <v>#REF!</v>
      </c>
      <c r="J5" t="s">
        <v>2156</v>
      </c>
      <c r="K5" t="s">
        <v>2144</v>
      </c>
      <c r="L5" t="s">
        <v>299</v>
      </c>
      <c r="M5" t="s">
        <v>276</v>
      </c>
      <c r="N5" t="s">
        <v>280</v>
      </c>
      <c r="O5" t="s">
        <v>2157</v>
      </c>
      <c r="P5" t="s">
        <v>300</v>
      </c>
      <c r="Q5" t="s">
        <v>2158</v>
      </c>
      <c r="R5" t="s">
        <v>2144</v>
      </c>
      <c r="S5" t="s">
        <v>2159</v>
      </c>
      <c r="U5" t="s">
        <v>301</v>
      </c>
      <c r="V5" t="s">
        <v>302</v>
      </c>
      <c r="W5" t="e">
        <v>#REF!</v>
      </c>
      <c r="X5" s="10">
        <v>5038352171</v>
      </c>
      <c r="AA5" t="s">
        <v>303</v>
      </c>
      <c r="AB5" t="e">
        <v>#REF!</v>
      </c>
      <c r="AC5" t="e">
        <v>#REF!</v>
      </c>
      <c r="AD5" t="e">
        <v>#REF!</v>
      </c>
    </row>
    <row r="6" spans="1:30" x14ac:dyDescent="0.35">
      <c r="A6" t="s">
        <v>23</v>
      </c>
      <c r="B6">
        <v>2111</v>
      </c>
      <c r="C6" t="s">
        <v>278</v>
      </c>
      <c r="D6">
        <v>2106</v>
      </c>
      <c r="E6" t="s">
        <v>279</v>
      </c>
      <c r="F6" t="s">
        <v>273</v>
      </c>
      <c r="G6" t="s">
        <v>304</v>
      </c>
      <c r="H6" t="s">
        <v>305</v>
      </c>
      <c r="I6" t="e">
        <v>#REF!</v>
      </c>
      <c r="J6" t="s">
        <v>2160</v>
      </c>
      <c r="K6" t="s">
        <v>2144</v>
      </c>
      <c r="L6" t="s">
        <v>2161</v>
      </c>
      <c r="M6" t="s">
        <v>276</v>
      </c>
      <c r="N6" t="s">
        <v>281</v>
      </c>
      <c r="O6" t="s">
        <v>282</v>
      </c>
      <c r="P6" t="s">
        <v>283</v>
      </c>
      <c r="Q6" t="s">
        <v>2162</v>
      </c>
      <c r="R6" t="s">
        <v>2150</v>
      </c>
      <c r="S6" t="s">
        <v>284</v>
      </c>
      <c r="U6" t="s">
        <v>306</v>
      </c>
      <c r="V6" t="s">
        <v>307</v>
      </c>
      <c r="W6" t="e">
        <v>#REF!</v>
      </c>
      <c r="X6" s="10">
        <v>5414734833</v>
      </c>
      <c r="AA6" t="s">
        <v>308</v>
      </c>
      <c r="AB6" t="e">
        <v>#REF!</v>
      </c>
      <c r="AC6" t="e">
        <v>#REF!</v>
      </c>
      <c r="AD6" t="e">
        <v>#REF!</v>
      </c>
    </row>
    <row r="7" spans="1:30" x14ac:dyDescent="0.35">
      <c r="A7" t="s">
        <v>24</v>
      </c>
      <c r="B7">
        <v>2005</v>
      </c>
      <c r="C7" t="s">
        <v>309</v>
      </c>
      <c r="D7">
        <v>2004</v>
      </c>
      <c r="E7" t="s">
        <v>310</v>
      </c>
      <c r="F7" t="s">
        <v>273</v>
      </c>
      <c r="G7" t="s">
        <v>1032</v>
      </c>
      <c r="H7" t="s">
        <v>540</v>
      </c>
      <c r="I7" t="e">
        <v>#REF!</v>
      </c>
      <c r="J7" t="s">
        <v>2163</v>
      </c>
      <c r="K7" t="s">
        <v>2144</v>
      </c>
      <c r="L7" t="s">
        <v>2164</v>
      </c>
      <c r="M7" t="s">
        <v>276</v>
      </c>
      <c r="N7" t="s">
        <v>2165</v>
      </c>
      <c r="O7" t="s">
        <v>2166</v>
      </c>
      <c r="P7" t="s">
        <v>311</v>
      </c>
      <c r="Q7" t="s">
        <v>2167</v>
      </c>
      <c r="R7" t="s">
        <v>2144</v>
      </c>
      <c r="S7" t="s">
        <v>2168</v>
      </c>
      <c r="U7" t="s">
        <v>312</v>
      </c>
      <c r="V7" t="s">
        <v>313</v>
      </c>
      <c r="W7" t="e">
        <v>#REF!</v>
      </c>
      <c r="X7" s="10">
        <v>5414542632</v>
      </c>
      <c r="AA7" t="s">
        <v>314</v>
      </c>
      <c r="AB7" t="e">
        <v>#REF!</v>
      </c>
      <c r="AC7" t="e">
        <v>#REF!</v>
      </c>
      <c r="AD7" t="e">
        <v>#REF!</v>
      </c>
    </row>
    <row r="8" spans="1:30" x14ac:dyDescent="0.35">
      <c r="A8" t="s">
        <v>25</v>
      </c>
      <c r="B8">
        <v>2115</v>
      </c>
      <c r="C8" t="s">
        <v>278</v>
      </c>
      <c r="D8">
        <v>2106</v>
      </c>
      <c r="E8" t="s">
        <v>279</v>
      </c>
      <c r="F8" t="s">
        <v>273</v>
      </c>
      <c r="G8" t="s">
        <v>356</v>
      </c>
      <c r="H8" t="s">
        <v>1783</v>
      </c>
      <c r="I8" t="e">
        <v>#REF!</v>
      </c>
      <c r="J8" t="s">
        <v>2162</v>
      </c>
      <c r="K8" t="s">
        <v>2169</v>
      </c>
      <c r="L8" t="s">
        <v>1784</v>
      </c>
      <c r="M8" t="s">
        <v>276</v>
      </c>
      <c r="N8" t="s">
        <v>281</v>
      </c>
      <c r="O8" t="s">
        <v>282</v>
      </c>
      <c r="P8" t="s">
        <v>283</v>
      </c>
      <c r="Q8" t="s">
        <v>2162</v>
      </c>
      <c r="R8" t="s">
        <v>2150</v>
      </c>
      <c r="S8" t="s">
        <v>284</v>
      </c>
      <c r="T8" t="s">
        <v>1863</v>
      </c>
      <c r="U8" t="s">
        <v>1159</v>
      </c>
      <c r="V8" t="s">
        <v>1808</v>
      </c>
      <c r="W8" t="e">
        <v>#REF!</v>
      </c>
      <c r="X8" s="10">
        <v>5414734856</v>
      </c>
      <c r="AA8" t="s">
        <v>1837</v>
      </c>
      <c r="AB8" t="e">
        <v>#REF!</v>
      </c>
      <c r="AC8" t="e">
        <v>#REF!</v>
      </c>
      <c r="AD8" t="e">
        <v>#REF!</v>
      </c>
    </row>
    <row r="9" spans="1:30" x14ac:dyDescent="0.35">
      <c r="A9" t="s">
        <v>26</v>
      </c>
      <c r="B9">
        <v>2041</v>
      </c>
      <c r="C9" t="s">
        <v>318</v>
      </c>
      <c r="D9">
        <v>2025</v>
      </c>
      <c r="E9" t="s">
        <v>319</v>
      </c>
      <c r="F9" t="s">
        <v>273</v>
      </c>
      <c r="G9" t="s">
        <v>321</v>
      </c>
      <c r="H9" t="s">
        <v>322</v>
      </c>
      <c r="I9" t="e">
        <v>#REF!</v>
      </c>
      <c r="J9" t="s">
        <v>2170</v>
      </c>
      <c r="K9" t="s">
        <v>2144</v>
      </c>
      <c r="L9" t="s">
        <v>324</v>
      </c>
      <c r="M9" t="s">
        <v>276</v>
      </c>
      <c r="N9" t="s">
        <v>645</v>
      </c>
      <c r="O9" t="s">
        <v>2171</v>
      </c>
      <c r="P9" t="s">
        <v>323</v>
      </c>
      <c r="Q9" t="s">
        <v>2172</v>
      </c>
      <c r="R9" t="s">
        <v>2173</v>
      </c>
      <c r="S9" t="s">
        <v>2174</v>
      </c>
      <c r="T9" t="s">
        <v>1864</v>
      </c>
      <c r="U9" t="s">
        <v>325</v>
      </c>
      <c r="V9" t="s">
        <v>326</v>
      </c>
      <c r="W9" t="e">
        <v>#REF!</v>
      </c>
      <c r="X9" s="10">
        <v>5414822811</v>
      </c>
      <c r="Y9" t="s">
        <v>327</v>
      </c>
      <c r="AA9" t="s">
        <v>328</v>
      </c>
      <c r="AB9" t="e">
        <v>#REF!</v>
      </c>
      <c r="AC9" t="e">
        <v>#REF!</v>
      </c>
      <c r="AD9" t="e">
        <v>#REF!</v>
      </c>
    </row>
    <row r="10" spans="1:30" x14ac:dyDescent="0.35">
      <c r="A10" t="s">
        <v>27</v>
      </c>
      <c r="B10">
        <v>2051</v>
      </c>
      <c r="C10" t="s">
        <v>329</v>
      </c>
      <c r="D10">
        <v>2049</v>
      </c>
      <c r="E10" t="s">
        <v>330</v>
      </c>
      <c r="F10" t="s">
        <v>273</v>
      </c>
      <c r="G10" t="s">
        <v>2175</v>
      </c>
      <c r="H10" t="s">
        <v>2176</v>
      </c>
      <c r="I10" t="e">
        <v>#REF!</v>
      </c>
      <c r="J10" t="s">
        <v>2177</v>
      </c>
      <c r="K10" t="s">
        <v>2178</v>
      </c>
      <c r="L10" t="s">
        <v>2179</v>
      </c>
      <c r="M10" t="s">
        <v>276</v>
      </c>
      <c r="N10" t="s">
        <v>332</v>
      </c>
      <c r="O10" t="s">
        <v>333</v>
      </c>
      <c r="P10" t="s">
        <v>334</v>
      </c>
      <c r="Q10" t="s">
        <v>2180</v>
      </c>
      <c r="R10" t="s">
        <v>2144</v>
      </c>
      <c r="S10" t="s">
        <v>2181</v>
      </c>
      <c r="U10" t="s">
        <v>335</v>
      </c>
      <c r="V10" t="s">
        <v>336</v>
      </c>
      <c r="W10" t="e">
        <v>#REF!</v>
      </c>
      <c r="X10" s="10"/>
      <c r="AA10" t="s">
        <v>337</v>
      </c>
      <c r="AB10" t="e">
        <v>#REF!</v>
      </c>
      <c r="AC10" t="e">
        <v>#REF!</v>
      </c>
      <c r="AD10" t="e">
        <v>#REF!</v>
      </c>
    </row>
    <row r="11" spans="1:30" x14ac:dyDescent="0.35">
      <c r="A11" t="s">
        <v>28</v>
      </c>
      <c r="B11">
        <v>1933</v>
      </c>
      <c r="C11" t="s">
        <v>338</v>
      </c>
      <c r="D11">
        <v>2230</v>
      </c>
      <c r="E11" t="s">
        <v>339</v>
      </c>
      <c r="F11" t="s">
        <v>273</v>
      </c>
      <c r="G11" t="s">
        <v>340</v>
      </c>
      <c r="H11" t="s">
        <v>341</v>
      </c>
      <c r="I11" t="e">
        <v>#REF!</v>
      </c>
      <c r="J11" t="s">
        <v>2182</v>
      </c>
      <c r="K11" t="s">
        <v>2144</v>
      </c>
      <c r="L11" t="s">
        <v>342</v>
      </c>
      <c r="M11" t="s">
        <v>276</v>
      </c>
      <c r="N11" t="s">
        <v>343</v>
      </c>
      <c r="O11" t="s">
        <v>344</v>
      </c>
      <c r="P11" t="s">
        <v>345</v>
      </c>
      <c r="Q11" t="s">
        <v>2183</v>
      </c>
      <c r="R11" t="s">
        <v>2184</v>
      </c>
      <c r="S11" t="s">
        <v>346</v>
      </c>
      <c r="U11" t="s">
        <v>347</v>
      </c>
      <c r="V11" t="s">
        <v>348</v>
      </c>
      <c r="W11" t="e">
        <v>#REF!</v>
      </c>
      <c r="X11" s="10">
        <v>5037410463</v>
      </c>
      <c r="AA11" t="s">
        <v>349</v>
      </c>
      <c r="AB11" t="e">
        <v>#REF!</v>
      </c>
      <c r="AC11" t="e">
        <v>#REF!</v>
      </c>
      <c r="AD11" t="e">
        <v>#REF!</v>
      </c>
    </row>
    <row r="12" spans="1:30" x14ac:dyDescent="0.35">
      <c r="A12" t="s">
        <v>29</v>
      </c>
      <c r="B12">
        <v>2208</v>
      </c>
      <c r="C12" t="s">
        <v>350</v>
      </c>
      <c r="D12">
        <v>2200</v>
      </c>
      <c r="E12" t="s">
        <v>351</v>
      </c>
      <c r="F12" t="s">
        <v>273</v>
      </c>
      <c r="G12" t="s">
        <v>301</v>
      </c>
      <c r="H12" t="s">
        <v>352</v>
      </c>
      <c r="I12" t="e">
        <v>#REF!</v>
      </c>
      <c r="J12" t="s">
        <v>2185</v>
      </c>
      <c r="K12" t="s">
        <v>2144</v>
      </c>
      <c r="L12" t="s">
        <v>354</v>
      </c>
      <c r="M12" t="s">
        <v>276</v>
      </c>
      <c r="N12" t="s">
        <v>2186</v>
      </c>
      <c r="O12" t="s">
        <v>1297</v>
      </c>
      <c r="P12" t="s">
        <v>353</v>
      </c>
      <c r="Q12" t="s">
        <v>2185</v>
      </c>
      <c r="R12" t="s">
        <v>2144</v>
      </c>
      <c r="S12" t="s">
        <v>2187</v>
      </c>
      <c r="T12" t="s">
        <v>1865</v>
      </c>
      <c r="U12" t="s">
        <v>1809</v>
      </c>
      <c r="V12" t="s">
        <v>755</v>
      </c>
      <c r="W12" t="e">
        <v>#REF!</v>
      </c>
      <c r="X12" s="10">
        <v>5419663103</v>
      </c>
      <c r="AA12" t="s">
        <v>756</v>
      </c>
      <c r="AB12" t="e">
        <v>#REF!</v>
      </c>
      <c r="AC12" t="e">
        <v>#REF!</v>
      </c>
      <c r="AD12" t="e">
        <v>#REF!</v>
      </c>
    </row>
    <row r="13" spans="1:30" x14ac:dyDescent="0.35">
      <c r="A13" t="s">
        <v>30</v>
      </c>
      <c r="B13">
        <v>1894</v>
      </c>
      <c r="C13" t="s">
        <v>355</v>
      </c>
      <c r="D13">
        <v>2200</v>
      </c>
      <c r="E13" t="s">
        <v>351</v>
      </c>
      <c r="F13" t="s">
        <v>273</v>
      </c>
      <c r="G13" t="s">
        <v>1058</v>
      </c>
      <c r="H13" t="s">
        <v>2188</v>
      </c>
      <c r="I13" t="e">
        <v>#REF!</v>
      </c>
      <c r="J13" t="s">
        <v>2189</v>
      </c>
      <c r="K13" t="s">
        <v>2190</v>
      </c>
      <c r="L13" t="s">
        <v>2191</v>
      </c>
      <c r="M13" t="s">
        <v>276</v>
      </c>
      <c r="N13" t="s">
        <v>357</v>
      </c>
      <c r="O13" t="s">
        <v>358</v>
      </c>
      <c r="P13" t="s">
        <v>359</v>
      </c>
      <c r="Q13" t="s">
        <v>2192</v>
      </c>
      <c r="R13" t="s">
        <v>2144</v>
      </c>
      <c r="S13" t="s">
        <v>360</v>
      </c>
      <c r="U13" t="s">
        <v>361</v>
      </c>
      <c r="V13" t="s">
        <v>362</v>
      </c>
      <c r="W13" t="e">
        <v>#REF!</v>
      </c>
      <c r="X13" s="10">
        <v>5415242260</v>
      </c>
      <c r="Y13" t="s">
        <v>363</v>
      </c>
      <c r="AA13" t="s">
        <v>364</v>
      </c>
      <c r="AB13" t="e">
        <v>#REF!</v>
      </c>
      <c r="AC13" t="e">
        <v>#REF!</v>
      </c>
      <c r="AD13" t="e">
        <v>#REF!</v>
      </c>
    </row>
    <row r="14" spans="1:30" x14ac:dyDescent="0.35">
      <c r="A14" t="s">
        <v>32</v>
      </c>
      <c r="B14">
        <v>1969</v>
      </c>
      <c r="C14" t="s">
        <v>365</v>
      </c>
      <c r="D14">
        <v>1949</v>
      </c>
      <c r="E14" t="s">
        <v>366</v>
      </c>
      <c r="F14" t="s">
        <v>273</v>
      </c>
      <c r="G14" t="s">
        <v>2193</v>
      </c>
      <c r="H14" t="s">
        <v>2194</v>
      </c>
      <c r="I14" t="e">
        <v>#REF!</v>
      </c>
      <c r="J14" t="s">
        <v>2195</v>
      </c>
      <c r="K14" t="s">
        <v>2144</v>
      </c>
      <c r="L14" t="s">
        <v>2196</v>
      </c>
      <c r="M14" t="s">
        <v>276</v>
      </c>
      <c r="N14" t="s">
        <v>367</v>
      </c>
      <c r="O14" t="s">
        <v>368</v>
      </c>
      <c r="P14" t="s">
        <v>369</v>
      </c>
      <c r="Q14" t="s">
        <v>2197</v>
      </c>
      <c r="R14" t="s">
        <v>2144</v>
      </c>
      <c r="S14" t="s">
        <v>370</v>
      </c>
      <c r="U14" t="s">
        <v>371</v>
      </c>
      <c r="V14" t="s">
        <v>372</v>
      </c>
      <c r="W14" t="e">
        <v>#REF!</v>
      </c>
      <c r="X14" s="10">
        <v>5413474411</v>
      </c>
      <c r="AA14" t="s">
        <v>373</v>
      </c>
      <c r="AB14" t="e">
        <v>#REF!</v>
      </c>
      <c r="AC14" t="e">
        <v>#REF!</v>
      </c>
      <c r="AD14" t="e">
        <v>#REF!</v>
      </c>
    </row>
    <row r="15" spans="1:30" x14ac:dyDescent="0.35">
      <c r="A15" t="s">
        <v>33</v>
      </c>
      <c r="B15">
        <v>2240</v>
      </c>
      <c r="C15" t="s">
        <v>374</v>
      </c>
      <c r="D15">
        <v>2230</v>
      </c>
      <c r="E15" t="s">
        <v>339</v>
      </c>
      <c r="F15" t="s">
        <v>273</v>
      </c>
      <c r="G15" t="s">
        <v>472</v>
      </c>
      <c r="H15" t="s">
        <v>2198</v>
      </c>
      <c r="I15" t="e">
        <v>#REF!</v>
      </c>
      <c r="J15" t="s">
        <v>2199</v>
      </c>
      <c r="K15" t="s">
        <v>2200</v>
      </c>
      <c r="L15" t="s">
        <v>2201</v>
      </c>
      <c r="M15" t="s">
        <v>276</v>
      </c>
      <c r="N15" t="s">
        <v>2202</v>
      </c>
      <c r="O15" t="s">
        <v>2203</v>
      </c>
      <c r="P15" t="s">
        <v>376</v>
      </c>
      <c r="Q15" t="s">
        <v>2204</v>
      </c>
      <c r="R15" t="s">
        <v>2205</v>
      </c>
      <c r="S15" t="s">
        <v>2206</v>
      </c>
      <c r="U15" t="s">
        <v>377</v>
      </c>
      <c r="V15" t="s">
        <v>378</v>
      </c>
      <c r="W15" t="e">
        <v>#REF!</v>
      </c>
      <c r="X15" s="10"/>
      <c r="AA15" t="s">
        <v>379</v>
      </c>
      <c r="AB15" t="e">
        <v>#REF!</v>
      </c>
      <c r="AC15" t="e">
        <v>#REF!</v>
      </c>
      <c r="AD15" t="e">
        <v>#REF!</v>
      </c>
    </row>
    <row r="16" spans="1:30" x14ac:dyDescent="0.35">
      <c r="A16" t="s">
        <v>34</v>
      </c>
      <c r="B16">
        <v>2243</v>
      </c>
      <c r="C16" t="s">
        <v>374</v>
      </c>
      <c r="D16">
        <v>2230</v>
      </c>
      <c r="E16" t="s">
        <v>339</v>
      </c>
      <c r="F16" t="s">
        <v>273</v>
      </c>
      <c r="G16" t="s">
        <v>2207</v>
      </c>
      <c r="H16" t="s">
        <v>2208</v>
      </c>
      <c r="I16" t="e">
        <v>#REF!</v>
      </c>
      <c r="J16" t="s">
        <v>2209</v>
      </c>
      <c r="K16" t="s">
        <v>2144</v>
      </c>
      <c r="L16" t="s">
        <v>2210</v>
      </c>
      <c r="M16" t="s">
        <v>276</v>
      </c>
      <c r="N16" t="s">
        <v>320</v>
      </c>
      <c r="O16" t="s">
        <v>1795</v>
      </c>
      <c r="P16" t="s">
        <v>382</v>
      </c>
      <c r="Q16" t="s">
        <v>2211</v>
      </c>
      <c r="R16" t="s">
        <v>2144</v>
      </c>
      <c r="S16" t="s">
        <v>2212</v>
      </c>
      <c r="T16" t="s">
        <v>1866</v>
      </c>
      <c r="U16" t="s">
        <v>717</v>
      </c>
      <c r="V16" t="s">
        <v>735</v>
      </c>
      <c r="W16" t="e">
        <v>#REF!</v>
      </c>
      <c r="X16" s="10">
        <v>5033564540</v>
      </c>
      <c r="AA16" t="s">
        <v>1838</v>
      </c>
      <c r="AB16" t="e">
        <v>#REF!</v>
      </c>
      <c r="AC16" t="e">
        <v>#REF!</v>
      </c>
      <c r="AD16" t="e">
        <v>#REF!</v>
      </c>
    </row>
    <row r="17" spans="1:30" x14ac:dyDescent="0.35">
      <c r="A17" t="s">
        <v>35</v>
      </c>
      <c r="B17">
        <v>1976</v>
      </c>
      <c r="C17" t="s">
        <v>384</v>
      </c>
      <c r="D17">
        <v>1975</v>
      </c>
      <c r="E17" t="s">
        <v>385</v>
      </c>
      <c r="F17" t="s">
        <v>273</v>
      </c>
      <c r="G17" t="s">
        <v>304</v>
      </c>
      <c r="H17" t="s">
        <v>733</v>
      </c>
      <c r="I17" t="e">
        <v>#REF!</v>
      </c>
      <c r="J17" t="s">
        <v>2213</v>
      </c>
      <c r="K17" t="s">
        <v>2144</v>
      </c>
      <c r="L17" t="s">
        <v>2214</v>
      </c>
      <c r="M17" t="s">
        <v>276</v>
      </c>
      <c r="N17" t="s">
        <v>386</v>
      </c>
      <c r="O17" t="s">
        <v>387</v>
      </c>
      <c r="P17" t="s">
        <v>388</v>
      </c>
      <c r="Q17" t="s">
        <v>2215</v>
      </c>
      <c r="R17" t="s">
        <v>2144</v>
      </c>
      <c r="S17" t="s">
        <v>389</v>
      </c>
      <c r="T17" t="s">
        <v>1867</v>
      </c>
      <c r="U17" t="s">
        <v>1810</v>
      </c>
      <c r="V17" t="s">
        <v>1811</v>
      </c>
      <c r="W17" t="e">
        <v>#REF!</v>
      </c>
      <c r="X17" s="10">
        <v>5413551121</v>
      </c>
      <c r="AA17" t="s">
        <v>1839</v>
      </c>
      <c r="AB17" t="e">
        <v>#REF!</v>
      </c>
      <c r="AC17" t="e">
        <v>#REF!</v>
      </c>
      <c r="AD17" t="e">
        <v>#REF!</v>
      </c>
    </row>
    <row r="18" spans="1:30" x14ac:dyDescent="0.35">
      <c r="A18" t="s">
        <v>36</v>
      </c>
      <c r="B18">
        <v>2088</v>
      </c>
      <c r="C18" t="s">
        <v>390</v>
      </c>
      <c r="D18">
        <v>2064</v>
      </c>
      <c r="E18" t="s">
        <v>391</v>
      </c>
      <c r="F18" t="s">
        <v>273</v>
      </c>
      <c r="G18" t="s">
        <v>2216</v>
      </c>
      <c r="H18" t="s">
        <v>2217</v>
      </c>
      <c r="I18" t="e">
        <v>#REF!</v>
      </c>
      <c r="J18" t="s">
        <v>2218</v>
      </c>
      <c r="K18" t="s">
        <v>2219</v>
      </c>
      <c r="L18" t="s">
        <v>2220</v>
      </c>
      <c r="M18" t="s">
        <v>276</v>
      </c>
      <c r="N18" t="s">
        <v>871</v>
      </c>
      <c r="O18" t="s">
        <v>2221</v>
      </c>
      <c r="P18" t="s">
        <v>394</v>
      </c>
      <c r="Q18" t="s">
        <v>2218</v>
      </c>
      <c r="R18" t="s">
        <v>2222</v>
      </c>
      <c r="S18" t="s">
        <v>2223</v>
      </c>
      <c r="U18" t="s">
        <v>395</v>
      </c>
      <c r="V18" t="s">
        <v>396</v>
      </c>
      <c r="W18" t="e">
        <v>#REF!</v>
      </c>
      <c r="X18" s="10">
        <v>5416893280</v>
      </c>
      <c r="Y18" t="s">
        <v>397</v>
      </c>
      <c r="AA18" t="s">
        <v>398</v>
      </c>
      <c r="AB18" t="e">
        <v>#REF!</v>
      </c>
      <c r="AC18" t="e">
        <v>#REF!</v>
      </c>
      <c r="AD18" t="e">
        <v>#REF!</v>
      </c>
    </row>
    <row r="19" spans="1:30" x14ac:dyDescent="0.35">
      <c r="A19" t="s">
        <v>37</v>
      </c>
      <c r="B19">
        <v>2095</v>
      </c>
      <c r="C19" t="s">
        <v>390</v>
      </c>
      <c r="D19">
        <v>2064</v>
      </c>
      <c r="E19" t="s">
        <v>391</v>
      </c>
      <c r="F19" t="s">
        <v>273</v>
      </c>
      <c r="G19" t="s">
        <v>2224</v>
      </c>
      <c r="H19" t="s">
        <v>879</v>
      </c>
      <c r="I19" t="e">
        <v>#REF!</v>
      </c>
      <c r="J19" t="s">
        <v>2225</v>
      </c>
      <c r="K19" t="s">
        <v>2226</v>
      </c>
      <c r="L19" t="s">
        <v>2227</v>
      </c>
      <c r="M19" t="s">
        <v>276</v>
      </c>
      <c r="N19" t="s">
        <v>2228</v>
      </c>
      <c r="O19" t="s">
        <v>2229</v>
      </c>
      <c r="P19" t="s">
        <v>400</v>
      </c>
      <c r="Q19" t="s">
        <v>2225</v>
      </c>
      <c r="R19" t="s">
        <v>2230</v>
      </c>
      <c r="S19" t="s">
        <v>2231</v>
      </c>
      <c r="U19" t="s">
        <v>401</v>
      </c>
      <c r="V19" t="s">
        <v>402</v>
      </c>
      <c r="W19" t="e">
        <v>#REF!</v>
      </c>
      <c r="X19" s="10">
        <v>5419253262</v>
      </c>
      <c r="Y19">
        <v>104</v>
      </c>
      <c r="AA19" t="s">
        <v>403</v>
      </c>
      <c r="AB19" t="e">
        <v>#REF!</v>
      </c>
      <c r="AC19" t="e">
        <v>#REF!</v>
      </c>
      <c r="AD19" t="e">
        <v>#REF!</v>
      </c>
    </row>
    <row r="20" spans="1:30" x14ac:dyDescent="0.35">
      <c r="A20" t="s">
        <v>38</v>
      </c>
      <c r="B20">
        <v>2052</v>
      </c>
      <c r="C20" t="s">
        <v>329</v>
      </c>
      <c r="D20">
        <v>2049</v>
      </c>
      <c r="E20" t="s">
        <v>330</v>
      </c>
      <c r="F20" t="s">
        <v>273</v>
      </c>
      <c r="G20" t="s">
        <v>404</v>
      </c>
      <c r="H20" t="s">
        <v>405</v>
      </c>
      <c r="I20" t="e">
        <v>#REF!</v>
      </c>
      <c r="J20" t="s">
        <v>2232</v>
      </c>
      <c r="K20" t="s">
        <v>2144</v>
      </c>
      <c r="L20" t="s">
        <v>406</v>
      </c>
      <c r="M20" t="s">
        <v>276</v>
      </c>
      <c r="N20" t="s">
        <v>332</v>
      </c>
      <c r="O20" t="s">
        <v>333</v>
      </c>
      <c r="P20" t="s">
        <v>334</v>
      </c>
      <c r="Q20" t="s">
        <v>2233</v>
      </c>
      <c r="R20" t="s">
        <v>2234</v>
      </c>
      <c r="S20" t="s">
        <v>2181</v>
      </c>
      <c r="T20" t="s">
        <v>1868</v>
      </c>
      <c r="U20" t="s">
        <v>475</v>
      </c>
      <c r="V20" t="s">
        <v>1291</v>
      </c>
      <c r="W20" t="e">
        <v>#REF!</v>
      </c>
      <c r="X20" s="10">
        <v>5415956203</v>
      </c>
      <c r="AA20" t="s">
        <v>1840</v>
      </c>
      <c r="AB20" t="e">
        <v>#REF!</v>
      </c>
      <c r="AC20" t="e">
        <v>#REF!</v>
      </c>
      <c r="AD20" t="e">
        <v>#REF!</v>
      </c>
    </row>
    <row r="21" spans="1:30" x14ac:dyDescent="0.35">
      <c r="A21" t="s">
        <v>39</v>
      </c>
      <c r="B21">
        <v>1974</v>
      </c>
      <c r="C21" t="s">
        <v>407</v>
      </c>
      <c r="D21">
        <v>1949</v>
      </c>
      <c r="E21" t="s">
        <v>366</v>
      </c>
      <c r="F21" t="s">
        <v>273</v>
      </c>
      <c r="G21" t="s">
        <v>557</v>
      </c>
      <c r="H21" t="s">
        <v>1786</v>
      </c>
      <c r="I21" t="e">
        <v>#REF!</v>
      </c>
      <c r="J21" t="s">
        <v>2235</v>
      </c>
      <c r="K21" t="s">
        <v>2144</v>
      </c>
      <c r="L21" t="s">
        <v>1791</v>
      </c>
      <c r="M21" t="s">
        <v>276</v>
      </c>
      <c r="N21" t="s">
        <v>2236</v>
      </c>
      <c r="O21" t="s">
        <v>2237</v>
      </c>
      <c r="P21" t="s">
        <v>409</v>
      </c>
      <c r="Q21" t="s">
        <v>2238</v>
      </c>
      <c r="R21" t="s">
        <v>2144</v>
      </c>
      <c r="S21" t="s">
        <v>2239</v>
      </c>
      <c r="U21" t="s">
        <v>410</v>
      </c>
      <c r="V21" t="s">
        <v>411</v>
      </c>
      <c r="W21" t="e">
        <v>#REF!</v>
      </c>
      <c r="X21" s="10">
        <v>5414697443</v>
      </c>
      <c r="AA21" t="s">
        <v>412</v>
      </c>
      <c r="AB21" t="e">
        <v>#REF!</v>
      </c>
      <c r="AC21" t="e">
        <v>#REF!</v>
      </c>
      <c r="AD21" t="e">
        <v>#REF!</v>
      </c>
    </row>
    <row r="22" spans="1:30" x14ac:dyDescent="0.35">
      <c r="A22" t="s">
        <v>40</v>
      </c>
      <c r="B22">
        <v>1896</v>
      </c>
      <c r="C22" t="s">
        <v>355</v>
      </c>
      <c r="D22">
        <v>2200</v>
      </c>
      <c r="E22" t="s">
        <v>351</v>
      </c>
      <c r="F22" t="s">
        <v>273</v>
      </c>
      <c r="G22" t="s">
        <v>2240</v>
      </c>
      <c r="H22" t="s">
        <v>413</v>
      </c>
      <c r="I22" t="e">
        <v>#REF!</v>
      </c>
      <c r="J22" t="s">
        <v>2241</v>
      </c>
      <c r="K22" t="s">
        <v>2144</v>
      </c>
      <c r="L22" t="s">
        <v>2242</v>
      </c>
      <c r="M22" t="s">
        <v>276</v>
      </c>
      <c r="N22" t="s">
        <v>2240</v>
      </c>
      <c r="O22" t="s">
        <v>413</v>
      </c>
      <c r="P22" t="s">
        <v>416</v>
      </c>
      <c r="Q22" t="s">
        <v>2241</v>
      </c>
      <c r="R22" t="s">
        <v>2144</v>
      </c>
      <c r="S22" t="s">
        <v>2243</v>
      </c>
      <c r="U22" t="s">
        <v>418</v>
      </c>
      <c r="V22" t="s">
        <v>419</v>
      </c>
      <c r="W22" t="e">
        <v>#REF!</v>
      </c>
      <c r="X22" s="10">
        <v>5414463466</v>
      </c>
      <c r="AA22" t="s">
        <v>420</v>
      </c>
      <c r="AB22" t="e">
        <v>#REF!</v>
      </c>
      <c r="AC22" t="e">
        <v>#REF!</v>
      </c>
      <c r="AD22" t="e">
        <v>#REF!</v>
      </c>
    </row>
    <row r="23" spans="1:30" x14ac:dyDescent="0.35">
      <c r="A23" t="s">
        <v>42</v>
      </c>
      <c r="B23">
        <v>2046</v>
      </c>
      <c r="C23" t="s">
        <v>318</v>
      </c>
      <c r="D23">
        <v>2025</v>
      </c>
      <c r="E23" t="s">
        <v>319</v>
      </c>
      <c r="F23" t="s">
        <v>273</v>
      </c>
      <c r="G23" t="s">
        <v>421</v>
      </c>
      <c r="H23" t="s">
        <v>422</v>
      </c>
      <c r="I23" t="e">
        <v>#REF!</v>
      </c>
      <c r="J23" t="s">
        <v>2244</v>
      </c>
      <c r="K23" t="s">
        <v>2245</v>
      </c>
      <c r="L23" t="s">
        <v>423</v>
      </c>
      <c r="M23" t="s">
        <v>276</v>
      </c>
      <c r="N23" t="s">
        <v>424</v>
      </c>
      <c r="O23" t="s">
        <v>425</v>
      </c>
      <c r="P23" t="s">
        <v>426</v>
      </c>
      <c r="Q23" t="s">
        <v>2244</v>
      </c>
      <c r="R23" t="s">
        <v>2246</v>
      </c>
      <c r="S23" t="s">
        <v>427</v>
      </c>
      <c r="U23" t="s">
        <v>428</v>
      </c>
      <c r="V23" t="s">
        <v>429</v>
      </c>
      <c r="W23" t="e">
        <v>#REF!</v>
      </c>
      <c r="X23" s="10">
        <v>5414404796</v>
      </c>
      <c r="AA23" t="s">
        <v>430</v>
      </c>
      <c r="AB23" t="e">
        <v>#REF!</v>
      </c>
      <c r="AC23" t="e">
        <v>#REF!</v>
      </c>
      <c r="AD23" t="e">
        <v>#REF!</v>
      </c>
    </row>
    <row r="24" spans="1:30" x14ac:dyDescent="0.35">
      <c r="A24" t="s">
        <v>43</v>
      </c>
      <c r="B24">
        <v>1995</v>
      </c>
      <c r="C24" t="s">
        <v>431</v>
      </c>
      <c r="D24">
        <v>1980</v>
      </c>
      <c r="E24" t="s">
        <v>432</v>
      </c>
      <c r="F24" t="s">
        <v>273</v>
      </c>
      <c r="G24" t="s">
        <v>380</v>
      </c>
      <c r="H24" t="s">
        <v>433</v>
      </c>
      <c r="I24" t="e">
        <v>#REF!</v>
      </c>
      <c r="J24" t="s">
        <v>2247</v>
      </c>
      <c r="K24" t="s">
        <v>2248</v>
      </c>
      <c r="L24" t="s">
        <v>2249</v>
      </c>
      <c r="M24" t="s">
        <v>276</v>
      </c>
      <c r="N24" t="s">
        <v>434</v>
      </c>
      <c r="O24" t="s">
        <v>435</v>
      </c>
      <c r="P24" t="s">
        <v>436</v>
      </c>
      <c r="Q24" t="s">
        <v>2247</v>
      </c>
      <c r="R24" t="s">
        <v>2250</v>
      </c>
      <c r="S24" t="s">
        <v>437</v>
      </c>
      <c r="T24" t="s">
        <v>1862</v>
      </c>
      <c r="U24" t="s">
        <v>381</v>
      </c>
      <c r="V24" t="s">
        <v>1812</v>
      </c>
      <c r="W24" t="e">
        <v>#REF!</v>
      </c>
      <c r="X24" s="10">
        <v>5419574820</v>
      </c>
      <c r="AA24" t="s">
        <v>1841</v>
      </c>
      <c r="AB24" t="e">
        <v>#REF!</v>
      </c>
      <c r="AC24" t="e">
        <v>#REF!</v>
      </c>
      <c r="AD24" t="e">
        <v>#REF!</v>
      </c>
    </row>
    <row r="25" spans="1:30" x14ac:dyDescent="0.35">
      <c r="A25" t="s">
        <v>44</v>
      </c>
      <c r="B25">
        <v>1929</v>
      </c>
      <c r="C25" t="s">
        <v>440</v>
      </c>
      <c r="D25">
        <v>1902</v>
      </c>
      <c r="E25" t="s">
        <v>441</v>
      </c>
      <c r="F25" t="s">
        <v>273</v>
      </c>
      <c r="G25" t="s">
        <v>897</v>
      </c>
      <c r="H25" t="s">
        <v>2251</v>
      </c>
      <c r="I25" t="e">
        <v>#REF!</v>
      </c>
      <c r="J25" t="s">
        <v>2252</v>
      </c>
      <c r="K25" t="s">
        <v>2253</v>
      </c>
      <c r="L25" t="s">
        <v>2254</v>
      </c>
      <c r="M25" t="s">
        <v>276</v>
      </c>
      <c r="N25" t="s">
        <v>442</v>
      </c>
      <c r="O25" t="s">
        <v>443</v>
      </c>
      <c r="P25" t="s">
        <v>444</v>
      </c>
      <c r="Q25" t="s">
        <v>2255</v>
      </c>
      <c r="R25" t="s">
        <v>2256</v>
      </c>
      <c r="S25" t="s">
        <v>2257</v>
      </c>
      <c r="T25" t="s">
        <v>1864</v>
      </c>
      <c r="U25" t="s">
        <v>445</v>
      </c>
      <c r="V25" t="s">
        <v>446</v>
      </c>
      <c r="W25" t="e">
        <v>#REF!</v>
      </c>
      <c r="X25" s="10">
        <v>5032660020</v>
      </c>
      <c r="AA25" t="s">
        <v>1842</v>
      </c>
      <c r="AB25" t="e">
        <v>#REF!</v>
      </c>
      <c r="AC25" t="e">
        <v>#REF!</v>
      </c>
      <c r="AD25" t="e">
        <v>#REF!</v>
      </c>
    </row>
    <row r="26" spans="1:30" x14ac:dyDescent="0.35">
      <c r="A26" t="s">
        <v>45</v>
      </c>
      <c r="B26">
        <v>2139</v>
      </c>
      <c r="C26" t="s">
        <v>447</v>
      </c>
      <c r="D26">
        <v>2117</v>
      </c>
      <c r="E26" t="s">
        <v>296</v>
      </c>
      <c r="F26" t="s">
        <v>273</v>
      </c>
      <c r="G26" t="s">
        <v>448</v>
      </c>
      <c r="H26" t="s">
        <v>449</v>
      </c>
      <c r="I26" t="e">
        <v>#REF!</v>
      </c>
      <c r="J26" t="s">
        <v>2258</v>
      </c>
      <c r="K26" t="s">
        <v>2200</v>
      </c>
      <c r="L26" t="s">
        <v>2259</v>
      </c>
      <c r="M26" t="s">
        <v>276</v>
      </c>
      <c r="N26" t="s">
        <v>465</v>
      </c>
      <c r="O26" t="s">
        <v>540</v>
      </c>
      <c r="P26" t="s">
        <v>451</v>
      </c>
      <c r="Q26" t="s">
        <v>2258</v>
      </c>
      <c r="R26" t="s">
        <v>2260</v>
      </c>
      <c r="S26" t="s">
        <v>1802</v>
      </c>
      <c r="U26" t="s">
        <v>452</v>
      </c>
      <c r="V26" t="s">
        <v>453</v>
      </c>
      <c r="W26" t="e">
        <v>#REF!</v>
      </c>
      <c r="X26" s="10">
        <v>5037498010</v>
      </c>
      <c r="Y26" t="s">
        <v>454</v>
      </c>
      <c r="AA26" t="s">
        <v>455</v>
      </c>
      <c r="AB26" t="e">
        <v>#REF!</v>
      </c>
      <c r="AC26" t="e">
        <v>#REF!</v>
      </c>
      <c r="AD26" t="e">
        <v>#REF!</v>
      </c>
    </row>
    <row r="27" spans="1:30" x14ac:dyDescent="0.35">
      <c r="A27" t="s">
        <v>46</v>
      </c>
      <c r="B27">
        <v>2185</v>
      </c>
      <c r="C27" t="s">
        <v>456</v>
      </c>
      <c r="D27">
        <v>2148</v>
      </c>
      <c r="E27" t="s">
        <v>457</v>
      </c>
      <c r="F27" t="s">
        <v>273</v>
      </c>
      <c r="G27" t="s">
        <v>399</v>
      </c>
      <c r="H27" t="s">
        <v>1188</v>
      </c>
      <c r="I27" t="e">
        <v>#REF!</v>
      </c>
      <c r="J27" t="s">
        <v>2261</v>
      </c>
      <c r="K27" t="s">
        <v>2144</v>
      </c>
      <c r="L27" t="s">
        <v>2262</v>
      </c>
      <c r="M27" t="s">
        <v>276</v>
      </c>
      <c r="N27" t="s">
        <v>445</v>
      </c>
      <c r="O27" t="s">
        <v>459</v>
      </c>
      <c r="P27" t="s">
        <v>460</v>
      </c>
      <c r="Q27" t="s">
        <v>2263</v>
      </c>
      <c r="R27" t="s">
        <v>2144</v>
      </c>
      <c r="S27" t="s">
        <v>2264</v>
      </c>
      <c r="U27" t="s">
        <v>461</v>
      </c>
      <c r="V27" t="s">
        <v>462</v>
      </c>
      <c r="W27" t="e">
        <v>#REF!</v>
      </c>
      <c r="X27" s="10"/>
      <c r="AA27" t="s">
        <v>463</v>
      </c>
      <c r="AB27" t="e">
        <v>#REF!</v>
      </c>
      <c r="AC27" t="e">
        <v>#REF!</v>
      </c>
      <c r="AD27" t="e">
        <v>#REF!</v>
      </c>
    </row>
    <row r="28" spans="1:30" x14ac:dyDescent="0.35">
      <c r="A28" t="s">
        <v>47</v>
      </c>
      <c r="B28">
        <v>1972</v>
      </c>
      <c r="C28" t="s">
        <v>407</v>
      </c>
      <c r="D28">
        <v>1949</v>
      </c>
      <c r="E28" t="s">
        <v>366</v>
      </c>
      <c r="F28" t="s">
        <v>273</v>
      </c>
      <c r="G28" t="s">
        <v>1055</v>
      </c>
      <c r="H28" t="s">
        <v>1056</v>
      </c>
      <c r="I28" t="e">
        <v>#REF!</v>
      </c>
      <c r="J28" t="s">
        <v>2265</v>
      </c>
      <c r="K28" t="s">
        <v>2144</v>
      </c>
      <c r="L28" t="s">
        <v>2266</v>
      </c>
      <c r="M28" t="s">
        <v>276</v>
      </c>
      <c r="N28" t="s">
        <v>285</v>
      </c>
      <c r="O28" t="s">
        <v>2267</v>
      </c>
      <c r="P28" t="s">
        <v>467</v>
      </c>
      <c r="Q28" t="s">
        <v>2268</v>
      </c>
      <c r="R28" t="s">
        <v>2144</v>
      </c>
      <c r="S28" t="s">
        <v>2269</v>
      </c>
      <c r="U28" t="s">
        <v>468</v>
      </c>
      <c r="V28" t="s">
        <v>469</v>
      </c>
      <c r="W28" t="e">
        <v>#REF!</v>
      </c>
      <c r="X28" s="10">
        <v>5412472003</v>
      </c>
      <c r="AA28" t="s">
        <v>470</v>
      </c>
      <c r="AB28" t="e">
        <v>#REF!</v>
      </c>
      <c r="AC28" t="e">
        <v>#REF!</v>
      </c>
      <c r="AD28" t="e">
        <v>#REF!</v>
      </c>
    </row>
    <row r="29" spans="1:30" x14ac:dyDescent="0.35">
      <c r="A29" t="s">
        <v>48</v>
      </c>
      <c r="B29">
        <v>2105</v>
      </c>
      <c r="C29" t="s">
        <v>471</v>
      </c>
      <c r="D29">
        <v>2098</v>
      </c>
      <c r="E29" t="s">
        <v>290</v>
      </c>
      <c r="F29" t="s">
        <v>273</v>
      </c>
      <c r="G29" t="s">
        <v>509</v>
      </c>
      <c r="H29" t="s">
        <v>2270</v>
      </c>
      <c r="I29" t="e">
        <v>#REF!</v>
      </c>
      <c r="J29" t="s">
        <v>2271</v>
      </c>
      <c r="K29" t="s">
        <v>2272</v>
      </c>
      <c r="L29" t="s">
        <v>2273</v>
      </c>
      <c r="M29" t="s">
        <v>276</v>
      </c>
      <c r="N29" t="s">
        <v>438</v>
      </c>
      <c r="O29" t="s">
        <v>2274</v>
      </c>
      <c r="P29" t="s">
        <v>474</v>
      </c>
      <c r="Q29" t="s">
        <v>2275</v>
      </c>
      <c r="R29" t="s">
        <v>2144</v>
      </c>
      <c r="S29" t="s">
        <v>2276</v>
      </c>
      <c r="U29" t="s">
        <v>475</v>
      </c>
      <c r="V29" t="s">
        <v>476</v>
      </c>
      <c r="W29" t="e">
        <v>#REF!</v>
      </c>
      <c r="X29" s="10">
        <v>5413692813</v>
      </c>
      <c r="Y29" t="s">
        <v>477</v>
      </c>
      <c r="AA29" t="s">
        <v>478</v>
      </c>
      <c r="AB29" t="e">
        <v>#REF!</v>
      </c>
      <c r="AC29" t="e">
        <v>#REF!</v>
      </c>
      <c r="AD29" t="e">
        <v>#REF!</v>
      </c>
    </row>
    <row r="30" spans="1:30" x14ac:dyDescent="0.35">
      <c r="A30" t="s">
        <v>49</v>
      </c>
      <c r="B30">
        <v>2042</v>
      </c>
      <c r="C30" t="s">
        <v>318</v>
      </c>
      <c r="D30">
        <v>2025</v>
      </c>
      <c r="E30" t="s">
        <v>319</v>
      </c>
      <c r="F30" t="s">
        <v>273</v>
      </c>
      <c r="G30" t="s">
        <v>2277</v>
      </c>
      <c r="H30" t="s">
        <v>2278</v>
      </c>
      <c r="I30" t="e">
        <v>#REF!</v>
      </c>
      <c r="J30" t="s">
        <v>2279</v>
      </c>
      <c r="K30" t="s">
        <v>2144</v>
      </c>
      <c r="L30" t="s">
        <v>2280</v>
      </c>
      <c r="M30" t="s">
        <v>276</v>
      </c>
      <c r="N30" t="s">
        <v>480</v>
      </c>
      <c r="O30" t="s">
        <v>481</v>
      </c>
      <c r="P30" t="s">
        <v>482</v>
      </c>
      <c r="Q30" t="s">
        <v>2281</v>
      </c>
      <c r="R30" t="s">
        <v>2144</v>
      </c>
      <c r="S30" t="s">
        <v>483</v>
      </c>
      <c r="T30" t="s">
        <v>1869</v>
      </c>
      <c r="U30" t="s">
        <v>315</v>
      </c>
      <c r="V30" t="s">
        <v>1813</v>
      </c>
      <c r="W30" t="e">
        <v>#REF!</v>
      </c>
      <c r="X30" s="10">
        <v>5414946213</v>
      </c>
      <c r="AA30" t="s">
        <v>1843</v>
      </c>
      <c r="AB30" t="e">
        <v>#REF!</v>
      </c>
      <c r="AC30" t="e">
        <v>#REF!</v>
      </c>
      <c r="AD30" t="e">
        <v>#REF!</v>
      </c>
    </row>
    <row r="31" spans="1:30" x14ac:dyDescent="0.35">
      <c r="A31" t="s">
        <v>50</v>
      </c>
      <c r="B31">
        <v>2191</v>
      </c>
      <c r="C31" t="s">
        <v>484</v>
      </c>
      <c r="D31">
        <v>2117</v>
      </c>
      <c r="E31" t="s">
        <v>296</v>
      </c>
      <c r="F31" t="s">
        <v>273</v>
      </c>
      <c r="G31" t="s">
        <v>2282</v>
      </c>
      <c r="H31" t="s">
        <v>485</v>
      </c>
      <c r="I31" t="e">
        <v>#REF!</v>
      </c>
      <c r="J31" t="s">
        <v>2283</v>
      </c>
      <c r="K31" t="s">
        <v>2284</v>
      </c>
      <c r="L31" t="s">
        <v>486</v>
      </c>
      <c r="M31" t="s">
        <v>276</v>
      </c>
      <c r="N31" t="s">
        <v>2285</v>
      </c>
      <c r="O31" t="s">
        <v>627</v>
      </c>
      <c r="P31" t="s">
        <v>487</v>
      </c>
      <c r="Q31" t="s">
        <v>2286</v>
      </c>
      <c r="R31" t="s">
        <v>2287</v>
      </c>
      <c r="S31" t="s">
        <v>2288</v>
      </c>
      <c r="T31" t="s">
        <v>1870</v>
      </c>
      <c r="U31" t="s">
        <v>1814</v>
      </c>
      <c r="V31" t="s">
        <v>488</v>
      </c>
      <c r="W31" t="e">
        <v>#REF!</v>
      </c>
      <c r="X31" s="10">
        <v>5036062263</v>
      </c>
      <c r="AA31" t="s">
        <v>489</v>
      </c>
      <c r="AB31" t="e">
        <v>#REF!</v>
      </c>
      <c r="AC31" t="e">
        <v>#REF!</v>
      </c>
      <c r="AD31" t="e">
        <v>#REF!</v>
      </c>
    </row>
    <row r="32" spans="1:30" x14ac:dyDescent="0.35">
      <c r="A32" t="s">
        <v>51</v>
      </c>
      <c r="B32">
        <v>1945</v>
      </c>
      <c r="C32" t="s">
        <v>490</v>
      </c>
      <c r="D32">
        <v>2230</v>
      </c>
      <c r="E32" t="s">
        <v>339</v>
      </c>
      <c r="F32" t="s">
        <v>273</v>
      </c>
      <c r="G32" t="s">
        <v>570</v>
      </c>
      <c r="H32" t="s">
        <v>778</v>
      </c>
      <c r="I32" t="e">
        <v>#REF!</v>
      </c>
      <c r="J32" t="s">
        <v>2289</v>
      </c>
      <c r="K32" t="s">
        <v>2290</v>
      </c>
      <c r="L32" t="s">
        <v>2291</v>
      </c>
      <c r="M32" t="s">
        <v>276</v>
      </c>
      <c r="N32" t="s">
        <v>2292</v>
      </c>
      <c r="O32" t="s">
        <v>2293</v>
      </c>
      <c r="P32" t="s">
        <v>492</v>
      </c>
      <c r="Q32" t="s">
        <v>2294</v>
      </c>
      <c r="R32" t="s">
        <v>2295</v>
      </c>
      <c r="S32" t="s">
        <v>2296</v>
      </c>
      <c r="U32" t="s">
        <v>493</v>
      </c>
      <c r="V32" t="s">
        <v>494</v>
      </c>
      <c r="W32" t="e">
        <v>#REF!</v>
      </c>
      <c r="X32" s="10">
        <v>5032780587</v>
      </c>
      <c r="Y32">
        <v>2006</v>
      </c>
      <c r="AA32" t="s">
        <v>495</v>
      </c>
      <c r="AB32" t="e">
        <v>#REF!</v>
      </c>
      <c r="AC32" t="e">
        <v>#REF!</v>
      </c>
      <c r="AD32" t="e">
        <v>#REF!</v>
      </c>
    </row>
    <row r="33" spans="1:30" x14ac:dyDescent="0.35">
      <c r="A33" t="s">
        <v>52</v>
      </c>
      <c r="B33">
        <v>1927</v>
      </c>
      <c r="C33" t="s">
        <v>440</v>
      </c>
      <c r="D33">
        <v>1902</v>
      </c>
      <c r="E33" t="s">
        <v>441</v>
      </c>
      <c r="F33" t="s">
        <v>273</v>
      </c>
      <c r="G33" t="s">
        <v>557</v>
      </c>
      <c r="H33" t="s">
        <v>2298</v>
      </c>
      <c r="I33" t="e">
        <v>#REF!</v>
      </c>
      <c r="J33" t="s">
        <v>2299</v>
      </c>
      <c r="K33" t="s">
        <v>2144</v>
      </c>
      <c r="L33" t="s">
        <v>2300</v>
      </c>
      <c r="M33" t="s">
        <v>276</v>
      </c>
      <c r="N33" t="s">
        <v>652</v>
      </c>
      <c r="O33" t="s">
        <v>653</v>
      </c>
      <c r="P33" t="s">
        <v>496</v>
      </c>
      <c r="Q33" t="s">
        <v>2299</v>
      </c>
      <c r="R33" t="s">
        <v>2144</v>
      </c>
      <c r="S33" t="s">
        <v>2301</v>
      </c>
      <c r="U33" t="s">
        <v>392</v>
      </c>
      <c r="V33" t="s">
        <v>497</v>
      </c>
      <c r="W33" t="e">
        <v>#REF!</v>
      </c>
      <c r="X33" s="10">
        <v>5036754036</v>
      </c>
      <c r="Z33" t="s">
        <v>498</v>
      </c>
      <c r="AA33" t="s">
        <v>499</v>
      </c>
      <c r="AB33" t="e">
        <v>#REF!</v>
      </c>
      <c r="AC33" t="e">
        <v>#REF!</v>
      </c>
      <c r="AD33" t="e">
        <v>#REF!</v>
      </c>
    </row>
    <row r="34" spans="1:30" x14ac:dyDescent="0.35">
      <c r="A34" t="s">
        <v>53</v>
      </c>
      <c r="B34">
        <v>2006</v>
      </c>
      <c r="C34" t="s">
        <v>309</v>
      </c>
      <c r="D34">
        <v>2004</v>
      </c>
      <c r="E34" t="s">
        <v>310</v>
      </c>
      <c r="F34" t="s">
        <v>273</v>
      </c>
      <c r="G34" t="s">
        <v>472</v>
      </c>
      <c r="H34" t="s">
        <v>2302</v>
      </c>
      <c r="I34" t="e">
        <v>#REF!</v>
      </c>
      <c r="J34" t="s">
        <v>2303</v>
      </c>
      <c r="K34" t="s">
        <v>2144</v>
      </c>
      <c r="L34" t="s">
        <v>2304</v>
      </c>
      <c r="M34" t="s">
        <v>276</v>
      </c>
      <c r="N34" t="s">
        <v>2165</v>
      </c>
      <c r="O34" t="s">
        <v>2166</v>
      </c>
      <c r="P34" t="s">
        <v>500</v>
      </c>
      <c r="Q34" t="s">
        <v>2167</v>
      </c>
      <c r="R34" t="s">
        <v>2144</v>
      </c>
      <c r="S34" t="s">
        <v>2168</v>
      </c>
      <c r="U34" t="s">
        <v>501</v>
      </c>
      <c r="V34" t="s">
        <v>502</v>
      </c>
      <c r="W34" t="e">
        <v>#REF!</v>
      </c>
      <c r="X34" s="10">
        <v>5413842441</v>
      </c>
      <c r="AA34" t="s">
        <v>503</v>
      </c>
      <c r="AB34" t="e">
        <v>#REF!</v>
      </c>
      <c r="AC34" t="e">
        <v>#REF!</v>
      </c>
      <c r="AD34" t="e">
        <v>#REF!</v>
      </c>
    </row>
    <row r="35" spans="1:30" x14ac:dyDescent="0.35">
      <c r="A35" t="s">
        <v>54</v>
      </c>
      <c r="B35">
        <v>1965</v>
      </c>
      <c r="C35" t="s">
        <v>365</v>
      </c>
      <c r="D35">
        <v>1949</v>
      </c>
      <c r="E35" t="s">
        <v>366</v>
      </c>
      <c r="F35" t="s">
        <v>273</v>
      </c>
      <c r="G35" t="s">
        <v>2305</v>
      </c>
      <c r="H35" t="s">
        <v>2306</v>
      </c>
      <c r="I35" t="e">
        <v>#REF!</v>
      </c>
      <c r="J35" t="s">
        <v>2307</v>
      </c>
      <c r="K35" t="s">
        <v>2144</v>
      </c>
      <c r="L35" t="s">
        <v>2308</v>
      </c>
      <c r="M35" t="s">
        <v>276</v>
      </c>
      <c r="N35" t="s">
        <v>505</v>
      </c>
      <c r="O35" t="s">
        <v>506</v>
      </c>
      <c r="P35" t="s">
        <v>507</v>
      </c>
      <c r="Q35" t="s">
        <v>2309</v>
      </c>
      <c r="R35" t="s">
        <v>2144</v>
      </c>
      <c r="S35" t="s">
        <v>508</v>
      </c>
      <c r="U35" t="s">
        <v>509</v>
      </c>
      <c r="V35" t="s">
        <v>510</v>
      </c>
      <c r="W35" t="e">
        <v>#REF!</v>
      </c>
      <c r="X35" s="10">
        <v>5412671317</v>
      </c>
      <c r="AA35" t="s">
        <v>511</v>
      </c>
      <c r="AB35" t="e">
        <v>#REF!</v>
      </c>
      <c r="AC35" t="e">
        <v>#REF!</v>
      </c>
      <c r="AD35" t="e">
        <v>#REF!</v>
      </c>
    </row>
    <row r="36" spans="1:30" x14ac:dyDescent="0.35">
      <c r="A36" t="s">
        <v>55</v>
      </c>
      <c r="B36">
        <v>1964</v>
      </c>
      <c r="C36" t="s">
        <v>365</v>
      </c>
      <c r="D36">
        <v>1949</v>
      </c>
      <c r="E36" t="s">
        <v>366</v>
      </c>
      <c r="F36" t="s">
        <v>273</v>
      </c>
      <c r="G36" t="s">
        <v>513</v>
      </c>
      <c r="H36" t="s">
        <v>514</v>
      </c>
      <c r="I36" t="e">
        <v>#REF!</v>
      </c>
      <c r="J36" t="s">
        <v>2310</v>
      </c>
      <c r="K36" t="s">
        <v>2311</v>
      </c>
      <c r="L36" t="s">
        <v>516</v>
      </c>
      <c r="M36" t="s">
        <v>276</v>
      </c>
      <c r="N36" t="s">
        <v>2312</v>
      </c>
      <c r="O36" t="s">
        <v>2313</v>
      </c>
      <c r="P36" t="s">
        <v>515</v>
      </c>
      <c r="Q36" t="s">
        <v>2310</v>
      </c>
      <c r="R36" t="s">
        <v>2314</v>
      </c>
      <c r="S36" t="s">
        <v>2315</v>
      </c>
      <c r="U36" t="s">
        <v>517</v>
      </c>
      <c r="V36" t="s">
        <v>518</v>
      </c>
      <c r="W36" t="e">
        <v>#REF!</v>
      </c>
      <c r="X36" s="10">
        <v>5413962181</v>
      </c>
      <c r="AA36" t="s">
        <v>519</v>
      </c>
      <c r="AB36" t="e">
        <v>#REF!</v>
      </c>
      <c r="AC36" t="e">
        <v>#REF!</v>
      </c>
      <c r="AD36" t="e">
        <v>#REF!</v>
      </c>
    </row>
    <row r="37" spans="1:30" x14ac:dyDescent="0.35">
      <c r="A37" t="s">
        <v>56</v>
      </c>
      <c r="B37">
        <v>2186</v>
      </c>
      <c r="C37" t="s">
        <v>456</v>
      </c>
      <c r="D37">
        <v>2148</v>
      </c>
      <c r="E37" t="s">
        <v>457</v>
      </c>
      <c r="F37" t="s">
        <v>273</v>
      </c>
      <c r="G37" t="s">
        <v>2316</v>
      </c>
      <c r="H37" t="s">
        <v>2317</v>
      </c>
      <c r="I37" t="e">
        <v>#REF!</v>
      </c>
      <c r="J37" t="s">
        <v>2318</v>
      </c>
      <c r="K37" t="s">
        <v>2144</v>
      </c>
      <c r="L37" t="s">
        <v>2319</v>
      </c>
      <c r="M37" t="s">
        <v>276</v>
      </c>
      <c r="N37" t="s">
        <v>335</v>
      </c>
      <c r="O37" t="s">
        <v>521</v>
      </c>
      <c r="P37" t="s">
        <v>522</v>
      </c>
      <c r="Q37" t="s">
        <v>2320</v>
      </c>
      <c r="R37" t="s">
        <v>2144</v>
      </c>
      <c r="S37" t="s">
        <v>523</v>
      </c>
      <c r="U37" t="s">
        <v>524</v>
      </c>
      <c r="V37" t="s">
        <v>525</v>
      </c>
      <c r="W37" t="e">
        <v>#REF!</v>
      </c>
      <c r="X37" s="10">
        <v>5032614290</v>
      </c>
      <c r="AA37" t="s">
        <v>526</v>
      </c>
      <c r="AB37" t="e">
        <v>#REF!</v>
      </c>
      <c r="AC37" t="e">
        <v>#REF!</v>
      </c>
      <c r="AD37" t="e">
        <v>#REF!</v>
      </c>
    </row>
    <row r="38" spans="1:30" x14ac:dyDescent="0.35">
      <c r="A38" t="s">
        <v>58</v>
      </c>
      <c r="B38">
        <v>1901</v>
      </c>
      <c r="C38" t="s">
        <v>289</v>
      </c>
      <c r="D38">
        <v>2098</v>
      </c>
      <c r="E38" t="s">
        <v>290</v>
      </c>
      <c r="F38" t="s">
        <v>273</v>
      </c>
      <c r="G38" t="s">
        <v>480</v>
      </c>
      <c r="H38" t="s">
        <v>527</v>
      </c>
      <c r="I38" t="e">
        <v>#REF!</v>
      </c>
      <c r="J38" t="s">
        <v>2321</v>
      </c>
      <c r="K38" t="s">
        <v>2322</v>
      </c>
      <c r="L38" t="s">
        <v>2323</v>
      </c>
      <c r="M38" t="s">
        <v>276</v>
      </c>
      <c r="N38" t="s">
        <v>2324</v>
      </c>
      <c r="O38" t="s">
        <v>2325</v>
      </c>
      <c r="P38" t="s">
        <v>528</v>
      </c>
      <c r="Q38" t="s">
        <v>2326</v>
      </c>
      <c r="R38" t="s">
        <v>2327</v>
      </c>
      <c r="S38" t="s">
        <v>2328</v>
      </c>
      <c r="U38" t="s">
        <v>418</v>
      </c>
      <c r="V38" t="s">
        <v>529</v>
      </c>
      <c r="W38" t="e">
        <v>#REF!</v>
      </c>
      <c r="X38" s="10">
        <v>5417573859</v>
      </c>
      <c r="AA38" t="s">
        <v>530</v>
      </c>
      <c r="AB38" t="e">
        <v>#REF!</v>
      </c>
      <c r="AC38" t="e">
        <v>#REF!</v>
      </c>
      <c r="AD38" t="e">
        <v>#REF!</v>
      </c>
    </row>
    <row r="39" spans="1:30" x14ac:dyDescent="0.35">
      <c r="A39" t="s">
        <v>59</v>
      </c>
      <c r="B39">
        <v>2216</v>
      </c>
      <c r="C39" t="s">
        <v>531</v>
      </c>
      <c r="D39">
        <v>2200</v>
      </c>
      <c r="E39" t="s">
        <v>351</v>
      </c>
      <c r="F39" t="s">
        <v>273</v>
      </c>
      <c r="G39" t="s">
        <v>532</v>
      </c>
      <c r="H39" t="s">
        <v>533</v>
      </c>
      <c r="I39" t="e">
        <v>#REF!</v>
      </c>
      <c r="J39" t="s">
        <v>2329</v>
      </c>
      <c r="K39" t="s">
        <v>2144</v>
      </c>
      <c r="L39" t="s">
        <v>534</v>
      </c>
      <c r="M39" t="s">
        <v>276</v>
      </c>
      <c r="N39" t="s">
        <v>414</v>
      </c>
      <c r="O39" t="s">
        <v>415</v>
      </c>
      <c r="P39" t="s">
        <v>535</v>
      </c>
      <c r="Q39" t="s">
        <v>2330</v>
      </c>
      <c r="R39" t="s">
        <v>2144</v>
      </c>
      <c r="S39" t="s">
        <v>635</v>
      </c>
      <c r="U39" t="s">
        <v>536</v>
      </c>
      <c r="V39" t="s">
        <v>537</v>
      </c>
      <c r="W39" t="e">
        <v>#REF!</v>
      </c>
      <c r="X39" s="10"/>
      <c r="AA39" t="s">
        <v>538</v>
      </c>
      <c r="AB39" t="e">
        <v>#REF!</v>
      </c>
      <c r="AC39" t="e">
        <v>#REF!</v>
      </c>
      <c r="AD39" t="e">
        <v>#REF!</v>
      </c>
    </row>
    <row r="40" spans="1:30" x14ac:dyDescent="0.35">
      <c r="A40" t="s">
        <v>60</v>
      </c>
      <c r="B40">
        <v>2086</v>
      </c>
      <c r="C40" t="s">
        <v>390</v>
      </c>
      <c r="D40">
        <v>2064</v>
      </c>
      <c r="E40" t="s">
        <v>391</v>
      </c>
      <c r="F40" t="s">
        <v>273</v>
      </c>
      <c r="G40" t="s">
        <v>539</v>
      </c>
      <c r="H40" t="s">
        <v>540</v>
      </c>
      <c r="I40" t="e">
        <v>#REF!</v>
      </c>
      <c r="J40" t="s">
        <v>2331</v>
      </c>
      <c r="K40" t="s">
        <v>2144</v>
      </c>
      <c r="L40" t="s">
        <v>541</v>
      </c>
      <c r="M40" t="s">
        <v>276</v>
      </c>
      <c r="N40" t="s">
        <v>393</v>
      </c>
      <c r="O40" t="s">
        <v>542</v>
      </c>
      <c r="P40" t="s">
        <v>543</v>
      </c>
      <c r="Q40" t="s">
        <v>2332</v>
      </c>
      <c r="R40" t="s">
        <v>2144</v>
      </c>
      <c r="S40" t="s">
        <v>544</v>
      </c>
      <c r="U40" t="s">
        <v>545</v>
      </c>
      <c r="V40" t="s">
        <v>546</v>
      </c>
      <c r="W40" t="e">
        <v>#REF!</v>
      </c>
      <c r="X40" s="10">
        <v>5418956003</v>
      </c>
      <c r="AA40" t="s">
        <v>547</v>
      </c>
      <c r="AB40" t="e">
        <v>#REF!</v>
      </c>
      <c r="AC40" t="e">
        <v>#REF!</v>
      </c>
      <c r="AD40" t="e">
        <v>#REF!</v>
      </c>
    </row>
    <row r="41" spans="1:30" x14ac:dyDescent="0.35">
      <c r="A41" t="s">
        <v>61</v>
      </c>
      <c r="B41">
        <v>1970</v>
      </c>
      <c r="C41" t="s">
        <v>548</v>
      </c>
      <c r="D41">
        <v>1975</v>
      </c>
      <c r="E41" t="s">
        <v>385</v>
      </c>
      <c r="F41" t="s">
        <v>273</v>
      </c>
      <c r="G41" t="s">
        <v>549</v>
      </c>
      <c r="H41" t="s">
        <v>540</v>
      </c>
      <c r="I41" t="e">
        <v>#REF!</v>
      </c>
      <c r="J41" t="s">
        <v>2333</v>
      </c>
      <c r="K41" t="s">
        <v>2334</v>
      </c>
      <c r="L41" t="s">
        <v>2335</v>
      </c>
      <c r="M41" t="s">
        <v>276</v>
      </c>
      <c r="N41" t="s">
        <v>2336</v>
      </c>
      <c r="O41" t="s">
        <v>710</v>
      </c>
      <c r="P41" t="s">
        <v>550</v>
      </c>
      <c r="Q41" t="s">
        <v>2337</v>
      </c>
      <c r="R41" t="s">
        <v>2338</v>
      </c>
      <c r="S41" t="s">
        <v>2339</v>
      </c>
      <c r="U41" t="s">
        <v>545</v>
      </c>
      <c r="V41" t="s">
        <v>551</v>
      </c>
      <c r="W41" t="e">
        <v>#REF!</v>
      </c>
      <c r="X41" s="10">
        <v>5414169965</v>
      </c>
      <c r="AA41" t="s">
        <v>552</v>
      </c>
      <c r="AB41" t="e">
        <v>#REF!</v>
      </c>
      <c r="AC41" t="e">
        <v>#REF!</v>
      </c>
      <c r="AD41" t="e">
        <v>#REF!</v>
      </c>
    </row>
    <row r="42" spans="1:30" x14ac:dyDescent="0.35">
      <c r="A42" t="s">
        <v>62</v>
      </c>
      <c r="B42">
        <v>2089</v>
      </c>
      <c r="C42" t="s">
        <v>390</v>
      </c>
      <c r="D42">
        <v>2064</v>
      </c>
      <c r="E42" t="s">
        <v>391</v>
      </c>
      <c r="F42" t="s">
        <v>273</v>
      </c>
      <c r="G42" t="s">
        <v>801</v>
      </c>
      <c r="H42" t="s">
        <v>1787</v>
      </c>
      <c r="I42" t="e">
        <v>#REF!</v>
      </c>
      <c r="J42" t="s">
        <v>2340</v>
      </c>
      <c r="K42" t="s">
        <v>2144</v>
      </c>
      <c r="L42" t="s">
        <v>2341</v>
      </c>
      <c r="M42" t="s">
        <v>276</v>
      </c>
      <c r="N42" t="s">
        <v>553</v>
      </c>
      <c r="O42" t="s">
        <v>554</v>
      </c>
      <c r="P42" t="s">
        <v>555</v>
      </c>
      <c r="Q42" t="s">
        <v>2342</v>
      </c>
      <c r="R42" t="s">
        <v>2144</v>
      </c>
      <c r="S42" t="s">
        <v>556</v>
      </c>
      <c r="U42" t="s">
        <v>557</v>
      </c>
      <c r="V42" t="s">
        <v>558</v>
      </c>
      <c r="W42" t="e">
        <v>#REF!</v>
      </c>
      <c r="X42" s="10"/>
      <c r="AA42" t="s">
        <v>559</v>
      </c>
      <c r="AB42" t="e">
        <v>#REF!</v>
      </c>
      <c r="AC42" t="e">
        <v>#REF!</v>
      </c>
      <c r="AD42" t="e">
        <v>#REF!</v>
      </c>
    </row>
    <row r="43" spans="1:30" x14ac:dyDescent="0.35">
      <c r="A43" t="s">
        <v>63</v>
      </c>
      <c r="B43">
        <v>2050</v>
      </c>
      <c r="C43" t="s">
        <v>329</v>
      </c>
      <c r="D43">
        <v>2049</v>
      </c>
      <c r="E43" t="s">
        <v>330</v>
      </c>
      <c r="F43" t="s">
        <v>273</v>
      </c>
      <c r="G43" t="s">
        <v>576</v>
      </c>
      <c r="H43" t="s">
        <v>560</v>
      </c>
      <c r="I43" t="e">
        <v>#REF!</v>
      </c>
      <c r="J43" t="s">
        <v>2343</v>
      </c>
      <c r="K43" t="s">
        <v>2344</v>
      </c>
      <c r="L43" t="s">
        <v>2345</v>
      </c>
      <c r="M43" t="s">
        <v>276</v>
      </c>
      <c r="N43" t="s">
        <v>332</v>
      </c>
      <c r="O43" t="s">
        <v>333</v>
      </c>
      <c r="P43" t="s">
        <v>334</v>
      </c>
      <c r="Q43" t="s">
        <v>2180</v>
      </c>
      <c r="R43" t="s">
        <v>2234</v>
      </c>
      <c r="S43" t="s">
        <v>2346</v>
      </c>
      <c r="U43" t="s">
        <v>393</v>
      </c>
      <c r="V43" t="s">
        <v>561</v>
      </c>
      <c r="W43" t="e">
        <v>#REF!</v>
      </c>
      <c r="X43" s="10">
        <v>5415467504</v>
      </c>
      <c r="AA43" t="s">
        <v>562</v>
      </c>
      <c r="AB43" t="e">
        <v>#REF!</v>
      </c>
      <c r="AC43" t="e">
        <v>#REF!</v>
      </c>
      <c r="AD43" t="e">
        <v>#REF!</v>
      </c>
    </row>
    <row r="44" spans="1:30" x14ac:dyDescent="0.35">
      <c r="A44" t="s">
        <v>64</v>
      </c>
      <c r="B44">
        <v>2190</v>
      </c>
      <c r="C44" t="s">
        <v>484</v>
      </c>
      <c r="D44">
        <v>2117</v>
      </c>
      <c r="E44" t="s">
        <v>296</v>
      </c>
      <c r="F44" t="s">
        <v>273</v>
      </c>
      <c r="G44" t="s">
        <v>304</v>
      </c>
      <c r="H44" t="s">
        <v>378</v>
      </c>
      <c r="I44" t="e">
        <v>#REF!</v>
      </c>
      <c r="J44" t="s">
        <v>2347</v>
      </c>
      <c r="K44" t="s">
        <v>2144</v>
      </c>
      <c r="L44" t="s">
        <v>2348</v>
      </c>
      <c r="M44" t="s">
        <v>276</v>
      </c>
      <c r="N44" t="s">
        <v>564</v>
      </c>
      <c r="O44" t="s">
        <v>565</v>
      </c>
      <c r="P44" t="s">
        <v>566</v>
      </c>
      <c r="Q44" t="s">
        <v>2347</v>
      </c>
      <c r="R44" t="s">
        <v>2144</v>
      </c>
      <c r="S44" t="s">
        <v>567</v>
      </c>
      <c r="U44" t="s">
        <v>418</v>
      </c>
      <c r="V44" t="s">
        <v>568</v>
      </c>
      <c r="W44" t="e">
        <v>#REF!</v>
      </c>
      <c r="X44" s="10">
        <v>5036235594</v>
      </c>
      <c r="AA44" t="s">
        <v>569</v>
      </c>
      <c r="AB44" t="e">
        <v>#REF!</v>
      </c>
      <c r="AC44" t="e">
        <v>#REF!</v>
      </c>
      <c r="AD44" t="e">
        <v>#REF!</v>
      </c>
    </row>
    <row r="45" spans="1:30" x14ac:dyDescent="0.35">
      <c r="A45" t="s">
        <v>65</v>
      </c>
      <c r="B45">
        <v>2187</v>
      </c>
      <c r="C45" t="s">
        <v>456</v>
      </c>
      <c r="D45">
        <v>2148</v>
      </c>
      <c r="E45" t="s">
        <v>457</v>
      </c>
      <c r="F45" t="s">
        <v>273</v>
      </c>
      <c r="G45" t="s">
        <v>570</v>
      </c>
      <c r="H45" t="s">
        <v>571</v>
      </c>
      <c r="I45" t="e">
        <v>#REF!</v>
      </c>
      <c r="J45" t="s">
        <v>2350</v>
      </c>
      <c r="K45" t="s">
        <v>2144</v>
      </c>
      <c r="L45" t="s">
        <v>2349</v>
      </c>
      <c r="M45" t="s">
        <v>276</v>
      </c>
      <c r="N45" t="s">
        <v>2351</v>
      </c>
      <c r="O45" t="s">
        <v>2352</v>
      </c>
      <c r="P45" t="s">
        <v>572</v>
      </c>
      <c r="Q45" t="s">
        <v>2353</v>
      </c>
      <c r="R45" t="s">
        <v>2144</v>
      </c>
      <c r="S45" t="s">
        <v>2354</v>
      </c>
      <c r="U45" t="s">
        <v>573</v>
      </c>
      <c r="V45" t="s">
        <v>574</v>
      </c>
      <c r="W45" t="e">
        <v>#REF!</v>
      </c>
      <c r="X45" s="10">
        <v>5032618212</v>
      </c>
      <c r="AA45" t="s">
        <v>575</v>
      </c>
      <c r="AB45" t="e">
        <v>#REF!</v>
      </c>
      <c r="AC45" t="e">
        <v>#REF!</v>
      </c>
      <c r="AD45" t="e">
        <v>#REF!</v>
      </c>
    </row>
    <row r="46" spans="1:30" x14ac:dyDescent="0.35">
      <c r="A46" t="s">
        <v>66</v>
      </c>
      <c r="B46">
        <v>2253</v>
      </c>
      <c r="C46" t="s">
        <v>295</v>
      </c>
      <c r="D46">
        <v>2117</v>
      </c>
      <c r="E46" t="s">
        <v>296</v>
      </c>
      <c r="F46" t="s">
        <v>273</v>
      </c>
      <c r="G46" t="s">
        <v>736</v>
      </c>
      <c r="H46" t="s">
        <v>1181</v>
      </c>
      <c r="I46" t="e">
        <v>#REF!</v>
      </c>
      <c r="J46" t="s">
        <v>2355</v>
      </c>
      <c r="K46" t="s">
        <v>2144</v>
      </c>
      <c r="L46" t="s">
        <v>2356</v>
      </c>
      <c r="M46" t="s">
        <v>276</v>
      </c>
      <c r="N46" t="s">
        <v>2357</v>
      </c>
      <c r="O46" t="s">
        <v>2358</v>
      </c>
      <c r="P46" t="s">
        <v>577</v>
      </c>
      <c r="Q46" t="s">
        <v>2359</v>
      </c>
      <c r="R46" t="s">
        <v>2360</v>
      </c>
      <c r="S46" t="s">
        <v>2361</v>
      </c>
      <c r="T46" t="s">
        <v>1862</v>
      </c>
      <c r="U46" t="s">
        <v>418</v>
      </c>
      <c r="V46" t="s">
        <v>1815</v>
      </c>
      <c r="W46" t="e">
        <v>#REF!</v>
      </c>
      <c r="X46" s="10">
        <v>5038642215</v>
      </c>
      <c r="AA46" t="s">
        <v>1844</v>
      </c>
      <c r="AB46" t="e">
        <v>#REF!</v>
      </c>
      <c r="AC46" t="e">
        <v>#REF!</v>
      </c>
      <c r="AD46" t="e">
        <v>#REF!</v>
      </c>
    </row>
    <row r="47" spans="1:30" x14ac:dyDescent="0.35">
      <c r="A47" t="s">
        <v>67</v>
      </c>
      <c r="B47">
        <v>2011</v>
      </c>
      <c r="C47" t="s">
        <v>578</v>
      </c>
      <c r="D47">
        <v>2007</v>
      </c>
      <c r="E47" t="s">
        <v>579</v>
      </c>
      <c r="F47" t="s">
        <v>273</v>
      </c>
      <c r="G47" t="s">
        <v>2362</v>
      </c>
      <c r="H47" t="s">
        <v>2363</v>
      </c>
      <c r="I47" t="e">
        <v>#REF!</v>
      </c>
      <c r="J47" t="s">
        <v>2364</v>
      </c>
      <c r="K47" t="s">
        <v>2365</v>
      </c>
      <c r="L47" t="s">
        <v>2366</v>
      </c>
      <c r="M47" t="s">
        <v>276</v>
      </c>
      <c r="N47" t="s">
        <v>1797</v>
      </c>
      <c r="O47" t="s">
        <v>1798</v>
      </c>
      <c r="P47" t="s">
        <v>582</v>
      </c>
      <c r="Q47" t="s">
        <v>2364</v>
      </c>
      <c r="R47" t="s">
        <v>2367</v>
      </c>
      <c r="S47" t="s">
        <v>1803</v>
      </c>
      <c r="T47" t="s">
        <v>1862</v>
      </c>
      <c r="U47" t="s">
        <v>1159</v>
      </c>
      <c r="V47" t="s">
        <v>1816</v>
      </c>
      <c r="W47" t="e">
        <v>#REF!</v>
      </c>
      <c r="X47" s="10">
        <v>5419872412</v>
      </c>
      <c r="Y47">
        <v>102</v>
      </c>
      <c r="AA47" t="s">
        <v>1845</v>
      </c>
      <c r="AB47" t="e">
        <v>#REF!</v>
      </c>
      <c r="AC47" t="e">
        <v>#REF!</v>
      </c>
      <c r="AD47" t="e">
        <v>#REF!</v>
      </c>
    </row>
    <row r="48" spans="1:30" x14ac:dyDescent="0.35">
      <c r="A48" t="s">
        <v>68</v>
      </c>
      <c r="B48">
        <v>2017</v>
      </c>
      <c r="C48" t="s">
        <v>584</v>
      </c>
      <c r="D48">
        <v>2013</v>
      </c>
      <c r="E48" t="s">
        <v>585</v>
      </c>
      <c r="F48" t="s">
        <v>273</v>
      </c>
      <c r="G48" t="s">
        <v>1256</v>
      </c>
      <c r="H48" t="s">
        <v>1257</v>
      </c>
      <c r="I48" t="e">
        <v>#REF!</v>
      </c>
      <c r="J48" t="s">
        <v>2368</v>
      </c>
      <c r="K48" t="s">
        <v>2144</v>
      </c>
      <c r="L48" t="s">
        <v>1258</v>
      </c>
      <c r="M48" t="s">
        <v>276</v>
      </c>
      <c r="N48" t="s">
        <v>576</v>
      </c>
      <c r="O48" t="s">
        <v>2369</v>
      </c>
      <c r="P48" t="s">
        <v>587</v>
      </c>
      <c r="Q48" t="s">
        <v>2370</v>
      </c>
      <c r="R48" t="s">
        <v>2371</v>
      </c>
      <c r="S48" t="s">
        <v>2372</v>
      </c>
      <c r="T48" t="s">
        <v>1871</v>
      </c>
      <c r="U48" t="s">
        <v>588</v>
      </c>
      <c r="V48" t="s">
        <v>589</v>
      </c>
      <c r="W48" t="e">
        <v>#REF!</v>
      </c>
      <c r="X48" s="10">
        <v>5414932341</v>
      </c>
      <c r="AA48" t="s">
        <v>590</v>
      </c>
      <c r="AB48" t="e">
        <v>#REF!</v>
      </c>
      <c r="AC48" t="e">
        <v>#REF!</v>
      </c>
      <c r="AD48" t="e">
        <v>#REF!</v>
      </c>
    </row>
    <row r="49" spans="1:30" x14ac:dyDescent="0.35">
      <c r="A49" t="s">
        <v>69</v>
      </c>
      <c r="B49">
        <v>2021</v>
      </c>
      <c r="C49" t="s">
        <v>584</v>
      </c>
      <c r="D49">
        <v>2013</v>
      </c>
      <c r="E49" t="s">
        <v>585</v>
      </c>
      <c r="F49" t="s">
        <v>273</v>
      </c>
      <c r="G49" t="s">
        <v>1256</v>
      </c>
      <c r="H49" t="s">
        <v>1257</v>
      </c>
      <c r="I49" t="e">
        <v>#REF!</v>
      </c>
      <c r="J49" t="s">
        <v>2368</v>
      </c>
      <c r="K49" t="s">
        <v>2144</v>
      </c>
      <c r="L49" t="s">
        <v>1258</v>
      </c>
      <c r="M49" t="s">
        <v>276</v>
      </c>
      <c r="N49" t="s">
        <v>576</v>
      </c>
      <c r="O49" t="s">
        <v>2369</v>
      </c>
      <c r="P49" t="s">
        <v>587</v>
      </c>
      <c r="Q49" t="s">
        <v>2370</v>
      </c>
      <c r="R49" t="s">
        <v>2144</v>
      </c>
      <c r="S49" t="s">
        <v>2372</v>
      </c>
      <c r="T49" t="s">
        <v>1868</v>
      </c>
      <c r="U49" t="s">
        <v>591</v>
      </c>
      <c r="V49" t="s">
        <v>592</v>
      </c>
      <c r="W49" t="e">
        <v>#REF!</v>
      </c>
      <c r="X49" s="10">
        <v>5415733229</v>
      </c>
      <c r="AA49" t="s">
        <v>593</v>
      </c>
      <c r="AB49" t="e">
        <v>#REF!</v>
      </c>
      <c r="AC49" t="e">
        <v>#REF!</v>
      </c>
      <c r="AD49" t="e">
        <v>#REF!</v>
      </c>
    </row>
    <row r="50" spans="1:30" x14ac:dyDescent="0.35">
      <c r="A50" t="s">
        <v>70</v>
      </c>
      <c r="B50">
        <v>1993</v>
      </c>
      <c r="C50" t="s">
        <v>431</v>
      </c>
      <c r="D50">
        <v>1980</v>
      </c>
      <c r="E50" t="s">
        <v>432</v>
      </c>
      <c r="F50" t="s">
        <v>273</v>
      </c>
      <c r="G50" t="s">
        <v>304</v>
      </c>
      <c r="H50" t="s">
        <v>594</v>
      </c>
      <c r="I50" t="e">
        <v>#REF!</v>
      </c>
      <c r="J50" t="s">
        <v>2373</v>
      </c>
      <c r="K50" t="s">
        <v>2144</v>
      </c>
      <c r="L50" t="s">
        <v>595</v>
      </c>
      <c r="M50" t="s">
        <v>276</v>
      </c>
      <c r="N50" t="s">
        <v>491</v>
      </c>
      <c r="O50" t="s">
        <v>596</v>
      </c>
      <c r="P50" t="s">
        <v>597</v>
      </c>
      <c r="Q50" t="s">
        <v>2373</v>
      </c>
      <c r="R50" t="s">
        <v>2144</v>
      </c>
      <c r="S50" t="s">
        <v>598</v>
      </c>
      <c r="U50" t="s">
        <v>428</v>
      </c>
      <c r="V50" t="s">
        <v>429</v>
      </c>
      <c r="W50" t="e">
        <v>#REF!</v>
      </c>
      <c r="X50" s="10">
        <v>5419574803</v>
      </c>
      <c r="AA50" t="s">
        <v>430</v>
      </c>
      <c r="AB50" t="e">
        <v>#REF!</v>
      </c>
      <c r="AC50" t="e">
        <v>#REF!</v>
      </c>
      <c r="AD50" t="e">
        <v>#REF!</v>
      </c>
    </row>
    <row r="51" spans="1:30" x14ac:dyDescent="0.35">
      <c r="A51" t="s">
        <v>71</v>
      </c>
      <c r="B51">
        <v>1991</v>
      </c>
      <c r="C51" t="s">
        <v>431</v>
      </c>
      <c r="D51">
        <v>1980</v>
      </c>
      <c r="E51" t="s">
        <v>432</v>
      </c>
      <c r="F51" t="s">
        <v>273</v>
      </c>
      <c r="G51" t="s">
        <v>599</v>
      </c>
      <c r="H51" t="s">
        <v>600</v>
      </c>
      <c r="I51" t="e">
        <v>#REF!</v>
      </c>
      <c r="J51" t="s">
        <v>2374</v>
      </c>
      <c r="K51" t="s">
        <v>2144</v>
      </c>
      <c r="L51" t="s">
        <v>601</v>
      </c>
      <c r="M51" t="s">
        <v>276</v>
      </c>
      <c r="N51" t="s">
        <v>703</v>
      </c>
      <c r="O51" t="s">
        <v>720</v>
      </c>
      <c r="P51" t="s">
        <v>604</v>
      </c>
      <c r="Q51" t="s">
        <v>2375</v>
      </c>
      <c r="R51" t="s">
        <v>2144</v>
      </c>
      <c r="S51" t="s">
        <v>2376</v>
      </c>
      <c r="U51" t="s">
        <v>461</v>
      </c>
      <c r="V51" t="s">
        <v>605</v>
      </c>
      <c r="W51" t="e">
        <v>#REF!</v>
      </c>
      <c r="X51" s="10">
        <v>5414404004</v>
      </c>
      <c r="AA51" t="s">
        <v>606</v>
      </c>
      <c r="AB51" t="e">
        <v>#REF!</v>
      </c>
      <c r="AC51" t="e">
        <v>#REF!</v>
      </c>
      <c r="AD51" t="e">
        <v>#REF!</v>
      </c>
    </row>
    <row r="52" spans="1:30" x14ac:dyDescent="0.35">
      <c r="A52" t="s">
        <v>72</v>
      </c>
      <c r="B52">
        <v>2019</v>
      </c>
      <c r="C52" t="s">
        <v>584</v>
      </c>
      <c r="D52">
        <v>2013</v>
      </c>
      <c r="E52" t="s">
        <v>585</v>
      </c>
      <c r="F52" t="s">
        <v>273</v>
      </c>
      <c r="G52" t="s">
        <v>1256</v>
      </c>
      <c r="H52" t="s">
        <v>1257</v>
      </c>
      <c r="I52" t="e">
        <v>#REF!</v>
      </c>
      <c r="J52" t="s">
        <v>2368</v>
      </c>
      <c r="K52" t="s">
        <v>2144</v>
      </c>
      <c r="L52" t="s">
        <v>1258</v>
      </c>
      <c r="M52" t="s">
        <v>276</v>
      </c>
      <c r="N52" t="s">
        <v>576</v>
      </c>
      <c r="O52" t="s">
        <v>2369</v>
      </c>
      <c r="P52" t="s">
        <v>587</v>
      </c>
      <c r="Q52" t="s">
        <v>2370</v>
      </c>
      <c r="R52" t="s">
        <v>2371</v>
      </c>
      <c r="S52" t="s">
        <v>2372</v>
      </c>
      <c r="U52" t="s">
        <v>609</v>
      </c>
      <c r="V52" t="s">
        <v>610</v>
      </c>
      <c r="W52" t="e">
        <v>#REF!</v>
      </c>
      <c r="X52" s="10">
        <v>5414932401</v>
      </c>
      <c r="AA52" t="s">
        <v>611</v>
      </c>
      <c r="AB52" t="e">
        <v>#REF!</v>
      </c>
      <c r="AC52" t="e">
        <v>#REF!</v>
      </c>
      <c r="AD52" t="e">
        <v>#REF!</v>
      </c>
    </row>
    <row r="53" spans="1:30" x14ac:dyDescent="0.35">
      <c r="A53" t="s">
        <v>73</v>
      </c>
      <c r="B53">
        <v>2229</v>
      </c>
      <c r="C53" t="s">
        <v>612</v>
      </c>
      <c r="D53">
        <v>2223</v>
      </c>
      <c r="E53" t="s">
        <v>613</v>
      </c>
      <c r="F53" t="s">
        <v>273</v>
      </c>
      <c r="G53" t="s">
        <v>274</v>
      </c>
      <c r="H53" t="s">
        <v>614</v>
      </c>
      <c r="I53" t="e">
        <v>#REF!</v>
      </c>
      <c r="J53" t="s">
        <v>2377</v>
      </c>
      <c r="K53" t="s">
        <v>2378</v>
      </c>
      <c r="L53" t="s">
        <v>615</v>
      </c>
      <c r="M53" t="s">
        <v>276</v>
      </c>
      <c r="N53" t="s">
        <v>505</v>
      </c>
      <c r="O53" t="s">
        <v>1320</v>
      </c>
      <c r="P53" t="s">
        <v>500</v>
      </c>
      <c r="Q53" t="s">
        <v>2377</v>
      </c>
      <c r="R53" t="s">
        <v>2379</v>
      </c>
      <c r="S53" t="s">
        <v>2380</v>
      </c>
      <c r="U53" t="s">
        <v>616</v>
      </c>
      <c r="V53" t="s">
        <v>617</v>
      </c>
      <c r="W53" t="e">
        <v>#REF!</v>
      </c>
      <c r="X53" s="10">
        <v>5414672509</v>
      </c>
      <c r="Y53" t="s">
        <v>618</v>
      </c>
      <c r="AA53" t="s">
        <v>619</v>
      </c>
      <c r="AB53" t="e">
        <v>#REF!</v>
      </c>
      <c r="AC53" t="e">
        <v>#REF!</v>
      </c>
      <c r="AD53" t="e">
        <v>#REF!</v>
      </c>
    </row>
    <row r="54" spans="1:30" x14ac:dyDescent="0.35">
      <c r="A54" t="s">
        <v>74</v>
      </c>
      <c r="B54">
        <v>2043</v>
      </c>
      <c r="C54" t="s">
        <v>318</v>
      </c>
      <c r="D54">
        <v>2025</v>
      </c>
      <c r="E54" t="s">
        <v>319</v>
      </c>
      <c r="F54" t="s">
        <v>273</v>
      </c>
      <c r="G54" t="s">
        <v>563</v>
      </c>
      <c r="H54" t="s">
        <v>620</v>
      </c>
      <c r="I54" t="e">
        <v>#REF!</v>
      </c>
      <c r="J54" t="s">
        <v>2381</v>
      </c>
      <c r="K54" t="s">
        <v>2144</v>
      </c>
      <c r="L54" t="s">
        <v>621</v>
      </c>
      <c r="M54" t="s">
        <v>276</v>
      </c>
      <c r="N54" t="s">
        <v>377</v>
      </c>
      <c r="O54" t="s">
        <v>2382</v>
      </c>
      <c r="P54" t="s">
        <v>623</v>
      </c>
      <c r="Q54" t="s">
        <v>2383</v>
      </c>
      <c r="R54" t="s">
        <v>2144</v>
      </c>
      <c r="S54" t="s">
        <v>2384</v>
      </c>
      <c r="U54" t="s">
        <v>452</v>
      </c>
      <c r="V54" t="s">
        <v>624</v>
      </c>
      <c r="W54" t="e">
        <v>#REF!</v>
      </c>
      <c r="X54" s="10">
        <v>5418306559</v>
      </c>
      <c r="AA54" t="s">
        <v>625</v>
      </c>
      <c r="AB54" t="e">
        <v>#REF!</v>
      </c>
      <c r="AC54" t="e">
        <v>#REF!</v>
      </c>
      <c r="AD54" t="e">
        <v>#REF!</v>
      </c>
    </row>
    <row r="55" spans="1:30" x14ac:dyDescent="0.35">
      <c r="A55" t="s">
        <v>75</v>
      </c>
      <c r="B55">
        <v>2203</v>
      </c>
      <c r="C55" t="s">
        <v>350</v>
      </c>
      <c r="D55">
        <v>2200</v>
      </c>
      <c r="E55" t="s">
        <v>351</v>
      </c>
      <c r="F55" t="s">
        <v>273</v>
      </c>
      <c r="G55" t="s">
        <v>626</v>
      </c>
      <c r="H55" t="s">
        <v>627</v>
      </c>
      <c r="I55" t="e">
        <v>#REF!</v>
      </c>
      <c r="J55" t="s">
        <v>2385</v>
      </c>
      <c r="K55" t="s">
        <v>2386</v>
      </c>
      <c r="L55" t="s">
        <v>2387</v>
      </c>
      <c r="M55" t="s">
        <v>276</v>
      </c>
      <c r="N55" t="s">
        <v>2388</v>
      </c>
      <c r="O55" t="s">
        <v>2389</v>
      </c>
      <c r="P55" t="s">
        <v>629</v>
      </c>
      <c r="Q55" t="s">
        <v>2390</v>
      </c>
      <c r="R55" t="s">
        <v>2144</v>
      </c>
      <c r="S55" t="s">
        <v>2391</v>
      </c>
      <c r="T55" t="s">
        <v>1872</v>
      </c>
      <c r="U55" t="s">
        <v>754</v>
      </c>
      <c r="V55" t="s">
        <v>755</v>
      </c>
      <c r="W55" t="e">
        <v>#REF!</v>
      </c>
      <c r="X55" s="10">
        <v>5419663216</v>
      </c>
      <c r="AA55" t="s">
        <v>756</v>
      </c>
      <c r="AB55" t="e">
        <v>#REF!</v>
      </c>
      <c r="AC55" t="e">
        <v>#REF!</v>
      </c>
      <c r="AD55" t="e">
        <v>#REF!</v>
      </c>
    </row>
    <row r="56" spans="1:30" x14ac:dyDescent="0.35">
      <c r="A56" t="s">
        <v>76</v>
      </c>
      <c r="B56">
        <v>2217</v>
      </c>
      <c r="C56" t="s">
        <v>531</v>
      </c>
      <c r="D56">
        <v>2200</v>
      </c>
      <c r="E56" t="s">
        <v>351</v>
      </c>
      <c r="F56" t="s">
        <v>273</v>
      </c>
      <c r="G56" t="s">
        <v>632</v>
      </c>
      <c r="H56" t="s">
        <v>633</v>
      </c>
      <c r="I56" t="e">
        <v>#REF!</v>
      </c>
      <c r="J56" t="s">
        <v>2392</v>
      </c>
      <c r="K56" t="s">
        <v>2144</v>
      </c>
      <c r="L56" t="s">
        <v>634</v>
      </c>
      <c r="M56" t="s">
        <v>276</v>
      </c>
      <c r="N56" t="s">
        <v>414</v>
      </c>
      <c r="O56" t="s">
        <v>415</v>
      </c>
      <c r="P56" t="s">
        <v>416</v>
      </c>
      <c r="Q56" t="s">
        <v>2330</v>
      </c>
      <c r="R56" t="s">
        <v>2144</v>
      </c>
      <c r="S56" t="s">
        <v>635</v>
      </c>
      <c r="U56" t="s">
        <v>445</v>
      </c>
      <c r="V56" t="s">
        <v>636</v>
      </c>
      <c r="W56" t="e">
        <v>#REF!</v>
      </c>
      <c r="X56" s="10"/>
      <c r="AA56" t="s">
        <v>637</v>
      </c>
      <c r="AB56" t="e">
        <v>#REF!</v>
      </c>
      <c r="AC56" t="e">
        <v>#REF!</v>
      </c>
      <c r="AD56" t="e">
        <v>#REF!</v>
      </c>
    </row>
    <row r="57" spans="1:30" x14ac:dyDescent="0.35">
      <c r="A57" t="s">
        <v>77</v>
      </c>
      <c r="B57">
        <v>1998</v>
      </c>
      <c r="C57" t="s">
        <v>431</v>
      </c>
      <c r="D57">
        <v>1980</v>
      </c>
      <c r="E57" t="s">
        <v>432</v>
      </c>
      <c r="F57" t="s">
        <v>273</v>
      </c>
      <c r="G57" t="s">
        <v>563</v>
      </c>
      <c r="H57" t="s">
        <v>638</v>
      </c>
      <c r="I57" t="e">
        <v>#REF!</v>
      </c>
      <c r="J57" t="s">
        <v>2393</v>
      </c>
      <c r="K57" t="s">
        <v>2394</v>
      </c>
      <c r="L57" t="s">
        <v>639</v>
      </c>
      <c r="M57" t="s">
        <v>276</v>
      </c>
      <c r="N57" t="s">
        <v>563</v>
      </c>
      <c r="O57" t="s">
        <v>638</v>
      </c>
      <c r="P57" t="s">
        <v>640</v>
      </c>
      <c r="Q57" t="s">
        <v>2393</v>
      </c>
      <c r="R57" t="s">
        <v>2394</v>
      </c>
      <c r="S57" t="s">
        <v>639</v>
      </c>
      <c r="U57" t="s">
        <v>641</v>
      </c>
      <c r="V57" t="s">
        <v>608</v>
      </c>
      <c r="W57" t="e">
        <v>#REF!</v>
      </c>
      <c r="X57" s="10"/>
      <c r="AA57" t="s">
        <v>642</v>
      </c>
      <c r="AB57" t="e">
        <v>#REF!</v>
      </c>
      <c r="AC57" t="e">
        <v>#REF!</v>
      </c>
      <c r="AD57" t="e">
        <v>#REF!</v>
      </c>
    </row>
    <row r="58" spans="1:30" x14ac:dyDescent="0.35">
      <c r="A58" t="s">
        <v>78</v>
      </c>
      <c r="B58">
        <v>2221</v>
      </c>
      <c r="C58" t="s">
        <v>643</v>
      </c>
      <c r="D58">
        <v>2218</v>
      </c>
      <c r="E58" t="s">
        <v>644</v>
      </c>
      <c r="F58" t="s">
        <v>273</v>
      </c>
      <c r="G58" t="s">
        <v>921</v>
      </c>
      <c r="H58" t="s">
        <v>2395</v>
      </c>
      <c r="I58" t="e">
        <v>#REF!</v>
      </c>
      <c r="J58" t="s">
        <v>2396</v>
      </c>
      <c r="K58" t="s">
        <v>2397</v>
      </c>
      <c r="L58" t="s">
        <v>2398</v>
      </c>
      <c r="M58" t="s">
        <v>276</v>
      </c>
      <c r="N58" t="s">
        <v>2399</v>
      </c>
      <c r="O58" t="s">
        <v>2400</v>
      </c>
      <c r="P58" t="s">
        <v>647</v>
      </c>
      <c r="Q58" t="s">
        <v>2401</v>
      </c>
      <c r="R58" t="s">
        <v>2402</v>
      </c>
      <c r="S58" t="s">
        <v>2403</v>
      </c>
      <c r="U58" t="s">
        <v>648</v>
      </c>
      <c r="V58" t="s">
        <v>649</v>
      </c>
      <c r="W58" t="e">
        <v>#REF!</v>
      </c>
      <c r="X58" s="10">
        <v>5414260147</v>
      </c>
      <c r="Y58" t="s">
        <v>650</v>
      </c>
      <c r="AA58" t="s">
        <v>651</v>
      </c>
      <c r="AB58" t="e">
        <v>#REF!</v>
      </c>
      <c r="AC58" t="e">
        <v>#REF!</v>
      </c>
      <c r="AD58" t="e">
        <v>#REF!</v>
      </c>
    </row>
    <row r="59" spans="1:30" x14ac:dyDescent="0.35">
      <c r="A59" t="s">
        <v>79</v>
      </c>
      <c r="B59">
        <v>1930</v>
      </c>
      <c r="C59" t="s">
        <v>440</v>
      </c>
      <c r="D59">
        <v>1902</v>
      </c>
      <c r="E59" t="s">
        <v>441</v>
      </c>
      <c r="F59" t="s">
        <v>273</v>
      </c>
      <c r="G59" t="s">
        <v>480</v>
      </c>
      <c r="H59" t="s">
        <v>469</v>
      </c>
      <c r="I59" t="e">
        <v>#REF!</v>
      </c>
      <c r="J59" t="s">
        <v>2404</v>
      </c>
      <c r="K59" t="s">
        <v>2405</v>
      </c>
      <c r="L59" t="s">
        <v>2406</v>
      </c>
      <c r="M59" t="s">
        <v>276</v>
      </c>
      <c r="N59" t="s">
        <v>652</v>
      </c>
      <c r="O59" t="s">
        <v>653</v>
      </c>
      <c r="P59" t="s">
        <v>654</v>
      </c>
      <c r="Q59" t="s">
        <v>2404</v>
      </c>
      <c r="R59" t="s">
        <v>2407</v>
      </c>
      <c r="S59" t="s">
        <v>655</v>
      </c>
      <c r="U59" t="s">
        <v>656</v>
      </c>
      <c r="V59" t="s">
        <v>657</v>
      </c>
      <c r="W59" t="e">
        <v>#REF!</v>
      </c>
      <c r="X59" s="10">
        <v>5036306871</v>
      </c>
      <c r="Y59" t="s">
        <v>658</v>
      </c>
      <c r="AA59" t="s">
        <v>659</v>
      </c>
      <c r="AB59" t="e">
        <v>#REF!</v>
      </c>
      <c r="AC59" t="e">
        <v>#REF!</v>
      </c>
      <c r="AD59" t="e">
        <v>#REF!</v>
      </c>
    </row>
    <row r="60" spans="1:30" x14ac:dyDescent="0.35">
      <c r="A60" t="s">
        <v>80</v>
      </c>
      <c r="B60">
        <v>2082</v>
      </c>
      <c r="C60" t="s">
        <v>390</v>
      </c>
      <c r="D60">
        <v>2064</v>
      </c>
      <c r="E60" t="s">
        <v>391</v>
      </c>
      <c r="F60" t="s">
        <v>273</v>
      </c>
      <c r="G60" t="s">
        <v>563</v>
      </c>
      <c r="H60" t="s">
        <v>2408</v>
      </c>
      <c r="I60" t="e">
        <v>#REF!</v>
      </c>
      <c r="J60" t="s">
        <v>2409</v>
      </c>
      <c r="K60" t="s">
        <v>2144</v>
      </c>
      <c r="L60" t="s">
        <v>2410</v>
      </c>
      <c r="M60" t="s">
        <v>276</v>
      </c>
      <c r="N60" t="s">
        <v>2411</v>
      </c>
      <c r="O60" t="s">
        <v>660</v>
      </c>
      <c r="P60" t="s">
        <v>661</v>
      </c>
      <c r="Q60" t="s">
        <v>2412</v>
      </c>
      <c r="R60" t="s">
        <v>2144</v>
      </c>
      <c r="S60" t="s">
        <v>662</v>
      </c>
      <c r="T60" t="s">
        <v>1873</v>
      </c>
      <c r="U60" t="s">
        <v>1817</v>
      </c>
      <c r="V60" t="s">
        <v>1818</v>
      </c>
      <c r="W60" t="e">
        <v>#REF!</v>
      </c>
      <c r="X60" s="10">
        <v>5417907608</v>
      </c>
      <c r="AA60" t="s">
        <v>1846</v>
      </c>
      <c r="AB60" t="e">
        <v>#REF!</v>
      </c>
      <c r="AC60" t="e">
        <v>#REF!</v>
      </c>
      <c r="AD60" t="e">
        <v>#REF!</v>
      </c>
    </row>
    <row r="61" spans="1:30" x14ac:dyDescent="0.35">
      <c r="A61" t="s">
        <v>81</v>
      </c>
      <c r="B61">
        <v>2193</v>
      </c>
      <c r="C61" t="s">
        <v>484</v>
      </c>
      <c r="D61">
        <v>2117</v>
      </c>
      <c r="E61" t="s">
        <v>296</v>
      </c>
      <c r="F61" t="s">
        <v>273</v>
      </c>
      <c r="G61" t="s">
        <v>2413</v>
      </c>
      <c r="H61" t="s">
        <v>2414</v>
      </c>
      <c r="I61" t="e">
        <v>#REF!</v>
      </c>
      <c r="J61" t="s">
        <v>2415</v>
      </c>
      <c r="K61" t="s">
        <v>2416</v>
      </c>
      <c r="L61" t="s">
        <v>2417</v>
      </c>
      <c r="M61" t="s">
        <v>276</v>
      </c>
      <c r="N61" t="s">
        <v>576</v>
      </c>
      <c r="O61" t="s">
        <v>2418</v>
      </c>
      <c r="P61" t="s">
        <v>663</v>
      </c>
      <c r="Q61" t="s">
        <v>2415</v>
      </c>
      <c r="R61" t="s">
        <v>2419</v>
      </c>
      <c r="S61" t="s">
        <v>2420</v>
      </c>
      <c r="U61" t="s">
        <v>285</v>
      </c>
      <c r="V61" t="s">
        <v>664</v>
      </c>
      <c r="W61" t="e">
        <v>#REF!</v>
      </c>
      <c r="X61" s="10">
        <v>5037873521</v>
      </c>
      <c r="Y61" t="s">
        <v>665</v>
      </c>
      <c r="Z61" t="s">
        <v>666</v>
      </c>
      <c r="AA61" t="s">
        <v>667</v>
      </c>
      <c r="AB61" t="e">
        <v>#REF!</v>
      </c>
      <c r="AC61" t="e">
        <v>#REF!</v>
      </c>
      <c r="AD61" t="e">
        <v>#REF!</v>
      </c>
    </row>
    <row r="62" spans="1:30" x14ac:dyDescent="0.35">
      <c r="A62" t="s">
        <v>82</v>
      </c>
      <c r="B62">
        <v>2084</v>
      </c>
      <c r="C62" t="s">
        <v>390</v>
      </c>
      <c r="D62">
        <v>2064</v>
      </c>
      <c r="E62" t="s">
        <v>391</v>
      </c>
      <c r="F62" t="s">
        <v>273</v>
      </c>
      <c r="G62" t="s">
        <v>668</v>
      </c>
      <c r="H62" t="s">
        <v>469</v>
      </c>
      <c r="I62" t="e">
        <v>#REF!</v>
      </c>
      <c r="J62" t="s">
        <v>2421</v>
      </c>
      <c r="K62" t="s">
        <v>2422</v>
      </c>
      <c r="L62" t="s">
        <v>2423</v>
      </c>
      <c r="M62" t="s">
        <v>276</v>
      </c>
      <c r="N62" t="s">
        <v>472</v>
      </c>
      <c r="O62" t="s">
        <v>669</v>
      </c>
      <c r="P62" t="s">
        <v>670</v>
      </c>
      <c r="Q62" t="s">
        <v>2424</v>
      </c>
      <c r="R62" t="s">
        <v>2425</v>
      </c>
      <c r="S62" t="s">
        <v>671</v>
      </c>
      <c r="U62" t="s">
        <v>672</v>
      </c>
      <c r="V62" t="s">
        <v>673</v>
      </c>
      <c r="W62" t="e">
        <v>#REF!</v>
      </c>
      <c r="X62" s="10">
        <v>5419352253</v>
      </c>
      <c r="Y62" t="s">
        <v>674</v>
      </c>
      <c r="AA62" t="s">
        <v>675</v>
      </c>
      <c r="AB62" t="e">
        <v>#REF!</v>
      </c>
      <c r="AC62" t="e">
        <v>#REF!</v>
      </c>
      <c r="AD62" t="e">
        <v>#REF!</v>
      </c>
    </row>
    <row r="63" spans="1:30" x14ac:dyDescent="0.35">
      <c r="A63" t="s">
        <v>83</v>
      </c>
      <c r="B63">
        <v>2241</v>
      </c>
      <c r="C63" t="s">
        <v>374</v>
      </c>
      <c r="D63">
        <v>2230</v>
      </c>
      <c r="E63" t="s">
        <v>339</v>
      </c>
      <c r="F63" t="s">
        <v>273</v>
      </c>
      <c r="G63" t="s">
        <v>557</v>
      </c>
      <c r="H63" t="s">
        <v>676</v>
      </c>
      <c r="I63" t="e">
        <v>#REF!</v>
      </c>
      <c r="J63" t="s">
        <v>2426</v>
      </c>
      <c r="K63" t="s">
        <v>2144</v>
      </c>
      <c r="L63" t="s">
        <v>677</v>
      </c>
      <c r="M63" t="s">
        <v>276</v>
      </c>
      <c r="N63" t="s">
        <v>678</v>
      </c>
      <c r="O63" t="s">
        <v>679</v>
      </c>
      <c r="P63" t="s">
        <v>680</v>
      </c>
      <c r="Q63" t="s">
        <v>2427</v>
      </c>
      <c r="R63" t="s">
        <v>2144</v>
      </c>
      <c r="S63" t="s">
        <v>681</v>
      </c>
      <c r="U63" t="s">
        <v>682</v>
      </c>
      <c r="V63" t="s">
        <v>683</v>
      </c>
      <c r="W63" t="e">
        <v>#REF!</v>
      </c>
      <c r="X63" s="10">
        <v>5033576171</v>
      </c>
      <c r="Y63" t="s">
        <v>684</v>
      </c>
      <c r="AA63" t="s">
        <v>685</v>
      </c>
      <c r="AB63" t="e">
        <v>#REF!</v>
      </c>
      <c r="AC63" t="e">
        <v>#REF!</v>
      </c>
      <c r="AD63" t="e">
        <v>#REF!</v>
      </c>
    </row>
    <row r="64" spans="1:30" x14ac:dyDescent="0.35">
      <c r="A64" t="s">
        <v>84</v>
      </c>
      <c r="B64">
        <v>2248</v>
      </c>
      <c r="C64" t="s">
        <v>686</v>
      </c>
      <c r="D64">
        <v>2004</v>
      </c>
      <c r="E64" t="s">
        <v>310</v>
      </c>
      <c r="F64" t="s">
        <v>273</v>
      </c>
      <c r="G64" t="s">
        <v>777</v>
      </c>
      <c r="H64" t="s">
        <v>2428</v>
      </c>
      <c r="I64" t="e">
        <v>#REF!</v>
      </c>
      <c r="J64" t="s">
        <v>2429</v>
      </c>
      <c r="K64" t="s">
        <v>2144</v>
      </c>
      <c r="L64" t="s">
        <v>2430</v>
      </c>
      <c r="M64" t="s">
        <v>276</v>
      </c>
      <c r="N64" t="s">
        <v>2165</v>
      </c>
      <c r="O64" t="s">
        <v>2166</v>
      </c>
      <c r="P64" t="s">
        <v>500</v>
      </c>
      <c r="Q64" t="s">
        <v>2167</v>
      </c>
      <c r="R64" t="s">
        <v>2144</v>
      </c>
      <c r="S64" t="s">
        <v>2168</v>
      </c>
      <c r="U64" t="s">
        <v>414</v>
      </c>
      <c r="V64" t="s">
        <v>1819</v>
      </c>
      <c r="W64" t="e">
        <v>#REF!</v>
      </c>
      <c r="X64" s="10">
        <v>5417634384</v>
      </c>
      <c r="AA64" t="s">
        <v>687</v>
      </c>
      <c r="AB64" t="e">
        <v>#REF!</v>
      </c>
      <c r="AC64" t="e">
        <v>#REF!</v>
      </c>
      <c r="AD64" t="e">
        <v>#REF!</v>
      </c>
    </row>
    <row r="65" spans="1:30" x14ac:dyDescent="0.35">
      <c r="A65" t="s">
        <v>85</v>
      </c>
      <c r="B65">
        <v>2020</v>
      </c>
      <c r="C65" t="s">
        <v>584</v>
      </c>
      <c r="D65">
        <v>2013</v>
      </c>
      <c r="E65" t="s">
        <v>585</v>
      </c>
      <c r="F65" t="s">
        <v>273</v>
      </c>
      <c r="G65" t="s">
        <v>1256</v>
      </c>
      <c r="H65" t="s">
        <v>1257</v>
      </c>
      <c r="I65" t="e">
        <v>#REF!</v>
      </c>
      <c r="J65" t="s">
        <v>2368</v>
      </c>
      <c r="K65" t="s">
        <v>2144</v>
      </c>
      <c r="L65" t="s">
        <v>1258</v>
      </c>
      <c r="M65" t="s">
        <v>276</v>
      </c>
      <c r="N65" t="s">
        <v>576</v>
      </c>
      <c r="O65" t="s">
        <v>2369</v>
      </c>
      <c r="P65" t="s">
        <v>359</v>
      </c>
      <c r="Q65" t="s">
        <v>2370</v>
      </c>
      <c r="R65" t="s">
        <v>2371</v>
      </c>
      <c r="S65" t="s">
        <v>2372</v>
      </c>
      <c r="U65" t="s">
        <v>689</v>
      </c>
      <c r="V65" t="s">
        <v>690</v>
      </c>
      <c r="W65" t="e">
        <v>#REF!</v>
      </c>
      <c r="X65" s="10">
        <v>5414932652</v>
      </c>
      <c r="AA65" t="s">
        <v>691</v>
      </c>
      <c r="AB65" t="e">
        <v>#REF!</v>
      </c>
      <c r="AC65" t="e">
        <v>#REF!</v>
      </c>
      <c r="AD65" t="e">
        <v>#REF!</v>
      </c>
    </row>
    <row r="66" spans="1:30" x14ac:dyDescent="0.35">
      <c r="A66" t="s">
        <v>86</v>
      </c>
      <c r="B66">
        <v>2245</v>
      </c>
      <c r="C66" t="s">
        <v>374</v>
      </c>
      <c r="D66">
        <v>2230</v>
      </c>
      <c r="E66" t="s">
        <v>339</v>
      </c>
      <c r="F66" t="s">
        <v>273</v>
      </c>
      <c r="G66" t="s">
        <v>2431</v>
      </c>
      <c r="H66" t="s">
        <v>2432</v>
      </c>
      <c r="I66" t="e">
        <v>#REF!</v>
      </c>
      <c r="J66" t="s">
        <v>2433</v>
      </c>
      <c r="K66" t="s">
        <v>2434</v>
      </c>
      <c r="L66" t="s">
        <v>2435</v>
      </c>
      <c r="M66" t="s">
        <v>276</v>
      </c>
      <c r="N66" t="s">
        <v>399</v>
      </c>
      <c r="O66" t="s">
        <v>1799</v>
      </c>
      <c r="P66" t="s">
        <v>693</v>
      </c>
      <c r="Q66" t="s">
        <v>2433</v>
      </c>
      <c r="R66" t="s">
        <v>2436</v>
      </c>
      <c r="S66" t="s">
        <v>1804</v>
      </c>
      <c r="U66" t="s">
        <v>694</v>
      </c>
      <c r="V66" t="s">
        <v>695</v>
      </c>
      <c r="W66" t="e">
        <v>#REF!</v>
      </c>
      <c r="X66" s="10"/>
      <c r="AA66" t="s">
        <v>696</v>
      </c>
      <c r="AB66" t="e">
        <v>#REF!</v>
      </c>
      <c r="AC66" t="e">
        <v>#REF!</v>
      </c>
      <c r="AD66" t="e">
        <v>#REF!</v>
      </c>
    </row>
    <row r="67" spans="1:30" x14ac:dyDescent="0.35">
      <c r="A67" t="s">
        <v>87</v>
      </c>
      <c r="B67">
        <v>2137</v>
      </c>
      <c r="C67" t="s">
        <v>447</v>
      </c>
      <c r="D67">
        <v>2117</v>
      </c>
      <c r="E67" t="s">
        <v>296</v>
      </c>
      <c r="F67" t="s">
        <v>273</v>
      </c>
      <c r="G67" t="s">
        <v>697</v>
      </c>
      <c r="H67" t="s">
        <v>698</v>
      </c>
      <c r="I67" t="e">
        <v>#REF!</v>
      </c>
      <c r="J67" t="s">
        <v>2437</v>
      </c>
      <c r="K67" t="s">
        <v>2438</v>
      </c>
      <c r="L67" t="s">
        <v>699</v>
      </c>
      <c r="M67" t="s">
        <v>276</v>
      </c>
      <c r="N67" t="s">
        <v>2439</v>
      </c>
      <c r="O67" t="s">
        <v>2440</v>
      </c>
      <c r="P67" t="s">
        <v>702</v>
      </c>
      <c r="Q67" t="s">
        <v>2437</v>
      </c>
      <c r="R67" t="s">
        <v>2441</v>
      </c>
      <c r="S67" t="s">
        <v>2442</v>
      </c>
      <c r="U67" t="s">
        <v>703</v>
      </c>
      <c r="V67" t="s">
        <v>704</v>
      </c>
      <c r="W67" t="e">
        <v>#REF!</v>
      </c>
      <c r="X67" s="10">
        <v>5037923803</v>
      </c>
      <c r="Y67" t="s">
        <v>705</v>
      </c>
      <c r="AA67" t="s">
        <v>706</v>
      </c>
      <c r="AB67" t="e">
        <v>#REF!</v>
      </c>
      <c r="AC67" t="e">
        <v>#REF!</v>
      </c>
      <c r="AD67" t="e">
        <v>#REF!</v>
      </c>
    </row>
    <row r="68" spans="1:30" x14ac:dyDescent="0.35">
      <c r="A68" t="s">
        <v>88</v>
      </c>
      <c r="B68">
        <v>1931</v>
      </c>
      <c r="C68" t="s">
        <v>440</v>
      </c>
      <c r="D68">
        <v>1902</v>
      </c>
      <c r="E68" t="s">
        <v>441</v>
      </c>
      <c r="F68" t="s">
        <v>273</v>
      </c>
      <c r="G68" t="s">
        <v>700</v>
      </c>
      <c r="H68" t="s">
        <v>707</v>
      </c>
      <c r="I68" t="e">
        <v>#REF!</v>
      </c>
      <c r="J68" t="s">
        <v>2443</v>
      </c>
      <c r="K68" t="s">
        <v>2444</v>
      </c>
      <c r="L68" t="s">
        <v>708</v>
      </c>
      <c r="M68" t="s">
        <v>276</v>
      </c>
      <c r="N68" t="s">
        <v>539</v>
      </c>
      <c r="O68" t="s">
        <v>2445</v>
      </c>
      <c r="P68" t="s">
        <v>709</v>
      </c>
      <c r="Q68" t="s">
        <v>2443</v>
      </c>
      <c r="R68" t="s">
        <v>2446</v>
      </c>
      <c r="S68" t="s">
        <v>2447</v>
      </c>
      <c r="T68" t="s">
        <v>1870</v>
      </c>
      <c r="U68" t="s">
        <v>479</v>
      </c>
      <c r="V68" t="s">
        <v>710</v>
      </c>
      <c r="W68" t="e">
        <v>#REF!</v>
      </c>
      <c r="X68" s="10">
        <v>5036552777</v>
      </c>
      <c r="Y68" t="s">
        <v>711</v>
      </c>
      <c r="AA68" t="s">
        <v>712</v>
      </c>
      <c r="AB68" t="e">
        <v>#REF!</v>
      </c>
      <c r="AC68" t="e">
        <v>#REF!</v>
      </c>
      <c r="AD68" t="e">
        <v>#REF!</v>
      </c>
    </row>
    <row r="69" spans="1:30" x14ac:dyDescent="0.35">
      <c r="A69" t="s">
        <v>89</v>
      </c>
      <c r="B69">
        <v>2000</v>
      </c>
      <c r="C69" t="s">
        <v>431</v>
      </c>
      <c r="D69">
        <v>1980</v>
      </c>
      <c r="E69" t="s">
        <v>432</v>
      </c>
      <c r="F69" t="s">
        <v>273</v>
      </c>
      <c r="G69" t="s">
        <v>2448</v>
      </c>
      <c r="H69" t="s">
        <v>2449</v>
      </c>
      <c r="I69" t="e">
        <v>#REF!</v>
      </c>
      <c r="J69" t="s">
        <v>2450</v>
      </c>
      <c r="K69" t="s">
        <v>2451</v>
      </c>
      <c r="L69" t="s">
        <v>2452</v>
      </c>
      <c r="M69" t="s">
        <v>276</v>
      </c>
      <c r="N69" t="s">
        <v>408</v>
      </c>
      <c r="O69" t="s">
        <v>1145</v>
      </c>
      <c r="P69" t="s">
        <v>713</v>
      </c>
      <c r="Q69" t="s">
        <v>2453</v>
      </c>
      <c r="R69" t="s">
        <v>2144</v>
      </c>
      <c r="S69" t="s">
        <v>2454</v>
      </c>
      <c r="U69" t="s">
        <v>714</v>
      </c>
      <c r="V69" t="s">
        <v>715</v>
      </c>
      <c r="W69" t="e">
        <v>#REF!</v>
      </c>
      <c r="X69" s="10">
        <v>5414404796</v>
      </c>
      <c r="AA69" t="s">
        <v>716</v>
      </c>
      <c r="AB69" t="e">
        <v>#REF!</v>
      </c>
      <c r="AC69" t="e">
        <v>#REF!</v>
      </c>
      <c r="AD69" t="e">
        <v>#REF!</v>
      </c>
    </row>
    <row r="70" spans="1:30" x14ac:dyDescent="0.35">
      <c r="A70" t="s">
        <v>90</v>
      </c>
      <c r="B70">
        <v>1992</v>
      </c>
      <c r="C70" t="s">
        <v>431</v>
      </c>
      <c r="D70">
        <v>1980</v>
      </c>
      <c r="E70" t="s">
        <v>432</v>
      </c>
      <c r="F70" t="s">
        <v>273</v>
      </c>
      <c r="G70" t="s">
        <v>844</v>
      </c>
      <c r="H70" t="s">
        <v>2455</v>
      </c>
      <c r="I70" t="e">
        <v>#REF!</v>
      </c>
      <c r="J70" t="s">
        <v>2456</v>
      </c>
      <c r="K70" t="s">
        <v>2144</v>
      </c>
      <c r="L70" t="s">
        <v>2457</v>
      </c>
      <c r="M70" t="s">
        <v>276</v>
      </c>
      <c r="N70" t="s">
        <v>2458</v>
      </c>
      <c r="O70" t="s">
        <v>422</v>
      </c>
      <c r="P70" t="s">
        <v>718</v>
      </c>
      <c r="Q70" t="s">
        <v>2459</v>
      </c>
      <c r="R70" t="s">
        <v>2144</v>
      </c>
      <c r="S70" t="s">
        <v>2460</v>
      </c>
      <c r="U70" t="s">
        <v>719</v>
      </c>
      <c r="V70" t="s">
        <v>720</v>
      </c>
      <c r="W70" t="e">
        <v>#REF!</v>
      </c>
      <c r="X70" s="10">
        <v>5414963521</v>
      </c>
      <c r="AA70" t="s">
        <v>721</v>
      </c>
      <c r="AB70" t="e">
        <v>#REF!</v>
      </c>
      <c r="AC70" t="e">
        <v>#REF!</v>
      </c>
      <c r="AD70" t="e">
        <v>#REF!</v>
      </c>
    </row>
    <row r="71" spans="1:30" x14ac:dyDescent="0.35">
      <c r="A71" t="s">
        <v>91</v>
      </c>
      <c r="B71">
        <v>2054</v>
      </c>
      <c r="C71" t="s">
        <v>722</v>
      </c>
      <c r="D71">
        <v>2025</v>
      </c>
      <c r="E71" t="s">
        <v>319</v>
      </c>
      <c r="F71" t="s">
        <v>273</v>
      </c>
      <c r="G71" t="s">
        <v>464</v>
      </c>
      <c r="H71" t="s">
        <v>512</v>
      </c>
      <c r="I71" t="e">
        <v>#REF!</v>
      </c>
      <c r="J71" t="s">
        <v>2464</v>
      </c>
      <c r="K71" t="s">
        <v>2465</v>
      </c>
      <c r="L71" t="s">
        <v>2466</v>
      </c>
      <c r="M71" t="s">
        <v>276</v>
      </c>
      <c r="N71" t="s">
        <v>622</v>
      </c>
      <c r="O71" t="s">
        <v>282</v>
      </c>
      <c r="P71" t="s">
        <v>724</v>
      </c>
      <c r="Q71" t="s">
        <v>2467</v>
      </c>
      <c r="R71" t="s">
        <v>2468</v>
      </c>
      <c r="S71" t="s">
        <v>2469</v>
      </c>
      <c r="U71" t="s">
        <v>725</v>
      </c>
      <c r="V71" t="s">
        <v>726</v>
      </c>
      <c r="W71" t="e">
        <v>#REF!</v>
      </c>
      <c r="X71" s="10">
        <v>5414745703</v>
      </c>
      <c r="AA71" t="s">
        <v>727</v>
      </c>
      <c r="AB71" t="e">
        <v>#REF!</v>
      </c>
      <c r="AC71" t="e">
        <v>#REF!</v>
      </c>
      <c r="AD71" t="e">
        <v>#REF!</v>
      </c>
    </row>
    <row r="72" spans="1:30" x14ac:dyDescent="0.35">
      <c r="A72" t="s">
        <v>92</v>
      </c>
      <c r="B72">
        <v>2100</v>
      </c>
      <c r="C72" t="s">
        <v>471</v>
      </c>
      <c r="D72">
        <v>2098</v>
      </c>
      <c r="E72" t="s">
        <v>290</v>
      </c>
      <c r="F72" t="s">
        <v>273</v>
      </c>
      <c r="G72" t="s">
        <v>563</v>
      </c>
      <c r="H72" t="s">
        <v>473</v>
      </c>
      <c r="I72" t="e">
        <v>#REF!</v>
      </c>
      <c r="J72" t="s">
        <v>2470</v>
      </c>
      <c r="K72" t="s">
        <v>2144</v>
      </c>
      <c r="L72" t="s">
        <v>2471</v>
      </c>
      <c r="M72" t="s">
        <v>276</v>
      </c>
      <c r="N72" t="s">
        <v>1065</v>
      </c>
      <c r="O72" t="s">
        <v>1066</v>
      </c>
      <c r="P72" t="s">
        <v>728</v>
      </c>
      <c r="Q72" t="s">
        <v>2472</v>
      </c>
      <c r="R72" t="s">
        <v>2144</v>
      </c>
      <c r="S72" t="s">
        <v>2473</v>
      </c>
      <c r="T72" t="s">
        <v>1862</v>
      </c>
      <c r="U72" t="s">
        <v>729</v>
      </c>
      <c r="V72" t="s">
        <v>730</v>
      </c>
      <c r="W72" t="e">
        <v>#REF!</v>
      </c>
      <c r="X72" s="10">
        <v>5419674505</v>
      </c>
      <c r="AA72" t="s">
        <v>731</v>
      </c>
      <c r="AB72" t="e">
        <v>#REF!</v>
      </c>
      <c r="AC72" t="e">
        <v>#REF!</v>
      </c>
      <c r="AD72" t="e">
        <v>#REF!</v>
      </c>
    </row>
    <row r="73" spans="1:30" x14ac:dyDescent="0.35">
      <c r="A73" t="s">
        <v>93</v>
      </c>
      <c r="B73">
        <v>2183</v>
      </c>
      <c r="C73" t="s">
        <v>456</v>
      </c>
      <c r="D73">
        <v>2148</v>
      </c>
      <c r="E73" t="s">
        <v>457</v>
      </c>
      <c r="F73" t="s">
        <v>273</v>
      </c>
      <c r="G73" t="s">
        <v>399</v>
      </c>
      <c r="H73" t="s">
        <v>2474</v>
      </c>
      <c r="I73" t="e">
        <v>#REF!</v>
      </c>
      <c r="J73" t="s">
        <v>2475</v>
      </c>
      <c r="K73" t="s">
        <v>2144</v>
      </c>
      <c r="L73" t="s">
        <v>2476</v>
      </c>
      <c r="M73" t="s">
        <v>276</v>
      </c>
      <c r="N73" t="s">
        <v>2477</v>
      </c>
      <c r="O73" t="s">
        <v>2478</v>
      </c>
      <c r="P73" t="s">
        <v>734</v>
      </c>
      <c r="Q73" t="s">
        <v>2479</v>
      </c>
      <c r="R73" t="s">
        <v>2144</v>
      </c>
      <c r="S73" t="s">
        <v>2480</v>
      </c>
      <c r="T73" t="s">
        <v>1874</v>
      </c>
      <c r="U73" t="s">
        <v>1801</v>
      </c>
      <c r="V73" t="s">
        <v>726</v>
      </c>
      <c r="W73" t="e">
        <v>#REF!</v>
      </c>
      <c r="X73" s="10">
        <v>5032614567</v>
      </c>
      <c r="AA73" t="s">
        <v>1847</v>
      </c>
      <c r="AB73" t="e">
        <v>#REF!</v>
      </c>
      <c r="AC73" t="e">
        <v>#REF!</v>
      </c>
      <c r="AD73" t="e">
        <v>#REF!</v>
      </c>
    </row>
    <row r="74" spans="1:30" x14ac:dyDescent="0.35">
      <c r="A74" t="s">
        <v>94</v>
      </c>
      <c r="B74">
        <v>2014</v>
      </c>
      <c r="C74" t="s">
        <v>584</v>
      </c>
      <c r="D74">
        <v>2013</v>
      </c>
      <c r="E74" t="s">
        <v>585</v>
      </c>
      <c r="F74" t="s">
        <v>273</v>
      </c>
      <c r="G74" t="s">
        <v>2461</v>
      </c>
      <c r="H74" t="s">
        <v>2481</v>
      </c>
      <c r="I74" t="e">
        <v>#REF!</v>
      </c>
      <c r="J74" t="s">
        <v>2482</v>
      </c>
      <c r="K74" t="s">
        <v>2446</v>
      </c>
      <c r="L74" t="s">
        <v>2483</v>
      </c>
      <c r="M74" t="s">
        <v>276</v>
      </c>
      <c r="N74" t="s">
        <v>2484</v>
      </c>
      <c r="O74" t="s">
        <v>2485</v>
      </c>
      <c r="P74" t="s">
        <v>737</v>
      </c>
      <c r="Q74" t="s">
        <v>2482</v>
      </c>
      <c r="R74" t="s">
        <v>2365</v>
      </c>
      <c r="S74" t="s">
        <v>2486</v>
      </c>
      <c r="T74" t="s">
        <v>1862</v>
      </c>
      <c r="U74" t="s">
        <v>1820</v>
      </c>
      <c r="V74" t="s">
        <v>1821</v>
      </c>
      <c r="W74" t="e">
        <v>#REF!</v>
      </c>
      <c r="X74" s="10">
        <v>5415736151</v>
      </c>
      <c r="AA74" t="s">
        <v>1848</v>
      </c>
      <c r="AB74" t="e">
        <v>#REF!</v>
      </c>
      <c r="AC74" t="e">
        <v>#REF!</v>
      </c>
      <c r="AD74" t="e">
        <v>#REF!</v>
      </c>
    </row>
    <row r="75" spans="1:30" x14ac:dyDescent="0.35">
      <c r="A75" t="s">
        <v>95</v>
      </c>
      <c r="B75">
        <v>2015</v>
      </c>
      <c r="C75" t="s">
        <v>584</v>
      </c>
      <c r="D75">
        <v>2013</v>
      </c>
      <c r="E75" t="s">
        <v>585</v>
      </c>
      <c r="F75" t="s">
        <v>273</v>
      </c>
      <c r="G75" t="s">
        <v>739</v>
      </c>
      <c r="H75" t="s">
        <v>740</v>
      </c>
      <c r="I75" t="e">
        <v>#REF!</v>
      </c>
      <c r="J75" t="s">
        <v>2487</v>
      </c>
      <c r="K75" t="s">
        <v>2488</v>
      </c>
      <c r="L75" t="s">
        <v>2489</v>
      </c>
      <c r="M75" t="s">
        <v>276</v>
      </c>
      <c r="N75" t="s">
        <v>741</v>
      </c>
      <c r="O75" t="s">
        <v>742</v>
      </c>
      <c r="P75" t="s">
        <v>743</v>
      </c>
      <c r="Q75" t="s">
        <v>2487</v>
      </c>
      <c r="R75" t="s">
        <v>2490</v>
      </c>
      <c r="S75" t="s">
        <v>2491</v>
      </c>
      <c r="U75" t="s">
        <v>744</v>
      </c>
      <c r="V75" t="s">
        <v>459</v>
      </c>
      <c r="W75" t="e">
        <v>#REF!</v>
      </c>
      <c r="X75" s="10">
        <v>5415734824</v>
      </c>
      <c r="AA75" t="s">
        <v>745</v>
      </c>
      <c r="AB75" t="e">
        <v>#REF!</v>
      </c>
      <c r="AC75" t="e">
        <v>#REF!</v>
      </c>
      <c r="AD75" t="e">
        <v>#REF!</v>
      </c>
    </row>
    <row r="76" spans="1:30" x14ac:dyDescent="0.35">
      <c r="A76" t="s">
        <v>96</v>
      </c>
      <c r="B76">
        <v>2023</v>
      </c>
      <c r="C76" t="s">
        <v>584</v>
      </c>
      <c r="D76">
        <v>2013</v>
      </c>
      <c r="E76" t="s">
        <v>585</v>
      </c>
      <c r="F76" t="s">
        <v>273</v>
      </c>
      <c r="G76" t="s">
        <v>739</v>
      </c>
      <c r="H76" t="s">
        <v>740</v>
      </c>
      <c r="I76" t="e">
        <v>#REF!</v>
      </c>
      <c r="J76" t="s">
        <v>2487</v>
      </c>
      <c r="K76" t="s">
        <v>2488</v>
      </c>
      <c r="L76" t="s">
        <v>2489</v>
      </c>
      <c r="M76" t="s">
        <v>276</v>
      </c>
      <c r="N76" t="s">
        <v>741</v>
      </c>
      <c r="O76" t="s">
        <v>742</v>
      </c>
      <c r="P76" t="s">
        <v>743</v>
      </c>
      <c r="Q76" t="s">
        <v>2487</v>
      </c>
      <c r="R76" t="s">
        <v>2490</v>
      </c>
      <c r="S76" t="s">
        <v>2491</v>
      </c>
      <c r="U76" t="s">
        <v>744</v>
      </c>
      <c r="V76" t="s">
        <v>459</v>
      </c>
      <c r="W76" t="e">
        <v>#REF!</v>
      </c>
      <c r="X76" s="10">
        <v>5415734824</v>
      </c>
      <c r="AA76" t="s">
        <v>745</v>
      </c>
      <c r="AB76" t="e">
        <v>#REF!</v>
      </c>
      <c r="AC76" t="e">
        <v>#REF!</v>
      </c>
      <c r="AD76" t="e">
        <v>#REF!</v>
      </c>
    </row>
    <row r="77" spans="1:30" x14ac:dyDescent="0.35">
      <c r="A77" t="s">
        <v>97</v>
      </c>
      <c r="B77">
        <v>2114</v>
      </c>
      <c r="C77" t="s">
        <v>278</v>
      </c>
      <c r="D77">
        <v>2106</v>
      </c>
      <c r="E77" t="s">
        <v>279</v>
      </c>
      <c r="F77" t="s">
        <v>273</v>
      </c>
      <c r="G77" t="s">
        <v>746</v>
      </c>
      <c r="H77" t="s">
        <v>747</v>
      </c>
      <c r="I77" t="e">
        <v>#REF!</v>
      </c>
      <c r="J77" t="s">
        <v>2494</v>
      </c>
      <c r="K77" t="s">
        <v>2169</v>
      </c>
      <c r="L77" t="s">
        <v>2495</v>
      </c>
      <c r="M77" t="s">
        <v>276</v>
      </c>
      <c r="N77" t="s">
        <v>281</v>
      </c>
      <c r="O77" t="s">
        <v>282</v>
      </c>
      <c r="P77" t="s">
        <v>283</v>
      </c>
      <c r="Q77" t="s">
        <v>2162</v>
      </c>
      <c r="R77" t="s">
        <v>2150</v>
      </c>
      <c r="S77" t="s">
        <v>284</v>
      </c>
      <c r="U77" t="s">
        <v>306</v>
      </c>
      <c r="V77" t="s">
        <v>307</v>
      </c>
      <c r="W77" t="e">
        <v>#REF!</v>
      </c>
      <c r="X77" s="10">
        <v>5414734833</v>
      </c>
      <c r="AA77" t="s">
        <v>308</v>
      </c>
      <c r="AB77" t="e">
        <v>#REF!</v>
      </c>
      <c r="AC77" t="e">
        <v>#REF!</v>
      </c>
      <c r="AD77" t="e">
        <v>#REF!</v>
      </c>
    </row>
    <row r="78" spans="1:30" x14ac:dyDescent="0.35">
      <c r="A78" t="s">
        <v>98</v>
      </c>
      <c r="B78">
        <v>2099</v>
      </c>
      <c r="C78" t="s">
        <v>471</v>
      </c>
      <c r="D78">
        <v>2098</v>
      </c>
      <c r="E78" t="s">
        <v>290</v>
      </c>
      <c r="F78" t="s">
        <v>273</v>
      </c>
      <c r="G78" t="s">
        <v>504</v>
      </c>
      <c r="H78" t="s">
        <v>748</v>
      </c>
      <c r="I78" t="e">
        <v>#REF!</v>
      </c>
      <c r="J78" t="s">
        <v>2496</v>
      </c>
      <c r="K78" t="s">
        <v>2497</v>
      </c>
      <c r="L78" t="s">
        <v>749</v>
      </c>
      <c r="M78" t="s">
        <v>276</v>
      </c>
      <c r="N78" t="s">
        <v>504</v>
      </c>
      <c r="O78" t="s">
        <v>748</v>
      </c>
      <c r="P78" t="s">
        <v>750</v>
      </c>
      <c r="Q78" t="s">
        <v>2496</v>
      </c>
      <c r="R78" t="s">
        <v>2497</v>
      </c>
      <c r="S78" t="s">
        <v>749</v>
      </c>
      <c r="U78" t="s">
        <v>331</v>
      </c>
      <c r="V78" t="s">
        <v>751</v>
      </c>
      <c r="W78" t="e">
        <v>#REF!</v>
      </c>
      <c r="X78" s="10">
        <v>5419956626</v>
      </c>
      <c r="Y78" t="s">
        <v>752</v>
      </c>
      <c r="AA78" t="s">
        <v>753</v>
      </c>
      <c r="AB78" t="e">
        <v>#REF!</v>
      </c>
      <c r="AC78" t="e">
        <v>#REF!</v>
      </c>
      <c r="AD78" t="e">
        <v>#REF!</v>
      </c>
    </row>
    <row r="79" spans="1:30" x14ac:dyDescent="0.35">
      <c r="A79" t="s">
        <v>99</v>
      </c>
      <c r="B79">
        <v>2201</v>
      </c>
      <c r="C79" t="s">
        <v>350</v>
      </c>
      <c r="D79">
        <v>2200</v>
      </c>
      <c r="E79" t="s">
        <v>351</v>
      </c>
      <c r="F79" t="s">
        <v>273</v>
      </c>
      <c r="G79" t="s">
        <v>782</v>
      </c>
      <c r="H79" t="s">
        <v>2498</v>
      </c>
      <c r="I79" t="e">
        <v>#REF!</v>
      </c>
      <c r="J79" t="s">
        <v>2499</v>
      </c>
      <c r="K79" t="s">
        <v>2500</v>
      </c>
      <c r="L79" t="s">
        <v>2501</v>
      </c>
      <c r="M79" t="s">
        <v>276</v>
      </c>
      <c r="N79" t="s">
        <v>2388</v>
      </c>
      <c r="O79" t="s">
        <v>2389</v>
      </c>
      <c r="P79" t="s">
        <v>416</v>
      </c>
      <c r="Q79" t="s">
        <v>2390</v>
      </c>
      <c r="R79" t="s">
        <v>2144</v>
      </c>
      <c r="S79" t="s">
        <v>2502</v>
      </c>
      <c r="U79" t="s">
        <v>754</v>
      </c>
      <c r="V79" t="s">
        <v>755</v>
      </c>
      <c r="W79" t="e">
        <v>#REF!</v>
      </c>
      <c r="X79" s="10"/>
      <c r="AA79" t="s">
        <v>756</v>
      </c>
      <c r="AB79" t="e">
        <v>#REF!</v>
      </c>
      <c r="AC79" t="e">
        <v>#REF!</v>
      </c>
      <c r="AD79" t="e">
        <v>#REF!</v>
      </c>
    </row>
    <row r="80" spans="1:30" x14ac:dyDescent="0.35">
      <c r="A80" t="s">
        <v>100</v>
      </c>
      <c r="B80">
        <v>2206</v>
      </c>
      <c r="C80" t="s">
        <v>350</v>
      </c>
      <c r="D80">
        <v>2200</v>
      </c>
      <c r="E80" t="s">
        <v>351</v>
      </c>
      <c r="F80" t="s">
        <v>273</v>
      </c>
      <c r="G80" t="s">
        <v>757</v>
      </c>
      <c r="H80" t="s">
        <v>758</v>
      </c>
      <c r="I80" t="e">
        <v>#REF!</v>
      </c>
      <c r="J80" t="s">
        <v>2503</v>
      </c>
      <c r="K80" t="s">
        <v>2504</v>
      </c>
      <c r="L80" t="s">
        <v>2505</v>
      </c>
      <c r="M80" t="s">
        <v>276</v>
      </c>
      <c r="N80" t="s">
        <v>2506</v>
      </c>
      <c r="O80" t="s">
        <v>2389</v>
      </c>
      <c r="P80" t="s">
        <v>759</v>
      </c>
      <c r="Q80" t="s">
        <v>2507</v>
      </c>
      <c r="R80" t="s">
        <v>2508</v>
      </c>
      <c r="S80" t="s">
        <v>2509</v>
      </c>
      <c r="T80" t="s">
        <v>1875</v>
      </c>
      <c r="U80" t="s">
        <v>292</v>
      </c>
      <c r="V80" t="s">
        <v>760</v>
      </c>
      <c r="W80" t="e">
        <v>#REF!</v>
      </c>
      <c r="X80" s="10">
        <v>5416676067</v>
      </c>
      <c r="AA80" t="s">
        <v>1849</v>
      </c>
      <c r="AB80" t="e">
        <v>#REF!</v>
      </c>
      <c r="AC80" t="e">
        <v>#REF!</v>
      </c>
      <c r="AD80" t="e">
        <v>#REF!</v>
      </c>
    </row>
    <row r="81" spans="1:30" x14ac:dyDescent="0.35">
      <c r="A81" t="s">
        <v>101</v>
      </c>
      <c r="B81">
        <v>2239</v>
      </c>
      <c r="C81" t="s">
        <v>374</v>
      </c>
      <c r="D81">
        <v>2230</v>
      </c>
      <c r="E81" t="s">
        <v>339</v>
      </c>
      <c r="F81" t="s">
        <v>273</v>
      </c>
      <c r="G81" t="s">
        <v>717</v>
      </c>
      <c r="H81" t="s">
        <v>452</v>
      </c>
      <c r="I81" t="e">
        <v>#REF!</v>
      </c>
      <c r="J81" t="s">
        <v>2510</v>
      </c>
      <c r="K81" t="s">
        <v>2144</v>
      </c>
      <c r="L81" t="s">
        <v>761</v>
      </c>
      <c r="M81" t="s">
        <v>276</v>
      </c>
      <c r="N81" t="s">
        <v>762</v>
      </c>
      <c r="O81" t="s">
        <v>763</v>
      </c>
      <c r="P81" t="s">
        <v>764</v>
      </c>
      <c r="Q81" t="s">
        <v>2511</v>
      </c>
      <c r="R81" t="s">
        <v>2144</v>
      </c>
      <c r="S81" t="s">
        <v>765</v>
      </c>
      <c r="T81" t="s">
        <v>1874</v>
      </c>
      <c r="U81" t="s">
        <v>361</v>
      </c>
      <c r="V81" t="s">
        <v>1822</v>
      </c>
      <c r="W81" t="e">
        <v>#REF!</v>
      </c>
      <c r="X81" s="10">
        <v>5038441500</v>
      </c>
      <c r="AA81" t="s">
        <v>1850</v>
      </c>
      <c r="AB81" t="e">
        <v>#REF!</v>
      </c>
      <c r="AC81" t="e">
        <v>#REF!</v>
      </c>
      <c r="AD81" t="e">
        <v>#REF!</v>
      </c>
    </row>
    <row r="82" spans="1:30" x14ac:dyDescent="0.35">
      <c r="A82" t="s">
        <v>102</v>
      </c>
      <c r="B82">
        <v>2024</v>
      </c>
      <c r="C82" t="s">
        <v>766</v>
      </c>
      <c r="D82">
        <v>2223</v>
      </c>
      <c r="E82" t="s">
        <v>613</v>
      </c>
      <c r="F82" t="s">
        <v>273</v>
      </c>
      <c r="G82" t="s">
        <v>1788</v>
      </c>
      <c r="H82" t="s">
        <v>1789</v>
      </c>
      <c r="I82" t="e">
        <v>#REF!</v>
      </c>
      <c r="J82" t="s">
        <v>2512</v>
      </c>
      <c r="K82" t="s">
        <v>2144</v>
      </c>
      <c r="L82" t="s">
        <v>1792</v>
      </c>
      <c r="M82" t="s">
        <v>276</v>
      </c>
      <c r="N82" t="s">
        <v>320</v>
      </c>
      <c r="O82" t="s">
        <v>2513</v>
      </c>
      <c r="P82" t="s">
        <v>767</v>
      </c>
      <c r="Q82" t="s">
        <v>2514</v>
      </c>
      <c r="R82" t="s">
        <v>2144</v>
      </c>
      <c r="S82" t="s">
        <v>2515</v>
      </c>
      <c r="U82" t="s">
        <v>768</v>
      </c>
      <c r="V82" t="s">
        <v>769</v>
      </c>
      <c r="W82" t="e">
        <v>#REF!</v>
      </c>
      <c r="X82" s="10">
        <v>5413875010</v>
      </c>
      <c r="AA82" t="s">
        <v>770</v>
      </c>
      <c r="AB82" t="e">
        <v>#REF!</v>
      </c>
      <c r="AC82" t="e">
        <v>#REF!</v>
      </c>
      <c r="AD82" t="e">
        <v>#REF!</v>
      </c>
    </row>
    <row r="83" spans="1:30" x14ac:dyDescent="0.35">
      <c r="A83" t="s">
        <v>103</v>
      </c>
      <c r="B83">
        <v>1895</v>
      </c>
      <c r="C83" t="s">
        <v>355</v>
      </c>
      <c r="D83">
        <v>2106</v>
      </c>
      <c r="E83" t="s">
        <v>279</v>
      </c>
      <c r="F83" t="s">
        <v>273</v>
      </c>
      <c r="G83" t="s">
        <v>452</v>
      </c>
      <c r="H83" t="s">
        <v>771</v>
      </c>
      <c r="I83" t="e">
        <v>#REF!</v>
      </c>
      <c r="J83" t="s">
        <v>2516</v>
      </c>
      <c r="K83" t="s">
        <v>2144</v>
      </c>
      <c r="L83" t="s">
        <v>772</v>
      </c>
      <c r="M83" t="s">
        <v>276</v>
      </c>
      <c r="N83" t="s">
        <v>281</v>
      </c>
      <c r="O83" t="s">
        <v>282</v>
      </c>
      <c r="P83" t="s">
        <v>283</v>
      </c>
      <c r="Q83" t="s">
        <v>2162</v>
      </c>
      <c r="R83" t="s">
        <v>2150</v>
      </c>
      <c r="S83" t="s">
        <v>284</v>
      </c>
      <c r="U83" t="s">
        <v>315</v>
      </c>
      <c r="V83" t="s">
        <v>316</v>
      </c>
      <c r="W83" t="e">
        <v>#REF!</v>
      </c>
      <c r="X83" s="10">
        <v>5414734826</v>
      </c>
      <c r="AA83" t="s">
        <v>317</v>
      </c>
      <c r="AB83" t="e">
        <v>#REF!</v>
      </c>
      <c r="AC83" t="e">
        <v>#REF!</v>
      </c>
      <c r="AD83" t="e">
        <v>#REF!</v>
      </c>
    </row>
    <row r="84" spans="1:30" x14ac:dyDescent="0.35">
      <c r="A84" t="s">
        <v>104</v>
      </c>
      <c r="B84">
        <v>2215</v>
      </c>
      <c r="C84" t="s">
        <v>531</v>
      </c>
      <c r="D84">
        <v>2200</v>
      </c>
      <c r="E84" t="s">
        <v>351</v>
      </c>
      <c r="F84" t="s">
        <v>273</v>
      </c>
      <c r="G84" t="s">
        <v>520</v>
      </c>
      <c r="H84" t="s">
        <v>2517</v>
      </c>
      <c r="I84" t="e">
        <v>#REF!</v>
      </c>
      <c r="J84" t="s">
        <v>2518</v>
      </c>
      <c r="K84" t="s">
        <v>2144</v>
      </c>
      <c r="L84" t="s">
        <v>2519</v>
      </c>
      <c r="M84" t="s">
        <v>276</v>
      </c>
      <c r="N84" t="s">
        <v>414</v>
      </c>
      <c r="O84" t="s">
        <v>415</v>
      </c>
      <c r="P84" t="s">
        <v>416</v>
      </c>
      <c r="Q84" t="s">
        <v>2330</v>
      </c>
      <c r="R84" t="s">
        <v>2144</v>
      </c>
      <c r="S84" t="s">
        <v>635</v>
      </c>
      <c r="U84" t="s">
        <v>773</v>
      </c>
      <c r="V84" t="s">
        <v>774</v>
      </c>
      <c r="W84" t="e">
        <v>#REF!</v>
      </c>
      <c r="X84" s="10">
        <v>5415345331</v>
      </c>
      <c r="AA84" t="s">
        <v>775</v>
      </c>
      <c r="AB84" t="e">
        <v>#REF!</v>
      </c>
      <c r="AC84" t="e">
        <v>#REF!</v>
      </c>
      <c r="AD84" t="e">
        <v>#REF!</v>
      </c>
    </row>
    <row r="85" spans="1:30" x14ac:dyDescent="0.35">
      <c r="A85" t="s">
        <v>105</v>
      </c>
      <c r="B85">
        <v>3997</v>
      </c>
      <c r="C85" t="s">
        <v>776</v>
      </c>
      <c r="D85">
        <v>2200</v>
      </c>
      <c r="E85" t="s">
        <v>351</v>
      </c>
      <c r="F85" t="s">
        <v>273</v>
      </c>
      <c r="G85" t="s">
        <v>280</v>
      </c>
      <c r="H85" t="s">
        <v>2520</v>
      </c>
      <c r="I85" t="e">
        <v>#REF!</v>
      </c>
      <c r="J85" t="s">
        <v>2521</v>
      </c>
      <c r="K85" t="s">
        <v>2522</v>
      </c>
      <c r="L85" t="s">
        <v>2523</v>
      </c>
      <c r="M85" t="s">
        <v>276</v>
      </c>
      <c r="N85" t="s">
        <v>2388</v>
      </c>
      <c r="O85" t="s">
        <v>2389</v>
      </c>
      <c r="P85" t="s">
        <v>416</v>
      </c>
      <c r="Q85" t="s">
        <v>2390</v>
      </c>
      <c r="R85" t="s">
        <v>2144</v>
      </c>
      <c r="S85" t="s">
        <v>2391</v>
      </c>
      <c r="T85" t="s">
        <v>1876</v>
      </c>
      <c r="U85" t="s">
        <v>754</v>
      </c>
      <c r="V85" t="s">
        <v>755</v>
      </c>
      <c r="W85" t="e">
        <v>#REF!</v>
      </c>
      <c r="X85" s="10">
        <v>5419663103</v>
      </c>
      <c r="AA85" t="s">
        <v>756</v>
      </c>
      <c r="AB85" t="e">
        <v>#REF!</v>
      </c>
      <c r="AC85" t="e">
        <v>#REF!</v>
      </c>
      <c r="AD85" t="e">
        <v>#REF!</v>
      </c>
    </row>
    <row r="86" spans="1:30" x14ac:dyDescent="0.35">
      <c r="A86" t="s">
        <v>106</v>
      </c>
      <c r="B86">
        <v>2053</v>
      </c>
      <c r="C86" t="s">
        <v>329</v>
      </c>
      <c r="D86">
        <v>2049</v>
      </c>
      <c r="E86" t="s">
        <v>330</v>
      </c>
      <c r="F86" t="s">
        <v>273</v>
      </c>
      <c r="G86" t="s">
        <v>1316</v>
      </c>
      <c r="H86" t="s">
        <v>2524</v>
      </c>
      <c r="I86" t="e">
        <v>#REF!</v>
      </c>
      <c r="J86" t="s">
        <v>2525</v>
      </c>
      <c r="K86" t="s">
        <v>2178</v>
      </c>
      <c r="L86" t="s">
        <v>2526</v>
      </c>
      <c r="M86" t="s">
        <v>276</v>
      </c>
      <c r="N86" t="s">
        <v>2527</v>
      </c>
      <c r="O86" t="s">
        <v>2528</v>
      </c>
      <c r="P86" t="s">
        <v>334</v>
      </c>
      <c r="Q86" t="s">
        <v>2525</v>
      </c>
      <c r="R86" t="s">
        <v>2529</v>
      </c>
      <c r="S86" t="s">
        <v>2530</v>
      </c>
      <c r="U86" t="s">
        <v>779</v>
      </c>
      <c r="V86" t="s">
        <v>780</v>
      </c>
      <c r="W86" t="e">
        <v>#REF!</v>
      </c>
      <c r="X86" s="10"/>
      <c r="AA86" t="s">
        <v>781</v>
      </c>
      <c r="AB86" t="e">
        <v>#REF!</v>
      </c>
      <c r="AC86" t="e">
        <v>#REF!</v>
      </c>
      <c r="AD86" t="e">
        <v>#REF!</v>
      </c>
    </row>
    <row r="87" spans="1:30" x14ac:dyDescent="0.35">
      <c r="A87" t="s">
        <v>107</v>
      </c>
      <c r="B87">
        <v>2140</v>
      </c>
      <c r="C87" t="s">
        <v>447</v>
      </c>
      <c r="D87">
        <v>2117</v>
      </c>
      <c r="E87" t="s">
        <v>296</v>
      </c>
      <c r="F87" t="s">
        <v>273</v>
      </c>
      <c r="G87" t="s">
        <v>782</v>
      </c>
      <c r="H87" t="s">
        <v>783</v>
      </c>
      <c r="I87" t="e">
        <v>#REF!</v>
      </c>
      <c r="J87" t="s">
        <v>2532</v>
      </c>
      <c r="K87" t="s">
        <v>2533</v>
      </c>
      <c r="L87" t="s">
        <v>784</v>
      </c>
      <c r="M87" t="s">
        <v>276</v>
      </c>
      <c r="N87" t="s">
        <v>2534</v>
      </c>
      <c r="O87" t="s">
        <v>2535</v>
      </c>
      <c r="P87" t="s">
        <v>786</v>
      </c>
      <c r="Q87" t="s">
        <v>2532</v>
      </c>
      <c r="R87" t="s">
        <v>2536</v>
      </c>
      <c r="S87" t="s">
        <v>2537</v>
      </c>
      <c r="U87" t="s">
        <v>787</v>
      </c>
      <c r="V87" t="s">
        <v>788</v>
      </c>
      <c r="W87" t="e">
        <v>#REF!</v>
      </c>
      <c r="X87" s="10">
        <v>5413273337</v>
      </c>
      <c r="Y87" t="s">
        <v>363</v>
      </c>
      <c r="AA87" t="s">
        <v>789</v>
      </c>
      <c r="AB87" t="e">
        <v>#REF!</v>
      </c>
      <c r="AC87" t="e">
        <v>#REF!</v>
      </c>
      <c r="AD87" t="e">
        <v>#REF!</v>
      </c>
    </row>
    <row r="88" spans="1:30" x14ac:dyDescent="0.35">
      <c r="A88" t="s">
        <v>108</v>
      </c>
      <c r="B88">
        <v>1934</v>
      </c>
      <c r="C88" t="s">
        <v>338</v>
      </c>
      <c r="D88">
        <v>2230</v>
      </c>
      <c r="E88" t="s">
        <v>339</v>
      </c>
      <c r="F88" t="s">
        <v>273</v>
      </c>
      <c r="G88" t="s">
        <v>2413</v>
      </c>
      <c r="H88" t="s">
        <v>2538</v>
      </c>
      <c r="I88" t="e">
        <v>#REF!</v>
      </c>
      <c r="J88" t="s">
        <v>2539</v>
      </c>
      <c r="K88" t="s">
        <v>2540</v>
      </c>
      <c r="L88" t="s">
        <v>2541</v>
      </c>
      <c r="M88" t="s">
        <v>276</v>
      </c>
      <c r="N88" t="s">
        <v>791</v>
      </c>
      <c r="O88" t="s">
        <v>792</v>
      </c>
      <c r="P88" t="s">
        <v>793</v>
      </c>
      <c r="Q88" t="s">
        <v>2539</v>
      </c>
      <c r="R88" t="s">
        <v>2542</v>
      </c>
      <c r="S88" t="s">
        <v>794</v>
      </c>
      <c r="U88" t="s">
        <v>795</v>
      </c>
      <c r="V88" t="s">
        <v>796</v>
      </c>
      <c r="W88" t="e">
        <v>#REF!</v>
      </c>
      <c r="X88" s="10">
        <v>5037552451</v>
      </c>
      <c r="Y88" t="s">
        <v>797</v>
      </c>
      <c r="AA88" t="s">
        <v>798</v>
      </c>
      <c r="AB88" t="e">
        <v>#REF!</v>
      </c>
      <c r="AC88" t="e">
        <v>#REF!</v>
      </c>
      <c r="AD88" t="e">
        <v>#REF!</v>
      </c>
    </row>
    <row r="89" spans="1:30" x14ac:dyDescent="0.35">
      <c r="A89" t="s">
        <v>109</v>
      </c>
      <c r="B89">
        <v>2008</v>
      </c>
      <c r="C89" t="s">
        <v>578</v>
      </c>
      <c r="D89">
        <v>2007</v>
      </c>
      <c r="E89" t="s">
        <v>579</v>
      </c>
      <c r="F89" t="s">
        <v>273</v>
      </c>
      <c r="G89" t="s">
        <v>2543</v>
      </c>
      <c r="H89" t="s">
        <v>2544</v>
      </c>
      <c r="I89" t="e">
        <v>#REF!</v>
      </c>
      <c r="J89" t="s">
        <v>2545</v>
      </c>
      <c r="K89" t="s">
        <v>2546</v>
      </c>
      <c r="L89" t="s">
        <v>2547</v>
      </c>
      <c r="M89" t="s">
        <v>276</v>
      </c>
      <c r="N89" t="s">
        <v>2548</v>
      </c>
      <c r="O89" t="s">
        <v>2549</v>
      </c>
      <c r="P89" t="s">
        <v>800</v>
      </c>
      <c r="Q89" t="s">
        <v>2550</v>
      </c>
      <c r="R89" t="s">
        <v>2551</v>
      </c>
      <c r="S89" t="s">
        <v>2552</v>
      </c>
      <c r="U89" t="s">
        <v>801</v>
      </c>
      <c r="V89" t="s">
        <v>802</v>
      </c>
      <c r="W89" t="e">
        <v>#REF!</v>
      </c>
      <c r="X89" s="10">
        <v>5415751280</v>
      </c>
      <c r="Y89" t="s">
        <v>803</v>
      </c>
      <c r="AA89" t="s">
        <v>804</v>
      </c>
      <c r="AB89" t="e">
        <v>#REF!</v>
      </c>
      <c r="AC89" t="e">
        <v>#REF!</v>
      </c>
      <c r="AD89" t="e">
        <v>#REF!</v>
      </c>
    </row>
    <row r="90" spans="1:30" x14ac:dyDescent="0.35">
      <c r="A90" t="s">
        <v>110</v>
      </c>
      <c r="B90">
        <v>2107</v>
      </c>
      <c r="C90" t="s">
        <v>278</v>
      </c>
      <c r="D90">
        <v>2106</v>
      </c>
      <c r="E90" t="s">
        <v>279</v>
      </c>
      <c r="F90" t="s">
        <v>273</v>
      </c>
      <c r="G90" t="s">
        <v>805</v>
      </c>
      <c r="H90" t="s">
        <v>806</v>
      </c>
      <c r="I90" t="e">
        <v>#REF!</v>
      </c>
      <c r="J90" t="s">
        <v>2162</v>
      </c>
      <c r="K90" t="s">
        <v>2169</v>
      </c>
      <c r="L90" t="s">
        <v>2553</v>
      </c>
      <c r="M90" t="s">
        <v>276</v>
      </c>
      <c r="N90" t="s">
        <v>281</v>
      </c>
      <c r="O90" t="s">
        <v>282</v>
      </c>
      <c r="P90" t="s">
        <v>283</v>
      </c>
      <c r="Q90" t="s">
        <v>2162</v>
      </c>
      <c r="R90" t="s">
        <v>2150</v>
      </c>
      <c r="S90" t="s">
        <v>284</v>
      </c>
      <c r="U90" t="s">
        <v>1823</v>
      </c>
      <c r="V90" t="s">
        <v>1824</v>
      </c>
      <c r="W90" t="e">
        <v>#REF!</v>
      </c>
      <c r="X90" s="10">
        <v>5415862213</v>
      </c>
      <c r="Y90">
        <v>4977</v>
      </c>
      <c r="AA90" t="s">
        <v>1851</v>
      </c>
      <c r="AB90" t="e">
        <v>#REF!</v>
      </c>
      <c r="AC90" t="e">
        <v>#REF!</v>
      </c>
      <c r="AD90" t="e">
        <v>#REF!</v>
      </c>
    </row>
    <row r="91" spans="1:30" x14ac:dyDescent="0.35">
      <c r="A91" t="s">
        <v>111</v>
      </c>
      <c r="B91">
        <v>2219</v>
      </c>
      <c r="C91" t="s">
        <v>643</v>
      </c>
      <c r="D91">
        <v>2218</v>
      </c>
      <c r="E91" t="s">
        <v>644</v>
      </c>
      <c r="F91" t="s">
        <v>273</v>
      </c>
      <c r="G91" t="s">
        <v>808</v>
      </c>
      <c r="H91" t="s">
        <v>809</v>
      </c>
      <c r="I91" t="e">
        <v>#REF!</v>
      </c>
      <c r="J91" t="s">
        <v>2554</v>
      </c>
      <c r="K91" t="s">
        <v>2144</v>
      </c>
      <c r="L91" t="s">
        <v>810</v>
      </c>
      <c r="M91" t="s">
        <v>276</v>
      </c>
      <c r="N91" t="s">
        <v>2399</v>
      </c>
      <c r="O91" t="s">
        <v>2400</v>
      </c>
      <c r="P91" t="s">
        <v>647</v>
      </c>
      <c r="Q91" t="s">
        <v>2401</v>
      </c>
      <c r="R91" t="s">
        <v>2402</v>
      </c>
      <c r="S91" t="s">
        <v>2403</v>
      </c>
      <c r="U91" t="s">
        <v>648</v>
      </c>
      <c r="V91" t="s">
        <v>649</v>
      </c>
      <c r="W91" t="e">
        <v>#REF!</v>
      </c>
      <c r="X91" s="10">
        <v>5414260147</v>
      </c>
      <c r="Y91" t="s">
        <v>650</v>
      </c>
      <c r="AA91" t="s">
        <v>651</v>
      </c>
      <c r="AB91" t="e">
        <v>#REF!</v>
      </c>
      <c r="AC91" t="e">
        <v>#REF!</v>
      </c>
      <c r="AD91" t="e">
        <v>#REF!</v>
      </c>
    </row>
    <row r="92" spans="1:30" x14ac:dyDescent="0.35">
      <c r="A92" t="s">
        <v>112</v>
      </c>
      <c r="B92">
        <v>2091</v>
      </c>
      <c r="C92" t="s">
        <v>390</v>
      </c>
      <c r="D92">
        <v>2064</v>
      </c>
      <c r="E92" t="s">
        <v>391</v>
      </c>
      <c r="F92" t="s">
        <v>273</v>
      </c>
      <c r="G92" t="s">
        <v>930</v>
      </c>
      <c r="H92" t="s">
        <v>931</v>
      </c>
      <c r="I92" t="e">
        <v>#REF!</v>
      </c>
      <c r="J92" t="s">
        <v>2555</v>
      </c>
      <c r="K92" t="s">
        <v>2144</v>
      </c>
      <c r="L92" t="s">
        <v>2556</v>
      </c>
      <c r="M92" t="s">
        <v>276</v>
      </c>
      <c r="N92" t="s">
        <v>292</v>
      </c>
      <c r="O92" t="s">
        <v>811</v>
      </c>
      <c r="P92" t="s">
        <v>812</v>
      </c>
      <c r="Q92" t="s">
        <v>2555</v>
      </c>
      <c r="R92" t="s">
        <v>2557</v>
      </c>
      <c r="S92" t="s">
        <v>813</v>
      </c>
      <c r="U92" t="s">
        <v>814</v>
      </c>
      <c r="V92" t="s">
        <v>815</v>
      </c>
      <c r="W92" t="e">
        <v>#REF!</v>
      </c>
      <c r="X92" s="10">
        <v>5419986311</v>
      </c>
      <c r="AA92" t="s">
        <v>816</v>
      </c>
      <c r="AB92" t="e">
        <v>#REF!</v>
      </c>
      <c r="AC92" t="e">
        <v>#REF!</v>
      </c>
      <c r="AD92" t="e">
        <v>#REF!</v>
      </c>
    </row>
    <row r="93" spans="1:30" x14ac:dyDescent="0.35">
      <c r="A93" t="s">
        <v>113</v>
      </c>
      <c r="B93">
        <v>2109</v>
      </c>
      <c r="C93" t="s">
        <v>278</v>
      </c>
      <c r="D93">
        <v>2106</v>
      </c>
      <c r="E93" t="s">
        <v>279</v>
      </c>
      <c r="F93" t="s">
        <v>273</v>
      </c>
      <c r="G93" t="s">
        <v>356</v>
      </c>
      <c r="H93" t="s">
        <v>1783</v>
      </c>
      <c r="I93" t="e">
        <v>#REF!</v>
      </c>
      <c r="J93" t="s">
        <v>2162</v>
      </c>
      <c r="K93" t="s">
        <v>2169</v>
      </c>
      <c r="L93" t="s">
        <v>2558</v>
      </c>
      <c r="M93" t="s">
        <v>276</v>
      </c>
      <c r="N93" t="s">
        <v>281</v>
      </c>
      <c r="O93" t="s">
        <v>282</v>
      </c>
      <c r="P93" t="s">
        <v>283</v>
      </c>
      <c r="Q93" t="s">
        <v>2149</v>
      </c>
      <c r="R93" t="s">
        <v>2150</v>
      </c>
      <c r="S93" t="s">
        <v>284</v>
      </c>
      <c r="T93" t="s">
        <v>1863</v>
      </c>
      <c r="U93" t="s">
        <v>1825</v>
      </c>
      <c r="V93" t="s">
        <v>1808</v>
      </c>
      <c r="W93" t="e">
        <v>#REF!</v>
      </c>
      <c r="X93" s="10">
        <v>5414734856</v>
      </c>
      <c r="AA93" t="s">
        <v>1837</v>
      </c>
      <c r="AB93" t="e">
        <v>#REF!</v>
      </c>
      <c r="AC93" t="e">
        <v>#REF!</v>
      </c>
      <c r="AD93" t="e">
        <v>#REF!</v>
      </c>
    </row>
    <row r="94" spans="1:30" x14ac:dyDescent="0.35">
      <c r="A94" t="s">
        <v>114</v>
      </c>
      <c r="B94">
        <v>2057</v>
      </c>
      <c r="C94" t="s">
        <v>817</v>
      </c>
      <c r="D94">
        <v>2025</v>
      </c>
      <c r="E94" t="s">
        <v>319</v>
      </c>
      <c r="F94" t="s">
        <v>273</v>
      </c>
      <c r="G94" t="s">
        <v>818</v>
      </c>
      <c r="H94" t="s">
        <v>2559</v>
      </c>
      <c r="I94" t="e">
        <v>#REF!</v>
      </c>
      <c r="J94" t="s">
        <v>2560</v>
      </c>
      <c r="K94" t="s">
        <v>2561</v>
      </c>
      <c r="L94" t="s">
        <v>819</v>
      </c>
      <c r="M94" t="s">
        <v>276</v>
      </c>
      <c r="N94" t="s">
        <v>2562</v>
      </c>
      <c r="O94" t="s">
        <v>2563</v>
      </c>
      <c r="P94" t="s">
        <v>821</v>
      </c>
      <c r="Q94" t="s">
        <v>2564</v>
      </c>
      <c r="R94" t="s">
        <v>2565</v>
      </c>
      <c r="S94" t="s">
        <v>2566</v>
      </c>
      <c r="U94" t="s">
        <v>822</v>
      </c>
      <c r="V94" t="s">
        <v>823</v>
      </c>
      <c r="W94" t="e">
        <v>#REF!</v>
      </c>
      <c r="X94" s="10">
        <v>5418518729</v>
      </c>
      <c r="AA94" t="s">
        <v>824</v>
      </c>
      <c r="AB94" t="e">
        <v>#REF!</v>
      </c>
      <c r="AC94" t="e">
        <v>#REF!</v>
      </c>
      <c r="AD94" t="e">
        <v>#REF!</v>
      </c>
    </row>
    <row r="95" spans="1:30" x14ac:dyDescent="0.35">
      <c r="A95" t="s">
        <v>115</v>
      </c>
      <c r="B95">
        <v>2056</v>
      </c>
      <c r="C95" t="s">
        <v>817</v>
      </c>
      <c r="D95">
        <v>2025</v>
      </c>
      <c r="E95" t="s">
        <v>319</v>
      </c>
      <c r="F95" t="s">
        <v>273</v>
      </c>
      <c r="G95" t="s">
        <v>2567</v>
      </c>
      <c r="H95" t="s">
        <v>1787</v>
      </c>
      <c r="I95" t="e">
        <v>#REF!</v>
      </c>
      <c r="J95" t="s">
        <v>2568</v>
      </c>
      <c r="K95" t="s">
        <v>2144</v>
      </c>
      <c r="L95" t="s">
        <v>2569</v>
      </c>
      <c r="M95" t="s">
        <v>276</v>
      </c>
      <c r="N95" t="s">
        <v>801</v>
      </c>
      <c r="O95" t="s">
        <v>1002</v>
      </c>
      <c r="P95" t="s">
        <v>825</v>
      </c>
      <c r="Q95" t="s">
        <v>2570</v>
      </c>
      <c r="R95" t="s">
        <v>2144</v>
      </c>
      <c r="S95" t="s">
        <v>2571</v>
      </c>
      <c r="U95" t="s">
        <v>335</v>
      </c>
      <c r="V95" t="s">
        <v>826</v>
      </c>
      <c r="W95" t="e">
        <v>#REF!</v>
      </c>
      <c r="X95" s="10">
        <v>5418834703</v>
      </c>
      <c r="AA95" t="s">
        <v>827</v>
      </c>
      <c r="AB95" t="e">
        <v>#REF!</v>
      </c>
      <c r="AC95" t="e">
        <v>#REF!</v>
      </c>
      <c r="AD95" t="e">
        <v>#REF!</v>
      </c>
    </row>
    <row r="96" spans="1:30" x14ac:dyDescent="0.35">
      <c r="A96" t="s">
        <v>116</v>
      </c>
      <c r="B96">
        <v>2262</v>
      </c>
      <c r="C96" t="s">
        <v>338</v>
      </c>
      <c r="D96">
        <v>2230</v>
      </c>
      <c r="E96" t="s">
        <v>339</v>
      </c>
      <c r="F96" t="s">
        <v>273</v>
      </c>
      <c r="G96" t="s">
        <v>914</v>
      </c>
      <c r="H96" t="s">
        <v>2572</v>
      </c>
      <c r="I96" t="e">
        <v>#REF!</v>
      </c>
      <c r="J96" t="s">
        <v>2573</v>
      </c>
      <c r="K96" t="s">
        <v>2574</v>
      </c>
      <c r="L96" t="s">
        <v>2575</v>
      </c>
      <c r="M96" t="s">
        <v>276</v>
      </c>
      <c r="N96" t="s">
        <v>2576</v>
      </c>
      <c r="O96" t="s">
        <v>2297</v>
      </c>
      <c r="P96" t="s">
        <v>828</v>
      </c>
      <c r="Q96" t="s">
        <v>2573</v>
      </c>
      <c r="R96" t="s">
        <v>2577</v>
      </c>
      <c r="S96" t="s">
        <v>2578</v>
      </c>
      <c r="U96" t="s">
        <v>829</v>
      </c>
      <c r="V96" t="s">
        <v>830</v>
      </c>
      <c r="W96" t="e">
        <v>#REF!</v>
      </c>
      <c r="X96" s="10">
        <v>5034585993</v>
      </c>
      <c r="Y96" t="s">
        <v>831</v>
      </c>
      <c r="AA96" t="s">
        <v>832</v>
      </c>
      <c r="AB96" t="e">
        <v>#REF!</v>
      </c>
      <c r="AC96" t="e">
        <v>#REF!</v>
      </c>
      <c r="AD96" t="e">
        <v>#REF!</v>
      </c>
    </row>
    <row r="97" spans="1:30" x14ac:dyDescent="0.35">
      <c r="A97" t="s">
        <v>117</v>
      </c>
      <c r="B97">
        <v>2212</v>
      </c>
      <c r="C97" t="s">
        <v>531</v>
      </c>
      <c r="D97">
        <v>2200</v>
      </c>
      <c r="E97" t="s">
        <v>351</v>
      </c>
      <c r="F97" t="s">
        <v>273</v>
      </c>
      <c r="G97" t="s">
        <v>833</v>
      </c>
      <c r="H97" t="s">
        <v>834</v>
      </c>
      <c r="I97" t="e">
        <v>#REF!</v>
      </c>
      <c r="J97" t="s">
        <v>2579</v>
      </c>
      <c r="K97" t="s">
        <v>2144</v>
      </c>
      <c r="L97" t="s">
        <v>2580</v>
      </c>
      <c r="M97" t="s">
        <v>276</v>
      </c>
      <c r="N97" t="s">
        <v>645</v>
      </c>
      <c r="O97" t="s">
        <v>646</v>
      </c>
      <c r="P97" t="s">
        <v>836</v>
      </c>
      <c r="Q97" t="s">
        <v>2581</v>
      </c>
      <c r="R97" t="s">
        <v>2144</v>
      </c>
      <c r="S97" t="s">
        <v>2582</v>
      </c>
      <c r="U97" t="s">
        <v>392</v>
      </c>
      <c r="V97" t="s">
        <v>837</v>
      </c>
      <c r="W97" t="e">
        <v>#REF!</v>
      </c>
      <c r="X97" s="10">
        <v>5416633206</v>
      </c>
      <c r="AA97" t="s">
        <v>838</v>
      </c>
      <c r="AB97" t="e">
        <v>#REF!</v>
      </c>
      <c r="AC97" t="e">
        <v>#REF!</v>
      </c>
      <c r="AD97" t="e">
        <v>#REF!</v>
      </c>
    </row>
    <row r="98" spans="1:30" x14ac:dyDescent="0.35">
      <c r="A98" t="s">
        <v>118</v>
      </c>
      <c r="B98">
        <v>2059</v>
      </c>
      <c r="C98" t="s">
        <v>271</v>
      </c>
      <c r="D98">
        <v>2058</v>
      </c>
      <c r="E98" t="s">
        <v>272</v>
      </c>
      <c r="F98" t="s">
        <v>273</v>
      </c>
      <c r="G98" t="s">
        <v>539</v>
      </c>
      <c r="H98" t="s">
        <v>1124</v>
      </c>
      <c r="I98" t="e">
        <v>#REF!</v>
      </c>
      <c r="J98" t="s">
        <v>2583</v>
      </c>
      <c r="K98" t="s">
        <v>2144</v>
      </c>
      <c r="L98" t="s">
        <v>2584</v>
      </c>
      <c r="M98" t="s">
        <v>276</v>
      </c>
      <c r="N98" t="s">
        <v>2585</v>
      </c>
      <c r="O98" t="s">
        <v>2586</v>
      </c>
      <c r="P98" t="s">
        <v>840</v>
      </c>
      <c r="Q98" t="s">
        <v>2587</v>
      </c>
      <c r="R98" t="s">
        <v>2144</v>
      </c>
      <c r="S98" t="s">
        <v>2588</v>
      </c>
      <c r="U98" t="s">
        <v>841</v>
      </c>
      <c r="V98" t="s">
        <v>842</v>
      </c>
      <c r="W98" t="e">
        <v>#REF!</v>
      </c>
      <c r="X98" s="10">
        <v>5419473347</v>
      </c>
      <c r="AA98" t="s">
        <v>843</v>
      </c>
      <c r="AB98" t="e">
        <v>#REF!</v>
      </c>
      <c r="AC98" t="e">
        <v>#REF!</v>
      </c>
      <c r="AD98" t="e">
        <v>#REF!</v>
      </c>
    </row>
    <row r="99" spans="1:30" x14ac:dyDescent="0.35">
      <c r="A99" t="s">
        <v>119</v>
      </c>
      <c r="B99">
        <v>1923</v>
      </c>
      <c r="C99" t="s">
        <v>440</v>
      </c>
      <c r="D99">
        <v>1902</v>
      </c>
      <c r="E99" t="s">
        <v>441</v>
      </c>
      <c r="F99" t="s">
        <v>273</v>
      </c>
      <c r="G99" t="s">
        <v>285</v>
      </c>
      <c r="H99" t="s">
        <v>2589</v>
      </c>
      <c r="I99" t="e">
        <v>#REF!</v>
      </c>
      <c r="J99" t="s">
        <v>2590</v>
      </c>
      <c r="K99" t="s">
        <v>2144</v>
      </c>
      <c r="L99" t="s">
        <v>2591</v>
      </c>
      <c r="M99" t="s">
        <v>276</v>
      </c>
      <c r="N99" t="s">
        <v>452</v>
      </c>
      <c r="O99" t="s">
        <v>2592</v>
      </c>
      <c r="P99" t="s">
        <v>845</v>
      </c>
      <c r="Q99" t="s">
        <v>2593</v>
      </c>
      <c r="R99" t="s">
        <v>2144</v>
      </c>
      <c r="S99" t="s">
        <v>2594</v>
      </c>
      <c r="U99" t="s">
        <v>846</v>
      </c>
      <c r="V99" t="s">
        <v>847</v>
      </c>
      <c r="W99" t="e">
        <v>#REF!</v>
      </c>
      <c r="X99" s="10">
        <v>5035342308</v>
      </c>
      <c r="AA99" t="s">
        <v>848</v>
      </c>
      <c r="AB99" t="e">
        <v>#REF!</v>
      </c>
      <c r="AC99" t="e">
        <v>#REF!</v>
      </c>
      <c r="AD99" t="e">
        <v>#REF!</v>
      </c>
    </row>
    <row r="100" spans="1:30" x14ac:dyDescent="0.35">
      <c r="A100" t="s">
        <v>120</v>
      </c>
      <c r="B100">
        <v>2101</v>
      </c>
      <c r="C100" t="s">
        <v>471</v>
      </c>
      <c r="D100">
        <v>2098</v>
      </c>
      <c r="E100" t="s">
        <v>290</v>
      </c>
      <c r="F100" t="s">
        <v>273</v>
      </c>
      <c r="G100" t="s">
        <v>849</v>
      </c>
      <c r="H100" t="s">
        <v>850</v>
      </c>
      <c r="I100" t="e">
        <v>#REF!</v>
      </c>
      <c r="J100" t="s">
        <v>2595</v>
      </c>
      <c r="K100" t="s">
        <v>2144</v>
      </c>
      <c r="L100" t="s">
        <v>2596</v>
      </c>
      <c r="M100" t="s">
        <v>276</v>
      </c>
      <c r="N100" t="s">
        <v>304</v>
      </c>
      <c r="O100" t="s">
        <v>2597</v>
      </c>
      <c r="P100" t="s">
        <v>851</v>
      </c>
      <c r="Q100" t="s">
        <v>2598</v>
      </c>
      <c r="R100" t="s">
        <v>2144</v>
      </c>
      <c r="S100" t="s">
        <v>2599</v>
      </c>
      <c r="T100" t="s">
        <v>1877</v>
      </c>
      <c r="U100" t="s">
        <v>852</v>
      </c>
      <c r="V100" t="s">
        <v>853</v>
      </c>
      <c r="W100" t="e">
        <v>#REF!</v>
      </c>
      <c r="X100" s="10">
        <v>5412598945</v>
      </c>
      <c r="Y100" t="s">
        <v>854</v>
      </c>
      <c r="AA100" t="s">
        <v>855</v>
      </c>
      <c r="AB100" t="e">
        <v>#REF!</v>
      </c>
      <c r="AC100" t="e">
        <v>#REF!</v>
      </c>
      <c r="AD100" t="e">
        <v>#REF!</v>
      </c>
    </row>
    <row r="101" spans="1:30" x14ac:dyDescent="0.35">
      <c r="A101" t="s">
        <v>121</v>
      </c>
      <c r="B101">
        <v>2097</v>
      </c>
      <c r="C101" t="s">
        <v>856</v>
      </c>
      <c r="D101">
        <v>2098</v>
      </c>
      <c r="E101" t="s">
        <v>290</v>
      </c>
      <c r="F101" t="s">
        <v>273</v>
      </c>
      <c r="G101" t="s">
        <v>2600</v>
      </c>
      <c r="H101" t="s">
        <v>857</v>
      </c>
      <c r="I101" t="e">
        <v>#REF!</v>
      </c>
      <c r="J101" t="s">
        <v>2601</v>
      </c>
      <c r="K101" t="s">
        <v>2144</v>
      </c>
      <c r="L101" t="s">
        <v>2602</v>
      </c>
      <c r="M101" t="s">
        <v>276</v>
      </c>
      <c r="N101" t="s">
        <v>835</v>
      </c>
      <c r="O101" t="s">
        <v>2603</v>
      </c>
      <c r="P101" t="s">
        <v>858</v>
      </c>
      <c r="Q101" t="s">
        <v>2604</v>
      </c>
      <c r="R101" t="s">
        <v>2144</v>
      </c>
      <c r="S101" t="s">
        <v>2605</v>
      </c>
      <c r="T101" t="s">
        <v>1877</v>
      </c>
      <c r="U101" t="s">
        <v>678</v>
      </c>
      <c r="V101" t="s">
        <v>859</v>
      </c>
      <c r="W101" t="e">
        <v>#REF!</v>
      </c>
      <c r="X101" s="10">
        <v>5412654409</v>
      </c>
      <c r="AA101" t="s">
        <v>860</v>
      </c>
      <c r="AB101" t="e">
        <v>#REF!</v>
      </c>
      <c r="AC101" t="e">
        <v>#REF!</v>
      </c>
      <c r="AD101" t="e">
        <v>#REF!</v>
      </c>
    </row>
    <row r="102" spans="1:30" x14ac:dyDescent="0.35">
      <c r="A102" t="s">
        <v>122</v>
      </c>
      <c r="B102">
        <v>2012</v>
      </c>
      <c r="C102" t="s">
        <v>578</v>
      </c>
      <c r="D102">
        <v>2007</v>
      </c>
      <c r="E102" t="s">
        <v>579</v>
      </c>
      <c r="F102" t="s">
        <v>273</v>
      </c>
      <c r="G102" t="s">
        <v>1032</v>
      </c>
      <c r="H102" t="s">
        <v>2606</v>
      </c>
      <c r="I102" t="e">
        <v>#REF!</v>
      </c>
      <c r="J102" t="s">
        <v>2607</v>
      </c>
      <c r="K102" t="s">
        <v>2144</v>
      </c>
      <c r="L102" t="s">
        <v>2608</v>
      </c>
      <c r="M102" t="s">
        <v>276</v>
      </c>
      <c r="N102" t="s">
        <v>580</v>
      </c>
      <c r="O102" t="s">
        <v>581</v>
      </c>
      <c r="P102" t="s">
        <v>582</v>
      </c>
      <c r="Q102" t="s">
        <v>2462</v>
      </c>
      <c r="R102" t="s">
        <v>2463</v>
      </c>
      <c r="S102" t="s">
        <v>583</v>
      </c>
      <c r="U102" t="s">
        <v>285</v>
      </c>
      <c r="V102" t="s">
        <v>861</v>
      </c>
      <c r="W102" t="e">
        <v>#REF!</v>
      </c>
      <c r="X102" s="10">
        <v>5415754071</v>
      </c>
      <c r="Y102" t="s">
        <v>862</v>
      </c>
      <c r="AA102" t="s">
        <v>863</v>
      </c>
      <c r="AB102" t="e">
        <v>#REF!</v>
      </c>
      <c r="AC102" t="e">
        <v>#REF!</v>
      </c>
      <c r="AD102" t="e">
        <v>#REF!</v>
      </c>
    </row>
    <row r="103" spans="1:30" x14ac:dyDescent="0.35">
      <c r="A103" t="s">
        <v>123</v>
      </c>
      <c r="B103">
        <v>2092</v>
      </c>
      <c r="C103" t="s">
        <v>390</v>
      </c>
      <c r="D103">
        <v>2064</v>
      </c>
      <c r="E103" t="s">
        <v>391</v>
      </c>
      <c r="F103" t="s">
        <v>273</v>
      </c>
      <c r="G103" t="s">
        <v>864</v>
      </c>
      <c r="H103" t="s">
        <v>865</v>
      </c>
      <c r="I103" t="e">
        <v>#REF!</v>
      </c>
      <c r="J103" t="s">
        <v>2609</v>
      </c>
      <c r="K103" t="s">
        <v>2574</v>
      </c>
      <c r="L103" t="s">
        <v>2610</v>
      </c>
      <c r="M103" t="s">
        <v>276</v>
      </c>
      <c r="N103" t="s">
        <v>723</v>
      </c>
      <c r="O103" t="s">
        <v>2611</v>
      </c>
      <c r="P103" t="s">
        <v>867</v>
      </c>
      <c r="Q103" t="s">
        <v>2612</v>
      </c>
      <c r="R103" t="s">
        <v>2184</v>
      </c>
      <c r="S103" t="s">
        <v>2613</v>
      </c>
      <c r="U103" t="s">
        <v>557</v>
      </c>
      <c r="V103" t="s">
        <v>558</v>
      </c>
      <c r="W103" t="e">
        <v>#REF!</v>
      </c>
      <c r="X103" s="10">
        <v>5414618289</v>
      </c>
      <c r="AA103" t="s">
        <v>559</v>
      </c>
      <c r="AB103" t="e">
        <v>#REF!</v>
      </c>
      <c r="AC103" t="e">
        <v>#REF!</v>
      </c>
      <c r="AD103" t="e">
        <v>#REF!</v>
      </c>
    </row>
    <row r="104" spans="1:30" x14ac:dyDescent="0.35">
      <c r="A104" t="s">
        <v>124</v>
      </c>
      <c r="B104">
        <v>2112</v>
      </c>
      <c r="C104" t="s">
        <v>278</v>
      </c>
      <c r="D104">
        <v>2106</v>
      </c>
      <c r="E104" t="s">
        <v>279</v>
      </c>
      <c r="F104" t="s">
        <v>273</v>
      </c>
      <c r="G104" t="s">
        <v>356</v>
      </c>
      <c r="H104" t="s">
        <v>1783</v>
      </c>
      <c r="I104" t="e">
        <v>#REF!</v>
      </c>
      <c r="J104" t="s">
        <v>2162</v>
      </c>
      <c r="K104" t="s">
        <v>2169</v>
      </c>
      <c r="L104" t="s">
        <v>2558</v>
      </c>
      <c r="M104" t="s">
        <v>276</v>
      </c>
      <c r="N104" t="s">
        <v>281</v>
      </c>
      <c r="O104" t="s">
        <v>282</v>
      </c>
      <c r="P104" t="s">
        <v>283</v>
      </c>
      <c r="Q104" t="s">
        <v>2162</v>
      </c>
      <c r="R104" t="s">
        <v>2150</v>
      </c>
      <c r="S104" t="s">
        <v>2614</v>
      </c>
      <c r="U104" t="s">
        <v>648</v>
      </c>
      <c r="V104" t="s">
        <v>411</v>
      </c>
      <c r="W104" t="e">
        <v>#REF!</v>
      </c>
      <c r="X104" s="10">
        <v>5414730202</v>
      </c>
      <c r="AA104" t="s">
        <v>868</v>
      </c>
      <c r="AB104" t="e">
        <v>#REF!</v>
      </c>
      <c r="AC104" t="e">
        <v>#REF!</v>
      </c>
      <c r="AD104" t="e">
        <v>#REF!</v>
      </c>
    </row>
    <row r="105" spans="1:30" x14ac:dyDescent="0.35">
      <c r="A105" t="s">
        <v>125</v>
      </c>
      <c r="B105">
        <v>2085</v>
      </c>
      <c r="C105" t="s">
        <v>390</v>
      </c>
      <c r="D105">
        <v>2064</v>
      </c>
      <c r="E105" t="s">
        <v>391</v>
      </c>
      <c r="F105" t="s">
        <v>273</v>
      </c>
      <c r="G105" t="s">
        <v>607</v>
      </c>
      <c r="H105" t="s">
        <v>869</v>
      </c>
      <c r="I105" t="e">
        <v>#REF!</v>
      </c>
      <c r="J105" t="s">
        <v>2615</v>
      </c>
      <c r="K105" t="s">
        <v>2248</v>
      </c>
      <c r="L105" t="s">
        <v>870</v>
      </c>
      <c r="M105" t="s">
        <v>276</v>
      </c>
      <c r="N105" t="s">
        <v>871</v>
      </c>
      <c r="O105" t="s">
        <v>872</v>
      </c>
      <c r="P105" t="s">
        <v>873</v>
      </c>
      <c r="Q105" t="s">
        <v>2616</v>
      </c>
      <c r="R105" t="s">
        <v>2617</v>
      </c>
      <c r="S105" t="s">
        <v>874</v>
      </c>
      <c r="U105" t="s">
        <v>875</v>
      </c>
      <c r="V105" t="s">
        <v>876</v>
      </c>
      <c r="W105" t="e">
        <v>#REF!</v>
      </c>
      <c r="X105" s="10">
        <v>5412684312</v>
      </c>
      <c r="Y105" t="s">
        <v>877</v>
      </c>
      <c r="AA105" t="s">
        <v>878</v>
      </c>
      <c r="AB105" t="e">
        <v>#REF!</v>
      </c>
      <c r="AC105" t="e">
        <v>#REF!</v>
      </c>
      <c r="AD105" t="e">
        <v>#REF!</v>
      </c>
    </row>
    <row r="106" spans="1:30" x14ac:dyDescent="0.35">
      <c r="A106" t="s">
        <v>126</v>
      </c>
      <c r="B106">
        <v>2094</v>
      </c>
      <c r="C106" t="s">
        <v>390</v>
      </c>
      <c r="D106">
        <v>2064</v>
      </c>
      <c r="E106" t="s">
        <v>391</v>
      </c>
      <c r="F106" t="s">
        <v>273</v>
      </c>
      <c r="G106" t="s">
        <v>977</v>
      </c>
      <c r="H106" t="s">
        <v>2618</v>
      </c>
      <c r="I106" t="e">
        <v>#REF!</v>
      </c>
      <c r="J106" t="s">
        <v>2619</v>
      </c>
      <c r="K106" t="s">
        <v>2620</v>
      </c>
      <c r="L106" t="s">
        <v>2621</v>
      </c>
      <c r="M106" t="s">
        <v>276</v>
      </c>
      <c r="N106" t="s">
        <v>946</v>
      </c>
      <c r="O106" t="s">
        <v>2622</v>
      </c>
      <c r="P106" t="s">
        <v>880</v>
      </c>
      <c r="Q106" t="s">
        <v>2619</v>
      </c>
      <c r="R106" t="s">
        <v>2623</v>
      </c>
      <c r="S106" t="s">
        <v>2624</v>
      </c>
      <c r="U106" t="s">
        <v>881</v>
      </c>
      <c r="V106" t="s">
        <v>882</v>
      </c>
      <c r="W106" t="e">
        <v>#REF!</v>
      </c>
      <c r="X106" s="10">
        <v>5419332512</v>
      </c>
      <c r="AA106" t="s">
        <v>883</v>
      </c>
      <c r="AB106" t="e">
        <v>#REF!</v>
      </c>
      <c r="AC106" t="e">
        <v>#REF!</v>
      </c>
      <c r="AD106" t="e">
        <v>#REF!</v>
      </c>
    </row>
    <row r="107" spans="1:30" x14ac:dyDescent="0.35">
      <c r="A107" t="s">
        <v>127</v>
      </c>
      <c r="B107">
        <v>2090</v>
      </c>
      <c r="C107" t="s">
        <v>390</v>
      </c>
      <c r="D107">
        <v>2064</v>
      </c>
      <c r="E107" t="s">
        <v>391</v>
      </c>
      <c r="F107" t="s">
        <v>273</v>
      </c>
      <c r="G107" t="s">
        <v>390</v>
      </c>
      <c r="H107" t="s">
        <v>884</v>
      </c>
      <c r="I107" t="e">
        <v>#REF!</v>
      </c>
      <c r="J107" t="s">
        <v>2625</v>
      </c>
      <c r="K107" t="s">
        <v>2394</v>
      </c>
      <c r="L107" t="s">
        <v>2626</v>
      </c>
      <c r="M107" t="s">
        <v>276</v>
      </c>
      <c r="N107" t="s">
        <v>885</v>
      </c>
      <c r="O107" t="s">
        <v>886</v>
      </c>
      <c r="P107" t="s">
        <v>887</v>
      </c>
      <c r="Q107" t="s">
        <v>2627</v>
      </c>
      <c r="R107" t="s">
        <v>2628</v>
      </c>
      <c r="S107" t="s">
        <v>1805</v>
      </c>
      <c r="T107" t="s">
        <v>1862</v>
      </c>
      <c r="U107" t="s">
        <v>580</v>
      </c>
      <c r="V107" t="s">
        <v>888</v>
      </c>
      <c r="W107" t="e">
        <v>#REF!</v>
      </c>
      <c r="X107" s="10">
        <v>5418223338</v>
      </c>
      <c r="AA107" t="s">
        <v>1852</v>
      </c>
      <c r="AB107" t="e">
        <v>#REF!</v>
      </c>
      <c r="AC107" t="e">
        <v>#REF!</v>
      </c>
      <c r="AD107" t="e">
        <v>#REF!</v>
      </c>
    </row>
    <row r="108" spans="1:30" x14ac:dyDescent="0.35">
      <c r="A108" t="s">
        <v>128</v>
      </c>
      <c r="B108">
        <v>2256</v>
      </c>
      <c r="C108" t="s">
        <v>295</v>
      </c>
      <c r="D108">
        <v>2117</v>
      </c>
      <c r="E108" t="s">
        <v>296</v>
      </c>
      <c r="F108" t="s">
        <v>273</v>
      </c>
      <c r="G108" t="s">
        <v>418</v>
      </c>
      <c r="H108" t="s">
        <v>2629</v>
      </c>
      <c r="I108" t="e">
        <v>#REF!</v>
      </c>
      <c r="J108" t="s">
        <v>2630</v>
      </c>
      <c r="K108" t="s">
        <v>2144</v>
      </c>
      <c r="L108" t="s">
        <v>2631</v>
      </c>
      <c r="M108" t="s">
        <v>276</v>
      </c>
      <c r="N108" t="s">
        <v>280</v>
      </c>
      <c r="O108" t="s">
        <v>450</v>
      </c>
      <c r="P108" t="s">
        <v>889</v>
      </c>
      <c r="Q108" t="s">
        <v>2632</v>
      </c>
      <c r="R108" t="s">
        <v>2144</v>
      </c>
      <c r="S108" t="s">
        <v>2633</v>
      </c>
      <c r="U108" t="s">
        <v>692</v>
      </c>
      <c r="V108" t="s">
        <v>890</v>
      </c>
      <c r="W108" t="e">
        <v>#REF!</v>
      </c>
      <c r="X108" s="10">
        <v>5035654005</v>
      </c>
      <c r="AA108" t="s">
        <v>891</v>
      </c>
      <c r="AB108" t="e">
        <v>#REF!</v>
      </c>
      <c r="AC108" t="e">
        <v>#REF!</v>
      </c>
      <c r="AD108" t="e">
        <v>#REF!</v>
      </c>
    </row>
    <row r="109" spans="1:30" x14ac:dyDescent="0.35">
      <c r="A109" t="s">
        <v>129</v>
      </c>
      <c r="B109">
        <v>2048</v>
      </c>
      <c r="C109" t="s">
        <v>318</v>
      </c>
      <c r="D109">
        <v>2025</v>
      </c>
      <c r="E109" t="s">
        <v>319</v>
      </c>
      <c r="F109" t="s">
        <v>273</v>
      </c>
      <c r="G109" t="s">
        <v>799</v>
      </c>
      <c r="H109" t="s">
        <v>892</v>
      </c>
      <c r="I109" t="e">
        <v>#REF!</v>
      </c>
      <c r="J109" t="s">
        <v>2634</v>
      </c>
      <c r="K109" t="s">
        <v>2144</v>
      </c>
      <c r="L109" t="s">
        <v>893</v>
      </c>
      <c r="M109" t="s">
        <v>276</v>
      </c>
      <c r="N109" t="s">
        <v>732</v>
      </c>
      <c r="O109" t="s">
        <v>2635</v>
      </c>
      <c r="P109" t="s">
        <v>894</v>
      </c>
      <c r="Q109" t="s">
        <v>2636</v>
      </c>
      <c r="R109" t="s">
        <v>2144</v>
      </c>
      <c r="S109" t="s">
        <v>2637</v>
      </c>
      <c r="T109" t="s">
        <v>1878</v>
      </c>
      <c r="U109" t="s">
        <v>782</v>
      </c>
      <c r="V109" t="s">
        <v>532</v>
      </c>
      <c r="W109" t="e">
        <v>#REF!</v>
      </c>
      <c r="X109" s="10">
        <v>5418425007</v>
      </c>
      <c r="Z109" t="s">
        <v>895</v>
      </c>
      <c r="AA109" t="s">
        <v>896</v>
      </c>
      <c r="AB109" t="e">
        <v>#REF!</v>
      </c>
      <c r="AC109" t="e">
        <v>#REF!</v>
      </c>
      <c r="AD109" t="e">
        <v>#REF!</v>
      </c>
    </row>
    <row r="110" spans="1:30" x14ac:dyDescent="0.35">
      <c r="A110" t="s">
        <v>130</v>
      </c>
      <c r="B110">
        <v>2205</v>
      </c>
      <c r="C110" t="s">
        <v>350</v>
      </c>
      <c r="D110">
        <v>2200</v>
      </c>
      <c r="E110" t="s">
        <v>351</v>
      </c>
      <c r="F110" t="s">
        <v>273</v>
      </c>
      <c r="G110" t="s">
        <v>897</v>
      </c>
      <c r="H110" t="s">
        <v>898</v>
      </c>
      <c r="I110" t="e">
        <v>#REF!</v>
      </c>
      <c r="J110" t="s">
        <v>2638</v>
      </c>
      <c r="K110" t="s">
        <v>2639</v>
      </c>
      <c r="L110" t="s">
        <v>2640</v>
      </c>
      <c r="M110" t="s">
        <v>276</v>
      </c>
      <c r="N110" t="s">
        <v>899</v>
      </c>
      <c r="O110" t="s">
        <v>900</v>
      </c>
      <c r="P110" t="s">
        <v>901</v>
      </c>
      <c r="Q110" t="s">
        <v>2638</v>
      </c>
      <c r="R110" t="s">
        <v>2641</v>
      </c>
      <c r="S110" t="s">
        <v>902</v>
      </c>
      <c r="T110" t="s">
        <v>1872</v>
      </c>
      <c r="U110" t="s">
        <v>754</v>
      </c>
      <c r="V110" t="s">
        <v>755</v>
      </c>
      <c r="W110" t="e">
        <v>#REF!</v>
      </c>
      <c r="X110" s="10">
        <v>5419663103</v>
      </c>
      <c r="AA110" t="s">
        <v>756</v>
      </c>
      <c r="AB110" t="e">
        <v>#REF!</v>
      </c>
      <c r="AC110" t="e">
        <v>#REF!</v>
      </c>
      <c r="AD110" t="e">
        <v>#REF!</v>
      </c>
    </row>
    <row r="111" spans="1:30" x14ac:dyDescent="0.35">
      <c r="A111" t="s">
        <v>131</v>
      </c>
      <c r="B111">
        <v>2249</v>
      </c>
      <c r="C111" t="s">
        <v>686</v>
      </c>
      <c r="D111">
        <v>2004</v>
      </c>
      <c r="E111" t="s">
        <v>310</v>
      </c>
      <c r="F111" t="s">
        <v>273</v>
      </c>
      <c r="G111" t="s">
        <v>903</v>
      </c>
      <c r="H111" t="s">
        <v>904</v>
      </c>
      <c r="I111" t="e">
        <v>#REF!</v>
      </c>
      <c r="J111" t="s">
        <v>2642</v>
      </c>
      <c r="K111" t="s">
        <v>2144</v>
      </c>
      <c r="L111" t="s">
        <v>905</v>
      </c>
      <c r="M111" t="s">
        <v>276</v>
      </c>
      <c r="N111" t="s">
        <v>2165</v>
      </c>
      <c r="O111" t="s">
        <v>2166</v>
      </c>
      <c r="P111" t="s">
        <v>500</v>
      </c>
      <c r="Q111" t="s">
        <v>2167</v>
      </c>
      <c r="R111" t="s">
        <v>2144</v>
      </c>
      <c r="S111" t="s">
        <v>2168</v>
      </c>
      <c r="U111" t="s">
        <v>678</v>
      </c>
      <c r="V111" t="s">
        <v>906</v>
      </c>
      <c r="W111" t="e">
        <v>#REF!</v>
      </c>
      <c r="X111" s="10">
        <v>8004502732</v>
      </c>
      <c r="AA111" t="s">
        <v>907</v>
      </c>
      <c r="AB111" t="e">
        <v>#REF!</v>
      </c>
      <c r="AC111" t="e">
        <v>#REF!</v>
      </c>
      <c r="AD111" t="e">
        <v>#REF!</v>
      </c>
    </row>
    <row r="112" spans="1:30" x14ac:dyDescent="0.35">
      <c r="A112" t="s">
        <v>132</v>
      </c>
      <c r="B112">
        <v>1925</v>
      </c>
      <c r="C112" t="s">
        <v>440</v>
      </c>
      <c r="D112">
        <v>1902</v>
      </c>
      <c r="E112" t="s">
        <v>441</v>
      </c>
      <c r="F112" t="s">
        <v>273</v>
      </c>
      <c r="G112" t="s">
        <v>2643</v>
      </c>
      <c r="H112" t="s">
        <v>909</v>
      </c>
      <c r="I112" t="e">
        <v>#REF!</v>
      </c>
      <c r="J112" t="s">
        <v>2644</v>
      </c>
      <c r="K112" t="s">
        <v>2144</v>
      </c>
      <c r="L112" t="s">
        <v>910</v>
      </c>
      <c r="M112" t="s">
        <v>276</v>
      </c>
      <c r="N112" t="s">
        <v>2645</v>
      </c>
      <c r="O112" t="s">
        <v>2646</v>
      </c>
      <c r="P112" t="s">
        <v>911</v>
      </c>
      <c r="Q112" t="s">
        <v>2647</v>
      </c>
      <c r="R112" t="s">
        <v>2144</v>
      </c>
      <c r="S112" t="s">
        <v>2648</v>
      </c>
      <c r="U112" t="s">
        <v>602</v>
      </c>
      <c r="V112" t="s">
        <v>912</v>
      </c>
      <c r="W112" t="e">
        <v>#REF!</v>
      </c>
      <c r="X112" s="10">
        <v>5038292359</v>
      </c>
      <c r="Y112" t="s">
        <v>913</v>
      </c>
      <c r="AA112" t="s">
        <v>1853</v>
      </c>
      <c r="AB112" t="e">
        <v>#REF!</v>
      </c>
      <c r="AC112" t="e">
        <v>#REF!</v>
      </c>
      <c r="AD112" t="e">
        <v>#REF!</v>
      </c>
    </row>
    <row r="113" spans="1:30" x14ac:dyDescent="0.35">
      <c r="A113" t="s">
        <v>133</v>
      </c>
      <c r="B113">
        <v>1898</v>
      </c>
      <c r="C113" t="s">
        <v>289</v>
      </c>
      <c r="D113">
        <v>2098</v>
      </c>
      <c r="E113" t="s">
        <v>290</v>
      </c>
      <c r="F113" t="s">
        <v>273</v>
      </c>
      <c r="G113" t="s">
        <v>914</v>
      </c>
      <c r="H113" t="s">
        <v>915</v>
      </c>
      <c r="I113" t="e">
        <v>#REF!</v>
      </c>
      <c r="J113" t="s">
        <v>2649</v>
      </c>
      <c r="K113" t="s">
        <v>2144</v>
      </c>
      <c r="L113" t="s">
        <v>916</v>
      </c>
      <c r="M113" t="s">
        <v>276</v>
      </c>
      <c r="N113" t="s">
        <v>914</v>
      </c>
      <c r="O113" t="s">
        <v>915</v>
      </c>
      <c r="P113" t="s">
        <v>917</v>
      </c>
      <c r="Q113" t="s">
        <v>2649</v>
      </c>
      <c r="R113" t="s">
        <v>2144</v>
      </c>
      <c r="S113" t="s">
        <v>916</v>
      </c>
      <c r="U113" t="s">
        <v>918</v>
      </c>
      <c r="V113" t="s">
        <v>919</v>
      </c>
      <c r="W113" t="e">
        <v>#REF!</v>
      </c>
      <c r="X113" s="10">
        <v>5418476292</v>
      </c>
      <c r="AA113" t="s">
        <v>920</v>
      </c>
      <c r="AB113" t="e">
        <v>#REF!</v>
      </c>
      <c r="AC113" t="e">
        <v>#REF!</v>
      </c>
      <c r="AD113" t="e">
        <v>#REF!</v>
      </c>
    </row>
    <row r="114" spans="1:30" x14ac:dyDescent="0.35">
      <c r="A114" t="s">
        <v>134</v>
      </c>
      <c r="B114">
        <v>2010</v>
      </c>
      <c r="C114" t="s">
        <v>578</v>
      </c>
      <c r="D114">
        <v>2007</v>
      </c>
      <c r="E114" t="s">
        <v>579</v>
      </c>
      <c r="F114" t="s">
        <v>273</v>
      </c>
      <c r="G114" t="s">
        <v>820</v>
      </c>
      <c r="H114" t="s">
        <v>921</v>
      </c>
      <c r="I114" t="e">
        <v>#REF!</v>
      </c>
      <c r="J114" t="s">
        <v>2650</v>
      </c>
      <c r="K114" t="s">
        <v>2144</v>
      </c>
      <c r="L114" t="s">
        <v>922</v>
      </c>
      <c r="M114" t="s">
        <v>276</v>
      </c>
      <c r="N114" t="s">
        <v>580</v>
      </c>
      <c r="O114" t="s">
        <v>581</v>
      </c>
      <c r="P114" t="s">
        <v>582</v>
      </c>
      <c r="Q114" t="s">
        <v>2462</v>
      </c>
      <c r="R114" t="s">
        <v>2463</v>
      </c>
      <c r="S114" t="s">
        <v>583</v>
      </c>
      <c r="U114" t="s">
        <v>923</v>
      </c>
      <c r="V114" t="s">
        <v>924</v>
      </c>
      <c r="W114" t="e">
        <v>#REF!</v>
      </c>
      <c r="X114" s="10">
        <v>5415754071</v>
      </c>
      <c r="AA114" t="s">
        <v>925</v>
      </c>
      <c r="AB114" t="e">
        <v>#REF!</v>
      </c>
      <c r="AC114" t="e">
        <v>#REF!</v>
      </c>
      <c r="AD114" t="e">
        <v>#REF!</v>
      </c>
    </row>
    <row r="115" spans="1:30" x14ac:dyDescent="0.35">
      <c r="A115" t="s">
        <v>135</v>
      </c>
      <c r="B115">
        <v>2147</v>
      </c>
      <c r="C115" t="s">
        <v>776</v>
      </c>
      <c r="D115">
        <v>2200</v>
      </c>
      <c r="E115" t="s">
        <v>351</v>
      </c>
      <c r="F115" t="s">
        <v>273</v>
      </c>
      <c r="G115" t="s">
        <v>926</v>
      </c>
      <c r="H115" t="s">
        <v>927</v>
      </c>
      <c r="I115" t="e">
        <v>#REF!</v>
      </c>
      <c r="J115" t="s">
        <v>2651</v>
      </c>
      <c r="K115" t="s">
        <v>2219</v>
      </c>
      <c r="L115" t="s">
        <v>928</v>
      </c>
      <c r="M115" t="s">
        <v>276</v>
      </c>
      <c r="N115" t="s">
        <v>2652</v>
      </c>
      <c r="O115" t="s">
        <v>2653</v>
      </c>
      <c r="P115" t="s">
        <v>929</v>
      </c>
      <c r="Q115" t="s">
        <v>2651</v>
      </c>
      <c r="R115" t="s">
        <v>2654</v>
      </c>
      <c r="S115" t="s">
        <v>2655</v>
      </c>
      <c r="T115" t="s">
        <v>1876</v>
      </c>
      <c r="U115" t="s">
        <v>754</v>
      </c>
      <c r="V115" t="s">
        <v>755</v>
      </c>
      <c r="W115" t="e">
        <v>#REF!</v>
      </c>
      <c r="X115" s="10">
        <v>5419663103</v>
      </c>
      <c r="AA115" t="s">
        <v>756</v>
      </c>
      <c r="AB115" t="e">
        <v>#REF!</v>
      </c>
      <c r="AC115" t="e">
        <v>#REF!</v>
      </c>
      <c r="AD115" t="e">
        <v>#REF!</v>
      </c>
    </row>
    <row r="116" spans="1:30" x14ac:dyDescent="0.35">
      <c r="A116" t="s">
        <v>136</v>
      </c>
      <c r="B116">
        <v>2145</v>
      </c>
      <c r="C116" t="s">
        <v>447</v>
      </c>
      <c r="D116">
        <v>2117</v>
      </c>
      <c r="E116" t="s">
        <v>296</v>
      </c>
      <c r="F116" t="s">
        <v>273</v>
      </c>
      <c r="G116" t="s">
        <v>438</v>
      </c>
      <c r="H116" t="s">
        <v>2656</v>
      </c>
      <c r="I116" t="e">
        <v>#REF!</v>
      </c>
      <c r="J116" t="s">
        <v>2657</v>
      </c>
      <c r="K116" t="s">
        <v>2144</v>
      </c>
      <c r="L116" t="s">
        <v>2658</v>
      </c>
      <c r="M116" t="s">
        <v>276</v>
      </c>
      <c r="N116" t="s">
        <v>932</v>
      </c>
      <c r="O116" t="s">
        <v>933</v>
      </c>
      <c r="P116" t="s">
        <v>934</v>
      </c>
      <c r="Q116" t="s">
        <v>2657</v>
      </c>
      <c r="R116" t="s">
        <v>2144</v>
      </c>
      <c r="S116" t="s">
        <v>2659</v>
      </c>
      <c r="U116" t="s">
        <v>586</v>
      </c>
      <c r="V116" t="s">
        <v>935</v>
      </c>
      <c r="W116" t="e">
        <v>#REF!</v>
      </c>
      <c r="X116" s="10">
        <v>5038452345</v>
      </c>
      <c r="AA116" t="s">
        <v>936</v>
      </c>
      <c r="AB116" t="e">
        <v>#REF!</v>
      </c>
      <c r="AC116" t="e">
        <v>#REF!</v>
      </c>
      <c r="AD116" t="e">
        <v>#REF!</v>
      </c>
    </row>
    <row r="117" spans="1:30" x14ac:dyDescent="0.35">
      <c r="A117" t="s">
        <v>137</v>
      </c>
      <c r="B117">
        <v>1968</v>
      </c>
      <c r="C117" t="s">
        <v>365</v>
      </c>
      <c r="D117">
        <v>1949</v>
      </c>
      <c r="E117" t="s">
        <v>366</v>
      </c>
      <c r="F117" t="s">
        <v>273</v>
      </c>
      <c r="G117" t="s">
        <v>937</v>
      </c>
      <c r="H117" t="s">
        <v>938</v>
      </c>
      <c r="I117" t="e">
        <v>#REF!</v>
      </c>
      <c r="J117" t="s">
        <v>2660</v>
      </c>
      <c r="K117" t="s">
        <v>2661</v>
      </c>
      <c r="L117" t="s">
        <v>2662</v>
      </c>
      <c r="M117" t="s">
        <v>276</v>
      </c>
      <c r="N117" t="s">
        <v>465</v>
      </c>
      <c r="O117" t="s">
        <v>466</v>
      </c>
      <c r="P117" t="s">
        <v>939</v>
      </c>
      <c r="Q117" t="s">
        <v>2660</v>
      </c>
      <c r="R117" t="s">
        <v>2663</v>
      </c>
      <c r="S117" t="s">
        <v>2664</v>
      </c>
      <c r="U117" t="s">
        <v>940</v>
      </c>
      <c r="V117" t="s">
        <v>941</v>
      </c>
      <c r="W117" t="e">
        <v>#REF!</v>
      </c>
      <c r="X117" s="10">
        <v>5415721224</v>
      </c>
      <c r="AA117" t="s">
        <v>942</v>
      </c>
      <c r="AB117" t="e">
        <v>#REF!</v>
      </c>
      <c r="AC117" t="e">
        <v>#REF!</v>
      </c>
      <c r="AD117" t="e">
        <v>#REF!</v>
      </c>
    </row>
    <row r="118" spans="1:30" x14ac:dyDescent="0.35">
      <c r="A118" t="s">
        <v>138</v>
      </c>
      <c r="B118">
        <v>2198</v>
      </c>
      <c r="C118" t="s">
        <v>943</v>
      </c>
      <c r="D118">
        <v>2230</v>
      </c>
      <c r="E118" t="s">
        <v>339</v>
      </c>
      <c r="F118" t="s">
        <v>273</v>
      </c>
      <c r="G118" t="s">
        <v>458</v>
      </c>
      <c r="H118" t="s">
        <v>944</v>
      </c>
      <c r="I118" t="e">
        <v>#REF!</v>
      </c>
      <c r="J118" t="s">
        <v>2665</v>
      </c>
      <c r="K118" t="s">
        <v>2666</v>
      </c>
      <c r="L118" t="s">
        <v>945</v>
      </c>
      <c r="M118" t="s">
        <v>276</v>
      </c>
      <c r="N118" t="s">
        <v>2667</v>
      </c>
      <c r="O118" t="s">
        <v>2668</v>
      </c>
      <c r="P118" t="s">
        <v>947</v>
      </c>
      <c r="Q118" t="s">
        <v>2669</v>
      </c>
      <c r="R118" t="s">
        <v>2144</v>
      </c>
      <c r="S118" t="s">
        <v>2670</v>
      </c>
      <c r="U118" t="s">
        <v>356</v>
      </c>
      <c r="V118" t="s">
        <v>948</v>
      </c>
      <c r="W118" t="e">
        <v>#REF!</v>
      </c>
      <c r="X118" s="10">
        <v>5033552222</v>
      </c>
      <c r="Y118">
        <v>3504</v>
      </c>
      <c r="AA118" t="s">
        <v>949</v>
      </c>
      <c r="AB118" t="e">
        <v>#REF!</v>
      </c>
      <c r="AC118" t="e">
        <v>#REF!</v>
      </c>
      <c r="AD118" t="e">
        <v>#REF!</v>
      </c>
    </row>
    <row r="119" spans="1:30" x14ac:dyDescent="0.35">
      <c r="A119" t="s">
        <v>139</v>
      </c>
      <c r="B119">
        <v>2199</v>
      </c>
      <c r="C119" t="s">
        <v>943</v>
      </c>
      <c r="D119">
        <v>2230</v>
      </c>
      <c r="E119" t="s">
        <v>339</v>
      </c>
      <c r="F119" t="s">
        <v>273</v>
      </c>
      <c r="G119" t="s">
        <v>950</v>
      </c>
      <c r="H119" t="s">
        <v>951</v>
      </c>
      <c r="I119" t="e">
        <v>#REF!</v>
      </c>
      <c r="J119" t="s">
        <v>2671</v>
      </c>
      <c r="K119" t="s">
        <v>2672</v>
      </c>
      <c r="L119" t="s">
        <v>952</v>
      </c>
      <c r="M119" t="s">
        <v>276</v>
      </c>
      <c r="N119" t="s">
        <v>953</v>
      </c>
      <c r="O119" t="s">
        <v>954</v>
      </c>
      <c r="P119" t="s">
        <v>955</v>
      </c>
      <c r="Q119" t="s">
        <v>2673</v>
      </c>
      <c r="R119" t="s">
        <v>2674</v>
      </c>
      <c r="S119" t="s">
        <v>956</v>
      </c>
      <c r="U119" t="s">
        <v>957</v>
      </c>
      <c r="V119" t="s">
        <v>958</v>
      </c>
      <c r="W119" t="e">
        <v>#REF!</v>
      </c>
      <c r="X119" s="10"/>
      <c r="AA119" t="s">
        <v>959</v>
      </c>
      <c r="AB119" t="e">
        <v>#REF!</v>
      </c>
      <c r="AC119" t="e">
        <v>#REF!</v>
      </c>
      <c r="AD119" t="e">
        <v>#REF!</v>
      </c>
    </row>
    <row r="120" spans="1:30" x14ac:dyDescent="0.35">
      <c r="A120" t="s">
        <v>140</v>
      </c>
      <c r="B120">
        <v>2254</v>
      </c>
      <c r="C120" t="s">
        <v>295</v>
      </c>
      <c r="D120">
        <v>2117</v>
      </c>
      <c r="E120" t="s">
        <v>296</v>
      </c>
      <c r="F120" t="s">
        <v>273</v>
      </c>
      <c r="G120" t="s">
        <v>304</v>
      </c>
      <c r="H120" t="s">
        <v>790</v>
      </c>
      <c r="I120" t="e">
        <v>#REF!</v>
      </c>
      <c r="J120" t="s">
        <v>2675</v>
      </c>
      <c r="K120" t="s">
        <v>2144</v>
      </c>
      <c r="L120" t="s">
        <v>2676</v>
      </c>
      <c r="M120" t="s">
        <v>276</v>
      </c>
      <c r="N120" t="s">
        <v>2643</v>
      </c>
      <c r="O120" t="s">
        <v>2677</v>
      </c>
      <c r="P120" t="s">
        <v>962</v>
      </c>
      <c r="Q120" t="s">
        <v>2678</v>
      </c>
      <c r="R120" t="s">
        <v>2144</v>
      </c>
      <c r="S120" t="s">
        <v>2679</v>
      </c>
      <c r="U120" t="s">
        <v>963</v>
      </c>
      <c r="V120" t="s">
        <v>964</v>
      </c>
      <c r="W120" t="e">
        <v>#REF!</v>
      </c>
      <c r="X120" s="10">
        <v>5035545004</v>
      </c>
      <c r="AA120" t="s">
        <v>965</v>
      </c>
      <c r="AB120" t="e">
        <v>#REF!</v>
      </c>
      <c r="AC120" t="e">
        <v>#REF!</v>
      </c>
      <c r="AD120" t="e">
        <v>#REF!</v>
      </c>
    </row>
    <row r="121" spans="1:30" x14ac:dyDescent="0.35">
      <c r="A121" t="s">
        <v>141</v>
      </c>
      <c r="B121">
        <v>1966</v>
      </c>
      <c r="C121" t="s">
        <v>365</v>
      </c>
      <c r="D121">
        <v>1949</v>
      </c>
      <c r="E121" t="s">
        <v>366</v>
      </c>
      <c r="F121" t="s">
        <v>273</v>
      </c>
      <c r="G121" t="s">
        <v>280</v>
      </c>
      <c r="H121" t="s">
        <v>2680</v>
      </c>
      <c r="I121" t="e">
        <v>#REF!</v>
      </c>
      <c r="J121" t="s">
        <v>2681</v>
      </c>
      <c r="K121" t="s">
        <v>2682</v>
      </c>
      <c r="L121" t="s">
        <v>966</v>
      </c>
      <c r="M121" t="s">
        <v>276</v>
      </c>
      <c r="N121" t="s">
        <v>967</v>
      </c>
      <c r="O121" t="s">
        <v>968</v>
      </c>
      <c r="P121" t="s">
        <v>969</v>
      </c>
      <c r="Q121" t="s">
        <v>2681</v>
      </c>
      <c r="R121" t="s">
        <v>2683</v>
      </c>
      <c r="S121" t="s">
        <v>970</v>
      </c>
      <c r="U121" t="s">
        <v>791</v>
      </c>
      <c r="V121" t="s">
        <v>971</v>
      </c>
      <c r="W121" t="e">
        <v>#REF!</v>
      </c>
      <c r="X121" s="10">
        <v>5417562521</v>
      </c>
      <c r="AA121" t="s">
        <v>972</v>
      </c>
      <c r="AB121" t="e">
        <v>#REF!</v>
      </c>
      <c r="AC121" t="e">
        <v>#REF!</v>
      </c>
      <c r="AD121" t="e">
        <v>#REF!</v>
      </c>
    </row>
    <row r="122" spans="1:30" x14ac:dyDescent="0.35">
      <c r="A122" t="s">
        <v>142</v>
      </c>
      <c r="B122">
        <v>1924</v>
      </c>
      <c r="C122" t="s">
        <v>440</v>
      </c>
      <c r="D122">
        <v>1902</v>
      </c>
      <c r="E122" t="s">
        <v>441</v>
      </c>
      <c r="F122" t="s">
        <v>273</v>
      </c>
      <c r="G122" t="s">
        <v>2531</v>
      </c>
      <c r="H122" t="s">
        <v>399</v>
      </c>
      <c r="I122" t="e">
        <v>#REF!</v>
      </c>
      <c r="J122" t="s">
        <v>2684</v>
      </c>
      <c r="K122" t="s">
        <v>2144</v>
      </c>
      <c r="L122" t="s">
        <v>2685</v>
      </c>
      <c r="M122" t="s">
        <v>276</v>
      </c>
      <c r="N122" t="s">
        <v>2686</v>
      </c>
      <c r="O122" t="s">
        <v>2687</v>
      </c>
      <c r="P122" t="s">
        <v>973</v>
      </c>
      <c r="Q122" t="s">
        <v>2688</v>
      </c>
      <c r="R122" t="s">
        <v>2144</v>
      </c>
      <c r="S122" t="s">
        <v>2689</v>
      </c>
      <c r="U122" t="s">
        <v>974</v>
      </c>
      <c r="V122" t="s">
        <v>975</v>
      </c>
      <c r="W122" t="e">
        <v>#REF!</v>
      </c>
      <c r="X122" s="10">
        <v>5033531900</v>
      </c>
      <c r="AA122" t="s">
        <v>976</v>
      </c>
      <c r="AB122" t="e">
        <v>#REF!</v>
      </c>
      <c r="AC122" t="e">
        <v>#REF!</v>
      </c>
      <c r="AD122" t="e">
        <v>#REF!</v>
      </c>
    </row>
    <row r="123" spans="1:30" x14ac:dyDescent="0.35">
      <c r="A123" t="s">
        <v>143</v>
      </c>
      <c r="B123">
        <v>1996</v>
      </c>
      <c r="C123" t="s">
        <v>431</v>
      </c>
      <c r="D123">
        <v>1980</v>
      </c>
      <c r="E123" t="s">
        <v>432</v>
      </c>
      <c r="F123" t="s">
        <v>273</v>
      </c>
      <c r="G123" t="s">
        <v>2175</v>
      </c>
      <c r="H123" t="s">
        <v>2690</v>
      </c>
      <c r="I123" t="e">
        <v>#REF!</v>
      </c>
      <c r="J123" t="s">
        <v>2691</v>
      </c>
      <c r="K123" t="s">
        <v>2692</v>
      </c>
      <c r="L123" t="s">
        <v>2693</v>
      </c>
      <c r="M123" t="s">
        <v>276</v>
      </c>
      <c r="N123" t="s">
        <v>452</v>
      </c>
      <c r="O123" t="s">
        <v>2694</v>
      </c>
      <c r="P123" t="s">
        <v>978</v>
      </c>
      <c r="Q123" t="s">
        <v>2695</v>
      </c>
      <c r="R123" t="s">
        <v>2696</v>
      </c>
      <c r="S123" t="s">
        <v>2697</v>
      </c>
      <c r="U123" t="s">
        <v>979</v>
      </c>
      <c r="V123" t="s">
        <v>980</v>
      </c>
      <c r="W123" t="e">
        <v>#REF!</v>
      </c>
      <c r="X123" s="10">
        <v>5418362223</v>
      </c>
      <c r="Y123" t="s">
        <v>981</v>
      </c>
      <c r="AA123" t="s">
        <v>982</v>
      </c>
      <c r="AB123" t="e">
        <v>#REF!</v>
      </c>
      <c r="AC123" t="e">
        <v>#REF!</v>
      </c>
      <c r="AD123" t="e">
        <v>#REF!</v>
      </c>
    </row>
    <row r="124" spans="1:30" x14ac:dyDescent="0.35">
      <c r="A124" t="s">
        <v>144</v>
      </c>
      <c r="B124">
        <v>2061</v>
      </c>
      <c r="C124" t="s">
        <v>271</v>
      </c>
      <c r="D124">
        <v>2058</v>
      </c>
      <c r="E124" t="s">
        <v>272</v>
      </c>
      <c r="F124" t="s">
        <v>273</v>
      </c>
      <c r="G124" t="s">
        <v>2698</v>
      </c>
      <c r="H124" t="s">
        <v>2699</v>
      </c>
      <c r="I124" t="e">
        <v>#REF!</v>
      </c>
      <c r="J124" t="s">
        <v>2700</v>
      </c>
      <c r="K124" t="s">
        <v>2144</v>
      </c>
      <c r="L124" t="s">
        <v>985</v>
      </c>
      <c r="M124" t="s">
        <v>276</v>
      </c>
      <c r="N124" t="s">
        <v>2698</v>
      </c>
      <c r="O124" t="s">
        <v>2699</v>
      </c>
      <c r="P124" t="s">
        <v>984</v>
      </c>
      <c r="Q124" t="s">
        <v>2700</v>
      </c>
      <c r="R124" t="s">
        <v>2144</v>
      </c>
      <c r="S124" t="s">
        <v>985</v>
      </c>
      <c r="T124" t="s">
        <v>1862</v>
      </c>
      <c r="U124" t="s">
        <v>549</v>
      </c>
      <c r="V124" t="s">
        <v>986</v>
      </c>
      <c r="W124" t="e">
        <v>#REF!</v>
      </c>
      <c r="X124" s="10">
        <v>5419473371</v>
      </c>
      <c r="AA124" t="s">
        <v>1836</v>
      </c>
      <c r="AB124" t="e">
        <v>#REF!</v>
      </c>
      <c r="AC124" t="e">
        <v>#REF!</v>
      </c>
      <c r="AD124" t="e">
        <v>#REF!</v>
      </c>
    </row>
    <row r="125" spans="1:30" x14ac:dyDescent="0.35">
      <c r="A125" t="s">
        <v>145</v>
      </c>
      <c r="B125">
        <v>2141</v>
      </c>
      <c r="C125" t="s">
        <v>447</v>
      </c>
      <c r="D125">
        <v>2117</v>
      </c>
      <c r="E125" t="s">
        <v>296</v>
      </c>
      <c r="F125" t="s">
        <v>273</v>
      </c>
      <c r="G125" t="s">
        <v>987</v>
      </c>
      <c r="H125" t="s">
        <v>988</v>
      </c>
      <c r="I125" t="e">
        <v>#REF!</v>
      </c>
      <c r="J125" t="s">
        <v>2701</v>
      </c>
      <c r="K125" t="s">
        <v>2144</v>
      </c>
      <c r="L125" t="s">
        <v>989</v>
      </c>
      <c r="M125" t="s">
        <v>276</v>
      </c>
      <c r="N125" t="s">
        <v>2702</v>
      </c>
      <c r="O125" t="s">
        <v>2703</v>
      </c>
      <c r="P125" t="s">
        <v>990</v>
      </c>
      <c r="Q125" t="s">
        <v>2704</v>
      </c>
      <c r="R125" t="s">
        <v>2144</v>
      </c>
      <c r="S125" t="s">
        <v>2705</v>
      </c>
      <c r="U125" t="s">
        <v>723</v>
      </c>
      <c r="V125" t="s">
        <v>991</v>
      </c>
      <c r="W125" t="e">
        <v>#REF!</v>
      </c>
      <c r="X125" s="10">
        <v>5036787102</v>
      </c>
      <c r="AA125" t="s">
        <v>992</v>
      </c>
      <c r="AB125" t="e">
        <v>#REF!</v>
      </c>
      <c r="AC125" t="e">
        <v>#REF!</v>
      </c>
      <c r="AD125" t="e">
        <v>#REF!</v>
      </c>
    </row>
    <row r="126" spans="1:30" x14ac:dyDescent="0.35">
      <c r="A126" t="s">
        <v>146</v>
      </c>
      <c r="B126">
        <v>2214</v>
      </c>
      <c r="C126" t="s">
        <v>531</v>
      </c>
      <c r="D126">
        <v>2200</v>
      </c>
      <c r="E126" t="s">
        <v>351</v>
      </c>
      <c r="F126" t="s">
        <v>273</v>
      </c>
      <c r="G126" t="s">
        <v>808</v>
      </c>
      <c r="H126" t="s">
        <v>993</v>
      </c>
      <c r="I126" t="e">
        <v>#REF!</v>
      </c>
      <c r="J126" t="s">
        <v>2706</v>
      </c>
      <c r="K126" t="s">
        <v>2707</v>
      </c>
      <c r="L126" t="s">
        <v>994</v>
      </c>
      <c r="M126" t="s">
        <v>276</v>
      </c>
      <c r="N126" t="s">
        <v>414</v>
      </c>
      <c r="O126" t="s">
        <v>415</v>
      </c>
      <c r="P126" t="s">
        <v>416</v>
      </c>
      <c r="Q126" t="s">
        <v>2330</v>
      </c>
      <c r="R126" t="s">
        <v>2144</v>
      </c>
      <c r="S126" t="s">
        <v>635</v>
      </c>
      <c r="U126" t="s">
        <v>630</v>
      </c>
      <c r="V126" t="s">
        <v>320</v>
      </c>
      <c r="W126" t="e">
        <v>#REF!</v>
      </c>
      <c r="X126" s="10">
        <v>5419663216</v>
      </c>
      <c r="AA126" t="s">
        <v>631</v>
      </c>
      <c r="AB126" t="e">
        <v>#REF!</v>
      </c>
      <c r="AC126" t="e">
        <v>#REF!</v>
      </c>
      <c r="AD126" t="e">
        <v>#REF!</v>
      </c>
    </row>
    <row r="127" spans="1:30" x14ac:dyDescent="0.35">
      <c r="A127" t="s">
        <v>147</v>
      </c>
      <c r="B127">
        <v>2143</v>
      </c>
      <c r="C127" t="s">
        <v>447</v>
      </c>
      <c r="D127">
        <v>2117</v>
      </c>
      <c r="E127" t="s">
        <v>296</v>
      </c>
      <c r="F127" t="s">
        <v>273</v>
      </c>
      <c r="G127" t="s">
        <v>807</v>
      </c>
      <c r="H127" t="s">
        <v>2708</v>
      </c>
      <c r="I127" t="e">
        <v>#REF!</v>
      </c>
      <c r="J127" t="s">
        <v>2709</v>
      </c>
      <c r="K127" t="s">
        <v>2144</v>
      </c>
      <c r="L127" t="s">
        <v>2710</v>
      </c>
      <c r="M127" t="s">
        <v>276</v>
      </c>
      <c r="N127" t="s">
        <v>995</v>
      </c>
      <c r="O127" t="s">
        <v>996</v>
      </c>
      <c r="P127" t="s">
        <v>997</v>
      </c>
      <c r="Q127" t="s">
        <v>2711</v>
      </c>
      <c r="R127" t="s">
        <v>2144</v>
      </c>
      <c r="S127" t="s">
        <v>998</v>
      </c>
      <c r="U127" t="s">
        <v>999</v>
      </c>
      <c r="V127" t="s">
        <v>1000</v>
      </c>
      <c r="W127" t="e">
        <v>#REF!</v>
      </c>
      <c r="X127" s="10">
        <v>5037696924</v>
      </c>
      <c r="AA127" t="s">
        <v>1001</v>
      </c>
      <c r="AB127" t="e">
        <v>#REF!</v>
      </c>
      <c r="AC127" t="e">
        <v>#REF!</v>
      </c>
      <c r="AD127" t="e">
        <v>#REF!</v>
      </c>
    </row>
    <row r="128" spans="1:30" x14ac:dyDescent="0.35">
      <c r="A128" t="s">
        <v>148</v>
      </c>
      <c r="B128">
        <v>4131</v>
      </c>
      <c r="C128" t="s">
        <v>612</v>
      </c>
      <c r="D128">
        <v>2223</v>
      </c>
      <c r="E128" t="s">
        <v>613</v>
      </c>
      <c r="F128" t="s">
        <v>273</v>
      </c>
      <c r="G128" t="s">
        <v>688</v>
      </c>
      <c r="H128" t="s">
        <v>2712</v>
      </c>
      <c r="I128" t="e">
        <v>#REF!</v>
      </c>
      <c r="J128" t="s">
        <v>2713</v>
      </c>
      <c r="K128" t="s">
        <v>2144</v>
      </c>
      <c r="L128" t="s">
        <v>2714</v>
      </c>
      <c r="M128" t="s">
        <v>276</v>
      </c>
      <c r="N128" t="s">
        <v>393</v>
      </c>
      <c r="O128" t="s">
        <v>2715</v>
      </c>
      <c r="P128" t="s">
        <v>1003</v>
      </c>
      <c r="Q128" t="s">
        <v>2716</v>
      </c>
      <c r="R128" t="s">
        <v>2717</v>
      </c>
      <c r="S128" t="s">
        <v>2718</v>
      </c>
      <c r="U128" t="s">
        <v>520</v>
      </c>
      <c r="V128" t="s">
        <v>525</v>
      </c>
      <c r="W128" t="e">
        <v>#REF!</v>
      </c>
      <c r="X128" s="10">
        <v>5415063424</v>
      </c>
      <c r="AA128" t="s">
        <v>1004</v>
      </c>
      <c r="AB128" t="e">
        <v>#REF!</v>
      </c>
      <c r="AC128" t="e">
        <v>#REF!</v>
      </c>
      <c r="AD128" t="e">
        <v>#REF!</v>
      </c>
    </row>
    <row r="129" spans="1:30" x14ac:dyDescent="0.35">
      <c r="A129" t="s">
        <v>149</v>
      </c>
      <c r="B129">
        <v>2110</v>
      </c>
      <c r="C129" t="s">
        <v>278</v>
      </c>
      <c r="D129">
        <v>2106</v>
      </c>
      <c r="E129" t="s">
        <v>279</v>
      </c>
      <c r="F129" t="s">
        <v>273</v>
      </c>
      <c r="G129" t="s">
        <v>1005</v>
      </c>
      <c r="H129" t="s">
        <v>540</v>
      </c>
      <c r="I129" t="e">
        <v>#REF!</v>
      </c>
      <c r="J129" t="s">
        <v>2719</v>
      </c>
      <c r="K129" t="s">
        <v>2144</v>
      </c>
      <c r="L129" t="s">
        <v>1006</v>
      </c>
      <c r="M129" t="s">
        <v>276</v>
      </c>
      <c r="N129" t="s">
        <v>2720</v>
      </c>
      <c r="O129" t="s">
        <v>2721</v>
      </c>
      <c r="P129" t="s">
        <v>1007</v>
      </c>
      <c r="Q129" t="s">
        <v>2719</v>
      </c>
      <c r="R129" t="s">
        <v>2144</v>
      </c>
      <c r="S129" t="s">
        <v>2722</v>
      </c>
      <c r="U129" t="s">
        <v>1008</v>
      </c>
      <c r="V129" t="s">
        <v>1009</v>
      </c>
      <c r="W129" t="e">
        <v>#REF!</v>
      </c>
      <c r="X129" s="10">
        <v>5413722275</v>
      </c>
      <c r="AA129" t="s">
        <v>1010</v>
      </c>
      <c r="AB129" t="e">
        <v>#REF!</v>
      </c>
      <c r="AC129" t="e">
        <v>#REF!</v>
      </c>
      <c r="AD129" t="e">
        <v>#REF!</v>
      </c>
    </row>
    <row r="130" spans="1:30" x14ac:dyDescent="0.35">
      <c r="A130" t="s">
        <v>150</v>
      </c>
      <c r="B130">
        <v>1990</v>
      </c>
      <c r="C130" t="s">
        <v>431</v>
      </c>
      <c r="D130">
        <v>1980</v>
      </c>
      <c r="E130" t="s">
        <v>432</v>
      </c>
      <c r="F130" t="s">
        <v>273</v>
      </c>
      <c r="G130" t="s">
        <v>297</v>
      </c>
      <c r="H130" t="s">
        <v>298</v>
      </c>
      <c r="I130" t="e">
        <v>#REF!</v>
      </c>
      <c r="J130" t="s">
        <v>2723</v>
      </c>
      <c r="K130" t="s">
        <v>2724</v>
      </c>
      <c r="L130" t="s">
        <v>2725</v>
      </c>
      <c r="M130" t="s">
        <v>276</v>
      </c>
      <c r="N130" t="s">
        <v>297</v>
      </c>
      <c r="O130" t="s">
        <v>298</v>
      </c>
      <c r="P130" t="s">
        <v>1011</v>
      </c>
      <c r="Q130" t="s">
        <v>2723</v>
      </c>
      <c r="R130" t="s">
        <v>2724</v>
      </c>
      <c r="S130" t="s">
        <v>2725</v>
      </c>
      <c r="U130" t="s">
        <v>866</v>
      </c>
      <c r="V130" t="s">
        <v>1012</v>
      </c>
      <c r="W130" t="e">
        <v>#REF!</v>
      </c>
      <c r="X130" s="10">
        <v>5414594341</v>
      </c>
      <c r="AA130" t="s">
        <v>1013</v>
      </c>
      <c r="AB130" t="e">
        <v>#REF!</v>
      </c>
      <c r="AC130" t="e">
        <v>#REF!</v>
      </c>
      <c r="AD130" t="e">
        <v>#REF!</v>
      </c>
    </row>
    <row r="131" spans="1:30" x14ac:dyDescent="0.35">
      <c r="A131" t="s">
        <v>151</v>
      </c>
      <c r="B131">
        <v>2093</v>
      </c>
      <c r="C131" t="s">
        <v>390</v>
      </c>
      <c r="D131">
        <v>2064</v>
      </c>
      <c r="E131" t="s">
        <v>391</v>
      </c>
      <c r="F131" t="s">
        <v>273</v>
      </c>
      <c r="G131" t="s">
        <v>1014</v>
      </c>
      <c r="H131" t="s">
        <v>1015</v>
      </c>
      <c r="I131" t="e">
        <v>#REF!</v>
      </c>
      <c r="J131" t="s">
        <v>2726</v>
      </c>
      <c r="K131" t="s">
        <v>2727</v>
      </c>
      <c r="L131" t="s">
        <v>1016</v>
      </c>
      <c r="M131" t="s">
        <v>276</v>
      </c>
      <c r="N131" t="s">
        <v>1017</v>
      </c>
      <c r="O131" t="s">
        <v>1018</v>
      </c>
      <c r="P131" t="s">
        <v>1019</v>
      </c>
      <c r="Q131" t="s">
        <v>2728</v>
      </c>
      <c r="R131" t="s">
        <v>2729</v>
      </c>
      <c r="S131" t="s">
        <v>1020</v>
      </c>
      <c r="U131" t="s">
        <v>1021</v>
      </c>
      <c r="V131" t="s">
        <v>1022</v>
      </c>
      <c r="W131" t="e">
        <v>#REF!</v>
      </c>
      <c r="X131" s="10">
        <v>5417822813</v>
      </c>
      <c r="AA131" t="s">
        <v>1023</v>
      </c>
      <c r="AB131" t="e">
        <v>#REF!</v>
      </c>
      <c r="AC131" t="e">
        <v>#REF!</v>
      </c>
      <c r="AD131" t="e">
        <v>#REF!</v>
      </c>
    </row>
    <row r="132" spans="1:30" x14ac:dyDescent="0.35">
      <c r="A132" t="s">
        <v>152</v>
      </c>
      <c r="B132">
        <v>2108</v>
      </c>
      <c r="C132" t="s">
        <v>278</v>
      </c>
      <c r="D132">
        <v>2106</v>
      </c>
      <c r="E132" t="s">
        <v>279</v>
      </c>
      <c r="F132" t="s">
        <v>273</v>
      </c>
      <c r="G132" t="s">
        <v>1024</v>
      </c>
      <c r="H132" t="s">
        <v>1025</v>
      </c>
      <c r="I132" t="e">
        <v>#REF!</v>
      </c>
      <c r="J132" t="s">
        <v>2730</v>
      </c>
      <c r="K132" t="s">
        <v>2731</v>
      </c>
      <c r="L132" t="s">
        <v>2732</v>
      </c>
      <c r="M132" t="s">
        <v>276</v>
      </c>
      <c r="N132" t="s">
        <v>703</v>
      </c>
      <c r="O132" t="s">
        <v>1026</v>
      </c>
      <c r="P132" t="s">
        <v>1027</v>
      </c>
      <c r="Q132" t="s">
        <v>2730</v>
      </c>
      <c r="R132" t="s">
        <v>2733</v>
      </c>
      <c r="S132" t="s">
        <v>1028</v>
      </c>
      <c r="U132" t="s">
        <v>1029</v>
      </c>
      <c r="V132" t="s">
        <v>1030</v>
      </c>
      <c r="W132" t="e">
        <v>#REF!</v>
      </c>
      <c r="X132" s="10">
        <v>5418895374</v>
      </c>
      <c r="AA132" t="s">
        <v>1031</v>
      </c>
      <c r="AB132" t="e">
        <v>#REF!</v>
      </c>
      <c r="AC132" t="e">
        <v>#REF!</v>
      </c>
      <c r="AD132" t="e">
        <v>#REF!</v>
      </c>
    </row>
    <row r="133" spans="1:30" x14ac:dyDescent="0.35">
      <c r="A133" t="s">
        <v>153</v>
      </c>
      <c r="B133">
        <v>1928</v>
      </c>
      <c r="C133" t="s">
        <v>440</v>
      </c>
      <c r="D133">
        <v>1902</v>
      </c>
      <c r="E133" t="s">
        <v>441</v>
      </c>
      <c r="F133" t="s">
        <v>273</v>
      </c>
      <c r="G133" t="s">
        <v>2734</v>
      </c>
      <c r="H133" t="s">
        <v>2735</v>
      </c>
      <c r="I133" t="e">
        <v>#REF!</v>
      </c>
      <c r="J133" t="s">
        <v>2736</v>
      </c>
      <c r="K133" t="s">
        <v>2737</v>
      </c>
      <c r="L133" t="s">
        <v>2738</v>
      </c>
      <c r="M133" t="s">
        <v>276</v>
      </c>
      <c r="N133" t="s">
        <v>703</v>
      </c>
      <c r="O133" t="s">
        <v>2739</v>
      </c>
      <c r="P133" t="s">
        <v>1033</v>
      </c>
      <c r="Q133" t="s">
        <v>2736</v>
      </c>
      <c r="R133" t="s">
        <v>2144</v>
      </c>
      <c r="S133" t="s">
        <v>2740</v>
      </c>
      <c r="U133" t="s">
        <v>692</v>
      </c>
      <c r="V133" t="s">
        <v>1034</v>
      </c>
      <c r="W133" t="e">
        <v>#REF!</v>
      </c>
      <c r="X133" s="10">
        <v>5037858424</v>
      </c>
      <c r="AA133" t="s">
        <v>1035</v>
      </c>
      <c r="AB133" t="e">
        <v>#REF!</v>
      </c>
      <c r="AC133" t="e">
        <v>#REF!</v>
      </c>
      <c r="AD133" t="e">
        <v>#REF!</v>
      </c>
    </row>
    <row r="134" spans="1:30" x14ac:dyDescent="0.35">
      <c r="A134" t="s">
        <v>154</v>
      </c>
      <c r="B134">
        <v>1926</v>
      </c>
      <c r="C134" t="s">
        <v>440</v>
      </c>
      <c r="D134">
        <v>1902</v>
      </c>
      <c r="E134" t="s">
        <v>441</v>
      </c>
      <c r="F134" t="s">
        <v>273</v>
      </c>
      <c r="G134" t="s">
        <v>897</v>
      </c>
      <c r="H134" t="s">
        <v>1036</v>
      </c>
      <c r="I134" t="e">
        <v>#REF!</v>
      </c>
      <c r="J134" t="s">
        <v>2741</v>
      </c>
      <c r="K134" t="s">
        <v>2144</v>
      </c>
      <c r="L134" t="s">
        <v>1037</v>
      </c>
      <c r="M134" t="s">
        <v>276</v>
      </c>
      <c r="N134" t="s">
        <v>292</v>
      </c>
      <c r="O134" t="s">
        <v>1038</v>
      </c>
      <c r="P134" t="s">
        <v>1039</v>
      </c>
      <c r="Q134" t="s">
        <v>2742</v>
      </c>
      <c r="R134" t="s">
        <v>2743</v>
      </c>
      <c r="S134" t="s">
        <v>2744</v>
      </c>
      <c r="U134" t="s">
        <v>464</v>
      </c>
      <c r="V134" t="s">
        <v>1040</v>
      </c>
      <c r="W134" t="e">
        <v>#REF!</v>
      </c>
      <c r="X134" s="10">
        <v>5036685541</v>
      </c>
      <c r="AA134" t="s">
        <v>1041</v>
      </c>
      <c r="AB134" t="e">
        <v>#REF!</v>
      </c>
      <c r="AC134" t="e">
        <v>#REF!</v>
      </c>
      <c r="AD134" t="e">
        <v>#REF!</v>
      </c>
    </row>
    <row r="135" spans="1:30" x14ac:dyDescent="0.35">
      <c r="A135" t="s">
        <v>155</v>
      </c>
      <c r="B135">
        <v>2060</v>
      </c>
      <c r="C135" t="s">
        <v>271</v>
      </c>
      <c r="D135">
        <v>2058</v>
      </c>
      <c r="E135" t="s">
        <v>272</v>
      </c>
      <c r="F135" t="s">
        <v>273</v>
      </c>
      <c r="G135" t="s">
        <v>458</v>
      </c>
      <c r="H135" t="s">
        <v>1042</v>
      </c>
      <c r="I135" t="e">
        <v>#REF!</v>
      </c>
      <c r="J135" t="s">
        <v>2745</v>
      </c>
      <c r="K135" t="s">
        <v>2144</v>
      </c>
      <c r="L135" t="s">
        <v>1043</v>
      </c>
      <c r="M135" t="s">
        <v>276</v>
      </c>
      <c r="N135" t="s">
        <v>390</v>
      </c>
      <c r="O135" t="s">
        <v>2142</v>
      </c>
      <c r="P135" t="s">
        <v>277</v>
      </c>
      <c r="Q135" t="s">
        <v>2143</v>
      </c>
      <c r="R135" t="s">
        <v>2144</v>
      </c>
      <c r="S135" t="s">
        <v>2145</v>
      </c>
      <c r="U135" t="s">
        <v>1044</v>
      </c>
      <c r="V135" t="s">
        <v>1045</v>
      </c>
      <c r="W135" t="e">
        <v>#REF!</v>
      </c>
      <c r="X135" s="10">
        <v>5419433111</v>
      </c>
      <c r="Y135" t="s">
        <v>1046</v>
      </c>
      <c r="AA135" t="s">
        <v>1047</v>
      </c>
      <c r="AB135" t="e">
        <v>#REF!</v>
      </c>
      <c r="AC135" t="e">
        <v>#REF!</v>
      </c>
      <c r="AD135" t="e">
        <v>#REF!</v>
      </c>
    </row>
    <row r="136" spans="1:30" x14ac:dyDescent="0.35">
      <c r="A136" t="s">
        <v>156</v>
      </c>
      <c r="B136">
        <v>2181</v>
      </c>
      <c r="C136" t="s">
        <v>456</v>
      </c>
      <c r="D136">
        <v>2148</v>
      </c>
      <c r="E136" t="s">
        <v>457</v>
      </c>
      <c r="F136" t="s">
        <v>273</v>
      </c>
      <c r="G136" t="s">
        <v>539</v>
      </c>
      <c r="H136" t="s">
        <v>1048</v>
      </c>
      <c r="I136" t="e">
        <v>#REF!</v>
      </c>
      <c r="J136" t="s">
        <v>2746</v>
      </c>
      <c r="K136" t="s">
        <v>2144</v>
      </c>
      <c r="L136" t="s">
        <v>2747</v>
      </c>
      <c r="M136" t="s">
        <v>276</v>
      </c>
      <c r="N136" t="s">
        <v>591</v>
      </c>
      <c r="O136" t="s">
        <v>1049</v>
      </c>
      <c r="P136" t="s">
        <v>1050</v>
      </c>
      <c r="Q136" t="s">
        <v>2748</v>
      </c>
      <c r="R136" t="s">
        <v>2144</v>
      </c>
      <c r="S136" t="s">
        <v>1806</v>
      </c>
      <c r="U136" t="s">
        <v>1051</v>
      </c>
      <c r="V136" t="s">
        <v>853</v>
      </c>
      <c r="W136" t="e">
        <v>#REF!</v>
      </c>
      <c r="X136" s="10">
        <v>5034082103</v>
      </c>
      <c r="AA136" t="s">
        <v>1052</v>
      </c>
      <c r="AB136" t="e">
        <v>#REF!</v>
      </c>
      <c r="AC136" t="e">
        <v>#REF!</v>
      </c>
      <c r="AD136" t="e">
        <v>#REF!</v>
      </c>
    </row>
    <row r="137" spans="1:30" x14ac:dyDescent="0.35">
      <c r="A137" t="s">
        <v>157</v>
      </c>
      <c r="B137">
        <v>2207</v>
      </c>
      <c r="C137" t="s">
        <v>350</v>
      </c>
      <c r="D137">
        <v>2200</v>
      </c>
      <c r="E137" t="s">
        <v>351</v>
      </c>
      <c r="F137" t="s">
        <v>273</v>
      </c>
      <c r="G137" t="s">
        <v>280</v>
      </c>
      <c r="H137" t="s">
        <v>2749</v>
      </c>
      <c r="I137" t="e">
        <v>#REF!</v>
      </c>
      <c r="J137" t="s">
        <v>2750</v>
      </c>
      <c r="K137" t="s">
        <v>2751</v>
      </c>
      <c r="L137" t="s">
        <v>2752</v>
      </c>
      <c r="M137" t="s">
        <v>276</v>
      </c>
      <c r="N137" t="s">
        <v>591</v>
      </c>
      <c r="O137" t="s">
        <v>627</v>
      </c>
      <c r="P137" t="s">
        <v>1053</v>
      </c>
      <c r="Q137" t="s">
        <v>2750</v>
      </c>
      <c r="R137" t="s">
        <v>2753</v>
      </c>
      <c r="S137" t="s">
        <v>1054</v>
      </c>
      <c r="U137" t="s">
        <v>361</v>
      </c>
      <c r="V137" t="s">
        <v>282</v>
      </c>
      <c r="W137" t="e">
        <v>#REF!</v>
      </c>
      <c r="X137" s="10">
        <v>5419663259</v>
      </c>
      <c r="AA137" t="s">
        <v>1854</v>
      </c>
      <c r="AB137" t="e">
        <v>#REF!</v>
      </c>
      <c r="AC137" t="e">
        <v>#REF!</v>
      </c>
      <c r="AD137" t="e">
        <v>#REF!</v>
      </c>
    </row>
    <row r="138" spans="1:30" x14ac:dyDescent="0.35">
      <c r="A138" t="s">
        <v>158</v>
      </c>
      <c r="B138">
        <v>2192</v>
      </c>
      <c r="C138" t="s">
        <v>484</v>
      </c>
      <c r="D138">
        <v>2117</v>
      </c>
      <c r="E138" t="s">
        <v>296</v>
      </c>
      <c r="F138" t="s">
        <v>273</v>
      </c>
      <c r="G138" t="s">
        <v>1055</v>
      </c>
      <c r="H138" t="s">
        <v>1056</v>
      </c>
      <c r="I138" t="e">
        <v>#REF!</v>
      </c>
      <c r="J138" t="s">
        <v>2754</v>
      </c>
      <c r="K138" t="s">
        <v>2144</v>
      </c>
      <c r="L138" t="s">
        <v>1057</v>
      </c>
      <c r="M138" t="s">
        <v>276</v>
      </c>
      <c r="N138" t="s">
        <v>1058</v>
      </c>
      <c r="O138" t="s">
        <v>1059</v>
      </c>
      <c r="P138" t="s">
        <v>1060</v>
      </c>
      <c r="Q138" t="s">
        <v>2754</v>
      </c>
      <c r="R138" t="s">
        <v>2144</v>
      </c>
      <c r="S138" t="s">
        <v>1061</v>
      </c>
      <c r="U138" t="s">
        <v>1062</v>
      </c>
      <c r="V138" t="s">
        <v>443</v>
      </c>
      <c r="W138" t="e">
        <v>#REF!</v>
      </c>
      <c r="X138" s="10">
        <v>5036232040</v>
      </c>
      <c r="Y138" t="s">
        <v>1063</v>
      </c>
      <c r="AA138" t="s">
        <v>1064</v>
      </c>
      <c r="AB138" t="e">
        <v>#REF!</v>
      </c>
      <c r="AC138" t="e">
        <v>#REF!</v>
      </c>
      <c r="AD138" t="e">
        <v>#REF!</v>
      </c>
    </row>
    <row r="139" spans="1:30" x14ac:dyDescent="0.35">
      <c r="A139" t="s">
        <v>160</v>
      </c>
      <c r="B139">
        <v>1900</v>
      </c>
      <c r="C139" t="s">
        <v>289</v>
      </c>
      <c r="D139">
        <v>2098</v>
      </c>
      <c r="E139" t="s">
        <v>290</v>
      </c>
      <c r="F139" t="s">
        <v>273</v>
      </c>
      <c r="G139" t="s">
        <v>692</v>
      </c>
      <c r="H139" t="s">
        <v>2755</v>
      </c>
      <c r="I139" t="e">
        <v>#REF!</v>
      </c>
      <c r="J139" t="s">
        <v>2756</v>
      </c>
      <c r="K139" t="s">
        <v>2144</v>
      </c>
      <c r="L139" t="s">
        <v>2757</v>
      </c>
      <c r="M139" t="s">
        <v>276</v>
      </c>
      <c r="N139" t="s">
        <v>2758</v>
      </c>
      <c r="O139" t="s">
        <v>2759</v>
      </c>
      <c r="P139" t="s">
        <v>1067</v>
      </c>
      <c r="Q139" t="s">
        <v>2760</v>
      </c>
      <c r="R139" t="s">
        <v>2144</v>
      </c>
      <c r="S139" t="s">
        <v>2761</v>
      </c>
      <c r="U139" t="s">
        <v>914</v>
      </c>
      <c r="V139" t="s">
        <v>1068</v>
      </c>
      <c r="W139" t="e">
        <v>#REF!</v>
      </c>
      <c r="X139" s="10">
        <v>5419293169</v>
      </c>
      <c r="Y139" t="s">
        <v>1069</v>
      </c>
      <c r="AA139" t="s">
        <v>1070</v>
      </c>
      <c r="AB139" t="e">
        <v>#REF!</v>
      </c>
      <c r="AC139" t="e">
        <v>#REF!</v>
      </c>
      <c r="AD139" t="e">
        <v>#REF!</v>
      </c>
    </row>
    <row r="140" spans="1:30" x14ac:dyDescent="0.35">
      <c r="A140" t="s">
        <v>161</v>
      </c>
      <c r="B140">
        <v>2039</v>
      </c>
      <c r="C140" t="s">
        <v>318</v>
      </c>
      <c r="D140">
        <v>2025</v>
      </c>
      <c r="E140" t="s">
        <v>319</v>
      </c>
      <c r="F140" t="s">
        <v>273</v>
      </c>
      <c r="G140" t="s">
        <v>885</v>
      </c>
      <c r="H140" t="s">
        <v>357</v>
      </c>
      <c r="I140" t="e">
        <v>#REF!</v>
      </c>
      <c r="J140" t="s">
        <v>2762</v>
      </c>
      <c r="K140" t="s">
        <v>2144</v>
      </c>
      <c r="L140" t="s">
        <v>2763</v>
      </c>
      <c r="M140" t="s">
        <v>276</v>
      </c>
      <c r="N140" t="s">
        <v>1071</v>
      </c>
      <c r="O140" t="s">
        <v>1072</v>
      </c>
      <c r="P140" t="s">
        <v>1073</v>
      </c>
      <c r="Q140" t="s">
        <v>2764</v>
      </c>
      <c r="R140" t="s">
        <v>2144</v>
      </c>
      <c r="S140" t="s">
        <v>1074</v>
      </c>
      <c r="T140" t="s">
        <v>1879</v>
      </c>
      <c r="U140" t="s">
        <v>1826</v>
      </c>
      <c r="V140" t="s">
        <v>1827</v>
      </c>
      <c r="W140" t="e">
        <v>#REF!</v>
      </c>
      <c r="X140" s="10">
        <v>5415357504</v>
      </c>
      <c r="Y140">
        <v>1013</v>
      </c>
      <c r="AA140" t="s">
        <v>1855</v>
      </c>
      <c r="AB140" t="e">
        <v>#REF!</v>
      </c>
      <c r="AC140" t="e">
        <v>#REF!</v>
      </c>
      <c r="AD140" t="e">
        <v>#REF!</v>
      </c>
    </row>
    <row r="141" spans="1:30" x14ac:dyDescent="0.35">
      <c r="A141" t="s">
        <v>162</v>
      </c>
      <c r="B141">
        <v>2202</v>
      </c>
      <c r="C141" t="s">
        <v>350</v>
      </c>
      <c r="D141">
        <v>2200</v>
      </c>
      <c r="E141" t="s">
        <v>351</v>
      </c>
      <c r="F141" t="s">
        <v>273</v>
      </c>
      <c r="G141" t="s">
        <v>930</v>
      </c>
      <c r="H141" t="s">
        <v>2765</v>
      </c>
      <c r="I141" t="e">
        <v>#REF!</v>
      </c>
      <c r="J141" t="s">
        <v>2766</v>
      </c>
      <c r="K141" t="s">
        <v>2767</v>
      </c>
      <c r="L141" t="s">
        <v>2768</v>
      </c>
      <c r="M141" t="s">
        <v>276</v>
      </c>
      <c r="N141" t="s">
        <v>2388</v>
      </c>
      <c r="O141" t="s">
        <v>2389</v>
      </c>
      <c r="P141" t="s">
        <v>416</v>
      </c>
      <c r="Q141" t="s">
        <v>2390</v>
      </c>
      <c r="R141" t="s">
        <v>2144</v>
      </c>
      <c r="S141" t="s">
        <v>2391</v>
      </c>
      <c r="T141" t="s">
        <v>1874</v>
      </c>
      <c r="U141" t="s">
        <v>754</v>
      </c>
      <c r="V141" t="s">
        <v>755</v>
      </c>
      <c r="W141" t="e">
        <v>#REF!</v>
      </c>
      <c r="X141" s="10">
        <v>5419663103</v>
      </c>
      <c r="AA141" t="s">
        <v>756</v>
      </c>
      <c r="AB141" t="e">
        <v>#REF!</v>
      </c>
      <c r="AC141" t="e">
        <v>#REF!</v>
      </c>
      <c r="AD141" t="e">
        <v>#REF!</v>
      </c>
    </row>
    <row r="142" spans="1:30" x14ac:dyDescent="0.35">
      <c r="A142" t="s">
        <v>163</v>
      </c>
      <c r="B142">
        <v>2016</v>
      </c>
      <c r="C142" t="s">
        <v>584</v>
      </c>
      <c r="D142">
        <v>2013</v>
      </c>
      <c r="E142" t="s">
        <v>585</v>
      </c>
      <c r="F142" t="s">
        <v>273</v>
      </c>
      <c r="G142" t="s">
        <v>1256</v>
      </c>
      <c r="H142" t="s">
        <v>1257</v>
      </c>
      <c r="I142" t="e">
        <v>#REF!</v>
      </c>
      <c r="J142" t="s">
        <v>2492</v>
      </c>
      <c r="K142" t="s">
        <v>2493</v>
      </c>
      <c r="L142" t="s">
        <v>2769</v>
      </c>
      <c r="M142" t="s">
        <v>276</v>
      </c>
      <c r="N142" t="s">
        <v>576</v>
      </c>
      <c r="O142" t="s">
        <v>2369</v>
      </c>
      <c r="P142" t="s">
        <v>587</v>
      </c>
      <c r="Q142" t="s">
        <v>2370</v>
      </c>
      <c r="R142" t="s">
        <v>2371</v>
      </c>
      <c r="S142" t="s">
        <v>2372</v>
      </c>
      <c r="U142" t="s">
        <v>744</v>
      </c>
      <c r="V142" t="s">
        <v>459</v>
      </c>
      <c r="W142" t="e">
        <v>#REF!</v>
      </c>
      <c r="X142" s="10">
        <v>5415734824</v>
      </c>
      <c r="AA142" t="s">
        <v>745</v>
      </c>
      <c r="AB142" t="e">
        <v>#REF!</v>
      </c>
      <c r="AC142" t="e">
        <v>#REF!</v>
      </c>
      <c r="AD142" t="e">
        <v>#REF!</v>
      </c>
    </row>
    <row r="143" spans="1:30" x14ac:dyDescent="0.35">
      <c r="A143" t="s">
        <v>164</v>
      </c>
      <c r="B143">
        <v>1897</v>
      </c>
      <c r="C143" t="s">
        <v>355</v>
      </c>
      <c r="D143">
        <v>2200</v>
      </c>
      <c r="E143" t="s">
        <v>351</v>
      </c>
      <c r="F143" t="s">
        <v>273</v>
      </c>
      <c r="G143" t="s">
        <v>1075</v>
      </c>
      <c r="H143" t="s">
        <v>1077</v>
      </c>
      <c r="I143" t="e">
        <v>#REF!</v>
      </c>
      <c r="J143" t="s">
        <v>2770</v>
      </c>
      <c r="K143" t="s">
        <v>2144</v>
      </c>
      <c r="L143" t="s">
        <v>1076</v>
      </c>
      <c r="M143" t="s">
        <v>276</v>
      </c>
      <c r="N143" t="s">
        <v>1075</v>
      </c>
      <c r="O143" t="s">
        <v>1077</v>
      </c>
      <c r="P143" t="s">
        <v>1078</v>
      </c>
      <c r="Q143" t="s">
        <v>2770</v>
      </c>
      <c r="R143" t="s">
        <v>2144</v>
      </c>
      <c r="S143" t="s">
        <v>1076</v>
      </c>
      <c r="T143" t="s">
        <v>1880</v>
      </c>
      <c r="U143" t="s">
        <v>505</v>
      </c>
      <c r="V143" t="s">
        <v>1079</v>
      </c>
      <c r="W143" t="e">
        <v>#REF!</v>
      </c>
      <c r="X143" s="10">
        <v>5417422550</v>
      </c>
      <c r="AA143" t="s">
        <v>1080</v>
      </c>
      <c r="AB143" t="e">
        <v>#REF!</v>
      </c>
      <c r="AC143" t="e">
        <v>#REF!</v>
      </c>
      <c r="AD143" t="e">
        <v>#REF!</v>
      </c>
    </row>
    <row r="144" spans="1:30" x14ac:dyDescent="0.35">
      <c r="A144" t="s">
        <v>165</v>
      </c>
      <c r="B144">
        <v>2047</v>
      </c>
      <c r="C144" t="s">
        <v>318</v>
      </c>
      <c r="D144">
        <v>2025</v>
      </c>
      <c r="E144" t="s">
        <v>319</v>
      </c>
      <c r="F144" t="s">
        <v>273</v>
      </c>
      <c r="G144" t="s">
        <v>1343</v>
      </c>
      <c r="H144" t="s">
        <v>2771</v>
      </c>
      <c r="I144" t="e">
        <v>#REF!</v>
      </c>
      <c r="J144" t="s">
        <v>2772</v>
      </c>
      <c r="K144" t="s">
        <v>2144</v>
      </c>
      <c r="L144" t="s">
        <v>2773</v>
      </c>
      <c r="M144" t="s">
        <v>276</v>
      </c>
      <c r="N144" t="s">
        <v>692</v>
      </c>
      <c r="O144" t="s">
        <v>1081</v>
      </c>
      <c r="P144" t="s">
        <v>1082</v>
      </c>
      <c r="Q144" t="s">
        <v>2774</v>
      </c>
      <c r="R144" t="s">
        <v>2775</v>
      </c>
      <c r="S144" t="s">
        <v>1083</v>
      </c>
      <c r="U144" t="s">
        <v>785</v>
      </c>
      <c r="V144" t="s">
        <v>1084</v>
      </c>
      <c r="W144" t="e">
        <v>#REF!</v>
      </c>
      <c r="X144" s="10">
        <v>5414821910</v>
      </c>
      <c r="AA144" t="s">
        <v>1085</v>
      </c>
      <c r="AB144" t="e">
        <v>#REF!</v>
      </c>
      <c r="AC144" t="e">
        <v>#REF!</v>
      </c>
      <c r="AD144" t="e">
        <v>#REF!</v>
      </c>
    </row>
    <row r="145" spans="1:30" x14ac:dyDescent="0.35">
      <c r="A145" t="s">
        <v>166</v>
      </c>
      <c r="B145">
        <v>2081</v>
      </c>
      <c r="C145" t="s">
        <v>390</v>
      </c>
      <c r="D145">
        <v>2064</v>
      </c>
      <c r="E145" t="s">
        <v>391</v>
      </c>
      <c r="F145" t="s">
        <v>273</v>
      </c>
      <c r="G145" t="s">
        <v>383</v>
      </c>
      <c r="H145" t="s">
        <v>2776</v>
      </c>
      <c r="I145" t="e">
        <v>#REF!</v>
      </c>
      <c r="J145" t="s">
        <v>2777</v>
      </c>
      <c r="K145" t="s">
        <v>2144</v>
      </c>
      <c r="L145" t="s">
        <v>2778</v>
      </c>
      <c r="M145" t="s">
        <v>276</v>
      </c>
      <c r="N145" t="s">
        <v>1086</v>
      </c>
      <c r="O145" t="s">
        <v>1087</v>
      </c>
      <c r="P145" t="s">
        <v>1088</v>
      </c>
      <c r="Q145" t="s">
        <v>2779</v>
      </c>
      <c r="R145" t="s">
        <v>2144</v>
      </c>
      <c r="S145" t="s">
        <v>1089</v>
      </c>
      <c r="U145" t="s">
        <v>1090</v>
      </c>
      <c r="V145" t="s">
        <v>1091</v>
      </c>
      <c r="W145" t="e">
        <v>#REF!</v>
      </c>
      <c r="X145" s="10">
        <v>5417360797</v>
      </c>
      <c r="AA145" t="s">
        <v>1092</v>
      </c>
      <c r="AB145" t="e">
        <v>#REF!</v>
      </c>
      <c r="AC145" t="e">
        <v>#REF!</v>
      </c>
      <c r="AD145" t="e">
        <v>#REF!</v>
      </c>
    </row>
    <row r="146" spans="1:30" x14ac:dyDescent="0.35">
      <c r="A146" t="s">
        <v>167</v>
      </c>
      <c r="B146">
        <v>2062</v>
      </c>
      <c r="C146" t="s">
        <v>271</v>
      </c>
      <c r="D146">
        <v>2058</v>
      </c>
      <c r="E146" t="s">
        <v>272</v>
      </c>
      <c r="F146" t="s">
        <v>273</v>
      </c>
      <c r="G146" t="s">
        <v>390</v>
      </c>
      <c r="H146" t="s">
        <v>2142</v>
      </c>
      <c r="I146" t="e">
        <v>#REF!</v>
      </c>
      <c r="J146" t="s">
        <v>2143</v>
      </c>
      <c r="K146" t="s">
        <v>2144</v>
      </c>
      <c r="L146" t="s">
        <v>2145</v>
      </c>
      <c r="M146" t="s">
        <v>276</v>
      </c>
      <c r="N146" t="s">
        <v>390</v>
      </c>
      <c r="O146" t="s">
        <v>2142</v>
      </c>
      <c r="P146" t="s">
        <v>277</v>
      </c>
      <c r="Q146" t="s">
        <v>2143</v>
      </c>
      <c r="R146" t="s">
        <v>2144</v>
      </c>
      <c r="S146" t="s">
        <v>2145</v>
      </c>
      <c r="U146" t="s">
        <v>1093</v>
      </c>
      <c r="V146" t="s">
        <v>839</v>
      </c>
      <c r="W146" t="e">
        <v>#REF!</v>
      </c>
      <c r="X146" s="10">
        <v>5419472259</v>
      </c>
      <c r="AA146" t="s">
        <v>1094</v>
      </c>
      <c r="AB146" t="e">
        <v>#REF!</v>
      </c>
      <c r="AC146" t="e">
        <v>#REF!</v>
      </c>
      <c r="AD146" t="e">
        <v>#REF!</v>
      </c>
    </row>
    <row r="147" spans="1:30" x14ac:dyDescent="0.35">
      <c r="A147" t="s">
        <v>168</v>
      </c>
      <c r="B147">
        <v>1973</v>
      </c>
      <c r="C147" t="s">
        <v>407</v>
      </c>
      <c r="D147">
        <v>1949</v>
      </c>
      <c r="E147" t="s">
        <v>366</v>
      </c>
      <c r="F147" t="s">
        <v>273</v>
      </c>
      <c r="G147" t="s">
        <v>304</v>
      </c>
      <c r="H147" t="s">
        <v>1095</v>
      </c>
      <c r="I147" t="e">
        <v>#REF!</v>
      </c>
      <c r="J147" t="s">
        <v>2780</v>
      </c>
      <c r="K147" t="s">
        <v>2144</v>
      </c>
      <c r="L147" t="s">
        <v>2781</v>
      </c>
      <c r="M147" t="s">
        <v>276</v>
      </c>
      <c r="N147" t="s">
        <v>1065</v>
      </c>
      <c r="O147" t="s">
        <v>1096</v>
      </c>
      <c r="P147" t="s">
        <v>1097</v>
      </c>
      <c r="Q147" t="s">
        <v>2782</v>
      </c>
      <c r="R147" t="s">
        <v>2144</v>
      </c>
      <c r="S147" t="s">
        <v>1098</v>
      </c>
      <c r="U147" t="s">
        <v>380</v>
      </c>
      <c r="V147" t="s">
        <v>1099</v>
      </c>
      <c r="W147" t="e">
        <v>#REF!</v>
      </c>
      <c r="X147" s="10">
        <v>5413482455</v>
      </c>
      <c r="AA147" t="s">
        <v>1100</v>
      </c>
      <c r="AB147" t="e">
        <v>#REF!</v>
      </c>
      <c r="AC147" t="e">
        <v>#REF!</v>
      </c>
      <c r="AD147" t="e">
        <v>#REF!</v>
      </c>
    </row>
    <row r="148" spans="1:30" x14ac:dyDescent="0.35">
      <c r="A148" t="s">
        <v>169</v>
      </c>
      <c r="B148">
        <v>2180</v>
      </c>
      <c r="C148" t="s">
        <v>456</v>
      </c>
      <c r="D148">
        <v>2148</v>
      </c>
      <c r="E148" t="s">
        <v>457</v>
      </c>
      <c r="F148" t="s">
        <v>273</v>
      </c>
      <c r="G148" t="s">
        <v>1101</v>
      </c>
      <c r="H148" t="s">
        <v>1102</v>
      </c>
      <c r="I148" t="e">
        <v>#REF!</v>
      </c>
      <c r="J148" t="s">
        <v>2783</v>
      </c>
      <c r="K148" t="s">
        <v>2144</v>
      </c>
      <c r="L148" t="s">
        <v>2784</v>
      </c>
      <c r="M148" t="s">
        <v>276</v>
      </c>
      <c r="N148" t="s">
        <v>361</v>
      </c>
      <c r="O148" t="s">
        <v>2785</v>
      </c>
      <c r="P148" t="s">
        <v>1103</v>
      </c>
      <c r="Q148" t="s">
        <v>2786</v>
      </c>
      <c r="R148" t="s">
        <v>2144</v>
      </c>
      <c r="S148" t="s">
        <v>2787</v>
      </c>
      <c r="U148" t="s">
        <v>785</v>
      </c>
      <c r="V148" t="s">
        <v>1104</v>
      </c>
      <c r="W148" t="e">
        <v>#REF!</v>
      </c>
      <c r="X148" s="10">
        <v>5039163327</v>
      </c>
      <c r="AA148" t="s">
        <v>1105</v>
      </c>
      <c r="AB148" t="e">
        <v>#REF!</v>
      </c>
      <c r="AC148" t="e">
        <v>#REF!</v>
      </c>
      <c r="AD148" t="e">
        <v>#REF!</v>
      </c>
    </row>
    <row r="149" spans="1:30" x14ac:dyDescent="0.35">
      <c r="A149" t="s">
        <v>170</v>
      </c>
      <c r="B149">
        <v>1967</v>
      </c>
      <c r="C149" t="s">
        <v>365</v>
      </c>
      <c r="D149">
        <v>1949</v>
      </c>
      <c r="E149" t="s">
        <v>366</v>
      </c>
      <c r="F149" t="s">
        <v>273</v>
      </c>
      <c r="G149" t="s">
        <v>315</v>
      </c>
      <c r="H149" t="s">
        <v>1106</v>
      </c>
      <c r="I149" t="e">
        <v>#REF!</v>
      </c>
      <c r="J149" t="s">
        <v>2788</v>
      </c>
      <c r="K149" t="s">
        <v>2144</v>
      </c>
      <c r="L149" t="s">
        <v>1107</v>
      </c>
      <c r="M149" t="s">
        <v>276</v>
      </c>
      <c r="N149" t="s">
        <v>1108</v>
      </c>
      <c r="O149" t="s">
        <v>1109</v>
      </c>
      <c r="P149" t="s">
        <v>1110</v>
      </c>
      <c r="Q149" t="s">
        <v>2788</v>
      </c>
      <c r="R149" t="s">
        <v>2144</v>
      </c>
      <c r="S149" t="s">
        <v>1111</v>
      </c>
      <c r="U149" t="s">
        <v>1112</v>
      </c>
      <c r="V149" t="s">
        <v>1113</v>
      </c>
      <c r="W149" t="e">
        <v>#REF!</v>
      </c>
      <c r="X149" s="10">
        <v>5414392291</v>
      </c>
      <c r="Y149" t="s">
        <v>1114</v>
      </c>
      <c r="AA149" t="s">
        <v>1115</v>
      </c>
      <c r="AB149" t="e">
        <v>#REF!</v>
      </c>
      <c r="AC149" t="e">
        <v>#REF!</v>
      </c>
      <c r="AD149" t="e">
        <v>#REF!</v>
      </c>
    </row>
    <row r="150" spans="1:30" x14ac:dyDescent="0.35">
      <c r="A150" t="s">
        <v>171</v>
      </c>
      <c r="B150">
        <v>2009</v>
      </c>
      <c r="C150" t="s">
        <v>578</v>
      </c>
      <c r="D150">
        <v>2007</v>
      </c>
      <c r="E150" t="s">
        <v>579</v>
      </c>
      <c r="F150" t="s">
        <v>273</v>
      </c>
      <c r="G150" t="s">
        <v>1116</v>
      </c>
      <c r="H150" t="s">
        <v>802</v>
      </c>
      <c r="I150" t="e">
        <v>#REF!</v>
      </c>
      <c r="J150" t="s">
        <v>2789</v>
      </c>
      <c r="K150" t="s">
        <v>2790</v>
      </c>
      <c r="L150" t="s">
        <v>1117</v>
      </c>
      <c r="M150" t="s">
        <v>276</v>
      </c>
      <c r="N150" t="s">
        <v>591</v>
      </c>
      <c r="O150" t="s">
        <v>1118</v>
      </c>
      <c r="P150" t="s">
        <v>1119</v>
      </c>
      <c r="Q150" t="s">
        <v>2791</v>
      </c>
      <c r="R150" t="s">
        <v>2792</v>
      </c>
      <c r="S150" t="s">
        <v>1120</v>
      </c>
      <c r="U150" t="s">
        <v>923</v>
      </c>
      <c r="V150" t="s">
        <v>924</v>
      </c>
      <c r="W150" t="e">
        <v>#REF!</v>
      </c>
      <c r="X150" s="10">
        <v>5415754071</v>
      </c>
      <c r="AA150" t="s">
        <v>925</v>
      </c>
      <c r="AB150" t="e">
        <v>#REF!</v>
      </c>
      <c r="AC150" t="e">
        <v>#REF!</v>
      </c>
      <c r="AD150" t="e">
        <v>#REF!</v>
      </c>
    </row>
    <row r="151" spans="1:30" x14ac:dyDescent="0.35">
      <c r="A151" t="s">
        <v>172</v>
      </c>
      <c r="B151">
        <v>2045</v>
      </c>
      <c r="C151" t="s">
        <v>318</v>
      </c>
      <c r="D151">
        <v>2025</v>
      </c>
      <c r="E151" t="s">
        <v>319</v>
      </c>
      <c r="F151" t="s">
        <v>273</v>
      </c>
      <c r="G151" t="s">
        <v>2793</v>
      </c>
      <c r="H151" t="s">
        <v>2794</v>
      </c>
      <c r="I151" t="e">
        <v>#REF!</v>
      </c>
      <c r="J151" t="s">
        <v>2795</v>
      </c>
      <c r="K151" t="s">
        <v>2488</v>
      </c>
      <c r="L151" t="s">
        <v>2796</v>
      </c>
      <c r="M151" t="s">
        <v>276</v>
      </c>
      <c r="N151" t="s">
        <v>2793</v>
      </c>
      <c r="O151" t="s">
        <v>2794</v>
      </c>
      <c r="P151" t="s">
        <v>1121</v>
      </c>
      <c r="Q151" t="s">
        <v>2795</v>
      </c>
      <c r="R151" t="s">
        <v>2488</v>
      </c>
      <c r="S151" t="s">
        <v>2796</v>
      </c>
      <c r="U151" t="s">
        <v>1090</v>
      </c>
      <c r="V151" t="s">
        <v>1122</v>
      </c>
      <c r="W151" t="e">
        <v>#REF!</v>
      </c>
      <c r="X151" s="10">
        <v>5415603653</v>
      </c>
      <c r="AA151" t="s">
        <v>1123</v>
      </c>
      <c r="AB151" t="e">
        <v>#REF!</v>
      </c>
      <c r="AC151" t="e">
        <v>#REF!</v>
      </c>
      <c r="AD151" t="e">
        <v>#REF!</v>
      </c>
    </row>
    <row r="152" spans="1:30" x14ac:dyDescent="0.35">
      <c r="A152" t="s">
        <v>173</v>
      </c>
      <c r="B152">
        <v>1946</v>
      </c>
      <c r="C152" t="s">
        <v>490</v>
      </c>
      <c r="D152">
        <v>2230</v>
      </c>
      <c r="E152" t="s">
        <v>339</v>
      </c>
      <c r="F152" t="s">
        <v>273</v>
      </c>
      <c r="G152" t="s">
        <v>960</v>
      </c>
      <c r="H152" t="s">
        <v>2797</v>
      </c>
      <c r="I152" t="e">
        <v>#REF!</v>
      </c>
      <c r="J152" t="s">
        <v>2798</v>
      </c>
      <c r="K152" t="s">
        <v>2144</v>
      </c>
      <c r="L152" t="s">
        <v>2799</v>
      </c>
      <c r="M152" t="s">
        <v>276</v>
      </c>
      <c r="N152" t="s">
        <v>801</v>
      </c>
      <c r="O152" t="s">
        <v>1125</v>
      </c>
      <c r="P152" t="s">
        <v>1126</v>
      </c>
      <c r="Q152" t="s">
        <v>2800</v>
      </c>
      <c r="R152" t="s">
        <v>2144</v>
      </c>
      <c r="S152" t="s">
        <v>1127</v>
      </c>
      <c r="U152" t="s">
        <v>1128</v>
      </c>
      <c r="V152" t="s">
        <v>1129</v>
      </c>
      <c r="W152" t="e">
        <v>#REF!</v>
      </c>
      <c r="X152" s="10">
        <v>5035563777</v>
      </c>
      <c r="Y152" t="s">
        <v>1130</v>
      </c>
      <c r="Z152" t="s">
        <v>1131</v>
      </c>
      <c r="AA152" t="s">
        <v>1132</v>
      </c>
      <c r="AB152" t="e">
        <v>#REF!</v>
      </c>
      <c r="AC152" t="e">
        <v>#REF!</v>
      </c>
      <c r="AD152" t="e">
        <v>#REF!</v>
      </c>
    </row>
    <row r="153" spans="1:30" x14ac:dyDescent="0.35">
      <c r="A153" t="s">
        <v>174</v>
      </c>
      <c r="B153">
        <v>1977</v>
      </c>
      <c r="C153" t="s">
        <v>384</v>
      </c>
      <c r="D153">
        <v>1975</v>
      </c>
      <c r="E153" t="s">
        <v>385</v>
      </c>
      <c r="F153" t="s">
        <v>273</v>
      </c>
      <c r="G153" t="s">
        <v>2801</v>
      </c>
      <c r="H153" t="s">
        <v>2802</v>
      </c>
      <c r="I153" t="e">
        <v>#REF!</v>
      </c>
      <c r="J153" t="s">
        <v>2803</v>
      </c>
      <c r="K153" t="s">
        <v>2144</v>
      </c>
      <c r="L153" t="s">
        <v>2804</v>
      </c>
      <c r="M153" t="s">
        <v>276</v>
      </c>
      <c r="N153" t="s">
        <v>2805</v>
      </c>
      <c r="O153" t="s">
        <v>2806</v>
      </c>
      <c r="P153" t="s">
        <v>1133</v>
      </c>
      <c r="Q153" t="s">
        <v>2807</v>
      </c>
      <c r="R153" t="s">
        <v>2144</v>
      </c>
      <c r="S153" t="s">
        <v>2808</v>
      </c>
      <c r="U153" t="s">
        <v>442</v>
      </c>
      <c r="V153" t="s">
        <v>1134</v>
      </c>
      <c r="W153" t="e">
        <v>#REF!</v>
      </c>
      <c r="X153" s="10">
        <v>5419238927</v>
      </c>
      <c r="AA153" t="s">
        <v>1135</v>
      </c>
      <c r="AB153" t="e">
        <v>#REF!</v>
      </c>
      <c r="AC153" t="e">
        <v>#REF!</v>
      </c>
      <c r="AD153" t="e">
        <v>#REF!</v>
      </c>
    </row>
    <row r="154" spans="1:30" x14ac:dyDescent="0.35">
      <c r="A154" t="s">
        <v>175</v>
      </c>
      <c r="B154">
        <v>2001</v>
      </c>
      <c r="C154" t="s">
        <v>431</v>
      </c>
      <c r="D154">
        <v>1949</v>
      </c>
      <c r="E154" t="s">
        <v>366</v>
      </c>
      <c r="F154" t="s">
        <v>273</v>
      </c>
      <c r="G154" t="s">
        <v>777</v>
      </c>
      <c r="H154" t="s">
        <v>1136</v>
      </c>
      <c r="I154" t="e">
        <v>#REF!</v>
      </c>
      <c r="J154" t="s">
        <v>2809</v>
      </c>
      <c r="K154" t="s">
        <v>2144</v>
      </c>
      <c r="L154" t="s">
        <v>1137</v>
      </c>
      <c r="M154" t="s">
        <v>276</v>
      </c>
      <c r="N154" t="s">
        <v>777</v>
      </c>
      <c r="O154" t="s">
        <v>2810</v>
      </c>
      <c r="P154" t="s">
        <v>1138</v>
      </c>
      <c r="Q154" t="s">
        <v>2809</v>
      </c>
      <c r="R154" t="s">
        <v>2144</v>
      </c>
      <c r="S154" t="s">
        <v>1137</v>
      </c>
      <c r="T154" t="s">
        <v>1862</v>
      </c>
      <c r="U154" t="s">
        <v>438</v>
      </c>
      <c r="V154" t="s">
        <v>439</v>
      </c>
      <c r="W154" t="e">
        <v>#REF!</v>
      </c>
      <c r="X154" s="10">
        <v>5412719118</v>
      </c>
      <c r="AA154" t="s">
        <v>1139</v>
      </c>
      <c r="AB154" t="e">
        <v>#REF!</v>
      </c>
      <c r="AC154" t="e">
        <v>#REF!</v>
      </c>
      <c r="AD154" t="e">
        <v>#REF!</v>
      </c>
    </row>
    <row r="155" spans="1:30" x14ac:dyDescent="0.35">
      <c r="A155" t="s">
        <v>176</v>
      </c>
      <c r="B155">
        <v>2182</v>
      </c>
      <c r="C155" t="s">
        <v>456</v>
      </c>
      <c r="D155">
        <v>2148</v>
      </c>
      <c r="E155" t="s">
        <v>457</v>
      </c>
      <c r="F155" t="s">
        <v>273</v>
      </c>
      <c r="G155" t="s">
        <v>2814</v>
      </c>
      <c r="H155" t="s">
        <v>1140</v>
      </c>
      <c r="I155" t="e">
        <v>#REF!</v>
      </c>
      <c r="J155" t="s">
        <v>2815</v>
      </c>
      <c r="K155" t="s">
        <v>2816</v>
      </c>
      <c r="L155" t="s">
        <v>2817</v>
      </c>
      <c r="M155" t="s">
        <v>276</v>
      </c>
      <c r="N155" t="s">
        <v>2818</v>
      </c>
      <c r="O155" t="s">
        <v>608</v>
      </c>
      <c r="P155" t="s">
        <v>1141</v>
      </c>
      <c r="Q155" t="s">
        <v>2815</v>
      </c>
      <c r="R155" t="s">
        <v>2819</v>
      </c>
      <c r="S155" t="s">
        <v>2820</v>
      </c>
      <c r="T155" t="s">
        <v>1864</v>
      </c>
      <c r="U155" t="s">
        <v>628</v>
      </c>
      <c r="V155" t="s">
        <v>1828</v>
      </c>
      <c r="W155" t="e">
        <v>#REF!</v>
      </c>
      <c r="X155" s="10">
        <v>5036617200</v>
      </c>
      <c r="Y155">
        <v>3253</v>
      </c>
      <c r="AA155" t="s">
        <v>1856</v>
      </c>
      <c r="AB155" t="e">
        <v>#REF!</v>
      </c>
      <c r="AC155" t="e">
        <v>#REF!</v>
      </c>
      <c r="AD155" t="e">
        <v>#REF!</v>
      </c>
    </row>
    <row r="156" spans="1:30" x14ac:dyDescent="0.35">
      <c r="A156" t="s">
        <v>177</v>
      </c>
      <c r="B156">
        <v>1999</v>
      </c>
      <c r="C156" t="s">
        <v>431</v>
      </c>
      <c r="D156">
        <v>1980</v>
      </c>
      <c r="E156" t="s">
        <v>432</v>
      </c>
      <c r="F156" t="s">
        <v>273</v>
      </c>
      <c r="G156" t="s">
        <v>983</v>
      </c>
      <c r="H156" t="s">
        <v>1143</v>
      </c>
      <c r="I156" t="e">
        <v>#REF!</v>
      </c>
      <c r="J156" t="s">
        <v>2821</v>
      </c>
      <c r="K156" t="s">
        <v>2416</v>
      </c>
      <c r="L156" t="s">
        <v>1144</v>
      </c>
      <c r="M156" t="s">
        <v>276</v>
      </c>
      <c r="N156" t="s">
        <v>908</v>
      </c>
      <c r="O156" t="s">
        <v>2822</v>
      </c>
      <c r="P156" t="s">
        <v>1146</v>
      </c>
      <c r="Q156" t="s">
        <v>2823</v>
      </c>
      <c r="R156" t="s">
        <v>2144</v>
      </c>
      <c r="S156" t="s">
        <v>2824</v>
      </c>
      <c r="U156" t="s">
        <v>438</v>
      </c>
      <c r="V156" t="s">
        <v>439</v>
      </c>
      <c r="W156" t="e">
        <v>#REF!</v>
      </c>
      <c r="X156" s="10">
        <v>5414404777</v>
      </c>
      <c r="AA156" t="s">
        <v>1148</v>
      </c>
      <c r="AB156" t="e">
        <v>#REF!</v>
      </c>
      <c r="AC156" t="e">
        <v>#REF!</v>
      </c>
      <c r="AD156" t="e">
        <v>#REF!</v>
      </c>
    </row>
    <row r="157" spans="1:30" x14ac:dyDescent="0.35">
      <c r="A157" t="s">
        <v>178</v>
      </c>
      <c r="B157">
        <v>2188</v>
      </c>
      <c r="C157" t="s">
        <v>456</v>
      </c>
      <c r="D157">
        <v>2148</v>
      </c>
      <c r="E157" t="s">
        <v>457</v>
      </c>
      <c r="F157" t="s">
        <v>273</v>
      </c>
      <c r="G157" t="s">
        <v>2825</v>
      </c>
      <c r="H157" t="s">
        <v>2826</v>
      </c>
      <c r="I157" t="e">
        <v>#REF!</v>
      </c>
      <c r="J157" t="s">
        <v>2827</v>
      </c>
      <c r="K157" t="s">
        <v>2144</v>
      </c>
      <c r="L157" t="s">
        <v>2828</v>
      </c>
      <c r="M157" t="s">
        <v>276</v>
      </c>
      <c r="N157" t="s">
        <v>1149</v>
      </c>
      <c r="O157" t="s">
        <v>1150</v>
      </c>
      <c r="P157" t="s">
        <v>1151</v>
      </c>
      <c r="Q157" t="s">
        <v>2829</v>
      </c>
      <c r="R157" t="s">
        <v>2144</v>
      </c>
      <c r="S157" t="s">
        <v>1152</v>
      </c>
      <c r="T157" t="s">
        <v>1862</v>
      </c>
      <c r="U157" t="s">
        <v>1829</v>
      </c>
      <c r="V157" t="s">
        <v>1830</v>
      </c>
      <c r="W157" t="e">
        <v>#REF!</v>
      </c>
      <c r="X157" s="10">
        <v>5032624849</v>
      </c>
      <c r="AA157" t="s">
        <v>1857</v>
      </c>
      <c r="AB157" t="e">
        <v>#REF!</v>
      </c>
      <c r="AC157" t="e">
        <v>#REF!</v>
      </c>
      <c r="AD157" t="e">
        <v>#REF!</v>
      </c>
    </row>
    <row r="158" spans="1:30" x14ac:dyDescent="0.35">
      <c r="A158" t="s">
        <v>179</v>
      </c>
      <c r="B158">
        <v>2044</v>
      </c>
      <c r="C158" t="s">
        <v>318</v>
      </c>
      <c r="D158">
        <v>2025</v>
      </c>
      <c r="E158" t="s">
        <v>319</v>
      </c>
      <c r="F158" t="s">
        <v>273</v>
      </c>
      <c r="G158" t="s">
        <v>844</v>
      </c>
      <c r="H158" t="s">
        <v>807</v>
      </c>
      <c r="I158" t="e">
        <v>#REF!</v>
      </c>
      <c r="J158" t="s">
        <v>2830</v>
      </c>
      <c r="K158" t="s">
        <v>2144</v>
      </c>
      <c r="L158" t="s">
        <v>2831</v>
      </c>
      <c r="M158" t="s">
        <v>276</v>
      </c>
      <c r="N158" t="s">
        <v>829</v>
      </c>
      <c r="O158" t="s">
        <v>1018</v>
      </c>
      <c r="P158" t="s">
        <v>1153</v>
      </c>
      <c r="Q158" t="s">
        <v>2832</v>
      </c>
      <c r="R158" t="s">
        <v>2144</v>
      </c>
      <c r="S158" t="s">
        <v>1154</v>
      </c>
      <c r="U158" t="s">
        <v>380</v>
      </c>
      <c r="V158" t="s">
        <v>512</v>
      </c>
      <c r="W158" t="e">
        <v>#REF!</v>
      </c>
      <c r="X158" s="10"/>
      <c r="AA158" t="s">
        <v>1155</v>
      </c>
      <c r="AB158" t="e">
        <v>#REF!</v>
      </c>
      <c r="AC158" t="e">
        <v>#REF!</v>
      </c>
      <c r="AD158" t="e">
        <v>#REF!</v>
      </c>
    </row>
    <row r="159" spans="1:30" x14ac:dyDescent="0.35">
      <c r="A159" t="s">
        <v>180</v>
      </c>
      <c r="B159">
        <v>2142</v>
      </c>
      <c r="C159" t="s">
        <v>447</v>
      </c>
      <c r="D159">
        <v>2117</v>
      </c>
      <c r="E159" t="s">
        <v>296</v>
      </c>
      <c r="F159" t="s">
        <v>273</v>
      </c>
      <c r="G159" t="s">
        <v>628</v>
      </c>
      <c r="H159" t="s">
        <v>1156</v>
      </c>
      <c r="I159" t="e">
        <v>#REF!</v>
      </c>
      <c r="J159" t="s">
        <v>2833</v>
      </c>
      <c r="K159" t="s">
        <v>2144</v>
      </c>
      <c r="L159" t="s">
        <v>1157</v>
      </c>
      <c r="M159" t="s">
        <v>276</v>
      </c>
      <c r="N159" t="s">
        <v>703</v>
      </c>
      <c r="O159" t="s">
        <v>362</v>
      </c>
      <c r="P159" t="s">
        <v>1158</v>
      </c>
      <c r="Q159" t="s">
        <v>2834</v>
      </c>
      <c r="R159" t="s">
        <v>2144</v>
      </c>
      <c r="S159" t="s">
        <v>2835</v>
      </c>
      <c r="T159" t="s">
        <v>1881</v>
      </c>
      <c r="U159" t="s">
        <v>539</v>
      </c>
      <c r="V159" t="s">
        <v>919</v>
      </c>
      <c r="W159" t="e">
        <v>#REF!</v>
      </c>
      <c r="X159" s="10">
        <v>5033993015</v>
      </c>
      <c r="AA159" t="s">
        <v>1160</v>
      </c>
      <c r="AB159" t="e">
        <v>#REF!</v>
      </c>
      <c r="AC159" t="e">
        <v>#REF!</v>
      </c>
      <c r="AD159" t="e">
        <v>#REF!</v>
      </c>
    </row>
    <row r="160" spans="1:30" x14ac:dyDescent="0.35">
      <c r="A160" t="s">
        <v>181</v>
      </c>
      <c r="B160">
        <v>2104</v>
      </c>
      <c r="C160" t="s">
        <v>471</v>
      </c>
      <c r="D160">
        <v>2098</v>
      </c>
      <c r="E160" t="s">
        <v>290</v>
      </c>
      <c r="F160" t="s">
        <v>273</v>
      </c>
      <c r="G160" t="s">
        <v>1161</v>
      </c>
      <c r="H160" t="s">
        <v>608</v>
      </c>
      <c r="I160" t="e">
        <v>#REF!</v>
      </c>
      <c r="J160" t="s">
        <v>2836</v>
      </c>
      <c r="K160" t="s">
        <v>2837</v>
      </c>
      <c r="L160" t="s">
        <v>1162</v>
      </c>
      <c r="M160" t="s">
        <v>276</v>
      </c>
      <c r="N160" t="s">
        <v>1161</v>
      </c>
      <c r="O160" t="s">
        <v>608</v>
      </c>
      <c r="P160" t="s">
        <v>1163</v>
      </c>
      <c r="Q160" t="s">
        <v>2836</v>
      </c>
      <c r="R160" t="s">
        <v>2837</v>
      </c>
      <c r="S160" t="s">
        <v>1162</v>
      </c>
      <c r="U160" t="s">
        <v>1164</v>
      </c>
      <c r="V160" t="s">
        <v>1165</v>
      </c>
      <c r="W160" t="e">
        <v>#REF!</v>
      </c>
      <c r="X160" s="10">
        <v>5038972321</v>
      </c>
      <c r="Y160" t="s">
        <v>1858</v>
      </c>
      <c r="AA160" t="s">
        <v>1166</v>
      </c>
      <c r="AB160" t="e">
        <v>#REF!</v>
      </c>
      <c r="AC160" t="e">
        <v>#REF!</v>
      </c>
      <c r="AD160" t="e">
        <v>#REF!</v>
      </c>
    </row>
    <row r="161" spans="1:30" x14ac:dyDescent="0.35">
      <c r="A161" t="s">
        <v>182</v>
      </c>
      <c r="B161">
        <v>1944</v>
      </c>
      <c r="C161" t="s">
        <v>490</v>
      </c>
      <c r="D161">
        <v>2230</v>
      </c>
      <c r="E161" t="s">
        <v>339</v>
      </c>
      <c r="F161" t="s">
        <v>273</v>
      </c>
      <c r="G161" t="s">
        <v>464</v>
      </c>
      <c r="H161" t="s">
        <v>1167</v>
      </c>
      <c r="I161" t="e">
        <v>#REF!</v>
      </c>
      <c r="J161" t="s">
        <v>2838</v>
      </c>
      <c r="K161" t="s">
        <v>2839</v>
      </c>
      <c r="L161" t="s">
        <v>1168</v>
      </c>
      <c r="M161" t="s">
        <v>276</v>
      </c>
      <c r="N161" t="s">
        <v>1086</v>
      </c>
      <c r="O161" t="s">
        <v>1169</v>
      </c>
      <c r="P161" t="s">
        <v>1170</v>
      </c>
      <c r="Q161" t="s">
        <v>2840</v>
      </c>
      <c r="R161" t="s">
        <v>2144</v>
      </c>
      <c r="S161" t="s">
        <v>1171</v>
      </c>
      <c r="U161" t="s">
        <v>1172</v>
      </c>
      <c r="V161" t="s">
        <v>1173</v>
      </c>
      <c r="W161" t="e">
        <v>#REF!</v>
      </c>
      <c r="X161" s="10">
        <v>9712008063</v>
      </c>
      <c r="AA161" t="s">
        <v>1174</v>
      </c>
      <c r="AB161" t="e">
        <v>#REF!</v>
      </c>
      <c r="AC161" t="e">
        <v>#REF!</v>
      </c>
      <c r="AD161" t="e">
        <v>#REF!</v>
      </c>
    </row>
    <row r="162" spans="1:30" x14ac:dyDescent="0.35">
      <c r="A162" t="s">
        <v>183</v>
      </c>
      <c r="B162">
        <v>2103</v>
      </c>
      <c r="C162" t="s">
        <v>471</v>
      </c>
      <c r="D162">
        <v>2098</v>
      </c>
      <c r="E162" t="s">
        <v>290</v>
      </c>
      <c r="F162" t="s">
        <v>273</v>
      </c>
      <c r="G162" t="s">
        <v>304</v>
      </c>
      <c r="H162" t="s">
        <v>1790</v>
      </c>
      <c r="I162" t="e">
        <v>#REF!</v>
      </c>
      <c r="J162" t="s">
        <v>2841</v>
      </c>
      <c r="K162" t="s">
        <v>2144</v>
      </c>
      <c r="L162" t="s">
        <v>1793</v>
      </c>
      <c r="M162" t="s">
        <v>276</v>
      </c>
      <c r="N162" t="s">
        <v>2842</v>
      </c>
      <c r="O162" t="s">
        <v>2843</v>
      </c>
      <c r="P162" t="s">
        <v>1175</v>
      </c>
      <c r="Q162" t="s">
        <v>2844</v>
      </c>
      <c r="R162" t="s">
        <v>2144</v>
      </c>
      <c r="S162" t="s">
        <v>2845</v>
      </c>
      <c r="T162" t="s">
        <v>1862</v>
      </c>
      <c r="U162" t="s">
        <v>785</v>
      </c>
      <c r="V162" t="s">
        <v>1167</v>
      </c>
      <c r="W162" t="e">
        <v>#REF!</v>
      </c>
      <c r="X162" s="10">
        <v>5033943261</v>
      </c>
      <c r="AA162" t="s">
        <v>1176</v>
      </c>
      <c r="AB162" t="e">
        <v>#REF!</v>
      </c>
      <c r="AC162" t="e">
        <v>#REF!</v>
      </c>
      <c r="AD162" t="e">
        <v>#REF!</v>
      </c>
    </row>
    <row r="163" spans="1:30" x14ac:dyDescent="0.35">
      <c r="A163" t="s">
        <v>184</v>
      </c>
      <c r="B163">
        <v>1935</v>
      </c>
      <c r="C163" t="s">
        <v>338</v>
      </c>
      <c r="D163">
        <v>2230</v>
      </c>
      <c r="E163" t="s">
        <v>339</v>
      </c>
      <c r="F163" t="s">
        <v>273</v>
      </c>
      <c r="G163" t="s">
        <v>692</v>
      </c>
      <c r="H163" t="s">
        <v>2846</v>
      </c>
      <c r="I163" t="e">
        <v>#REF!</v>
      </c>
      <c r="J163" t="s">
        <v>2847</v>
      </c>
      <c r="K163" t="s">
        <v>2144</v>
      </c>
      <c r="L163" t="s">
        <v>2848</v>
      </c>
      <c r="M163" t="s">
        <v>276</v>
      </c>
      <c r="N163" t="s">
        <v>2849</v>
      </c>
      <c r="O163" t="s">
        <v>2850</v>
      </c>
      <c r="P163" t="s">
        <v>1177</v>
      </c>
      <c r="Q163" t="s">
        <v>2847</v>
      </c>
      <c r="R163" t="s">
        <v>2144</v>
      </c>
      <c r="S163" t="s">
        <v>2851</v>
      </c>
      <c r="U163" t="s">
        <v>1178</v>
      </c>
      <c r="V163" t="s">
        <v>1179</v>
      </c>
      <c r="W163" t="e">
        <v>#REF!</v>
      </c>
      <c r="X163" s="10">
        <v>5037385591</v>
      </c>
      <c r="AA163" t="s">
        <v>1180</v>
      </c>
      <c r="AB163" t="e">
        <v>#REF!</v>
      </c>
      <c r="AC163" t="e">
        <v>#REF!</v>
      </c>
      <c r="AD163" t="e">
        <v>#REF!</v>
      </c>
    </row>
    <row r="164" spans="1:30" x14ac:dyDescent="0.35">
      <c r="A164" t="s">
        <v>185</v>
      </c>
      <c r="B164">
        <v>2257</v>
      </c>
      <c r="C164" t="s">
        <v>295</v>
      </c>
      <c r="D164">
        <v>2117</v>
      </c>
      <c r="E164" t="s">
        <v>296</v>
      </c>
      <c r="F164" t="s">
        <v>273</v>
      </c>
      <c r="G164" t="s">
        <v>2852</v>
      </c>
      <c r="H164" t="s">
        <v>2853</v>
      </c>
      <c r="I164" t="e">
        <v>#REF!</v>
      </c>
      <c r="J164" t="s">
        <v>2854</v>
      </c>
      <c r="K164" t="s">
        <v>2144</v>
      </c>
      <c r="L164" t="s">
        <v>2855</v>
      </c>
      <c r="M164" t="s">
        <v>276</v>
      </c>
      <c r="N164" t="s">
        <v>2852</v>
      </c>
      <c r="O164" t="s">
        <v>2853</v>
      </c>
      <c r="P164" t="s">
        <v>1182</v>
      </c>
      <c r="Q164" t="s">
        <v>2856</v>
      </c>
      <c r="R164" t="s">
        <v>2144</v>
      </c>
      <c r="S164" t="s">
        <v>2855</v>
      </c>
      <c r="U164" t="s">
        <v>1183</v>
      </c>
      <c r="V164" t="s">
        <v>1184</v>
      </c>
      <c r="W164" t="e">
        <v>#REF!</v>
      </c>
      <c r="X164" s="10"/>
      <c r="AA164" t="s">
        <v>1185</v>
      </c>
      <c r="AB164" t="e">
        <v>#REF!</v>
      </c>
      <c r="AC164" t="e">
        <v>#REF!</v>
      </c>
      <c r="AD164" t="e">
        <v>#REF!</v>
      </c>
    </row>
    <row r="165" spans="1:30" x14ac:dyDescent="0.35">
      <c r="A165" t="s">
        <v>186</v>
      </c>
      <c r="B165">
        <v>2195</v>
      </c>
      <c r="C165" t="s">
        <v>1186</v>
      </c>
      <c r="D165">
        <v>2004</v>
      </c>
      <c r="E165" t="s">
        <v>310</v>
      </c>
      <c r="F165" t="s">
        <v>273</v>
      </c>
      <c r="G165" t="s">
        <v>1187</v>
      </c>
      <c r="H165" t="s">
        <v>1188</v>
      </c>
      <c r="I165" t="e">
        <v>#REF!</v>
      </c>
      <c r="J165" t="s">
        <v>2857</v>
      </c>
      <c r="K165" t="s">
        <v>2144</v>
      </c>
      <c r="L165" t="s">
        <v>1189</v>
      </c>
      <c r="M165" t="s">
        <v>276</v>
      </c>
      <c r="N165" t="s">
        <v>2165</v>
      </c>
      <c r="O165" t="s">
        <v>2166</v>
      </c>
      <c r="P165" t="s">
        <v>1190</v>
      </c>
      <c r="Q165" t="s">
        <v>2167</v>
      </c>
      <c r="R165" t="s">
        <v>2144</v>
      </c>
      <c r="S165" t="s">
        <v>2168</v>
      </c>
      <c r="U165" t="s">
        <v>678</v>
      </c>
      <c r="V165" t="s">
        <v>1191</v>
      </c>
      <c r="W165" t="e">
        <v>#REF!</v>
      </c>
      <c r="X165" s="10"/>
      <c r="AA165" t="s">
        <v>1192</v>
      </c>
      <c r="AB165" t="e">
        <v>#REF!</v>
      </c>
      <c r="AC165" t="e">
        <v>#REF!</v>
      </c>
      <c r="AD165" t="e">
        <v>#REF!</v>
      </c>
    </row>
    <row r="166" spans="1:30" x14ac:dyDescent="0.35">
      <c r="A166" t="s">
        <v>187</v>
      </c>
      <c r="B166">
        <v>2244</v>
      </c>
      <c r="C166" t="s">
        <v>374</v>
      </c>
      <c r="D166">
        <v>2230</v>
      </c>
      <c r="E166" t="s">
        <v>339</v>
      </c>
      <c r="F166" t="s">
        <v>273</v>
      </c>
      <c r="G166" t="s">
        <v>1800</v>
      </c>
      <c r="H166" t="s">
        <v>413</v>
      </c>
      <c r="I166" t="e">
        <v>#REF!</v>
      </c>
      <c r="J166" t="s">
        <v>2858</v>
      </c>
      <c r="K166" t="s">
        <v>2144</v>
      </c>
      <c r="L166" t="s">
        <v>2859</v>
      </c>
      <c r="M166" t="s">
        <v>276</v>
      </c>
      <c r="N166" t="s">
        <v>2860</v>
      </c>
      <c r="O166" t="s">
        <v>2861</v>
      </c>
      <c r="P166" t="s">
        <v>1194</v>
      </c>
      <c r="Q166" t="s">
        <v>2862</v>
      </c>
      <c r="R166" t="s">
        <v>2144</v>
      </c>
      <c r="S166" t="s">
        <v>2863</v>
      </c>
      <c r="U166" t="s">
        <v>421</v>
      </c>
      <c r="V166" t="s">
        <v>1195</v>
      </c>
      <c r="W166" t="e">
        <v>#REF!</v>
      </c>
      <c r="X166" s="10">
        <v>5038255040</v>
      </c>
      <c r="AA166" t="s">
        <v>1196</v>
      </c>
      <c r="AB166" t="e">
        <v>#REF!</v>
      </c>
      <c r="AC166" t="e">
        <v>#REF!</v>
      </c>
      <c r="AD166" t="e">
        <v>#REF!</v>
      </c>
    </row>
    <row r="167" spans="1:30" x14ac:dyDescent="0.35">
      <c r="A167" t="s">
        <v>188</v>
      </c>
      <c r="B167">
        <v>2138</v>
      </c>
      <c r="C167" t="s">
        <v>447</v>
      </c>
      <c r="D167">
        <v>2117</v>
      </c>
      <c r="E167" t="s">
        <v>296</v>
      </c>
      <c r="F167" t="s">
        <v>273</v>
      </c>
      <c r="G167" t="s">
        <v>452</v>
      </c>
      <c r="H167" t="s">
        <v>2864</v>
      </c>
      <c r="I167" t="e">
        <v>#REF!</v>
      </c>
      <c r="J167" t="s">
        <v>2865</v>
      </c>
      <c r="K167" t="s">
        <v>2866</v>
      </c>
      <c r="L167" t="s">
        <v>2867</v>
      </c>
      <c r="M167" t="s">
        <v>276</v>
      </c>
      <c r="N167" t="s">
        <v>2868</v>
      </c>
      <c r="O167" t="s">
        <v>2869</v>
      </c>
      <c r="P167" t="s">
        <v>1198</v>
      </c>
      <c r="Q167" t="s">
        <v>2865</v>
      </c>
      <c r="R167" t="s">
        <v>2870</v>
      </c>
      <c r="S167" t="s">
        <v>2871</v>
      </c>
      <c r="U167" t="s">
        <v>304</v>
      </c>
      <c r="V167" t="s">
        <v>1199</v>
      </c>
      <c r="W167" t="e">
        <v>#REF!</v>
      </c>
      <c r="X167" s="10">
        <v>5038735303</v>
      </c>
      <c r="Y167" t="s">
        <v>1200</v>
      </c>
      <c r="AA167" t="s">
        <v>1201</v>
      </c>
      <c r="AB167" t="e">
        <v>#REF!</v>
      </c>
      <c r="AC167" t="e">
        <v>#REF!</v>
      </c>
      <c r="AD167" t="e">
        <v>#REF!</v>
      </c>
    </row>
    <row r="168" spans="1:30" x14ac:dyDescent="0.35">
      <c r="A168" t="s">
        <v>189</v>
      </c>
      <c r="B168">
        <v>1978</v>
      </c>
      <c r="C168" t="s">
        <v>384</v>
      </c>
      <c r="D168">
        <v>1975</v>
      </c>
      <c r="E168" t="s">
        <v>385</v>
      </c>
      <c r="F168" t="s">
        <v>273</v>
      </c>
      <c r="G168" t="s">
        <v>1202</v>
      </c>
      <c r="H168" t="s">
        <v>1203</v>
      </c>
      <c r="I168" t="e">
        <v>#REF!</v>
      </c>
      <c r="J168" t="s">
        <v>2872</v>
      </c>
      <c r="K168" t="s">
        <v>2873</v>
      </c>
      <c r="L168" t="s">
        <v>2874</v>
      </c>
      <c r="M168" t="s">
        <v>276</v>
      </c>
      <c r="N168" t="s">
        <v>2875</v>
      </c>
      <c r="O168" t="s">
        <v>2876</v>
      </c>
      <c r="P168" t="s">
        <v>1204</v>
      </c>
      <c r="Q168" t="s">
        <v>2872</v>
      </c>
      <c r="R168" t="s">
        <v>2877</v>
      </c>
      <c r="S168" t="s">
        <v>2878</v>
      </c>
      <c r="U168" t="s">
        <v>725</v>
      </c>
      <c r="V168" t="s">
        <v>960</v>
      </c>
      <c r="W168" t="e">
        <v>#REF!</v>
      </c>
      <c r="X168" s="10">
        <v>5415498521</v>
      </c>
      <c r="Y168" t="s">
        <v>1205</v>
      </c>
      <c r="AA168" t="s">
        <v>1206</v>
      </c>
      <c r="AB168" t="e">
        <v>#REF!</v>
      </c>
      <c r="AC168" t="e">
        <v>#REF!</v>
      </c>
      <c r="AD168" t="e">
        <v>#REF!</v>
      </c>
    </row>
    <row r="169" spans="1:30" x14ac:dyDescent="0.35">
      <c r="A169" t="s">
        <v>190</v>
      </c>
      <c r="B169">
        <v>2096</v>
      </c>
      <c r="C169" t="s">
        <v>390</v>
      </c>
      <c r="D169">
        <v>2064</v>
      </c>
      <c r="E169" t="s">
        <v>391</v>
      </c>
      <c r="F169" t="s">
        <v>273</v>
      </c>
      <c r="G169" t="s">
        <v>563</v>
      </c>
      <c r="H169" t="s">
        <v>1207</v>
      </c>
      <c r="I169" t="e">
        <v>#REF!</v>
      </c>
      <c r="J169" t="s">
        <v>2879</v>
      </c>
      <c r="K169" t="s">
        <v>2144</v>
      </c>
      <c r="L169" t="s">
        <v>1208</v>
      </c>
      <c r="M169" t="s">
        <v>276</v>
      </c>
      <c r="N169" t="s">
        <v>505</v>
      </c>
      <c r="O169" t="s">
        <v>1209</v>
      </c>
      <c r="P169" t="s">
        <v>1210</v>
      </c>
      <c r="Q169" t="s">
        <v>2880</v>
      </c>
      <c r="R169" t="s">
        <v>2144</v>
      </c>
      <c r="S169" t="s">
        <v>1211</v>
      </c>
      <c r="T169" t="s">
        <v>1862</v>
      </c>
      <c r="U169" t="s">
        <v>1212</v>
      </c>
      <c r="V169" t="s">
        <v>1213</v>
      </c>
      <c r="W169" t="e">
        <v>#REF!</v>
      </c>
      <c r="X169" s="10">
        <v>5419972651</v>
      </c>
      <c r="AA169" t="s">
        <v>1214</v>
      </c>
      <c r="AB169" t="e">
        <v>#REF!</v>
      </c>
      <c r="AC169" t="e">
        <v>#REF!</v>
      </c>
      <c r="AD169" t="e">
        <v>#REF!</v>
      </c>
    </row>
    <row r="170" spans="1:30" x14ac:dyDescent="0.35">
      <c r="A170" t="s">
        <v>191</v>
      </c>
      <c r="B170">
        <v>2022</v>
      </c>
      <c r="C170" t="s">
        <v>584</v>
      </c>
      <c r="D170">
        <v>2013</v>
      </c>
      <c r="E170" t="s">
        <v>585</v>
      </c>
      <c r="F170" t="s">
        <v>273</v>
      </c>
      <c r="G170" t="s">
        <v>1256</v>
      </c>
      <c r="H170" t="s">
        <v>1257</v>
      </c>
      <c r="I170" t="e">
        <v>#REF!</v>
      </c>
      <c r="J170" t="s">
        <v>2368</v>
      </c>
      <c r="K170" t="s">
        <v>2144</v>
      </c>
      <c r="L170" t="s">
        <v>2769</v>
      </c>
      <c r="M170" t="s">
        <v>276</v>
      </c>
      <c r="N170" t="s">
        <v>576</v>
      </c>
      <c r="O170" t="s">
        <v>2369</v>
      </c>
      <c r="P170" t="s">
        <v>587</v>
      </c>
      <c r="Q170" t="s">
        <v>2370</v>
      </c>
      <c r="R170" t="s">
        <v>2371</v>
      </c>
      <c r="S170" t="s">
        <v>2372</v>
      </c>
      <c r="U170" t="s">
        <v>1831</v>
      </c>
      <c r="V170" t="s">
        <v>1832</v>
      </c>
      <c r="W170" t="e">
        <v>#REF!</v>
      </c>
      <c r="X170" s="10">
        <v>5415890993</v>
      </c>
      <c r="AA170" t="s">
        <v>1215</v>
      </c>
      <c r="AB170" t="e">
        <v>#REF!</v>
      </c>
      <c r="AC170" t="e">
        <v>#REF!</v>
      </c>
      <c r="AD170" t="e">
        <v>#REF!</v>
      </c>
    </row>
    <row r="171" spans="1:30" x14ac:dyDescent="0.35">
      <c r="A171" t="s">
        <v>192</v>
      </c>
      <c r="B171">
        <v>2087</v>
      </c>
      <c r="C171" t="s">
        <v>390</v>
      </c>
      <c r="D171">
        <v>2064</v>
      </c>
      <c r="E171" t="s">
        <v>391</v>
      </c>
      <c r="F171" t="s">
        <v>273</v>
      </c>
      <c r="G171" t="s">
        <v>1164</v>
      </c>
      <c r="H171" t="s">
        <v>1216</v>
      </c>
      <c r="I171" t="e">
        <v>#REF!</v>
      </c>
      <c r="J171" t="s">
        <v>2881</v>
      </c>
      <c r="K171" t="s">
        <v>2882</v>
      </c>
      <c r="L171" t="s">
        <v>2883</v>
      </c>
      <c r="M171" t="s">
        <v>276</v>
      </c>
      <c r="N171" t="s">
        <v>1017</v>
      </c>
      <c r="O171" t="s">
        <v>1217</v>
      </c>
      <c r="P171" t="s">
        <v>1218</v>
      </c>
      <c r="Q171" t="s">
        <v>2881</v>
      </c>
      <c r="R171" t="s">
        <v>2884</v>
      </c>
      <c r="S171" t="s">
        <v>1219</v>
      </c>
      <c r="T171" t="s">
        <v>1882</v>
      </c>
      <c r="U171" t="s">
        <v>306</v>
      </c>
      <c r="V171" t="s">
        <v>1833</v>
      </c>
      <c r="W171" t="e">
        <v>#REF!</v>
      </c>
      <c r="X171" s="10">
        <v>5419423381</v>
      </c>
      <c r="Y171" t="s">
        <v>1220</v>
      </c>
      <c r="AA171" t="s">
        <v>1859</v>
      </c>
      <c r="AB171" t="e">
        <v>#REF!</v>
      </c>
      <c r="AC171" t="e">
        <v>#REF!</v>
      </c>
      <c r="AD171" t="e">
        <v>#REF!</v>
      </c>
    </row>
    <row r="172" spans="1:30" x14ac:dyDescent="0.35">
      <c r="A172" t="s">
        <v>193</v>
      </c>
      <c r="B172">
        <v>1994</v>
      </c>
      <c r="C172" t="s">
        <v>431</v>
      </c>
      <c r="D172">
        <v>1980</v>
      </c>
      <c r="E172" t="s">
        <v>432</v>
      </c>
      <c r="F172" t="s">
        <v>273</v>
      </c>
      <c r="G172" t="s">
        <v>1221</v>
      </c>
      <c r="H172" t="s">
        <v>1222</v>
      </c>
      <c r="I172" t="e">
        <v>#REF!</v>
      </c>
      <c r="J172" t="s">
        <v>2885</v>
      </c>
      <c r="K172" t="s">
        <v>2886</v>
      </c>
      <c r="L172" t="s">
        <v>2887</v>
      </c>
      <c r="M172" t="s">
        <v>276</v>
      </c>
      <c r="N172" t="s">
        <v>602</v>
      </c>
      <c r="O172" t="s">
        <v>603</v>
      </c>
      <c r="P172" t="s">
        <v>1223</v>
      </c>
      <c r="Q172" t="s">
        <v>2885</v>
      </c>
      <c r="R172" t="s">
        <v>2888</v>
      </c>
      <c r="S172" t="s">
        <v>2889</v>
      </c>
      <c r="U172" t="s">
        <v>714</v>
      </c>
      <c r="V172" t="s">
        <v>540</v>
      </c>
      <c r="W172" t="e">
        <v>#REF!</v>
      </c>
      <c r="X172" s="10">
        <v>5418633115</v>
      </c>
      <c r="Y172" t="s">
        <v>1224</v>
      </c>
      <c r="AA172" t="s">
        <v>1225</v>
      </c>
      <c r="AB172" t="e">
        <v>#REF!</v>
      </c>
      <c r="AC172" t="e">
        <v>#REF!</v>
      </c>
      <c r="AD172" t="e">
        <v>#REF!</v>
      </c>
    </row>
    <row r="173" spans="1:30" x14ac:dyDescent="0.35">
      <c r="A173" t="s">
        <v>194</v>
      </c>
      <c r="B173">
        <v>2225</v>
      </c>
      <c r="C173" t="s">
        <v>612</v>
      </c>
      <c r="D173">
        <v>2223</v>
      </c>
      <c r="E173" t="s">
        <v>613</v>
      </c>
      <c r="F173" t="s">
        <v>273</v>
      </c>
      <c r="G173" t="s">
        <v>480</v>
      </c>
      <c r="H173" t="s">
        <v>1226</v>
      </c>
      <c r="I173" t="e">
        <v>#REF!</v>
      </c>
      <c r="J173" t="s">
        <v>2890</v>
      </c>
      <c r="K173" t="s">
        <v>2891</v>
      </c>
      <c r="L173" t="s">
        <v>1227</v>
      </c>
      <c r="M173" t="s">
        <v>276</v>
      </c>
      <c r="N173" t="s">
        <v>1228</v>
      </c>
      <c r="O173" t="s">
        <v>1229</v>
      </c>
      <c r="P173" t="s">
        <v>1230</v>
      </c>
      <c r="Q173" t="s">
        <v>2890</v>
      </c>
      <c r="R173" t="s">
        <v>2892</v>
      </c>
      <c r="S173" t="s">
        <v>1231</v>
      </c>
      <c r="U173" t="s">
        <v>1232</v>
      </c>
      <c r="V173" t="s">
        <v>1233</v>
      </c>
      <c r="W173" t="e">
        <v>#REF!</v>
      </c>
      <c r="X173" s="10">
        <v>5413952645</v>
      </c>
      <c r="AA173" t="s">
        <v>1234</v>
      </c>
      <c r="AB173" t="e">
        <v>#REF!</v>
      </c>
      <c r="AC173" t="e">
        <v>#REF!</v>
      </c>
      <c r="AD173" t="e">
        <v>#REF!</v>
      </c>
    </row>
    <row r="174" spans="1:30" x14ac:dyDescent="0.35">
      <c r="A174" t="s">
        <v>195</v>
      </c>
      <c r="B174">
        <v>2247</v>
      </c>
      <c r="C174" t="s">
        <v>686</v>
      </c>
      <c r="D174">
        <v>2004</v>
      </c>
      <c r="E174" t="s">
        <v>310</v>
      </c>
      <c r="F174" t="s">
        <v>273</v>
      </c>
      <c r="G174" t="s">
        <v>818</v>
      </c>
      <c r="H174" t="s">
        <v>1079</v>
      </c>
      <c r="I174" t="e">
        <v>#REF!</v>
      </c>
      <c r="J174" t="s">
        <v>2893</v>
      </c>
      <c r="K174" t="s">
        <v>2144</v>
      </c>
      <c r="L174" t="s">
        <v>2894</v>
      </c>
      <c r="M174" t="s">
        <v>276</v>
      </c>
      <c r="N174" t="s">
        <v>2165</v>
      </c>
      <c r="O174" t="s">
        <v>2166</v>
      </c>
      <c r="P174" t="s">
        <v>1235</v>
      </c>
      <c r="Q174" t="s">
        <v>2167</v>
      </c>
      <c r="R174" t="s">
        <v>2144</v>
      </c>
      <c r="S174" t="s">
        <v>2168</v>
      </c>
      <c r="T174" t="s">
        <v>1862</v>
      </c>
      <c r="U174" t="s">
        <v>678</v>
      </c>
      <c r="V174" t="s">
        <v>906</v>
      </c>
      <c r="W174" t="e">
        <v>#REF!</v>
      </c>
      <c r="X174" s="10">
        <v>8004502732</v>
      </c>
      <c r="AA174" t="s">
        <v>907</v>
      </c>
      <c r="AB174" t="e">
        <v>#REF!</v>
      </c>
      <c r="AC174" t="e">
        <v>#REF!</v>
      </c>
      <c r="AD174" t="e">
        <v>#REF!</v>
      </c>
    </row>
    <row r="175" spans="1:30" x14ac:dyDescent="0.35">
      <c r="A175" t="s">
        <v>196</v>
      </c>
      <c r="B175">
        <v>2083</v>
      </c>
      <c r="C175" t="s">
        <v>390</v>
      </c>
      <c r="D175">
        <v>2064</v>
      </c>
      <c r="E175" t="s">
        <v>391</v>
      </c>
      <c r="F175" t="s">
        <v>273</v>
      </c>
      <c r="G175" t="s">
        <v>1161</v>
      </c>
      <c r="H175" t="s">
        <v>1217</v>
      </c>
      <c r="I175" t="e">
        <v>#REF!</v>
      </c>
      <c r="J175" t="s">
        <v>2895</v>
      </c>
      <c r="K175" t="s">
        <v>2144</v>
      </c>
      <c r="L175" t="s">
        <v>1236</v>
      </c>
      <c r="M175" t="s">
        <v>276</v>
      </c>
      <c r="N175" t="s">
        <v>472</v>
      </c>
      <c r="O175" t="s">
        <v>1237</v>
      </c>
      <c r="P175" t="s">
        <v>1238</v>
      </c>
      <c r="Q175" t="s">
        <v>2896</v>
      </c>
      <c r="R175" t="s">
        <v>2144</v>
      </c>
      <c r="S175" t="s">
        <v>1239</v>
      </c>
      <c r="T175" t="s">
        <v>1881</v>
      </c>
      <c r="U175" t="s">
        <v>1240</v>
      </c>
      <c r="V175" t="s">
        <v>1241</v>
      </c>
      <c r="W175" t="e">
        <v>#REF!</v>
      </c>
      <c r="X175" s="10">
        <v>5417263206</v>
      </c>
      <c r="AA175" t="s">
        <v>1242</v>
      </c>
      <c r="AB175" t="e">
        <v>#REF!</v>
      </c>
      <c r="AC175" t="e">
        <v>#REF!</v>
      </c>
      <c r="AD175" t="e">
        <v>#REF!</v>
      </c>
    </row>
    <row r="176" spans="1:30" x14ac:dyDescent="0.35">
      <c r="A176" t="s">
        <v>197</v>
      </c>
      <c r="B176">
        <v>1948</v>
      </c>
      <c r="C176" t="s">
        <v>490</v>
      </c>
      <c r="D176">
        <v>2230</v>
      </c>
      <c r="E176" t="s">
        <v>339</v>
      </c>
      <c r="F176" t="s">
        <v>273</v>
      </c>
      <c r="G176" t="s">
        <v>1243</v>
      </c>
      <c r="H176" t="s">
        <v>1244</v>
      </c>
      <c r="I176" t="e">
        <v>#REF!</v>
      </c>
      <c r="J176" t="s">
        <v>2897</v>
      </c>
      <c r="K176" t="s">
        <v>2898</v>
      </c>
      <c r="L176" t="s">
        <v>1245</v>
      </c>
      <c r="M176" t="s">
        <v>276</v>
      </c>
      <c r="N176" t="s">
        <v>501</v>
      </c>
      <c r="O176" t="s">
        <v>275</v>
      </c>
      <c r="P176" t="s">
        <v>1246</v>
      </c>
      <c r="Q176" t="s">
        <v>2897</v>
      </c>
      <c r="R176" t="s">
        <v>2899</v>
      </c>
      <c r="S176" t="s">
        <v>1247</v>
      </c>
      <c r="U176" t="s">
        <v>609</v>
      </c>
      <c r="V176" t="s">
        <v>1248</v>
      </c>
      <c r="W176" t="e">
        <v>#REF!</v>
      </c>
      <c r="X176" s="10">
        <v>5033667225</v>
      </c>
      <c r="AA176" t="s">
        <v>1249</v>
      </c>
      <c r="AB176" t="e">
        <v>#REF!</v>
      </c>
      <c r="AC176" t="e">
        <v>#REF!</v>
      </c>
      <c r="AD176" t="e">
        <v>#REF!</v>
      </c>
    </row>
    <row r="177" spans="1:30" x14ac:dyDescent="0.35">
      <c r="A177" t="s">
        <v>198</v>
      </c>
      <c r="B177">
        <v>2144</v>
      </c>
      <c r="C177" t="s">
        <v>447</v>
      </c>
      <c r="D177">
        <v>2117</v>
      </c>
      <c r="E177" t="s">
        <v>296</v>
      </c>
      <c r="F177" t="s">
        <v>273</v>
      </c>
      <c r="G177" t="s">
        <v>1251</v>
      </c>
      <c r="H177" t="s">
        <v>1250</v>
      </c>
      <c r="I177" t="e">
        <v>#REF!</v>
      </c>
      <c r="J177" t="s">
        <v>2900</v>
      </c>
      <c r="K177" t="s">
        <v>2144</v>
      </c>
      <c r="L177" t="s">
        <v>1253</v>
      </c>
      <c r="M177" t="s">
        <v>276</v>
      </c>
      <c r="N177" t="s">
        <v>1251</v>
      </c>
      <c r="O177" t="s">
        <v>1250</v>
      </c>
      <c r="P177" t="s">
        <v>1252</v>
      </c>
      <c r="Q177" t="s">
        <v>2900</v>
      </c>
      <c r="R177" t="s">
        <v>2144</v>
      </c>
      <c r="S177" t="s">
        <v>1253</v>
      </c>
      <c r="U177" t="s">
        <v>393</v>
      </c>
      <c r="V177" t="s">
        <v>1254</v>
      </c>
      <c r="W177" t="e">
        <v>#REF!</v>
      </c>
      <c r="X177" s="10">
        <v>5035401672</v>
      </c>
      <c r="AA177" t="s">
        <v>1860</v>
      </c>
      <c r="AB177" t="e">
        <v>#REF!</v>
      </c>
      <c r="AC177" t="e">
        <v>#REF!</v>
      </c>
      <c r="AD177" t="e">
        <v>#REF!</v>
      </c>
    </row>
    <row r="178" spans="1:30" x14ac:dyDescent="0.35">
      <c r="A178" t="s">
        <v>199</v>
      </c>
      <c r="B178">
        <v>2209</v>
      </c>
      <c r="C178" t="s">
        <v>350</v>
      </c>
      <c r="D178">
        <v>2200</v>
      </c>
      <c r="E178" t="s">
        <v>351</v>
      </c>
      <c r="F178" t="s">
        <v>273</v>
      </c>
      <c r="G178" t="s">
        <v>754</v>
      </c>
      <c r="H178" t="s">
        <v>603</v>
      </c>
      <c r="I178" t="e">
        <v>#REF!</v>
      </c>
      <c r="J178" t="s">
        <v>2901</v>
      </c>
      <c r="K178" t="s">
        <v>2144</v>
      </c>
      <c r="L178" t="s">
        <v>1255</v>
      </c>
      <c r="M178" t="s">
        <v>276</v>
      </c>
      <c r="N178" t="s">
        <v>2388</v>
      </c>
      <c r="O178" t="s">
        <v>2389</v>
      </c>
      <c r="P178" t="s">
        <v>416</v>
      </c>
      <c r="Q178" t="s">
        <v>2390</v>
      </c>
      <c r="R178" t="s">
        <v>2144</v>
      </c>
      <c r="S178" t="s">
        <v>2391</v>
      </c>
      <c r="T178" t="s">
        <v>1874</v>
      </c>
      <c r="U178" t="s">
        <v>754</v>
      </c>
      <c r="V178" t="s">
        <v>755</v>
      </c>
      <c r="W178" t="e">
        <v>#REF!</v>
      </c>
      <c r="X178" s="10">
        <v>5419663103</v>
      </c>
      <c r="AA178" t="s">
        <v>756</v>
      </c>
      <c r="AB178" t="e">
        <v>#REF!</v>
      </c>
      <c r="AC178" t="e">
        <v>#REF!</v>
      </c>
      <c r="AD178" t="e">
        <v>#REF!</v>
      </c>
    </row>
    <row r="179" spans="1:30" x14ac:dyDescent="0.35">
      <c r="A179" t="s">
        <v>200</v>
      </c>
      <c r="B179">
        <v>2018</v>
      </c>
      <c r="C179" t="s">
        <v>584</v>
      </c>
      <c r="D179">
        <v>2013</v>
      </c>
      <c r="E179" t="s">
        <v>585</v>
      </c>
      <c r="F179" t="s">
        <v>273</v>
      </c>
      <c r="G179" t="s">
        <v>1256</v>
      </c>
      <c r="H179" t="s">
        <v>1257</v>
      </c>
      <c r="I179" t="e">
        <v>#REF!</v>
      </c>
      <c r="J179" t="s">
        <v>2492</v>
      </c>
      <c r="K179" t="s">
        <v>2493</v>
      </c>
      <c r="L179" t="s">
        <v>2769</v>
      </c>
      <c r="M179" t="s">
        <v>276</v>
      </c>
      <c r="N179" t="s">
        <v>576</v>
      </c>
      <c r="O179" t="s">
        <v>2369</v>
      </c>
      <c r="P179" t="s">
        <v>587</v>
      </c>
      <c r="Q179" t="s">
        <v>2370</v>
      </c>
      <c r="R179" t="s">
        <v>2371</v>
      </c>
      <c r="S179" t="s">
        <v>2372</v>
      </c>
      <c r="U179" t="s">
        <v>744</v>
      </c>
      <c r="V179" t="s">
        <v>459</v>
      </c>
      <c r="W179" t="e">
        <v>#REF!</v>
      </c>
      <c r="X179" s="10">
        <v>5415734823</v>
      </c>
      <c r="AA179" t="s">
        <v>745</v>
      </c>
      <c r="AB179" t="e">
        <v>#REF!</v>
      </c>
      <c r="AC179" t="e">
        <v>#REF!</v>
      </c>
      <c r="AD179" t="e">
        <v>#REF!</v>
      </c>
    </row>
    <row r="180" spans="1:30" x14ac:dyDescent="0.35">
      <c r="A180" t="s">
        <v>201</v>
      </c>
      <c r="B180">
        <v>2003</v>
      </c>
      <c r="C180" t="s">
        <v>431</v>
      </c>
      <c r="D180">
        <v>1980</v>
      </c>
      <c r="E180" t="s">
        <v>432</v>
      </c>
      <c r="F180" t="s">
        <v>273</v>
      </c>
      <c r="G180" t="s">
        <v>977</v>
      </c>
      <c r="H180" t="s">
        <v>1259</v>
      </c>
      <c r="I180" t="e">
        <v>#REF!</v>
      </c>
      <c r="J180" t="s">
        <v>2902</v>
      </c>
      <c r="K180" t="s">
        <v>2767</v>
      </c>
      <c r="L180" t="s">
        <v>1260</v>
      </c>
      <c r="M180" t="s">
        <v>276</v>
      </c>
      <c r="N180" t="s">
        <v>418</v>
      </c>
      <c r="O180" t="s">
        <v>1261</v>
      </c>
      <c r="P180" t="s">
        <v>1262</v>
      </c>
      <c r="Q180" t="s">
        <v>2902</v>
      </c>
      <c r="R180" t="s">
        <v>2903</v>
      </c>
      <c r="S180" t="s">
        <v>1263</v>
      </c>
      <c r="U180" t="s">
        <v>1264</v>
      </c>
      <c r="V180" t="s">
        <v>1265</v>
      </c>
      <c r="W180" t="e">
        <v>#REF!</v>
      </c>
      <c r="X180" s="10">
        <v>5414592228</v>
      </c>
      <c r="AA180" t="s">
        <v>1266</v>
      </c>
      <c r="AB180" t="e">
        <v>#REF!</v>
      </c>
      <c r="AC180" t="e">
        <v>#REF!</v>
      </c>
      <c r="AD180" t="e">
        <v>#REF!</v>
      </c>
    </row>
    <row r="181" spans="1:30" x14ac:dyDescent="0.35">
      <c r="A181" t="s">
        <v>202</v>
      </c>
      <c r="B181">
        <v>2102</v>
      </c>
      <c r="C181" t="s">
        <v>471</v>
      </c>
      <c r="D181">
        <v>2098</v>
      </c>
      <c r="E181" t="s">
        <v>290</v>
      </c>
      <c r="F181" t="s">
        <v>273</v>
      </c>
      <c r="G181" t="s">
        <v>977</v>
      </c>
      <c r="H181" t="s">
        <v>701</v>
      </c>
      <c r="I181" t="e">
        <v>#REF!</v>
      </c>
      <c r="J181" t="s">
        <v>2904</v>
      </c>
      <c r="K181" t="s">
        <v>2144</v>
      </c>
      <c r="L181" t="s">
        <v>2905</v>
      </c>
      <c r="M181" t="s">
        <v>276</v>
      </c>
      <c r="N181" t="s">
        <v>1268</v>
      </c>
      <c r="O181" t="s">
        <v>1269</v>
      </c>
      <c r="P181" t="s">
        <v>1270</v>
      </c>
      <c r="Q181" t="s">
        <v>2906</v>
      </c>
      <c r="R181" t="s">
        <v>2144</v>
      </c>
      <c r="S181" t="s">
        <v>1271</v>
      </c>
      <c r="U181" t="s">
        <v>280</v>
      </c>
      <c r="V181" t="s">
        <v>1272</v>
      </c>
      <c r="W181" t="e">
        <v>#REF!</v>
      </c>
      <c r="X181" s="10">
        <v>5413677122</v>
      </c>
      <c r="AA181" t="s">
        <v>1273</v>
      </c>
      <c r="AB181" t="e">
        <v>#REF!</v>
      </c>
      <c r="AC181" t="e">
        <v>#REF!</v>
      </c>
      <c r="AD181" t="e">
        <v>#REF!</v>
      </c>
    </row>
    <row r="182" spans="1:30" x14ac:dyDescent="0.35">
      <c r="A182" t="s">
        <v>203</v>
      </c>
      <c r="B182">
        <v>2055</v>
      </c>
      <c r="C182" t="s">
        <v>722</v>
      </c>
      <c r="D182">
        <v>2025</v>
      </c>
      <c r="E182" t="s">
        <v>319</v>
      </c>
      <c r="F182" t="s">
        <v>273</v>
      </c>
      <c r="G182" t="s">
        <v>557</v>
      </c>
      <c r="H182" t="s">
        <v>1274</v>
      </c>
      <c r="I182" t="e">
        <v>#REF!</v>
      </c>
      <c r="J182" t="s">
        <v>2907</v>
      </c>
      <c r="K182" t="s">
        <v>2908</v>
      </c>
      <c r="L182" t="s">
        <v>1275</v>
      </c>
      <c r="M182" t="s">
        <v>276</v>
      </c>
      <c r="N182" t="s">
        <v>576</v>
      </c>
      <c r="O182" t="s">
        <v>1276</v>
      </c>
      <c r="P182" t="s">
        <v>1277</v>
      </c>
      <c r="Q182" t="s">
        <v>2907</v>
      </c>
      <c r="R182" t="s">
        <v>2909</v>
      </c>
      <c r="S182" t="s">
        <v>1278</v>
      </c>
      <c r="U182" t="s">
        <v>505</v>
      </c>
      <c r="V182" t="s">
        <v>1279</v>
      </c>
      <c r="W182" t="e">
        <v>#REF!</v>
      </c>
      <c r="X182" s="10">
        <v>5418623111</v>
      </c>
      <c r="Y182" t="s">
        <v>1280</v>
      </c>
      <c r="AA182" t="s">
        <v>1281</v>
      </c>
      <c r="AB182" t="e">
        <v>#REF!</v>
      </c>
      <c r="AC182" t="e">
        <v>#REF!</v>
      </c>
      <c r="AD182" t="e">
        <v>#REF!</v>
      </c>
    </row>
    <row r="183" spans="1:30" x14ac:dyDescent="0.35">
      <c r="A183" t="s">
        <v>204</v>
      </c>
      <c r="B183">
        <v>2242</v>
      </c>
      <c r="C183" t="s">
        <v>374</v>
      </c>
      <c r="D183">
        <v>2230</v>
      </c>
      <c r="E183" t="s">
        <v>339</v>
      </c>
      <c r="F183" t="s">
        <v>273</v>
      </c>
      <c r="G183" t="s">
        <v>692</v>
      </c>
      <c r="H183" t="s">
        <v>1282</v>
      </c>
      <c r="I183" t="e">
        <v>#REF!</v>
      </c>
      <c r="J183" t="s">
        <v>2910</v>
      </c>
      <c r="K183" t="s">
        <v>2144</v>
      </c>
      <c r="L183" t="s">
        <v>1283</v>
      </c>
      <c r="M183" t="s">
        <v>276</v>
      </c>
      <c r="N183" t="s">
        <v>835</v>
      </c>
      <c r="O183" t="s">
        <v>1284</v>
      </c>
      <c r="P183" t="s">
        <v>1285</v>
      </c>
      <c r="Q183" t="s">
        <v>2911</v>
      </c>
      <c r="R183" t="s">
        <v>2144</v>
      </c>
      <c r="S183" t="s">
        <v>1286</v>
      </c>
      <c r="U183" t="s">
        <v>557</v>
      </c>
      <c r="V183" t="s">
        <v>1287</v>
      </c>
      <c r="W183" t="e">
        <v>#REF!</v>
      </c>
      <c r="X183" s="10">
        <v>5034314016</v>
      </c>
      <c r="AA183" t="s">
        <v>1288</v>
      </c>
      <c r="AB183" t="e">
        <v>#REF!</v>
      </c>
      <c r="AC183" t="e">
        <v>#REF!</v>
      </c>
      <c r="AD183" t="e">
        <v>#REF!</v>
      </c>
    </row>
    <row r="184" spans="1:30" x14ac:dyDescent="0.35">
      <c r="A184" t="s">
        <v>205</v>
      </c>
      <c r="B184">
        <v>2197</v>
      </c>
      <c r="C184" t="s">
        <v>943</v>
      </c>
      <c r="D184">
        <v>2230</v>
      </c>
      <c r="E184" t="s">
        <v>339</v>
      </c>
      <c r="F184" t="s">
        <v>273</v>
      </c>
      <c r="G184" t="s">
        <v>1289</v>
      </c>
      <c r="H184" t="s">
        <v>375</v>
      </c>
      <c r="I184" t="e">
        <v>#REF!</v>
      </c>
      <c r="J184" t="s">
        <v>2912</v>
      </c>
      <c r="K184" t="s">
        <v>2913</v>
      </c>
      <c r="L184" t="s">
        <v>1290</v>
      </c>
      <c r="M184" t="s">
        <v>276</v>
      </c>
      <c r="N184" t="s">
        <v>591</v>
      </c>
      <c r="O184" t="s">
        <v>2914</v>
      </c>
      <c r="P184" t="s">
        <v>1292</v>
      </c>
      <c r="Q184" t="s">
        <v>2912</v>
      </c>
      <c r="R184" t="s">
        <v>2915</v>
      </c>
      <c r="S184" t="s">
        <v>2916</v>
      </c>
      <c r="U184" t="s">
        <v>1256</v>
      </c>
      <c r="V184" t="s">
        <v>1293</v>
      </c>
      <c r="W184" t="e">
        <v>#REF!</v>
      </c>
      <c r="X184" s="10">
        <v>5038424414</v>
      </c>
      <c r="Y184" t="s">
        <v>1294</v>
      </c>
      <c r="AA184" t="s">
        <v>1295</v>
      </c>
      <c r="AB184" t="e">
        <v>#REF!</v>
      </c>
      <c r="AC184" t="e">
        <v>#REF!</v>
      </c>
      <c r="AD184" t="e">
        <v>#REF!</v>
      </c>
    </row>
    <row r="185" spans="1:30" x14ac:dyDescent="0.35">
      <c r="A185" t="s">
        <v>206</v>
      </c>
      <c r="B185">
        <v>2222</v>
      </c>
      <c r="C185" t="s">
        <v>643</v>
      </c>
      <c r="D185">
        <v>2218</v>
      </c>
      <c r="E185" t="s">
        <v>644</v>
      </c>
      <c r="F185" t="s">
        <v>273</v>
      </c>
      <c r="G185" t="s">
        <v>2811</v>
      </c>
      <c r="H185" t="s">
        <v>2812</v>
      </c>
      <c r="I185" t="e">
        <v>#REF!</v>
      </c>
      <c r="J185" t="s">
        <v>2401</v>
      </c>
      <c r="K185" t="s">
        <v>2917</v>
      </c>
      <c r="L185" t="s">
        <v>2813</v>
      </c>
      <c r="M185" t="s">
        <v>276</v>
      </c>
      <c r="N185" t="s">
        <v>2399</v>
      </c>
      <c r="O185" t="s">
        <v>2400</v>
      </c>
      <c r="P185" t="s">
        <v>647</v>
      </c>
      <c r="Q185" t="s">
        <v>2401</v>
      </c>
      <c r="R185" t="s">
        <v>2402</v>
      </c>
      <c r="S185" t="s">
        <v>2403</v>
      </c>
      <c r="T185" t="s">
        <v>1862</v>
      </c>
      <c r="U185" t="s">
        <v>648</v>
      </c>
      <c r="V185" t="s">
        <v>649</v>
      </c>
      <c r="W185" t="e">
        <v>#REF!</v>
      </c>
      <c r="X185" s="10">
        <v>5414260147</v>
      </c>
      <c r="Y185" t="s">
        <v>650</v>
      </c>
      <c r="AA185" t="s">
        <v>651</v>
      </c>
      <c r="AB185" t="e">
        <v>#REF!</v>
      </c>
      <c r="AC185" t="e">
        <v>#REF!</v>
      </c>
      <c r="AD185" t="e">
        <v>#REF!</v>
      </c>
    </row>
    <row r="186" spans="1:30" x14ac:dyDescent="0.35">
      <c r="A186" t="s">
        <v>207</v>
      </c>
      <c r="B186">
        <v>2210</v>
      </c>
      <c r="C186" t="s">
        <v>350</v>
      </c>
      <c r="D186">
        <v>2200</v>
      </c>
      <c r="E186" t="s">
        <v>351</v>
      </c>
      <c r="F186" t="s">
        <v>273</v>
      </c>
      <c r="G186" t="s">
        <v>820</v>
      </c>
      <c r="H186" t="s">
        <v>2918</v>
      </c>
      <c r="I186" t="e">
        <v>#REF!</v>
      </c>
      <c r="J186" t="s">
        <v>2919</v>
      </c>
      <c r="K186" t="s">
        <v>2144</v>
      </c>
      <c r="L186" t="s">
        <v>2920</v>
      </c>
      <c r="M186" t="s">
        <v>276</v>
      </c>
      <c r="N186" t="s">
        <v>414</v>
      </c>
      <c r="O186" t="s">
        <v>415</v>
      </c>
      <c r="P186" t="s">
        <v>1296</v>
      </c>
      <c r="Q186" t="s">
        <v>2330</v>
      </c>
      <c r="R186" t="s">
        <v>2144</v>
      </c>
      <c r="S186" t="s">
        <v>417</v>
      </c>
      <c r="T186" t="s">
        <v>1872</v>
      </c>
      <c r="U186" t="s">
        <v>754</v>
      </c>
      <c r="V186" t="s">
        <v>755</v>
      </c>
      <c r="W186" t="e">
        <v>#REF!</v>
      </c>
      <c r="X186" s="10">
        <v>5419663216</v>
      </c>
      <c r="AA186" t="s">
        <v>756</v>
      </c>
      <c r="AB186" t="e">
        <v>#REF!</v>
      </c>
      <c r="AC186" t="e">
        <v>#REF!</v>
      </c>
      <c r="AD186" t="e">
        <v>#REF!</v>
      </c>
    </row>
    <row r="187" spans="1:30" x14ac:dyDescent="0.35">
      <c r="A187" t="s">
        <v>208</v>
      </c>
      <c r="B187">
        <v>2204</v>
      </c>
      <c r="C187" t="s">
        <v>350</v>
      </c>
      <c r="D187">
        <v>2200</v>
      </c>
      <c r="E187" t="s">
        <v>351</v>
      </c>
      <c r="F187" t="s">
        <v>273</v>
      </c>
      <c r="G187" t="s">
        <v>801</v>
      </c>
      <c r="H187" t="s">
        <v>1297</v>
      </c>
      <c r="I187" t="e">
        <v>#REF!</v>
      </c>
      <c r="J187" t="s">
        <v>2921</v>
      </c>
      <c r="K187" t="s">
        <v>2922</v>
      </c>
      <c r="L187" t="s">
        <v>1298</v>
      </c>
      <c r="M187" t="s">
        <v>276</v>
      </c>
      <c r="N187" t="s">
        <v>1299</v>
      </c>
      <c r="O187" t="s">
        <v>1300</v>
      </c>
      <c r="P187" t="s">
        <v>1301</v>
      </c>
      <c r="Q187" t="s">
        <v>2923</v>
      </c>
      <c r="R187" t="s">
        <v>2144</v>
      </c>
      <c r="S187" t="s">
        <v>1302</v>
      </c>
      <c r="U187" t="s">
        <v>678</v>
      </c>
      <c r="V187" t="s">
        <v>738</v>
      </c>
      <c r="W187" t="e">
        <v>#REF!</v>
      </c>
      <c r="X187" s="10">
        <v>5419663125</v>
      </c>
      <c r="AA187" t="s">
        <v>1303</v>
      </c>
      <c r="AB187" t="e">
        <v>#REF!</v>
      </c>
      <c r="AC187" t="e">
        <v>#REF!</v>
      </c>
      <c r="AD187" t="e">
        <v>#REF!</v>
      </c>
    </row>
    <row r="188" spans="1:30" x14ac:dyDescent="0.35">
      <c r="A188" t="s">
        <v>209</v>
      </c>
      <c r="B188">
        <v>2213</v>
      </c>
      <c r="C188" t="s">
        <v>531</v>
      </c>
      <c r="D188">
        <v>2200</v>
      </c>
      <c r="E188" t="s">
        <v>351</v>
      </c>
      <c r="F188" t="s">
        <v>273</v>
      </c>
      <c r="G188" t="s">
        <v>1124</v>
      </c>
      <c r="H188" t="s">
        <v>941</v>
      </c>
      <c r="I188" t="e">
        <v>#REF!</v>
      </c>
      <c r="J188" t="s">
        <v>2924</v>
      </c>
      <c r="K188" t="s">
        <v>2925</v>
      </c>
      <c r="L188" t="s">
        <v>2926</v>
      </c>
      <c r="M188" t="s">
        <v>276</v>
      </c>
      <c r="N188" t="s">
        <v>414</v>
      </c>
      <c r="O188" t="s">
        <v>415</v>
      </c>
      <c r="P188" t="s">
        <v>416</v>
      </c>
      <c r="Q188" t="s">
        <v>2330</v>
      </c>
      <c r="R188" t="s">
        <v>2144</v>
      </c>
      <c r="S188" t="s">
        <v>635</v>
      </c>
      <c r="U188" t="s">
        <v>1304</v>
      </c>
      <c r="V188" t="s">
        <v>298</v>
      </c>
      <c r="W188" t="e">
        <v>#REF!</v>
      </c>
      <c r="X188" s="10">
        <v>5415626115</v>
      </c>
      <c r="Y188" t="s">
        <v>1305</v>
      </c>
      <c r="AA188" t="s">
        <v>1306</v>
      </c>
      <c r="AB188" t="e">
        <v>#REF!</v>
      </c>
      <c r="AC188" t="e">
        <v>#REF!</v>
      </c>
      <c r="AD188" t="e">
        <v>#REF!</v>
      </c>
    </row>
    <row r="189" spans="1:30" x14ac:dyDescent="0.35">
      <c r="A189" t="s">
        <v>210</v>
      </c>
      <c r="B189">
        <v>2116</v>
      </c>
      <c r="C189" t="s">
        <v>278</v>
      </c>
      <c r="D189">
        <v>2106</v>
      </c>
      <c r="E189" t="s">
        <v>279</v>
      </c>
      <c r="F189" t="s">
        <v>273</v>
      </c>
      <c r="G189" t="s">
        <v>1307</v>
      </c>
      <c r="H189" t="s">
        <v>1308</v>
      </c>
      <c r="I189" t="e">
        <v>#REF!</v>
      </c>
      <c r="J189" t="s">
        <v>2927</v>
      </c>
      <c r="K189" t="s">
        <v>2169</v>
      </c>
      <c r="L189" t="s">
        <v>2928</v>
      </c>
      <c r="M189" t="s">
        <v>276</v>
      </c>
      <c r="N189" t="s">
        <v>505</v>
      </c>
      <c r="O189" t="s">
        <v>2929</v>
      </c>
      <c r="P189" t="s">
        <v>1309</v>
      </c>
      <c r="Q189" t="s">
        <v>2930</v>
      </c>
      <c r="R189" t="s">
        <v>2144</v>
      </c>
      <c r="S189" t="s">
        <v>2931</v>
      </c>
      <c r="U189" t="s">
        <v>1193</v>
      </c>
      <c r="V189" t="s">
        <v>1310</v>
      </c>
      <c r="W189" t="e">
        <v>#REF!</v>
      </c>
      <c r="X189" s="10">
        <v>5414730202</v>
      </c>
      <c r="AA189" t="s">
        <v>1311</v>
      </c>
      <c r="AB189" t="e">
        <v>#REF!</v>
      </c>
      <c r="AC189" t="e">
        <v>#REF!</v>
      </c>
      <c r="AD189" t="e">
        <v>#REF!</v>
      </c>
    </row>
    <row r="190" spans="1:30" x14ac:dyDescent="0.35">
      <c r="A190" t="s">
        <v>211</v>
      </c>
      <c r="B190">
        <v>1947</v>
      </c>
      <c r="C190" t="s">
        <v>490</v>
      </c>
      <c r="D190">
        <v>2230</v>
      </c>
      <c r="E190" t="s">
        <v>339</v>
      </c>
      <c r="F190" t="s">
        <v>273</v>
      </c>
      <c r="G190" t="s">
        <v>383</v>
      </c>
      <c r="H190" t="s">
        <v>1796</v>
      </c>
      <c r="I190" t="e">
        <v>#REF!</v>
      </c>
      <c r="J190" t="s">
        <v>2932</v>
      </c>
      <c r="K190" t="s">
        <v>2144</v>
      </c>
      <c r="L190" t="s">
        <v>2933</v>
      </c>
      <c r="M190" t="s">
        <v>276</v>
      </c>
      <c r="N190" t="s">
        <v>2934</v>
      </c>
      <c r="O190" t="s">
        <v>502</v>
      </c>
      <c r="P190" t="s">
        <v>1312</v>
      </c>
      <c r="Q190" t="s">
        <v>2935</v>
      </c>
      <c r="R190" t="s">
        <v>2144</v>
      </c>
      <c r="S190" t="s">
        <v>2936</v>
      </c>
      <c r="U190" t="s">
        <v>1313</v>
      </c>
      <c r="V190" t="s">
        <v>1314</v>
      </c>
      <c r="W190" t="e">
        <v>#REF!</v>
      </c>
      <c r="X190" s="10">
        <v>5034295891</v>
      </c>
      <c r="AA190" t="s">
        <v>1315</v>
      </c>
      <c r="AB190" t="e">
        <v>#REF!</v>
      </c>
      <c r="AC190" t="e">
        <v>#REF!</v>
      </c>
      <c r="AD190" t="e">
        <v>#REF!</v>
      </c>
    </row>
    <row r="191" spans="1:30" x14ac:dyDescent="0.35">
      <c r="A191" t="s">
        <v>212</v>
      </c>
      <c r="B191">
        <v>2220</v>
      </c>
      <c r="C191" t="s">
        <v>643</v>
      </c>
      <c r="D191">
        <v>2218</v>
      </c>
      <c r="E191" t="s">
        <v>644</v>
      </c>
      <c r="F191" t="s">
        <v>273</v>
      </c>
      <c r="G191" t="s">
        <v>2937</v>
      </c>
      <c r="H191" t="s">
        <v>282</v>
      </c>
      <c r="I191" t="e">
        <v>#REF!</v>
      </c>
      <c r="J191" t="s">
        <v>2938</v>
      </c>
      <c r="K191" t="s">
        <v>2939</v>
      </c>
      <c r="L191" t="s">
        <v>2940</v>
      </c>
      <c r="M191" t="s">
        <v>276</v>
      </c>
      <c r="N191" t="s">
        <v>2399</v>
      </c>
      <c r="O191" t="s">
        <v>2400</v>
      </c>
      <c r="P191" t="s">
        <v>647</v>
      </c>
      <c r="Q191" t="s">
        <v>2401</v>
      </c>
      <c r="R191" t="s">
        <v>2402</v>
      </c>
      <c r="S191" t="s">
        <v>2403</v>
      </c>
      <c r="T191" t="s">
        <v>1862</v>
      </c>
      <c r="U191" t="s">
        <v>648</v>
      </c>
      <c r="V191" t="s">
        <v>649</v>
      </c>
      <c r="W191" t="e">
        <v>#REF!</v>
      </c>
      <c r="X191" s="10">
        <v>5414260147</v>
      </c>
      <c r="Y191">
        <v>6120</v>
      </c>
      <c r="AA191" t="s">
        <v>651</v>
      </c>
      <c r="AB191" t="e">
        <v>#REF!</v>
      </c>
      <c r="AC191" t="e">
        <v>#REF!</v>
      </c>
      <c r="AD191" t="e">
        <v>#REF!</v>
      </c>
    </row>
    <row r="192" spans="1:30" x14ac:dyDescent="0.35">
      <c r="A192" t="s">
        <v>213</v>
      </c>
      <c r="B192">
        <v>1936</v>
      </c>
      <c r="C192" t="s">
        <v>338</v>
      </c>
      <c r="D192">
        <v>2230</v>
      </c>
      <c r="E192" t="s">
        <v>339</v>
      </c>
      <c r="F192" t="s">
        <v>273</v>
      </c>
      <c r="G192" t="s">
        <v>1267</v>
      </c>
      <c r="H192" t="s">
        <v>1317</v>
      </c>
      <c r="I192" t="e">
        <v>#REF!</v>
      </c>
      <c r="J192" t="s">
        <v>2941</v>
      </c>
      <c r="K192" t="s">
        <v>2792</v>
      </c>
      <c r="L192" t="s">
        <v>1318</v>
      </c>
      <c r="M192" t="s">
        <v>276</v>
      </c>
      <c r="N192" t="s">
        <v>1319</v>
      </c>
      <c r="O192" t="s">
        <v>1320</v>
      </c>
      <c r="P192" t="s">
        <v>1321</v>
      </c>
      <c r="Q192" t="s">
        <v>2942</v>
      </c>
      <c r="R192" t="s">
        <v>2943</v>
      </c>
      <c r="S192" t="s">
        <v>1322</v>
      </c>
      <c r="U192" t="s">
        <v>717</v>
      </c>
      <c r="V192" t="s">
        <v>1323</v>
      </c>
      <c r="W192" t="e">
        <v>#REF!</v>
      </c>
      <c r="X192" s="10">
        <v>5038612281</v>
      </c>
      <c r="AA192" t="s">
        <v>1324</v>
      </c>
      <c r="AB192" t="e">
        <v>#REF!</v>
      </c>
      <c r="AC192" t="e">
        <v>#REF!</v>
      </c>
      <c r="AD192" t="e">
        <v>#REF!</v>
      </c>
    </row>
    <row r="193" spans="1:30" x14ac:dyDescent="0.35">
      <c r="A193" t="s">
        <v>214</v>
      </c>
      <c r="B193">
        <v>1922</v>
      </c>
      <c r="C193" t="s">
        <v>440</v>
      </c>
      <c r="D193">
        <v>1902</v>
      </c>
      <c r="E193" t="s">
        <v>441</v>
      </c>
      <c r="F193" t="s">
        <v>273</v>
      </c>
      <c r="G193" t="s">
        <v>2944</v>
      </c>
      <c r="H193" t="s">
        <v>636</v>
      </c>
      <c r="I193" t="e">
        <v>#REF!</v>
      </c>
      <c r="J193" t="s">
        <v>2945</v>
      </c>
      <c r="K193" t="s">
        <v>2144</v>
      </c>
      <c r="L193" t="s">
        <v>1325</v>
      </c>
      <c r="M193" t="s">
        <v>276</v>
      </c>
      <c r="N193" t="s">
        <v>918</v>
      </c>
      <c r="O193" t="s">
        <v>2946</v>
      </c>
      <c r="P193" t="s">
        <v>1326</v>
      </c>
      <c r="Q193" t="s">
        <v>2947</v>
      </c>
      <c r="R193" t="s">
        <v>2144</v>
      </c>
      <c r="S193" t="s">
        <v>2948</v>
      </c>
      <c r="U193" t="s">
        <v>1327</v>
      </c>
      <c r="V193" t="s">
        <v>1328</v>
      </c>
      <c r="W193" t="e">
        <v>#REF!</v>
      </c>
      <c r="X193" s="10">
        <v>5036737005</v>
      </c>
      <c r="AA193" t="s">
        <v>1329</v>
      </c>
      <c r="AB193" t="e">
        <v>#REF!</v>
      </c>
      <c r="AC193" t="e">
        <v>#REF!</v>
      </c>
      <c r="AD193" t="e">
        <v>#REF!</v>
      </c>
    </row>
    <row r="194" spans="1:30" x14ac:dyDescent="0.35">
      <c r="A194" t="s">
        <v>215</v>
      </c>
      <c r="B194">
        <v>2255</v>
      </c>
      <c r="C194" t="s">
        <v>295</v>
      </c>
      <c r="D194">
        <v>2117</v>
      </c>
      <c r="E194" t="s">
        <v>296</v>
      </c>
      <c r="F194" t="s">
        <v>273</v>
      </c>
      <c r="G194" t="s">
        <v>1330</v>
      </c>
      <c r="H194" t="s">
        <v>1331</v>
      </c>
      <c r="I194" t="e">
        <v>#REF!</v>
      </c>
      <c r="J194" t="s">
        <v>2949</v>
      </c>
      <c r="K194" t="s">
        <v>2144</v>
      </c>
      <c r="L194" t="s">
        <v>1332</v>
      </c>
      <c r="M194" t="s">
        <v>276</v>
      </c>
      <c r="N194" t="s">
        <v>1330</v>
      </c>
      <c r="O194" t="s">
        <v>1331</v>
      </c>
      <c r="P194" t="s">
        <v>1333</v>
      </c>
      <c r="Q194" t="s">
        <v>2949</v>
      </c>
      <c r="R194" t="s">
        <v>2144</v>
      </c>
      <c r="S194" t="s">
        <v>1332</v>
      </c>
      <c r="U194" t="s">
        <v>505</v>
      </c>
      <c r="V194" t="s">
        <v>525</v>
      </c>
      <c r="W194" t="e">
        <v>#REF!</v>
      </c>
      <c r="X194" s="10">
        <v>5038761502</v>
      </c>
      <c r="AA194" t="s">
        <v>1334</v>
      </c>
      <c r="AB194" t="e">
        <v>#REF!</v>
      </c>
      <c r="AC194" t="e">
        <v>#REF!</v>
      </c>
      <c r="AD194" t="e">
        <v>#REF!</v>
      </c>
    </row>
    <row r="195" spans="1:30" x14ac:dyDescent="0.35">
      <c r="A195" t="s">
        <v>216</v>
      </c>
      <c r="B195">
        <v>2002</v>
      </c>
      <c r="C195" t="s">
        <v>431</v>
      </c>
      <c r="D195">
        <v>1980</v>
      </c>
      <c r="E195" t="s">
        <v>432</v>
      </c>
      <c r="F195" t="s">
        <v>273</v>
      </c>
      <c r="G195" t="s">
        <v>2399</v>
      </c>
      <c r="H195" t="s">
        <v>2950</v>
      </c>
      <c r="I195" t="e">
        <v>#REF!</v>
      </c>
      <c r="J195" t="s">
        <v>2951</v>
      </c>
      <c r="K195" t="s">
        <v>2952</v>
      </c>
      <c r="L195" t="s">
        <v>2953</v>
      </c>
      <c r="M195" t="s">
        <v>276</v>
      </c>
      <c r="N195" t="s">
        <v>480</v>
      </c>
      <c r="O195" t="s">
        <v>1335</v>
      </c>
      <c r="P195" t="s">
        <v>1336</v>
      </c>
      <c r="Q195" t="s">
        <v>2954</v>
      </c>
      <c r="R195" t="s">
        <v>2144</v>
      </c>
      <c r="S195" t="s">
        <v>1807</v>
      </c>
      <c r="T195" t="s">
        <v>1862</v>
      </c>
      <c r="U195" t="s">
        <v>678</v>
      </c>
      <c r="V195" t="s">
        <v>1337</v>
      </c>
      <c r="W195" t="e">
        <v>#REF!</v>
      </c>
      <c r="X195" s="10">
        <v>5416793000</v>
      </c>
      <c r="Y195" t="s">
        <v>1142</v>
      </c>
      <c r="AA195" t="s">
        <v>1338</v>
      </c>
      <c r="AB195" t="e">
        <v>#REF!</v>
      </c>
      <c r="AC195" t="e">
        <v>#REF!</v>
      </c>
      <c r="AD195" t="e">
        <v>#REF!</v>
      </c>
    </row>
    <row r="196" spans="1:30" x14ac:dyDescent="0.35">
      <c r="A196" t="s">
        <v>217</v>
      </c>
      <c r="B196">
        <v>2146</v>
      </c>
      <c r="C196" t="s">
        <v>447</v>
      </c>
      <c r="D196">
        <v>2117</v>
      </c>
      <c r="E196" t="s">
        <v>296</v>
      </c>
      <c r="F196" t="s">
        <v>273</v>
      </c>
      <c r="G196" t="s">
        <v>1251</v>
      </c>
      <c r="H196" t="s">
        <v>961</v>
      </c>
      <c r="I196" t="e">
        <v>#REF!</v>
      </c>
      <c r="J196" t="s">
        <v>2955</v>
      </c>
      <c r="K196" t="s">
        <v>2144</v>
      </c>
      <c r="L196" t="s">
        <v>2956</v>
      </c>
      <c r="M196" t="s">
        <v>276</v>
      </c>
      <c r="N196" t="s">
        <v>1197</v>
      </c>
      <c r="O196" t="s">
        <v>1339</v>
      </c>
      <c r="P196" t="s">
        <v>1340</v>
      </c>
      <c r="Q196" t="s">
        <v>2957</v>
      </c>
      <c r="R196" t="s">
        <v>2144</v>
      </c>
      <c r="S196" t="s">
        <v>1341</v>
      </c>
      <c r="U196" t="s">
        <v>1159</v>
      </c>
      <c r="V196" t="s">
        <v>305</v>
      </c>
      <c r="W196" t="e">
        <v>#REF!</v>
      </c>
      <c r="X196" s="10">
        <v>5039812703</v>
      </c>
      <c r="AA196" t="s">
        <v>1342</v>
      </c>
      <c r="AB196" t="e">
        <v>#REF!</v>
      </c>
      <c r="AC196" t="e">
        <v>#REF!</v>
      </c>
      <c r="AD196" t="e">
        <v>#REF!</v>
      </c>
    </row>
    <row r="197" spans="1:30" x14ac:dyDescent="0.35">
      <c r="A197" t="s">
        <v>218</v>
      </c>
      <c r="B197">
        <v>2251</v>
      </c>
      <c r="C197" t="s">
        <v>295</v>
      </c>
      <c r="D197">
        <v>2117</v>
      </c>
      <c r="E197" t="s">
        <v>296</v>
      </c>
      <c r="F197" t="s">
        <v>273</v>
      </c>
      <c r="G197" t="s">
        <v>2958</v>
      </c>
      <c r="H197" t="s">
        <v>2959</v>
      </c>
      <c r="I197" t="e">
        <v>#REF!</v>
      </c>
      <c r="J197" t="s">
        <v>2960</v>
      </c>
      <c r="K197" t="s">
        <v>2144</v>
      </c>
      <c r="L197" t="s">
        <v>2961</v>
      </c>
      <c r="M197" t="s">
        <v>276</v>
      </c>
      <c r="N197" t="s">
        <v>1343</v>
      </c>
      <c r="O197" t="s">
        <v>1344</v>
      </c>
      <c r="P197" t="s">
        <v>1345</v>
      </c>
      <c r="Q197" t="s">
        <v>2962</v>
      </c>
      <c r="R197" t="s">
        <v>2144</v>
      </c>
      <c r="S197" t="s">
        <v>1346</v>
      </c>
      <c r="U197" t="s">
        <v>553</v>
      </c>
      <c r="V197" t="s">
        <v>1347</v>
      </c>
      <c r="W197" t="e">
        <v>#REF!</v>
      </c>
      <c r="X197" s="10">
        <v>5038526983</v>
      </c>
      <c r="AA197" t="s">
        <v>1348</v>
      </c>
      <c r="AB197" t="e">
        <v>#REF!</v>
      </c>
      <c r="AC197" t="e">
        <v>#REF!</v>
      </c>
      <c r="AD197" t="e">
        <v>#REF!</v>
      </c>
    </row>
    <row r="198" spans="1:30" x14ac:dyDescent="0.35">
      <c r="A198" t="s">
        <v>219</v>
      </c>
      <c r="B198">
        <v>1997</v>
      </c>
      <c r="C198" t="s">
        <v>431</v>
      </c>
      <c r="D198">
        <v>1980</v>
      </c>
      <c r="E198" t="s">
        <v>432</v>
      </c>
      <c r="F198" t="s">
        <v>273</v>
      </c>
      <c r="G198" t="s">
        <v>472</v>
      </c>
      <c r="H198" t="s">
        <v>1349</v>
      </c>
      <c r="I198" t="e">
        <v>#REF!</v>
      </c>
      <c r="J198" t="s">
        <v>2963</v>
      </c>
      <c r="K198" t="s">
        <v>2144</v>
      </c>
      <c r="L198" t="s">
        <v>1350</v>
      </c>
      <c r="M198" t="s">
        <v>276</v>
      </c>
      <c r="N198" t="s">
        <v>408</v>
      </c>
      <c r="O198" t="s">
        <v>1145</v>
      </c>
      <c r="P198" t="s">
        <v>1146</v>
      </c>
      <c r="Q198" t="s">
        <v>2453</v>
      </c>
      <c r="R198" t="s">
        <v>2144</v>
      </c>
      <c r="S198" t="s">
        <v>1147</v>
      </c>
      <c r="T198" t="s">
        <v>1862</v>
      </c>
      <c r="U198" t="s">
        <v>1834</v>
      </c>
      <c r="V198" t="s">
        <v>1812</v>
      </c>
      <c r="W198" t="e">
        <v>#REF!</v>
      </c>
      <c r="X198" s="10">
        <v>5419574820</v>
      </c>
      <c r="AA198" t="s">
        <v>1861</v>
      </c>
      <c r="AB198" t="e">
        <v>#REF!</v>
      </c>
      <c r="AC198" t="e">
        <v>#REF!</v>
      </c>
      <c r="AD198" t="e">
        <v>#REF!</v>
      </c>
    </row>
    <row r="199" spans="1:30" x14ac:dyDescent="0.35">
      <c r="Q199" s="10"/>
      <c r="X199" s="10"/>
    </row>
    <row r="200" spans="1:30" x14ac:dyDescent="0.35">
      <c r="Q200" s="10"/>
      <c r="X200" s="10"/>
    </row>
    <row r="201" spans="1:30" x14ac:dyDescent="0.35">
      <c r="Q201" s="10"/>
      <c r="X201" s="10"/>
    </row>
    <row r="202" spans="1:30" x14ac:dyDescent="0.35">
      <c r="Q202" s="10"/>
      <c r="X202" s="10"/>
    </row>
    <row r="203" spans="1:30" x14ac:dyDescent="0.35">
      <c r="Q203" s="10"/>
      <c r="X203" s="10"/>
    </row>
    <row r="204" spans="1:30" x14ac:dyDescent="0.35">
      <c r="Q204" s="10"/>
      <c r="X204" s="10"/>
    </row>
    <row r="205" spans="1:30" x14ac:dyDescent="0.35">
      <c r="Q205" s="10"/>
      <c r="X205" s="10"/>
    </row>
    <row r="206" spans="1:30" x14ac:dyDescent="0.35">
      <c r="Q206" s="10"/>
      <c r="X206" s="10"/>
    </row>
    <row r="207" spans="1:30" x14ac:dyDescent="0.35">
      <c r="Q207" s="10"/>
      <c r="X207" s="10"/>
    </row>
    <row r="208" spans="1:30" x14ac:dyDescent="0.35">
      <c r="Q208" s="10"/>
      <c r="X208" s="10"/>
    </row>
    <row r="209" spans="17:24" x14ac:dyDescent="0.35">
      <c r="Q209" s="10"/>
      <c r="X209" s="10"/>
    </row>
    <row r="210" spans="17:24" x14ac:dyDescent="0.35">
      <c r="Q210" s="10"/>
      <c r="X210" s="10"/>
    </row>
    <row r="211" spans="17:24" x14ac:dyDescent="0.35">
      <c r="Q211" s="10"/>
      <c r="X211" s="10"/>
    </row>
    <row r="212" spans="17:24" x14ac:dyDescent="0.35">
      <c r="Q212" s="10"/>
      <c r="X212" s="10"/>
    </row>
    <row r="213" spans="17:24" x14ac:dyDescent="0.35">
      <c r="Q213" s="10"/>
      <c r="X213" s="10"/>
    </row>
    <row r="214" spans="17:24" x14ac:dyDescent="0.35">
      <c r="Q214" s="10"/>
      <c r="X214" s="10"/>
    </row>
    <row r="215" spans="17:24" x14ac:dyDescent="0.35">
      <c r="Q215" s="10"/>
      <c r="X215" s="10"/>
    </row>
    <row r="216" spans="17:24" x14ac:dyDescent="0.35">
      <c r="Q216" s="10"/>
      <c r="X216" s="10"/>
    </row>
    <row r="217" spans="17:24" x14ac:dyDescent="0.35">
      <c r="Q217" s="10"/>
      <c r="X217" s="10"/>
    </row>
    <row r="218" spans="17:24" x14ac:dyDescent="0.35">
      <c r="Q218" s="10"/>
      <c r="X218" s="10"/>
    </row>
    <row r="219" spans="17:24" x14ac:dyDescent="0.35">
      <c r="Q219" s="10"/>
      <c r="X219" s="10"/>
    </row>
    <row r="220" spans="17:24" x14ac:dyDescent="0.35">
      <c r="Q220" s="10"/>
      <c r="X220" s="10"/>
    </row>
    <row r="221" spans="17:24" x14ac:dyDescent="0.35">
      <c r="Q221" s="10"/>
      <c r="X221" s="10"/>
    </row>
    <row r="222" spans="17:24" x14ac:dyDescent="0.35">
      <c r="Q222" s="10"/>
      <c r="X222" s="10"/>
    </row>
    <row r="223" spans="17:24" x14ac:dyDescent="0.35">
      <c r="Q223" s="10"/>
      <c r="X223" s="10"/>
    </row>
    <row r="224" spans="17:24" x14ac:dyDescent="0.35">
      <c r="Q224" s="10"/>
      <c r="X224" s="10"/>
    </row>
    <row r="225" spans="17:24" x14ac:dyDescent="0.35">
      <c r="Q225" s="10"/>
      <c r="X225" s="10"/>
    </row>
    <row r="226" spans="17:24" x14ac:dyDescent="0.35">
      <c r="Q226" s="10"/>
      <c r="X226" s="10"/>
    </row>
    <row r="227" spans="17:24" x14ac:dyDescent="0.35">
      <c r="Q227" s="10"/>
      <c r="X227" s="10"/>
    </row>
    <row r="228" spans="17:24" x14ac:dyDescent="0.35">
      <c r="Q228" s="10"/>
      <c r="X228" s="10"/>
    </row>
    <row r="229" spans="17:24" x14ac:dyDescent="0.35">
      <c r="Q229" s="10"/>
      <c r="X229" s="10"/>
    </row>
    <row r="230" spans="17:24" x14ac:dyDescent="0.35">
      <c r="Q230" s="10"/>
      <c r="X230" s="10"/>
    </row>
    <row r="231" spans="17:24" x14ac:dyDescent="0.35">
      <c r="Q231" s="10"/>
      <c r="X231" s="10"/>
    </row>
    <row r="232" spans="17:24" x14ac:dyDescent="0.35">
      <c r="Q232" s="10"/>
      <c r="X232" s="10"/>
    </row>
    <row r="233" spans="17:24" x14ac:dyDescent="0.35">
      <c r="Q233" s="10"/>
      <c r="X233" s="10"/>
    </row>
    <row r="234" spans="17:24" x14ac:dyDescent="0.35">
      <c r="Q234" s="10"/>
      <c r="X234" s="10"/>
    </row>
    <row r="235" spans="17:24" x14ac:dyDescent="0.35">
      <c r="Q235" s="10"/>
      <c r="X235" s="10"/>
    </row>
    <row r="236" spans="17:24" x14ac:dyDescent="0.35">
      <c r="Q236" s="10"/>
      <c r="X236" s="10"/>
    </row>
    <row r="237" spans="17:24" x14ac:dyDescent="0.35">
      <c r="Q237" s="10"/>
      <c r="X237" s="10"/>
    </row>
    <row r="238" spans="17:24" x14ac:dyDescent="0.35">
      <c r="Q238" s="10"/>
      <c r="X238" s="10"/>
    </row>
    <row r="239" spans="17:24" x14ac:dyDescent="0.35">
      <c r="Q239" s="10"/>
      <c r="X239" s="10"/>
    </row>
    <row r="240" spans="17:24" x14ac:dyDescent="0.35">
      <c r="Q240" s="10"/>
      <c r="X240" s="10"/>
    </row>
    <row r="241" spans="10:24" x14ac:dyDescent="0.35">
      <c r="Q241" s="10"/>
      <c r="X241" s="10"/>
    </row>
    <row r="242" spans="10:24" x14ac:dyDescent="0.35">
      <c r="J242" s="10"/>
      <c r="Q242" s="10"/>
      <c r="X242" s="10"/>
    </row>
    <row r="243" spans="10:24" x14ac:dyDescent="0.35">
      <c r="J243" s="10"/>
      <c r="Q243" s="10"/>
      <c r="X243" s="10"/>
    </row>
    <row r="244" spans="10:24" x14ac:dyDescent="0.35">
      <c r="J244" s="10"/>
      <c r="Q244" s="10"/>
      <c r="X244" s="10"/>
    </row>
    <row r="245" spans="10:24" x14ac:dyDescent="0.35">
      <c r="J245" s="10"/>
      <c r="Q245" s="10"/>
      <c r="X245" s="10"/>
    </row>
    <row r="246" spans="10:24" x14ac:dyDescent="0.35">
      <c r="J246" s="10"/>
      <c r="Q246" s="10"/>
      <c r="X246" s="10"/>
    </row>
    <row r="247" spans="10:24" x14ac:dyDescent="0.35">
      <c r="J247" s="10"/>
      <c r="Q247" s="10"/>
      <c r="X247" s="10"/>
    </row>
    <row r="248" spans="10:24" x14ac:dyDescent="0.35">
      <c r="J248" s="10"/>
      <c r="Q248" s="10"/>
      <c r="X248" s="10"/>
    </row>
    <row r="249" spans="10:24" x14ac:dyDescent="0.35">
      <c r="J249" s="10"/>
      <c r="Q249" s="10"/>
      <c r="X249" s="10"/>
    </row>
    <row r="250" spans="10:24" x14ac:dyDescent="0.35">
      <c r="J250" s="10"/>
      <c r="Q250" s="10"/>
      <c r="X250" s="10"/>
    </row>
    <row r="251" spans="10:24" x14ac:dyDescent="0.35">
      <c r="J251" s="10"/>
      <c r="Q251" s="10"/>
      <c r="X251" s="10"/>
    </row>
    <row r="252" spans="10:24" x14ac:dyDescent="0.35">
      <c r="J252" s="10"/>
      <c r="Q252" s="10"/>
      <c r="X252" s="10"/>
    </row>
    <row r="253" spans="10:24" x14ac:dyDescent="0.35">
      <c r="J253" s="10"/>
      <c r="Q253" s="10"/>
      <c r="X253" s="10"/>
    </row>
    <row r="254" spans="10:24" x14ac:dyDescent="0.35">
      <c r="J254" s="10"/>
      <c r="Q254" s="10"/>
      <c r="X254" s="10"/>
    </row>
    <row r="255" spans="10:24" x14ac:dyDescent="0.35">
      <c r="J255" s="10"/>
      <c r="Q255" s="10"/>
      <c r="X255" s="10"/>
    </row>
    <row r="256" spans="10:24" x14ac:dyDescent="0.35">
      <c r="J256" s="10"/>
      <c r="Q256" s="10"/>
      <c r="X256" s="10"/>
    </row>
    <row r="257" spans="10:24" x14ac:dyDescent="0.35">
      <c r="J257" s="10"/>
      <c r="Q257" s="10"/>
      <c r="X257" s="10"/>
    </row>
    <row r="258" spans="10:24" x14ac:dyDescent="0.35">
      <c r="J258" s="10"/>
      <c r="Q258" s="10"/>
      <c r="X258" s="10"/>
    </row>
    <row r="259" spans="10:24" x14ac:dyDescent="0.35">
      <c r="J259" s="10"/>
      <c r="Q259" s="10"/>
      <c r="X259" s="10"/>
    </row>
    <row r="260" spans="10:24" x14ac:dyDescent="0.35">
      <c r="J260" s="10"/>
      <c r="Q260" s="10"/>
      <c r="X260" s="10"/>
    </row>
    <row r="261" spans="10:24" x14ac:dyDescent="0.35">
      <c r="J261" s="10"/>
      <c r="Q261" s="10"/>
      <c r="X261" s="10"/>
    </row>
    <row r="262" spans="10:24" x14ac:dyDescent="0.35">
      <c r="J262" s="10"/>
      <c r="Q262" s="10"/>
      <c r="X262" s="10"/>
    </row>
    <row r="263" spans="10:24" x14ac:dyDescent="0.35">
      <c r="J263" s="10"/>
      <c r="Q263" s="10"/>
      <c r="X263" s="10"/>
    </row>
    <row r="264" spans="10:24" x14ac:dyDescent="0.35">
      <c r="J264" s="10"/>
      <c r="Q264" s="10"/>
      <c r="X264" s="10"/>
    </row>
    <row r="265" spans="10:24" x14ac:dyDescent="0.35">
      <c r="J265" s="10"/>
      <c r="Q265" s="10"/>
      <c r="X265" s="10"/>
    </row>
    <row r="266" spans="10:24" x14ac:dyDescent="0.35">
      <c r="J266" s="10"/>
      <c r="Q266" s="10"/>
      <c r="X266" s="10"/>
    </row>
    <row r="267" spans="10:24" x14ac:dyDescent="0.35">
      <c r="J267" s="10"/>
      <c r="Q267" s="10"/>
      <c r="X267" s="10"/>
    </row>
    <row r="268" spans="10:24" x14ac:dyDescent="0.35">
      <c r="J268" s="10"/>
      <c r="Q268" s="10"/>
      <c r="X268" s="10"/>
    </row>
    <row r="269" spans="10:24" x14ac:dyDescent="0.35">
      <c r="J269" s="10"/>
      <c r="Q269" s="10"/>
      <c r="X269" s="10"/>
    </row>
    <row r="270" spans="10:24" x14ac:dyDescent="0.35">
      <c r="J270" s="10"/>
      <c r="Q270" s="10"/>
      <c r="X270" s="10"/>
    </row>
    <row r="271" spans="10:24" x14ac:dyDescent="0.35">
      <c r="J271" s="10"/>
      <c r="Q271" s="10"/>
      <c r="X271" s="10"/>
    </row>
    <row r="272" spans="10:24" x14ac:dyDescent="0.35">
      <c r="J272" s="10"/>
      <c r="Q272" s="10"/>
      <c r="X272" s="10"/>
    </row>
    <row r="273" spans="10:24" x14ac:dyDescent="0.35">
      <c r="J273" s="10"/>
      <c r="Q273" s="10"/>
      <c r="X273" s="10"/>
    </row>
    <row r="274" spans="10:24" x14ac:dyDescent="0.35">
      <c r="J274" s="10"/>
      <c r="Q274" s="10"/>
      <c r="X274" s="10"/>
    </row>
    <row r="275" spans="10:24" x14ac:dyDescent="0.35">
      <c r="J275" s="10"/>
      <c r="Q275" s="10"/>
      <c r="X275" s="10"/>
    </row>
    <row r="276" spans="10:24" x14ac:dyDescent="0.35">
      <c r="J276" s="10"/>
      <c r="Q276" s="10"/>
      <c r="X276" s="10"/>
    </row>
    <row r="277" spans="10:24" x14ac:dyDescent="0.35">
      <c r="J277" s="10"/>
      <c r="Q277" s="10"/>
      <c r="X277" s="10"/>
    </row>
    <row r="278" spans="10:24" x14ac:dyDescent="0.35">
      <c r="J278" s="10"/>
      <c r="Q278" s="10"/>
      <c r="X278" s="10"/>
    </row>
    <row r="279" spans="10:24" x14ac:dyDescent="0.35">
      <c r="J279" s="10"/>
      <c r="Q279" s="10"/>
      <c r="X279" s="10"/>
    </row>
    <row r="280" spans="10:24" x14ac:dyDescent="0.35">
      <c r="J280" s="10"/>
      <c r="Q280" s="10"/>
      <c r="X280" s="10"/>
    </row>
    <row r="281" spans="10:24" x14ac:dyDescent="0.35">
      <c r="J281" s="10"/>
      <c r="Q281" s="10"/>
      <c r="X281" s="10"/>
    </row>
    <row r="282" spans="10:24" x14ac:dyDescent="0.35">
      <c r="J282" s="10"/>
      <c r="Q282" s="10"/>
      <c r="X282" s="10"/>
    </row>
    <row r="283" spans="10:24" x14ac:dyDescent="0.35">
      <c r="J283" s="10"/>
      <c r="Q283" s="10"/>
      <c r="X283" s="10"/>
    </row>
    <row r="284" spans="10:24" x14ac:dyDescent="0.35">
      <c r="J284" s="10"/>
      <c r="Q284" s="10"/>
      <c r="X284" s="10"/>
    </row>
    <row r="285" spans="10:24" x14ac:dyDescent="0.35">
      <c r="J285" s="10"/>
      <c r="Q285" s="10"/>
      <c r="X285" s="10"/>
    </row>
    <row r="286" spans="10:24" x14ac:dyDescent="0.35">
      <c r="J286" s="10"/>
      <c r="Q286" s="10"/>
      <c r="X286" s="10"/>
    </row>
    <row r="287" spans="10:24" x14ac:dyDescent="0.35">
      <c r="J287" s="10"/>
      <c r="Q287" s="10"/>
      <c r="X287" s="10"/>
    </row>
    <row r="288" spans="10:24" x14ac:dyDescent="0.35">
      <c r="J288" s="10"/>
      <c r="Q288" s="10"/>
      <c r="X288" s="10"/>
    </row>
    <row r="289" spans="10:24" x14ac:dyDescent="0.35">
      <c r="J289" s="10"/>
      <c r="Q289" s="10"/>
      <c r="X289" s="10"/>
    </row>
    <row r="290" spans="10:24" x14ac:dyDescent="0.35">
      <c r="J290" s="10"/>
      <c r="Q290" s="10"/>
      <c r="X290" s="10"/>
    </row>
    <row r="291" spans="10:24" x14ac:dyDescent="0.35">
      <c r="J291" s="10"/>
      <c r="Q291" s="10"/>
      <c r="X291" s="10"/>
    </row>
    <row r="292" spans="10:24" x14ac:dyDescent="0.35">
      <c r="J292" s="10"/>
      <c r="Q292" s="10"/>
      <c r="X292" s="10"/>
    </row>
    <row r="293" spans="10:24" x14ac:dyDescent="0.35">
      <c r="J293" s="10"/>
      <c r="Q293" s="10"/>
      <c r="X293" s="10"/>
    </row>
    <row r="294" spans="10:24" x14ac:dyDescent="0.35">
      <c r="J294" s="10"/>
      <c r="Q294" s="10"/>
      <c r="X294" s="10"/>
    </row>
    <row r="295" spans="10:24" x14ac:dyDescent="0.35">
      <c r="J295" s="10"/>
      <c r="Q295" s="10"/>
      <c r="X295" s="10"/>
    </row>
    <row r="296" spans="10:24" x14ac:dyDescent="0.35">
      <c r="J296" s="10"/>
      <c r="Q296" s="10"/>
      <c r="X296" s="10"/>
    </row>
    <row r="297" spans="10:24" x14ac:dyDescent="0.35">
      <c r="J297" s="10"/>
      <c r="Q297" s="10"/>
      <c r="X297" s="10"/>
    </row>
    <row r="298" spans="10:24" x14ac:dyDescent="0.35">
      <c r="J298" s="10"/>
      <c r="Q298" s="10"/>
      <c r="X298" s="10"/>
    </row>
    <row r="299" spans="10:24" x14ac:dyDescent="0.35">
      <c r="J299" s="10"/>
      <c r="Q299" s="10"/>
      <c r="X299" s="10"/>
    </row>
    <row r="300" spans="10:24" x14ac:dyDescent="0.35">
      <c r="J300" s="10"/>
      <c r="Q300" s="10"/>
      <c r="X300" s="10"/>
    </row>
    <row r="301" spans="10:24" x14ac:dyDescent="0.35">
      <c r="J301" s="10"/>
      <c r="Q301" s="10"/>
      <c r="X301" s="10"/>
    </row>
    <row r="302" spans="10:24" x14ac:dyDescent="0.35">
      <c r="J302" s="10"/>
      <c r="Q302" s="10"/>
      <c r="X302" s="10"/>
    </row>
    <row r="303" spans="10:24" x14ac:dyDescent="0.35">
      <c r="J303" s="10"/>
      <c r="Q303" s="10"/>
      <c r="X303" s="10"/>
    </row>
    <row r="304" spans="10:24" x14ac:dyDescent="0.35">
      <c r="J304" s="10"/>
      <c r="Q304" s="10"/>
      <c r="X304" s="10"/>
    </row>
    <row r="305" spans="10:24" x14ac:dyDescent="0.35">
      <c r="J305" s="10"/>
      <c r="Q305" s="10"/>
      <c r="X305" s="10"/>
    </row>
    <row r="306" spans="10:24" x14ac:dyDescent="0.35">
      <c r="J306" s="10"/>
      <c r="Q306" s="10"/>
      <c r="X306" s="10"/>
    </row>
    <row r="307" spans="10:24" x14ac:dyDescent="0.35">
      <c r="J307" s="10"/>
      <c r="Q307" s="10"/>
      <c r="X307" s="10"/>
    </row>
    <row r="308" spans="10:24" x14ac:dyDescent="0.35">
      <c r="J308" s="10"/>
      <c r="Q308" s="10"/>
      <c r="X308" s="10"/>
    </row>
    <row r="309" spans="10:24" x14ac:dyDescent="0.35">
      <c r="J309" s="10"/>
      <c r="Q309" s="10"/>
      <c r="X309" s="10"/>
    </row>
    <row r="310" spans="10:24" x14ac:dyDescent="0.35">
      <c r="J310" s="10"/>
      <c r="Q310" s="10"/>
      <c r="X310" s="10"/>
    </row>
    <row r="311" spans="10:24" x14ac:dyDescent="0.35">
      <c r="J311" s="10"/>
      <c r="Q311" s="10"/>
      <c r="X311" s="10"/>
    </row>
    <row r="312" spans="10:24" x14ac:dyDescent="0.35">
      <c r="J312" s="10"/>
      <c r="Q312" s="10"/>
      <c r="X312" s="10"/>
    </row>
    <row r="313" spans="10:24" x14ac:dyDescent="0.35">
      <c r="J313" s="10"/>
      <c r="Q313" s="10"/>
      <c r="X313" s="10"/>
    </row>
    <row r="314" spans="10:24" x14ac:dyDescent="0.35">
      <c r="J314" s="10"/>
      <c r="Q314" s="10"/>
      <c r="X314" s="10"/>
    </row>
    <row r="315" spans="10:24" x14ac:dyDescent="0.35">
      <c r="J315" s="10"/>
      <c r="Q315" s="10"/>
      <c r="X315" s="10"/>
    </row>
    <row r="316" spans="10:24" x14ac:dyDescent="0.35">
      <c r="J316" s="10"/>
      <c r="Q316" s="10"/>
      <c r="X316" s="10"/>
    </row>
    <row r="317" spans="10:24" x14ac:dyDescent="0.35">
      <c r="J317" s="10"/>
      <c r="Q317" s="10"/>
      <c r="X317" s="10"/>
    </row>
    <row r="318" spans="10:24" x14ac:dyDescent="0.35">
      <c r="J318" s="10"/>
      <c r="Q318" s="10"/>
      <c r="X318" s="10"/>
    </row>
    <row r="319" spans="10:24" x14ac:dyDescent="0.35">
      <c r="J319" s="10"/>
      <c r="Q319" s="10"/>
      <c r="X319" s="10"/>
    </row>
    <row r="320" spans="10:24" x14ac:dyDescent="0.35">
      <c r="J320" s="10"/>
      <c r="Q320" s="10"/>
      <c r="X320" s="10"/>
    </row>
    <row r="321" spans="10:24" x14ac:dyDescent="0.35">
      <c r="J321" s="10"/>
      <c r="Q321" s="10"/>
      <c r="X321" s="10"/>
    </row>
    <row r="322" spans="10:24" x14ac:dyDescent="0.35">
      <c r="J322" s="10"/>
      <c r="Q322" s="10"/>
      <c r="X322" s="10"/>
    </row>
    <row r="323" spans="10:24" x14ac:dyDescent="0.35">
      <c r="J323" s="10"/>
      <c r="Q323" s="10"/>
      <c r="X323" s="10"/>
    </row>
    <row r="324" spans="10:24" x14ac:dyDescent="0.35">
      <c r="J324" s="10"/>
      <c r="Q324" s="10"/>
      <c r="X324" s="10"/>
    </row>
    <row r="325" spans="10:24" x14ac:dyDescent="0.35">
      <c r="J325" s="10"/>
      <c r="Q325" s="10"/>
      <c r="X325" s="10"/>
    </row>
    <row r="326" spans="10:24" x14ac:dyDescent="0.35">
      <c r="J326" s="10"/>
      <c r="Q326" s="10"/>
      <c r="X326" s="10"/>
    </row>
    <row r="327" spans="10:24" x14ac:dyDescent="0.35">
      <c r="J327" s="10"/>
      <c r="Q327" s="10"/>
      <c r="X327" s="10"/>
    </row>
    <row r="328" spans="10:24" x14ac:dyDescent="0.35">
      <c r="J328" s="10"/>
      <c r="Q328" s="10"/>
      <c r="X328" s="10"/>
    </row>
    <row r="329" spans="10:24" x14ac:dyDescent="0.35">
      <c r="J329" s="10"/>
      <c r="Q329" s="10"/>
      <c r="X329" s="10"/>
    </row>
    <row r="330" spans="10:24" x14ac:dyDescent="0.35">
      <c r="J330" s="10"/>
      <c r="Q330" s="10"/>
      <c r="X330" s="10"/>
    </row>
    <row r="331" spans="10:24" x14ac:dyDescent="0.35">
      <c r="J331" s="10"/>
      <c r="Q331" s="10"/>
      <c r="X331" s="10"/>
    </row>
    <row r="332" spans="10:24" x14ac:dyDescent="0.35">
      <c r="J332" s="10"/>
      <c r="Q332" s="10"/>
      <c r="X332" s="10"/>
    </row>
    <row r="333" spans="10:24" x14ac:dyDescent="0.35">
      <c r="J333" s="10"/>
      <c r="Q333" s="10"/>
      <c r="X333" s="10"/>
    </row>
    <row r="334" spans="10:24" x14ac:dyDescent="0.35">
      <c r="J334" s="10"/>
      <c r="Q334" s="10"/>
      <c r="X334" s="10"/>
    </row>
    <row r="335" spans="10:24" x14ac:dyDescent="0.35">
      <c r="J335" s="10"/>
      <c r="Q335" s="10"/>
      <c r="X335" s="10"/>
    </row>
    <row r="336" spans="10:24" x14ac:dyDescent="0.35">
      <c r="J336" s="10"/>
      <c r="Q336" s="10"/>
      <c r="X336" s="10"/>
    </row>
    <row r="337" spans="10:24" x14ac:dyDescent="0.35">
      <c r="J337" s="10"/>
      <c r="Q337" s="10"/>
      <c r="X337" s="10"/>
    </row>
    <row r="338" spans="10:24" x14ac:dyDescent="0.35">
      <c r="J338" s="10"/>
      <c r="Q338" s="10"/>
      <c r="X338" s="10"/>
    </row>
    <row r="339" spans="10:24" x14ac:dyDescent="0.35">
      <c r="J339" s="10"/>
      <c r="Q339" s="10"/>
      <c r="X339" s="10"/>
    </row>
    <row r="340" spans="10:24" x14ac:dyDescent="0.35">
      <c r="J340" s="10"/>
      <c r="Q340" s="10"/>
      <c r="X340" s="10"/>
    </row>
    <row r="341" spans="10:24" x14ac:dyDescent="0.35">
      <c r="J341" s="10"/>
      <c r="Q341" s="10"/>
      <c r="X341" s="10"/>
    </row>
    <row r="342" spans="10:24" x14ac:dyDescent="0.35">
      <c r="J342" s="10"/>
      <c r="Q342" s="10"/>
      <c r="X342" s="10"/>
    </row>
    <row r="343" spans="10:24" x14ac:dyDescent="0.35">
      <c r="J343" s="10"/>
      <c r="Q343" s="10"/>
      <c r="X343" s="10"/>
    </row>
    <row r="344" spans="10:24" x14ac:dyDescent="0.35">
      <c r="J344" s="10"/>
      <c r="Q344" s="10"/>
      <c r="X344" s="10"/>
    </row>
    <row r="345" spans="10:24" x14ac:dyDescent="0.35">
      <c r="J345" s="10"/>
      <c r="Q345" s="10"/>
      <c r="X345" s="10"/>
    </row>
    <row r="346" spans="10:24" x14ac:dyDescent="0.35">
      <c r="J346" s="10"/>
      <c r="Q346" s="10"/>
      <c r="X346" s="10"/>
    </row>
    <row r="347" spans="10:24" x14ac:dyDescent="0.35">
      <c r="J347" s="10"/>
      <c r="Q347" s="10"/>
      <c r="X347" s="10"/>
    </row>
    <row r="348" spans="10:24" x14ac:dyDescent="0.35">
      <c r="J348" s="10"/>
      <c r="Q348" s="10"/>
      <c r="X348" s="10"/>
    </row>
    <row r="349" spans="10:24" x14ac:dyDescent="0.35">
      <c r="J349" s="10"/>
      <c r="Q349" s="10"/>
      <c r="X349" s="10"/>
    </row>
    <row r="350" spans="10:24" x14ac:dyDescent="0.35">
      <c r="J350" s="10"/>
      <c r="Q350" s="10"/>
      <c r="X350" s="10"/>
    </row>
    <row r="351" spans="10:24" x14ac:dyDescent="0.35">
      <c r="J351" s="10"/>
      <c r="Q351" s="10"/>
      <c r="X351" s="10"/>
    </row>
    <row r="352" spans="10:24" x14ac:dyDescent="0.35">
      <c r="J352" s="10"/>
      <c r="Q352" s="10"/>
      <c r="X352" s="10"/>
    </row>
    <row r="353" spans="10:24" x14ac:dyDescent="0.35">
      <c r="J353" s="10"/>
      <c r="Q353" s="10"/>
      <c r="X353" s="10"/>
    </row>
    <row r="354" spans="10:24" x14ac:dyDescent="0.35">
      <c r="J354" s="10"/>
      <c r="Q354" s="10"/>
      <c r="X354" s="10"/>
    </row>
  </sheetData>
  <sheetProtection selectLockedCells="1" selectUnlockedCells="1"/>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75986-2084-44B0-8CD3-9F991E796827}">
  <dimension ref="A1:AF211"/>
  <sheetViews>
    <sheetView workbookViewId="0">
      <pane xSplit="3" ySplit="1" topLeftCell="D183" activePane="bottomRight" state="frozen"/>
      <selection activeCell="G2" sqref="G2"/>
      <selection pane="topRight" activeCell="G2" sqref="G2"/>
      <selection pane="bottomLeft" activeCell="G2" sqref="G2"/>
      <selection pane="bottomRight" activeCell="G2" sqref="G2"/>
    </sheetView>
  </sheetViews>
  <sheetFormatPr defaultColWidth="8.90625" defaultRowHeight="15.5" x14ac:dyDescent="0.35"/>
  <cols>
    <col min="1" max="1" width="10.90625" style="296" customWidth="1"/>
    <col min="2" max="2" width="10.6328125" style="296" customWidth="1"/>
    <col min="3" max="3" width="30.54296875" style="296" customWidth="1"/>
    <col min="4" max="4" width="11.90625" style="297" customWidth="1"/>
    <col min="5" max="5" width="12.36328125" style="297" customWidth="1"/>
    <col min="6" max="6" width="13.7265625" style="297" customWidth="1"/>
    <col min="7" max="7" width="13.54296875" style="298" customWidth="1"/>
    <col min="8" max="8" width="9.36328125" style="296" customWidth="1"/>
    <col min="9" max="9" width="13.54296875" style="298" customWidth="1"/>
    <col min="10" max="10" width="12.08984375" style="297" customWidth="1"/>
    <col min="11" max="11" width="13.54296875" style="298" customWidth="1"/>
    <col min="12" max="12" width="13.1796875" style="297" customWidth="1"/>
    <col min="13" max="13" width="13.54296875" style="298" customWidth="1"/>
    <col min="14" max="14" width="10.7265625" style="297" customWidth="1"/>
    <col min="15" max="15" width="10.08984375" style="298" customWidth="1"/>
    <col min="16" max="16" width="9.81640625" style="297" customWidth="1"/>
    <col min="17" max="17" width="8.7265625" style="298" customWidth="1"/>
    <col min="18" max="18" width="10.26953125" style="297" customWidth="1"/>
    <col min="19" max="19" width="9.26953125" style="298" customWidth="1"/>
    <col min="20" max="20" width="12.36328125" style="297" customWidth="1"/>
    <col min="21" max="32" width="8.81640625" style="297" customWidth="1"/>
    <col min="33" max="16384" width="8.90625" style="296"/>
  </cols>
  <sheetData>
    <row r="1" spans="1:32" ht="77.5" x14ac:dyDescent="0.35">
      <c r="A1" s="289" t="s">
        <v>246</v>
      </c>
      <c r="B1" s="290" t="s">
        <v>3197</v>
      </c>
      <c r="C1" s="290" t="s">
        <v>3198</v>
      </c>
      <c r="D1" s="291" t="s">
        <v>3199</v>
      </c>
      <c r="E1" s="291" t="s">
        <v>3200</v>
      </c>
      <c r="F1" s="292" t="s">
        <v>3201</v>
      </c>
      <c r="G1" s="293" t="s">
        <v>3202</v>
      </c>
      <c r="H1" s="292" t="s">
        <v>3203</v>
      </c>
      <c r="I1" s="293" t="s">
        <v>3204</v>
      </c>
      <c r="J1" s="292" t="s">
        <v>3205</v>
      </c>
      <c r="K1" s="293" t="s">
        <v>3206</v>
      </c>
      <c r="L1" s="292" t="s">
        <v>3207</v>
      </c>
      <c r="M1" s="293" t="s">
        <v>3208</v>
      </c>
      <c r="N1" s="292" t="s">
        <v>3209</v>
      </c>
      <c r="O1" s="293" t="s">
        <v>3210</v>
      </c>
      <c r="P1" s="292" t="s">
        <v>3211</v>
      </c>
      <c r="Q1" s="293" t="s">
        <v>3212</v>
      </c>
      <c r="R1" s="291" t="s">
        <v>3213</v>
      </c>
      <c r="S1" s="294" t="s">
        <v>3214</v>
      </c>
      <c r="T1" s="292" t="s">
        <v>3215</v>
      </c>
      <c r="U1" s="292" t="s">
        <v>3216</v>
      </c>
      <c r="V1" s="292" t="s">
        <v>3217</v>
      </c>
      <c r="W1" s="292" t="s">
        <v>3218</v>
      </c>
      <c r="X1" s="292" t="s">
        <v>3219</v>
      </c>
      <c r="Y1" s="292" t="s">
        <v>3220</v>
      </c>
      <c r="Z1" s="292" t="s">
        <v>3221</v>
      </c>
      <c r="AA1" s="292" t="s">
        <v>3222</v>
      </c>
      <c r="AB1" s="292" t="s">
        <v>3223</v>
      </c>
      <c r="AC1" s="292" t="s">
        <v>3224</v>
      </c>
      <c r="AD1" s="292" t="s">
        <v>3225</v>
      </c>
      <c r="AE1" s="292" t="s">
        <v>3226</v>
      </c>
      <c r="AF1" s="295" t="s">
        <v>3227</v>
      </c>
    </row>
    <row r="2" spans="1:32" x14ac:dyDescent="0.35">
      <c r="A2" s="296" t="s">
        <v>271</v>
      </c>
      <c r="B2" s="296">
        <v>2063</v>
      </c>
      <c r="C2" s="296" t="s">
        <v>14</v>
      </c>
      <c r="D2" s="297">
        <v>5</v>
      </c>
      <c r="E2" s="297">
        <v>7</v>
      </c>
      <c r="F2" s="297">
        <v>0</v>
      </c>
      <c r="G2" s="298">
        <v>0</v>
      </c>
      <c r="H2" s="297">
        <v>0</v>
      </c>
      <c r="I2" s="298">
        <v>0</v>
      </c>
      <c r="J2" s="297">
        <v>0</v>
      </c>
      <c r="K2" s="298">
        <v>0</v>
      </c>
      <c r="L2" s="297">
        <v>0</v>
      </c>
      <c r="M2" s="298">
        <v>0</v>
      </c>
      <c r="N2" s="297">
        <v>0</v>
      </c>
      <c r="O2" s="298">
        <v>0</v>
      </c>
      <c r="P2" s="297">
        <v>6</v>
      </c>
      <c r="Q2" s="298">
        <v>0.85714000000000001</v>
      </c>
      <c r="R2" s="297">
        <v>1</v>
      </c>
      <c r="S2" s="298">
        <v>0.14285999999999999</v>
      </c>
      <c r="T2" s="297">
        <v>1</v>
      </c>
      <c r="U2" s="297">
        <v>0</v>
      </c>
      <c r="V2" s="297">
        <v>2</v>
      </c>
      <c r="W2" s="297">
        <v>1</v>
      </c>
      <c r="X2" s="297">
        <v>2</v>
      </c>
      <c r="Y2" s="297">
        <v>1</v>
      </c>
      <c r="Z2" s="297">
        <v>0</v>
      </c>
      <c r="AA2" s="297">
        <v>0</v>
      </c>
      <c r="AB2" s="297">
        <v>0</v>
      </c>
      <c r="AC2" s="297">
        <v>0</v>
      </c>
      <c r="AD2" s="297">
        <v>0</v>
      </c>
      <c r="AE2" s="297">
        <v>0</v>
      </c>
      <c r="AF2" s="297">
        <v>0</v>
      </c>
    </row>
    <row r="3" spans="1:32" x14ac:dyDescent="0.35">
      <c r="A3" s="296" t="s">
        <v>278</v>
      </c>
      <c r="B3" s="296">
        <v>2113</v>
      </c>
      <c r="C3" s="296" t="s">
        <v>17</v>
      </c>
      <c r="D3" s="297">
        <v>263</v>
      </c>
      <c r="E3" s="297">
        <v>275</v>
      </c>
      <c r="F3" s="297">
        <v>0</v>
      </c>
      <c r="G3" s="298">
        <v>0</v>
      </c>
      <c r="H3" s="297">
        <v>0</v>
      </c>
      <c r="I3" s="298">
        <v>0</v>
      </c>
      <c r="J3" s="297">
        <v>0</v>
      </c>
      <c r="K3" s="298">
        <v>0</v>
      </c>
      <c r="L3" s="297">
        <v>0</v>
      </c>
      <c r="M3" s="298">
        <v>0</v>
      </c>
      <c r="N3" s="297">
        <v>60</v>
      </c>
      <c r="O3" s="298">
        <v>0.21818000000000001</v>
      </c>
      <c r="P3" s="297">
        <v>210</v>
      </c>
      <c r="Q3" s="298">
        <v>0.76363999999999999</v>
      </c>
      <c r="R3" s="297">
        <v>5</v>
      </c>
      <c r="S3" s="298">
        <v>1.8180000000000002E-2</v>
      </c>
      <c r="T3" s="297">
        <v>23</v>
      </c>
      <c r="U3" s="297">
        <v>17</v>
      </c>
      <c r="V3" s="297">
        <v>16</v>
      </c>
      <c r="W3" s="297">
        <v>28</v>
      </c>
      <c r="X3" s="297">
        <v>22</v>
      </c>
      <c r="Y3" s="297">
        <v>20</v>
      </c>
      <c r="Z3" s="297">
        <v>19</v>
      </c>
      <c r="AA3" s="297">
        <v>24</v>
      </c>
      <c r="AB3" s="297">
        <v>20</v>
      </c>
      <c r="AC3" s="297">
        <v>27</v>
      </c>
      <c r="AD3" s="297">
        <v>18</v>
      </c>
      <c r="AE3" s="297">
        <v>26</v>
      </c>
      <c r="AF3" s="297">
        <v>15</v>
      </c>
    </row>
    <row r="4" spans="1:32" x14ac:dyDescent="0.35">
      <c r="A4" s="296" t="s">
        <v>289</v>
      </c>
      <c r="B4" s="296">
        <v>1899</v>
      </c>
      <c r="C4" s="296" t="s">
        <v>20</v>
      </c>
      <c r="D4" s="297">
        <v>941</v>
      </c>
      <c r="E4" s="297">
        <v>509</v>
      </c>
      <c r="F4" s="297">
        <v>5</v>
      </c>
      <c r="G4" s="298">
        <v>9.8200000000000006E-3</v>
      </c>
      <c r="H4" s="297">
        <v>2</v>
      </c>
      <c r="I4" s="298">
        <v>3.9300000000000003E-3</v>
      </c>
      <c r="J4" s="297">
        <v>6</v>
      </c>
      <c r="K4" s="298">
        <v>1.179E-2</v>
      </c>
      <c r="L4" s="297">
        <v>10</v>
      </c>
      <c r="M4" s="298">
        <v>1.9650000000000001E-2</v>
      </c>
      <c r="N4" s="297">
        <v>68</v>
      </c>
      <c r="O4" s="298">
        <v>0.1336</v>
      </c>
      <c r="P4" s="297">
        <v>368</v>
      </c>
      <c r="Q4" s="298">
        <v>0.72299000000000002</v>
      </c>
      <c r="R4" s="297">
        <v>50</v>
      </c>
      <c r="S4" s="298">
        <v>9.8229999999999998E-2</v>
      </c>
      <c r="T4" s="297">
        <v>62</v>
      </c>
      <c r="U4" s="297">
        <v>65</v>
      </c>
      <c r="V4" s="297">
        <v>38</v>
      </c>
      <c r="W4" s="297">
        <v>50</v>
      </c>
      <c r="X4" s="297">
        <v>40</v>
      </c>
      <c r="Y4" s="297">
        <v>32</v>
      </c>
      <c r="Z4" s="297">
        <v>44</v>
      </c>
      <c r="AA4" s="297">
        <v>57</v>
      </c>
      <c r="AB4" s="297">
        <v>48</v>
      </c>
      <c r="AC4" s="297">
        <v>13</v>
      </c>
      <c r="AD4" s="297">
        <v>16</v>
      </c>
      <c r="AE4" s="297">
        <v>21</v>
      </c>
      <c r="AF4" s="297">
        <v>23</v>
      </c>
    </row>
    <row r="5" spans="1:32" x14ac:dyDescent="0.35">
      <c r="A5" s="296" t="s">
        <v>295</v>
      </c>
      <c r="B5" s="296">
        <v>2252</v>
      </c>
      <c r="C5" s="296" t="s">
        <v>21</v>
      </c>
      <c r="D5" s="297">
        <v>790</v>
      </c>
      <c r="E5" s="297">
        <v>754</v>
      </c>
      <c r="F5" s="297">
        <v>15</v>
      </c>
      <c r="G5" s="298">
        <v>1.9890000000000001E-2</v>
      </c>
      <c r="H5" s="297">
        <v>13</v>
      </c>
      <c r="I5" s="298">
        <v>1.7239999999999998E-2</v>
      </c>
      <c r="J5" s="297">
        <v>0</v>
      </c>
      <c r="K5" s="298">
        <v>0</v>
      </c>
      <c r="L5" s="297">
        <v>7</v>
      </c>
      <c r="M5" s="298">
        <v>9.2800000000000001E-3</v>
      </c>
      <c r="N5" s="297">
        <v>129</v>
      </c>
      <c r="O5" s="298">
        <v>0.17108999999999999</v>
      </c>
      <c r="P5" s="297">
        <v>579</v>
      </c>
      <c r="Q5" s="298">
        <v>0.76790000000000003</v>
      </c>
      <c r="R5" s="297">
        <v>11</v>
      </c>
      <c r="S5" s="298">
        <v>1.4590000000000001E-2</v>
      </c>
      <c r="T5" s="297">
        <v>49</v>
      </c>
      <c r="U5" s="297">
        <v>50</v>
      </c>
      <c r="V5" s="297">
        <v>35</v>
      </c>
      <c r="W5" s="297">
        <v>63</v>
      </c>
      <c r="X5" s="297">
        <v>61</v>
      </c>
      <c r="Y5" s="297">
        <v>55</v>
      </c>
      <c r="Z5" s="297">
        <v>65</v>
      </c>
      <c r="AA5" s="297">
        <v>49</v>
      </c>
      <c r="AB5" s="297">
        <v>55</v>
      </c>
      <c r="AC5" s="297">
        <v>83</v>
      </c>
      <c r="AD5" s="297">
        <v>73</v>
      </c>
      <c r="AE5" s="297">
        <v>59</v>
      </c>
      <c r="AF5" s="297">
        <v>57</v>
      </c>
    </row>
    <row r="6" spans="1:32" x14ac:dyDescent="0.35">
      <c r="A6" s="296" t="s">
        <v>278</v>
      </c>
      <c r="B6" s="296">
        <v>2111</v>
      </c>
      <c r="C6" s="296" t="s">
        <v>23</v>
      </c>
      <c r="D6" s="297">
        <v>99</v>
      </c>
      <c r="E6" s="297">
        <v>125</v>
      </c>
      <c r="F6" s="297">
        <v>0</v>
      </c>
      <c r="G6" s="298">
        <v>0</v>
      </c>
      <c r="H6" s="297">
        <v>0</v>
      </c>
      <c r="I6" s="298">
        <v>0</v>
      </c>
      <c r="J6" s="297">
        <v>0</v>
      </c>
      <c r="K6" s="298">
        <v>0</v>
      </c>
      <c r="L6" s="297">
        <v>0</v>
      </c>
      <c r="M6" s="298">
        <v>0</v>
      </c>
      <c r="N6" s="297">
        <v>30</v>
      </c>
      <c r="O6" s="298">
        <v>0.24</v>
      </c>
      <c r="P6" s="297">
        <v>90</v>
      </c>
      <c r="Q6" s="298">
        <v>0.72</v>
      </c>
      <c r="R6" s="297">
        <v>5</v>
      </c>
      <c r="S6" s="298">
        <v>0.04</v>
      </c>
      <c r="T6" s="297">
        <v>13</v>
      </c>
      <c r="U6" s="297">
        <v>14</v>
      </c>
      <c r="V6" s="297">
        <v>10</v>
      </c>
      <c r="W6" s="297">
        <v>8</v>
      </c>
      <c r="X6" s="297">
        <v>5</v>
      </c>
      <c r="Y6" s="297">
        <v>13</v>
      </c>
      <c r="Z6" s="297">
        <v>9</v>
      </c>
      <c r="AA6" s="297">
        <v>11</v>
      </c>
      <c r="AB6" s="297">
        <v>8</v>
      </c>
      <c r="AC6" s="297">
        <v>13</v>
      </c>
      <c r="AD6" s="297">
        <v>9</v>
      </c>
      <c r="AE6" s="297">
        <v>6</v>
      </c>
      <c r="AF6" s="297">
        <v>6</v>
      </c>
    </row>
    <row r="7" spans="1:32" x14ac:dyDescent="0.35">
      <c r="A7" s="296" t="s">
        <v>309</v>
      </c>
      <c r="B7" s="296">
        <v>2005</v>
      </c>
      <c r="C7" s="296" t="s">
        <v>24</v>
      </c>
      <c r="D7" s="297">
        <v>160</v>
      </c>
      <c r="E7" s="297">
        <v>150</v>
      </c>
      <c r="F7" s="297">
        <v>5</v>
      </c>
      <c r="G7" s="298">
        <v>3.3329999999999999E-2</v>
      </c>
      <c r="H7" s="297">
        <v>0</v>
      </c>
      <c r="I7" s="298">
        <v>0</v>
      </c>
      <c r="J7" s="297">
        <v>3</v>
      </c>
      <c r="K7" s="298">
        <v>0.02</v>
      </c>
      <c r="L7" s="297">
        <v>0</v>
      </c>
      <c r="M7" s="298">
        <v>0</v>
      </c>
      <c r="N7" s="297">
        <v>14</v>
      </c>
      <c r="O7" s="298">
        <v>9.3329999999999996E-2</v>
      </c>
      <c r="P7" s="297">
        <v>126</v>
      </c>
      <c r="Q7" s="298">
        <v>0.84</v>
      </c>
      <c r="R7" s="297">
        <v>2</v>
      </c>
      <c r="S7" s="298">
        <v>1.333E-2</v>
      </c>
      <c r="T7" s="297">
        <v>9</v>
      </c>
      <c r="U7" s="297">
        <v>11</v>
      </c>
      <c r="V7" s="297">
        <v>2</v>
      </c>
      <c r="W7" s="297">
        <v>14</v>
      </c>
      <c r="X7" s="297">
        <v>12</v>
      </c>
      <c r="Y7" s="297">
        <v>12</v>
      </c>
      <c r="Z7" s="297">
        <v>12</v>
      </c>
      <c r="AA7" s="297">
        <v>16</v>
      </c>
      <c r="AB7" s="297">
        <v>8</v>
      </c>
      <c r="AC7" s="297">
        <v>14</v>
      </c>
      <c r="AD7" s="297">
        <v>18</v>
      </c>
      <c r="AE7" s="297">
        <v>11</v>
      </c>
      <c r="AF7" s="297">
        <v>11</v>
      </c>
    </row>
    <row r="8" spans="1:32" x14ac:dyDescent="0.35">
      <c r="A8" s="296" t="s">
        <v>278</v>
      </c>
      <c r="B8" s="296">
        <v>2115</v>
      </c>
      <c r="C8" s="296" t="s">
        <v>25</v>
      </c>
      <c r="D8" s="297">
        <v>16</v>
      </c>
      <c r="E8" s="297">
        <v>17</v>
      </c>
      <c r="F8" s="297">
        <v>0</v>
      </c>
      <c r="G8" s="298">
        <v>0</v>
      </c>
      <c r="H8" s="297">
        <v>0</v>
      </c>
      <c r="I8" s="298">
        <v>0</v>
      </c>
      <c r="J8" s="297">
        <v>0</v>
      </c>
      <c r="K8" s="298">
        <v>0</v>
      </c>
      <c r="L8" s="297">
        <v>0</v>
      </c>
      <c r="M8" s="298">
        <v>0</v>
      </c>
      <c r="N8" s="297">
        <v>2</v>
      </c>
      <c r="O8" s="298">
        <v>0.11765</v>
      </c>
      <c r="P8" s="297">
        <v>15</v>
      </c>
      <c r="Q8" s="298">
        <v>0.88234999999999997</v>
      </c>
      <c r="R8" s="297">
        <v>0</v>
      </c>
      <c r="S8" s="298">
        <v>0</v>
      </c>
      <c r="T8" s="297">
        <v>3</v>
      </c>
      <c r="U8" s="297">
        <v>2</v>
      </c>
      <c r="V8" s="297">
        <v>1</v>
      </c>
      <c r="W8" s="297">
        <v>2</v>
      </c>
      <c r="X8" s="297">
        <v>1</v>
      </c>
      <c r="Y8" s="297">
        <v>2</v>
      </c>
      <c r="Z8" s="297">
        <v>4</v>
      </c>
      <c r="AA8" s="297">
        <v>1</v>
      </c>
      <c r="AB8" s="297">
        <v>1</v>
      </c>
      <c r="AC8" s="297">
        <v>0</v>
      </c>
      <c r="AD8" s="297">
        <v>0</v>
      </c>
      <c r="AE8" s="297">
        <v>0</v>
      </c>
      <c r="AF8" s="297">
        <v>0</v>
      </c>
    </row>
    <row r="9" spans="1:32" x14ac:dyDescent="0.35">
      <c r="A9" s="296" t="s">
        <v>318</v>
      </c>
      <c r="B9" s="296">
        <v>2041</v>
      </c>
      <c r="C9" s="296" t="s">
        <v>26</v>
      </c>
      <c r="D9" s="297">
        <v>2434</v>
      </c>
      <c r="E9" s="297">
        <v>2572</v>
      </c>
      <c r="F9" s="297">
        <v>15</v>
      </c>
      <c r="G9" s="298">
        <v>5.8300000000000001E-3</v>
      </c>
      <c r="H9" s="297">
        <v>37</v>
      </c>
      <c r="I9" s="298">
        <v>1.439E-2</v>
      </c>
      <c r="J9" s="297">
        <v>4</v>
      </c>
      <c r="K9" s="298">
        <v>1.56E-3</v>
      </c>
      <c r="L9" s="297">
        <v>20</v>
      </c>
      <c r="M9" s="298">
        <v>7.7799999999999996E-3</v>
      </c>
      <c r="N9" s="297">
        <v>341</v>
      </c>
      <c r="O9" s="298">
        <v>0.13258</v>
      </c>
      <c r="P9" s="297">
        <v>1883</v>
      </c>
      <c r="Q9" s="298">
        <v>0.73211999999999999</v>
      </c>
      <c r="R9" s="297">
        <v>272</v>
      </c>
      <c r="S9" s="298">
        <v>0.10575</v>
      </c>
      <c r="T9" s="297">
        <v>135</v>
      </c>
      <c r="U9" s="297">
        <v>149</v>
      </c>
      <c r="V9" s="297">
        <v>176</v>
      </c>
      <c r="W9" s="297">
        <v>158</v>
      </c>
      <c r="X9" s="297">
        <v>199</v>
      </c>
      <c r="Y9" s="297">
        <v>192</v>
      </c>
      <c r="Z9" s="297">
        <v>215</v>
      </c>
      <c r="AA9" s="297">
        <v>217</v>
      </c>
      <c r="AB9" s="297">
        <v>205</v>
      </c>
      <c r="AC9" s="297">
        <v>240</v>
      </c>
      <c r="AD9" s="297">
        <v>220</v>
      </c>
      <c r="AE9" s="297">
        <v>222</v>
      </c>
      <c r="AF9" s="297">
        <v>244</v>
      </c>
    </row>
    <row r="10" spans="1:32" x14ac:dyDescent="0.35">
      <c r="A10" s="296" t="s">
        <v>329</v>
      </c>
      <c r="B10" s="296">
        <v>2051</v>
      </c>
      <c r="C10" s="296" t="s">
        <v>27</v>
      </c>
      <c r="D10" s="297">
        <v>9</v>
      </c>
      <c r="E10" s="297">
        <v>2</v>
      </c>
      <c r="F10" s="297">
        <v>0</v>
      </c>
      <c r="G10" s="298">
        <v>0</v>
      </c>
      <c r="H10" s="297">
        <v>0</v>
      </c>
      <c r="I10" s="298">
        <v>0</v>
      </c>
      <c r="J10" s="297">
        <v>0</v>
      </c>
      <c r="K10" s="298">
        <v>0</v>
      </c>
      <c r="L10" s="297">
        <v>0</v>
      </c>
      <c r="M10" s="298">
        <v>0</v>
      </c>
      <c r="N10" s="297">
        <v>0</v>
      </c>
      <c r="O10" s="298">
        <v>0</v>
      </c>
      <c r="P10" s="297">
        <v>2</v>
      </c>
      <c r="Q10" s="298">
        <v>1</v>
      </c>
      <c r="R10" s="297">
        <v>0</v>
      </c>
      <c r="S10" s="298">
        <v>0</v>
      </c>
      <c r="T10" s="297">
        <v>0</v>
      </c>
      <c r="U10" s="297">
        <v>0</v>
      </c>
      <c r="V10" s="297">
        <v>0</v>
      </c>
      <c r="W10" s="297">
        <v>1</v>
      </c>
      <c r="X10" s="297">
        <v>0</v>
      </c>
      <c r="Y10" s="297">
        <v>1</v>
      </c>
      <c r="Z10" s="297">
        <v>0</v>
      </c>
      <c r="AA10" s="297">
        <v>0</v>
      </c>
      <c r="AB10" s="297">
        <v>0</v>
      </c>
      <c r="AC10" s="297">
        <v>0</v>
      </c>
      <c r="AD10" s="297">
        <v>0</v>
      </c>
      <c r="AE10" s="297">
        <v>0</v>
      </c>
      <c r="AF10" s="297">
        <v>0</v>
      </c>
    </row>
    <row r="11" spans="1:32" x14ac:dyDescent="0.35">
      <c r="A11" s="296" t="s">
        <v>338</v>
      </c>
      <c r="B11" s="296">
        <v>1933</v>
      </c>
      <c r="C11" s="296" t="s">
        <v>28</v>
      </c>
      <c r="D11" s="297">
        <v>1746</v>
      </c>
      <c r="E11" s="297">
        <v>1797</v>
      </c>
      <c r="F11" s="297">
        <v>13</v>
      </c>
      <c r="G11" s="298">
        <v>7.2300000000000003E-3</v>
      </c>
      <c r="H11" s="297">
        <v>12</v>
      </c>
      <c r="I11" s="298">
        <v>6.6800000000000002E-3</v>
      </c>
      <c r="J11" s="297">
        <v>17</v>
      </c>
      <c r="K11" s="298">
        <v>9.4599999999999997E-3</v>
      </c>
      <c r="L11" s="297">
        <v>9</v>
      </c>
      <c r="M11" s="298">
        <v>5.0099999999999997E-3</v>
      </c>
      <c r="N11" s="297">
        <v>351</v>
      </c>
      <c r="O11" s="298">
        <v>0.19533</v>
      </c>
      <c r="P11" s="297">
        <v>1337</v>
      </c>
      <c r="Q11" s="298">
        <v>0.74402000000000001</v>
      </c>
      <c r="R11" s="297">
        <v>58</v>
      </c>
      <c r="S11" s="298">
        <v>3.2280000000000003E-2</v>
      </c>
      <c r="T11" s="297">
        <v>110</v>
      </c>
      <c r="U11" s="297">
        <v>112</v>
      </c>
      <c r="V11" s="297">
        <v>125</v>
      </c>
      <c r="W11" s="297">
        <v>125</v>
      </c>
      <c r="X11" s="297">
        <v>128</v>
      </c>
      <c r="Y11" s="297">
        <v>149</v>
      </c>
      <c r="Z11" s="297">
        <v>141</v>
      </c>
      <c r="AA11" s="297">
        <v>127</v>
      </c>
      <c r="AB11" s="297">
        <v>149</v>
      </c>
      <c r="AC11" s="297">
        <v>143</v>
      </c>
      <c r="AD11" s="297">
        <v>182</v>
      </c>
      <c r="AE11" s="297">
        <v>165</v>
      </c>
      <c r="AF11" s="297">
        <v>141</v>
      </c>
    </row>
    <row r="12" spans="1:32" x14ac:dyDescent="0.35">
      <c r="A12" s="296" t="s">
        <v>350</v>
      </c>
      <c r="B12" s="296">
        <v>2208</v>
      </c>
      <c r="C12" s="296" t="s">
        <v>29</v>
      </c>
      <c r="D12" s="297">
        <v>585</v>
      </c>
      <c r="E12" s="297">
        <v>542</v>
      </c>
      <c r="F12" s="297">
        <v>32</v>
      </c>
      <c r="G12" s="298">
        <v>5.9040000000000002E-2</v>
      </c>
      <c r="H12" s="297">
        <v>1</v>
      </c>
      <c r="I12" s="298">
        <v>1.8500000000000001E-3</v>
      </c>
      <c r="J12" s="297">
        <v>0</v>
      </c>
      <c r="K12" s="298">
        <v>0</v>
      </c>
      <c r="L12" s="297">
        <v>0</v>
      </c>
      <c r="M12" s="298">
        <v>0</v>
      </c>
      <c r="N12" s="297">
        <v>65</v>
      </c>
      <c r="O12" s="298">
        <v>0.11992999999999999</v>
      </c>
      <c r="P12" s="297">
        <v>402</v>
      </c>
      <c r="Q12" s="298">
        <v>0.74170000000000003</v>
      </c>
      <c r="R12" s="297">
        <v>42</v>
      </c>
      <c r="S12" s="298">
        <v>7.7490000000000003E-2</v>
      </c>
      <c r="T12" s="297">
        <v>26</v>
      </c>
      <c r="U12" s="297">
        <v>39</v>
      </c>
      <c r="V12" s="297">
        <v>39</v>
      </c>
      <c r="W12" s="297">
        <v>35</v>
      </c>
      <c r="X12" s="297">
        <v>38</v>
      </c>
      <c r="Y12" s="297">
        <v>32</v>
      </c>
      <c r="Z12" s="297">
        <v>42</v>
      </c>
      <c r="AA12" s="297">
        <v>35</v>
      </c>
      <c r="AB12" s="297">
        <v>41</v>
      </c>
      <c r="AC12" s="297">
        <v>58</v>
      </c>
      <c r="AD12" s="297">
        <v>55</v>
      </c>
      <c r="AE12" s="297">
        <v>57</v>
      </c>
      <c r="AF12" s="297">
        <v>45</v>
      </c>
    </row>
    <row r="13" spans="1:32" x14ac:dyDescent="0.35">
      <c r="A13" s="296" t="s">
        <v>355</v>
      </c>
      <c r="B13" s="296">
        <v>1894</v>
      </c>
      <c r="C13" s="296" t="s">
        <v>30</v>
      </c>
      <c r="D13" s="297">
        <v>4527</v>
      </c>
      <c r="E13" s="297">
        <v>4453</v>
      </c>
      <c r="F13" s="297">
        <v>45</v>
      </c>
      <c r="G13" s="298">
        <v>1.0109999999999999E-2</v>
      </c>
      <c r="H13" s="297">
        <v>42</v>
      </c>
      <c r="I13" s="298">
        <v>9.4299999999999991E-3</v>
      </c>
      <c r="J13" s="297">
        <v>9</v>
      </c>
      <c r="K13" s="298">
        <v>2.0200000000000001E-3</v>
      </c>
      <c r="L13" s="297">
        <v>27</v>
      </c>
      <c r="M13" s="298">
        <v>6.0600000000000003E-3</v>
      </c>
      <c r="N13" s="297">
        <v>480</v>
      </c>
      <c r="O13" s="298">
        <v>0.10779</v>
      </c>
      <c r="P13" s="297">
        <v>3570</v>
      </c>
      <c r="Q13" s="298">
        <v>0.80171000000000003</v>
      </c>
      <c r="R13" s="297">
        <v>280</v>
      </c>
      <c r="S13" s="298">
        <v>6.2880000000000005E-2</v>
      </c>
      <c r="T13" s="297">
        <v>207</v>
      </c>
      <c r="U13" s="297">
        <v>239</v>
      </c>
      <c r="V13" s="297">
        <v>223</v>
      </c>
      <c r="W13" s="297">
        <v>265</v>
      </c>
      <c r="X13" s="297">
        <v>261</v>
      </c>
      <c r="Y13" s="297">
        <v>294</v>
      </c>
      <c r="Z13" s="297">
        <v>282</v>
      </c>
      <c r="AA13" s="297">
        <v>341</v>
      </c>
      <c r="AB13" s="297">
        <v>347</v>
      </c>
      <c r="AC13" s="297">
        <v>416</v>
      </c>
      <c r="AD13" s="297">
        <v>506</v>
      </c>
      <c r="AE13" s="297">
        <v>543</v>
      </c>
      <c r="AF13" s="297">
        <v>529</v>
      </c>
    </row>
    <row r="14" spans="1:32" x14ac:dyDescent="0.35">
      <c r="A14" s="296" t="s">
        <v>365</v>
      </c>
      <c r="B14" s="296">
        <v>1969</v>
      </c>
      <c r="C14" s="296" t="s">
        <v>32</v>
      </c>
      <c r="D14" s="297">
        <v>616</v>
      </c>
      <c r="E14" s="297">
        <v>671</v>
      </c>
      <c r="F14" s="297">
        <v>9</v>
      </c>
      <c r="G14" s="298">
        <v>1.341E-2</v>
      </c>
      <c r="H14" s="297">
        <v>5</v>
      </c>
      <c r="I14" s="298">
        <v>7.45E-3</v>
      </c>
      <c r="J14" s="297">
        <v>3</v>
      </c>
      <c r="K14" s="298">
        <v>4.47E-3</v>
      </c>
      <c r="L14" s="297">
        <v>2</v>
      </c>
      <c r="M14" s="298">
        <v>2.98E-3</v>
      </c>
      <c r="N14" s="297">
        <v>84</v>
      </c>
      <c r="O14" s="298">
        <v>0.12519</v>
      </c>
      <c r="P14" s="297">
        <v>507</v>
      </c>
      <c r="Q14" s="298">
        <v>0.75558999999999998</v>
      </c>
      <c r="R14" s="297">
        <v>61</v>
      </c>
      <c r="S14" s="298">
        <v>9.0910000000000005E-2</v>
      </c>
      <c r="T14" s="297">
        <v>48</v>
      </c>
      <c r="U14" s="297">
        <v>51</v>
      </c>
      <c r="V14" s="297">
        <v>54</v>
      </c>
      <c r="W14" s="297">
        <v>45</v>
      </c>
      <c r="X14" s="297">
        <v>61</v>
      </c>
      <c r="Y14" s="297">
        <v>40</v>
      </c>
      <c r="Z14" s="297">
        <v>56</v>
      </c>
      <c r="AA14" s="297">
        <v>53</v>
      </c>
      <c r="AB14" s="297">
        <v>58</v>
      </c>
      <c r="AC14" s="297">
        <v>54</v>
      </c>
      <c r="AD14" s="297">
        <v>54</v>
      </c>
      <c r="AE14" s="297">
        <v>49</v>
      </c>
      <c r="AF14" s="297">
        <v>48</v>
      </c>
    </row>
    <row r="15" spans="1:32" x14ac:dyDescent="0.35">
      <c r="A15" s="296" t="s">
        <v>374</v>
      </c>
      <c r="B15" s="296">
        <v>2240</v>
      </c>
      <c r="C15" s="296" t="s">
        <v>33</v>
      </c>
      <c r="D15" s="297">
        <v>1036</v>
      </c>
      <c r="E15" s="297">
        <v>1060</v>
      </c>
      <c r="F15" s="297">
        <v>7</v>
      </c>
      <c r="G15" s="298">
        <v>6.6E-3</v>
      </c>
      <c r="H15" s="297">
        <v>10</v>
      </c>
      <c r="I15" s="298">
        <v>9.4299999999999991E-3</v>
      </c>
      <c r="J15" s="297">
        <v>2</v>
      </c>
      <c r="K15" s="298">
        <v>1.89E-3</v>
      </c>
      <c r="L15" s="297">
        <v>7</v>
      </c>
      <c r="M15" s="298">
        <v>6.6E-3</v>
      </c>
      <c r="N15" s="297">
        <v>110</v>
      </c>
      <c r="O15" s="298">
        <v>0.10377</v>
      </c>
      <c r="P15" s="297">
        <v>873</v>
      </c>
      <c r="Q15" s="298">
        <v>0.82357999999999998</v>
      </c>
      <c r="R15" s="297">
        <v>51</v>
      </c>
      <c r="S15" s="298">
        <v>4.811E-2</v>
      </c>
      <c r="T15" s="297">
        <v>63</v>
      </c>
      <c r="U15" s="297">
        <v>81</v>
      </c>
      <c r="V15" s="297">
        <v>62</v>
      </c>
      <c r="W15" s="297">
        <v>72</v>
      </c>
      <c r="X15" s="297">
        <v>73</v>
      </c>
      <c r="Y15" s="297">
        <v>71</v>
      </c>
      <c r="Z15" s="297">
        <v>84</v>
      </c>
      <c r="AA15" s="297">
        <v>88</v>
      </c>
      <c r="AB15" s="297">
        <v>87</v>
      </c>
      <c r="AC15" s="297">
        <v>101</v>
      </c>
      <c r="AD15" s="297">
        <v>112</v>
      </c>
      <c r="AE15" s="297">
        <v>82</v>
      </c>
      <c r="AF15" s="297">
        <v>84</v>
      </c>
    </row>
    <row r="16" spans="1:32" x14ac:dyDescent="0.35">
      <c r="A16" s="296" t="s">
        <v>374</v>
      </c>
      <c r="B16" s="296">
        <v>2243</v>
      </c>
      <c r="C16" s="296" t="s">
        <v>34</v>
      </c>
      <c r="D16" s="297">
        <v>39180</v>
      </c>
      <c r="E16" s="297">
        <v>38647</v>
      </c>
      <c r="F16" s="297">
        <v>162</v>
      </c>
      <c r="G16" s="298">
        <v>4.1900000000000001E-3</v>
      </c>
      <c r="H16" s="297">
        <v>6904</v>
      </c>
      <c r="I16" s="298">
        <v>0.17863999999999999</v>
      </c>
      <c r="J16" s="297">
        <v>350</v>
      </c>
      <c r="K16" s="298">
        <v>9.0600000000000003E-3</v>
      </c>
      <c r="L16" s="297">
        <v>1248</v>
      </c>
      <c r="M16" s="298">
        <v>3.2289999999999999E-2</v>
      </c>
      <c r="N16" s="297">
        <v>10279</v>
      </c>
      <c r="O16" s="298">
        <v>0.26596999999999998</v>
      </c>
      <c r="P16" s="297">
        <v>16410</v>
      </c>
      <c r="Q16" s="298">
        <v>0.42460999999999999</v>
      </c>
      <c r="R16" s="297">
        <v>3294</v>
      </c>
      <c r="S16" s="298">
        <v>8.523E-2</v>
      </c>
      <c r="T16" s="297">
        <v>2592</v>
      </c>
      <c r="U16" s="297">
        <v>2825</v>
      </c>
      <c r="V16" s="297">
        <v>2804</v>
      </c>
      <c r="W16" s="297">
        <v>2960</v>
      </c>
      <c r="X16" s="297">
        <v>2850</v>
      </c>
      <c r="Y16" s="297">
        <v>2959</v>
      </c>
      <c r="Z16" s="297">
        <v>2844</v>
      </c>
      <c r="AA16" s="297">
        <v>2957</v>
      </c>
      <c r="AB16" s="297">
        <v>3050</v>
      </c>
      <c r="AC16" s="297">
        <v>3118</v>
      </c>
      <c r="AD16" s="297">
        <v>3187</v>
      </c>
      <c r="AE16" s="297">
        <v>3144</v>
      </c>
      <c r="AF16" s="297">
        <v>3357</v>
      </c>
    </row>
    <row r="17" spans="1:32" x14ac:dyDescent="0.35">
      <c r="A17" s="296" t="s">
        <v>384</v>
      </c>
      <c r="B17" s="296">
        <v>1976</v>
      </c>
      <c r="C17" s="296" t="s">
        <v>35</v>
      </c>
      <c r="D17" s="297">
        <v>17419</v>
      </c>
      <c r="E17" s="297">
        <v>17356</v>
      </c>
      <c r="F17" s="297">
        <v>72</v>
      </c>
      <c r="G17" s="298">
        <v>4.15E-3</v>
      </c>
      <c r="H17" s="297">
        <v>204</v>
      </c>
      <c r="I17" s="298">
        <v>1.175E-2</v>
      </c>
      <c r="J17" s="297">
        <v>35</v>
      </c>
      <c r="K17" s="298">
        <v>2.0200000000000001E-3</v>
      </c>
      <c r="L17" s="297">
        <v>121</v>
      </c>
      <c r="M17" s="298">
        <v>6.9699999999999996E-3</v>
      </c>
      <c r="N17" s="297">
        <v>2196</v>
      </c>
      <c r="O17" s="298">
        <v>0.12653</v>
      </c>
      <c r="P17" s="297">
        <v>13959</v>
      </c>
      <c r="Q17" s="298">
        <v>0.80427999999999999</v>
      </c>
      <c r="R17" s="297">
        <v>769</v>
      </c>
      <c r="S17" s="298">
        <v>4.4310000000000002E-2</v>
      </c>
      <c r="T17" s="297">
        <v>1150</v>
      </c>
      <c r="U17" s="297">
        <v>1201</v>
      </c>
      <c r="V17" s="297">
        <v>1277</v>
      </c>
      <c r="W17" s="297">
        <v>1248</v>
      </c>
      <c r="X17" s="297">
        <v>1228</v>
      </c>
      <c r="Y17" s="297">
        <v>1285</v>
      </c>
      <c r="Z17" s="297">
        <v>1304</v>
      </c>
      <c r="AA17" s="297">
        <v>1310</v>
      </c>
      <c r="AB17" s="297">
        <v>1343</v>
      </c>
      <c r="AC17" s="297">
        <v>1495</v>
      </c>
      <c r="AD17" s="297">
        <v>1592</v>
      </c>
      <c r="AE17" s="297">
        <v>1535</v>
      </c>
      <c r="AF17" s="297">
        <v>1388</v>
      </c>
    </row>
    <row r="18" spans="1:32" x14ac:dyDescent="0.35">
      <c r="A18" s="296" t="s">
        <v>390</v>
      </c>
      <c r="B18" s="296">
        <v>2088</v>
      </c>
      <c r="C18" s="296" t="s">
        <v>36</v>
      </c>
      <c r="D18" s="297">
        <v>5269</v>
      </c>
      <c r="E18" s="297">
        <v>5098</v>
      </c>
      <c r="F18" s="297">
        <v>48</v>
      </c>
      <c r="G18" s="298">
        <v>9.4199999999999996E-3</v>
      </c>
      <c r="H18" s="297">
        <v>103</v>
      </c>
      <c r="I18" s="298">
        <v>2.0199999999999999E-2</v>
      </c>
      <c r="J18" s="297">
        <v>31</v>
      </c>
      <c r="K18" s="298">
        <v>6.0800000000000003E-3</v>
      </c>
      <c r="L18" s="297">
        <v>81</v>
      </c>
      <c r="M18" s="298">
        <v>1.5890000000000001E-2</v>
      </c>
      <c r="N18" s="297">
        <v>1357</v>
      </c>
      <c r="O18" s="298">
        <v>0.26618000000000003</v>
      </c>
      <c r="P18" s="297">
        <v>3013</v>
      </c>
      <c r="Q18" s="298">
        <v>0.59101999999999999</v>
      </c>
      <c r="R18" s="297">
        <v>465</v>
      </c>
      <c r="S18" s="298">
        <v>9.1209999999999999E-2</v>
      </c>
      <c r="T18" s="297">
        <v>366</v>
      </c>
      <c r="U18" s="297">
        <v>358</v>
      </c>
      <c r="V18" s="297">
        <v>367</v>
      </c>
      <c r="W18" s="297">
        <v>426</v>
      </c>
      <c r="X18" s="297">
        <v>373</v>
      </c>
      <c r="Y18" s="297">
        <v>386</v>
      </c>
      <c r="Z18" s="297">
        <v>397</v>
      </c>
      <c r="AA18" s="297">
        <v>393</v>
      </c>
      <c r="AB18" s="297">
        <v>407</v>
      </c>
      <c r="AC18" s="297">
        <v>392</v>
      </c>
      <c r="AD18" s="297">
        <v>425</v>
      </c>
      <c r="AE18" s="297">
        <v>382</v>
      </c>
      <c r="AF18" s="297">
        <v>426</v>
      </c>
    </row>
    <row r="19" spans="1:32" x14ac:dyDescent="0.35">
      <c r="A19" s="296" t="s">
        <v>390</v>
      </c>
      <c r="B19" s="296">
        <v>2095</v>
      </c>
      <c r="C19" s="296" t="s">
        <v>37</v>
      </c>
      <c r="D19" s="297">
        <v>302</v>
      </c>
      <c r="E19" s="297">
        <v>406</v>
      </c>
      <c r="F19" s="297">
        <v>3</v>
      </c>
      <c r="G19" s="298">
        <v>7.3899999999999999E-3</v>
      </c>
      <c r="H19" s="297">
        <v>2</v>
      </c>
      <c r="I19" s="298">
        <v>4.9300000000000004E-3</v>
      </c>
      <c r="J19" s="297">
        <v>0</v>
      </c>
      <c r="K19" s="298">
        <v>0</v>
      </c>
      <c r="L19" s="297">
        <v>3</v>
      </c>
      <c r="M19" s="298">
        <v>7.3899999999999999E-3</v>
      </c>
      <c r="N19" s="297">
        <v>23</v>
      </c>
      <c r="O19" s="298">
        <v>5.6649999999999999E-2</v>
      </c>
      <c r="P19" s="297">
        <v>350</v>
      </c>
      <c r="Q19" s="298">
        <v>0.86207</v>
      </c>
      <c r="R19" s="297">
        <v>25</v>
      </c>
      <c r="S19" s="298">
        <v>6.1580000000000003E-2</v>
      </c>
      <c r="T19" s="297">
        <v>32</v>
      </c>
      <c r="U19" s="297">
        <v>36</v>
      </c>
      <c r="V19" s="297">
        <v>40</v>
      </c>
      <c r="W19" s="297">
        <v>44</v>
      </c>
      <c r="X19" s="297">
        <v>37</v>
      </c>
      <c r="Y19" s="297">
        <v>35</v>
      </c>
      <c r="Z19" s="297">
        <v>28</v>
      </c>
      <c r="AA19" s="297">
        <v>28</v>
      </c>
      <c r="AB19" s="297">
        <v>29</v>
      </c>
      <c r="AC19" s="297">
        <v>31</v>
      </c>
      <c r="AD19" s="297">
        <v>23</v>
      </c>
      <c r="AE19" s="297">
        <v>23</v>
      </c>
      <c r="AF19" s="297">
        <v>20</v>
      </c>
    </row>
    <row r="20" spans="1:32" x14ac:dyDescent="0.35">
      <c r="A20" s="296" t="s">
        <v>329</v>
      </c>
      <c r="B20" s="296">
        <v>2052</v>
      </c>
      <c r="C20" s="296" t="s">
        <v>38</v>
      </c>
      <c r="D20" s="297">
        <v>20</v>
      </c>
      <c r="E20" s="297">
        <v>22</v>
      </c>
      <c r="F20" s="297">
        <v>0</v>
      </c>
      <c r="G20" s="298">
        <v>0</v>
      </c>
      <c r="H20" s="297">
        <v>0</v>
      </c>
      <c r="I20" s="298">
        <v>0</v>
      </c>
      <c r="J20" s="297">
        <v>0</v>
      </c>
      <c r="K20" s="298">
        <v>0</v>
      </c>
      <c r="L20" s="297">
        <v>0</v>
      </c>
      <c r="M20" s="298">
        <v>0</v>
      </c>
      <c r="N20" s="297">
        <v>2</v>
      </c>
      <c r="O20" s="298">
        <v>9.0910000000000005E-2</v>
      </c>
      <c r="P20" s="297">
        <v>15</v>
      </c>
      <c r="Q20" s="298">
        <v>0.68181999999999998</v>
      </c>
      <c r="R20" s="297">
        <v>5</v>
      </c>
      <c r="S20" s="298">
        <v>0.22727</v>
      </c>
      <c r="T20" s="297">
        <v>3</v>
      </c>
      <c r="U20" s="297">
        <v>2</v>
      </c>
      <c r="V20" s="297">
        <v>2</v>
      </c>
      <c r="W20" s="297">
        <v>1</v>
      </c>
      <c r="X20" s="297">
        <v>5</v>
      </c>
      <c r="Y20" s="297">
        <v>4</v>
      </c>
      <c r="Z20" s="297">
        <v>1</v>
      </c>
      <c r="AA20" s="297">
        <v>4</v>
      </c>
      <c r="AB20" s="297">
        <v>0</v>
      </c>
      <c r="AC20" s="297">
        <v>0</v>
      </c>
      <c r="AD20" s="297">
        <v>0</v>
      </c>
      <c r="AE20" s="297">
        <v>0</v>
      </c>
      <c r="AF20" s="297">
        <v>0</v>
      </c>
    </row>
    <row r="21" spans="1:32" x14ac:dyDescent="0.35">
      <c r="A21" s="296" t="s">
        <v>407</v>
      </c>
      <c r="B21" s="296">
        <v>1974</v>
      </c>
      <c r="C21" s="296" t="s">
        <v>39</v>
      </c>
      <c r="D21" s="297">
        <v>1418</v>
      </c>
      <c r="E21" s="297">
        <v>1404</v>
      </c>
      <c r="F21" s="297">
        <v>48</v>
      </c>
      <c r="G21" s="298">
        <v>3.4189999999999998E-2</v>
      </c>
      <c r="H21" s="297">
        <v>12</v>
      </c>
      <c r="I21" s="298">
        <v>8.5500000000000003E-3</v>
      </c>
      <c r="J21" s="297">
        <v>1</v>
      </c>
      <c r="K21" s="298">
        <v>7.1000000000000002E-4</v>
      </c>
      <c r="L21" s="297">
        <v>5</v>
      </c>
      <c r="M21" s="298">
        <v>3.5599999999999998E-3</v>
      </c>
      <c r="N21" s="297">
        <v>243</v>
      </c>
      <c r="O21" s="298">
        <v>0.17308000000000001</v>
      </c>
      <c r="P21" s="297">
        <v>897</v>
      </c>
      <c r="Q21" s="298">
        <v>0.63888999999999996</v>
      </c>
      <c r="R21" s="297">
        <v>198</v>
      </c>
      <c r="S21" s="298">
        <v>0.14102999999999999</v>
      </c>
      <c r="T21" s="297">
        <v>103</v>
      </c>
      <c r="U21" s="297">
        <v>106</v>
      </c>
      <c r="V21" s="297">
        <v>101</v>
      </c>
      <c r="W21" s="297">
        <v>96</v>
      </c>
      <c r="X21" s="297">
        <v>86</v>
      </c>
      <c r="Y21" s="297">
        <v>123</v>
      </c>
      <c r="Z21" s="297">
        <v>92</v>
      </c>
      <c r="AA21" s="297">
        <v>139</v>
      </c>
      <c r="AB21" s="297">
        <v>110</v>
      </c>
      <c r="AC21" s="297">
        <v>120</v>
      </c>
      <c r="AD21" s="297">
        <v>113</v>
      </c>
      <c r="AE21" s="297">
        <v>110</v>
      </c>
      <c r="AF21" s="297">
        <v>105</v>
      </c>
    </row>
    <row r="22" spans="1:32" x14ac:dyDescent="0.35">
      <c r="A22" s="296" t="s">
        <v>355</v>
      </c>
      <c r="B22" s="296">
        <v>1896</v>
      </c>
      <c r="C22" s="296" t="s">
        <v>40</v>
      </c>
      <c r="D22" s="297">
        <v>23</v>
      </c>
      <c r="E22" s="297">
        <v>27</v>
      </c>
      <c r="F22" s="297">
        <v>0</v>
      </c>
      <c r="G22" s="298">
        <v>0</v>
      </c>
      <c r="H22" s="297">
        <v>3</v>
      </c>
      <c r="I22" s="298">
        <v>0.11111</v>
      </c>
      <c r="J22" s="297">
        <v>0</v>
      </c>
      <c r="K22" s="298">
        <v>0</v>
      </c>
      <c r="L22" s="297">
        <v>0</v>
      </c>
      <c r="M22" s="298">
        <v>0</v>
      </c>
      <c r="N22" s="297">
        <v>3</v>
      </c>
      <c r="O22" s="298">
        <v>0.11111</v>
      </c>
      <c r="P22" s="297">
        <v>20</v>
      </c>
      <c r="Q22" s="298">
        <v>0.74073999999999995</v>
      </c>
      <c r="R22" s="297">
        <v>1</v>
      </c>
      <c r="S22" s="298">
        <v>3.7039999999999997E-2</v>
      </c>
      <c r="T22" s="297">
        <v>1</v>
      </c>
      <c r="U22" s="297">
        <v>2</v>
      </c>
      <c r="V22" s="297">
        <v>0</v>
      </c>
      <c r="W22" s="297">
        <v>1</v>
      </c>
      <c r="X22" s="297">
        <v>2</v>
      </c>
      <c r="Y22" s="297">
        <v>2</v>
      </c>
      <c r="Z22" s="297">
        <v>2</v>
      </c>
      <c r="AA22" s="297">
        <v>1</v>
      </c>
      <c r="AB22" s="297">
        <v>0</v>
      </c>
      <c r="AC22" s="297">
        <v>1</v>
      </c>
      <c r="AD22" s="297">
        <v>3</v>
      </c>
      <c r="AE22" s="297">
        <v>10</v>
      </c>
      <c r="AF22" s="297">
        <v>2</v>
      </c>
    </row>
    <row r="23" spans="1:32" x14ac:dyDescent="0.35">
      <c r="A23" s="296" t="s">
        <v>318</v>
      </c>
      <c r="B23" s="296">
        <v>2046</v>
      </c>
      <c r="C23" s="296" t="s">
        <v>42</v>
      </c>
      <c r="D23" s="297">
        <v>187</v>
      </c>
      <c r="E23" s="297">
        <v>196</v>
      </c>
      <c r="F23" s="297">
        <v>3</v>
      </c>
      <c r="G23" s="298">
        <v>1.5310000000000001E-2</v>
      </c>
      <c r="H23" s="297">
        <v>1</v>
      </c>
      <c r="I23" s="298">
        <v>5.1000000000000004E-3</v>
      </c>
      <c r="J23" s="297">
        <v>0</v>
      </c>
      <c r="K23" s="298">
        <v>0</v>
      </c>
      <c r="L23" s="297">
        <v>0</v>
      </c>
      <c r="M23" s="298">
        <v>0</v>
      </c>
      <c r="N23" s="297">
        <v>19</v>
      </c>
      <c r="O23" s="298">
        <v>9.6939999999999998E-2</v>
      </c>
      <c r="P23" s="297">
        <v>169</v>
      </c>
      <c r="Q23" s="298">
        <v>0.86224000000000001</v>
      </c>
      <c r="R23" s="297">
        <v>4</v>
      </c>
      <c r="S23" s="298">
        <v>2.0410000000000001E-2</v>
      </c>
      <c r="T23" s="297">
        <v>15</v>
      </c>
      <c r="U23" s="297">
        <v>16</v>
      </c>
      <c r="V23" s="297">
        <v>23</v>
      </c>
      <c r="W23" s="297">
        <v>12</v>
      </c>
      <c r="X23" s="297">
        <v>11</v>
      </c>
      <c r="Y23" s="297">
        <v>11</v>
      </c>
      <c r="Z23" s="297">
        <v>15</v>
      </c>
      <c r="AA23" s="297">
        <v>26</v>
      </c>
      <c r="AB23" s="297">
        <v>17</v>
      </c>
      <c r="AC23" s="297">
        <v>11</v>
      </c>
      <c r="AD23" s="297">
        <v>17</v>
      </c>
      <c r="AE23" s="297">
        <v>7</v>
      </c>
      <c r="AF23" s="297">
        <v>15</v>
      </c>
    </row>
    <row r="24" spans="1:32" x14ac:dyDescent="0.35">
      <c r="A24" s="296" t="s">
        <v>431</v>
      </c>
      <c r="B24" s="296">
        <v>1995</v>
      </c>
      <c r="C24" s="296" t="s">
        <v>43</v>
      </c>
      <c r="D24" s="297">
        <v>225</v>
      </c>
      <c r="E24" s="297">
        <v>214</v>
      </c>
      <c r="F24" s="297">
        <v>1</v>
      </c>
      <c r="G24" s="298">
        <v>4.6699999999999997E-3</v>
      </c>
      <c r="H24" s="297">
        <v>0</v>
      </c>
      <c r="I24" s="298">
        <v>0</v>
      </c>
      <c r="J24" s="297">
        <v>0</v>
      </c>
      <c r="K24" s="298">
        <v>0</v>
      </c>
      <c r="L24" s="297">
        <v>0</v>
      </c>
      <c r="M24" s="298">
        <v>0</v>
      </c>
      <c r="N24" s="297">
        <v>18</v>
      </c>
      <c r="O24" s="298">
        <v>8.4110000000000004E-2</v>
      </c>
      <c r="P24" s="297">
        <v>177</v>
      </c>
      <c r="Q24" s="298">
        <v>0.82709999999999995</v>
      </c>
      <c r="R24" s="297">
        <v>18</v>
      </c>
      <c r="S24" s="298">
        <v>8.4110000000000004E-2</v>
      </c>
      <c r="T24" s="297">
        <v>14</v>
      </c>
      <c r="U24" s="297">
        <v>12</v>
      </c>
      <c r="V24" s="297">
        <v>16</v>
      </c>
      <c r="W24" s="297">
        <v>19</v>
      </c>
      <c r="X24" s="297">
        <v>18</v>
      </c>
      <c r="Y24" s="297">
        <v>16</v>
      </c>
      <c r="Z24" s="297">
        <v>19</v>
      </c>
      <c r="AA24" s="297">
        <v>14</v>
      </c>
      <c r="AB24" s="297">
        <v>18</v>
      </c>
      <c r="AC24" s="297">
        <v>18</v>
      </c>
      <c r="AD24" s="297">
        <v>20</v>
      </c>
      <c r="AE24" s="297">
        <v>18</v>
      </c>
      <c r="AF24" s="297">
        <v>12</v>
      </c>
    </row>
    <row r="25" spans="1:32" x14ac:dyDescent="0.35">
      <c r="A25" s="296" t="s">
        <v>440</v>
      </c>
      <c r="B25" s="296">
        <v>1929</v>
      </c>
      <c r="C25" s="296" t="s">
        <v>44</v>
      </c>
      <c r="D25" s="297">
        <v>4138</v>
      </c>
      <c r="E25" s="297">
        <v>4212</v>
      </c>
      <c r="F25" s="297">
        <v>15</v>
      </c>
      <c r="G25" s="298">
        <v>3.5599999999999998E-3</v>
      </c>
      <c r="H25" s="297">
        <v>29</v>
      </c>
      <c r="I25" s="298">
        <v>6.8900000000000003E-3</v>
      </c>
      <c r="J25" s="297">
        <v>8</v>
      </c>
      <c r="K25" s="298">
        <v>1.9E-3</v>
      </c>
      <c r="L25" s="297">
        <v>13</v>
      </c>
      <c r="M25" s="298">
        <v>3.0899999999999999E-3</v>
      </c>
      <c r="N25" s="297">
        <v>1382</v>
      </c>
      <c r="O25" s="298">
        <v>0.32811000000000001</v>
      </c>
      <c r="P25" s="297">
        <v>2607</v>
      </c>
      <c r="Q25" s="298">
        <v>0.61895</v>
      </c>
      <c r="R25" s="297">
        <v>158</v>
      </c>
      <c r="S25" s="298">
        <v>3.7510000000000002E-2</v>
      </c>
      <c r="T25" s="297">
        <v>282</v>
      </c>
      <c r="U25" s="297">
        <v>315</v>
      </c>
      <c r="V25" s="297">
        <v>256</v>
      </c>
      <c r="W25" s="297">
        <v>310</v>
      </c>
      <c r="X25" s="297">
        <v>322</v>
      </c>
      <c r="Y25" s="297">
        <v>341</v>
      </c>
      <c r="Z25" s="297">
        <v>317</v>
      </c>
      <c r="AA25" s="297">
        <v>333</v>
      </c>
      <c r="AB25" s="297">
        <v>324</v>
      </c>
      <c r="AC25" s="297">
        <v>369</v>
      </c>
      <c r="AD25" s="297">
        <v>346</v>
      </c>
      <c r="AE25" s="297">
        <v>326</v>
      </c>
      <c r="AF25" s="297">
        <v>371</v>
      </c>
    </row>
    <row r="26" spans="1:32" x14ac:dyDescent="0.35">
      <c r="A26" s="296" t="s">
        <v>447</v>
      </c>
      <c r="B26" s="296">
        <v>2139</v>
      </c>
      <c r="C26" s="296" t="s">
        <v>45</v>
      </c>
      <c r="D26" s="297">
        <v>2560</v>
      </c>
      <c r="E26" s="297">
        <v>2685</v>
      </c>
      <c r="F26" s="297">
        <v>24</v>
      </c>
      <c r="G26" s="298">
        <v>8.94E-3</v>
      </c>
      <c r="H26" s="297">
        <v>32</v>
      </c>
      <c r="I26" s="298">
        <v>1.192E-2</v>
      </c>
      <c r="J26" s="297">
        <v>14</v>
      </c>
      <c r="K26" s="298">
        <v>5.2100000000000002E-3</v>
      </c>
      <c r="L26" s="297">
        <v>14</v>
      </c>
      <c r="M26" s="298">
        <v>5.2100000000000002E-3</v>
      </c>
      <c r="N26" s="297">
        <v>475</v>
      </c>
      <c r="O26" s="298">
        <v>0.17691000000000001</v>
      </c>
      <c r="P26" s="297">
        <v>2010</v>
      </c>
      <c r="Q26" s="298">
        <v>0.74860000000000004</v>
      </c>
      <c r="R26" s="297">
        <v>116</v>
      </c>
      <c r="S26" s="298">
        <v>4.3200000000000002E-2</v>
      </c>
      <c r="T26" s="297">
        <v>180</v>
      </c>
      <c r="U26" s="297">
        <v>210</v>
      </c>
      <c r="V26" s="297">
        <v>219</v>
      </c>
      <c r="W26" s="297">
        <v>195</v>
      </c>
      <c r="X26" s="297">
        <v>196</v>
      </c>
      <c r="Y26" s="297">
        <v>201</v>
      </c>
      <c r="Z26" s="297">
        <v>206</v>
      </c>
      <c r="AA26" s="297">
        <v>212</v>
      </c>
      <c r="AB26" s="297">
        <v>214</v>
      </c>
      <c r="AC26" s="297">
        <v>229</v>
      </c>
      <c r="AD26" s="297">
        <v>207</v>
      </c>
      <c r="AE26" s="297">
        <v>218</v>
      </c>
      <c r="AF26" s="297">
        <v>198</v>
      </c>
    </row>
    <row r="27" spans="1:32" x14ac:dyDescent="0.35">
      <c r="A27" s="296" t="s">
        <v>456</v>
      </c>
      <c r="B27" s="296">
        <v>2185</v>
      </c>
      <c r="C27" s="296" t="s">
        <v>46</v>
      </c>
      <c r="D27" s="297">
        <v>5520</v>
      </c>
      <c r="E27" s="297">
        <v>5487</v>
      </c>
      <c r="F27" s="297">
        <v>37</v>
      </c>
      <c r="G27" s="298">
        <v>6.7400000000000003E-3</v>
      </c>
      <c r="H27" s="297">
        <v>753</v>
      </c>
      <c r="I27" s="298">
        <v>0.13722999999999999</v>
      </c>
      <c r="J27" s="297">
        <v>165</v>
      </c>
      <c r="K27" s="298">
        <v>3.007E-2</v>
      </c>
      <c r="L27" s="297">
        <v>449</v>
      </c>
      <c r="M27" s="298">
        <v>8.183E-2</v>
      </c>
      <c r="N27" s="297">
        <v>1685</v>
      </c>
      <c r="O27" s="298">
        <v>0.30708999999999997</v>
      </c>
      <c r="P27" s="297">
        <v>1975</v>
      </c>
      <c r="Q27" s="298">
        <v>0.35993999999999998</v>
      </c>
      <c r="R27" s="297">
        <v>423</v>
      </c>
      <c r="S27" s="298">
        <v>7.7090000000000006E-2</v>
      </c>
      <c r="T27" s="297">
        <v>345</v>
      </c>
      <c r="U27" s="297">
        <v>345</v>
      </c>
      <c r="V27" s="297">
        <v>399</v>
      </c>
      <c r="W27" s="297">
        <v>408</v>
      </c>
      <c r="X27" s="297">
        <v>391</v>
      </c>
      <c r="Y27" s="297">
        <v>393</v>
      </c>
      <c r="Z27" s="297">
        <v>461</v>
      </c>
      <c r="AA27" s="297">
        <v>436</v>
      </c>
      <c r="AB27" s="297">
        <v>440</v>
      </c>
      <c r="AC27" s="297">
        <v>508</v>
      </c>
      <c r="AD27" s="297">
        <v>460</v>
      </c>
      <c r="AE27" s="297">
        <v>424</v>
      </c>
      <c r="AF27" s="297">
        <v>477</v>
      </c>
    </row>
    <row r="28" spans="1:32" x14ac:dyDescent="0.35">
      <c r="A28" s="296" t="s">
        <v>407</v>
      </c>
      <c r="B28" s="296">
        <v>1972</v>
      </c>
      <c r="C28" s="296" t="s">
        <v>47</v>
      </c>
      <c r="D28" s="297">
        <v>420</v>
      </c>
      <c r="E28" s="297">
        <v>433</v>
      </c>
      <c r="F28" s="297">
        <v>3</v>
      </c>
      <c r="G28" s="298">
        <v>6.9300000000000004E-3</v>
      </c>
      <c r="H28" s="297">
        <v>1</v>
      </c>
      <c r="I28" s="298">
        <v>2.31E-3</v>
      </c>
      <c r="J28" s="297">
        <v>0</v>
      </c>
      <c r="K28" s="298">
        <v>0</v>
      </c>
      <c r="L28" s="297">
        <v>0</v>
      </c>
      <c r="M28" s="298">
        <v>0</v>
      </c>
      <c r="N28" s="297">
        <v>54</v>
      </c>
      <c r="O28" s="298">
        <v>0.12471</v>
      </c>
      <c r="P28" s="297">
        <v>337</v>
      </c>
      <c r="Q28" s="298">
        <v>0.77829000000000004</v>
      </c>
      <c r="R28" s="297">
        <v>38</v>
      </c>
      <c r="S28" s="298">
        <v>8.7760000000000005E-2</v>
      </c>
      <c r="T28" s="297">
        <v>27</v>
      </c>
      <c r="U28" s="297">
        <v>36</v>
      </c>
      <c r="V28" s="297">
        <v>26</v>
      </c>
      <c r="W28" s="297">
        <v>37</v>
      </c>
      <c r="X28" s="297">
        <v>26</v>
      </c>
      <c r="Y28" s="297">
        <v>49</v>
      </c>
      <c r="Z28" s="297">
        <v>40</v>
      </c>
      <c r="AA28" s="297">
        <v>31</v>
      </c>
      <c r="AB28" s="297">
        <v>38</v>
      </c>
      <c r="AC28" s="297">
        <v>23</v>
      </c>
      <c r="AD28" s="297">
        <v>36</v>
      </c>
      <c r="AE28" s="297">
        <v>30</v>
      </c>
      <c r="AF28" s="297">
        <v>34</v>
      </c>
    </row>
    <row r="29" spans="1:32" x14ac:dyDescent="0.35">
      <c r="A29" s="296" t="s">
        <v>471</v>
      </c>
      <c r="B29" s="296">
        <v>2105</v>
      </c>
      <c r="C29" s="296" t="s">
        <v>48</v>
      </c>
      <c r="D29" s="297">
        <v>551</v>
      </c>
      <c r="E29" s="297">
        <v>539</v>
      </c>
      <c r="F29" s="297">
        <v>0</v>
      </c>
      <c r="G29" s="298">
        <v>0</v>
      </c>
      <c r="H29" s="297">
        <v>1</v>
      </c>
      <c r="I29" s="298">
        <v>1.8600000000000001E-3</v>
      </c>
      <c r="J29" s="297">
        <v>0</v>
      </c>
      <c r="K29" s="298">
        <v>0</v>
      </c>
      <c r="L29" s="297">
        <v>0</v>
      </c>
      <c r="M29" s="298">
        <v>0</v>
      </c>
      <c r="N29" s="297">
        <v>79</v>
      </c>
      <c r="O29" s="298">
        <v>0.14657000000000001</v>
      </c>
      <c r="P29" s="297">
        <v>429</v>
      </c>
      <c r="Q29" s="298">
        <v>0.79591999999999996</v>
      </c>
      <c r="R29" s="297">
        <v>30</v>
      </c>
      <c r="S29" s="298">
        <v>5.5660000000000001E-2</v>
      </c>
      <c r="T29" s="297">
        <v>30</v>
      </c>
      <c r="U29" s="297">
        <v>37</v>
      </c>
      <c r="V29" s="297">
        <v>37</v>
      </c>
      <c r="W29" s="297">
        <v>32</v>
      </c>
      <c r="X29" s="297">
        <v>33</v>
      </c>
      <c r="Y29" s="297">
        <v>43</v>
      </c>
      <c r="Z29" s="297">
        <v>41</v>
      </c>
      <c r="AA29" s="297">
        <v>29</v>
      </c>
      <c r="AB29" s="297">
        <v>45</v>
      </c>
      <c r="AC29" s="297">
        <v>51</v>
      </c>
      <c r="AD29" s="297">
        <v>52</v>
      </c>
      <c r="AE29" s="297">
        <v>53</v>
      </c>
      <c r="AF29" s="297">
        <v>56</v>
      </c>
    </row>
    <row r="30" spans="1:32" x14ac:dyDescent="0.35">
      <c r="A30" s="296" t="s">
        <v>318</v>
      </c>
      <c r="B30" s="296">
        <v>2042</v>
      </c>
      <c r="C30" s="296" t="s">
        <v>49</v>
      </c>
      <c r="D30" s="297">
        <v>4710</v>
      </c>
      <c r="E30" s="297">
        <v>4858</v>
      </c>
      <c r="F30" s="297">
        <v>41</v>
      </c>
      <c r="G30" s="298">
        <v>8.4399999999999996E-3</v>
      </c>
      <c r="H30" s="297">
        <v>32</v>
      </c>
      <c r="I30" s="298">
        <v>6.5900000000000004E-3</v>
      </c>
      <c r="J30" s="297">
        <v>27</v>
      </c>
      <c r="K30" s="298">
        <v>5.5599999999999998E-3</v>
      </c>
      <c r="L30" s="297">
        <v>26</v>
      </c>
      <c r="M30" s="298">
        <v>5.3499999999999997E-3</v>
      </c>
      <c r="N30" s="297">
        <v>902</v>
      </c>
      <c r="O30" s="298">
        <v>0.18567</v>
      </c>
      <c r="P30" s="297">
        <v>3535</v>
      </c>
      <c r="Q30" s="298">
        <v>0.72767000000000004</v>
      </c>
      <c r="R30" s="297">
        <v>295</v>
      </c>
      <c r="S30" s="298">
        <v>6.0720000000000003E-2</v>
      </c>
      <c r="T30" s="297">
        <v>325</v>
      </c>
      <c r="U30" s="297">
        <v>347</v>
      </c>
      <c r="V30" s="297">
        <v>347</v>
      </c>
      <c r="W30" s="297">
        <v>381</v>
      </c>
      <c r="X30" s="297">
        <v>393</v>
      </c>
      <c r="Y30" s="297">
        <v>392</v>
      </c>
      <c r="Z30" s="297">
        <v>401</v>
      </c>
      <c r="AA30" s="297">
        <v>420</v>
      </c>
      <c r="AB30" s="297">
        <v>398</v>
      </c>
      <c r="AC30" s="297">
        <v>414</v>
      </c>
      <c r="AD30" s="297">
        <v>377</v>
      </c>
      <c r="AE30" s="297">
        <v>354</v>
      </c>
      <c r="AF30" s="297">
        <v>309</v>
      </c>
    </row>
    <row r="31" spans="1:32" x14ac:dyDescent="0.35">
      <c r="A31" s="296" t="s">
        <v>484</v>
      </c>
      <c r="B31" s="296">
        <v>2191</v>
      </c>
      <c r="C31" s="296" t="s">
        <v>50</v>
      </c>
      <c r="D31" s="297">
        <v>3147</v>
      </c>
      <c r="E31" s="297">
        <v>3188</v>
      </c>
      <c r="F31" s="297">
        <v>28</v>
      </c>
      <c r="G31" s="298">
        <v>8.7799999999999996E-3</v>
      </c>
      <c r="H31" s="297">
        <v>24</v>
      </c>
      <c r="I31" s="298">
        <v>7.5300000000000002E-3</v>
      </c>
      <c r="J31" s="297">
        <v>20</v>
      </c>
      <c r="K31" s="298">
        <v>6.2700000000000004E-3</v>
      </c>
      <c r="L31" s="297">
        <v>15</v>
      </c>
      <c r="M31" s="298">
        <v>4.7099999999999998E-3</v>
      </c>
      <c r="N31" s="297">
        <v>1452</v>
      </c>
      <c r="O31" s="298">
        <v>0.45545999999999998</v>
      </c>
      <c r="P31" s="297">
        <v>1512</v>
      </c>
      <c r="Q31" s="298">
        <v>0.47427999999999998</v>
      </c>
      <c r="R31" s="297">
        <v>137</v>
      </c>
      <c r="S31" s="298">
        <v>4.2970000000000001E-2</v>
      </c>
      <c r="T31" s="297">
        <v>184</v>
      </c>
      <c r="U31" s="297">
        <v>249</v>
      </c>
      <c r="V31" s="297">
        <v>228</v>
      </c>
      <c r="W31" s="297">
        <v>243</v>
      </c>
      <c r="X31" s="297">
        <v>201</v>
      </c>
      <c r="Y31" s="297">
        <v>243</v>
      </c>
      <c r="Z31" s="297">
        <v>233</v>
      </c>
      <c r="AA31" s="297">
        <v>254</v>
      </c>
      <c r="AB31" s="297">
        <v>253</v>
      </c>
      <c r="AC31" s="297">
        <v>276</v>
      </c>
      <c r="AD31" s="297">
        <v>246</v>
      </c>
      <c r="AE31" s="297">
        <v>294</v>
      </c>
      <c r="AF31" s="297">
        <v>284</v>
      </c>
    </row>
    <row r="32" spans="1:32" hidden="1" x14ac:dyDescent="0.35">
      <c r="A32" s="296" t="s">
        <v>440</v>
      </c>
      <c r="B32" s="296">
        <v>1902</v>
      </c>
      <c r="C32" s="296" t="s">
        <v>441</v>
      </c>
      <c r="D32" s="297">
        <v>184</v>
      </c>
      <c r="E32" s="297">
        <v>191</v>
      </c>
      <c r="F32" s="297">
        <v>0</v>
      </c>
      <c r="G32" s="298">
        <v>0</v>
      </c>
      <c r="H32" s="297">
        <v>5</v>
      </c>
      <c r="I32" s="298">
        <v>2.6179999999999998E-2</v>
      </c>
      <c r="J32" s="297">
        <v>0</v>
      </c>
      <c r="K32" s="298">
        <v>0</v>
      </c>
      <c r="L32" s="297">
        <v>7</v>
      </c>
      <c r="M32" s="298">
        <v>3.6650000000000002E-2</v>
      </c>
      <c r="N32" s="297">
        <v>23</v>
      </c>
      <c r="O32" s="298">
        <v>0.12042</v>
      </c>
      <c r="P32" s="297">
        <v>147</v>
      </c>
      <c r="Q32" s="298">
        <v>0.76963000000000004</v>
      </c>
      <c r="R32" s="297">
        <v>9</v>
      </c>
      <c r="S32" s="298">
        <v>4.7120000000000002E-2</v>
      </c>
      <c r="T32" s="297">
        <v>4</v>
      </c>
      <c r="U32" s="297">
        <v>5</v>
      </c>
      <c r="V32" s="297">
        <v>10</v>
      </c>
      <c r="W32" s="297">
        <v>9</v>
      </c>
      <c r="X32" s="297">
        <v>24</v>
      </c>
      <c r="Y32" s="297">
        <v>9</v>
      </c>
      <c r="Z32" s="297">
        <v>14</v>
      </c>
      <c r="AA32" s="297">
        <v>14</v>
      </c>
      <c r="AB32" s="297">
        <v>20</v>
      </c>
      <c r="AC32" s="297">
        <v>10</v>
      </c>
      <c r="AD32" s="297">
        <v>21</v>
      </c>
      <c r="AE32" s="297">
        <v>18</v>
      </c>
      <c r="AF32" s="297">
        <v>33</v>
      </c>
    </row>
    <row r="33" spans="1:32" x14ac:dyDescent="0.35">
      <c r="A33" s="296" t="s">
        <v>490</v>
      </c>
      <c r="B33" s="296">
        <v>1945</v>
      </c>
      <c r="C33" s="296" t="s">
        <v>51</v>
      </c>
      <c r="D33" s="297">
        <v>658</v>
      </c>
      <c r="E33" s="297">
        <v>689</v>
      </c>
      <c r="F33" s="297">
        <v>7</v>
      </c>
      <c r="G33" s="298">
        <v>1.0160000000000001E-2</v>
      </c>
      <c r="H33" s="297">
        <v>1</v>
      </c>
      <c r="I33" s="298">
        <v>1.4499999999999999E-3</v>
      </c>
      <c r="J33" s="297">
        <v>1</v>
      </c>
      <c r="K33" s="298">
        <v>1.4499999999999999E-3</v>
      </c>
      <c r="L33" s="297">
        <v>0</v>
      </c>
      <c r="M33" s="298">
        <v>0</v>
      </c>
      <c r="N33" s="297">
        <v>67</v>
      </c>
      <c r="O33" s="298">
        <v>9.7239999999999993E-2</v>
      </c>
      <c r="P33" s="297">
        <v>559</v>
      </c>
      <c r="Q33" s="298">
        <v>0.81132000000000004</v>
      </c>
      <c r="R33" s="297">
        <v>54</v>
      </c>
      <c r="S33" s="298">
        <v>7.8369999999999995E-2</v>
      </c>
      <c r="T33" s="297">
        <v>45</v>
      </c>
      <c r="U33" s="297">
        <v>68</v>
      </c>
      <c r="V33" s="297">
        <v>60</v>
      </c>
      <c r="W33" s="297">
        <v>62</v>
      </c>
      <c r="X33" s="297">
        <v>55</v>
      </c>
      <c r="Y33" s="297">
        <v>57</v>
      </c>
      <c r="Z33" s="297">
        <v>50</v>
      </c>
      <c r="AA33" s="297">
        <v>51</v>
      </c>
      <c r="AB33" s="297">
        <v>58</v>
      </c>
      <c r="AC33" s="297">
        <v>53</v>
      </c>
      <c r="AD33" s="297">
        <v>40</v>
      </c>
      <c r="AE33" s="297">
        <v>35</v>
      </c>
      <c r="AF33" s="297">
        <v>55</v>
      </c>
    </row>
    <row r="34" spans="1:32" x14ac:dyDescent="0.35">
      <c r="A34" s="296" t="s">
        <v>440</v>
      </c>
      <c r="B34" s="296">
        <v>1927</v>
      </c>
      <c r="C34" s="296" t="s">
        <v>52</v>
      </c>
      <c r="D34" s="297">
        <v>473</v>
      </c>
      <c r="E34" s="297">
        <v>619</v>
      </c>
      <c r="F34" s="297">
        <v>3</v>
      </c>
      <c r="G34" s="298">
        <v>4.8500000000000001E-3</v>
      </c>
      <c r="H34" s="297">
        <v>10</v>
      </c>
      <c r="I34" s="298">
        <v>1.6160000000000001E-2</v>
      </c>
      <c r="J34" s="297">
        <v>2</v>
      </c>
      <c r="K34" s="298">
        <v>3.2299999999999998E-3</v>
      </c>
      <c r="L34" s="297">
        <v>3</v>
      </c>
      <c r="M34" s="298">
        <v>4.8500000000000001E-3</v>
      </c>
      <c r="N34" s="297">
        <v>41</v>
      </c>
      <c r="O34" s="298">
        <v>6.6239999999999993E-2</v>
      </c>
      <c r="P34" s="297">
        <v>535</v>
      </c>
      <c r="Q34" s="298">
        <v>0.86429999999999996</v>
      </c>
      <c r="R34" s="297">
        <v>25</v>
      </c>
      <c r="S34" s="298">
        <v>4.0390000000000002E-2</v>
      </c>
      <c r="T34" s="297">
        <v>33</v>
      </c>
      <c r="U34" s="297">
        <v>30</v>
      </c>
      <c r="V34" s="297">
        <v>34</v>
      </c>
      <c r="W34" s="297">
        <v>30</v>
      </c>
      <c r="X34" s="297">
        <v>37</v>
      </c>
      <c r="Y34" s="297">
        <v>36</v>
      </c>
      <c r="Z34" s="297">
        <v>37</v>
      </c>
      <c r="AA34" s="297">
        <v>42</v>
      </c>
      <c r="AB34" s="297">
        <v>50</v>
      </c>
      <c r="AC34" s="297">
        <v>55</v>
      </c>
      <c r="AD34" s="297">
        <v>72</v>
      </c>
      <c r="AE34" s="297">
        <v>75</v>
      </c>
      <c r="AF34" s="297">
        <v>88</v>
      </c>
    </row>
    <row r="35" spans="1:32" x14ac:dyDescent="0.35">
      <c r="A35" s="296" t="s">
        <v>309</v>
      </c>
      <c r="B35" s="296">
        <v>2006</v>
      </c>
      <c r="C35" s="296" t="s">
        <v>53</v>
      </c>
      <c r="D35" s="297">
        <v>129</v>
      </c>
      <c r="E35" s="297">
        <v>122</v>
      </c>
      <c r="F35" s="297">
        <v>0</v>
      </c>
      <c r="G35" s="298">
        <v>0</v>
      </c>
      <c r="H35" s="297">
        <v>0</v>
      </c>
      <c r="I35" s="298">
        <v>0</v>
      </c>
      <c r="J35" s="297">
        <v>0</v>
      </c>
      <c r="K35" s="298">
        <v>0</v>
      </c>
      <c r="L35" s="297">
        <v>0</v>
      </c>
      <c r="M35" s="298">
        <v>0</v>
      </c>
      <c r="N35" s="297">
        <v>9</v>
      </c>
      <c r="O35" s="298">
        <v>7.3770000000000002E-2</v>
      </c>
      <c r="P35" s="297">
        <v>108</v>
      </c>
      <c r="Q35" s="298">
        <v>0.88524999999999998</v>
      </c>
      <c r="R35" s="297">
        <v>5</v>
      </c>
      <c r="S35" s="298">
        <v>4.0980000000000003E-2</v>
      </c>
      <c r="T35" s="297">
        <v>6</v>
      </c>
      <c r="U35" s="297">
        <v>9</v>
      </c>
      <c r="V35" s="297">
        <v>6</v>
      </c>
      <c r="W35" s="297">
        <v>8</v>
      </c>
      <c r="X35" s="297">
        <v>9</v>
      </c>
      <c r="Y35" s="297">
        <v>13</v>
      </c>
      <c r="Z35" s="297">
        <v>5</v>
      </c>
      <c r="AA35" s="297">
        <v>13</v>
      </c>
      <c r="AB35" s="297">
        <v>12</v>
      </c>
      <c r="AC35" s="297">
        <v>12</v>
      </c>
      <c r="AD35" s="297">
        <v>15</v>
      </c>
      <c r="AE35" s="297">
        <v>7</v>
      </c>
      <c r="AF35" s="297">
        <v>7</v>
      </c>
    </row>
    <row r="36" spans="1:32" x14ac:dyDescent="0.35">
      <c r="A36" s="296" t="s">
        <v>365</v>
      </c>
      <c r="B36" s="296">
        <v>1965</v>
      </c>
      <c r="C36" s="296" t="s">
        <v>54</v>
      </c>
      <c r="D36" s="297">
        <v>3024</v>
      </c>
      <c r="E36" s="297">
        <v>3080</v>
      </c>
      <c r="F36" s="297">
        <v>93</v>
      </c>
      <c r="G36" s="298">
        <v>3.0190000000000002E-2</v>
      </c>
      <c r="H36" s="297">
        <v>20</v>
      </c>
      <c r="I36" s="298">
        <v>6.4900000000000001E-3</v>
      </c>
      <c r="J36" s="297">
        <v>16</v>
      </c>
      <c r="K36" s="298">
        <v>5.1900000000000002E-3</v>
      </c>
      <c r="L36" s="297">
        <v>20</v>
      </c>
      <c r="M36" s="298">
        <v>6.4900000000000001E-3</v>
      </c>
      <c r="N36" s="297">
        <v>449</v>
      </c>
      <c r="O36" s="298">
        <v>0.14577999999999999</v>
      </c>
      <c r="P36" s="297">
        <v>2230</v>
      </c>
      <c r="Q36" s="298">
        <v>0.72402999999999995</v>
      </c>
      <c r="R36" s="297">
        <v>252</v>
      </c>
      <c r="S36" s="298">
        <v>8.1820000000000004E-2</v>
      </c>
      <c r="T36" s="297">
        <v>240</v>
      </c>
      <c r="U36" s="297">
        <v>225</v>
      </c>
      <c r="V36" s="297">
        <v>226</v>
      </c>
      <c r="W36" s="297">
        <v>266</v>
      </c>
      <c r="X36" s="297">
        <v>230</v>
      </c>
      <c r="Y36" s="297">
        <v>237</v>
      </c>
      <c r="Z36" s="297">
        <v>233</v>
      </c>
      <c r="AA36" s="297">
        <v>244</v>
      </c>
      <c r="AB36" s="297">
        <v>241</v>
      </c>
      <c r="AC36" s="297">
        <v>237</v>
      </c>
      <c r="AD36" s="297">
        <v>238</v>
      </c>
      <c r="AE36" s="297">
        <v>221</v>
      </c>
      <c r="AF36" s="297">
        <v>242</v>
      </c>
    </row>
    <row r="37" spans="1:32" x14ac:dyDescent="0.35">
      <c r="A37" s="296" t="s">
        <v>365</v>
      </c>
      <c r="B37" s="296">
        <v>1964</v>
      </c>
      <c r="C37" s="296" t="s">
        <v>55</v>
      </c>
      <c r="D37" s="297">
        <v>1246</v>
      </c>
      <c r="E37" s="297">
        <v>1228</v>
      </c>
      <c r="F37" s="297">
        <v>21</v>
      </c>
      <c r="G37" s="298">
        <v>1.7100000000000001E-2</v>
      </c>
      <c r="H37" s="297">
        <v>3</v>
      </c>
      <c r="I37" s="298">
        <v>2.4399999999999999E-3</v>
      </c>
      <c r="J37" s="297">
        <v>3</v>
      </c>
      <c r="K37" s="298">
        <v>2.4399999999999999E-3</v>
      </c>
      <c r="L37" s="297">
        <v>4</v>
      </c>
      <c r="M37" s="298">
        <v>3.2599999999999999E-3</v>
      </c>
      <c r="N37" s="297">
        <v>123</v>
      </c>
      <c r="O37" s="298">
        <v>0.10016</v>
      </c>
      <c r="P37" s="297">
        <v>969</v>
      </c>
      <c r="Q37" s="298">
        <v>0.78908999999999996</v>
      </c>
      <c r="R37" s="297">
        <v>105</v>
      </c>
      <c r="S37" s="298">
        <v>8.5500000000000007E-2</v>
      </c>
      <c r="T37" s="297">
        <v>66</v>
      </c>
      <c r="U37" s="297">
        <v>84</v>
      </c>
      <c r="V37" s="297">
        <v>74</v>
      </c>
      <c r="W37" s="297">
        <v>88</v>
      </c>
      <c r="X37" s="297">
        <v>64</v>
      </c>
      <c r="Y37" s="297">
        <v>86</v>
      </c>
      <c r="Z37" s="297">
        <v>74</v>
      </c>
      <c r="AA37" s="297">
        <v>100</v>
      </c>
      <c r="AB37" s="297">
        <v>100</v>
      </c>
      <c r="AC37" s="297">
        <v>110</v>
      </c>
      <c r="AD37" s="297">
        <v>112</v>
      </c>
      <c r="AE37" s="297">
        <v>121</v>
      </c>
      <c r="AF37" s="297">
        <v>149</v>
      </c>
    </row>
    <row r="38" spans="1:32" x14ac:dyDescent="0.35">
      <c r="A38" s="296" t="s">
        <v>456</v>
      </c>
      <c r="B38" s="296">
        <v>2186</v>
      </c>
      <c r="C38" s="296" t="s">
        <v>56</v>
      </c>
      <c r="D38" s="297">
        <v>1037</v>
      </c>
      <c r="E38" s="297">
        <v>1055</v>
      </c>
      <c r="F38" s="297">
        <v>11</v>
      </c>
      <c r="G38" s="298">
        <v>1.043E-2</v>
      </c>
      <c r="H38" s="297">
        <v>9</v>
      </c>
      <c r="I38" s="298">
        <v>8.5299999999999994E-3</v>
      </c>
      <c r="J38" s="297">
        <v>0</v>
      </c>
      <c r="K38" s="298">
        <v>0</v>
      </c>
      <c r="L38" s="297">
        <v>5</v>
      </c>
      <c r="M38" s="298">
        <v>4.7400000000000003E-3</v>
      </c>
      <c r="N38" s="297">
        <v>98</v>
      </c>
      <c r="O38" s="298">
        <v>9.289E-2</v>
      </c>
      <c r="P38" s="297">
        <v>833</v>
      </c>
      <c r="Q38" s="298">
        <v>0.78956999999999999</v>
      </c>
      <c r="R38" s="297">
        <v>99</v>
      </c>
      <c r="S38" s="298">
        <v>9.3840000000000007E-2</v>
      </c>
      <c r="T38" s="297">
        <v>68</v>
      </c>
      <c r="U38" s="297">
        <v>75</v>
      </c>
      <c r="V38" s="297">
        <v>91</v>
      </c>
      <c r="W38" s="297">
        <v>69</v>
      </c>
      <c r="X38" s="297">
        <v>82</v>
      </c>
      <c r="Y38" s="297">
        <v>81</v>
      </c>
      <c r="Z38" s="297">
        <v>78</v>
      </c>
      <c r="AA38" s="297">
        <v>96</v>
      </c>
      <c r="AB38" s="297">
        <v>91</v>
      </c>
      <c r="AC38" s="297">
        <v>88</v>
      </c>
      <c r="AD38" s="297">
        <v>87</v>
      </c>
      <c r="AE38" s="297">
        <v>76</v>
      </c>
      <c r="AF38" s="297">
        <v>73</v>
      </c>
    </row>
    <row r="39" spans="1:32" x14ac:dyDescent="0.35">
      <c r="A39" s="296" t="s">
        <v>289</v>
      </c>
      <c r="B39" s="296">
        <v>1901</v>
      </c>
      <c r="C39" s="296" t="s">
        <v>58</v>
      </c>
      <c r="D39" s="297">
        <v>6377</v>
      </c>
      <c r="E39" s="297">
        <v>6362</v>
      </c>
      <c r="F39" s="297">
        <v>44</v>
      </c>
      <c r="G39" s="298">
        <v>6.9199999999999999E-3</v>
      </c>
      <c r="H39" s="297">
        <v>288</v>
      </c>
      <c r="I39" s="298">
        <v>4.5269999999999998E-2</v>
      </c>
      <c r="J39" s="297">
        <v>25</v>
      </c>
      <c r="K39" s="298">
        <v>3.9300000000000003E-3</v>
      </c>
      <c r="L39" s="297">
        <v>95</v>
      </c>
      <c r="M39" s="298">
        <v>1.4930000000000001E-2</v>
      </c>
      <c r="N39" s="297">
        <v>1162</v>
      </c>
      <c r="O39" s="298">
        <v>0.18265000000000001</v>
      </c>
      <c r="P39" s="297">
        <v>4155</v>
      </c>
      <c r="Q39" s="298">
        <v>0.65310000000000001</v>
      </c>
      <c r="R39" s="297">
        <v>593</v>
      </c>
      <c r="S39" s="298">
        <v>9.3210000000000001E-2</v>
      </c>
      <c r="T39" s="297">
        <v>396</v>
      </c>
      <c r="U39" s="297">
        <v>444</v>
      </c>
      <c r="V39" s="297">
        <v>435</v>
      </c>
      <c r="W39" s="297">
        <v>440</v>
      </c>
      <c r="X39" s="297">
        <v>420</v>
      </c>
      <c r="Y39" s="297">
        <v>473</v>
      </c>
      <c r="Z39" s="297">
        <v>532</v>
      </c>
      <c r="AA39" s="297">
        <v>469</v>
      </c>
      <c r="AB39" s="297">
        <v>493</v>
      </c>
      <c r="AC39" s="297">
        <v>572</v>
      </c>
      <c r="AD39" s="297">
        <v>574</v>
      </c>
      <c r="AE39" s="297">
        <v>542</v>
      </c>
      <c r="AF39" s="297">
        <v>572</v>
      </c>
    </row>
    <row r="40" spans="1:32" x14ac:dyDescent="0.35">
      <c r="A40" s="296" t="s">
        <v>531</v>
      </c>
      <c r="B40" s="296">
        <v>2216</v>
      </c>
      <c r="C40" s="296" t="s">
        <v>59</v>
      </c>
      <c r="D40" s="297">
        <v>289</v>
      </c>
      <c r="E40" s="297">
        <v>298</v>
      </c>
      <c r="F40" s="297">
        <v>0</v>
      </c>
      <c r="G40" s="298">
        <v>0</v>
      </c>
      <c r="H40" s="297">
        <v>1</v>
      </c>
      <c r="I40" s="298">
        <v>3.3600000000000001E-3</v>
      </c>
      <c r="J40" s="297">
        <v>0</v>
      </c>
      <c r="K40" s="298">
        <v>0</v>
      </c>
      <c r="L40" s="297">
        <v>1</v>
      </c>
      <c r="M40" s="298">
        <v>3.3600000000000001E-3</v>
      </c>
      <c r="N40" s="297">
        <v>20</v>
      </c>
      <c r="O40" s="298">
        <v>6.7110000000000003E-2</v>
      </c>
      <c r="P40" s="297">
        <v>263</v>
      </c>
      <c r="Q40" s="298">
        <v>0.88254999999999995</v>
      </c>
      <c r="R40" s="297">
        <v>13</v>
      </c>
      <c r="S40" s="298">
        <v>4.3619999999999999E-2</v>
      </c>
      <c r="T40" s="297">
        <v>13</v>
      </c>
      <c r="U40" s="297">
        <v>21</v>
      </c>
      <c r="V40" s="297">
        <v>20</v>
      </c>
      <c r="W40" s="297">
        <v>24</v>
      </c>
      <c r="X40" s="297">
        <v>21</v>
      </c>
      <c r="Y40" s="297">
        <v>20</v>
      </c>
      <c r="Z40" s="297">
        <v>23</v>
      </c>
      <c r="AA40" s="297">
        <v>18</v>
      </c>
      <c r="AB40" s="297">
        <v>27</v>
      </c>
      <c r="AC40" s="297">
        <v>28</v>
      </c>
      <c r="AD40" s="297">
        <v>25</v>
      </c>
      <c r="AE40" s="297">
        <v>31</v>
      </c>
      <c r="AF40" s="297">
        <v>27</v>
      </c>
    </row>
    <row r="41" spans="1:32" x14ac:dyDescent="0.35">
      <c r="A41" s="296" t="s">
        <v>390</v>
      </c>
      <c r="B41" s="296">
        <v>2086</v>
      </c>
      <c r="C41" s="296" t="s">
        <v>60</v>
      </c>
      <c r="D41" s="297">
        <v>1094</v>
      </c>
      <c r="E41" s="297">
        <v>1141</v>
      </c>
      <c r="F41" s="297">
        <v>21</v>
      </c>
      <c r="G41" s="298">
        <v>1.84E-2</v>
      </c>
      <c r="H41" s="297">
        <v>13</v>
      </c>
      <c r="I41" s="298">
        <v>1.1390000000000001E-2</v>
      </c>
      <c r="J41" s="297">
        <v>4</v>
      </c>
      <c r="K41" s="298">
        <v>3.5100000000000001E-3</v>
      </c>
      <c r="L41" s="297">
        <v>8</v>
      </c>
      <c r="M41" s="298">
        <v>7.0099999999999997E-3</v>
      </c>
      <c r="N41" s="297">
        <v>178</v>
      </c>
      <c r="O41" s="298">
        <v>0.156</v>
      </c>
      <c r="P41" s="297">
        <v>846</v>
      </c>
      <c r="Q41" s="298">
        <v>0.74145000000000005</v>
      </c>
      <c r="R41" s="297">
        <v>71</v>
      </c>
      <c r="S41" s="298">
        <v>6.2230000000000001E-2</v>
      </c>
      <c r="T41" s="297">
        <v>68</v>
      </c>
      <c r="U41" s="297">
        <v>82</v>
      </c>
      <c r="V41" s="297">
        <v>84</v>
      </c>
      <c r="W41" s="297">
        <v>94</v>
      </c>
      <c r="X41" s="297">
        <v>82</v>
      </c>
      <c r="Y41" s="297">
        <v>100</v>
      </c>
      <c r="Z41" s="297">
        <v>80</v>
      </c>
      <c r="AA41" s="297">
        <v>88</v>
      </c>
      <c r="AB41" s="297">
        <v>100</v>
      </c>
      <c r="AC41" s="297">
        <v>100</v>
      </c>
      <c r="AD41" s="297">
        <v>88</v>
      </c>
      <c r="AE41" s="297">
        <v>100</v>
      </c>
      <c r="AF41" s="297">
        <v>75</v>
      </c>
    </row>
    <row r="42" spans="1:32" x14ac:dyDescent="0.35">
      <c r="A42" s="296" t="s">
        <v>548</v>
      </c>
      <c r="B42" s="296">
        <v>1970</v>
      </c>
      <c r="C42" s="296" t="s">
        <v>61</v>
      </c>
      <c r="D42" s="297">
        <v>3216</v>
      </c>
      <c r="E42" s="297">
        <v>3272</v>
      </c>
      <c r="F42" s="297">
        <v>31</v>
      </c>
      <c r="G42" s="298">
        <v>9.4699999999999993E-3</v>
      </c>
      <c r="H42" s="297">
        <v>6</v>
      </c>
      <c r="I42" s="298">
        <v>1.83E-3</v>
      </c>
      <c r="J42" s="297">
        <v>3</v>
      </c>
      <c r="K42" s="298">
        <v>9.2000000000000003E-4</v>
      </c>
      <c r="L42" s="297">
        <v>11</v>
      </c>
      <c r="M42" s="298">
        <v>3.3600000000000001E-3</v>
      </c>
      <c r="N42" s="297">
        <v>479</v>
      </c>
      <c r="O42" s="298">
        <v>0.14638999999999999</v>
      </c>
      <c r="P42" s="297">
        <v>2576</v>
      </c>
      <c r="Q42" s="298">
        <v>0.78729000000000005</v>
      </c>
      <c r="R42" s="297">
        <v>166</v>
      </c>
      <c r="S42" s="298">
        <v>5.0729999999999997E-2</v>
      </c>
      <c r="T42" s="297">
        <v>233</v>
      </c>
      <c r="U42" s="297">
        <v>255</v>
      </c>
      <c r="V42" s="297">
        <v>237</v>
      </c>
      <c r="W42" s="297">
        <v>306</v>
      </c>
      <c r="X42" s="297">
        <v>263</v>
      </c>
      <c r="Y42" s="297">
        <v>245</v>
      </c>
      <c r="Z42" s="297">
        <v>233</v>
      </c>
      <c r="AA42" s="297">
        <v>280</v>
      </c>
      <c r="AB42" s="297">
        <v>260</v>
      </c>
      <c r="AC42" s="297">
        <v>284</v>
      </c>
      <c r="AD42" s="297">
        <v>255</v>
      </c>
      <c r="AE42" s="297">
        <v>237</v>
      </c>
      <c r="AF42" s="297">
        <v>184</v>
      </c>
    </row>
    <row r="43" spans="1:32" x14ac:dyDescent="0.35">
      <c r="A43" s="296" t="s">
        <v>390</v>
      </c>
      <c r="B43" s="296">
        <v>2089</v>
      </c>
      <c r="C43" s="296" t="s">
        <v>62</v>
      </c>
      <c r="D43" s="297">
        <v>251</v>
      </c>
      <c r="E43" s="297">
        <v>271</v>
      </c>
      <c r="F43" s="297">
        <v>0</v>
      </c>
      <c r="G43" s="298">
        <v>0</v>
      </c>
      <c r="H43" s="297">
        <v>1</v>
      </c>
      <c r="I43" s="298">
        <v>3.6900000000000001E-3</v>
      </c>
      <c r="J43" s="297">
        <v>0</v>
      </c>
      <c r="K43" s="298">
        <v>0</v>
      </c>
      <c r="L43" s="297">
        <v>0</v>
      </c>
      <c r="M43" s="298">
        <v>0</v>
      </c>
      <c r="N43" s="297">
        <v>5</v>
      </c>
      <c r="O43" s="298">
        <v>1.8450000000000001E-2</v>
      </c>
      <c r="P43" s="297">
        <v>240</v>
      </c>
      <c r="Q43" s="298">
        <v>0.88561000000000001</v>
      </c>
      <c r="R43" s="297">
        <v>25</v>
      </c>
      <c r="S43" s="298">
        <v>9.2249999999999999E-2</v>
      </c>
      <c r="T43" s="297">
        <v>32</v>
      </c>
      <c r="U43" s="297">
        <v>21</v>
      </c>
      <c r="V43" s="297">
        <v>24</v>
      </c>
      <c r="W43" s="297">
        <v>26</v>
      </c>
      <c r="X43" s="297">
        <v>26</v>
      </c>
      <c r="Y43" s="297">
        <v>21</v>
      </c>
      <c r="Z43" s="297">
        <v>17</v>
      </c>
      <c r="AA43" s="297">
        <v>13</v>
      </c>
      <c r="AB43" s="297">
        <v>20</v>
      </c>
      <c r="AC43" s="297">
        <v>14</v>
      </c>
      <c r="AD43" s="297">
        <v>14</v>
      </c>
      <c r="AE43" s="297">
        <v>28</v>
      </c>
      <c r="AF43" s="297">
        <v>15</v>
      </c>
    </row>
    <row r="44" spans="1:32" x14ac:dyDescent="0.35">
      <c r="A44" s="296" t="s">
        <v>329</v>
      </c>
      <c r="B44" s="296">
        <v>2050</v>
      </c>
      <c r="C44" s="296" t="s">
        <v>63</v>
      </c>
      <c r="D44" s="297">
        <v>674</v>
      </c>
      <c r="E44" s="297">
        <v>673</v>
      </c>
      <c r="F44" s="297">
        <v>1</v>
      </c>
      <c r="G44" s="298">
        <v>1.49E-3</v>
      </c>
      <c r="H44" s="297">
        <v>1</v>
      </c>
      <c r="I44" s="298">
        <v>1.49E-3</v>
      </c>
      <c r="J44" s="297">
        <v>1</v>
      </c>
      <c r="K44" s="298">
        <v>1.49E-3</v>
      </c>
      <c r="L44" s="297">
        <v>0</v>
      </c>
      <c r="M44" s="298">
        <v>0</v>
      </c>
      <c r="N44" s="297">
        <v>201</v>
      </c>
      <c r="O44" s="298">
        <v>0.29865999999999998</v>
      </c>
      <c r="P44" s="297">
        <v>440</v>
      </c>
      <c r="Q44" s="298">
        <v>0.65378999999999998</v>
      </c>
      <c r="R44" s="297">
        <v>29</v>
      </c>
      <c r="S44" s="298">
        <v>4.3090000000000003E-2</v>
      </c>
      <c r="T44" s="297">
        <v>41</v>
      </c>
      <c r="U44" s="297">
        <v>40</v>
      </c>
      <c r="V44" s="297">
        <v>54</v>
      </c>
      <c r="W44" s="297">
        <v>50</v>
      </c>
      <c r="X44" s="297">
        <v>55</v>
      </c>
      <c r="Y44" s="297">
        <v>50</v>
      </c>
      <c r="Z44" s="297">
        <v>50</v>
      </c>
      <c r="AA44" s="297">
        <v>65</v>
      </c>
      <c r="AB44" s="297">
        <v>58</v>
      </c>
      <c r="AC44" s="297">
        <v>54</v>
      </c>
      <c r="AD44" s="297">
        <v>58</v>
      </c>
      <c r="AE44" s="297">
        <v>50</v>
      </c>
      <c r="AF44" s="297">
        <v>48</v>
      </c>
    </row>
    <row r="45" spans="1:32" x14ac:dyDescent="0.35">
      <c r="A45" s="296" t="s">
        <v>484</v>
      </c>
      <c r="B45" s="296">
        <v>2190</v>
      </c>
      <c r="C45" s="296" t="s">
        <v>64</v>
      </c>
      <c r="D45" s="297">
        <v>3051</v>
      </c>
      <c r="E45" s="297">
        <v>3052</v>
      </c>
      <c r="F45" s="297">
        <v>380</v>
      </c>
      <c r="G45" s="298">
        <v>0.12451</v>
      </c>
      <c r="H45" s="297">
        <v>49</v>
      </c>
      <c r="I45" s="298">
        <v>1.6060000000000001E-2</v>
      </c>
      <c r="J45" s="297">
        <v>10</v>
      </c>
      <c r="K45" s="298">
        <v>3.2799999999999999E-3</v>
      </c>
      <c r="L45" s="297">
        <v>21</v>
      </c>
      <c r="M45" s="298">
        <v>6.8799999999999998E-3</v>
      </c>
      <c r="N45" s="297">
        <v>159</v>
      </c>
      <c r="O45" s="298">
        <v>5.21E-2</v>
      </c>
      <c r="P45" s="297">
        <v>2394</v>
      </c>
      <c r="Q45" s="298">
        <v>0.78439999999999999</v>
      </c>
      <c r="R45" s="297">
        <v>39</v>
      </c>
      <c r="S45" s="298">
        <v>1.278E-2</v>
      </c>
      <c r="T45" s="297">
        <v>193</v>
      </c>
      <c r="U45" s="297">
        <v>242</v>
      </c>
      <c r="V45" s="297">
        <v>215</v>
      </c>
      <c r="W45" s="297">
        <v>223</v>
      </c>
      <c r="X45" s="297">
        <v>272</v>
      </c>
      <c r="Y45" s="297">
        <v>242</v>
      </c>
      <c r="Z45" s="297">
        <v>233</v>
      </c>
      <c r="AA45" s="297">
        <v>251</v>
      </c>
      <c r="AB45" s="297">
        <v>240</v>
      </c>
      <c r="AC45" s="297">
        <v>234</v>
      </c>
      <c r="AD45" s="297">
        <v>252</v>
      </c>
      <c r="AE45" s="297">
        <v>240</v>
      </c>
      <c r="AF45" s="297">
        <v>215</v>
      </c>
    </row>
    <row r="46" spans="1:32" x14ac:dyDescent="0.35">
      <c r="A46" s="296" t="s">
        <v>456</v>
      </c>
      <c r="B46" s="296">
        <v>2187</v>
      </c>
      <c r="C46" s="296" t="s">
        <v>65</v>
      </c>
      <c r="D46" s="297">
        <v>8720</v>
      </c>
      <c r="E46" s="297">
        <v>8645</v>
      </c>
      <c r="F46" s="297">
        <v>58</v>
      </c>
      <c r="G46" s="298">
        <v>6.7099999999999998E-3</v>
      </c>
      <c r="H46" s="297">
        <v>1291</v>
      </c>
      <c r="I46" s="298">
        <v>0.14932999999999999</v>
      </c>
      <c r="J46" s="297">
        <v>249</v>
      </c>
      <c r="K46" s="298">
        <v>2.8799999999999999E-2</v>
      </c>
      <c r="L46" s="297">
        <v>1105</v>
      </c>
      <c r="M46" s="298">
        <v>0.12781999999999999</v>
      </c>
      <c r="N46" s="297">
        <v>2493</v>
      </c>
      <c r="O46" s="298">
        <v>0.28837000000000002</v>
      </c>
      <c r="P46" s="297">
        <v>2801</v>
      </c>
      <c r="Q46" s="298">
        <v>0.32400000000000001</v>
      </c>
      <c r="R46" s="297">
        <v>648</v>
      </c>
      <c r="S46" s="298">
        <v>7.4959999999999999E-2</v>
      </c>
      <c r="T46" s="297">
        <v>623</v>
      </c>
      <c r="U46" s="297">
        <v>671</v>
      </c>
      <c r="V46" s="297">
        <v>593</v>
      </c>
      <c r="W46" s="297">
        <v>653</v>
      </c>
      <c r="X46" s="297">
        <v>688</v>
      </c>
      <c r="Y46" s="297">
        <v>673</v>
      </c>
      <c r="Z46" s="297">
        <v>649</v>
      </c>
      <c r="AA46" s="297">
        <v>664</v>
      </c>
      <c r="AB46" s="297">
        <v>677</v>
      </c>
      <c r="AC46" s="297">
        <v>694</v>
      </c>
      <c r="AD46" s="297">
        <v>694</v>
      </c>
      <c r="AE46" s="297">
        <v>686</v>
      </c>
      <c r="AF46" s="297">
        <v>680</v>
      </c>
    </row>
    <row r="47" spans="1:32" x14ac:dyDescent="0.35">
      <c r="A47" s="296" t="s">
        <v>295</v>
      </c>
      <c r="B47" s="296">
        <v>2253</v>
      </c>
      <c r="C47" s="296" t="s">
        <v>66</v>
      </c>
      <c r="D47" s="297">
        <v>908</v>
      </c>
      <c r="E47" s="297">
        <v>880</v>
      </c>
      <c r="F47" s="297">
        <v>15</v>
      </c>
      <c r="G47" s="298">
        <v>1.7049999999999999E-2</v>
      </c>
      <c r="H47" s="297">
        <v>2</v>
      </c>
      <c r="I47" s="298">
        <v>2.2699999999999999E-3</v>
      </c>
      <c r="J47" s="297">
        <v>0</v>
      </c>
      <c r="K47" s="298">
        <v>0</v>
      </c>
      <c r="L47" s="297">
        <v>1</v>
      </c>
      <c r="M47" s="298">
        <v>1.14E-3</v>
      </c>
      <c r="N47" s="297">
        <v>326</v>
      </c>
      <c r="O47" s="298">
        <v>0.37045</v>
      </c>
      <c r="P47" s="297">
        <v>505</v>
      </c>
      <c r="Q47" s="298">
        <v>0.57386000000000004</v>
      </c>
      <c r="R47" s="297">
        <v>31</v>
      </c>
      <c r="S47" s="298">
        <v>3.5229999999999997E-2</v>
      </c>
      <c r="T47" s="297">
        <v>60</v>
      </c>
      <c r="U47" s="297">
        <v>46</v>
      </c>
      <c r="V47" s="297">
        <v>45</v>
      </c>
      <c r="W47" s="297">
        <v>53</v>
      </c>
      <c r="X47" s="297">
        <v>62</v>
      </c>
      <c r="Y47" s="297">
        <v>62</v>
      </c>
      <c r="Z47" s="297">
        <v>73</v>
      </c>
      <c r="AA47" s="297">
        <v>75</v>
      </c>
      <c r="AB47" s="297">
        <v>81</v>
      </c>
      <c r="AC47" s="297">
        <v>67</v>
      </c>
      <c r="AD47" s="297">
        <v>81</v>
      </c>
      <c r="AE47" s="297">
        <v>76</v>
      </c>
      <c r="AF47" s="297">
        <v>99</v>
      </c>
    </row>
    <row r="48" spans="1:32" x14ac:dyDescent="0.35">
      <c r="A48" s="296" t="s">
        <v>578</v>
      </c>
      <c r="B48" s="296">
        <v>2011</v>
      </c>
      <c r="C48" s="296" t="s">
        <v>67</v>
      </c>
      <c r="D48" s="297">
        <v>58</v>
      </c>
      <c r="E48" s="297">
        <v>59</v>
      </c>
      <c r="F48" s="297">
        <v>0</v>
      </c>
      <c r="G48" s="298">
        <v>0</v>
      </c>
      <c r="H48" s="297">
        <v>0</v>
      </c>
      <c r="I48" s="298">
        <v>0</v>
      </c>
      <c r="J48" s="297">
        <v>0</v>
      </c>
      <c r="K48" s="298">
        <v>0</v>
      </c>
      <c r="L48" s="297">
        <v>0</v>
      </c>
      <c r="M48" s="298">
        <v>0</v>
      </c>
      <c r="N48" s="297">
        <v>6</v>
      </c>
      <c r="O48" s="298">
        <v>0.10169</v>
      </c>
      <c r="P48" s="297">
        <v>52</v>
      </c>
      <c r="Q48" s="298">
        <v>0.88136000000000003</v>
      </c>
      <c r="R48" s="297">
        <v>1</v>
      </c>
      <c r="S48" s="298">
        <v>1.695E-2</v>
      </c>
      <c r="T48" s="297">
        <v>6</v>
      </c>
      <c r="U48" s="297">
        <v>5</v>
      </c>
      <c r="V48" s="297">
        <v>3</v>
      </c>
      <c r="W48" s="297">
        <v>6</v>
      </c>
      <c r="X48" s="297">
        <v>5</v>
      </c>
      <c r="Y48" s="297">
        <v>3</v>
      </c>
      <c r="Z48" s="297">
        <v>4</v>
      </c>
      <c r="AA48" s="297">
        <v>3</v>
      </c>
      <c r="AB48" s="297">
        <v>3</v>
      </c>
      <c r="AC48" s="297">
        <v>7</v>
      </c>
      <c r="AD48" s="297">
        <v>5</v>
      </c>
      <c r="AE48" s="297">
        <v>3</v>
      </c>
      <c r="AF48" s="297">
        <v>6</v>
      </c>
    </row>
    <row r="49" spans="1:32" x14ac:dyDescent="0.35">
      <c r="A49" s="296" t="s">
        <v>584</v>
      </c>
      <c r="B49" s="296">
        <v>2017</v>
      </c>
      <c r="C49" s="296" t="s">
        <v>68</v>
      </c>
      <c r="D49" s="297">
        <v>8</v>
      </c>
      <c r="E49" s="297">
        <v>11</v>
      </c>
      <c r="F49" s="297">
        <v>0</v>
      </c>
      <c r="G49" s="298">
        <v>0</v>
      </c>
      <c r="H49" s="297">
        <v>0</v>
      </c>
      <c r="I49" s="298">
        <v>0</v>
      </c>
      <c r="J49" s="297">
        <v>0</v>
      </c>
      <c r="K49" s="298">
        <v>0</v>
      </c>
      <c r="L49" s="297">
        <v>0</v>
      </c>
      <c r="M49" s="298">
        <v>0</v>
      </c>
      <c r="N49" s="297">
        <v>3</v>
      </c>
      <c r="O49" s="298">
        <v>0.27272999999999997</v>
      </c>
      <c r="P49" s="297">
        <v>8</v>
      </c>
      <c r="Q49" s="298">
        <v>0.72726999999999997</v>
      </c>
      <c r="R49" s="297">
        <v>0</v>
      </c>
      <c r="S49" s="298">
        <v>0</v>
      </c>
      <c r="T49" s="297">
        <v>1</v>
      </c>
      <c r="U49" s="297">
        <v>5</v>
      </c>
      <c r="V49" s="297">
        <v>1</v>
      </c>
      <c r="W49" s="297">
        <v>1</v>
      </c>
      <c r="X49" s="297">
        <v>0</v>
      </c>
      <c r="Y49" s="297">
        <v>2</v>
      </c>
      <c r="Z49" s="297">
        <v>1</v>
      </c>
      <c r="AA49" s="297">
        <v>0</v>
      </c>
      <c r="AB49" s="297">
        <v>0</v>
      </c>
      <c r="AC49" s="297">
        <v>0</v>
      </c>
      <c r="AD49" s="297">
        <v>0</v>
      </c>
      <c r="AE49" s="297">
        <v>0</v>
      </c>
      <c r="AF49" s="297">
        <v>0</v>
      </c>
    </row>
    <row r="50" spans="1:32" x14ac:dyDescent="0.35">
      <c r="A50" s="296" t="s">
        <v>584</v>
      </c>
      <c r="B50" s="296">
        <v>2021</v>
      </c>
      <c r="C50" s="296" t="s">
        <v>69</v>
      </c>
      <c r="D50" s="297">
        <v>2</v>
      </c>
      <c r="E50" s="297">
        <v>3</v>
      </c>
      <c r="F50" s="297">
        <v>0</v>
      </c>
      <c r="G50" s="298">
        <v>0</v>
      </c>
      <c r="H50" s="297">
        <v>0</v>
      </c>
      <c r="I50" s="298">
        <v>0</v>
      </c>
      <c r="J50" s="297">
        <v>0</v>
      </c>
      <c r="K50" s="298">
        <v>0</v>
      </c>
      <c r="L50" s="297">
        <v>0</v>
      </c>
      <c r="M50" s="298">
        <v>0</v>
      </c>
      <c r="N50" s="297">
        <v>0</v>
      </c>
      <c r="O50" s="298">
        <v>0</v>
      </c>
      <c r="P50" s="297">
        <v>3</v>
      </c>
      <c r="Q50" s="298">
        <v>1</v>
      </c>
      <c r="R50" s="297">
        <v>0</v>
      </c>
      <c r="S50" s="298">
        <v>0</v>
      </c>
      <c r="T50" s="297">
        <v>1</v>
      </c>
      <c r="U50" s="297">
        <v>0</v>
      </c>
      <c r="V50" s="297">
        <v>0</v>
      </c>
      <c r="W50" s="297">
        <v>1</v>
      </c>
      <c r="X50" s="297">
        <v>0</v>
      </c>
      <c r="Y50" s="297">
        <v>1</v>
      </c>
      <c r="Z50" s="297">
        <v>0</v>
      </c>
      <c r="AA50" s="297">
        <v>0</v>
      </c>
      <c r="AB50" s="297">
        <v>0</v>
      </c>
      <c r="AC50" s="297">
        <v>0</v>
      </c>
      <c r="AD50" s="297">
        <v>0</v>
      </c>
      <c r="AE50" s="297">
        <v>0</v>
      </c>
      <c r="AF50" s="297">
        <v>0</v>
      </c>
    </row>
    <row r="51" spans="1:32" x14ac:dyDescent="0.35">
      <c r="A51" s="296" t="s">
        <v>431</v>
      </c>
      <c r="B51" s="296">
        <v>1993</v>
      </c>
      <c r="C51" s="296" t="s">
        <v>70</v>
      </c>
      <c r="D51" s="297">
        <v>218</v>
      </c>
      <c r="E51" s="297">
        <v>236</v>
      </c>
      <c r="F51" s="297">
        <v>11</v>
      </c>
      <c r="G51" s="298">
        <v>4.6609999999999999E-2</v>
      </c>
      <c r="H51" s="297">
        <v>0</v>
      </c>
      <c r="I51" s="298">
        <v>0</v>
      </c>
      <c r="J51" s="297">
        <v>1</v>
      </c>
      <c r="K51" s="298">
        <v>4.2399999999999998E-3</v>
      </c>
      <c r="L51" s="297">
        <v>0</v>
      </c>
      <c r="M51" s="298">
        <v>0</v>
      </c>
      <c r="N51" s="297">
        <v>19</v>
      </c>
      <c r="O51" s="298">
        <v>8.0509999999999998E-2</v>
      </c>
      <c r="P51" s="297">
        <v>184</v>
      </c>
      <c r="Q51" s="298">
        <v>0.77966000000000002</v>
      </c>
      <c r="R51" s="297">
        <v>21</v>
      </c>
      <c r="S51" s="298">
        <v>8.8980000000000004E-2</v>
      </c>
      <c r="T51" s="297">
        <v>16</v>
      </c>
      <c r="U51" s="297">
        <v>18</v>
      </c>
      <c r="V51" s="297">
        <v>10</v>
      </c>
      <c r="W51" s="297">
        <v>17</v>
      </c>
      <c r="X51" s="297">
        <v>23</v>
      </c>
      <c r="Y51" s="297">
        <v>22</v>
      </c>
      <c r="Z51" s="297">
        <v>18</v>
      </c>
      <c r="AA51" s="297">
        <v>18</v>
      </c>
      <c r="AB51" s="297">
        <v>20</v>
      </c>
      <c r="AC51" s="297">
        <v>16</v>
      </c>
      <c r="AD51" s="297">
        <v>20</v>
      </c>
      <c r="AE51" s="297">
        <v>18</v>
      </c>
      <c r="AF51" s="297">
        <v>20</v>
      </c>
    </row>
    <row r="52" spans="1:32" x14ac:dyDescent="0.35">
      <c r="A52" s="296" t="s">
        <v>431</v>
      </c>
      <c r="B52" s="296">
        <v>1991</v>
      </c>
      <c r="C52" s="296" t="s">
        <v>71</v>
      </c>
      <c r="D52" s="297">
        <v>5678</v>
      </c>
      <c r="E52" s="297">
        <v>5737</v>
      </c>
      <c r="F52" s="297">
        <v>79</v>
      </c>
      <c r="G52" s="298">
        <v>1.3769999999999999E-2</v>
      </c>
      <c r="H52" s="297">
        <v>67</v>
      </c>
      <c r="I52" s="298">
        <v>1.1679999999999999E-2</v>
      </c>
      <c r="J52" s="297">
        <v>10</v>
      </c>
      <c r="K52" s="298">
        <v>1.74E-3</v>
      </c>
      <c r="L52" s="297">
        <v>32</v>
      </c>
      <c r="M52" s="298">
        <v>5.5799999999999999E-3</v>
      </c>
      <c r="N52" s="297">
        <v>719</v>
      </c>
      <c r="O52" s="298">
        <v>0.12533</v>
      </c>
      <c r="P52" s="297">
        <v>4429</v>
      </c>
      <c r="Q52" s="298">
        <v>0.77200999999999997</v>
      </c>
      <c r="R52" s="297">
        <v>401</v>
      </c>
      <c r="S52" s="298">
        <v>6.9900000000000004E-2</v>
      </c>
      <c r="T52" s="297">
        <v>406</v>
      </c>
      <c r="U52" s="297">
        <v>428</v>
      </c>
      <c r="V52" s="297">
        <v>433</v>
      </c>
      <c r="W52" s="297">
        <v>451</v>
      </c>
      <c r="X52" s="297">
        <v>441</v>
      </c>
      <c r="Y52" s="297">
        <v>471</v>
      </c>
      <c r="Z52" s="297">
        <v>421</v>
      </c>
      <c r="AA52" s="297">
        <v>390</v>
      </c>
      <c r="AB52" s="297">
        <v>457</v>
      </c>
      <c r="AC52" s="297">
        <v>479</v>
      </c>
      <c r="AD52" s="297">
        <v>478</v>
      </c>
      <c r="AE52" s="297">
        <v>457</v>
      </c>
      <c r="AF52" s="297">
        <v>425</v>
      </c>
    </row>
    <row r="53" spans="1:32" hidden="1" x14ac:dyDescent="0.35">
      <c r="A53" s="296" t="s">
        <v>431</v>
      </c>
      <c r="B53" s="296">
        <v>1980</v>
      </c>
      <c r="C53" s="296" t="s">
        <v>432</v>
      </c>
      <c r="D53" s="297">
        <v>17</v>
      </c>
      <c r="E53" s="297">
        <v>15</v>
      </c>
      <c r="F53" s="297">
        <v>0</v>
      </c>
      <c r="G53" s="298">
        <v>0</v>
      </c>
      <c r="H53" s="297">
        <v>0</v>
      </c>
      <c r="I53" s="298">
        <v>0</v>
      </c>
      <c r="J53" s="297">
        <v>0</v>
      </c>
      <c r="K53" s="298">
        <v>0</v>
      </c>
      <c r="L53" s="297">
        <v>0</v>
      </c>
      <c r="M53" s="298">
        <v>0</v>
      </c>
      <c r="N53" s="297">
        <v>4</v>
      </c>
      <c r="O53" s="298">
        <v>0.26667000000000002</v>
      </c>
      <c r="P53" s="297">
        <v>11</v>
      </c>
      <c r="Q53" s="298">
        <v>0.73333000000000004</v>
      </c>
      <c r="R53" s="297">
        <v>0</v>
      </c>
      <c r="S53" s="298">
        <v>0</v>
      </c>
      <c r="T53" s="297">
        <v>1</v>
      </c>
      <c r="U53" s="297">
        <v>1</v>
      </c>
      <c r="V53" s="297">
        <v>0</v>
      </c>
      <c r="W53" s="297">
        <v>0</v>
      </c>
      <c r="X53" s="297">
        <v>0</v>
      </c>
      <c r="Y53" s="297">
        <v>0</v>
      </c>
      <c r="Z53" s="297">
        <v>0</v>
      </c>
      <c r="AA53" s="297">
        <v>0</v>
      </c>
      <c r="AB53" s="297">
        <v>4</v>
      </c>
      <c r="AC53" s="297">
        <v>3</v>
      </c>
      <c r="AD53" s="297">
        <v>4</v>
      </c>
      <c r="AE53" s="297">
        <v>1</v>
      </c>
      <c r="AF53" s="297">
        <v>1</v>
      </c>
    </row>
    <row r="54" spans="1:32" x14ac:dyDescent="0.35">
      <c r="A54" s="296" t="s">
        <v>584</v>
      </c>
      <c r="B54" s="296">
        <v>2019</v>
      </c>
      <c r="C54" s="296" t="s">
        <v>72</v>
      </c>
      <c r="D54" s="297">
        <v>15</v>
      </c>
      <c r="E54" s="297">
        <v>10</v>
      </c>
      <c r="F54" s="297">
        <v>0</v>
      </c>
      <c r="G54" s="298">
        <v>0</v>
      </c>
      <c r="H54" s="297">
        <v>0</v>
      </c>
      <c r="I54" s="298">
        <v>0</v>
      </c>
      <c r="J54" s="297">
        <v>0</v>
      </c>
      <c r="K54" s="298">
        <v>0</v>
      </c>
      <c r="L54" s="297">
        <v>0</v>
      </c>
      <c r="M54" s="298">
        <v>0</v>
      </c>
      <c r="N54" s="297">
        <v>0</v>
      </c>
      <c r="O54" s="298">
        <v>0</v>
      </c>
      <c r="P54" s="297">
        <v>10</v>
      </c>
      <c r="Q54" s="298">
        <v>1</v>
      </c>
      <c r="R54" s="297">
        <v>0</v>
      </c>
      <c r="S54" s="298">
        <v>0</v>
      </c>
      <c r="T54" s="297">
        <v>0</v>
      </c>
      <c r="U54" s="297">
        <v>3</v>
      </c>
      <c r="V54" s="297">
        <v>0</v>
      </c>
      <c r="W54" s="297">
        <v>1</v>
      </c>
      <c r="X54" s="297">
        <v>2</v>
      </c>
      <c r="Y54" s="297">
        <v>1</v>
      </c>
      <c r="Z54" s="297">
        <v>2</v>
      </c>
      <c r="AA54" s="297">
        <v>1</v>
      </c>
      <c r="AB54" s="297">
        <v>0</v>
      </c>
      <c r="AC54" s="297">
        <v>0</v>
      </c>
      <c r="AD54" s="297">
        <v>0</v>
      </c>
      <c r="AE54" s="297">
        <v>0</v>
      </c>
      <c r="AF54" s="297">
        <v>0</v>
      </c>
    </row>
    <row r="55" spans="1:32" x14ac:dyDescent="0.35">
      <c r="A55" s="296" t="s">
        <v>612</v>
      </c>
      <c r="B55" s="296">
        <v>2229</v>
      </c>
      <c r="C55" s="296" t="s">
        <v>73</v>
      </c>
      <c r="D55" s="297">
        <v>356</v>
      </c>
      <c r="E55" s="297">
        <v>329</v>
      </c>
      <c r="F55" s="297">
        <v>33</v>
      </c>
      <c r="G55" s="298">
        <v>0.1003</v>
      </c>
      <c r="H55" s="297">
        <v>0</v>
      </c>
      <c r="I55" s="298">
        <v>0</v>
      </c>
      <c r="J55" s="297">
        <v>0</v>
      </c>
      <c r="K55" s="298">
        <v>0</v>
      </c>
      <c r="L55" s="297">
        <v>0</v>
      </c>
      <c r="M55" s="298">
        <v>0</v>
      </c>
      <c r="N55" s="297">
        <v>24</v>
      </c>
      <c r="O55" s="298">
        <v>7.2950000000000001E-2</v>
      </c>
      <c r="P55" s="297">
        <v>249</v>
      </c>
      <c r="Q55" s="298">
        <v>0.75683999999999996</v>
      </c>
      <c r="R55" s="297">
        <v>23</v>
      </c>
      <c r="S55" s="298">
        <v>6.991E-2</v>
      </c>
      <c r="T55" s="297">
        <v>20</v>
      </c>
      <c r="U55" s="297">
        <v>32</v>
      </c>
      <c r="V55" s="297">
        <v>22</v>
      </c>
      <c r="W55" s="297">
        <v>36</v>
      </c>
      <c r="X55" s="297">
        <v>29</v>
      </c>
      <c r="Y55" s="297">
        <v>24</v>
      </c>
      <c r="Z55" s="297">
        <v>27</v>
      </c>
      <c r="AA55" s="297">
        <v>24</v>
      </c>
      <c r="AB55" s="297">
        <v>29</v>
      </c>
      <c r="AC55" s="297">
        <v>18</v>
      </c>
      <c r="AD55" s="297">
        <v>25</v>
      </c>
      <c r="AE55" s="297">
        <v>20</v>
      </c>
      <c r="AF55" s="297">
        <v>23</v>
      </c>
    </row>
    <row r="56" spans="1:32" x14ac:dyDescent="0.35">
      <c r="A56" s="296" t="s">
        <v>318</v>
      </c>
      <c r="B56" s="296">
        <v>2043</v>
      </c>
      <c r="C56" s="296" t="s">
        <v>74</v>
      </c>
      <c r="D56" s="297">
        <v>4204</v>
      </c>
      <c r="E56" s="297">
        <v>4239</v>
      </c>
      <c r="F56" s="297">
        <v>37</v>
      </c>
      <c r="G56" s="298">
        <v>8.7299999999999999E-3</v>
      </c>
      <c r="H56" s="297">
        <v>13</v>
      </c>
      <c r="I56" s="298">
        <v>3.0699999999999998E-3</v>
      </c>
      <c r="J56" s="297">
        <v>5</v>
      </c>
      <c r="K56" s="298">
        <v>1.1800000000000001E-3</v>
      </c>
      <c r="L56" s="297">
        <v>9</v>
      </c>
      <c r="M56" s="298">
        <v>2.1199999999999999E-3</v>
      </c>
      <c r="N56" s="297">
        <v>1299</v>
      </c>
      <c r="O56" s="298">
        <v>0.30643999999999999</v>
      </c>
      <c r="P56" s="297">
        <v>2645</v>
      </c>
      <c r="Q56" s="298">
        <v>0.62397000000000002</v>
      </c>
      <c r="R56" s="297">
        <v>231</v>
      </c>
      <c r="S56" s="298">
        <v>5.4489999999999997E-2</v>
      </c>
      <c r="T56" s="297">
        <v>302</v>
      </c>
      <c r="U56" s="297">
        <v>355</v>
      </c>
      <c r="V56" s="297">
        <v>324</v>
      </c>
      <c r="W56" s="297">
        <v>328</v>
      </c>
      <c r="X56" s="297">
        <v>326</v>
      </c>
      <c r="Y56" s="297">
        <v>330</v>
      </c>
      <c r="Z56" s="297">
        <v>341</v>
      </c>
      <c r="AA56" s="297">
        <v>315</v>
      </c>
      <c r="AB56" s="297">
        <v>342</v>
      </c>
      <c r="AC56" s="297">
        <v>343</v>
      </c>
      <c r="AD56" s="297">
        <v>313</v>
      </c>
      <c r="AE56" s="297">
        <v>293</v>
      </c>
      <c r="AF56" s="297">
        <v>327</v>
      </c>
    </row>
    <row r="57" spans="1:32" x14ac:dyDescent="0.35">
      <c r="A57" s="296" t="s">
        <v>350</v>
      </c>
      <c r="B57" s="296">
        <v>2203</v>
      </c>
      <c r="C57" s="296" t="s">
        <v>75</v>
      </c>
      <c r="D57" s="297">
        <v>302</v>
      </c>
      <c r="E57" s="297">
        <v>311</v>
      </c>
      <c r="F57" s="297">
        <v>2</v>
      </c>
      <c r="G57" s="298">
        <v>6.43E-3</v>
      </c>
      <c r="H57" s="297">
        <v>0</v>
      </c>
      <c r="I57" s="298">
        <v>0</v>
      </c>
      <c r="J57" s="297">
        <v>0</v>
      </c>
      <c r="K57" s="298">
        <v>0</v>
      </c>
      <c r="L57" s="297">
        <v>0</v>
      </c>
      <c r="M57" s="298">
        <v>0</v>
      </c>
      <c r="N57" s="297">
        <v>40</v>
      </c>
      <c r="O57" s="298">
        <v>0.12862000000000001</v>
      </c>
      <c r="P57" s="297">
        <v>259</v>
      </c>
      <c r="Q57" s="298">
        <v>0.83279999999999998</v>
      </c>
      <c r="R57" s="297">
        <v>10</v>
      </c>
      <c r="S57" s="298">
        <v>3.2149999999999998E-2</v>
      </c>
      <c r="T57" s="297">
        <v>22</v>
      </c>
      <c r="U57" s="297">
        <v>20</v>
      </c>
      <c r="V57" s="297">
        <v>24</v>
      </c>
      <c r="W57" s="297">
        <v>25</v>
      </c>
      <c r="X57" s="297">
        <v>24</v>
      </c>
      <c r="Y57" s="297">
        <v>35</v>
      </c>
      <c r="Z57" s="297">
        <v>22</v>
      </c>
      <c r="AA57" s="297">
        <v>22</v>
      </c>
      <c r="AB57" s="297">
        <v>23</v>
      </c>
      <c r="AC57" s="297">
        <v>27</v>
      </c>
      <c r="AD57" s="297">
        <v>20</v>
      </c>
      <c r="AE57" s="297">
        <v>26</v>
      </c>
      <c r="AF57" s="297">
        <v>21</v>
      </c>
    </row>
    <row r="58" spans="1:32" x14ac:dyDescent="0.35">
      <c r="A58" s="296" t="s">
        <v>531</v>
      </c>
      <c r="B58" s="296">
        <v>2217</v>
      </c>
      <c r="C58" s="296" t="s">
        <v>76</v>
      </c>
      <c r="D58" s="297">
        <v>412</v>
      </c>
      <c r="E58" s="297">
        <v>405</v>
      </c>
      <c r="F58" s="297">
        <v>4</v>
      </c>
      <c r="G58" s="298">
        <v>9.8799999999999999E-3</v>
      </c>
      <c r="H58" s="297">
        <v>1</v>
      </c>
      <c r="I58" s="298">
        <v>2.47E-3</v>
      </c>
      <c r="J58" s="297">
        <v>2</v>
      </c>
      <c r="K58" s="298">
        <v>4.9399999999999999E-3</v>
      </c>
      <c r="L58" s="297">
        <v>2</v>
      </c>
      <c r="M58" s="298">
        <v>4.9399999999999999E-3</v>
      </c>
      <c r="N58" s="297">
        <v>26</v>
      </c>
      <c r="O58" s="298">
        <v>6.4199999999999993E-2</v>
      </c>
      <c r="P58" s="297">
        <v>358</v>
      </c>
      <c r="Q58" s="298">
        <v>0.88395000000000001</v>
      </c>
      <c r="R58" s="297">
        <v>12</v>
      </c>
      <c r="S58" s="298">
        <v>2.963E-2</v>
      </c>
      <c r="T58" s="297">
        <v>33</v>
      </c>
      <c r="U58" s="297">
        <v>24</v>
      </c>
      <c r="V58" s="297">
        <v>33</v>
      </c>
      <c r="W58" s="297">
        <v>39</v>
      </c>
      <c r="X58" s="297">
        <v>31</v>
      </c>
      <c r="Y58" s="297">
        <v>40</v>
      </c>
      <c r="Z58" s="297">
        <v>34</v>
      </c>
      <c r="AA58" s="297">
        <v>28</v>
      </c>
      <c r="AB58" s="297">
        <v>26</v>
      </c>
      <c r="AC58" s="297">
        <v>31</v>
      </c>
      <c r="AD58" s="297">
        <v>23</v>
      </c>
      <c r="AE58" s="297">
        <v>37</v>
      </c>
      <c r="AF58" s="297">
        <v>26</v>
      </c>
    </row>
    <row r="59" spans="1:32" x14ac:dyDescent="0.35">
      <c r="A59" s="296" t="s">
        <v>431</v>
      </c>
      <c r="B59" s="296">
        <v>1998</v>
      </c>
      <c r="C59" s="296" t="s">
        <v>77</v>
      </c>
      <c r="D59" s="297">
        <v>224</v>
      </c>
      <c r="E59" s="297">
        <v>235</v>
      </c>
      <c r="F59" s="297">
        <v>3</v>
      </c>
      <c r="G59" s="298">
        <v>1.277E-2</v>
      </c>
      <c r="H59" s="297">
        <v>3</v>
      </c>
      <c r="I59" s="298">
        <v>1.277E-2</v>
      </c>
      <c r="J59" s="297">
        <v>0</v>
      </c>
      <c r="K59" s="298">
        <v>0</v>
      </c>
      <c r="L59" s="297">
        <v>0</v>
      </c>
      <c r="M59" s="298">
        <v>0</v>
      </c>
      <c r="N59" s="297">
        <v>9</v>
      </c>
      <c r="O59" s="298">
        <v>3.8300000000000001E-2</v>
      </c>
      <c r="P59" s="297">
        <v>208</v>
      </c>
      <c r="Q59" s="298">
        <v>0.88510999999999995</v>
      </c>
      <c r="R59" s="297">
        <v>12</v>
      </c>
      <c r="S59" s="298">
        <v>5.1060000000000001E-2</v>
      </c>
      <c r="T59" s="297">
        <v>11</v>
      </c>
      <c r="U59" s="297">
        <v>16</v>
      </c>
      <c r="V59" s="297">
        <v>18</v>
      </c>
      <c r="W59" s="297">
        <v>14</v>
      </c>
      <c r="X59" s="297">
        <v>18</v>
      </c>
      <c r="Y59" s="297">
        <v>18</v>
      </c>
      <c r="Z59" s="297">
        <v>17</v>
      </c>
      <c r="AA59" s="297">
        <v>18</v>
      </c>
      <c r="AB59" s="297">
        <v>23</v>
      </c>
      <c r="AC59" s="297">
        <v>23</v>
      </c>
      <c r="AD59" s="297">
        <v>26</v>
      </c>
      <c r="AE59" s="297">
        <v>15</v>
      </c>
      <c r="AF59" s="297">
        <v>18</v>
      </c>
    </row>
    <row r="60" spans="1:32" x14ac:dyDescent="0.35">
      <c r="A60" s="296" t="s">
        <v>643</v>
      </c>
      <c r="B60" s="296">
        <v>2221</v>
      </c>
      <c r="C60" s="296" t="s">
        <v>78</v>
      </c>
      <c r="D60" s="297">
        <v>403</v>
      </c>
      <c r="E60" s="297">
        <v>420</v>
      </c>
      <c r="F60" s="297">
        <v>2</v>
      </c>
      <c r="G60" s="298">
        <v>4.7600000000000003E-3</v>
      </c>
      <c r="H60" s="297">
        <v>2</v>
      </c>
      <c r="I60" s="298">
        <v>4.7600000000000003E-3</v>
      </c>
      <c r="J60" s="297">
        <v>0</v>
      </c>
      <c r="K60" s="298">
        <v>0</v>
      </c>
      <c r="L60" s="297">
        <v>2</v>
      </c>
      <c r="M60" s="298">
        <v>4.7600000000000003E-3</v>
      </c>
      <c r="N60" s="297">
        <v>19</v>
      </c>
      <c r="O60" s="298">
        <v>4.5240000000000002E-2</v>
      </c>
      <c r="P60" s="297">
        <v>374</v>
      </c>
      <c r="Q60" s="298">
        <v>0.89048000000000005</v>
      </c>
      <c r="R60" s="297">
        <v>21</v>
      </c>
      <c r="S60" s="298">
        <v>0.05</v>
      </c>
      <c r="T60" s="297">
        <v>31</v>
      </c>
      <c r="U60" s="297">
        <v>45</v>
      </c>
      <c r="V60" s="297">
        <v>21</v>
      </c>
      <c r="W60" s="297">
        <v>39</v>
      </c>
      <c r="X60" s="297">
        <v>35</v>
      </c>
      <c r="Y60" s="297">
        <v>31</v>
      </c>
      <c r="Z60" s="297">
        <v>30</v>
      </c>
      <c r="AA60" s="297">
        <v>19</v>
      </c>
      <c r="AB60" s="297">
        <v>34</v>
      </c>
      <c r="AC60" s="297">
        <v>38</v>
      </c>
      <c r="AD60" s="297">
        <v>32</v>
      </c>
      <c r="AE60" s="297">
        <v>32</v>
      </c>
      <c r="AF60" s="297">
        <v>33</v>
      </c>
    </row>
    <row r="61" spans="1:32" x14ac:dyDescent="0.35">
      <c r="A61" s="296" t="s">
        <v>440</v>
      </c>
      <c r="B61" s="296">
        <v>1930</v>
      </c>
      <c r="C61" s="296" t="s">
        <v>79</v>
      </c>
      <c r="D61" s="297">
        <v>3021</v>
      </c>
      <c r="E61" s="297">
        <v>3090</v>
      </c>
      <c r="F61" s="297">
        <v>12</v>
      </c>
      <c r="G61" s="298">
        <v>3.8800000000000002E-3</v>
      </c>
      <c r="H61" s="297">
        <v>54</v>
      </c>
      <c r="I61" s="298">
        <v>1.7479999999999999E-2</v>
      </c>
      <c r="J61" s="297">
        <v>6</v>
      </c>
      <c r="K61" s="298">
        <v>1.9400000000000001E-3</v>
      </c>
      <c r="L61" s="297">
        <v>49</v>
      </c>
      <c r="M61" s="298">
        <v>1.5859999999999999E-2</v>
      </c>
      <c r="N61" s="297">
        <v>423</v>
      </c>
      <c r="O61" s="298">
        <v>0.13689000000000001</v>
      </c>
      <c r="P61" s="297">
        <v>2349</v>
      </c>
      <c r="Q61" s="298">
        <v>0.76019000000000003</v>
      </c>
      <c r="R61" s="297">
        <v>197</v>
      </c>
      <c r="S61" s="298">
        <v>6.3750000000000001E-2</v>
      </c>
      <c r="T61" s="297">
        <v>223</v>
      </c>
      <c r="U61" s="297">
        <v>215</v>
      </c>
      <c r="V61" s="297">
        <v>215</v>
      </c>
      <c r="W61" s="297">
        <v>238</v>
      </c>
      <c r="X61" s="297">
        <v>238</v>
      </c>
      <c r="Y61" s="297">
        <v>207</v>
      </c>
      <c r="Z61" s="297">
        <v>205</v>
      </c>
      <c r="AA61" s="297">
        <v>213</v>
      </c>
      <c r="AB61" s="297">
        <v>206</v>
      </c>
      <c r="AC61" s="297">
        <v>243</v>
      </c>
      <c r="AD61" s="297">
        <v>260</v>
      </c>
      <c r="AE61" s="297">
        <v>310</v>
      </c>
      <c r="AF61" s="297">
        <v>317</v>
      </c>
    </row>
    <row r="62" spans="1:32" x14ac:dyDescent="0.35">
      <c r="A62" s="296" t="s">
        <v>390</v>
      </c>
      <c r="B62" s="296">
        <v>2082</v>
      </c>
      <c r="C62" s="296" t="s">
        <v>80</v>
      </c>
      <c r="D62" s="297">
        <v>16482</v>
      </c>
      <c r="E62" s="297">
        <v>16601</v>
      </c>
      <c r="F62" s="297">
        <v>144</v>
      </c>
      <c r="G62" s="298">
        <v>8.6700000000000006E-3</v>
      </c>
      <c r="H62" s="297">
        <v>486</v>
      </c>
      <c r="I62" s="298">
        <v>2.928E-2</v>
      </c>
      <c r="J62" s="297">
        <v>64</v>
      </c>
      <c r="K62" s="298">
        <v>3.8600000000000001E-3</v>
      </c>
      <c r="L62" s="297">
        <v>273</v>
      </c>
      <c r="M62" s="298">
        <v>1.644E-2</v>
      </c>
      <c r="N62" s="297">
        <v>2731</v>
      </c>
      <c r="O62" s="298">
        <v>0.16450999999999999</v>
      </c>
      <c r="P62" s="297">
        <v>11054</v>
      </c>
      <c r="Q62" s="298">
        <v>0.66586000000000001</v>
      </c>
      <c r="R62" s="297">
        <v>1849</v>
      </c>
      <c r="S62" s="298">
        <v>0.11138000000000001</v>
      </c>
      <c r="T62" s="297">
        <v>1098</v>
      </c>
      <c r="U62" s="297">
        <v>1183</v>
      </c>
      <c r="V62" s="297">
        <v>1234</v>
      </c>
      <c r="W62" s="297">
        <v>1319</v>
      </c>
      <c r="X62" s="297">
        <v>1180</v>
      </c>
      <c r="Y62" s="297">
        <v>1216</v>
      </c>
      <c r="Z62" s="297">
        <v>1266</v>
      </c>
      <c r="AA62" s="297">
        <v>1257</v>
      </c>
      <c r="AB62" s="297">
        <v>1312</v>
      </c>
      <c r="AC62" s="297">
        <v>1427</v>
      </c>
      <c r="AD62" s="297">
        <v>1363</v>
      </c>
      <c r="AE62" s="297">
        <v>1383</v>
      </c>
      <c r="AF62" s="297">
        <v>1363</v>
      </c>
    </row>
    <row r="63" spans="1:32" x14ac:dyDescent="0.35">
      <c r="A63" s="296" t="s">
        <v>484</v>
      </c>
      <c r="B63" s="296">
        <v>2193</v>
      </c>
      <c r="C63" s="296" t="s">
        <v>81</v>
      </c>
      <c r="D63" s="297">
        <v>173</v>
      </c>
      <c r="E63" s="297">
        <v>181</v>
      </c>
      <c r="F63" s="297">
        <v>4</v>
      </c>
      <c r="G63" s="298">
        <v>2.2100000000000002E-2</v>
      </c>
      <c r="H63" s="297">
        <v>0</v>
      </c>
      <c r="I63" s="298">
        <v>0</v>
      </c>
      <c r="J63" s="297">
        <v>0</v>
      </c>
      <c r="K63" s="298">
        <v>0</v>
      </c>
      <c r="L63" s="297">
        <v>0</v>
      </c>
      <c r="M63" s="298">
        <v>0</v>
      </c>
      <c r="N63" s="297">
        <v>7</v>
      </c>
      <c r="O63" s="298">
        <v>3.8670000000000003E-2</v>
      </c>
      <c r="P63" s="297">
        <v>161</v>
      </c>
      <c r="Q63" s="298">
        <v>0.88949999999999996</v>
      </c>
      <c r="R63" s="297">
        <v>9</v>
      </c>
      <c r="S63" s="298">
        <v>4.972E-2</v>
      </c>
      <c r="T63" s="297">
        <v>21</v>
      </c>
      <c r="U63" s="297">
        <v>11</v>
      </c>
      <c r="V63" s="297">
        <v>15</v>
      </c>
      <c r="W63" s="297">
        <v>14</v>
      </c>
      <c r="X63" s="297">
        <v>13</v>
      </c>
      <c r="Y63" s="297">
        <v>11</v>
      </c>
      <c r="Z63" s="297">
        <v>13</v>
      </c>
      <c r="AA63" s="297">
        <v>17</v>
      </c>
      <c r="AB63" s="297">
        <v>15</v>
      </c>
      <c r="AC63" s="297">
        <v>12</v>
      </c>
      <c r="AD63" s="297">
        <v>16</v>
      </c>
      <c r="AE63" s="297">
        <v>12</v>
      </c>
      <c r="AF63" s="297">
        <v>11</v>
      </c>
    </row>
    <row r="64" spans="1:32" x14ac:dyDescent="0.35">
      <c r="A64" s="296" t="s">
        <v>390</v>
      </c>
      <c r="B64" s="296">
        <v>2084</v>
      </c>
      <c r="C64" s="296" t="s">
        <v>82</v>
      </c>
      <c r="D64" s="297">
        <v>1386</v>
      </c>
      <c r="E64" s="297">
        <v>1427</v>
      </c>
      <c r="F64" s="297">
        <v>20</v>
      </c>
      <c r="G64" s="298">
        <v>1.4019999999999999E-2</v>
      </c>
      <c r="H64" s="297">
        <v>7</v>
      </c>
      <c r="I64" s="298">
        <v>4.9100000000000003E-3</v>
      </c>
      <c r="J64" s="297">
        <v>6</v>
      </c>
      <c r="K64" s="298">
        <v>4.1999999999999997E-3</v>
      </c>
      <c r="L64" s="297">
        <v>8</v>
      </c>
      <c r="M64" s="298">
        <v>5.6100000000000004E-3</v>
      </c>
      <c r="N64" s="297">
        <v>142</v>
      </c>
      <c r="O64" s="298">
        <v>9.9510000000000001E-2</v>
      </c>
      <c r="P64" s="297">
        <v>1179</v>
      </c>
      <c r="Q64" s="298">
        <v>0.82621</v>
      </c>
      <c r="R64" s="297">
        <v>65</v>
      </c>
      <c r="S64" s="298">
        <v>4.555E-2</v>
      </c>
      <c r="T64" s="297">
        <v>100</v>
      </c>
      <c r="U64" s="297">
        <v>116</v>
      </c>
      <c r="V64" s="297">
        <v>103</v>
      </c>
      <c r="W64" s="297">
        <v>110</v>
      </c>
      <c r="X64" s="297">
        <v>113</v>
      </c>
      <c r="Y64" s="297">
        <v>106</v>
      </c>
      <c r="Z64" s="297">
        <v>101</v>
      </c>
      <c r="AA64" s="297">
        <v>90</v>
      </c>
      <c r="AB64" s="297">
        <v>103</v>
      </c>
      <c r="AC64" s="297">
        <v>122</v>
      </c>
      <c r="AD64" s="297">
        <v>114</v>
      </c>
      <c r="AE64" s="297">
        <v>131</v>
      </c>
      <c r="AF64" s="297">
        <v>118</v>
      </c>
    </row>
    <row r="65" spans="1:32" x14ac:dyDescent="0.35">
      <c r="A65" s="296" t="s">
        <v>374</v>
      </c>
      <c r="B65" s="296">
        <v>2241</v>
      </c>
      <c r="C65" s="296" t="s">
        <v>83</v>
      </c>
      <c r="D65" s="297">
        <v>5795</v>
      </c>
      <c r="E65" s="297">
        <v>5798</v>
      </c>
      <c r="F65" s="297">
        <v>25</v>
      </c>
      <c r="G65" s="298">
        <v>4.3099999999999996E-3</v>
      </c>
      <c r="H65" s="297">
        <v>55</v>
      </c>
      <c r="I65" s="298">
        <v>9.4900000000000002E-3</v>
      </c>
      <c r="J65" s="297">
        <v>17</v>
      </c>
      <c r="K65" s="298">
        <v>2.9299999999999999E-3</v>
      </c>
      <c r="L65" s="297">
        <v>53</v>
      </c>
      <c r="M65" s="298">
        <v>9.1400000000000006E-3</v>
      </c>
      <c r="N65" s="297">
        <v>3314</v>
      </c>
      <c r="O65" s="298">
        <v>0.57157999999999998</v>
      </c>
      <c r="P65" s="297">
        <v>2126</v>
      </c>
      <c r="Q65" s="298">
        <v>0.36668000000000001</v>
      </c>
      <c r="R65" s="297">
        <v>208</v>
      </c>
      <c r="S65" s="298">
        <v>3.5869999999999999E-2</v>
      </c>
      <c r="T65" s="297">
        <v>396</v>
      </c>
      <c r="U65" s="297">
        <v>410</v>
      </c>
      <c r="V65" s="297">
        <v>385</v>
      </c>
      <c r="W65" s="297">
        <v>407</v>
      </c>
      <c r="X65" s="297">
        <v>415</v>
      </c>
      <c r="Y65" s="297">
        <v>449</v>
      </c>
      <c r="Z65" s="297">
        <v>456</v>
      </c>
      <c r="AA65" s="297">
        <v>435</v>
      </c>
      <c r="AB65" s="297">
        <v>449</v>
      </c>
      <c r="AC65" s="297">
        <v>510</v>
      </c>
      <c r="AD65" s="297">
        <v>475</v>
      </c>
      <c r="AE65" s="297">
        <v>495</v>
      </c>
      <c r="AF65" s="297">
        <v>516</v>
      </c>
    </row>
    <row r="66" spans="1:32" x14ac:dyDescent="0.35">
      <c r="A66" s="296" t="s">
        <v>686</v>
      </c>
      <c r="B66" s="296">
        <v>2248</v>
      </c>
      <c r="C66" s="296" t="s">
        <v>84</v>
      </c>
      <c r="D66" s="297">
        <v>1436</v>
      </c>
      <c r="E66" s="297">
        <v>1778</v>
      </c>
      <c r="F66" s="297">
        <v>14</v>
      </c>
      <c r="G66" s="298">
        <v>7.8700000000000003E-3</v>
      </c>
      <c r="H66" s="297">
        <v>15</v>
      </c>
      <c r="I66" s="298">
        <v>8.4399999999999996E-3</v>
      </c>
      <c r="J66" s="297">
        <v>5</v>
      </c>
      <c r="K66" s="298">
        <v>2.81E-3</v>
      </c>
      <c r="L66" s="297">
        <v>20</v>
      </c>
      <c r="M66" s="298">
        <v>1.125E-2</v>
      </c>
      <c r="N66" s="297">
        <v>57</v>
      </c>
      <c r="O66" s="298">
        <v>3.2059999999999998E-2</v>
      </c>
      <c r="P66" s="297">
        <v>1621</v>
      </c>
      <c r="Q66" s="298">
        <v>0.91169999999999995</v>
      </c>
      <c r="R66" s="297">
        <v>46</v>
      </c>
      <c r="S66" s="298">
        <v>2.5870000000000001E-2</v>
      </c>
      <c r="T66" s="297">
        <v>176</v>
      </c>
      <c r="U66" s="297">
        <v>178</v>
      </c>
      <c r="V66" s="297">
        <v>237</v>
      </c>
      <c r="W66" s="297">
        <v>244</v>
      </c>
      <c r="X66" s="297">
        <v>236</v>
      </c>
      <c r="Y66" s="297">
        <v>219</v>
      </c>
      <c r="Z66" s="297">
        <v>178</v>
      </c>
      <c r="AA66" s="297">
        <v>155</v>
      </c>
      <c r="AB66" s="297">
        <v>133</v>
      </c>
      <c r="AC66" s="297">
        <v>7</v>
      </c>
      <c r="AD66" s="297">
        <v>4</v>
      </c>
      <c r="AE66" s="297">
        <v>7</v>
      </c>
      <c r="AF66" s="297">
        <v>4</v>
      </c>
    </row>
    <row r="67" spans="1:32" x14ac:dyDescent="0.35">
      <c r="A67" s="296" t="s">
        <v>584</v>
      </c>
      <c r="B67" s="296">
        <v>2020</v>
      </c>
      <c r="C67" s="296" t="s">
        <v>85</v>
      </c>
      <c r="D67" s="297">
        <v>7</v>
      </c>
      <c r="E67" s="297">
        <v>6</v>
      </c>
      <c r="F67" s="297">
        <v>0</v>
      </c>
      <c r="G67" s="298">
        <v>0</v>
      </c>
      <c r="H67" s="297">
        <v>0</v>
      </c>
      <c r="I67" s="298">
        <v>0</v>
      </c>
      <c r="J67" s="297">
        <v>0</v>
      </c>
      <c r="K67" s="298">
        <v>0</v>
      </c>
      <c r="L67" s="297">
        <v>0</v>
      </c>
      <c r="M67" s="298">
        <v>0</v>
      </c>
      <c r="N67" s="297">
        <v>0</v>
      </c>
      <c r="O67" s="298">
        <v>0</v>
      </c>
      <c r="P67" s="297">
        <v>5</v>
      </c>
      <c r="Q67" s="298">
        <v>0.83333000000000002</v>
      </c>
      <c r="R67" s="297">
        <v>1</v>
      </c>
      <c r="S67" s="298">
        <v>0.16667000000000001</v>
      </c>
      <c r="T67" s="297">
        <v>1</v>
      </c>
      <c r="U67" s="297">
        <v>0</v>
      </c>
      <c r="V67" s="297">
        <v>1</v>
      </c>
      <c r="W67" s="297">
        <v>2</v>
      </c>
      <c r="X67" s="297">
        <v>0</v>
      </c>
      <c r="Y67" s="297">
        <v>0</v>
      </c>
      <c r="Z67" s="297">
        <v>0</v>
      </c>
      <c r="AA67" s="297">
        <v>2</v>
      </c>
      <c r="AB67" s="297">
        <v>0</v>
      </c>
      <c r="AC67" s="297">
        <v>0</v>
      </c>
      <c r="AD67" s="297">
        <v>0</v>
      </c>
      <c r="AE67" s="297">
        <v>0</v>
      </c>
      <c r="AF67" s="297">
        <v>0</v>
      </c>
    </row>
    <row r="68" spans="1:32" x14ac:dyDescent="0.35">
      <c r="A68" s="296" t="s">
        <v>374</v>
      </c>
      <c r="B68" s="296">
        <v>2245</v>
      </c>
      <c r="C68" s="296" t="s">
        <v>86</v>
      </c>
      <c r="D68" s="297">
        <v>487</v>
      </c>
      <c r="E68" s="297">
        <v>480</v>
      </c>
      <c r="F68" s="297">
        <v>3</v>
      </c>
      <c r="G68" s="298">
        <v>6.2500000000000003E-3</v>
      </c>
      <c r="H68" s="297">
        <v>2</v>
      </c>
      <c r="I68" s="298">
        <v>4.1700000000000001E-3</v>
      </c>
      <c r="J68" s="297">
        <v>2</v>
      </c>
      <c r="K68" s="298">
        <v>4.1700000000000001E-3</v>
      </c>
      <c r="L68" s="297">
        <v>4</v>
      </c>
      <c r="M68" s="298">
        <v>8.3300000000000006E-3</v>
      </c>
      <c r="N68" s="297">
        <v>69</v>
      </c>
      <c r="O68" s="298">
        <v>0.14374999999999999</v>
      </c>
      <c r="P68" s="297">
        <v>388</v>
      </c>
      <c r="Q68" s="298">
        <v>0.80832999999999999</v>
      </c>
      <c r="R68" s="297">
        <v>12</v>
      </c>
      <c r="S68" s="298">
        <v>2.5000000000000001E-2</v>
      </c>
      <c r="T68" s="297">
        <v>34</v>
      </c>
      <c r="U68" s="297">
        <v>33</v>
      </c>
      <c r="V68" s="297">
        <v>25</v>
      </c>
      <c r="W68" s="297">
        <v>31</v>
      </c>
      <c r="X68" s="297">
        <v>30</v>
      </c>
      <c r="Y68" s="297">
        <v>32</v>
      </c>
      <c r="Z68" s="297">
        <v>49</v>
      </c>
      <c r="AA68" s="297">
        <v>34</v>
      </c>
      <c r="AB68" s="297">
        <v>49</v>
      </c>
      <c r="AC68" s="297">
        <v>53</v>
      </c>
      <c r="AD68" s="297">
        <v>42</v>
      </c>
      <c r="AE68" s="297">
        <v>32</v>
      </c>
      <c r="AF68" s="297">
        <v>36</v>
      </c>
    </row>
    <row r="69" spans="1:32" x14ac:dyDescent="0.35">
      <c r="A69" s="296" t="s">
        <v>447</v>
      </c>
      <c r="B69" s="296">
        <v>2137</v>
      </c>
      <c r="C69" s="296" t="s">
        <v>87</v>
      </c>
      <c r="D69" s="297">
        <v>1329</v>
      </c>
      <c r="E69" s="297">
        <v>1220</v>
      </c>
      <c r="F69" s="297">
        <v>7</v>
      </c>
      <c r="G69" s="298">
        <v>5.7400000000000003E-3</v>
      </c>
      <c r="H69" s="297">
        <v>8</v>
      </c>
      <c r="I69" s="298">
        <v>6.5599999999999999E-3</v>
      </c>
      <c r="J69" s="297">
        <v>3</v>
      </c>
      <c r="K69" s="298">
        <v>2.4599999999999999E-3</v>
      </c>
      <c r="L69" s="297">
        <v>8</v>
      </c>
      <c r="M69" s="298">
        <v>6.5599999999999999E-3</v>
      </c>
      <c r="N69" s="297">
        <v>697</v>
      </c>
      <c r="O69" s="298">
        <v>0.57130999999999998</v>
      </c>
      <c r="P69" s="297">
        <v>467</v>
      </c>
      <c r="Q69" s="298">
        <v>0.38279000000000002</v>
      </c>
      <c r="R69" s="297">
        <v>30</v>
      </c>
      <c r="S69" s="298">
        <v>2.4590000000000001E-2</v>
      </c>
      <c r="T69" s="297">
        <v>79</v>
      </c>
      <c r="U69" s="297">
        <v>69</v>
      </c>
      <c r="V69" s="297">
        <v>74</v>
      </c>
      <c r="W69" s="297">
        <v>90</v>
      </c>
      <c r="X69" s="297">
        <v>82</v>
      </c>
      <c r="Y69" s="297">
        <v>86</v>
      </c>
      <c r="Z69" s="297">
        <v>86</v>
      </c>
      <c r="AA69" s="297">
        <v>96</v>
      </c>
      <c r="AB69" s="297">
        <v>106</v>
      </c>
      <c r="AC69" s="297">
        <v>109</v>
      </c>
      <c r="AD69" s="297">
        <v>110</v>
      </c>
      <c r="AE69" s="297">
        <v>122</v>
      </c>
      <c r="AF69" s="297">
        <v>111</v>
      </c>
    </row>
    <row r="70" spans="1:32" x14ac:dyDescent="0.35">
      <c r="A70" s="296" t="s">
        <v>440</v>
      </c>
      <c r="B70" s="296">
        <v>1931</v>
      </c>
      <c r="C70" s="296" t="s">
        <v>88</v>
      </c>
      <c r="D70" s="297">
        <v>1729</v>
      </c>
      <c r="E70" s="297">
        <v>1662</v>
      </c>
      <c r="F70" s="297">
        <v>11</v>
      </c>
      <c r="G70" s="298">
        <v>6.62E-3</v>
      </c>
      <c r="H70" s="297">
        <v>17</v>
      </c>
      <c r="I70" s="298">
        <v>1.023E-2</v>
      </c>
      <c r="J70" s="297">
        <v>22</v>
      </c>
      <c r="K70" s="298">
        <v>1.324E-2</v>
      </c>
      <c r="L70" s="297">
        <v>16</v>
      </c>
      <c r="M70" s="298">
        <v>9.6299999999999997E-3</v>
      </c>
      <c r="N70" s="297">
        <v>287</v>
      </c>
      <c r="O70" s="298">
        <v>0.17268</v>
      </c>
      <c r="P70" s="297">
        <v>1172</v>
      </c>
      <c r="Q70" s="298">
        <v>0.70516999999999996</v>
      </c>
      <c r="R70" s="297">
        <v>137</v>
      </c>
      <c r="S70" s="298">
        <v>8.2430000000000003E-2</v>
      </c>
      <c r="T70" s="297">
        <v>116</v>
      </c>
      <c r="U70" s="297">
        <v>119</v>
      </c>
      <c r="V70" s="297">
        <v>118</v>
      </c>
      <c r="W70" s="297">
        <v>122</v>
      </c>
      <c r="X70" s="297">
        <v>109</v>
      </c>
      <c r="Y70" s="297">
        <v>106</v>
      </c>
      <c r="Z70" s="297">
        <v>123</v>
      </c>
      <c r="AA70" s="297">
        <v>116</v>
      </c>
      <c r="AB70" s="297">
        <v>134</v>
      </c>
      <c r="AC70" s="297">
        <v>145</v>
      </c>
      <c r="AD70" s="297">
        <v>155</v>
      </c>
      <c r="AE70" s="297">
        <v>134</v>
      </c>
      <c r="AF70" s="297">
        <v>165</v>
      </c>
    </row>
    <row r="71" spans="1:32" x14ac:dyDescent="0.35">
      <c r="A71" s="296" t="s">
        <v>431</v>
      </c>
      <c r="B71" s="296">
        <v>2000</v>
      </c>
      <c r="C71" s="296" t="s">
        <v>89</v>
      </c>
      <c r="D71" s="297">
        <v>279</v>
      </c>
      <c r="E71" s="297">
        <v>290</v>
      </c>
      <c r="F71" s="297">
        <v>5</v>
      </c>
      <c r="G71" s="298">
        <v>1.7239999999999998E-2</v>
      </c>
      <c r="H71" s="297">
        <v>3</v>
      </c>
      <c r="I71" s="298">
        <v>1.034E-2</v>
      </c>
      <c r="J71" s="297">
        <v>1</v>
      </c>
      <c r="K71" s="298">
        <v>3.4499999999999999E-3</v>
      </c>
      <c r="L71" s="297">
        <v>3</v>
      </c>
      <c r="M71" s="298">
        <v>1.034E-2</v>
      </c>
      <c r="N71" s="297">
        <v>25</v>
      </c>
      <c r="O71" s="298">
        <v>8.6209999999999995E-2</v>
      </c>
      <c r="P71" s="297">
        <v>251</v>
      </c>
      <c r="Q71" s="298">
        <v>0.86551999999999996</v>
      </c>
      <c r="R71" s="297">
        <v>2</v>
      </c>
      <c r="S71" s="298">
        <v>6.8999999999999999E-3</v>
      </c>
      <c r="T71" s="297">
        <v>25</v>
      </c>
      <c r="U71" s="297">
        <v>24</v>
      </c>
      <c r="V71" s="297">
        <v>21</v>
      </c>
      <c r="W71" s="297">
        <v>24</v>
      </c>
      <c r="X71" s="297">
        <v>21</v>
      </c>
      <c r="Y71" s="297">
        <v>18</v>
      </c>
      <c r="Z71" s="297">
        <v>14</v>
      </c>
      <c r="AA71" s="297">
        <v>30</v>
      </c>
      <c r="AB71" s="297">
        <v>22</v>
      </c>
      <c r="AC71" s="297">
        <v>20</v>
      </c>
      <c r="AD71" s="297">
        <v>31</v>
      </c>
      <c r="AE71" s="297">
        <v>21</v>
      </c>
      <c r="AF71" s="297">
        <v>19</v>
      </c>
    </row>
    <row r="72" spans="1:32" x14ac:dyDescent="0.35">
      <c r="A72" s="296" t="s">
        <v>431</v>
      </c>
      <c r="B72" s="296">
        <v>1992</v>
      </c>
      <c r="C72" s="296" t="s">
        <v>90</v>
      </c>
      <c r="D72" s="297">
        <v>675</v>
      </c>
      <c r="E72" s="297">
        <v>691</v>
      </c>
      <c r="F72" s="297">
        <v>10</v>
      </c>
      <c r="G72" s="298">
        <v>1.447E-2</v>
      </c>
      <c r="H72" s="297">
        <v>0</v>
      </c>
      <c r="I72" s="298">
        <v>0</v>
      </c>
      <c r="J72" s="297">
        <v>1</v>
      </c>
      <c r="K72" s="298">
        <v>1.4499999999999999E-3</v>
      </c>
      <c r="L72" s="297">
        <v>0</v>
      </c>
      <c r="M72" s="298">
        <v>0</v>
      </c>
      <c r="N72" s="297">
        <v>56</v>
      </c>
      <c r="O72" s="298">
        <v>8.1040000000000001E-2</v>
      </c>
      <c r="P72" s="297">
        <v>580</v>
      </c>
      <c r="Q72" s="298">
        <v>0.83935999999999999</v>
      </c>
      <c r="R72" s="297">
        <v>44</v>
      </c>
      <c r="S72" s="298">
        <v>6.368E-2</v>
      </c>
      <c r="T72" s="297">
        <v>58</v>
      </c>
      <c r="U72" s="297">
        <v>45</v>
      </c>
      <c r="V72" s="297">
        <v>56</v>
      </c>
      <c r="W72" s="297">
        <v>64</v>
      </c>
      <c r="X72" s="297">
        <v>49</v>
      </c>
      <c r="Y72" s="297">
        <v>52</v>
      </c>
      <c r="Z72" s="297">
        <v>45</v>
      </c>
      <c r="AA72" s="297">
        <v>60</v>
      </c>
      <c r="AB72" s="297">
        <v>63</v>
      </c>
      <c r="AC72" s="297">
        <v>55</v>
      </c>
      <c r="AD72" s="297">
        <v>61</v>
      </c>
      <c r="AE72" s="297">
        <v>45</v>
      </c>
      <c r="AF72" s="297">
        <v>38</v>
      </c>
    </row>
    <row r="73" spans="1:32" x14ac:dyDescent="0.35">
      <c r="A73" s="296" t="s">
        <v>722</v>
      </c>
      <c r="B73" s="296">
        <v>2054</v>
      </c>
      <c r="C73" s="296" t="s">
        <v>91</v>
      </c>
      <c r="D73" s="297">
        <v>5603</v>
      </c>
      <c r="E73" s="297">
        <v>5725</v>
      </c>
      <c r="F73" s="297">
        <v>35</v>
      </c>
      <c r="G73" s="298">
        <v>6.11E-3</v>
      </c>
      <c r="H73" s="297">
        <v>34</v>
      </c>
      <c r="I73" s="298">
        <v>5.94E-3</v>
      </c>
      <c r="J73" s="297">
        <v>15</v>
      </c>
      <c r="K73" s="298">
        <v>2.6199999999999999E-3</v>
      </c>
      <c r="L73" s="297">
        <v>19</v>
      </c>
      <c r="M73" s="298">
        <v>3.32E-3</v>
      </c>
      <c r="N73" s="297">
        <v>969</v>
      </c>
      <c r="O73" s="298">
        <v>0.16925999999999999</v>
      </c>
      <c r="P73" s="297">
        <v>4191</v>
      </c>
      <c r="Q73" s="298">
        <v>0.73204999999999998</v>
      </c>
      <c r="R73" s="297">
        <v>462</v>
      </c>
      <c r="S73" s="298">
        <v>8.0699999999999994E-2</v>
      </c>
      <c r="T73" s="297">
        <v>364</v>
      </c>
      <c r="U73" s="297">
        <v>397</v>
      </c>
      <c r="V73" s="297">
        <v>401</v>
      </c>
      <c r="W73" s="297">
        <v>380</v>
      </c>
      <c r="X73" s="297">
        <v>435</v>
      </c>
      <c r="Y73" s="297">
        <v>424</v>
      </c>
      <c r="Z73" s="297">
        <v>451</v>
      </c>
      <c r="AA73" s="297">
        <v>447</v>
      </c>
      <c r="AB73" s="297">
        <v>464</v>
      </c>
      <c r="AC73" s="297">
        <v>527</v>
      </c>
      <c r="AD73" s="297">
        <v>535</v>
      </c>
      <c r="AE73" s="297">
        <v>442</v>
      </c>
      <c r="AF73" s="297">
        <v>458</v>
      </c>
    </row>
    <row r="74" spans="1:32" x14ac:dyDescent="0.35">
      <c r="A74" s="296" t="s">
        <v>471</v>
      </c>
      <c r="B74" s="296">
        <v>2100</v>
      </c>
      <c r="C74" s="296" t="s">
        <v>92</v>
      </c>
      <c r="D74" s="297">
        <v>9046</v>
      </c>
      <c r="E74" s="297">
        <v>9063</v>
      </c>
      <c r="F74" s="297">
        <v>56</v>
      </c>
      <c r="G74" s="298">
        <v>6.1799999999999997E-3</v>
      </c>
      <c r="H74" s="297">
        <v>100</v>
      </c>
      <c r="I74" s="298">
        <v>1.103E-2</v>
      </c>
      <c r="J74" s="297">
        <v>26</v>
      </c>
      <c r="K74" s="298">
        <v>2.8700000000000002E-3</v>
      </c>
      <c r="L74" s="297">
        <v>61</v>
      </c>
      <c r="M74" s="298">
        <v>6.7299999999999999E-3</v>
      </c>
      <c r="N74" s="297">
        <v>2148</v>
      </c>
      <c r="O74" s="298">
        <v>0.23701</v>
      </c>
      <c r="P74" s="297">
        <v>5947</v>
      </c>
      <c r="Q74" s="298">
        <v>0.65617999999999999</v>
      </c>
      <c r="R74" s="297">
        <v>725</v>
      </c>
      <c r="S74" s="298">
        <v>0.08</v>
      </c>
      <c r="T74" s="297">
        <v>653</v>
      </c>
      <c r="U74" s="297">
        <v>674</v>
      </c>
      <c r="V74" s="297">
        <v>656</v>
      </c>
      <c r="W74" s="297">
        <v>691</v>
      </c>
      <c r="X74" s="297">
        <v>685</v>
      </c>
      <c r="Y74" s="297">
        <v>650</v>
      </c>
      <c r="Z74" s="297">
        <v>706</v>
      </c>
      <c r="AA74" s="297">
        <v>673</v>
      </c>
      <c r="AB74" s="297">
        <v>733</v>
      </c>
      <c r="AC74" s="297">
        <v>776</v>
      </c>
      <c r="AD74" s="297">
        <v>792</v>
      </c>
      <c r="AE74" s="297">
        <v>704</v>
      </c>
      <c r="AF74" s="297">
        <v>670</v>
      </c>
    </row>
    <row r="75" spans="1:32" x14ac:dyDescent="0.35">
      <c r="A75" s="296" t="s">
        <v>456</v>
      </c>
      <c r="B75" s="296">
        <v>2183</v>
      </c>
      <c r="C75" s="296" t="s">
        <v>93</v>
      </c>
      <c r="D75" s="297">
        <v>11471</v>
      </c>
      <c r="E75" s="297">
        <v>11458</v>
      </c>
      <c r="F75" s="297">
        <v>86</v>
      </c>
      <c r="G75" s="298">
        <v>7.5100000000000002E-3</v>
      </c>
      <c r="H75" s="297">
        <v>382</v>
      </c>
      <c r="I75" s="298">
        <v>3.3340000000000002E-2</v>
      </c>
      <c r="J75" s="297">
        <v>157</v>
      </c>
      <c r="K75" s="298">
        <v>1.37E-2</v>
      </c>
      <c r="L75" s="297">
        <v>486</v>
      </c>
      <c r="M75" s="298">
        <v>4.2419999999999999E-2</v>
      </c>
      <c r="N75" s="297">
        <v>3723</v>
      </c>
      <c r="O75" s="298">
        <v>0.32493</v>
      </c>
      <c r="P75" s="297">
        <v>5604</v>
      </c>
      <c r="Q75" s="298">
        <v>0.48909000000000002</v>
      </c>
      <c r="R75" s="297">
        <v>1020</v>
      </c>
      <c r="S75" s="298">
        <v>8.9020000000000002E-2</v>
      </c>
      <c r="T75" s="297">
        <v>745</v>
      </c>
      <c r="U75" s="297">
        <v>804</v>
      </c>
      <c r="V75" s="297">
        <v>767</v>
      </c>
      <c r="W75" s="297">
        <v>801</v>
      </c>
      <c r="X75" s="297">
        <v>782</v>
      </c>
      <c r="Y75" s="297">
        <v>798</v>
      </c>
      <c r="Z75" s="297">
        <v>838</v>
      </c>
      <c r="AA75" s="297">
        <v>887</v>
      </c>
      <c r="AB75" s="297">
        <v>880</v>
      </c>
      <c r="AC75" s="297">
        <v>960</v>
      </c>
      <c r="AD75" s="297">
        <v>1055</v>
      </c>
      <c r="AE75" s="297">
        <v>1013</v>
      </c>
      <c r="AF75" s="297">
        <v>1128</v>
      </c>
    </row>
    <row r="76" spans="1:32" x14ac:dyDescent="0.35">
      <c r="A76" s="296" t="s">
        <v>584</v>
      </c>
      <c r="B76" s="296">
        <v>2014</v>
      </c>
      <c r="C76" s="296" t="s">
        <v>94</v>
      </c>
      <c r="D76" s="297">
        <v>768</v>
      </c>
      <c r="E76" s="297">
        <v>742</v>
      </c>
      <c r="F76" s="297">
        <v>27</v>
      </c>
      <c r="G76" s="298">
        <v>3.6389999999999999E-2</v>
      </c>
      <c r="H76" s="297">
        <v>1</v>
      </c>
      <c r="I76" s="298">
        <v>1.3500000000000001E-3</v>
      </c>
      <c r="J76" s="297">
        <v>0</v>
      </c>
      <c r="K76" s="298">
        <v>0</v>
      </c>
      <c r="L76" s="297">
        <v>1</v>
      </c>
      <c r="M76" s="298">
        <v>1.3500000000000001E-3</v>
      </c>
      <c r="N76" s="297">
        <v>91</v>
      </c>
      <c r="O76" s="298">
        <v>0.12264</v>
      </c>
      <c r="P76" s="297">
        <v>580</v>
      </c>
      <c r="Q76" s="298">
        <v>0.78166999999999998</v>
      </c>
      <c r="R76" s="297">
        <v>42</v>
      </c>
      <c r="S76" s="298">
        <v>5.6599999999999998E-2</v>
      </c>
      <c r="T76" s="297">
        <v>71</v>
      </c>
      <c r="U76" s="297">
        <v>47</v>
      </c>
      <c r="V76" s="297">
        <v>59</v>
      </c>
      <c r="W76" s="297">
        <v>56</v>
      </c>
      <c r="X76" s="297">
        <v>56</v>
      </c>
      <c r="Y76" s="297">
        <v>63</v>
      </c>
      <c r="Z76" s="297">
        <v>54</v>
      </c>
      <c r="AA76" s="297">
        <v>54</v>
      </c>
      <c r="AB76" s="297">
        <v>56</v>
      </c>
      <c r="AC76" s="297">
        <v>58</v>
      </c>
      <c r="AD76" s="297">
        <v>57</v>
      </c>
      <c r="AE76" s="297">
        <v>60</v>
      </c>
      <c r="AF76" s="297">
        <v>51</v>
      </c>
    </row>
    <row r="77" spans="1:32" x14ac:dyDescent="0.35">
      <c r="A77" s="296" t="s">
        <v>584</v>
      </c>
      <c r="B77" s="296">
        <v>2015</v>
      </c>
      <c r="C77" s="296" t="s">
        <v>95</v>
      </c>
      <c r="D77" s="297">
        <v>959</v>
      </c>
      <c r="E77" s="297">
        <v>914</v>
      </c>
      <c r="F77" s="297">
        <v>4</v>
      </c>
      <c r="G77" s="298">
        <v>4.3800000000000002E-3</v>
      </c>
      <c r="H77" s="297">
        <v>18</v>
      </c>
      <c r="I77" s="298">
        <v>1.9689999999999999E-2</v>
      </c>
      <c r="J77" s="297">
        <v>0</v>
      </c>
      <c r="K77" s="298">
        <v>0</v>
      </c>
      <c r="L77" s="297">
        <v>4</v>
      </c>
      <c r="M77" s="298">
        <v>4.3800000000000002E-3</v>
      </c>
      <c r="N77" s="297">
        <v>52</v>
      </c>
      <c r="O77" s="298">
        <v>5.6890000000000003E-2</v>
      </c>
      <c r="P77" s="297">
        <v>784</v>
      </c>
      <c r="Q77" s="298">
        <v>0.85777000000000003</v>
      </c>
      <c r="R77" s="297">
        <v>52</v>
      </c>
      <c r="S77" s="298">
        <v>5.6890000000000003E-2</v>
      </c>
      <c r="T77" s="297">
        <v>77</v>
      </c>
      <c r="U77" s="297">
        <v>99</v>
      </c>
      <c r="V77" s="297">
        <v>92</v>
      </c>
      <c r="W77" s="297">
        <v>89</v>
      </c>
      <c r="X77" s="297">
        <v>96</v>
      </c>
      <c r="Y77" s="297">
        <v>107</v>
      </c>
      <c r="Z77" s="297">
        <v>83</v>
      </c>
      <c r="AA77" s="297">
        <v>78</v>
      </c>
      <c r="AB77" s="297">
        <v>75</v>
      </c>
      <c r="AC77" s="297">
        <v>35</v>
      </c>
      <c r="AD77" s="297">
        <v>33</v>
      </c>
      <c r="AE77" s="297">
        <v>28</v>
      </c>
      <c r="AF77" s="297">
        <v>22</v>
      </c>
    </row>
    <row r="78" spans="1:32" x14ac:dyDescent="0.35">
      <c r="A78" s="296" t="s">
        <v>584</v>
      </c>
      <c r="B78" s="296">
        <v>2023</v>
      </c>
      <c r="C78" s="296" t="s">
        <v>96</v>
      </c>
      <c r="D78" s="297">
        <v>1065</v>
      </c>
      <c r="E78" s="297">
        <v>981</v>
      </c>
      <c r="F78" s="297">
        <v>15</v>
      </c>
      <c r="G78" s="298">
        <v>1.529E-2</v>
      </c>
      <c r="H78" s="297">
        <v>6</v>
      </c>
      <c r="I78" s="298">
        <v>6.1199999999999996E-3</v>
      </c>
      <c r="J78" s="297">
        <v>1</v>
      </c>
      <c r="K78" s="298">
        <v>1.0200000000000001E-3</v>
      </c>
      <c r="L78" s="297">
        <v>4</v>
      </c>
      <c r="M78" s="298">
        <v>4.0800000000000003E-3</v>
      </c>
      <c r="N78" s="297">
        <v>106</v>
      </c>
      <c r="O78" s="298">
        <v>0.10804999999999999</v>
      </c>
      <c r="P78" s="297">
        <v>800</v>
      </c>
      <c r="Q78" s="298">
        <v>0.81549000000000005</v>
      </c>
      <c r="R78" s="297">
        <v>49</v>
      </c>
      <c r="S78" s="298">
        <v>4.9950000000000001E-2</v>
      </c>
      <c r="T78" s="297">
        <v>84</v>
      </c>
      <c r="U78" s="297">
        <v>93</v>
      </c>
      <c r="V78" s="297">
        <v>102</v>
      </c>
      <c r="W78" s="297">
        <v>94</v>
      </c>
      <c r="X78" s="297">
        <v>86</v>
      </c>
      <c r="Y78" s="297">
        <v>96</v>
      </c>
      <c r="Z78" s="297">
        <v>68</v>
      </c>
      <c r="AA78" s="297">
        <v>79</v>
      </c>
      <c r="AB78" s="297">
        <v>73</v>
      </c>
      <c r="AC78" s="297">
        <v>60</v>
      </c>
      <c r="AD78" s="297">
        <v>52</v>
      </c>
      <c r="AE78" s="297">
        <v>49</v>
      </c>
      <c r="AF78" s="297">
        <v>45</v>
      </c>
    </row>
    <row r="79" spans="1:32" x14ac:dyDescent="0.35">
      <c r="A79" s="296" t="s">
        <v>278</v>
      </c>
      <c r="B79" s="296">
        <v>2114</v>
      </c>
      <c r="C79" s="296" t="s">
        <v>97</v>
      </c>
      <c r="D79" s="297">
        <v>220</v>
      </c>
      <c r="E79" s="297">
        <v>218</v>
      </c>
      <c r="F79" s="297">
        <v>1</v>
      </c>
      <c r="G79" s="298">
        <v>4.5900000000000003E-3</v>
      </c>
      <c r="H79" s="297">
        <v>0</v>
      </c>
      <c r="I79" s="298">
        <v>0</v>
      </c>
      <c r="J79" s="297">
        <v>0</v>
      </c>
      <c r="K79" s="298">
        <v>0</v>
      </c>
      <c r="L79" s="297">
        <v>0</v>
      </c>
      <c r="M79" s="298">
        <v>0</v>
      </c>
      <c r="N79" s="297">
        <v>36</v>
      </c>
      <c r="O79" s="298">
        <v>0.16514000000000001</v>
      </c>
      <c r="P79" s="297">
        <v>174</v>
      </c>
      <c r="Q79" s="298">
        <v>0.79817000000000005</v>
      </c>
      <c r="R79" s="297">
        <v>7</v>
      </c>
      <c r="S79" s="298">
        <v>3.211E-2</v>
      </c>
      <c r="T79" s="297">
        <v>7</v>
      </c>
      <c r="U79" s="297">
        <v>13</v>
      </c>
      <c r="V79" s="297">
        <v>10</v>
      </c>
      <c r="W79" s="297">
        <v>15</v>
      </c>
      <c r="X79" s="297">
        <v>15</v>
      </c>
      <c r="Y79" s="297">
        <v>12</v>
      </c>
      <c r="Z79" s="297">
        <v>19</v>
      </c>
      <c r="AA79" s="297">
        <v>13</v>
      </c>
      <c r="AB79" s="297">
        <v>16</v>
      </c>
      <c r="AC79" s="297">
        <v>25</v>
      </c>
      <c r="AD79" s="297">
        <v>21</v>
      </c>
      <c r="AE79" s="297">
        <v>27</v>
      </c>
      <c r="AF79" s="297">
        <v>25</v>
      </c>
    </row>
    <row r="80" spans="1:32" x14ac:dyDescent="0.35">
      <c r="A80" s="296" t="s">
        <v>471</v>
      </c>
      <c r="B80" s="296">
        <v>2099</v>
      </c>
      <c r="C80" s="296" t="s">
        <v>98</v>
      </c>
      <c r="D80" s="297">
        <v>736</v>
      </c>
      <c r="E80" s="297">
        <v>776</v>
      </c>
      <c r="F80" s="297">
        <v>8</v>
      </c>
      <c r="G80" s="298">
        <v>1.031E-2</v>
      </c>
      <c r="H80" s="297">
        <v>2</v>
      </c>
      <c r="I80" s="298">
        <v>2.5799999999999998E-3</v>
      </c>
      <c r="J80" s="297">
        <v>2</v>
      </c>
      <c r="K80" s="298">
        <v>2.5799999999999998E-3</v>
      </c>
      <c r="L80" s="297">
        <v>8</v>
      </c>
      <c r="M80" s="298">
        <v>1.031E-2</v>
      </c>
      <c r="N80" s="297">
        <v>110</v>
      </c>
      <c r="O80" s="298">
        <v>0.14174999999999999</v>
      </c>
      <c r="P80" s="297">
        <v>599</v>
      </c>
      <c r="Q80" s="298">
        <v>0.77190999999999999</v>
      </c>
      <c r="R80" s="297">
        <v>47</v>
      </c>
      <c r="S80" s="298">
        <v>6.0569999999999999E-2</v>
      </c>
      <c r="T80" s="297">
        <v>58</v>
      </c>
      <c r="U80" s="297">
        <v>50</v>
      </c>
      <c r="V80" s="297">
        <v>64</v>
      </c>
      <c r="W80" s="297">
        <v>49</v>
      </c>
      <c r="X80" s="297">
        <v>67</v>
      </c>
      <c r="Y80" s="297">
        <v>59</v>
      </c>
      <c r="Z80" s="297">
        <v>66</v>
      </c>
      <c r="AA80" s="297">
        <v>70</v>
      </c>
      <c r="AB80" s="297">
        <v>43</v>
      </c>
      <c r="AC80" s="297">
        <v>70</v>
      </c>
      <c r="AD80" s="297">
        <v>58</v>
      </c>
      <c r="AE80" s="297">
        <v>59</v>
      </c>
      <c r="AF80" s="297">
        <v>63</v>
      </c>
    </row>
    <row r="81" spans="1:32" x14ac:dyDescent="0.35">
      <c r="A81" s="296" t="s">
        <v>350</v>
      </c>
      <c r="B81" s="296">
        <v>2201</v>
      </c>
      <c r="C81" s="296" t="s">
        <v>99</v>
      </c>
      <c r="D81" s="297">
        <v>162</v>
      </c>
      <c r="E81" s="297">
        <v>144</v>
      </c>
      <c r="F81" s="297">
        <v>4</v>
      </c>
      <c r="G81" s="298">
        <v>2.7779999999999999E-2</v>
      </c>
      <c r="H81" s="297">
        <v>0</v>
      </c>
      <c r="I81" s="298">
        <v>0</v>
      </c>
      <c r="J81" s="297">
        <v>0</v>
      </c>
      <c r="K81" s="298">
        <v>0</v>
      </c>
      <c r="L81" s="297">
        <v>0</v>
      </c>
      <c r="M81" s="298">
        <v>0</v>
      </c>
      <c r="N81" s="297">
        <v>10</v>
      </c>
      <c r="O81" s="298">
        <v>6.9440000000000002E-2</v>
      </c>
      <c r="P81" s="297">
        <v>117</v>
      </c>
      <c r="Q81" s="298">
        <v>0.8125</v>
      </c>
      <c r="R81" s="297">
        <v>13</v>
      </c>
      <c r="S81" s="298">
        <v>9.0279999999999999E-2</v>
      </c>
      <c r="T81" s="297">
        <v>8</v>
      </c>
      <c r="U81" s="297">
        <v>12</v>
      </c>
      <c r="V81" s="297">
        <v>11</v>
      </c>
      <c r="W81" s="297">
        <v>10</v>
      </c>
      <c r="X81" s="297">
        <v>15</v>
      </c>
      <c r="Y81" s="297">
        <v>12</v>
      </c>
      <c r="Z81" s="297">
        <v>8</v>
      </c>
      <c r="AA81" s="297">
        <v>7</v>
      </c>
      <c r="AB81" s="297">
        <v>18</v>
      </c>
      <c r="AC81" s="297">
        <v>15</v>
      </c>
      <c r="AD81" s="297">
        <v>11</v>
      </c>
      <c r="AE81" s="297">
        <v>7</v>
      </c>
      <c r="AF81" s="297">
        <v>10</v>
      </c>
    </row>
    <row r="82" spans="1:32" x14ac:dyDescent="0.35">
      <c r="A82" s="296" t="s">
        <v>350</v>
      </c>
      <c r="B82" s="296">
        <v>2206</v>
      </c>
      <c r="C82" s="296" t="s">
        <v>100</v>
      </c>
      <c r="D82" s="297">
        <v>5446</v>
      </c>
      <c r="E82" s="297">
        <v>5465</v>
      </c>
      <c r="F82" s="297">
        <v>7</v>
      </c>
      <c r="G82" s="298">
        <v>1.2800000000000001E-3</v>
      </c>
      <c r="H82" s="297">
        <v>39</v>
      </c>
      <c r="I82" s="298">
        <v>7.1399999999999996E-3</v>
      </c>
      <c r="J82" s="297">
        <v>10</v>
      </c>
      <c r="K82" s="298">
        <v>1.83E-3</v>
      </c>
      <c r="L82" s="297">
        <v>26</v>
      </c>
      <c r="M82" s="298">
        <v>4.7600000000000003E-3</v>
      </c>
      <c r="N82" s="297">
        <v>3224</v>
      </c>
      <c r="O82" s="298">
        <v>0.58994000000000002</v>
      </c>
      <c r="P82" s="297">
        <v>2024</v>
      </c>
      <c r="Q82" s="298">
        <v>0.37036000000000002</v>
      </c>
      <c r="R82" s="297">
        <v>135</v>
      </c>
      <c r="S82" s="298">
        <v>2.47E-2</v>
      </c>
      <c r="T82" s="297">
        <v>346</v>
      </c>
      <c r="U82" s="297">
        <v>383</v>
      </c>
      <c r="V82" s="297">
        <v>378</v>
      </c>
      <c r="W82" s="297">
        <v>426</v>
      </c>
      <c r="X82" s="297">
        <v>445</v>
      </c>
      <c r="Y82" s="297">
        <v>431</v>
      </c>
      <c r="Z82" s="297">
        <v>436</v>
      </c>
      <c r="AA82" s="297">
        <v>440</v>
      </c>
      <c r="AB82" s="297">
        <v>441</v>
      </c>
      <c r="AC82" s="297">
        <v>475</v>
      </c>
      <c r="AD82" s="297">
        <v>445</v>
      </c>
      <c r="AE82" s="297">
        <v>412</v>
      </c>
      <c r="AF82" s="297">
        <v>407</v>
      </c>
    </row>
    <row r="83" spans="1:32" hidden="1" x14ac:dyDescent="0.35">
      <c r="A83" s="296" t="s">
        <v>384</v>
      </c>
      <c r="B83" s="296">
        <v>1975</v>
      </c>
      <c r="C83" s="296" t="s">
        <v>385</v>
      </c>
      <c r="D83" s="297">
        <v>4</v>
      </c>
      <c r="E83" s="297">
        <v>6</v>
      </c>
      <c r="F83" s="297">
        <v>0</v>
      </c>
      <c r="G83" s="298">
        <v>0</v>
      </c>
      <c r="H83" s="297">
        <v>0</v>
      </c>
      <c r="I83" s="298">
        <v>0</v>
      </c>
      <c r="J83" s="297">
        <v>0</v>
      </c>
      <c r="K83" s="298">
        <v>0</v>
      </c>
      <c r="L83" s="297">
        <v>0</v>
      </c>
      <c r="M83" s="298">
        <v>0</v>
      </c>
      <c r="N83" s="297">
        <v>4</v>
      </c>
      <c r="O83" s="298">
        <v>0.66666999999999998</v>
      </c>
      <c r="P83" s="297">
        <v>2</v>
      </c>
      <c r="Q83" s="298">
        <v>0.33333000000000002</v>
      </c>
      <c r="R83" s="297">
        <v>0</v>
      </c>
      <c r="S83" s="298">
        <v>0</v>
      </c>
      <c r="T83" s="297">
        <v>0</v>
      </c>
      <c r="U83" s="297">
        <v>0</v>
      </c>
      <c r="V83" s="297">
        <v>1</v>
      </c>
      <c r="W83" s="297">
        <v>1</v>
      </c>
      <c r="X83" s="297">
        <v>1</v>
      </c>
      <c r="Y83" s="297">
        <v>1</v>
      </c>
      <c r="Z83" s="297">
        <v>1</v>
      </c>
      <c r="AA83" s="297">
        <v>0</v>
      </c>
      <c r="AB83" s="297">
        <v>0</v>
      </c>
      <c r="AC83" s="297">
        <v>0</v>
      </c>
      <c r="AD83" s="297">
        <v>0</v>
      </c>
      <c r="AE83" s="297">
        <v>0</v>
      </c>
      <c r="AF83" s="297">
        <v>1</v>
      </c>
    </row>
    <row r="84" spans="1:32" x14ac:dyDescent="0.35">
      <c r="A84" s="296" t="s">
        <v>374</v>
      </c>
      <c r="B84" s="296">
        <v>2239</v>
      </c>
      <c r="C84" s="296" t="s">
        <v>101</v>
      </c>
      <c r="D84" s="297">
        <v>19013</v>
      </c>
      <c r="E84" s="297">
        <v>18872</v>
      </c>
      <c r="F84" s="297">
        <v>117</v>
      </c>
      <c r="G84" s="298">
        <v>6.1999999999999998E-3</v>
      </c>
      <c r="H84" s="297">
        <v>1318</v>
      </c>
      <c r="I84" s="298">
        <v>6.9839999999999999E-2</v>
      </c>
      <c r="J84" s="297">
        <v>129</v>
      </c>
      <c r="K84" s="298">
        <v>6.8399999999999997E-3</v>
      </c>
      <c r="L84" s="297">
        <v>541</v>
      </c>
      <c r="M84" s="298">
        <v>2.8670000000000001E-2</v>
      </c>
      <c r="N84" s="297">
        <v>7721</v>
      </c>
      <c r="O84" s="298">
        <v>0.40911999999999998</v>
      </c>
      <c r="P84" s="297">
        <v>7574</v>
      </c>
      <c r="Q84" s="298">
        <v>0.40133999999999997</v>
      </c>
      <c r="R84" s="297">
        <v>1472</v>
      </c>
      <c r="S84" s="298">
        <v>7.8E-2</v>
      </c>
      <c r="T84" s="297">
        <v>1294</v>
      </c>
      <c r="U84" s="297">
        <v>1305</v>
      </c>
      <c r="V84" s="297">
        <v>1368</v>
      </c>
      <c r="W84" s="297">
        <v>1390</v>
      </c>
      <c r="X84" s="297">
        <v>1420</v>
      </c>
      <c r="Y84" s="297">
        <v>1476</v>
      </c>
      <c r="Z84" s="297">
        <v>1378</v>
      </c>
      <c r="AA84" s="297">
        <v>1416</v>
      </c>
      <c r="AB84" s="297">
        <v>1531</v>
      </c>
      <c r="AC84" s="297">
        <v>1580</v>
      </c>
      <c r="AD84" s="297">
        <v>1596</v>
      </c>
      <c r="AE84" s="297">
        <v>1476</v>
      </c>
      <c r="AF84" s="297">
        <v>1642</v>
      </c>
    </row>
    <row r="85" spans="1:32" x14ac:dyDescent="0.35">
      <c r="A85" s="296" t="s">
        <v>766</v>
      </c>
      <c r="B85" s="296">
        <v>2024</v>
      </c>
      <c r="C85" s="296" t="s">
        <v>102</v>
      </c>
      <c r="D85" s="297">
        <v>3895</v>
      </c>
      <c r="E85" s="297">
        <v>3836</v>
      </c>
      <c r="F85" s="297">
        <v>35</v>
      </c>
      <c r="G85" s="298">
        <v>9.1199999999999996E-3</v>
      </c>
      <c r="H85" s="297">
        <v>27</v>
      </c>
      <c r="I85" s="298">
        <v>7.0400000000000003E-3</v>
      </c>
      <c r="J85" s="297">
        <v>3</v>
      </c>
      <c r="K85" s="298">
        <v>7.7999999999999999E-4</v>
      </c>
      <c r="L85" s="297">
        <v>16</v>
      </c>
      <c r="M85" s="298">
        <v>4.1700000000000001E-3</v>
      </c>
      <c r="N85" s="297">
        <v>1642</v>
      </c>
      <c r="O85" s="298">
        <v>0.42804999999999999</v>
      </c>
      <c r="P85" s="297">
        <v>1944</v>
      </c>
      <c r="Q85" s="298">
        <v>0.50678000000000001</v>
      </c>
      <c r="R85" s="297">
        <v>169</v>
      </c>
      <c r="S85" s="298">
        <v>4.4060000000000002E-2</v>
      </c>
      <c r="T85" s="297">
        <v>240</v>
      </c>
      <c r="U85" s="297">
        <v>271</v>
      </c>
      <c r="V85" s="297">
        <v>258</v>
      </c>
      <c r="W85" s="297">
        <v>283</v>
      </c>
      <c r="X85" s="297">
        <v>287</v>
      </c>
      <c r="Y85" s="297">
        <v>295</v>
      </c>
      <c r="Z85" s="297">
        <v>283</v>
      </c>
      <c r="AA85" s="297">
        <v>298</v>
      </c>
      <c r="AB85" s="297">
        <v>260</v>
      </c>
      <c r="AC85" s="297">
        <v>339</v>
      </c>
      <c r="AD85" s="297">
        <v>343</v>
      </c>
      <c r="AE85" s="297">
        <v>349</v>
      </c>
      <c r="AF85" s="297">
        <v>330</v>
      </c>
    </row>
    <row r="86" spans="1:32" x14ac:dyDescent="0.35">
      <c r="A86" s="296" t="s">
        <v>355</v>
      </c>
      <c r="B86" s="296">
        <v>1895</v>
      </c>
      <c r="C86" s="296" t="s">
        <v>103</v>
      </c>
      <c r="D86" s="297">
        <v>93</v>
      </c>
      <c r="E86" s="297">
        <v>81</v>
      </c>
      <c r="F86" s="297">
        <v>0</v>
      </c>
      <c r="G86" s="298">
        <v>0</v>
      </c>
      <c r="H86" s="297">
        <v>0</v>
      </c>
      <c r="I86" s="298">
        <v>0</v>
      </c>
      <c r="J86" s="297">
        <v>0</v>
      </c>
      <c r="K86" s="298">
        <v>0</v>
      </c>
      <c r="L86" s="297">
        <v>0</v>
      </c>
      <c r="M86" s="298">
        <v>0</v>
      </c>
      <c r="N86" s="297">
        <v>12</v>
      </c>
      <c r="O86" s="298">
        <v>0.14815</v>
      </c>
      <c r="P86" s="297">
        <v>59</v>
      </c>
      <c r="Q86" s="298">
        <v>0.72840000000000005</v>
      </c>
      <c r="R86" s="297">
        <v>10</v>
      </c>
      <c r="S86" s="298">
        <v>0.12346</v>
      </c>
      <c r="T86" s="297">
        <v>3</v>
      </c>
      <c r="U86" s="297">
        <v>3</v>
      </c>
      <c r="V86" s="297">
        <v>5</v>
      </c>
      <c r="W86" s="297">
        <v>3</v>
      </c>
      <c r="X86" s="297">
        <v>6</v>
      </c>
      <c r="Y86" s="297">
        <v>4</v>
      </c>
      <c r="Z86" s="297">
        <v>5</v>
      </c>
      <c r="AA86" s="297">
        <v>9</v>
      </c>
      <c r="AB86" s="297">
        <v>5</v>
      </c>
      <c r="AC86" s="297">
        <v>8</v>
      </c>
      <c r="AD86" s="297">
        <v>10</v>
      </c>
      <c r="AE86" s="297">
        <v>13</v>
      </c>
      <c r="AF86" s="297">
        <v>7</v>
      </c>
    </row>
    <row r="87" spans="1:32" x14ac:dyDescent="0.35">
      <c r="A87" s="296" t="s">
        <v>531</v>
      </c>
      <c r="B87" s="296">
        <v>2215</v>
      </c>
      <c r="C87" s="296" t="s">
        <v>104</v>
      </c>
      <c r="D87" s="297">
        <v>282</v>
      </c>
      <c r="E87" s="297">
        <v>300</v>
      </c>
      <c r="F87" s="297">
        <v>7</v>
      </c>
      <c r="G87" s="298">
        <v>2.333E-2</v>
      </c>
      <c r="H87" s="297">
        <v>1</v>
      </c>
      <c r="I87" s="298">
        <v>3.3300000000000001E-3</v>
      </c>
      <c r="J87" s="297">
        <v>2</v>
      </c>
      <c r="K87" s="298">
        <v>6.6699999999999997E-3</v>
      </c>
      <c r="L87" s="297">
        <v>0</v>
      </c>
      <c r="M87" s="298">
        <v>0</v>
      </c>
      <c r="N87" s="297">
        <v>22</v>
      </c>
      <c r="O87" s="298">
        <v>7.3330000000000006E-2</v>
      </c>
      <c r="P87" s="297">
        <v>255</v>
      </c>
      <c r="Q87" s="298">
        <v>0.85</v>
      </c>
      <c r="R87" s="297">
        <v>13</v>
      </c>
      <c r="S87" s="298">
        <v>4.333E-2</v>
      </c>
      <c r="T87" s="297">
        <v>15</v>
      </c>
      <c r="U87" s="297">
        <v>21</v>
      </c>
      <c r="V87" s="297">
        <v>23</v>
      </c>
      <c r="W87" s="297">
        <v>22</v>
      </c>
      <c r="X87" s="297">
        <v>24</v>
      </c>
      <c r="Y87" s="297">
        <v>24</v>
      </c>
      <c r="Z87" s="297">
        <v>23</v>
      </c>
      <c r="AA87" s="297">
        <v>24</v>
      </c>
      <c r="AB87" s="297">
        <v>30</v>
      </c>
      <c r="AC87" s="297">
        <v>22</v>
      </c>
      <c r="AD87" s="297">
        <v>30</v>
      </c>
      <c r="AE87" s="297">
        <v>24</v>
      </c>
      <c r="AF87" s="297">
        <v>18</v>
      </c>
    </row>
    <row r="88" spans="1:32" hidden="1" x14ac:dyDescent="0.35">
      <c r="A88" s="296" t="s">
        <v>350</v>
      </c>
      <c r="B88" s="296">
        <v>2200</v>
      </c>
      <c r="C88" s="296" t="s">
        <v>351</v>
      </c>
      <c r="D88" s="297">
        <v>353</v>
      </c>
      <c r="E88" s="297">
        <v>222</v>
      </c>
      <c r="F88" s="297">
        <v>4</v>
      </c>
      <c r="G88" s="298">
        <v>1.8020000000000001E-2</v>
      </c>
      <c r="H88" s="297">
        <v>4</v>
      </c>
      <c r="I88" s="298">
        <v>1.8020000000000001E-2</v>
      </c>
      <c r="J88" s="297">
        <v>1</v>
      </c>
      <c r="K88" s="298">
        <v>4.4999999999999997E-3</v>
      </c>
      <c r="L88" s="297">
        <v>3</v>
      </c>
      <c r="M88" s="298">
        <v>1.3509999999999999E-2</v>
      </c>
      <c r="N88" s="297">
        <v>41</v>
      </c>
      <c r="O88" s="298">
        <v>0.18468000000000001</v>
      </c>
      <c r="P88" s="297">
        <v>152</v>
      </c>
      <c r="Q88" s="298">
        <v>0.68467999999999996</v>
      </c>
      <c r="R88" s="297">
        <v>17</v>
      </c>
      <c r="S88" s="298">
        <v>7.6579999999999995E-2</v>
      </c>
      <c r="T88" s="297">
        <v>3</v>
      </c>
      <c r="U88" s="297">
        <v>9</v>
      </c>
      <c r="V88" s="297">
        <v>15</v>
      </c>
      <c r="W88" s="297">
        <v>9</v>
      </c>
      <c r="X88" s="297">
        <v>9</v>
      </c>
      <c r="Y88" s="297">
        <v>15</v>
      </c>
      <c r="Z88" s="297">
        <v>11</v>
      </c>
      <c r="AA88" s="297">
        <v>17</v>
      </c>
      <c r="AB88" s="297">
        <v>25</v>
      </c>
      <c r="AC88" s="297">
        <v>17</v>
      </c>
      <c r="AD88" s="297">
        <v>25</v>
      </c>
      <c r="AE88" s="297">
        <v>35</v>
      </c>
      <c r="AF88" s="297">
        <v>32</v>
      </c>
    </row>
    <row r="89" spans="1:32" x14ac:dyDescent="0.35">
      <c r="A89" s="296" t="s">
        <v>776</v>
      </c>
      <c r="B89" s="296">
        <v>3997</v>
      </c>
      <c r="C89" s="296" t="s">
        <v>105</v>
      </c>
      <c r="D89" s="297">
        <v>129</v>
      </c>
      <c r="E89" s="297">
        <v>134</v>
      </c>
      <c r="F89" s="297">
        <v>1</v>
      </c>
      <c r="G89" s="298">
        <v>7.4599999999999996E-3</v>
      </c>
      <c r="H89" s="297">
        <v>1</v>
      </c>
      <c r="I89" s="298">
        <v>7.4599999999999996E-3</v>
      </c>
      <c r="J89" s="297">
        <v>0</v>
      </c>
      <c r="K89" s="298">
        <v>0</v>
      </c>
      <c r="L89" s="297">
        <v>0</v>
      </c>
      <c r="M89" s="298">
        <v>0</v>
      </c>
      <c r="N89" s="297">
        <v>42</v>
      </c>
      <c r="O89" s="298">
        <v>0.31342999999999999</v>
      </c>
      <c r="P89" s="297">
        <v>89</v>
      </c>
      <c r="Q89" s="298">
        <v>0.66417999999999999</v>
      </c>
      <c r="R89" s="297">
        <v>1</v>
      </c>
      <c r="S89" s="298">
        <v>7.4599999999999996E-3</v>
      </c>
      <c r="T89" s="297">
        <v>13</v>
      </c>
      <c r="U89" s="297">
        <v>8</v>
      </c>
      <c r="V89" s="297">
        <v>12</v>
      </c>
      <c r="W89" s="297">
        <v>5</v>
      </c>
      <c r="X89" s="297">
        <v>9</v>
      </c>
      <c r="Y89" s="297">
        <v>10</v>
      </c>
      <c r="Z89" s="297">
        <v>13</v>
      </c>
      <c r="AA89" s="297">
        <v>7</v>
      </c>
      <c r="AB89" s="297">
        <v>16</v>
      </c>
      <c r="AC89" s="297">
        <v>12</v>
      </c>
      <c r="AD89" s="297">
        <v>9</v>
      </c>
      <c r="AE89" s="297">
        <v>10</v>
      </c>
      <c r="AF89" s="297">
        <v>10</v>
      </c>
    </row>
    <row r="90" spans="1:32" x14ac:dyDescent="0.35">
      <c r="A90" s="296" t="s">
        <v>329</v>
      </c>
      <c r="B90" s="296">
        <v>2053</v>
      </c>
      <c r="C90" s="296" t="s">
        <v>106</v>
      </c>
      <c r="D90" s="297">
        <v>2772</v>
      </c>
      <c r="E90" s="297">
        <v>2822</v>
      </c>
      <c r="F90" s="297">
        <v>868</v>
      </c>
      <c r="G90" s="298">
        <v>0.30758000000000002</v>
      </c>
      <c r="H90" s="297">
        <v>7</v>
      </c>
      <c r="I90" s="298">
        <v>2.48E-3</v>
      </c>
      <c r="J90" s="297">
        <v>5</v>
      </c>
      <c r="K90" s="298">
        <v>1.7700000000000001E-3</v>
      </c>
      <c r="L90" s="297">
        <v>15</v>
      </c>
      <c r="M90" s="298">
        <v>5.3200000000000001E-3</v>
      </c>
      <c r="N90" s="297">
        <v>1007</v>
      </c>
      <c r="O90" s="298">
        <v>0.35683999999999999</v>
      </c>
      <c r="P90" s="297">
        <v>834</v>
      </c>
      <c r="Q90" s="298">
        <v>0.29554000000000002</v>
      </c>
      <c r="R90" s="297">
        <v>86</v>
      </c>
      <c r="S90" s="298">
        <v>3.0470000000000001E-2</v>
      </c>
      <c r="T90" s="297">
        <v>208</v>
      </c>
      <c r="U90" s="297">
        <v>211</v>
      </c>
      <c r="V90" s="297">
        <v>228</v>
      </c>
      <c r="W90" s="297">
        <v>188</v>
      </c>
      <c r="X90" s="297">
        <v>223</v>
      </c>
      <c r="Y90" s="297">
        <v>208</v>
      </c>
      <c r="Z90" s="297">
        <v>243</v>
      </c>
      <c r="AA90" s="297">
        <v>231</v>
      </c>
      <c r="AB90" s="297">
        <v>228</v>
      </c>
      <c r="AC90" s="297">
        <v>217</v>
      </c>
      <c r="AD90" s="297">
        <v>209</v>
      </c>
      <c r="AE90" s="297">
        <v>218</v>
      </c>
      <c r="AF90" s="297">
        <v>210</v>
      </c>
    </row>
    <row r="91" spans="1:32" x14ac:dyDescent="0.35">
      <c r="A91" s="296" t="s">
        <v>447</v>
      </c>
      <c r="B91" s="296">
        <v>2140</v>
      </c>
      <c r="C91" s="296" t="s">
        <v>107</v>
      </c>
      <c r="D91" s="297">
        <v>792</v>
      </c>
      <c r="E91" s="297">
        <v>760</v>
      </c>
      <c r="F91" s="297">
        <v>3</v>
      </c>
      <c r="G91" s="298">
        <v>3.9500000000000004E-3</v>
      </c>
      <c r="H91" s="297">
        <v>3</v>
      </c>
      <c r="I91" s="298">
        <v>3.9500000000000004E-3</v>
      </c>
      <c r="J91" s="297">
        <v>1</v>
      </c>
      <c r="K91" s="298">
        <v>1.32E-3</v>
      </c>
      <c r="L91" s="297">
        <v>7</v>
      </c>
      <c r="M91" s="298">
        <v>9.2099999999999994E-3</v>
      </c>
      <c r="N91" s="297">
        <v>234</v>
      </c>
      <c r="O91" s="298">
        <v>0.30789</v>
      </c>
      <c r="P91" s="297">
        <v>478</v>
      </c>
      <c r="Q91" s="298">
        <v>0.62895000000000001</v>
      </c>
      <c r="R91" s="297">
        <v>34</v>
      </c>
      <c r="S91" s="298">
        <v>4.4740000000000002E-2</v>
      </c>
      <c r="T91" s="297">
        <v>56</v>
      </c>
      <c r="U91" s="297">
        <v>52</v>
      </c>
      <c r="V91" s="297">
        <v>48</v>
      </c>
      <c r="W91" s="297">
        <v>57</v>
      </c>
      <c r="X91" s="297">
        <v>66</v>
      </c>
      <c r="Y91" s="297">
        <v>50</v>
      </c>
      <c r="Z91" s="297">
        <v>65</v>
      </c>
      <c r="AA91" s="297">
        <v>59</v>
      </c>
      <c r="AB91" s="297">
        <v>67</v>
      </c>
      <c r="AC91" s="297">
        <v>60</v>
      </c>
      <c r="AD91" s="297">
        <v>64</v>
      </c>
      <c r="AE91" s="297">
        <v>59</v>
      </c>
      <c r="AF91" s="297">
        <v>57</v>
      </c>
    </row>
    <row r="92" spans="1:32" x14ac:dyDescent="0.35">
      <c r="A92" s="296" t="s">
        <v>338</v>
      </c>
      <c r="B92" s="296">
        <v>1934</v>
      </c>
      <c r="C92" s="296" t="s">
        <v>108</v>
      </c>
      <c r="D92" s="297">
        <v>148</v>
      </c>
      <c r="E92" s="297">
        <v>134</v>
      </c>
      <c r="F92" s="297">
        <v>1</v>
      </c>
      <c r="G92" s="298">
        <v>7.4599999999999996E-3</v>
      </c>
      <c r="H92" s="297">
        <v>1</v>
      </c>
      <c r="I92" s="298">
        <v>7.4599999999999996E-3</v>
      </c>
      <c r="J92" s="297">
        <v>0</v>
      </c>
      <c r="K92" s="298">
        <v>0</v>
      </c>
      <c r="L92" s="297">
        <v>0</v>
      </c>
      <c r="M92" s="298">
        <v>0</v>
      </c>
      <c r="N92" s="297">
        <v>15</v>
      </c>
      <c r="O92" s="298">
        <v>0.11194</v>
      </c>
      <c r="P92" s="297">
        <v>105</v>
      </c>
      <c r="Q92" s="298">
        <v>0.78358000000000005</v>
      </c>
      <c r="R92" s="297">
        <v>12</v>
      </c>
      <c r="S92" s="298">
        <v>8.9550000000000005E-2</v>
      </c>
      <c r="T92" s="297">
        <v>7</v>
      </c>
      <c r="U92" s="297">
        <v>15</v>
      </c>
      <c r="V92" s="297">
        <v>11</v>
      </c>
      <c r="W92" s="297">
        <v>10</v>
      </c>
      <c r="X92" s="297">
        <v>9</v>
      </c>
      <c r="Y92" s="297">
        <v>10</v>
      </c>
      <c r="Z92" s="297">
        <v>12</v>
      </c>
      <c r="AA92" s="297">
        <v>10</v>
      </c>
      <c r="AB92" s="297">
        <v>10</v>
      </c>
      <c r="AC92" s="297">
        <v>10</v>
      </c>
      <c r="AD92" s="297">
        <v>13</v>
      </c>
      <c r="AE92" s="297">
        <v>12</v>
      </c>
      <c r="AF92" s="297">
        <v>5</v>
      </c>
    </row>
    <row r="93" spans="1:32" x14ac:dyDescent="0.35">
      <c r="A93" s="296" t="s">
        <v>578</v>
      </c>
      <c r="B93" s="296">
        <v>2008</v>
      </c>
      <c r="C93" s="296" t="s">
        <v>109</v>
      </c>
      <c r="D93" s="297">
        <v>509</v>
      </c>
      <c r="E93" s="297">
        <v>470</v>
      </c>
      <c r="F93" s="297">
        <v>5</v>
      </c>
      <c r="G93" s="298">
        <v>1.064E-2</v>
      </c>
      <c r="H93" s="297">
        <v>3</v>
      </c>
      <c r="I93" s="298">
        <v>6.3800000000000003E-3</v>
      </c>
      <c r="J93" s="297">
        <v>0</v>
      </c>
      <c r="K93" s="298">
        <v>0</v>
      </c>
      <c r="L93" s="297">
        <v>1</v>
      </c>
      <c r="M93" s="298">
        <v>2.1299999999999999E-3</v>
      </c>
      <c r="N93" s="297">
        <v>30</v>
      </c>
      <c r="O93" s="298">
        <v>6.3829999999999998E-2</v>
      </c>
      <c r="P93" s="297">
        <v>415</v>
      </c>
      <c r="Q93" s="298">
        <v>0.88297999999999999</v>
      </c>
      <c r="R93" s="297">
        <v>16</v>
      </c>
      <c r="S93" s="298">
        <v>3.4040000000000001E-2</v>
      </c>
      <c r="T93" s="297">
        <v>32</v>
      </c>
      <c r="U93" s="297">
        <v>25</v>
      </c>
      <c r="V93" s="297">
        <v>38</v>
      </c>
      <c r="W93" s="297">
        <v>52</v>
      </c>
      <c r="X93" s="297">
        <v>39</v>
      </c>
      <c r="Y93" s="297">
        <v>36</v>
      </c>
      <c r="Z93" s="297">
        <v>32</v>
      </c>
      <c r="AA93" s="297">
        <v>40</v>
      </c>
      <c r="AB93" s="297">
        <v>37</v>
      </c>
      <c r="AC93" s="297">
        <v>38</v>
      </c>
      <c r="AD93" s="297">
        <v>28</v>
      </c>
      <c r="AE93" s="297">
        <v>45</v>
      </c>
      <c r="AF93" s="297">
        <v>28</v>
      </c>
    </row>
    <row r="94" spans="1:32" x14ac:dyDescent="0.35">
      <c r="A94" s="296" t="s">
        <v>278</v>
      </c>
      <c r="B94" s="296">
        <v>2107</v>
      </c>
      <c r="C94" s="296" t="s">
        <v>110</v>
      </c>
      <c r="D94" s="297">
        <v>61</v>
      </c>
      <c r="E94" s="297">
        <v>63</v>
      </c>
      <c r="F94" s="297">
        <v>0</v>
      </c>
      <c r="G94" s="298">
        <v>0</v>
      </c>
      <c r="H94" s="297">
        <v>0</v>
      </c>
      <c r="I94" s="298">
        <v>0</v>
      </c>
      <c r="J94" s="297">
        <v>0</v>
      </c>
      <c r="K94" s="298">
        <v>0</v>
      </c>
      <c r="L94" s="297">
        <v>1</v>
      </c>
      <c r="M94" s="298">
        <v>1.5869999999999999E-2</v>
      </c>
      <c r="N94" s="297">
        <v>1</v>
      </c>
      <c r="O94" s="298">
        <v>1.5869999999999999E-2</v>
      </c>
      <c r="P94" s="297">
        <v>61</v>
      </c>
      <c r="Q94" s="298">
        <v>0.96825000000000006</v>
      </c>
      <c r="R94" s="297">
        <v>0</v>
      </c>
      <c r="S94" s="298">
        <v>0</v>
      </c>
      <c r="T94" s="297">
        <v>4</v>
      </c>
      <c r="U94" s="297">
        <v>0</v>
      </c>
      <c r="V94" s="297">
        <v>5</v>
      </c>
      <c r="W94" s="297">
        <v>7</v>
      </c>
      <c r="X94" s="297">
        <v>7</v>
      </c>
      <c r="Y94" s="297">
        <v>3</v>
      </c>
      <c r="Z94" s="297">
        <v>6</v>
      </c>
      <c r="AA94" s="297">
        <v>5</v>
      </c>
      <c r="AB94" s="297">
        <v>9</v>
      </c>
      <c r="AC94" s="297">
        <v>2</v>
      </c>
      <c r="AD94" s="297">
        <v>6</v>
      </c>
      <c r="AE94" s="297">
        <v>4</v>
      </c>
      <c r="AF94" s="297">
        <v>5</v>
      </c>
    </row>
    <row r="95" spans="1:32" x14ac:dyDescent="0.35">
      <c r="A95" s="296" t="s">
        <v>643</v>
      </c>
      <c r="B95" s="296">
        <v>2219</v>
      </c>
      <c r="C95" s="296" t="s">
        <v>111</v>
      </c>
      <c r="D95" s="297">
        <v>276</v>
      </c>
      <c r="E95" s="297">
        <v>261</v>
      </c>
      <c r="F95" s="297">
        <v>2</v>
      </c>
      <c r="G95" s="298">
        <v>7.6600000000000001E-3</v>
      </c>
      <c r="H95" s="297">
        <v>2</v>
      </c>
      <c r="I95" s="298">
        <v>7.6600000000000001E-3</v>
      </c>
      <c r="J95" s="297">
        <v>0</v>
      </c>
      <c r="K95" s="298">
        <v>0</v>
      </c>
      <c r="L95" s="297">
        <v>0</v>
      </c>
      <c r="M95" s="298">
        <v>0</v>
      </c>
      <c r="N95" s="297">
        <v>13</v>
      </c>
      <c r="O95" s="298">
        <v>4.981E-2</v>
      </c>
      <c r="P95" s="297">
        <v>224</v>
      </c>
      <c r="Q95" s="298">
        <v>0.85824</v>
      </c>
      <c r="R95" s="297">
        <v>20</v>
      </c>
      <c r="S95" s="298">
        <v>7.6630000000000004E-2</v>
      </c>
      <c r="T95" s="297">
        <v>16</v>
      </c>
      <c r="U95" s="297">
        <v>17</v>
      </c>
      <c r="V95" s="297">
        <v>15</v>
      </c>
      <c r="W95" s="297">
        <v>17</v>
      </c>
      <c r="X95" s="297">
        <v>20</v>
      </c>
      <c r="Y95" s="297">
        <v>18</v>
      </c>
      <c r="Z95" s="297">
        <v>18</v>
      </c>
      <c r="AA95" s="297">
        <v>24</v>
      </c>
      <c r="AB95" s="297">
        <v>15</v>
      </c>
      <c r="AC95" s="297">
        <v>31</v>
      </c>
      <c r="AD95" s="297">
        <v>23</v>
      </c>
      <c r="AE95" s="297">
        <v>27</v>
      </c>
      <c r="AF95" s="297">
        <v>20</v>
      </c>
    </row>
    <row r="96" spans="1:32" x14ac:dyDescent="0.35">
      <c r="A96" s="296" t="s">
        <v>390</v>
      </c>
      <c r="B96" s="296">
        <v>2091</v>
      </c>
      <c r="C96" s="296" t="s">
        <v>112</v>
      </c>
      <c r="D96" s="297">
        <v>1605</v>
      </c>
      <c r="E96" s="297">
        <v>1680</v>
      </c>
      <c r="F96" s="297">
        <v>25</v>
      </c>
      <c r="G96" s="298">
        <v>1.4880000000000001E-2</v>
      </c>
      <c r="H96" s="297">
        <v>12</v>
      </c>
      <c r="I96" s="298">
        <v>7.1399999999999996E-3</v>
      </c>
      <c r="J96" s="297">
        <v>7</v>
      </c>
      <c r="K96" s="298">
        <v>4.1700000000000001E-3</v>
      </c>
      <c r="L96" s="297">
        <v>20</v>
      </c>
      <c r="M96" s="298">
        <v>1.1900000000000001E-2</v>
      </c>
      <c r="N96" s="297">
        <v>260</v>
      </c>
      <c r="O96" s="298">
        <v>0.15476000000000001</v>
      </c>
      <c r="P96" s="297">
        <v>1296</v>
      </c>
      <c r="Q96" s="298">
        <v>0.77142999999999995</v>
      </c>
      <c r="R96" s="297">
        <v>60</v>
      </c>
      <c r="S96" s="298">
        <v>3.5709999999999999E-2</v>
      </c>
      <c r="T96" s="297">
        <v>135</v>
      </c>
      <c r="U96" s="297">
        <v>128</v>
      </c>
      <c r="V96" s="297">
        <v>120</v>
      </c>
      <c r="W96" s="297">
        <v>127</v>
      </c>
      <c r="X96" s="297">
        <v>107</v>
      </c>
      <c r="Y96" s="297">
        <v>107</v>
      </c>
      <c r="Z96" s="297">
        <v>137</v>
      </c>
      <c r="AA96" s="297">
        <v>130</v>
      </c>
      <c r="AB96" s="297">
        <v>137</v>
      </c>
      <c r="AC96" s="297">
        <v>144</v>
      </c>
      <c r="AD96" s="297">
        <v>143</v>
      </c>
      <c r="AE96" s="297">
        <v>113</v>
      </c>
      <c r="AF96" s="297">
        <v>152</v>
      </c>
    </row>
    <row r="97" spans="1:32" x14ac:dyDescent="0.35">
      <c r="A97" s="296" t="s">
        <v>278</v>
      </c>
      <c r="B97" s="296">
        <v>2109</v>
      </c>
      <c r="C97" s="296" t="s">
        <v>113</v>
      </c>
      <c r="D97" s="297">
        <v>4</v>
      </c>
      <c r="E97" s="297">
        <v>3</v>
      </c>
      <c r="F97" s="297">
        <v>0</v>
      </c>
      <c r="G97" s="298">
        <v>0</v>
      </c>
      <c r="H97" s="297">
        <v>0</v>
      </c>
      <c r="I97" s="298">
        <v>0</v>
      </c>
      <c r="J97" s="297">
        <v>0</v>
      </c>
      <c r="K97" s="298">
        <v>0</v>
      </c>
      <c r="L97" s="297">
        <v>0</v>
      </c>
      <c r="M97" s="298">
        <v>0</v>
      </c>
      <c r="N97" s="297">
        <v>0</v>
      </c>
      <c r="O97" s="298">
        <v>0</v>
      </c>
      <c r="P97" s="297">
        <v>3</v>
      </c>
      <c r="Q97" s="298">
        <v>1</v>
      </c>
      <c r="R97" s="297">
        <v>0</v>
      </c>
      <c r="S97" s="298">
        <v>0</v>
      </c>
      <c r="T97" s="297">
        <v>1</v>
      </c>
      <c r="U97" s="297">
        <v>0</v>
      </c>
      <c r="V97" s="297">
        <v>1</v>
      </c>
      <c r="W97" s="297">
        <v>0</v>
      </c>
      <c r="X97" s="297">
        <v>1</v>
      </c>
      <c r="Y97" s="297">
        <v>0</v>
      </c>
      <c r="Z97" s="297">
        <v>0</v>
      </c>
      <c r="AA97" s="297">
        <v>0</v>
      </c>
      <c r="AB97" s="297">
        <v>0</v>
      </c>
      <c r="AC97" s="297">
        <v>0</v>
      </c>
      <c r="AD97" s="297">
        <v>0</v>
      </c>
      <c r="AE97" s="297">
        <v>0</v>
      </c>
      <c r="AF97" s="297">
        <v>0</v>
      </c>
    </row>
    <row r="98" spans="1:32" x14ac:dyDescent="0.35">
      <c r="A98" s="296" t="s">
        <v>817</v>
      </c>
      <c r="B98" s="296">
        <v>2057</v>
      </c>
      <c r="C98" s="296" t="s">
        <v>114</v>
      </c>
      <c r="D98" s="297">
        <v>6967</v>
      </c>
      <c r="E98" s="297">
        <v>7081</v>
      </c>
      <c r="F98" s="297">
        <v>399</v>
      </c>
      <c r="G98" s="298">
        <v>5.6349999999999997E-2</v>
      </c>
      <c r="H98" s="297">
        <v>59</v>
      </c>
      <c r="I98" s="298">
        <v>8.3300000000000006E-3</v>
      </c>
      <c r="J98" s="297">
        <v>20</v>
      </c>
      <c r="K98" s="298">
        <v>2.82E-3</v>
      </c>
      <c r="L98" s="297">
        <v>57</v>
      </c>
      <c r="M98" s="298">
        <v>8.0499999999999999E-3</v>
      </c>
      <c r="N98" s="297">
        <v>1502</v>
      </c>
      <c r="O98" s="298">
        <v>0.21212</v>
      </c>
      <c r="P98" s="297">
        <v>4558</v>
      </c>
      <c r="Q98" s="298">
        <v>0.64368999999999998</v>
      </c>
      <c r="R98" s="297">
        <v>486</v>
      </c>
      <c r="S98" s="298">
        <v>6.8629999999999997E-2</v>
      </c>
      <c r="T98" s="297">
        <v>495</v>
      </c>
      <c r="U98" s="297">
        <v>571</v>
      </c>
      <c r="V98" s="297">
        <v>525</v>
      </c>
      <c r="W98" s="297">
        <v>550</v>
      </c>
      <c r="X98" s="297">
        <v>555</v>
      </c>
      <c r="Y98" s="297">
        <v>542</v>
      </c>
      <c r="Z98" s="297">
        <v>578</v>
      </c>
      <c r="AA98" s="297">
        <v>592</v>
      </c>
      <c r="AB98" s="297">
        <v>557</v>
      </c>
      <c r="AC98" s="297">
        <v>598</v>
      </c>
      <c r="AD98" s="297">
        <v>515</v>
      </c>
      <c r="AE98" s="297">
        <v>506</v>
      </c>
      <c r="AF98" s="297">
        <v>497</v>
      </c>
    </row>
    <row r="99" spans="1:32" x14ac:dyDescent="0.35">
      <c r="A99" s="296" t="s">
        <v>817</v>
      </c>
      <c r="B99" s="296">
        <v>2056</v>
      </c>
      <c r="C99" s="296" t="s">
        <v>115</v>
      </c>
      <c r="D99" s="297">
        <v>2706</v>
      </c>
      <c r="E99" s="297">
        <v>2747</v>
      </c>
      <c r="F99" s="297">
        <v>154</v>
      </c>
      <c r="G99" s="298">
        <v>5.6059999999999999E-2</v>
      </c>
      <c r="H99" s="297">
        <v>20</v>
      </c>
      <c r="I99" s="298">
        <v>7.28E-3</v>
      </c>
      <c r="J99" s="297">
        <v>4</v>
      </c>
      <c r="K99" s="298">
        <v>1.4599999999999999E-3</v>
      </c>
      <c r="L99" s="297">
        <v>39</v>
      </c>
      <c r="M99" s="298">
        <v>1.4200000000000001E-2</v>
      </c>
      <c r="N99" s="297">
        <v>697</v>
      </c>
      <c r="O99" s="298">
        <v>0.25373000000000001</v>
      </c>
      <c r="P99" s="297">
        <v>1584</v>
      </c>
      <c r="Q99" s="298">
        <v>0.57662999999999998</v>
      </c>
      <c r="R99" s="297">
        <v>249</v>
      </c>
      <c r="S99" s="298">
        <v>9.0639999999999998E-2</v>
      </c>
      <c r="T99" s="297">
        <v>208</v>
      </c>
      <c r="U99" s="297">
        <v>213</v>
      </c>
      <c r="V99" s="297">
        <v>203</v>
      </c>
      <c r="W99" s="297">
        <v>207</v>
      </c>
      <c r="X99" s="297">
        <v>183</v>
      </c>
      <c r="Y99" s="297">
        <v>211</v>
      </c>
      <c r="Z99" s="297">
        <v>211</v>
      </c>
      <c r="AA99" s="297">
        <v>205</v>
      </c>
      <c r="AB99" s="297">
        <v>172</v>
      </c>
      <c r="AC99" s="297">
        <v>235</v>
      </c>
      <c r="AD99" s="297">
        <v>238</v>
      </c>
      <c r="AE99" s="297">
        <v>240</v>
      </c>
      <c r="AF99" s="297">
        <v>221</v>
      </c>
    </row>
    <row r="100" spans="1:32" x14ac:dyDescent="0.35">
      <c r="A100" s="296" t="s">
        <v>338</v>
      </c>
      <c r="B100" s="296">
        <v>2262</v>
      </c>
      <c r="C100" s="296" t="s">
        <v>116</v>
      </c>
      <c r="D100" s="297">
        <v>468</v>
      </c>
      <c r="E100" s="297">
        <v>453</v>
      </c>
      <c r="F100" s="297">
        <v>8</v>
      </c>
      <c r="G100" s="298">
        <v>1.7659999999999999E-2</v>
      </c>
      <c r="H100" s="297">
        <v>4</v>
      </c>
      <c r="I100" s="298">
        <v>8.8299999999999993E-3</v>
      </c>
      <c r="J100" s="297">
        <v>1</v>
      </c>
      <c r="K100" s="298">
        <v>2.2100000000000002E-3</v>
      </c>
      <c r="L100" s="297">
        <v>0</v>
      </c>
      <c r="M100" s="298">
        <v>0</v>
      </c>
      <c r="N100" s="297">
        <v>35</v>
      </c>
      <c r="O100" s="298">
        <v>7.7259999999999995E-2</v>
      </c>
      <c r="P100" s="297">
        <v>379</v>
      </c>
      <c r="Q100" s="298">
        <v>0.83664000000000005</v>
      </c>
      <c r="R100" s="297">
        <v>26</v>
      </c>
      <c r="S100" s="298">
        <v>5.74E-2</v>
      </c>
      <c r="T100" s="297">
        <v>25</v>
      </c>
      <c r="U100" s="297">
        <v>31</v>
      </c>
      <c r="V100" s="297">
        <v>38</v>
      </c>
      <c r="W100" s="297">
        <v>35</v>
      </c>
      <c r="X100" s="297">
        <v>36</v>
      </c>
      <c r="Y100" s="297">
        <v>40</v>
      </c>
      <c r="Z100" s="297">
        <v>35</v>
      </c>
      <c r="AA100" s="297">
        <v>36</v>
      </c>
      <c r="AB100" s="297">
        <v>35</v>
      </c>
      <c r="AC100" s="297">
        <v>37</v>
      </c>
      <c r="AD100" s="297">
        <v>34</v>
      </c>
      <c r="AE100" s="297">
        <v>35</v>
      </c>
      <c r="AF100" s="297">
        <v>36</v>
      </c>
    </row>
    <row r="101" spans="1:32" x14ac:dyDescent="0.35">
      <c r="A101" s="296" t="s">
        <v>531</v>
      </c>
      <c r="B101" s="296">
        <v>2212</v>
      </c>
      <c r="C101" s="296" t="s">
        <v>117</v>
      </c>
      <c r="D101" s="297">
        <v>2049</v>
      </c>
      <c r="E101" s="297">
        <v>2098</v>
      </c>
      <c r="F101" s="297">
        <v>29</v>
      </c>
      <c r="G101" s="298">
        <v>1.3820000000000001E-2</v>
      </c>
      <c r="H101" s="297">
        <v>28</v>
      </c>
      <c r="I101" s="298">
        <v>1.3350000000000001E-2</v>
      </c>
      <c r="J101" s="297">
        <v>84</v>
      </c>
      <c r="K101" s="298">
        <v>4.0039999999999999E-2</v>
      </c>
      <c r="L101" s="297">
        <v>7</v>
      </c>
      <c r="M101" s="298">
        <v>3.3400000000000001E-3</v>
      </c>
      <c r="N101" s="297">
        <v>138</v>
      </c>
      <c r="O101" s="298">
        <v>6.5780000000000005E-2</v>
      </c>
      <c r="P101" s="297">
        <v>1690</v>
      </c>
      <c r="Q101" s="298">
        <v>0.80552999999999997</v>
      </c>
      <c r="R101" s="297">
        <v>122</v>
      </c>
      <c r="S101" s="298">
        <v>5.815E-2</v>
      </c>
      <c r="T101" s="297">
        <v>154</v>
      </c>
      <c r="U101" s="297">
        <v>173</v>
      </c>
      <c r="V101" s="297">
        <v>161</v>
      </c>
      <c r="W101" s="297">
        <v>160</v>
      </c>
      <c r="X101" s="297">
        <v>160</v>
      </c>
      <c r="Y101" s="297">
        <v>163</v>
      </c>
      <c r="Z101" s="297">
        <v>168</v>
      </c>
      <c r="AA101" s="297">
        <v>147</v>
      </c>
      <c r="AB101" s="297">
        <v>165</v>
      </c>
      <c r="AC101" s="297">
        <v>171</v>
      </c>
      <c r="AD101" s="297">
        <v>173</v>
      </c>
      <c r="AE101" s="297">
        <v>140</v>
      </c>
      <c r="AF101" s="297">
        <v>163</v>
      </c>
    </row>
    <row r="102" spans="1:32" x14ac:dyDescent="0.35">
      <c r="A102" s="296" t="s">
        <v>271</v>
      </c>
      <c r="B102" s="296">
        <v>2059</v>
      </c>
      <c r="C102" s="296" t="s">
        <v>118</v>
      </c>
      <c r="D102" s="297">
        <v>762</v>
      </c>
      <c r="E102" s="297">
        <v>771</v>
      </c>
      <c r="F102" s="297">
        <v>19</v>
      </c>
      <c r="G102" s="298">
        <v>2.4639999999999999E-2</v>
      </c>
      <c r="H102" s="297">
        <v>4</v>
      </c>
      <c r="I102" s="298">
        <v>5.1900000000000002E-3</v>
      </c>
      <c r="J102" s="297">
        <v>0</v>
      </c>
      <c r="K102" s="298">
        <v>0</v>
      </c>
      <c r="L102" s="297">
        <v>0</v>
      </c>
      <c r="M102" s="298">
        <v>0</v>
      </c>
      <c r="N102" s="297">
        <v>157</v>
      </c>
      <c r="O102" s="298">
        <v>0.20363000000000001</v>
      </c>
      <c r="P102" s="297">
        <v>544</v>
      </c>
      <c r="Q102" s="298">
        <v>0.70557999999999998</v>
      </c>
      <c r="R102" s="297">
        <v>47</v>
      </c>
      <c r="S102" s="298">
        <v>6.096E-2</v>
      </c>
      <c r="T102" s="297">
        <v>50</v>
      </c>
      <c r="U102" s="297">
        <v>47</v>
      </c>
      <c r="V102" s="297">
        <v>55</v>
      </c>
      <c r="W102" s="297">
        <v>52</v>
      </c>
      <c r="X102" s="297">
        <v>50</v>
      </c>
      <c r="Y102" s="297">
        <v>66</v>
      </c>
      <c r="Z102" s="297">
        <v>77</v>
      </c>
      <c r="AA102" s="297">
        <v>49</v>
      </c>
      <c r="AB102" s="297">
        <v>60</v>
      </c>
      <c r="AC102" s="297">
        <v>70</v>
      </c>
      <c r="AD102" s="297">
        <v>73</v>
      </c>
      <c r="AE102" s="297">
        <v>63</v>
      </c>
      <c r="AF102" s="297">
        <v>59</v>
      </c>
    </row>
    <row r="103" spans="1:32" x14ac:dyDescent="0.35">
      <c r="A103" s="296" t="s">
        <v>440</v>
      </c>
      <c r="B103" s="296">
        <v>1923</v>
      </c>
      <c r="C103" s="296" t="s">
        <v>119</v>
      </c>
      <c r="D103" s="297">
        <v>6838</v>
      </c>
      <c r="E103" s="297">
        <v>6854</v>
      </c>
      <c r="F103" s="297">
        <v>12</v>
      </c>
      <c r="G103" s="298">
        <v>1.75E-3</v>
      </c>
      <c r="H103" s="297">
        <v>717</v>
      </c>
      <c r="I103" s="298">
        <v>0.10460999999999999</v>
      </c>
      <c r="J103" s="297">
        <v>17</v>
      </c>
      <c r="K103" s="298">
        <v>2.48E-3</v>
      </c>
      <c r="L103" s="297">
        <v>57</v>
      </c>
      <c r="M103" s="298">
        <v>8.3199999999999993E-3</v>
      </c>
      <c r="N103" s="297">
        <v>609</v>
      </c>
      <c r="O103" s="298">
        <v>8.8849999999999998E-2</v>
      </c>
      <c r="P103" s="297">
        <v>4657</v>
      </c>
      <c r="Q103" s="298">
        <v>0.67945999999999995</v>
      </c>
      <c r="R103" s="297">
        <v>785</v>
      </c>
      <c r="S103" s="298">
        <v>0.11453000000000001</v>
      </c>
      <c r="T103" s="297">
        <v>359</v>
      </c>
      <c r="U103" s="297">
        <v>465</v>
      </c>
      <c r="V103" s="297">
        <v>433</v>
      </c>
      <c r="W103" s="297">
        <v>437</v>
      </c>
      <c r="X103" s="297">
        <v>485</v>
      </c>
      <c r="Y103" s="297">
        <v>467</v>
      </c>
      <c r="Z103" s="297">
        <v>537</v>
      </c>
      <c r="AA103" s="297">
        <v>588</v>
      </c>
      <c r="AB103" s="297">
        <v>538</v>
      </c>
      <c r="AC103" s="297">
        <v>658</v>
      </c>
      <c r="AD103" s="297">
        <v>597</v>
      </c>
      <c r="AE103" s="297">
        <v>633</v>
      </c>
      <c r="AF103" s="297">
        <v>657</v>
      </c>
    </row>
    <row r="104" spans="1:32" hidden="1" x14ac:dyDescent="0.35">
      <c r="A104" s="296" t="s">
        <v>390</v>
      </c>
      <c r="B104" s="296">
        <v>2064</v>
      </c>
      <c r="C104" s="296" t="s">
        <v>391</v>
      </c>
      <c r="D104" s="297">
        <v>85</v>
      </c>
      <c r="E104" s="297">
        <v>79</v>
      </c>
      <c r="F104" s="297">
        <v>0</v>
      </c>
      <c r="G104" s="298">
        <v>0</v>
      </c>
      <c r="H104" s="297">
        <v>0</v>
      </c>
      <c r="I104" s="298">
        <v>0</v>
      </c>
      <c r="J104" s="297">
        <v>0</v>
      </c>
      <c r="K104" s="298">
        <v>0</v>
      </c>
      <c r="L104" s="297">
        <v>2</v>
      </c>
      <c r="M104" s="298">
        <v>2.5319999999999999E-2</v>
      </c>
      <c r="N104" s="297">
        <v>17</v>
      </c>
      <c r="O104" s="298">
        <v>0.21518999999999999</v>
      </c>
      <c r="P104" s="297">
        <v>56</v>
      </c>
      <c r="Q104" s="298">
        <v>0.70886000000000005</v>
      </c>
      <c r="R104" s="297">
        <v>4</v>
      </c>
      <c r="S104" s="298">
        <v>5.0630000000000001E-2</v>
      </c>
      <c r="T104" s="297">
        <v>7</v>
      </c>
      <c r="U104" s="297">
        <v>6</v>
      </c>
      <c r="V104" s="297">
        <v>11</v>
      </c>
      <c r="W104" s="297">
        <v>5</v>
      </c>
      <c r="X104" s="297">
        <v>6</v>
      </c>
      <c r="Y104" s="297">
        <v>9</v>
      </c>
      <c r="Z104" s="297">
        <v>2</v>
      </c>
      <c r="AA104" s="297">
        <v>4</v>
      </c>
      <c r="AB104" s="297">
        <v>8</v>
      </c>
      <c r="AC104" s="297">
        <v>7</v>
      </c>
      <c r="AD104" s="297">
        <v>4</v>
      </c>
      <c r="AE104" s="297">
        <v>4</v>
      </c>
      <c r="AF104" s="297">
        <v>6</v>
      </c>
    </row>
    <row r="105" spans="1:32" x14ac:dyDescent="0.35">
      <c r="A105" s="296" t="s">
        <v>471</v>
      </c>
      <c r="B105" s="296">
        <v>2101</v>
      </c>
      <c r="C105" s="296" t="s">
        <v>120</v>
      </c>
      <c r="D105" s="297">
        <v>4063</v>
      </c>
      <c r="E105" s="297">
        <v>4046</v>
      </c>
      <c r="F105" s="297">
        <v>27</v>
      </c>
      <c r="G105" s="298">
        <v>6.6699999999999997E-3</v>
      </c>
      <c r="H105" s="297">
        <v>21</v>
      </c>
      <c r="I105" s="298">
        <v>5.1900000000000002E-3</v>
      </c>
      <c r="J105" s="297">
        <v>13</v>
      </c>
      <c r="K105" s="298">
        <v>3.2100000000000002E-3</v>
      </c>
      <c r="L105" s="297">
        <v>8</v>
      </c>
      <c r="M105" s="298">
        <v>1.98E-3</v>
      </c>
      <c r="N105" s="297">
        <v>462</v>
      </c>
      <c r="O105" s="298">
        <v>0.11419</v>
      </c>
      <c r="P105" s="297">
        <v>3210</v>
      </c>
      <c r="Q105" s="298">
        <v>0.79337999999999997</v>
      </c>
      <c r="R105" s="297">
        <v>305</v>
      </c>
      <c r="S105" s="298">
        <v>7.5380000000000003E-2</v>
      </c>
      <c r="T105" s="297">
        <v>295</v>
      </c>
      <c r="U105" s="297">
        <v>311</v>
      </c>
      <c r="V105" s="297">
        <v>308</v>
      </c>
      <c r="W105" s="297">
        <v>304</v>
      </c>
      <c r="X105" s="297">
        <v>304</v>
      </c>
      <c r="Y105" s="297">
        <v>320</v>
      </c>
      <c r="Z105" s="297">
        <v>322</v>
      </c>
      <c r="AA105" s="297">
        <v>284</v>
      </c>
      <c r="AB105" s="297">
        <v>309</v>
      </c>
      <c r="AC105" s="297">
        <v>327</v>
      </c>
      <c r="AD105" s="297">
        <v>342</v>
      </c>
      <c r="AE105" s="297">
        <v>320</v>
      </c>
      <c r="AF105" s="297">
        <v>300</v>
      </c>
    </row>
    <row r="106" spans="1:32" x14ac:dyDescent="0.35">
      <c r="A106" s="296" t="s">
        <v>856</v>
      </c>
      <c r="B106" s="296">
        <v>2097</v>
      </c>
      <c r="C106" s="296" t="s">
        <v>121</v>
      </c>
      <c r="D106" s="297">
        <v>5206</v>
      </c>
      <c r="E106" s="297">
        <v>5124</v>
      </c>
      <c r="F106" s="297">
        <v>221</v>
      </c>
      <c r="G106" s="298">
        <v>4.3130000000000002E-2</v>
      </c>
      <c r="H106" s="297">
        <v>47</v>
      </c>
      <c r="I106" s="298">
        <v>9.1699999999999993E-3</v>
      </c>
      <c r="J106" s="297">
        <v>14</v>
      </c>
      <c r="K106" s="298">
        <v>2.7299999999999998E-3</v>
      </c>
      <c r="L106" s="297">
        <v>28</v>
      </c>
      <c r="M106" s="298">
        <v>5.4599999999999996E-3</v>
      </c>
      <c r="N106" s="297">
        <v>1217</v>
      </c>
      <c r="O106" s="298">
        <v>0.23751</v>
      </c>
      <c r="P106" s="297">
        <v>3129</v>
      </c>
      <c r="Q106" s="298">
        <v>0.61065999999999998</v>
      </c>
      <c r="R106" s="297">
        <v>468</v>
      </c>
      <c r="S106" s="298">
        <v>9.1329999999999995E-2</v>
      </c>
      <c r="T106" s="297">
        <v>301</v>
      </c>
      <c r="U106" s="297">
        <v>354</v>
      </c>
      <c r="V106" s="297">
        <v>348</v>
      </c>
      <c r="W106" s="297">
        <v>364</v>
      </c>
      <c r="X106" s="297">
        <v>410</v>
      </c>
      <c r="Y106" s="297">
        <v>361</v>
      </c>
      <c r="Z106" s="297">
        <v>397</v>
      </c>
      <c r="AA106" s="297">
        <v>428</v>
      </c>
      <c r="AB106" s="297">
        <v>443</v>
      </c>
      <c r="AC106" s="297">
        <v>456</v>
      </c>
      <c r="AD106" s="297">
        <v>466</v>
      </c>
      <c r="AE106" s="297">
        <v>406</v>
      </c>
      <c r="AF106" s="297">
        <v>390</v>
      </c>
    </row>
    <row r="107" spans="1:32" hidden="1" x14ac:dyDescent="0.35">
      <c r="A107" s="296" t="s">
        <v>471</v>
      </c>
      <c r="B107" s="296">
        <v>2098</v>
      </c>
      <c r="C107" s="296" t="s">
        <v>290</v>
      </c>
      <c r="D107" s="297">
        <v>39</v>
      </c>
      <c r="E107" s="297">
        <v>58</v>
      </c>
      <c r="F107" s="297">
        <v>3</v>
      </c>
      <c r="G107" s="298">
        <v>5.1720000000000002E-2</v>
      </c>
      <c r="H107" s="297">
        <v>0</v>
      </c>
      <c r="I107" s="298">
        <v>0</v>
      </c>
      <c r="J107" s="297">
        <v>0</v>
      </c>
      <c r="K107" s="298">
        <v>0</v>
      </c>
      <c r="L107" s="297">
        <v>2</v>
      </c>
      <c r="M107" s="298">
        <v>3.4479999999999997E-2</v>
      </c>
      <c r="N107" s="297">
        <v>9</v>
      </c>
      <c r="O107" s="298">
        <v>0.15517</v>
      </c>
      <c r="P107" s="297">
        <v>37</v>
      </c>
      <c r="Q107" s="298">
        <v>0.63793</v>
      </c>
      <c r="R107" s="297">
        <v>7</v>
      </c>
      <c r="S107" s="298">
        <v>0.12069000000000001</v>
      </c>
      <c r="T107" s="297">
        <v>0</v>
      </c>
      <c r="U107" s="297">
        <v>1</v>
      </c>
      <c r="V107" s="297">
        <v>3</v>
      </c>
      <c r="W107" s="297">
        <v>0</v>
      </c>
      <c r="X107" s="297">
        <v>1</v>
      </c>
      <c r="Y107" s="297">
        <v>1</v>
      </c>
      <c r="Z107" s="297">
        <v>3</v>
      </c>
      <c r="AA107" s="297">
        <v>3</v>
      </c>
      <c r="AB107" s="297">
        <v>5</v>
      </c>
      <c r="AC107" s="297">
        <v>12</v>
      </c>
      <c r="AD107" s="297">
        <v>9</v>
      </c>
      <c r="AE107" s="297">
        <v>15</v>
      </c>
      <c r="AF107" s="297">
        <v>5</v>
      </c>
    </row>
    <row r="108" spans="1:32" x14ac:dyDescent="0.35">
      <c r="A108" s="296" t="s">
        <v>578</v>
      </c>
      <c r="B108" s="296">
        <v>2012</v>
      </c>
      <c r="C108" s="296" t="s">
        <v>122</v>
      </c>
      <c r="D108" s="297">
        <v>23</v>
      </c>
      <c r="E108" s="297">
        <v>26</v>
      </c>
      <c r="F108" s="297">
        <v>0</v>
      </c>
      <c r="G108" s="298">
        <v>0</v>
      </c>
      <c r="H108" s="297">
        <v>1</v>
      </c>
      <c r="I108" s="298">
        <v>3.8460000000000001E-2</v>
      </c>
      <c r="J108" s="297">
        <v>0</v>
      </c>
      <c r="K108" s="298">
        <v>0</v>
      </c>
      <c r="L108" s="297">
        <v>0</v>
      </c>
      <c r="M108" s="298">
        <v>0</v>
      </c>
      <c r="N108" s="297">
        <v>5</v>
      </c>
      <c r="O108" s="298">
        <v>0.19231000000000001</v>
      </c>
      <c r="P108" s="297">
        <v>17</v>
      </c>
      <c r="Q108" s="298">
        <v>0.65385000000000004</v>
      </c>
      <c r="R108" s="297">
        <v>3</v>
      </c>
      <c r="S108" s="298">
        <v>0.11538</v>
      </c>
      <c r="T108" s="297">
        <v>2</v>
      </c>
      <c r="U108" s="297">
        <v>3</v>
      </c>
      <c r="V108" s="297">
        <v>2</v>
      </c>
      <c r="W108" s="297">
        <v>3</v>
      </c>
      <c r="X108" s="297">
        <v>1</v>
      </c>
      <c r="Y108" s="297">
        <v>2</v>
      </c>
      <c r="Z108" s="297">
        <v>0</v>
      </c>
      <c r="AA108" s="297">
        <v>1</v>
      </c>
      <c r="AB108" s="297">
        <v>1</v>
      </c>
      <c r="AC108" s="297">
        <v>2</v>
      </c>
      <c r="AD108" s="297">
        <v>2</v>
      </c>
      <c r="AE108" s="297">
        <v>6</v>
      </c>
      <c r="AF108" s="297">
        <v>1</v>
      </c>
    </row>
    <row r="109" spans="1:32" x14ac:dyDescent="0.35">
      <c r="A109" s="296" t="s">
        <v>390</v>
      </c>
      <c r="B109" s="296">
        <v>2092</v>
      </c>
      <c r="C109" s="296" t="s">
        <v>123</v>
      </c>
      <c r="D109" s="297">
        <v>1159</v>
      </c>
      <c r="E109" s="297">
        <v>1064</v>
      </c>
      <c r="F109" s="297">
        <v>13</v>
      </c>
      <c r="G109" s="298">
        <v>1.222E-2</v>
      </c>
      <c r="H109" s="297">
        <v>0</v>
      </c>
      <c r="I109" s="298">
        <v>0</v>
      </c>
      <c r="J109" s="297">
        <v>3</v>
      </c>
      <c r="K109" s="298">
        <v>2.82E-3</v>
      </c>
      <c r="L109" s="297">
        <v>9</v>
      </c>
      <c r="M109" s="298">
        <v>8.4600000000000005E-3</v>
      </c>
      <c r="N109" s="297">
        <v>90</v>
      </c>
      <c r="O109" s="298">
        <v>8.4589999999999999E-2</v>
      </c>
      <c r="P109" s="297">
        <v>885</v>
      </c>
      <c r="Q109" s="298">
        <v>0.83177000000000001</v>
      </c>
      <c r="R109" s="297">
        <v>64</v>
      </c>
      <c r="S109" s="298">
        <v>6.0150000000000002E-2</v>
      </c>
      <c r="T109" s="297">
        <v>87</v>
      </c>
      <c r="U109" s="297">
        <v>104</v>
      </c>
      <c r="V109" s="297">
        <v>89</v>
      </c>
      <c r="W109" s="297">
        <v>98</v>
      </c>
      <c r="X109" s="297">
        <v>84</v>
      </c>
      <c r="Y109" s="297">
        <v>94</v>
      </c>
      <c r="Z109" s="297">
        <v>86</v>
      </c>
      <c r="AA109" s="297">
        <v>88</v>
      </c>
      <c r="AB109" s="297">
        <v>90</v>
      </c>
      <c r="AC109" s="297">
        <v>67</v>
      </c>
      <c r="AD109" s="297">
        <v>66</v>
      </c>
      <c r="AE109" s="297">
        <v>67</v>
      </c>
      <c r="AF109" s="297">
        <v>44</v>
      </c>
    </row>
    <row r="110" spans="1:32" x14ac:dyDescent="0.35">
      <c r="A110" s="296" t="s">
        <v>278</v>
      </c>
      <c r="B110" s="296">
        <v>2112</v>
      </c>
      <c r="C110" s="296" t="s">
        <v>124</v>
      </c>
      <c r="D110" s="297">
        <v>1</v>
      </c>
      <c r="E110" s="297">
        <v>3</v>
      </c>
      <c r="F110" s="297">
        <v>0</v>
      </c>
      <c r="G110" s="298">
        <v>0</v>
      </c>
      <c r="H110" s="297">
        <v>0</v>
      </c>
      <c r="I110" s="298">
        <v>0</v>
      </c>
      <c r="J110" s="297">
        <v>0</v>
      </c>
      <c r="K110" s="298">
        <v>0</v>
      </c>
      <c r="L110" s="297">
        <v>0</v>
      </c>
      <c r="M110" s="298">
        <v>0</v>
      </c>
      <c r="N110" s="297">
        <v>0</v>
      </c>
      <c r="O110" s="298">
        <v>0</v>
      </c>
      <c r="P110" s="297">
        <v>3</v>
      </c>
      <c r="Q110" s="298">
        <v>1</v>
      </c>
      <c r="R110" s="297">
        <v>0</v>
      </c>
      <c r="S110" s="298">
        <v>0</v>
      </c>
      <c r="T110" s="297">
        <v>1</v>
      </c>
      <c r="U110" s="297">
        <v>0</v>
      </c>
      <c r="V110" s="297">
        <v>0</v>
      </c>
      <c r="W110" s="297">
        <v>1</v>
      </c>
      <c r="X110" s="297">
        <v>0</v>
      </c>
      <c r="Y110" s="297">
        <v>0</v>
      </c>
      <c r="Z110" s="297">
        <v>1</v>
      </c>
      <c r="AA110" s="297">
        <v>0</v>
      </c>
      <c r="AB110" s="297">
        <v>0</v>
      </c>
      <c r="AC110" s="297">
        <v>0</v>
      </c>
      <c r="AD110" s="297">
        <v>0</v>
      </c>
      <c r="AE110" s="297">
        <v>0</v>
      </c>
      <c r="AF110" s="297">
        <v>0</v>
      </c>
    </row>
    <row r="111" spans="1:32" x14ac:dyDescent="0.35">
      <c r="A111" s="296" t="s">
        <v>390</v>
      </c>
      <c r="B111" s="296">
        <v>2085</v>
      </c>
      <c r="C111" s="296" t="s">
        <v>125</v>
      </c>
      <c r="D111" s="297">
        <v>135</v>
      </c>
      <c r="E111" s="297">
        <v>145</v>
      </c>
      <c r="F111" s="297">
        <v>4</v>
      </c>
      <c r="G111" s="298">
        <v>2.759E-2</v>
      </c>
      <c r="H111" s="297">
        <v>1</v>
      </c>
      <c r="I111" s="298">
        <v>6.8999999999999999E-3</v>
      </c>
      <c r="J111" s="297">
        <v>2</v>
      </c>
      <c r="K111" s="298">
        <v>1.379E-2</v>
      </c>
      <c r="L111" s="297">
        <v>0</v>
      </c>
      <c r="M111" s="298">
        <v>0</v>
      </c>
      <c r="N111" s="297">
        <v>13</v>
      </c>
      <c r="O111" s="298">
        <v>8.9660000000000004E-2</v>
      </c>
      <c r="P111" s="297">
        <v>111</v>
      </c>
      <c r="Q111" s="298">
        <v>0.76551999999999998</v>
      </c>
      <c r="R111" s="297">
        <v>14</v>
      </c>
      <c r="S111" s="298">
        <v>9.6549999999999997E-2</v>
      </c>
      <c r="T111" s="297">
        <v>11</v>
      </c>
      <c r="U111" s="297">
        <v>10</v>
      </c>
      <c r="V111" s="297">
        <v>13</v>
      </c>
      <c r="W111" s="297">
        <v>11</v>
      </c>
      <c r="X111" s="297">
        <v>15</v>
      </c>
      <c r="Y111" s="297">
        <v>10</v>
      </c>
      <c r="Z111" s="297">
        <v>12</v>
      </c>
      <c r="AA111" s="297">
        <v>14</v>
      </c>
      <c r="AB111" s="297">
        <v>11</v>
      </c>
      <c r="AC111" s="297">
        <v>8</v>
      </c>
      <c r="AD111" s="297">
        <v>14</v>
      </c>
      <c r="AE111" s="297">
        <v>7</v>
      </c>
      <c r="AF111" s="297">
        <v>9</v>
      </c>
    </row>
    <row r="112" spans="1:32" x14ac:dyDescent="0.35">
      <c r="A112" s="296" t="s">
        <v>390</v>
      </c>
      <c r="B112" s="296">
        <v>2094</v>
      </c>
      <c r="C112" s="296" t="s">
        <v>126</v>
      </c>
      <c r="D112" s="297">
        <v>771</v>
      </c>
      <c r="E112" s="297">
        <v>839</v>
      </c>
      <c r="F112" s="297">
        <v>9</v>
      </c>
      <c r="G112" s="298">
        <v>1.073E-2</v>
      </c>
      <c r="H112" s="297">
        <v>4</v>
      </c>
      <c r="I112" s="298">
        <v>4.7699999999999999E-3</v>
      </c>
      <c r="J112" s="297">
        <v>1</v>
      </c>
      <c r="K112" s="298">
        <v>1.1900000000000001E-3</v>
      </c>
      <c r="L112" s="297">
        <v>5</v>
      </c>
      <c r="M112" s="298">
        <v>5.96E-3</v>
      </c>
      <c r="N112" s="297">
        <v>83</v>
      </c>
      <c r="O112" s="298">
        <v>9.8930000000000004E-2</v>
      </c>
      <c r="P112" s="297">
        <v>684</v>
      </c>
      <c r="Q112" s="298">
        <v>0.81525999999999998</v>
      </c>
      <c r="R112" s="297">
        <v>53</v>
      </c>
      <c r="S112" s="298">
        <v>6.3170000000000004E-2</v>
      </c>
      <c r="T112" s="297">
        <v>57</v>
      </c>
      <c r="U112" s="297">
        <v>61</v>
      </c>
      <c r="V112" s="297">
        <v>61</v>
      </c>
      <c r="W112" s="297">
        <v>76</v>
      </c>
      <c r="X112" s="297">
        <v>86</v>
      </c>
      <c r="Y112" s="297">
        <v>83</v>
      </c>
      <c r="Z112" s="297">
        <v>74</v>
      </c>
      <c r="AA112" s="297">
        <v>64</v>
      </c>
      <c r="AB112" s="297">
        <v>58</v>
      </c>
      <c r="AC112" s="297">
        <v>54</v>
      </c>
      <c r="AD112" s="297">
        <v>65</v>
      </c>
      <c r="AE112" s="297">
        <v>62</v>
      </c>
      <c r="AF112" s="297">
        <v>38</v>
      </c>
    </row>
    <row r="113" spans="1:32" x14ac:dyDescent="0.35">
      <c r="A113" s="296" t="s">
        <v>390</v>
      </c>
      <c r="B113" s="296">
        <v>2090</v>
      </c>
      <c r="C113" s="296" t="s">
        <v>127</v>
      </c>
      <c r="D113" s="297">
        <v>167</v>
      </c>
      <c r="E113" s="297">
        <v>174</v>
      </c>
      <c r="F113" s="297">
        <v>0</v>
      </c>
      <c r="G113" s="298">
        <v>0</v>
      </c>
      <c r="H113" s="297">
        <v>0</v>
      </c>
      <c r="I113" s="298">
        <v>0</v>
      </c>
      <c r="J113" s="297">
        <v>0</v>
      </c>
      <c r="K113" s="298">
        <v>0</v>
      </c>
      <c r="L113" s="297">
        <v>1</v>
      </c>
      <c r="M113" s="298">
        <v>5.7499999999999999E-3</v>
      </c>
      <c r="N113" s="297">
        <v>21</v>
      </c>
      <c r="O113" s="298">
        <v>0.12069000000000001</v>
      </c>
      <c r="P113" s="297">
        <v>141</v>
      </c>
      <c r="Q113" s="298">
        <v>0.81033999999999995</v>
      </c>
      <c r="R113" s="297">
        <v>11</v>
      </c>
      <c r="S113" s="298">
        <v>6.3219999999999998E-2</v>
      </c>
      <c r="T113" s="297">
        <v>12</v>
      </c>
      <c r="U113" s="297">
        <v>12</v>
      </c>
      <c r="V113" s="297">
        <v>13</v>
      </c>
      <c r="W113" s="297">
        <v>16</v>
      </c>
      <c r="X113" s="297">
        <v>14</v>
      </c>
      <c r="Y113" s="297">
        <v>12</v>
      </c>
      <c r="Z113" s="297">
        <v>22</v>
      </c>
      <c r="AA113" s="297">
        <v>13</v>
      </c>
      <c r="AB113" s="297">
        <v>8</v>
      </c>
      <c r="AC113" s="297">
        <v>16</v>
      </c>
      <c r="AD113" s="297">
        <v>14</v>
      </c>
      <c r="AE113" s="297">
        <v>10</v>
      </c>
      <c r="AF113" s="297">
        <v>12</v>
      </c>
    </row>
    <row r="114" spans="1:32" x14ac:dyDescent="0.35">
      <c r="A114" s="296" t="s">
        <v>295</v>
      </c>
      <c r="B114" s="296">
        <v>2256</v>
      </c>
      <c r="C114" s="296" t="s">
        <v>128</v>
      </c>
      <c r="D114" s="297">
        <v>6429</v>
      </c>
      <c r="E114" s="297">
        <v>6507</v>
      </c>
      <c r="F114" s="297">
        <v>73</v>
      </c>
      <c r="G114" s="298">
        <v>1.1220000000000001E-2</v>
      </c>
      <c r="H114" s="297">
        <v>60</v>
      </c>
      <c r="I114" s="298">
        <v>9.2200000000000008E-3</v>
      </c>
      <c r="J114" s="297">
        <v>35</v>
      </c>
      <c r="K114" s="298">
        <v>5.3800000000000002E-3</v>
      </c>
      <c r="L114" s="297">
        <v>61</v>
      </c>
      <c r="M114" s="298">
        <v>9.3699999999999999E-3</v>
      </c>
      <c r="N114" s="297">
        <v>2423</v>
      </c>
      <c r="O114" s="298">
        <v>0.37236999999999998</v>
      </c>
      <c r="P114" s="297">
        <v>3673</v>
      </c>
      <c r="Q114" s="298">
        <v>0.56447000000000003</v>
      </c>
      <c r="R114" s="297">
        <v>182</v>
      </c>
      <c r="S114" s="298">
        <v>2.7969999999999998E-2</v>
      </c>
      <c r="T114" s="297">
        <v>400</v>
      </c>
      <c r="U114" s="297">
        <v>451</v>
      </c>
      <c r="V114" s="297">
        <v>439</v>
      </c>
      <c r="W114" s="297">
        <v>494</v>
      </c>
      <c r="X114" s="297">
        <v>416</v>
      </c>
      <c r="Y114" s="297">
        <v>483</v>
      </c>
      <c r="Z114" s="297">
        <v>481</v>
      </c>
      <c r="AA114" s="297">
        <v>487</v>
      </c>
      <c r="AB114" s="297">
        <v>537</v>
      </c>
      <c r="AC114" s="297">
        <v>583</v>
      </c>
      <c r="AD114" s="297">
        <v>626</v>
      </c>
      <c r="AE114" s="297">
        <v>575</v>
      </c>
      <c r="AF114" s="297">
        <v>535</v>
      </c>
    </row>
    <row r="115" spans="1:32" x14ac:dyDescent="0.35">
      <c r="A115" s="296" t="s">
        <v>318</v>
      </c>
      <c r="B115" s="296">
        <v>2048</v>
      </c>
      <c r="C115" s="296" t="s">
        <v>129</v>
      </c>
      <c r="D115" s="297">
        <v>14135</v>
      </c>
      <c r="E115" s="297">
        <v>13849</v>
      </c>
      <c r="F115" s="297">
        <v>87</v>
      </c>
      <c r="G115" s="298">
        <v>6.28E-3</v>
      </c>
      <c r="H115" s="297">
        <v>170</v>
      </c>
      <c r="I115" s="298">
        <v>1.2279999999999999E-2</v>
      </c>
      <c r="J115" s="297">
        <v>85</v>
      </c>
      <c r="K115" s="298">
        <v>6.1399999999999996E-3</v>
      </c>
      <c r="L115" s="297">
        <v>122</v>
      </c>
      <c r="M115" s="298">
        <v>8.8100000000000001E-3</v>
      </c>
      <c r="N115" s="297">
        <v>3842</v>
      </c>
      <c r="O115" s="298">
        <v>0.27742</v>
      </c>
      <c r="P115" s="297">
        <v>8803</v>
      </c>
      <c r="Q115" s="298">
        <v>0.63563999999999998</v>
      </c>
      <c r="R115" s="297">
        <v>740</v>
      </c>
      <c r="S115" s="298">
        <v>5.3429999999999998E-2</v>
      </c>
      <c r="T115" s="297">
        <v>937</v>
      </c>
      <c r="U115" s="297">
        <v>1096</v>
      </c>
      <c r="V115" s="297">
        <v>985</v>
      </c>
      <c r="W115" s="297">
        <v>1102</v>
      </c>
      <c r="X115" s="297">
        <v>1104</v>
      </c>
      <c r="Y115" s="297">
        <v>1074</v>
      </c>
      <c r="Z115" s="297">
        <v>1097</v>
      </c>
      <c r="AA115" s="297">
        <v>1081</v>
      </c>
      <c r="AB115" s="297">
        <v>1123</v>
      </c>
      <c r="AC115" s="297">
        <v>1106</v>
      </c>
      <c r="AD115" s="297">
        <v>1119</v>
      </c>
      <c r="AE115" s="297">
        <v>1033</v>
      </c>
      <c r="AF115" s="297">
        <v>992</v>
      </c>
    </row>
    <row r="116" spans="1:32" x14ac:dyDescent="0.35">
      <c r="A116" s="296" t="s">
        <v>350</v>
      </c>
      <c r="B116" s="296">
        <v>2205</v>
      </c>
      <c r="C116" s="296" t="s">
        <v>130</v>
      </c>
      <c r="D116" s="297">
        <v>1609</v>
      </c>
      <c r="E116" s="297">
        <v>1589</v>
      </c>
      <c r="F116" s="297">
        <v>6</v>
      </c>
      <c r="G116" s="298">
        <v>3.7799999999999999E-3</v>
      </c>
      <c r="H116" s="297">
        <v>14</v>
      </c>
      <c r="I116" s="298">
        <v>8.8100000000000001E-3</v>
      </c>
      <c r="J116" s="297">
        <v>4</v>
      </c>
      <c r="K116" s="298">
        <v>2.5200000000000001E-3</v>
      </c>
      <c r="L116" s="297">
        <v>8</v>
      </c>
      <c r="M116" s="298">
        <v>5.0299999999999997E-3</v>
      </c>
      <c r="N116" s="297">
        <v>959</v>
      </c>
      <c r="O116" s="298">
        <v>0.60351999999999995</v>
      </c>
      <c r="P116" s="297">
        <v>573</v>
      </c>
      <c r="Q116" s="298">
        <v>0.36059999999999998</v>
      </c>
      <c r="R116" s="297">
        <v>25</v>
      </c>
      <c r="S116" s="298">
        <v>1.5730000000000001E-2</v>
      </c>
      <c r="T116" s="297">
        <v>113</v>
      </c>
      <c r="U116" s="297">
        <v>127</v>
      </c>
      <c r="V116" s="297">
        <v>133</v>
      </c>
      <c r="W116" s="297">
        <v>108</v>
      </c>
      <c r="X116" s="297">
        <v>119</v>
      </c>
      <c r="Y116" s="297">
        <v>112</v>
      </c>
      <c r="Z116" s="297">
        <v>131</v>
      </c>
      <c r="AA116" s="297">
        <v>123</v>
      </c>
      <c r="AB116" s="297">
        <v>132</v>
      </c>
      <c r="AC116" s="297">
        <v>132</v>
      </c>
      <c r="AD116" s="297">
        <v>114</v>
      </c>
      <c r="AE116" s="297">
        <v>120</v>
      </c>
      <c r="AF116" s="297">
        <v>125</v>
      </c>
    </row>
    <row r="117" spans="1:32" x14ac:dyDescent="0.35">
      <c r="A117" s="296" t="s">
        <v>686</v>
      </c>
      <c r="B117" s="296">
        <v>2249</v>
      </c>
      <c r="C117" s="296" t="s">
        <v>131</v>
      </c>
      <c r="D117" s="297">
        <v>1130</v>
      </c>
      <c r="E117" s="297">
        <v>1027</v>
      </c>
      <c r="F117" s="297">
        <v>12</v>
      </c>
      <c r="G117" s="298">
        <v>1.1679999999999999E-2</v>
      </c>
      <c r="H117" s="297">
        <v>21</v>
      </c>
      <c r="I117" s="298">
        <v>2.0449999999999999E-2</v>
      </c>
      <c r="J117" s="297">
        <v>7</v>
      </c>
      <c r="K117" s="298">
        <v>6.8199999999999997E-3</v>
      </c>
      <c r="L117" s="297">
        <v>56</v>
      </c>
      <c r="M117" s="298">
        <v>5.4530000000000002E-2</v>
      </c>
      <c r="N117" s="297">
        <v>218</v>
      </c>
      <c r="O117" s="298">
        <v>0.21226999999999999</v>
      </c>
      <c r="P117" s="297">
        <v>615</v>
      </c>
      <c r="Q117" s="298">
        <v>0.59882999999999997</v>
      </c>
      <c r="R117" s="297">
        <v>98</v>
      </c>
      <c r="S117" s="298">
        <v>9.5420000000000005E-2</v>
      </c>
      <c r="T117" s="297">
        <v>40</v>
      </c>
      <c r="U117" s="297">
        <v>70</v>
      </c>
      <c r="V117" s="297">
        <v>65</v>
      </c>
      <c r="W117" s="297">
        <v>71</v>
      </c>
      <c r="X117" s="297">
        <v>53</v>
      </c>
      <c r="Y117" s="297">
        <v>63</v>
      </c>
      <c r="Z117" s="297">
        <v>59</v>
      </c>
      <c r="AA117" s="297">
        <v>77</v>
      </c>
      <c r="AB117" s="297">
        <v>97</v>
      </c>
      <c r="AC117" s="297">
        <v>76</v>
      </c>
      <c r="AD117" s="297">
        <v>103</v>
      </c>
      <c r="AE117" s="297">
        <v>117</v>
      </c>
      <c r="AF117" s="297">
        <v>136</v>
      </c>
    </row>
    <row r="118" spans="1:32" x14ac:dyDescent="0.35">
      <c r="A118" s="296" t="s">
        <v>440</v>
      </c>
      <c r="B118" s="296">
        <v>1925</v>
      </c>
      <c r="C118" s="296" t="s">
        <v>132</v>
      </c>
      <c r="D118" s="297">
        <v>2520</v>
      </c>
      <c r="E118" s="297">
        <v>2552</v>
      </c>
      <c r="F118" s="297">
        <v>27</v>
      </c>
      <c r="G118" s="298">
        <v>1.0580000000000001E-2</v>
      </c>
      <c r="H118" s="297">
        <v>10</v>
      </c>
      <c r="I118" s="298">
        <v>3.9199999999999999E-3</v>
      </c>
      <c r="J118" s="297">
        <v>7</v>
      </c>
      <c r="K118" s="298">
        <v>2.7399999999999998E-3</v>
      </c>
      <c r="L118" s="297">
        <v>4</v>
      </c>
      <c r="M118" s="298">
        <v>1.57E-3</v>
      </c>
      <c r="N118" s="297">
        <v>528</v>
      </c>
      <c r="O118" s="298">
        <v>0.2069</v>
      </c>
      <c r="P118" s="297">
        <v>1890</v>
      </c>
      <c r="Q118" s="298">
        <v>0.74060000000000004</v>
      </c>
      <c r="R118" s="297">
        <v>86</v>
      </c>
      <c r="S118" s="298">
        <v>3.3700000000000001E-2</v>
      </c>
      <c r="T118" s="297">
        <v>192</v>
      </c>
      <c r="U118" s="297">
        <v>193</v>
      </c>
      <c r="V118" s="297">
        <v>191</v>
      </c>
      <c r="W118" s="297">
        <v>192</v>
      </c>
      <c r="X118" s="297">
        <v>214</v>
      </c>
      <c r="Y118" s="297">
        <v>211</v>
      </c>
      <c r="Z118" s="297">
        <v>179</v>
      </c>
      <c r="AA118" s="297">
        <v>203</v>
      </c>
      <c r="AB118" s="297">
        <v>214</v>
      </c>
      <c r="AC118" s="297">
        <v>219</v>
      </c>
      <c r="AD118" s="297">
        <v>205</v>
      </c>
      <c r="AE118" s="297">
        <v>180</v>
      </c>
      <c r="AF118" s="297">
        <v>159</v>
      </c>
    </row>
    <row r="119" spans="1:32" x14ac:dyDescent="0.35">
      <c r="A119" s="296" t="s">
        <v>289</v>
      </c>
      <c r="B119" s="296">
        <v>1898</v>
      </c>
      <c r="C119" s="296" t="s">
        <v>133</v>
      </c>
      <c r="D119" s="297">
        <v>360</v>
      </c>
      <c r="E119" s="297">
        <v>381</v>
      </c>
      <c r="F119" s="297">
        <v>3</v>
      </c>
      <c r="G119" s="298">
        <v>7.8700000000000003E-3</v>
      </c>
      <c r="H119" s="297">
        <v>3</v>
      </c>
      <c r="I119" s="298">
        <v>7.8700000000000003E-3</v>
      </c>
      <c r="J119" s="297">
        <v>1</v>
      </c>
      <c r="K119" s="298">
        <v>2.6199999999999999E-3</v>
      </c>
      <c r="L119" s="297">
        <v>0</v>
      </c>
      <c r="M119" s="298">
        <v>0</v>
      </c>
      <c r="N119" s="297">
        <v>110</v>
      </c>
      <c r="O119" s="298">
        <v>0.28871000000000002</v>
      </c>
      <c r="P119" s="297">
        <v>250</v>
      </c>
      <c r="Q119" s="298">
        <v>0.65617000000000003</v>
      </c>
      <c r="R119" s="297">
        <v>14</v>
      </c>
      <c r="S119" s="298">
        <v>3.6749999999999998E-2</v>
      </c>
      <c r="T119" s="297">
        <v>32</v>
      </c>
      <c r="U119" s="297">
        <v>34</v>
      </c>
      <c r="V119" s="297">
        <v>28</v>
      </c>
      <c r="W119" s="297">
        <v>32</v>
      </c>
      <c r="X119" s="297">
        <v>22</v>
      </c>
      <c r="Y119" s="297">
        <v>34</v>
      </c>
      <c r="Z119" s="297">
        <v>27</v>
      </c>
      <c r="AA119" s="297">
        <v>23</v>
      </c>
      <c r="AB119" s="297">
        <v>31</v>
      </c>
      <c r="AC119" s="297">
        <v>30</v>
      </c>
      <c r="AD119" s="297">
        <v>28</v>
      </c>
      <c r="AE119" s="297">
        <v>29</v>
      </c>
      <c r="AF119" s="297">
        <v>31</v>
      </c>
    </row>
    <row r="120" spans="1:32" x14ac:dyDescent="0.35">
      <c r="A120" s="296" t="s">
        <v>578</v>
      </c>
      <c r="B120" s="296">
        <v>2010</v>
      </c>
      <c r="C120" s="296" t="s">
        <v>134</v>
      </c>
      <c r="D120" s="297">
        <v>55</v>
      </c>
      <c r="E120" s="297">
        <v>61</v>
      </c>
      <c r="F120" s="297">
        <v>4</v>
      </c>
      <c r="G120" s="298">
        <v>6.5570000000000003E-2</v>
      </c>
      <c r="H120" s="297">
        <v>1</v>
      </c>
      <c r="I120" s="298">
        <v>1.6389999999999998E-2</v>
      </c>
      <c r="J120" s="297">
        <v>0</v>
      </c>
      <c r="K120" s="298">
        <v>0</v>
      </c>
      <c r="L120" s="297">
        <v>0</v>
      </c>
      <c r="M120" s="298">
        <v>0</v>
      </c>
      <c r="N120" s="297">
        <v>6</v>
      </c>
      <c r="O120" s="298">
        <v>9.8360000000000003E-2</v>
      </c>
      <c r="P120" s="297">
        <v>50</v>
      </c>
      <c r="Q120" s="298">
        <v>0.81967000000000001</v>
      </c>
      <c r="R120" s="297">
        <v>0</v>
      </c>
      <c r="S120" s="298">
        <v>0</v>
      </c>
      <c r="T120" s="297">
        <v>6</v>
      </c>
      <c r="U120" s="297">
        <v>8</v>
      </c>
      <c r="V120" s="297">
        <v>3</v>
      </c>
      <c r="W120" s="297">
        <v>5</v>
      </c>
      <c r="X120" s="297">
        <v>4</v>
      </c>
      <c r="Y120" s="297">
        <v>3</v>
      </c>
      <c r="Z120" s="297">
        <v>7</v>
      </c>
      <c r="AA120" s="297">
        <v>2</v>
      </c>
      <c r="AB120" s="297">
        <v>5</v>
      </c>
      <c r="AC120" s="297">
        <v>7</v>
      </c>
      <c r="AD120" s="297">
        <v>7</v>
      </c>
      <c r="AE120" s="297">
        <v>2</v>
      </c>
      <c r="AF120" s="297">
        <v>2</v>
      </c>
    </row>
    <row r="121" spans="1:32" x14ac:dyDescent="0.35">
      <c r="A121" s="296" t="s">
        <v>776</v>
      </c>
      <c r="B121" s="296">
        <v>2147</v>
      </c>
      <c r="C121" s="296" t="s">
        <v>135</v>
      </c>
      <c r="D121" s="297">
        <v>2254</v>
      </c>
      <c r="E121" s="297">
        <v>2310</v>
      </c>
      <c r="F121" s="297">
        <v>13</v>
      </c>
      <c r="G121" s="298">
        <v>5.6299999999999996E-3</v>
      </c>
      <c r="H121" s="297">
        <v>3</v>
      </c>
      <c r="I121" s="298">
        <v>1.2999999999999999E-3</v>
      </c>
      <c r="J121" s="297">
        <v>5</v>
      </c>
      <c r="K121" s="298">
        <v>2.16E-3</v>
      </c>
      <c r="L121" s="297">
        <v>7</v>
      </c>
      <c r="M121" s="298">
        <v>3.0300000000000001E-3</v>
      </c>
      <c r="N121" s="297">
        <v>1360</v>
      </c>
      <c r="O121" s="298">
        <v>0.58874000000000004</v>
      </c>
      <c r="P121" s="297">
        <v>891</v>
      </c>
      <c r="Q121" s="298">
        <v>0.38571</v>
      </c>
      <c r="R121" s="297">
        <v>31</v>
      </c>
      <c r="S121" s="298">
        <v>1.342E-2</v>
      </c>
      <c r="T121" s="297">
        <v>166</v>
      </c>
      <c r="U121" s="297">
        <v>187</v>
      </c>
      <c r="V121" s="297">
        <v>171</v>
      </c>
      <c r="W121" s="297">
        <v>163</v>
      </c>
      <c r="X121" s="297">
        <v>171</v>
      </c>
      <c r="Y121" s="297">
        <v>192</v>
      </c>
      <c r="Z121" s="297">
        <v>178</v>
      </c>
      <c r="AA121" s="297">
        <v>173</v>
      </c>
      <c r="AB121" s="297">
        <v>219</v>
      </c>
      <c r="AC121" s="297">
        <v>182</v>
      </c>
      <c r="AD121" s="297">
        <v>190</v>
      </c>
      <c r="AE121" s="297">
        <v>169</v>
      </c>
      <c r="AF121" s="297">
        <v>149</v>
      </c>
    </row>
    <row r="122" spans="1:32" x14ac:dyDescent="0.35">
      <c r="A122" s="296" t="s">
        <v>447</v>
      </c>
      <c r="B122" s="296">
        <v>2145</v>
      </c>
      <c r="C122" s="296" t="s">
        <v>136</v>
      </c>
      <c r="D122" s="297">
        <v>628</v>
      </c>
      <c r="E122" s="297">
        <v>662</v>
      </c>
      <c r="F122" s="297">
        <v>1</v>
      </c>
      <c r="G122" s="298">
        <v>1.5100000000000001E-3</v>
      </c>
      <c r="H122" s="297">
        <v>6</v>
      </c>
      <c r="I122" s="298">
        <v>9.0600000000000003E-3</v>
      </c>
      <c r="J122" s="297">
        <v>6</v>
      </c>
      <c r="K122" s="298">
        <v>9.0600000000000003E-3</v>
      </c>
      <c r="L122" s="297">
        <v>2</v>
      </c>
      <c r="M122" s="298">
        <v>3.0200000000000001E-3</v>
      </c>
      <c r="N122" s="297">
        <v>305</v>
      </c>
      <c r="O122" s="298">
        <v>0.46072999999999997</v>
      </c>
      <c r="P122" s="297">
        <v>313</v>
      </c>
      <c r="Q122" s="298">
        <v>0.47281000000000001</v>
      </c>
      <c r="R122" s="297">
        <v>29</v>
      </c>
      <c r="S122" s="298">
        <v>4.3810000000000002E-2</v>
      </c>
      <c r="T122" s="297">
        <v>47</v>
      </c>
      <c r="U122" s="297">
        <v>43</v>
      </c>
      <c r="V122" s="297">
        <v>41</v>
      </c>
      <c r="W122" s="297">
        <v>56</v>
      </c>
      <c r="X122" s="297">
        <v>42</v>
      </c>
      <c r="Y122" s="297">
        <v>60</v>
      </c>
      <c r="Z122" s="297">
        <v>36</v>
      </c>
      <c r="AA122" s="297">
        <v>68</v>
      </c>
      <c r="AB122" s="297">
        <v>49</v>
      </c>
      <c r="AC122" s="297">
        <v>54</v>
      </c>
      <c r="AD122" s="297">
        <v>52</v>
      </c>
      <c r="AE122" s="297">
        <v>47</v>
      </c>
      <c r="AF122" s="297">
        <v>67</v>
      </c>
    </row>
    <row r="123" spans="1:32" hidden="1" x14ac:dyDescent="0.35">
      <c r="A123" s="296" t="s">
        <v>456</v>
      </c>
      <c r="B123" s="296">
        <v>2148</v>
      </c>
      <c r="C123" s="296" t="s">
        <v>457</v>
      </c>
      <c r="D123" s="297">
        <v>377</v>
      </c>
      <c r="E123" s="297">
        <v>325</v>
      </c>
      <c r="F123" s="297">
        <v>11</v>
      </c>
      <c r="G123" s="298">
        <v>3.3849999999999998E-2</v>
      </c>
      <c r="H123" s="297">
        <v>15</v>
      </c>
      <c r="I123" s="298">
        <v>4.6149999999999997E-2</v>
      </c>
      <c r="J123" s="297">
        <v>3</v>
      </c>
      <c r="K123" s="298">
        <v>9.2300000000000004E-3</v>
      </c>
      <c r="L123" s="297">
        <v>68</v>
      </c>
      <c r="M123" s="298">
        <v>0.20923</v>
      </c>
      <c r="N123" s="297">
        <v>71</v>
      </c>
      <c r="O123" s="298">
        <v>0.21845999999999999</v>
      </c>
      <c r="P123" s="297">
        <v>123</v>
      </c>
      <c r="Q123" s="298">
        <v>0.37846000000000002</v>
      </c>
      <c r="R123" s="297">
        <v>34</v>
      </c>
      <c r="S123" s="298">
        <v>0.10462</v>
      </c>
      <c r="T123" s="297">
        <v>0</v>
      </c>
      <c r="U123" s="297">
        <v>1</v>
      </c>
      <c r="V123" s="297">
        <v>0</v>
      </c>
      <c r="W123" s="297">
        <v>7</v>
      </c>
      <c r="X123" s="297">
        <v>10</v>
      </c>
      <c r="Y123" s="297">
        <v>11</v>
      </c>
      <c r="Z123" s="297">
        <v>21</v>
      </c>
      <c r="AA123" s="297">
        <v>28</v>
      </c>
      <c r="AB123" s="297">
        <v>18</v>
      </c>
      <c r="AC123" s="297">
        <v>22</v>
      </c>
      <c r="AD123" s="297">
        <v>38</v>
      </c>
      <c r="AE123" s="297">
        <v>42</v>
      </c>
      <c r="AF123" s="297">
        <v>127</v>
      </c>
    </row>
    <row r="124" spans="1:32" x14ac:dyDescent="0.35">
      <c r="A124" s="296" t="s">
        <v>365</v>
      </c>
      <c r="B124" s="296">
        <v>1968</v>
      </c>
      <c r="C124" s="296" t="s">
        <v>137</v>
      </c>
      <c r="D124" s="297">
        <v>449</v>
      </c>
      <c r="E124" s="297">
        <v>528</v>
      </c>
      <c r="F124" s="297">
        <v>16</v>
      </c>
      <c r="G124" s="298">
        <v>3.0300000000000001E-2</v>
      </c>
      <c r="H124" s="297">
        <v>2</v>
      </c>
      <c r="I124" s="298">
        <v>3.79E-3</v>
      </c>
      <c r="J124" s="297">
        <v>0</v>
      </c>
      <c r="K124" s="298">
        <v>0</v>
      </c>
      <c r="L124" s="297">
        <v>3</v>
      </c>
      <c r="M124" s="298">
        <v>5.6800000000000002E-3</v>
      </c>
      <c r="N124" s="297">
        <v>43</v>
      </c>
      <c r="O124" s="298">
        <v>8.1439999999999999E-2</v>
      </c>
      <c r="P124" s="297">
        <v>405</v>
      </c>
      <c r="Q124" s="298">
        <v>0.76705000000000001</v>
      </c>
      <c r="R124" s="297">
        <v>59</v>
      </c>
      <c r="S124" s="298">
        <v>0.11174000000000001</v>
      </c>
      <c r="T124" s="297">
        <v>44</v>
      </c>
      <c r="U124" s="297">
        <v>50</v>
      </c>
      <c r="V124" s="297">
        <v>43</v>
      </c>
      <c r="W124" s="297">
        <v>38</v>
      </c>
      <c r="X124" s="297">
        <v>38</v>
      </c>
      <c r="Y124" s="297">
        <v>43</v>
      </c>
      <c r="Z124" s="297">
        <v>46</v>
      </c>
      <c r="AA124" s="297">
        <v>44</v>
      </c>
      <c r="AB124" s="297">
        <v>38</v>
      </c>
      <c r="AC124" s="297">
        <v>38</v>
      </c>
      <c r="AD124" s="297">
        <v>43</v>
      </c>
      <c r="AE124" s="297">
        <v>35</v>
      </c>
      <c r="AF124" s="297">
        <v>28</v>
      </c>
    </row>
    <row r="125" spans="1:32" x14ac:dyDescent="0.35">
      <c r="A125" s="296" t="s">
        <v>943</v>
      </c>
      <c r="B125" s="296">
        <v>2198</v>
      </c>
      <c r="C125" s="296" t="s">
        <v>138</v>
      </c>
      <c r="D125" s="297">
        <v>691</v>
      </c>
      <c r="E125" s="297">
        <v>742</v>
      </c>
      <c r="F125" s="297">
        <v>5</v>
      </c>
      <c r="G125" s="298">
        <v>6.7400000000000003E-3</v>
      </c>
      <c r="H125" s="297">
        <v>8</v>
      </c>
      <c r="I125" s="298">
        <v>1.078E-2</v>
      </c>
      <c r="J125" s="297">
        <v>4</v>
      </c>
      <c r="K125" s="298">
        <v>5.3899999999999998E-3</v>
      </c>
      <c r="L125" s="297">
        <v>5</v>
      </c>
      <c r="M125" s="298">
        <v>6.7400000000000003E-3</v>
      </c>
      <c r="N125" s="297">
        <v>117</v>
      </c>
      <c r="O125" s="298">
        <v>0.15767999999999999</v>
      </c>
      <c r="P125" s="297">
        <v>566</v>
      </c>
      <c r="Q125" s="298">
        <v>0.76280000000000003</v>
      </c>
      <c r="R125" s="297">
        <v>37</v>
      </c>
      <c r="S125" s="298">
        <v>4.9869999999999998E-2</v>
      </c>
      <c r="T125" s="297">
        <v>49</v>
      </c>
      <c r="U125" s="297">
        <v>46</v>
      </c>
      <c r="V125" s="297">
        <v>39</v>
      </c>
      <c r="W125" s="297">
        <v>44</v>
      </c>
      <c r="X125" s="297">
        <v>54</v>
      </c>
      <c r="Y125" s="297">
        <v>53</v>
      </c>
      <c r="Z125" s="297">
        <v>58</v>
      </c>
      <c r="AA125" s="297">
        <v>55</v>
      </c>
      <c r="AB125" s="297">
        <v>64</v>
      </c>
      <c r="AC125" s="297">
        <v>73</v>
      </c>
      <c r="AD125" s="297">
        <v>62</v>
      </c>
      <c r="AE125" s="297">
        <v>68</v>
      </c>
      <c r="AF125" s="297">
        <v>77</v>
      </c>
    </row>
    <row r="126" spans="1:32" x14ac:dyDescent="0.35">
      <c r="A126" s="296" t="s">
        <v>943</v>
      </c>
      <c r="B126" s="296">
        <v>2199</v>
      </c>
      <c r="C126" s="296" t="s">
        <v>139</v>
      </c>
      <c r="D126" s="297">
        <v>469</v>
      </c>
      <c r="E126" s="297">
        <v>511</v>
      </c>
      <c r="F126" s="297">
        <v>3</v>
      </c>
      <c r="G126" s="298">
        <v>5.8700000000000002E-3</v>
      </c>
      <c r="H126" s="297">
        <v>1</v>
      </c>
      <c r="I126" s="298">
        <v>1.9599999999999999E-3</v>
      </c>
      <c r="J126" s="297">
        <v>1</v>
      </c>
      <c r="K126" s="298">
        <v>1.9599999999999999E-3</v>
      </c>
      <c r="L126" s="297">
        <v>2</v>
      </c>
      <c r="M126" s="298">
        <v>3.9100000000000003E-3</v>
      </c>
      <c r="N126" s="297">
        <v>136</v>
      </c>
      <c r="O126" s="298">
        <v>0.26613999999999999</v>
      </c>
      <c r="P126" s="297">
        <v>333</v>
      </c>
      <c r="Q126" s="298">
        <v>0.65166000000000002</v>
      </c>
      <c r="R126" s="297">
        <v>35</v>
      </c>
      <c r="S126" s="298">
        <v>6.8489999999999995E-2</v>
      </c>
      <c r="T126" s="297">
        <v>32</v>
      </c>
      <c r="U126" s="297">
        <v>40</v>
      </c>
      <c r="V126" s="297">
        <v>31</v>
      </c>
      <c r="W126" s="297">
        <v>41</v>
      </c>
      <c r="X126" s="297">
        <v>43</v>
      </c>
      <c r="Y126" s="297">
        <v>43</v>
      </c>
      <c r="Z126" s="297">
        <v>35</v>
      </c>
      <c r="AA126" s="297">
        <v>40</v>
      </c>
      <c r="AB126" s="297">
        <v>44</v>
      </c>
      <c r="AC126" s="297">
        <v>47</v>
      </c>
      <c r="AD126" s="297">
        <v>35</v>
      </c>
      <c r="AE126" s="297">
        <v>41</v>
      </c>
      <c r="AF126" s="297">
        <v>39</v>
      </c>
    </row>
    <row r="127" spans="1:32" x14ac:dyDescent="0.35">
      <c r="A127" s="296" t="s">
        <v>295</v>
      </c>
      <c r="B127" s="296">
        <v>2254</v>
      </c>
      <c r="C127" s="296" t="s">
        <v>140</v>
      </c>
      <c r="D127" s="297">
        <v>4331</v>
      </c>
      <c r="E127" s="297">
        <v>4201</v>
      </c>
      <c r="F127" s="297">
        <v>22</v>
      </c>
      <c r="G127" s="298">
        <v>5.2399999999999999E-3</v>
      </c>
      <c r="H127" s="297">
        <v>48</v>
      </c>
      <c r="I127" s="298">
        <v>1.1429999999999999E-2</v>
      </c>
      <c r="J127" s="297">
        <v>18</v>
      </c>
      <c r="K127" s="298">
        <v>4.28E-3</v>
      </c>
      <c r="L127" s="297">
        <v>53</v>
      </c>
      <c r="M127" s="298">
        <v>1.2619999999999999E-2</v>
      </c>
      <c r="N127" s="297">
        <v>969</v>
      </c>
      <c r="O127" s="298">
        <v>0.23066</v>
      </c>
      <c r="P127" s="297">
        <v>2890</v>
      </c>
      <c r="Q127" s="298">
        <v>0.68793000000000004</v>
      </c>
      <c r="R127" s="297">
        <v>201</v>
      </c>
      <c r="S127" s="298">
        <v>4.7849999999999997E-2</v>
      </c>
      <c r="T127" s="297">
        <v>289</v>
      </c>
      <c r="U127" s="297">
        <v>317</v>
      </c>
      <c r="V127" s="297">
        <v>305</v>
      </c>
      <c r="W127" s="297">
        <v>310</v>
      </c>
      <c r="X127" s="297">
        <v>294</v>
      </c>
      <c r="Y127" s="297">
        <v>317</v>
      </c>
      <c r="Z127" s="297">
        <v>322</v>
      </c>
      <c r="AA127" s="297">
        <v>298</v>
      </c>
      <c r="AB127" s="297">
        <v>360</v>
      </c>
      <c r="AC127" s="297">
        <v>354</v>
      </c>
      <c r="AD127" s="297">
        <v>345</v>
      </c>
      <c r="AE127" s="297">
        <v>320</v>
      </c>
      <c r="AF127" s="297">
        <v>370</v>
      </c>
    </row>
    <row r="128" spans="1:32" x14ac:dyDescent="0.35">
      <c r="A128" s="296" t="s">
        <v>365</v>
      </c>
      <c r="B128" s="296">
        <v>1966</v>
      </c>
      <c r="C128" s="296" t="s">
        <v>141</v>
      </c>
      <c r="D128" s="297">
        <v>4092</v>
      </c>
      <c r="E128" s="297">
        <v>3458</v>
      </c>
      <c r="F128" s="297">
        <v>67</v>
      </c>
      <c r="G128" s="298">
        <v>1.9380000000000001E-2</v>
      </c>
      <c r="H128" s="297">
        <v>66</v>
      </c>
      <c r="I128" s="298">
        <v>1.9089999999999999E-2</v>
      </c>
      <c r="J128" s="297">
        <v>21</v>
      </c>
      <c r="K128" s="298">
        <v>6.0699999999999999E-3</v>
      </c>
      <c r="L128" s="297">
        <v>55</v>
      </c>
      <c r="M128" s="298">
        <v>1.5910000000000001E-2</v>
      </c>
      <c r="N128" s="297">
        <v>473</v>
      </c>
      <c r="O128" s="298">
        <v>0.13678000000000001</v>
      </c>
      <c r="P128" s="297">
        <v>2466</v>
      </c>
      <c r="Q128" s="298">
        <v>0.71313000000000004</v>
      </c>
      <c r="R128" s="297">
        <v>310</v>
      </c>
      <c r="S128" s="298">
        <v>8.9649999999999994E-2</v>
      </c>
      <c r="T128" s="297">
        <v>166</v>
      </c>
      <c r="U128" s="297">
        <v>178</v>
      </c>
      <c r="V128" s="297">
        <v>233</v>
      </c>
      <c r="W128" s="297">
        <v>226</v>
      </c>
      <c r="X128" s="297">
        <v>244</v>
      </c>
      <c r="Y128" s="297">
        <v>271</v>
      </c>
      <c r="Z128" s="297">
        <v>245</v>
      </c>
      <c r="AA128" s="297">
        <v>264</v>
      </c>
      <c r="AB128" s="297">
        <v>306</v>
      </c>
      <c r="AC128" s="297">
        <v>316</v>
      </c>
      <c r="AD128" s="297">
        <v>305</v>
      </c>
      <c r="AE128" s="297">
        <v>367</v>
      </c>
      <c r="AF128" s="297">
        <v>337</v>
      </c>
    </row>
    <row r="129" spans="1:32" x14ac:dyDescent="0.35">
      <c r="A129" s="296" t="s">
        <v>440</v>
      </c>
      <c r="B129" s="296">
        <v>1924</v>
      </c>
      <c r="C129" s="296" t="s">
        <v>142</v>
      </c>
      <c r="D129" s="297">
        <v>16589</v>
      </c>
      <c r="E129" s="297">
        <v>16718</v>
      </c>
      <c r="F129" s="297">
        <v>55</v>
      </c>
      <c r="G129" s="298">
        <v>3.29E-3</v>
      </c>
      <c r="H129" s="297">
        <v>1900</v>
      </c>
      <c r="I129" s="298">
        <v>0.11365</v>
      </c>
      <c r="J129" s="297">
        <v>112</v>
      </c>
      <c r="K129" s="298">
        <v>6.7000000000000002E-3</v>
      </c>
      <c r="L129" s="297">
        <v>433</v>
      </c>
      <c r="M129" s="298">
        <v>2.5899999999999999E-2</v>
      </c>
      <c r="N129" s="297">
        <v>3323</v>
      </c>
      <c r="O129" s="298">
        <v>0.19877</v>
      </c>
      <c r="P129" s="297">
        <v>9322</v>
      </c>
      <c r="Q129" s="298">
        <v>0.55759999999999998</v>
      </c>
      <c r="R129" s="297">
        <v>1573</v>
      </c>
      <c r="S129" s="298">
        <v>9.4089999999999993E-2</v>
      </c>
      <c r="T129" s="297">
        <v>1150</v>
      </c>
      <c r="U129" s="297">
        <v>1249</v>
      </c>
      <c r="V129" s="297">
        <v>1173</v>
      </c>
      <c r="W129" s="297">
        <v>1199</v>
      </c>
      <c r="X129" s="297">
        <v>1279</v>
      </c>
      <c r="Y129" s="297">
        <v>1138</v>
      </c>
      <c r="Z129" s="297">
        <v>1217</v>
      </c>
      <c r="AA129" s="297">
        <v>1269</v>
      </c>
      <c r="AB129" s="297">
        <v>1262</v>
      </c>
      <c r="AC129" s="297">
        <v>1510</v>
      </c>
      <c r="AD129" s="297">
        <v>1493</v>
      </c>
      <c r="AE129" s="297">
        <v>1409</v>
      </c>
      <c r="AF129" s="297">
        <v>1370</v>
      </c>
    </row>
    <row r="130" spans="1:32" x14ac:dyDescent="0.35">
      <c r="A130" s="296" t="s">
        <v>431</v>
      </c>
      <c r="B130" s="296">
        <v>1996</v>
      </c>
      <c r="C130" s="296" t="s">
        <v>143</v>
      </c>
      <c r="D130" s="297">
        <v>330</v>
      </c>
      <c r="E130" s="297">
        <v>346</v>
      </c>
      <c r="F130" s="297">
        <v>4</v>
      </c>
      <c r="G130" s="298">
        <v>1.1560000000000001E-2</v>
      </c>
      <c r="H130" s="297">
        <v>3</v>
      </c>
      <c r="I130" s="298">
        <v>8.6700000000000006E-3</v>
      </c>
      <c r="J130" s="297">
        <v>1</v>
      </c>
      <c r="K130" s="298">
        <v>2.8900000000000002E-3</v>
      </c>
      <c r="L130" s="297">
        <v>2</v>
      </c>
      <c r="M130" s="298">
        <v>5.7800000000000004E-3</v>
      </c>
      <c r="N130" s="297">
        <v>34</v>
      </c>
      <c r="O130" s="298">
        <v>9.8269999999999996E-2</v>
      </c>
      <c r="P130" s="297">
        <v>281</v>
      </c>
      <c r="Q130" s="298">
        <v>0.81213999999999997</v>
      </c>
      <c r="R130" s="297">
        <v>21</v>
      </c>
      <c r="S130" s="298">
        <v>6.0690000000000001E-2</v>
      </c>
      <c r="T130" s="297">
        <v>23</v>
      </c>
      <c r="U130" s="297">
        <v>20</v>
      </c>
      <c r="V130" s="297">
        <v>28</v>
      </c>
      <c r="W130" s="297">
        <v>31</v>
      </c>
      <c r="X130" s="297">
        <v>22</v>
      </c>
      <c r="Y130" s="297">
        <v>20</v>
      </c>
      <c r="Z130" s="297">
        <v>25</v>
      </c>
      <c r="AA130" s="297">
        <v>32</v>
      </c>
      <c r="AB130" s="297">
        <v>22</v>
      </c>
      <c r="AC130" s="297">
        <v>28</v>
      </c>
      <c r="AD130" s="297">
        <v>37</v>
      </c>
      <c r="AE130" s="297">
        <v>25</v>
      </c>
      <c r="AF130" s="297">
        <v>33</v>
      </c>
    </row>
    <row r="131" spans="1:32" x14ac:dyDescent="0.35">
      <c r="A131" s="296" t="s">
        <v>271</v>
      </c>
      <c r="B131" s="296">
        <v>2061</v>
      </c>
      <c r="C131" s="296" t="s">
        <v>144</v>
      </c>
      <c r="D131" s="297">
        <v>243</v>
      </c>
      <c r="E131" s="297">
        <v>230</v>
      </c>
      <c r="F131" s="297">
        <v>1</v>
      </c>
      <c r="G131" s="298">
        <v>4.3499999999999997E-3</v>
      </c>
      <c r="H131" s="297">
        <v>1</v>
      </c>
      <c r="I131" s="298">
        <v>4.3499999999999997E-3</v>
      </c>
      <c r="J131" s="297">
        <v>0</v>
      </c>
      <c r="K131" s="298">
        <v>0</v>
      </c>
      <c r="L131" s="297">
        <v>0</v>
      </c>
      <c r="M131" s="298">
        <v>0</v>
      </c>
      <c r="N131" s="297">
        <v>19</v>
      </c>
      <c r="O131" s="298">
        <v>8.2610000000000003E-2</v>
      </c>
      <c r="P131" s="297">
        <v>188</v>
      </c>
      <c r="Q131" s="298">
        <v>0.81738999999999995</v>
      </c>
      <c r="R131" s="297">
        <v>21</v>
      </c>
      <c r="S131" s="298">
        <v>9.1300000000000006E-2</v>
      </c>
      <c r="T131" s="297">
        <v>15</v>
      </c>
      <c r="U131" s="297">
        <v>20</v>
      </c>
      <c r="V131" s="297">
        <v>23</v>
      </c>
      <c r="W131" s="297">
        <v>12</v>
      </c>
      <c r="X131" s="297">
        <v>16</v>
      </c>
      <c r="Y131" s="297">
        <v>15</v>
      </c>
      <c r="Z131" s="297">
        <v>13</v>
      </c>
      <c r="AA131" s="297">
        <v>19</v>
      </c>
      <c r="AB131" s="297">
        <v>19</v>
      </c>
      <c r="AC131" s="297">
        <v>19</v>
      </c>
      <c r="AD131" s="297">
        <v>19</v>
      </c>
      <c r="AE131" s="297">
        <v>24</v>
      </c>
      <c r="AF131" s="297">
        <v>16</v>
      </c>
    </row>
    <row r="132" spans="1:32" x14ac:dyDescent="0.35">
      <c r="A132" s="296" t="s">
        <v>447</v>
      </c>
      <c r="B132" s="296">
        <v>2141</v>
      </c>
      <c r="C132" s="296" t="s">
        <v>145</v>
      </c>
      <c r="D132" s="297">
        <v>1675</v>
      </c>
      <c r="E132" s="297">
        <v>1674</v>
      </c>
      <c r="F132" s="297">
        <v>4</v>
      </c>
      <c r="G132" s="298">
        <v>2.3900000000000002E-3</v>
      </c>
      <c r="H132" s="297">
        <v>15</v>
      </c>
      <c r="I132" s="298">
        <v>8.9599999999999992E-3</v>
      </c>
      <c r="J132" s="297">
        <v>3</v>
      </c>
      <c r="K132" s="298">
        <v>1.7899999999999999E-3</v>
      </c>
      <c r="L132" s="297">
        <v>5</v>
      </c>
      <c r="M132" s="298">
        <v>2.99E-3</v>
      </c>
      <c r="N132" s="297">
        <v>913</v>
      </c>
      <c r="O132" s="298">
        <v>0.5454</v>
      </c>
      <c r="P132" s="297">
        <v>671</v>
      </c>
      <c r="Q132" s="298">
        <v>0.40083999999999997</v>
      </c>
      <c r="R132" s="297">
        <v>63</v>
      </c>
      <c r="S132" s="298">
        <v>3.7629999999999997E-2</v>
      </c>
      <c r="T132" s="297">
        <v>107</v>
      </c>
      <c r="U132" s="297">
        <v>116</v>
      </c>
      <c r="V132" s="297">
        <v>103</v>
      </c>
      <c r="W132" s="297">
        <v>117</v>
      </c>
      <c r="X132" s="297">
        <v>119</v>
      </c>
      <c r="Y132" s="297">
        <v>124</v>
      </c>
      <c r="Z132" s="297">
        <v>130</v>
      </c>
      <c r="AA132" s="297">
        <v>133</v>
      </c>
      <c r="AB132" s="297">
        <v>122</v>
      </c>
      <c r="AC132" s="297">
        <v>157</v>
      </c>
      <c r="AD132" s="297">
        <v>146</v>
      </c>
      <c r="AE132" s="297">
        <v>157</v>
      </c>
      <c r="AF132" s="297">
        <v>143</v>
      </c>
    </row>
    <row r="133" spans="1:32" x14ac:dyDescent="0.35">
      <c r="A133" s="296" t="s">
        <v>531</v>
      </c>
      <c r="B133" s="296">
        <v>2214</v>
      </c>
      <c r="C133" s="296" t="s">
        <v>146</v>
      </c>
      <c r="D133" s="297">
        <v>261</v>
      </c>
      <c r="E133" s="297">
        <v>273</v>
      </c>
      <c r="F133" s="297">
        <v>1</v>
      </c>
      <c r="G133" s="298">
        <v>3.6600000000000001E-3</v>
      </c>
      <c r="H133" s="297">
        <v>0</v>
      </c>
      <c r="I133" s="298">
        <v>0</v>
      </c>
      <c r="J133" s="297">
        <v>0</v>
      </c>
      <c r="K133" s="298">
        <v>0</v>
      </c>
      <c r="L133" s="297">
        <v>2</v>
      </c>
      <c r="M133" s="298">
        <v>7.3299999999999997E-3</v>
      </c>
      <c r="N133" s="297">
        <v>31</v>
      </c>
      <c r="O133" s="298">
        <v>0.11355</v>
      </c>
      <c r="P133" s="297">
        <v>235</v>
      </c>
      <c r="Q133" s="298">
        <v>0.86080999999999996</v>
      </c>
      <c r="R133" s="297">
        <v>4</v>
      </c>
      <c r="S133" s="298">
        <v>1.465E-2</v>
      </c>
      <c r="T133" s="297">
        <v>13</v>
      </c>
      <c r="U133" s="297">
        <v>22</v>
      </c>
      <c r="V133" s="297">
        <v>16</v>
      </c>
      <c r="W133" s="297">
        <v>23</v>
      </c>
      <c r="X133" s="297">
        <v>23</v>
      </c>
      <c r="Y133" s="297">
        <v>22</v>
      </c>
      <c r="Z133" s="297">
        <v>18</v>
      </c>
      <c r="AA133" s="297">
        <v>25</v>
      </c>
      <c r="AB133" s="297">
        <v>20</v>
      </c>
      <c r="AC133" s="297">
        <v>26</v>
      </c>
      <c r="AD133" s="297">
        <v>25</v>
      </c>
      <c r="AE133" s="297">
        <v>20</v>
      </c>
      <c r="AF133" s="297">
        <v>20</v>
      </c>
    </row>
    <row r="134" spans="1:32" x14ac:dyDescent="0.35">
      <c r="A134" s="296" t="s">
        <v>447</v>
      </c>
      <c r="B134" s="296">
        <v>2143</v>
      </c>
      <c r="C134" s="296" t="s">
        <v>147</v>
      </c>
      <c r="D134" s="297">
        <v>2075</v>
      </c>
      <c r="E134" s="297">
        <v>2089</v>
      </c>
      <c r="F134" s="297">
        <v>11</v>
      </c>
      <c r="G134" s="298">
        <v>5.2700000000000004E-3</v>
      </c>
      <c r="H134" s="297">
        <v>14</v>
      </c>
      <c r="I134" s="298">
        <v>6.7000000000000002E-3</v>
      </c>
      <c r="J134" s="297">
        <v>9</v>
      </c>
      <c r="K134" s="298">
        <v>4.3099999999999996E-3</v>
      </c>
      <c r="L134" s="297">
        <v>13</v>
      </c>
      <c r="M134" s="298">
        <v>6.2199999999999998E-3</v>
      </c>
      <c r="N134" s="297">
        <v>436</v>
      </c>
      <c r="O134" s="298">
        <v>0.20871000000000001</v>
      </c>
      <c r="P134" s="297">
        <v>1453</v>
      </c>
      <c r="Q134" s="298">
        <v>0.69555</v>
      </c>
      <c r="R134" s="297">
        <v>153</v>
      </c>
      <c r="S134" s="298">
        <v>7.324E-2</v>
      </c>
      <c r="T134" s="297">
        <v>126</v>
      </c>
      <c r="U134" s="297">
        <v>148</v>
      </c>
      <c r="V134" s="297">
        <v>135</v>
      </c>
      <c r="W134" s="297">
        <v>140</v>
      </c>
      <c r="X134" s="297">
        <v>149</v>
      </c>
      <c r="Y134" s="297">
        <v>153</v>
      </c>
      <c r="Z134" s="297">
        <v>143</v>
      </c>
      <c r="AA134" s="297">
        <v>147</v>
      </c>
      <c r="AB134" s="297">
        <v>176</v>
      </c>
      <c r="AC134" s="297">
        <v>202</v>
      </c>
      <c r="AD134" s="297">
        <v>196</v>
      </c>
      <c r="AE134" s="297">
        <v>173</v>
      </c>
      <c r="AF134" s="297">
        <v>201</v>
      </c>
    </row>
    <row r="135" spans="1:32" x14ac:dyDescent="0.35">
      <c r="A135" s="296" t="s">
        <v>612</v>
      </c>
      <c r="B135" s="296">
        <v>4131</v>
      </c>
      <c r="C135" s="296" t="s">
        <v>148</v>
      </c>
      <c r="D135" s="297">
        <v>2775</v>
      </c>
      <c r="E135" s="297">
        <v>2844</v>
      </c>
      <c r="F135" s="297">
        <v>46</v>
      </c>
      <c r="G135" s="298">
        <v>1.617E-2</v>
      </c>
      <c r="H135" s="297">
        <v>26</v>
      </c>
      <c r="I135" s="298">
        <v>9.1400000000000006E-3</v>
      </c>
      <c r="J135" s="297">
        <v>36</v>
      </c>
      <c r="K135" s="298">
        <v>1.2659999999999999E-2</v>
      </c>
      <c r="L135" s="297">
        <v>16</v>
      </c>
      <c r="M135" s="298">
        <v>5.6299999999999996E-3</v>
      </c>
      <c r="N135" s="297">
        <v>1206</v>
      </c>
      <c r="O135" s="298">
        <v>0.42404999999999998</v>
      </c>
      <c r="P135" s="297">
        <v>1378</v>
      </c>
      <c r="Q135" s="298">
        <v>0.48453000000000002</v>
      </c>
      <c r="R135" s="297">
        <v>136</v>
      </c>
      <c r="S135" s="298">
        <v>4.7820000000000001E-2</v>
      </c>
      <c r="T135" s="297">
        <v>205</v>
      </c>
      <c r="U135" s="297">
        <v>219</v>
      </c>
      <c r="V135" s="297">
        <v>227</v>
      </c>
      <c r="W135" s="297">
        <v>197</v>
      </c>
      <c r="X135" s="297">
        <v>189</v>
      </c>
      <c r="Y135" s="297">
        <v>195</v>
      </c>
      <c r="Z135" s="297">
        <v>212</v>
      </c>
      <c r="AA135" s="297">
        <v>216</v>
      </c>
      <c r="AB135" s="297">
        <v>242</v>
      </c>
      <c r="AC135" s="297">
        <v>272</v>
      </c>
      <c r="AD135" s="297">
        <v>214</v>
      </c>
      <c r="AE135" s="297">
        <v>242</v>
      </c>
      <c r="AF135" s="297">
        <v>214</v>
      </c>
    </row>
    <row r="136" spans="1:32" hidden="1" x14ac:dyDescent="0.35">
      <c r="A136" s="296" t="s">
        <v>374</v>
      </c>
      <c r="B136" s="296">
        <v>2230</v>
      </c>
      <c r="C136" s="296" t="s">
        <v>339</v>
      </c>
      <c r="D136" s="297">
        <v>191</v>
      </c>
      <c r="E136" s="297">
        <v>157</v>
      </c>
      <c r="F136" s="297">
        <v>1</v>
      </c>
      <c r="G136" s="298">
        <v>6.3699999999999998E-3</v>
      </c>
      <c r="H136" s="297">
        <v>1</v>
      </c>
      <c r="I136" s="298">
        <v>6.3699999999999998E-3</v>
      </c>
      <c r="J136" s="297">
        <v>0</v>
      </c>
      <c r="K136" s="298">
        <v>0</v>
      </c>
      <c r="L136" s="297">
        <v>4</v>
      </c>
      <c r="M136" s="298">
        <v>2.5479999999999999E-2</v>
      </c>
      <c r="N136" s="297">
        <v>28</v>
      </c>
      <c r="O136" s="298">
        <v>0.17834</v>
      </c>
      <c r="P136" s="297">
        <v>112</v>
      </c>
      <c r="Q136" s="298">
        <v>0.71338000000000001</v>
      </c>
      <c r="R136" s="297">
        <v>11</v>
      </c>
      <c r="S136" s="298">
        <v>7.0059999999999997E-2</v>
      </c>
      <c r="T136" s="297">
        <v>0</v>
      </c>
      <c r="U136" s="297">
        <v>2</v>
      </c>
      <c r="V136" s="297">
        <v>2</v>
      </c>
      <c r="W136" s="297">
        <v>4</v>
      </c>
      <c r="X136" s="297">
        <v>2</v>
      </c>
      <c r="Y136" s="297">
        <v>4</v>
      </c>
      <c r="Z136" s="297">
        <v>11</v>
      </c>
      <c r="AA136" s="297">
        <v>11</v>
      </c>
      <c r="AB136" s="297">
        <v>15</v>
      </c>
      <c r="AC136" s="297">
        <v>24</v>
      </c>
      <c r="AD136" s="297">
        <v>32</v>
      </c>
      <c r="AE136" s="297">
        <v>20</v>
      </c>
      <c r="AF136" s="297">
        <v>30</v>
      </c>
    </row>
    <row r="137" spans="1:32" x14ac:dyDescent="0.35">
      <c r="A137" s="296" t="s">
        <v>278</v>
      </c>
      <c r="B137" s="296">
        <v>2110</v>
      </c>
      <c r="C137" s="296" t="s">
        <v>149</v>
      </c>
      <c r="D137" s="297">
        <v>1186</v>
      </c>
      <c r="E137" s="297">
        <v>1321</v>
      </c>
      <c r="F137" s="297">
        <v>1</v>
      </c>
      <c r="G137" s="298">
        <v>7.6000000000000004E-4</v>
      </c>
      <c r="H137" s="297">
        <v>1</v>
      </c>
      <c r="I137" s="298">
        <v>7.6000000000000004E-4</v>
      </c>
      <c r="J137" s="297">
        <v>1</v>
      </c>
      <c r="K137" s="298">
        <v>7.6000000000000004E-4</v>
      </c>
      <c r="L137" s="297">
        <v>1</v>
      </c>
      <c r="M137" s="298">
        <v>7.6000000000000004E-4</v>
      </c>
      <c r="N137" s="297">
        <v>809</v>
      </c>
      <c r="O137" s="298">
        <v>0.61241000000000001</v>
      </c>
      <c r="P137" s="297">
        <v>462</v>
      </c>
      <c r="Q137" s="298">
        <v>0.34974</v>
      </c>
      <c r="R137" s="297">
        <v>46</v>
      </c>
      <c r="S137" s="298">
        <v>3.4819999999999997E-2</v>
      </c>
      <c r="T137" s="297">
        <v>107</v>
      </c>
      <c r="U137" s="297">
        <v>111</v>
      </c>
      <c r="V137" s="297">
        <v>99</v>
      </c>
      <c r="W137" s="297">
        <v>104</v>
      </c>
      <c r="X137" s="297">
        <v>93</v>
      </c>
      <c r="Y137" s="297">
        <v>110</v>
      </c>
      <c r="Z137" s="297">
        <v>113</v>
      </c>
      <c r="AA137" s="297">
        <v>108</v>
      </c>
      <c r="AB137" s="297">
        <v>103</v>
      </c>
      <c r="AC137" s="297">
        <v>103</v>
      </c>
      <c r="AD137" s="297">
        <v>100</v>
      </c>
      <c r="AE137" s="297">
        <v>86</v>
      </c>
      <c r="AF137" s="297">
        <v>84</v>
      </c>
    </row>
    <row r="138" spans="1:32" x14ac:dyDescent="0.35">
      <c r="A138" s="296" t="s">
        <v>431</v>
      </c>
      <c r="B138" s="296">
        <v>1990</v>
      </c>
      <c r="C138" s="296" t="s">
        <v>150</v>
      </c>
      <c r="D138" s="297">
        <v>595</v>
      </c>
      <c r="E138" s="297">
        <v>628</v>
      </c>
      <c r="F138" s="297">
        <v>11</v>
      </c>
      <c r="G138" s="298">
        <v>1.7520000000000001E-2</v>
      </c>
      <c r="H138" s="297">
        <v>6</v>
      </c>
      <c r="I138" s="298">
        <v>9.5499999999999995E-3</v>
      </c>
      <c r="J138" s="297">
        <v>0</v>
      </c>
      <c r="K138" s="298">
        <v>0</v>
      </c>
      <c r="L138" s="297">
        <v>1</v>
      </c>
      <c r="M138" s="298">
        <v>1.5900000000000001E-3</v>
      </c>
      <c r="N138" s="297">
        <v>43</v>
      </c>
      <c r="O138" s="298">
        <v>6.8470000000000003E-2</v>
      </c>
      <c r="P138" s="297">
        <v>539</v>
      </c>
      <c r="Q138" s="298">
        <v>0.85828000000000004</v>
      </c>
      <c r="R138" s="297">
        <v>28</v>
      </c>
      <c r="S138" s="298">
        <v>4.4589999999999998E-2</v>
      </c>
      <c r="T138" s="297">
        <v>45</v>
      </c>
      <c r="U138" s="297">
        <v>47</v>
      </c>
      <c r="V138" s="297">
        <v>46</v>
      </c>
      <c r="W138" s="297">
        <v>37</v>
      </c>
      <c r="X138" s="297">
        <v>47</v>
      </c>
      <c r="Y138" s="297">
        <v>40</v>
      </c>
      <c r="Z138" s="297">
        <v>52</v>
      </c>
      <c r="AA138" s="297">
        <v>45</v>
      </c>
      <c r="AB138" s="297">
        <v>48</v>
      </c>
      <c r="AC138" s="297">
        <v>49</v>
      </c>
      <c r="AD138" s="297">
        <v>64</v>
      </c>
      <c r="AE138" s="297">
        <v>54</v>
      </c>
      <c r="AF138" s="297">
        <v>54</v>
      </c>
    </row>
    <row r="139" spans="1:32" x14ac:dyDescent="0.35">
      <c r="A139" s="296" t="s">
        <v>390</v>
      </c>
      <c r="B139" s="296">
        <v>2093</v>
      </c>
      <c r="C139" s="296" t="s">
        <v>151</v>
      </c>
      <c r="D139" s="297">
        <v>502</v>
      </c>
      <c r="E139" s="297">
        <v>513</v>
      </c>
      <c r="F139" s="297">
        <v>13</v>
      </c>
      <c r="G139" s="298">
        <v>2.5340000000000001E-2</v>
      </c>
      <c r="H139" s="297">
        <v>1</v>
      </c>
      <c r="I139" s="298">
        <v>1.9499999999999999E-3</v>
      </c>
      <c r="J139" s="297">
        <v>2</v>
      </c>
      <c r="K139" s="298">
        <v>3.8999999999999998E-3</v>
      </c>
      <c r="L139" s="297">
        <v>4</v>
      </c>
      <c r="M139" s="298">
        <v>7.7999999999999996E-3</v>
      </c>
      <c r="N139" s="297">
        <v>32</v>
      </c>
      <c r="O139" s="298">
        <v>6.2379999999999998E-2</v>
      </c>
      <c r="P139" s="297">
        <v>435</v>
      </c>
      <c r="Q139" s="298">
        <v>0.84794999999999998</v>
      </c>
      <c r="R139" s="297">
        <v>26</v>
      </c>
      <c r="S139" s="298">
        <v>5.0680000000000003E-2</v>
      </c>
      <c r="T139" s="297">
        <v>36</v>
      </c>
      <c r="U139" s="297">
        <v>42</v>
      </c>
      <c r="V139" s="297">
        <v>42</v>
      </c>
      <c r="W139" s="297">
        <v>35</v>
      </c>
      <c r="X139" s="297">
        <v>40</v>
      </c>
      <c r="Y139" s="297">
        <v>44</v>
      </c>
      <c r="Z139" s="297">
        <v>39</v>
      </c>
      <c r="AA139" s="297">
        <v>44</v>
      </c>
      <c r="AB139" s="297">
        <v>43</v>
      </c>
      <c r="AC139" s="297">
        <v>48</v>
      </c>
      <c r="AD139" s="297">
        <v>34</v>
      </c>
      <c r="AE139" s="297">
        <v>28</v>
      </c>
      <c r="AF139" s="297">
        <v>38</v>
      </c>
    </row>
    <row r="140" spans="1:32" hidden="1" x14ac:dyDescent="0.35">
      <c r="A140" s="296" t="s">
        <v>447</v>
      </c>
      <c r="B140" s="296">
        <v>3476</v>
      </c>
      <c r="C140" s="296" t="s">
        <v>3228</v>
      </c>
      <c r="D140" s="297">
        <v>84</v>
      </c>
      <c r="E140" s="297">
        <v>108</v>
      </c>
      <c r="F140" s="297">
        <v>2</v>
      </c>
      <c r="G140" s="298">
        <v>1.8519999999999998E-2</v>
      </c>
      <c r="H140" s="297">
        <v>0</v>
      </c>
      <c r="I140" s="298">
        <v>0</v>
      </c>
      <c r="J140" s="297">
        <v>1</v>
      </c>
      <c r="K140" s="298">
        <v>9.2599999999999991E-3</v>
      </c>
      <c r="L140" s="297">
        <v>9</v>
      </c>
      <c r="M140" s="298">
        <v>8.3330000000000001E-2</v>
      </c>
      <c r="N140" s="297">
        <v>30</v>
      </c>
      <c r="O140" s="298">
        <v>0.27778000000000003</v>
      </c>
      <c r="P140" s="297">
        <v>57</v>
      </c>
      <c r="Q140" s="298">
        <v>0.52778000000000003</v>
      </c>
      <c r="R140" s="297">
        <v>9</v>
      </c>
      <c r="S140" s="298">
        <v>8.3330000000000001E-2</v>
      </c>
      <c r="T140" s="297">
        <v>0</v>
      </c>
      <c r="U140" s="297">
        <v>0</v>
      </c>
      <c r="V140" s="297">
        <v>0</v>
      </c>
      <c r="W140" s="297">
        <v>0</v>
      </c>
      <c r="X140" s="297">
        <v>0</v>
      </c>
      <c r="Y140" s="297">
        <v>0</v>
      </c>
      <c r="Z140" s="297">
        <v>0</v>
      </c>
      <c r="AA140" s="297">
        <v>5</v>
      </c>
      <c r="AB140" s="297">
        <v>8</v>
      </c>
      <c r="AC140" s="297">
        <v>18</v>
      </c>
      <c r="AD140" s="297">
        <v>24</v>
      </c>
      <c r="AE140" s="297">
        <v>22</v>
      </c>
      <c r="AF140" s="297">
        <v>31</v>
      </c>
    </row>
    <row r="141" spans="1:32" hidden="1" x14ac:dyDescent="0.35">
      <c r="A141" s="296" t="s">
        <v>447</v>
      </c>
      <c r="B141" s="296">
        <v>3477</v>
      </c>
      <c r="C141" s="296" t="s">
        <v>3229</v>
      </c>
      <c r="D141" s="297">
        <v>240</v>
      </c>
      <c r="E141" s="297">
        <v>246</v>
      </c>
      <c r="F141" s="297">
        <v>13</v>
      </c>
      <c r="G141" s="298">
        <v>5.2850000000000001E-2</v>
      </c>
      <c r="H141" s="297">
        <v>1</v>
      </c>
      <c r="I141" s="298">
        <v>4.0699999999999998E-3</v>
      </c>
      <c r="J141" s="297">
        <v>4</v>
      </c>
      <c r="K141" s="298">
        <v>1.626E-2</v>
      </c>
      <c r="L141" s="297">
        <v>36</v>
      </c>
      <c r="M141" s="298">
        <v>0.14634</v>
      </c>
      <c r="N141" s="297">
        <v>60</v>
      </c>
      <c r="O141" s="298">
        <v>0.24390000000000001</v>
      </c>
      <c r="P141" s="297">
        <v>118</v>
      </c>
      <c r="Q141" s="298">
        <v>0.47966999999999999</v>
      </c>
      <c r="R141" s="297">
        <v>14</v>
      </c>
      <c r="S141" s="298">
        <v>5.6910000000000002E-2</v>
      </c>
      <c r="T141" s="297">
        <v>0</v>
      </c>
      <c r="U141" s="297">
        <v>0</v>
      </c>
      <c r="V141" s="297">
        <v>0</v>
      </c>
      <c r="W141" s="297">
        <v>0</v>
      </c>
      <c r="X141" s="297">
        <v>0</v>
      </c>
      <c r="Y141" s="297">
        <v>0</v>
      </c>
      <c r="Z141" s="297">
        <v>0</v>
      </c>
      <c r="AA141" s="297">
        <v>0</v>
      </c>
      <c r="AB141" s="297">
        <v>3</v>
      </c>
      <c r="AC141" s="297">
        <v>7</v>
      </c>
      <c r="AD141" s="297">
        <v>23</v>
      </c>
      <c r="AE141" s="297">
        <v>53</v>
      </c>
      <c r="AF141" s="297">
        <v>160</v>
      </c>
    </row>
    <row r="142" spans="1:32" x14ac:dyDescent="0.35">
      <c r="A142" s="296" t="s">
        <v>278</v>
      </c>
      <c r="B142" s="296">
        <v>2108</v>
      </c>
      <c r="C142" s="296" t="s">
        <v>152</v>
      </c>
      <c r="D142" s="297">
        <v>2268</v>
      </c>
      <c r="E142" s="297">
        <v>2281</v>
      </c>
      <c r="F142" s="297">
        <v>9</v>
      </c>
      <c r="G142" s="298">
        <v>3.9500000000000004E-3</v>
      </c>
      <c r="H142" s="297">
        <v>5</v>
      </c>
      <c r="I142" s="298">
        <v>2.1900000000000001E-3</v>
      </c>
      <c r="J142" s="297">
        <v>1</v>
      </c>
      <c r="K142" s="298">
        <v>4.4000000000000002E-4</v>
      </c>
      <c r="L142" s="297">
        <v>15</v>
      </c>
      <c r="M142" s="298">
        <v>6.5799999999999999E-3</v>
      </c>
      <c r="N142" s="297">
        <v>1439</v>
      </c>
      <c r="O142" s="298">
        <v>0.63085999999999998</v>
      </c>
      <c r="P142" s="297">
        <v>731</v>
      </c>
      <c r="Q142" s="298">
        <v>0.32046999999999998</v>
      </c>
      <c r="R142" s="297">
        <v>81</v>
      </c>
      <c r="S142" s="298">
        <v>3.551E-2</v>
      </c>
      <c r="T142" s="297">
        <v>162</v>
      </c>
      <c r="U142" s="297">
        <v>184</v>
      </c>
      <c r="V142" s="297">
        <v>149</v>
      </c>
      <c r="W142" s="297">
        <v>194</v>
      </c>
      <c r="X142" s="297">
        <v>178</v>
      </c>
      <c r="Y142" s="297">
        <v>175</v>
      </c>
      <c r="Z142" s="297">
        <v>162</v>
      </c>
      <c r="AA142" s="297">
        <v>190</v>
      </c>
      <c r="AB142" s="297">
        <v>188</v>
      </c>
      <c r="AC142" s="297">
        <v>196</v>
      </c>
      <c r="AD142" s="297">
        <v>174</v>
      </c>
      <c r="AE142" s="297">
        <v>169</v>
      </c>
      <c r="AF142" s="297">
        <v>160</v>
      </c>
    </row>
    <row r="143" spans="1:32" x14ac:dyDescent="0.35">
      <c r="A143" s="296" t="s">
        <v>440</v>
      </c>
      <c r="B143" s="296">
        <v>1928</v>
      </c>
      <c r="C143" s="296" t="s">
        <v>153</v>
      </c>
      <c r="D143" s="297">
        <v>7206</v>
      </c>
      <c r="E143" s="297">
        <v>7271</v>
      </c>
      <c r="F143" s="297">
        <v>25</v>
      </c>
      <c r="G143" s="298">
        <v>3.4399999999999999E-3</v>
      </c>
      <c r="H143" s="297">
        <v>109</v>
      </c>
      <c r="I143" s="298">
        <v>1.499E-2</v>
      </c>
      <c r="J143" s="297">
        <v>26</v>
      </c>
      <c r="K143" s="298">
        <v>3.5799999999999998E-3</v>
      </c>
      <c r="L143" s="297">
        <v>59</v>
      </c>
      <c r="M143" s="298">
        <v>8.1099999999999992E-3</v>
      </c>
      <c r="N143" s="297">
        <v>1103</v>
      </c>
      <c r="O143" s="298">
        <v>0.1517</v>
      </c>
      <c r="P143" s="297">
        <v>5379</v>
      </c>
      <c r="Q143" s="298">
        <v>0.73978999999999995</v>
      </c>
      <c r="R143" s="297">
        <v>570</v>
      </c>
      <c r="S143" s="298">
        <v>7.8390000000000001E-2</v>
      </c>
      <c r="T143" s="297">
        <v>490</v>
      </c>
      <c r="U143" s="297">
        <v>549</v>
      </c>
      <c r="V143" s="297">
        <v>552</v>
      </c>
      <c r="W143" s="297">
        <v>528</v>
      </c>
      <c r="X143" s="297">
        <v>538</v>
      </c>
      <c r="Y143" s="297">
        <v>546</v>
      </c>
      <c r="Z143" s="297">
        <v>553</v>
      </c>
      <c r="AA143" s="297">
        <v>573</v>
      </c>
      <c r="AB143" s="297">
        <v>586</v>
      </c>
      <c r="AC143" s="297">
        <v>619</v>
      </c>
      <c r="AD143" s="297">
        <v>632</v>
      </c>
      <c r="AE143" s="297">
        <v>553</v>
      </c>
      <c r="AF143" s="297">
        <v>552</v>
      </c>
    </row>
    <row r="144" spans="1:32" hidden="1" x14ac:dyDescent="0.35">
      <c r="A144" s="296" t="s">
        <v>447</v>
      </c>
      <c r="B144" s="296">
        <v>2336</v>
      </c>
      <c r="C144" s="296" t="s">
        <v>3230</v>
      </c>
      <c r="D144" s="297">
        <v>1031</v>
      </c>
      <c r="E144" s="297">
        <v>1076</v>
      </c>
      <c r="F144" s="297">
        <v>5</v>
      </c>
      <c r="G144" s="298">
        <v>4.6499999999999996E-3</v>
      </c>
      <c r="H144" s="297">
        <v>21</v>
      </c>
      <c r="I144" s="298">
        <v>1.9519999999999999E-2</v>
      </c>
      <c r="J144" s="297">
        <v>3</v>
      </c>
      <c r="K144" s="298">
        <v>2.7899999999999999E-3</v>
      </c>
      <c r="L144" s="297">
        <v>46</v>
      </c>
      <c r="M144" s="298">
        <v>4.2750000000000003E-2</v>
      </c>
      <c r="N144" s="297">
        <v>409</v>
      </c>
      <c r="O144" s="298">
        <v>0.38011</v>
      </c>
      <c r="P144" s="297">
        <v>527</v>
      </c>
      <c r="Q144" s="298">
        <v>0.48977999999999999</v>
      </c>
      <c r="R144" s="297">
        <v>65</v>
      </c>
      <c r="S144" s="298">
        <v>6.0409999999999998E-2</v>
      </c>
      <c r="T144" s="297">
        <v>86</v>
      </c>
      <c r="U144" s="297">
        <v>122</v>
      </c>
      <c r="V144" s="297">
        <v>108</v>
      </c>
      <c r="W144" s="297">
        <v>112</v>
      </c>
      <c r="X144" s="297">
        <v>117</v>
      </c>
      <c r="Y144" s="297">
        <v>112</v>
      </c>
      <c r="Z144" s="297">
        <v>85</v>
      </c>
      <c r="AA144" s="297">
        <v>93</v>
      </c>
      <c r="AB144" s="297">
        <v>80</v>
      </c>
      <c r="AC144" s="297">
        <v>44</v>
      </c>
      <c r="AD144" s="297">
        <v>33</v>
      </c>
      <c r="AE144" s="297">
        <v>40</v>
      </c>
      <c r="AF144" s="297">
        <v>44</v>
      </c>
    </row>
    <row r="145" spans="1:32" x14ac:dyDescent="0.35">
      <c r="A145" s="296" t="s">
        <v>440</v>
      </c>
      <c r="B145" s="296">
        <v>1926</v>
      </c>
      <c r="C145" s="296" t="s">
        <v>154</v>
      </c>
      <c r="D145" s="297">
        <v>4292</v>
      </c>
      <c r="E145" s="297">
        <v>4340</v>
      </c>
      <c r="F145" s="297">
        <v>22</v>
      </c>
      <c r="G145" s="298">
        <v>5.0699999999999999E-3</v>
      </c>
      <c r="H145" s="297">
        <v>38</v>
      </c>
      <c r="I145" s="298">
        <v>8.7600000000000004E-3</v>
      </c>
      <c r="J145" s="297">
        <v>13</v>
      </c>
      <c r="K145" s="298">
        <v>3.0000000000000001E-3</v>
      </c>
      <c r="L145" s="297">
        <v>33</v>
      </c>
      <c r="M145" s="298">
        <v>7.6E-3</v>
      </c>
      <c r="N145" s="297">
        <v>697</v>
      </c>
      <c r="O145" s="298">
        <v>0.16059999999999999</v>
      </c>
      <c r="P145" s="297">
        <v>3239</v>
      </c>
      <c r="Q145" s="298">
        <v>0.74631000000000003</v>
      </c>
      <c r="R145" s="297">
        <v>298</v>
      </c>
      <c r="S145" s="298">
        <v>6.8659999999999999E-2</v>
      </c>
      <c r="T145" s="297">
        <v>264</v>
      </c>
      <c r="U145" s="297">
        <v>296</v>
      </c>
      <c r="V145" s="297">
        <v>326</v>
      </c>
      <c r="W145" s="297">
        <v>308</v>
      </c>
      <c r="X145" s="297">
        <v>324</v>
      </c>
      <c r="Y145" s="297">
        <v>352</v>
      </c>
      <c r="Z145" s="297">
        <v>336</v>
      </c>
      <c r="AA145" s="297">
        <v>330</v>
      </c>
      <c r="AB145" s="297">
        <v>351</v>
      </c>
      <c r="AC145" s="297">
        <v>397</v>
      </c>
      <c r="AD145" s="297">
        <v>360</v>
      </c>
      <c r="AE145" s="297">
        <v>350</v>
      </c>
      <c r="AF145" s="297">
        <v>346</v>
      </c>
    </row>
    <row r="146" spans="1:32" x14ac:dyDescent="0.35">
      <c r="A146" s="296" t="s">
        <v>271</v>
      </c>
      <c r="B146" s="296">
        <v>2060</v>
      </c>
      <c r="C146" s="296" t="s">
        <v>155</v>
      </c>
      <c r="D146" s="297">
        <v>210</v>
      </c>
      <c r="E146" s="297">
        <v>206</v>
      </c>
      <c r="F146" s="297">
        <v>2</v>
      </c>
      <c r="G146" s="298">
        <v>9.7099999999999999E-3</v>
      </c>
      <c r="H146" s="297">
        <v>4</v>
      </c>
      <c r="I146" s="298">
        <v>1.942E-2</v>
      </c>
      <c r="J146" s="297">
        <v>0</v>
      </c>
      <c r="K146" s="298">
        <v>0</v>
      </c>
      <c r="L146" s="297">
        <v>0</v>
      </c>
      <c r="M146" s="298">
        <v>0</v>
      </c>
      <c r="N146" s="297">
        <v>24</v>
      </c>
      <c r="O146" s="298">
        <v>0.11650000000000001</v>
      </c>
      <c r="P146" s="297">
        <v>171</v>
      </c>
      <c r="Q146" s="298">
        <v>0.83009999999999995</v>
      </c>
      <c r="R146" s="297">
        <v>5</v>
      </c>
      <c r="S146" s="298">
        <v>2.427E-2</v>
      </c>
      <c r="T146" s="297">
        <v>17</v>
      </c>
      <c r="U146" s="297">
        <v>30</v>
      </c>
      <c r="V146" s="297">
        <v>19</v>
      </c>
      <c r="W146" s="297">
        <v>27</v>
      </c>
      <c r="X146" s="297">
        <v>21</v>
      </c>
      <c r="Y146" s="297">
        <v>24</v>
      </c>
      <c r="Z146" s="297">
        <v>23</v>
      </c>
      <c r="AA146" s="297">
        <v>13</v>
      </c>
      <c r="AB146" s="297">
        <v>13</v>
      </c>
      <c r="AC146" s="297">
        <v>4</v>
      </c>
      <c r="AD146" s="297">
        <v>7</v>
      </c>
      <c r="AE146" s="297">
        <v>5</v>
      </c>
      <c r="AF146" s="297">
        <v>3</v>
      </c>
    </row>
    <row r="147" spans="1:32" x14ac:dyDescent="0.35">
      <c r="A147" s="296" t="s">
        <v>456</v>
      </c>
      <c r="B147" s="296">
        <v>2181</v>
      </c>
      <c r="C147" s="296" t="s">
        <v>156</v>
      </c>
      <c r="D147" s="297">
        <v>2772</v>
      </c>
      <c r="E147" s="297">
        <v>2805</v>
      </c>
      <c r="F147" s="297">
        <v>12</v>
      </c>
      <c r="G147" s="298">
        <v>4.28E-3</v>
      </c>
      <c r="H147" s="297">
        <v>273</v>
      </c>
      <c r="I147" s="298">
        <v>9.733E-2</v>
      </c>
      <c r="J147" s="297">
        <v>110</v>
      </c>
      <c r="K147" s="298">
        <v>3.9219999999999998E-2</v>
      </c>
      <c r="L147" s="297">
        <v>487</v>
      </c>
      <c r="M147" s="298">
        <v>0.17362</v>
      </c>
      <c r="N147" s="297">
        <v>827</v>
      </c>
      <c r="O147" s="298">
        <v>0.29482999999999998</v>
      </c>
      <c r="P147" s="297">
        <v>825</v>
      </c>
      <c r="Q147" s="298">
        <v>0.29411999999999999</v>
      </c>
      <c r="R147" s="297">
        <v>271</v>
      </c>
      <c r="S147" s="298">
        <v>9.6610000000000001E-2</v>
      </c>
      <c r="T147" s="297">
        <v>180</v>
      </c>
      <c r="U147" s="297">
        <v>198</v>
      </c>
      <c r="V147" s="297">
        <v>189</v>
      </c>
      <c r="W147" s="297">
        <v>198</v>
      </c>
      <c r="X147" s="297">
        <v>171</v>
      </c>
      <c r="Y147" s="297">
        <v>169</v>
      </c>
      <c r="Z147" s="297">
        <v>205</v>
      </c>
      <c r="AA147" s="297">
        <v>224</v>
      </c>
      <c r="AB147" s="297">
        <v>248</v>
      </c>
      <c r="AC147" s="297">
        <v>274</v>
      </c>
      <c r="AD147" s="297">
        <v>239</v>
      </c>
      <c r="AE147" s="297">
        <v>234</v>
      </c>
      <c r="AF147" s="297">
        <v>276</v>
      </c>
    </row>
    <row r="148" spans="1:32" x14ac:dyDescent="0.35">
      <c r="A148" s="296" t="s">
        <v>350</v>
      </c>
      <c r="B148" s="296">
        <v>2207</v>
      </c>
      <c r="C148" s="296" t="s">
        <v>157</v>
      </c>
      <c r="D148" s="297">
        <v>2956</v>
      </c>
      <c r="E148" s="297">
        <v>2960</v>
      </c>
      <c r="F148" s="297">
        <v>350</v>
      </c>
      <c r="G148" s="298">
        <v>0.11824</v>
      </c>
      <c r="H148" s="297">
        <v>27</v>
      </c>
      <c r="I148" s="298">
        <v>9.1199999999999996E-3</v>
      </c>
      <c r="J148" s="297">
        <v>7</v>
      </c>
      <c r="K148" s="298">
        <v>2.3600000000000001E-3</v>
      </c>
      <c r="L148" s="297">
        <v>19</v>
      </c>
      <c r="M148" s="298">
        <v>6.4200000000000004E-3</v>
      </c>
      <c r="N148" s="297">
        <v>438</v>
      </c>
      <c r="O148" s="298">
        <v>0.14796999999999999</v>
      </c>
      <c r="P148" s="297">
        <v>1863</v>
      </c>
      <c r="Q148" s="298">
        <v>0.62939000000000001</v>
      </c>
      <c r="R148" s="297">
        <v>256</v>
      </c>
      <c r="S148" s="298">
        <v>8.6489999999999997E-2</v>
      </c>
      <c r="T148" s="297">
        <v>224</v>
      </c>
      <c r="U148" s="297">
        <v>206</v>
      </c>
      <c r="V148" s="297">
        <v>243</v>
      </c>
      <c r="W148" s="297">
        <v>233</v>
      </c>
      <c r="X148" s="297">
        <v>233</v>
      </c>
      <c r="Y148" s="297">
        <v>241</v>
      </c>
      <c r="Z148" s="297">
        <v>190</v>
      </c>
      <c r="AA148" s="297">
        <v>234</v>
      </c>
      <c r="AB148" s="297">
        <v>213</v>
      </c>
      <c r="AC148" s="297">
        <v>237</v>
      </c>
      <c r="AD148" s="297">
        <v>260</v>
      </c>
      <c r="AE148" s="297">
        <v>225</v>
      </c>
      <c r="AF148" s="297">
        <v>221</v>
      </c>
    </row>
    <row r="149" spans="1:32" x14ac:dyDescent="0.35">
      <c r="A149" s="296" t="s">
        <v>484</v>
      </c>
      <c r="B149" s="296">
        <v>2192</v>
      </c>
      <c r="C149" s="296" t="s">
        <v>158</v>
      </c>
      <c r="D149" s="297">
        <v>301</v>
      </c>
      <c r="E149" s="297">
        <v>318</v>
      </c>
      <c r="F149" s="297">
        <v>2</v>
      </c>
      <c r="G149" s="298">
        <v>6.2899999999999996E-3</v>
      </c>
      <c r="H149" s="297">
        <v>0</v>
      </c>
      <c r="I149" s="298">
        <v>0</v>
      </c>
      <c r="J149" s="297">
        <v>0</v>
      </c>
      <c r="K149" s="298">
        <v>0</v>
      </c>
      <c r="L149" s="297">
        <v>3</v>
      </c>
      <c r="M149" s="298">
        <v>9.4299999999999991E-3</v>
      </c>
      <c r="N149" s="297">
        <v>12</v>
      </c>
      <c r="O149" s="298">
        <v>3.7740000000000003E-2</v>
      </c>
      <c r="P149" s="297">
        <v>291</v>
      </c>
      <c r="Q149" s="298">
        <v>0.91508999999999996</v>
      </c>
      <c r="R149" s="297">
        <v>10</v>
      </c>
      <c r="S149" s="298">
        <v>3.1449999999999999E-2</v>
      </c>
      <c r="T149" s="297">
        <v>25</v>
      </c>
      <c r="U149" s="297">
        <v>25</v>
      </c>
      <c r="V149" s="297">
        <v>25</v>
      </c>
      <c r="W149" s="297">
        <v>23</v>
      </c>
      <c r="X149" s="297">
        <v>28</v>
      </c>
      <c r="Y149" s="297">
        <v>25</v>
      </c>
      <c r="Z149" s="297">
        <v>25</v>
      </c>
      <c r="AA149" s="297">
        <v>27</v>
      </c>
      <c r="AB149" s="297">
        <v>25</v>
      </c>
      <c r="AC149" s="297">
        <v>23</v>
      </c>
      <c r="AD149" s="297">
        <v>26</v>
      </c>
      <c r="AE149" s="297">
        <v>22</v>
      </c>
      <c r="AF149" s="297">
        <v>19</v>
      </c>
    </row>
    <row r="150" spans="1:32" x14ac:dyDescent="0.35">
      <c r="A150" s="296" t="s">
        <v>289</v>
      </c>
      <c r="B150" s="296">
        <v>1900</v>
      </c>
      <c r="C150" s="296" t="s">
        <v>160</v>
      </c>
      <c r="D150" s="297">
        <v>1554</v>
      </c>
      <c r="E150" s="297">
        <v>1602</v>
      </c>
      <c r="F150" s="297">
        <v>6</v>
      </c>
      <c r="G150" s="298">
        <v>3.7499999999999999E-3</v>
      </c>
      <c r="H150" s="297">
        <v>14</v>
      </c>
      <c r="I150" s="298">
        <v>8.7399999999999995E-3</v>
      </c>
      <c r="J150" s="297">
        <v>3</v>
      </c>
      <c r="K150" s="298">
        <v>1.8699999999999999E-3</v>
      </c>
      <c r="L150" s="297">
        <v>7</v>
      </c>
      <c r="M150" s="298">
        <v>4.3699999999999998E-3</v>
      </c>
      <c r="N150" s="297">
        <v>147</v>
      </c>
      <c r="O150" s="298">
        <v>9.1759999999999994E-2</v>
      </c>
      <c r="P150" s="297">
        <v>1309</v>
      </c>
      <c r="Q150" s="298">
        <v>0.81710000000000005</v>
      </c>
      <c r="R150" s="297">
        <v>116</v>
      </c>
      <c r="S150" s="298">
        <v>7.2410000000000002E-2</v>
      </c>
      <c r="T150" s="297">
        <v>112</v>
      </c>
      <c r="U150" s="297">
        <v>110</v>
      </c>
      <c r="V150" s="297">
        <v>115</v>
      </c>
      <c r="W150" s="297">
        <v>86</v>
      </c>
      <c r="X150" s="297">
        <v>120</v>
      </c>
      <c r="Y150" s="297">
        <v>111</v>
      </c>
      <c r="Z150" s="297">
        <v>125</v>
      </c>
      <c r="AA150" s="297">
        <v>140</v>
      </c>
      <c r="AB150" s="297">
        <v>129</v>
      </c>
      <c r="AC150" s="297">
        <v>162</v>
      </c>
      <c r="AD150" s="297">
        <v>149</v>
      </c>
      <c r="AE150" s="297">
        <v>127</v>
      </c>
      <c r="AF150" s="297">
        <v>116</v>
      </c>
    </row>
    <row r="151" spans="1:32" x14ac:dyDescent="0.35">
      <c r="A151" s="296" t="s">
        <v>318</v>
      </c>
      <c r="B151" s="296">
        <v>2039</v>
      </c>
      <c r="C151" s="296" t="s">
        <v>161</v>
      </c>
      <c r="D151" s="297">
        <v>2240</v>
      </c>
      <c r="E151" s="297">
        <v>2265</v>
      </c>
      <c r="F151" s="297">
        <v>23</v>
      </c>
      <c r="G151" s="298">
        <v>1.0149999999999999E-2</v>
      </c>
      <c r="H151" s="297">
        <v>11</v>
      </c>
      <c r="I151" s="298">
        <v>4.8599999999999997E-3</v>
      </c>
      <c r="J151" s="297">
        <v>16</v>
      </c>
      <c r="K151" s="298">
        <v>7.0600000000000003E-3</v>
      </c>
      <c r="L151" s="297">
        <v>25</v>
      </c>
      <c r="M151" s="298">
        <v>1.1039999999999999E-2</v>
      </c>
      <c r="N151" s="297">
        <v>870</v>
      </c>
      <c r="O151" s="298">
        <v>0.38411000000000001</v>
      </c>
      <c r="P151" s="297">
        <v>1184</v>
      </c>
      <c r="Q151" s="298">
        <v>0.52273999999999998</v>
      </c>
      <c r="R151" s="297">
        <v>136</v>
      </c>
      <c r="S151" s="298">
        <v>6.0040000000000003E-2</v>
      </c>
      <c r="T151" s="297">
        <v>138</v>
      </c>
      <c r="U151" s="297">
        <v>171</v>
      </c>
      <c r="V151" s="297">
        <v>193</v>
      </c>
      <c r="W151" s="297">
        <v>150</v>
      </c>
      <c r="X151" s="297">
        <v>180</v>
      </c>
      <c r="Y151" s="297">
        <v>174</v>
      </c>
      <c r="Z151" s="297">
        <v>165</v>
      </c>
      <c r="AA151" s="297">
        <v>175</v>
      </c>
      <c r="AB151" s="297">
        <v>149</v>
      </c>
      <c r="AC151" s="297">
        <v>192</v>
      </c>
      <c r="AD151" s="297">
        <v>202</v>
      </c>
      <c r="AE151" s="297">
        <v>183</v>
      </c>
      <c r="AF151" s="297">
        <v>193</v>
      </c>
    </row>
    <row r="152" spans="1:32" x14ac:dyDescent="0.35">
      <c r="A152" s="296" t="s">
        <v>350</v>
      </c>
      <c r="B152" s="296">
        <v>2202</v>
      </c>
      <c r="C152" s="296" t="s">
        <v>162</v>
      </c>
      <c r="D152" s="297">
        <v>283</v>
      </c>
      <c r="E152" s="297">
        <v>297</v>
      </c>
      <c r="F152" s="297">
        <v>6</v>
      </c>
      <c r="G152" s="298">
        <v>2.0199999999999999E-2</v>
      </c>
      <c r="H152" s="297">
        <v>1</v>
      </c>
      <c r="I152" s="298">
        <v>3.3700000000000002E-3</v>
      </c>
      <c r="J152" s="297">
        <v>0</v>
      </c>
      <c r="K152" s="298">
        <v>0</v>
      </c>
      <c r="L152" s="297">
        <v>0</v>
      </c>
      <c r="M152" s="298">
        <v>0</v>
      </c>
      <c r="N152" s="297">
        <v>30</v>
      </c>
      <c r="O152" s="298">
        <v>0.10101</v>
      </c>
      <c r="P152" s="297">
        <v>249</v>
      </c>
      <c r="Q152" s="298">
        <v>0.83838000000000001</v>
      </c>
      <c r="R152" s="297">
        <v>11</v>
      </c>
      <c r="S152" s="298">
        <v>3.7039999999999997E-2</v>
      </c>
      <c r="T152" s="297">
        <v>17</v>
      </c>
      <c r="U152" s="297">
        <v>20</v>
      </c>
      <c r="V152" s="297">
        <v>18</v>
      </c>
      <c r="W152" s="297">
        <v>19</v>
      </c>
      <c r="X152" s="297">
        <v>24</v>
      </c>
      <c r="Y152" s="297">
        <v>26</v>
      </c>
      <c r="Z152" s="297">
        <v>18</v>
      </c>
      <c r="AA152" s="297">
        <v>32</v>
      </c>
      <c r="AB152" s="297">
        <v>22</v>
      </c>
      <c r="AC152" s="297">
        <v>25</v>
      </c>
      <c r="AD152" s="297">
        <v>32</v>
      </c>
      <c r="AE152" s="297">
        <v>21</v>
      </c>
      <c r="AF152" s="297">
        <v>23</v>
      </c>
    </row>
    <row r="153" spans="1:32" x14ac:dyDescent="0.35">
      <c r="A153" s="296" t="s">
        <v>584</v>
      </c>
      <c r="B153" s="296">
        <v>2016</v>
      </c>
      <c r="C153" s="296" t="s">
        <v>163</v>
      </c>
      <c r="D153" s="297">
        <v>3</v>
      </c>
      <c r="E153" s="297">
        <v>3</v>
      </c>
      <c r="F153" s="297">
        <v>0</v>
      </c>
      <c r="G153" s="298">
        <v>0</v>
      </c>
      <c r="H153" s="297">
        <v>0</v>
      </c>
      <c r="I153" s="298">
        <v>0</v>
      </c>
      <c r="J153" s="297">
        <v>0</v>
      </c>
      <c r="K153" s="298">
        <v>0</v>
      </c>
      <c r="L153" s="297">
        <v>0</v>
      </c>
      <c r="M153" s="298">
        <v>0</v>
      </c>
      <c r="N153" s="297">
        <v>0</v>
      </c>
      <c r="O153" s="298">
        <v>0</v>
      </c>
      <c r="P153" s="297">
        <v>3</v>
      </c>
      <c r="Q153" s="298">
        <v>1</v>
      </c>
      <c r="R153" s="297">
        <v>0</v>
      </c>
      <c r="S153" s="298">
        <v>0</v>
      </c>
      <c r="T153" s="297">
        <v>0</v>
      </c>
      <c r="U153" s="297">
        <v>0</v>
      </c>
      <c r="V153" s="297">
        <v>1</v>
      </c>
      <c r="W153" s="297">
        <v>0</v>
      </c>
      <c r="X153" s="297">
        <v>1</v>
      </c>
      <c r="Y153" s="297">
        <v>0</v>
      </c>
      <c r="Z153" s="297">
        <v>0</v>
      </c>
      <c r="AA153" s="297">
        <v>0</v>
      </c>
      <c r="AB153" s="297">
        <v>1</v>
      </c>
      <c r="AC153" s="297">
        <v>0</v>
      </c>
      <c r="AD153" s="297">
        <v>0</v>
      </c>
      <c r="AE153" s="297">
        <v>0</v>
      </c>
      <c r="AF153" s="297">
        <v>0</v>
      </c>
    </row>
    <row r="154" spans="1:32" x14ac:dyDescent="0.35">
      <c r="A154" s="296" t="s">
        <v>355</v>
      </c>
      <c r="B154" s="296">
        <v>1897</v>
      </c>
      <c r="C154" s="296" t="s">
        <v>164</v>
      </c>
      <c r="D154" s="297">
        <v>196</v>
      </c>
      <c r="E154" s="297">
        <v>197</v>
      </c>
      <c r="F154" s="297">
        <v>0</v>
      </c>
      <c r="G154" s="298">
        <v>0</v>
      </c>
      <c r="H154" s="297">
        <v>0</v>
      </c>
      <c r="I154" s="298">
        <v>0</v>
      </c>
      <c r="J154" s="297">
        <v>0</v>
      </c>
      <c r="K154" s="298">
        <v>0</v>
      </c>
      <c r="L154" s="297">
        <v>0</v>
      </c>
      <c r="M154" s="298">
        <v>0</v>
      </c>
      <c r="N154" s="297">
        <v>15</v>
      </c>
      <c r="O154" s="298">
        <v>7.6139999999999999E-2</v>
      </c>
      <c r="P154" s="297">
        <v>175</v>
      </c>
      <c r="Q154" s="298">
        <v>0.88832</v>
      </c>
      <c r="R154" s="297">
        <v>7</v>
      </c>
      <c r="S154" s="298">
        <v>3.5529999999999999E-2</v>
      </c>
      <c r="T154" s="297">
        <v>20</v>
      </c>
      <c r="U154" s="297">
        <v>11</v>
      </c>
      <c r="V154" s="297">
        <v>16</v>
      </c>
      <c r="W154" s="297">
        <v>16</v>
      </c>
      <c r="X154" s="297">
        <v>13</v>
      </c>
      <c r="Y154" s="297">
        <v>21</v>
      </c>
      <c r="Z154" s="297">
        <v>18</v>
      </c>
      <c r="AA154" s="297">
        <v>19</v>
      </c>
      <c r="AB154" s="297">
        <v>13</v>
      </c>
      <c r="AC154" s="297">
        <v>14</v>
      </c>
      <c r="AD154" s="297">
        <v>12</v>
      </c>
      <c r="AE154" s="297">
        <v>17</v>
      </c>
      <c r="AF154" s="297">
        <v>7</v>
      </c>
    </row>
    <row r="155" spans="1:32" x14ac:dyDescent="0.35">
      <c r="A155" s="296" t="s">
        <v>318</v>
      </c>
      <c r="B155" s="296">
        <v>2047</v>
      </c>
      <c r="C155" s="296" t="s">
        <v>165</v>
      </c>
      <c r="D155" s="297">
        <v>12</v>
      </c>
      <c r="E155" s="297">
        <v>20</v>
      </c>
      <c r="F155" s="297">
        <v>0</v>
      </c>
      <c r="G155" s="298">
        <v>0</v>
      </c>
      <c r="H155" s="297">
        <v>0</v>
      </c>
      <c r="I155" s="298">
        <v>0</v>
      </c>
      <c r="J155" s="297">
        <v>0</v>
      </c>
      <c r="K155" s="298">
        <v>0</v>
      </c>
      <c r="L155" s="297">
        <v>0</v>
      </c>
      <c r="M155" s="298">
        <v>0</v>
      </c>
      <c r="N155" s="297">
        <v>0</v>
      </c>
      <c r="O155" s="298">
        <v>0</v>
      </c>
      <c r="P155" s="297">
        <v>17</v>
      </c>
      <c r="Q155" s="298">
        <v>0.85</v>
      </c>
      <c r="R155" s="297">
        <v>3</v>
      </c>
      <c r="S155" s="298">
        <v>0.15</v>
      </c>
      <c r="T155" s="297">
        <v>4</v>
      </c>
      <c r="U155" s="297">
        <v>3</v>
      </c>
      <c r="V155" s="297">
        <v>5</v>
      </c>
      <c r="W155" s="297">
        <v>0</v>
      </c>
      <c r="X155" s="297">
        <v>2</v>
      </c>
      <c r="Y155" s="297">
        <v>4</v>
      </c>
      <c r="Z155" s="297">
        <v>2</v>
      </c>
      <c r="AA155" s="297">
        <v>0</v>
      </c>
      <c r="AB155" s="297">
        <v>0</v>
      </c>
      <c r="AC155" s="297">
        <v>0</v>
      </c>
      <c r="AD155" s="297">
        <v>0</v>
      </c>
      <c r="AE155" s="297">
        <v>0</v>
      </c>
      <c r="AF155" s="297">
        <v>0</v>
      </c>
    </row>
    <row r="156" spans="1:32" x14ac:dyDescent="0.35">
      <c r="A156" s="296" t="s">
        <v>390</v>
      </c>
      <c r="B156" s="296">
        <v>2081</v>
      </c>
      <c r="C156" s="296" t="s">
        <v>166</v>
      </c>
      <c r="D156" s="297">
        <v>929</v>
      </c>
      <c r="E156" s="297">
        <v>1000</v>
      </c>
      <c r="F156" s="297">
        <v>7</v>
      </c>
      <c r="G156" s="298">
        <v>7.0000000000000001E-3</v>
      </c>
      <c r="H156" s="297">
        <v>3</v>
      </c>
      <c r="I156" s="298">
        <v>3.0000000000000001E-3</v>
      </c>
      <c r="J156" s="297">
        <v>1</v>
      </c>
      <c r="K156" s="298">
        <v>1E-3</v>
      </c>
      <c r="L156" s="297">
        <v>3</v>
      </c>
      <c r="M156" s="298">
        <v>3.0000000000000001E-3</v>
      </c>
      <c r="N156" s="297">
        <v>96</v>
      </c>
      <c r="O156" s="298">
        <v>9.6000000000000002E-2</v>
      </c>
      <c r="P156" s="297">
        <v>809</v>
      </c>
      <c r="Q156" s="298">
        <v>0.80900000000000005</v>
      </c>
      <c r="R156" s="297">
        <v>81</v>
      </c>
      <c r="S156" s="298">
        <v>8.1000000000000003E-2</v>
      </c>
      <c r="T156" s="297">
        <v>76</v>
      </c>
      <c r="U156" s="297">
        <v>77</v>
      </c>
      <c r="V156" s="297">
        <v>71</v>
      </c>
      <c r="W156" s="297">
        <v>82</v>
      </c>
      <c r="X156" s="297">
        <v>80</v>
      </c>
      <c r="Y156" s="297">
        <v>69</v>
      </c>
      <c r="Z156" s="297">
        <v>76</v>
      </c>
      <c r="AA156" s="297">
        <v>57</v>
      </c>
      <c r="AB156" s="297">
        <v>82</v>
      </c>
      <c r="AC156" s="297">
        <v>82</v>
      </c>
      <c r="AD156" s="297">
        <v>85</v>
      </c>
      <c r="AE156" s="297">
        <v>100</v>
      </c>
      <c r="AF156" s="297">
        <v>63</v>
      </c>
    </row>
    <row r="157" spans="1:32" x14ac:dyDescent="0.35">
      <c r="A157" s="296" t="s">
        <v>271</v>
      </c>
      <c r="B157" s="296">
        <v>2062</v>
      </c>
      <c r="C157" s="296" t="s">
        <v>167</v>
      </c>
      <c r="D157" s="297">
        <v>9</v>
      </c>
      <c r="E157" s="297">
        <v>7</v>
      </c>
      <c r="F157" s="297">
        <v>0</v>
      </c>
      <c r="G157" s="298">
        <v>0</v>
      </c>
      <c r="H157" s="297">
        <v>0</v>
      </c>
      <c r="I157" s="298">
        <v>0</v>
      </c>
      <c r="J157" s="297">
        <v>0</v>
      </c>
      <c r="K157" s="298">
        <v>0</v>
      </c>
      <c r="L157" s="297">
        <v>0</v>
      </c>
      <c r="M157" s="298">
        <v>0</v>
      </c>
      <c r="N157" s="297">
        <v>0</v>
      </c>
      <c r="O157" s="298">
        <v>0</v>
      </c>
      <c r="P157" s="297">
        <v>7</v>
      </c>
      <c r="Q157" s="298">
        <v>1</v>
      </c>
      <c r="R157" s="297">
        <v>0</v>
      </c>
      <c r="S157" s="298">
        <v>0</v>
      </c>
      <c r="T157" s="297">
        <v>0</v>
      </c>
      <c r="U157" s="297">
        <v>1</v>
      </c>
      <c r="V157" s="297">
        <v>1</v>
      </c>
      <c r="W157" s="297">
        <v>1</v>
      </c>
      <c r="X157" s="297">
        <v>1</v>
      </c>
      <c r="Y157" s="297">
        <v>0</v>
      </c>
      <c r="Z157" s="297">
        <v>0</v>
      </c>
      <c r="AA157" s="297">
        <v>2</v>
      </c>
      <c r="AB157" s="297">
        <v>1</v>
      </c>
      <c r="AC157" s="297">
        <v>0</v>
      </c>
      <c r="AD157" s="297">
        <v>0</v>
      </c>
      <c r="AE157" s="297">
        <v>0</v>
      </c>
      <c r="AF157" s="297">
        <v>0</v>
      </c>
    </row>
    <row r="158" spans="1:32" x14ac:dyDescent="0.35">
      <c r="A158" s="296" t="s">
        <v>407</v>
      </c>
      <c r="B158" s="296">
        <v>1973</v>
      </c>
      <c r="C158" s="296" t="s">
        <v>168</v>
      </c>
      <c r="D158" s="297">
        <v>222</v>
      </c>
      <c r="E158" s="297">
        <v>225</v>
      </c>
      <c r="F158" s="297">
        <v>5</v>
      </c>
      <c r="G158" s="298">
        <v>2.222E-2</v>
      </c>
      <c r="H158" s="297">
        <v>1</v>
      </c>
      <c r="I158" s="298">
        <v>4.4400000000000004E-3</v>
      </c>
      <c r="J158" s="297">
        <v>0</v>
      </c>
      <c r="K158" s="298">
        <v>0</v>
      </c>
      <c r="L158" s="297">
        <v>0</v>
      </c>
      <c r="M158" s="298">
        <v>0</v>
      </c>
      <c r="N158" s="297">
        <v>11</v>
      </c>
      <c r="O158" s="298">
        <v>4.8890000000000003E-2</v>
      </c>
      <c r="P158" s="297">
        <v>192</v>
      </c>
      <c r="Q158" s="298">
        <v>0.85333000000000003</v>
      </c>
      <c r="R158" s="297">
        <v>16</v>
      </c>
      <c r="S158" s="298">
        <v>7.1110000000000007E-2</v>
      </c>
      <c r="T158" s="297">
        <v>15</v>
      </c>
      <c r="U158" s="297">
        <v>21</v>
      </c>
      <c r="V158" s="297">
        <v>14</v>
      </c>
      <c r="W158" s="297">
        <v>20</v>
      </c>
      <c r="X158" s="297">
        <v>16</v>
      </c>
      <c r="Y158" s="297">
        <v>22</v>
      </c>
      <c r="Z158" s="297">
        <v>24</v>
      </c>
      <c r="AA158" s="297">
        <v>19</v>
      </c>
      <c r="AB158" s="297">
        <v>18</v>
      </c>
      <c r="AC158" s="297">
        <v>12</v>
      </c>
      <c r="AD158" s="297">
        <v>24</v>
      </c>
      <c r="AE158" s="297">
        <v>17</v>
      </c>
      <c r="AF158" s="297">
        <v>3</v>
      </c>
    </row>
    <row r="159" spans="1:32" x14ac:dyDescent="0.35">
      <c r="A159" s="296" t="s">
        <v>456</v>
      </c>
      <c r="B159" s="296">
        <v>2180</v>
      </c>
      <c r="C159" s="296" t="s">
        <v>169</v>
      </c>
      <c r="D159" s="297">
        <v>45123</v>
      </c>
      <c r="E159" s="297">
        <v>44681</v>
      </c>
      <c r="F159" s="297">
        <v>221</v>
      </c>
      <c r="G159" s="298">
        <v>4.9500000000000004E-3</v>
      </c>
      <c r="H159" s="297">
        <v>2548</v>
      </c>
      <c r="I159" s="298">
        <v>5.7029999999999997E-2</v>
      </c>
      <c r="J159" s="297">
        <v>332</v>
      </c>
      <c r="K159" s="298">
        <v>7.43E-3</v>
      </c>
      <c r="L159" s="297">
        <v>3632</v>
      </c>
      <c r="M159" s="298">
        <v>8.1290000000000001E-2</v>
      </c>
      <c r="N159" s="297">
        <v>7596</v>
      </c>
      <c r="O159" s="298">
        <v>0.17000999999999999</v>
      </c>
      <c r="P159" s="297">
        <v>24929</v>
      </c>
      <c r="Q159" s="298">
        <v>0.55793000000000004</v>
      </c>
      <c r="R159" s="297">
        <v>5423</v>
      </c>
      <c r="S159" s="298">
        <v>0.12137000000000001</v>
      </c>
      <c r="T159" s="297">
        <v>3145</v>
      </c>
      <c r="U159" s="297">
        <v>3373</v>
      </c>
      <c r="V159" s="297">
        <v>3313</v>
      </c>
      <c r="W159" s="297">
        <v>3494</v>
      </c>
      <c r="X159" s="297">
        <v>3473</v>
      </c>
      <c r="Y159" s="297">
        <v>3353</v>
      </c>
      <c r="Z159" s="297">
        <v>3394</v>
      </c>
      <c r="AA159" s="297">
        <v>3340</v>
      </c>
      <c r="AB159" s="297">
        <v>3449</v>
      </c>
      <c r="AC159" s="297">
        <v>3599</v>
      </c>
      <c r="AD159" s="297">
        <v>3613</v>
      </c>
      <c r="AE159" s="297">
        <v>3375</v>
      </c>
      <c r="AF159" s="297">
        <v>3760</v>
      </c>
    </row>
    <row r="160" spans="1:32" x14ac:dyDescent="0.35">
      <c r="A160" s="296" t="s">
        <v>365</v>
      </c>
      <c r="B160" s="296">
        <v>1967</v>
      </c>
      <c r="C160" s="296" t="s">
        <v>170</v>
      </c>
      <c r="D160" s="297">
        <v>123</v>
      </c>
      <c r="E160" s="297">
        <v>127</v>
      </c>
      <c r="F160" s="297">
        <v>12</v>
      </c>
      <c r="G160" s="298">
        <v>9.4490000000000005E-2</v>
      </c>
      <c r="H160" s="297">
        <v>0</v>
      </c>
      <c r="I160" s="298">
        <v>0</v>
      </c>
      <c r="J160" s="297">
        <v>0</v>
      </c>
      <c r="K160" s="298">
        <v>0</v>
      </c>
      <c r="L160" s="297">
        <v>0</v>
      </c>
      <c r="M160" s="298">
        <v>0</v>
      </c>
      <c r="N160" s="297">
        <v>15</v>
      </c>
      <c r="O160" s="298">
        <v>0.11811000000000001</v>
      </c>
      <c r="P160" s="297">
        <v>69</v>
      </c>
      <c r="Q160" s="298">
        <v>0.54330999999999996</v>
      </c>
      <c r="R160" s="297">
        <v>31</v>
      </c>
      <c r="S160" s="298">
        <v>0.24409</v>
      </c>
      <c r="T160" s="297">
        <v>6</v>
      </c>
      <c r="U160" s="297">
        <v>6</v>
      </c>
      <c r="V160" s="297">
        <v>14</v>
      </c>
      <c r="W160" s="297">
        <v>12</v>
      </c>
      <c r="X160" s="297">
        <v>9</v>
      </c>
      <c r="Y160" s="297">
        <v>9</v>
      </c>
      <c r="Z160" s="297">
        <v>5</v>
      </c>
      <c r="AA160" s="297">
        <v>13</v>
      </c>
      <c r="AB160" s="297">
        <v>15</v>
      </c>
      <c r="AC160" s="297">
        <v>9</v>
      </c>
      <c r="AD160" s="297">
        <v>11</v>
      </c>
      <c r="AE160" s="297">
        <v>7</v>
      </c>
      <c r="AF160" s="297">
        <v>11</v>
      </c>
    </row>
    <row r="161" spans="1:32" x14ac:dyDescent="0.35">
      <c r="A161" s="296" t="s">
        <v>578</v>
      </c>
      <c r="B161" s="296">
        <v>2009</v>
      </c>
      <c r="C161" s="296" t="s">
        <v>171</v>
      </c>
      <c r="D161" s="297">
        <v>877</v>
      </c>
      <c r="E161" s="297">
        <v>1089</v>
      </c>
      <c r="F161" s="297">
        <v>12</v>
      </c>
      <c r="G161" s="298">
        <v>1.102E-2</v>
      </c>
      <c r="H161" s="297">
        <v>8</v>
      </c>
      <c r="I161" s="298">
        <v>7.3499999999999998E-3</v>
      </c>
      <c r="J161" s="297">
        <v>6</v>
      </c>
      <c r="K161" s="298">
        <v>5.5100000000000001E-3</v>
      </c>
      <c r="L161" s="297">
        <v>20</v>
      </c>
      <c r="M161" s="298">
        <v>1.8370000000000001E-2</v>
      </c>
      <c r="N161" s="297">
        <v>128</v>
      </c>
      <c r="O161" s="298">
        <v>0.11754000000000001</v>
      </c>
      <c r="P161" s="297">
        <v>831</v>
      </c>
      <c r="Q161" s="298">
        <v>0.76309000000000005</v>
      </c>
      <c r="R161" s="297">
        <v>84</v>
      </c>
      <c r="S161" s="298">
        <v>7.7130000000000004E-2</v>
      </c>
      <c r="T161" s="297">
        <v>65</v>
      </c>
      <c r="U161" s="297">
        <v>74</v>
      </c>
      <c r="V161" s="297">
        <v>58</v>
      </c>
      <c r="W161" s="297">
        <v>44</v>
      </c>
      <c r="X161" s="297">
        <v>58</v>
      </c>
      <c r="Y161" s="297">
        <v>54</v>
      </c>
      <c r="Z161" s="297">
        <v>88</v>
      </c>
      <c r="AA161" s="297">
        <v>62</v>
      </c>
      <c r="AB161" s="297">
        <v>106</v>
      </c>
      <c r="AC161" s="297">
        <v>91</v>
      </c>
      <c r="AD161" s="297">
        <v>133</v>
      </c>
      <c r="AE161" s="297">
        <v>139</v>
      </c>
      <c r="AF161" s="297">
        <v>117</v>
      </c>
    </row>
    <row r="162" spans="1:32" x14ac:dyDescent="0.35">
      <c r="A162" s="296" t="s">
        <v>318</v>
      </c>
      <c r="B162" s="296">
        <v>2045</v>
      </c>
      <c r="C162" s="296" t="s">
        <v>172</v>
      </c>
      <c r="D162" s="297">
        <v>220</v>
      </c>
      <c r="E162" s="297">
        <v>226</v>
      </c>
      <c r="F162" s="297">
        <v>1</v>
      </c>
      <c r="G162" s="298">
        <v>4.4200000000000003E-3</v>
      </c>
      <c r="H162" s="297">
        <v>0</v>
      </c>
      <c r="I162" s="298">
        <v>0</v>
      </c>
      <c r="J162" s="297">
        <v>0</v>
      </c>
      <c r="K162" s="298">
        <v>0</v>
      </c>
      <c r="L162" s="297">
        <v>1</v>
      </c>
      <c r="M162" s="298">
        <v>4.4200000000000003E-3</v>
      </c>
      <c r="N162" s="297">
        <v>12</v>
      </c>
      <c r="O162" s="298">
        <v>5.3100000000000001E-2</v>
      </c>
      <c r="P162" s="297">
        <v>194</v>
      </c>
      <c r="Q162" s="298">
        <v>0.85841000000000001</v>
      </c>
      <c r="R162" s="297">
        <v>18</v>
      </c>
      <c r="S162" s="298">
        <v>7.9649999999999999E-2</v>
      </c>
      <c r="T162" s="297">
        <v>14</v>
      </c>
      <c r="U162" s="297">
        <v>24</v>
      </c>
      <c r="V162" s="297">
        <v>14</v>
      </c>
      <c r="W162" s="297">
        <v>12</v>
      </c>
      <c r="X162" s="297">
        <v>21</v>
      </c>
      <c r="Y162" s="297">
        <v>10</v>
      </c>
      <c r="Z162" s="297">
        <v>16</v>
      </c>
      <c r="AA162" s="297">
        <v>20</v>
      </c>
      <c r="AB162" s="297">
        <v>19</v>
      </c>
      <c r="AC162" s="297">
        <v>27</v>
      </c>
      <c r="AD162" s="297">
        <v>17</v>
      </c>
      <c r="AE162" s="297">
        <v>15</v>
      </c>
      <c r="AF162" s="297">
        <v>17</v>
      </c>
    </row>
    <row r="163" spans="1:32" x14ac:dyDescent="0.35">
      <c r="A163" s="296" t="s">
        <v>490</v>
      </c>
      <c r="B163" s="296">
        <v>1946</v>
      </c>
      <c r="C163" s="296" t="s">
        <v>173</v>
      </c>
      <c r="D163" s="297">
        <v>850</v>
      </c>
      <c r="E163" s="297">
        <v>845</v>
      </c>
      <c r="F163" s="297">
        <v>12</v>
      </c>
      <c r="G163" s="298">
        <v>1.4200000000000001E-2</v>
      </c>
      <c r="H163" s="297">
        <v>4</v>
      </c>
      <c r="I163" s="298">
        <v>4.7299999999999998E-3</v>
      </c>
      <c r="J163" s="297">
        <v>0</v>
      </c>
      <c r="K163" s="298">
        <v>0</v>
      </c>
      <c r="L163" s="297">
        <v>5</v>
      </c>
      <c r="M163" s="298">
        <v>5.9199999999999999E-3</v>
      </c>
      <c r="N163" s="297">
        <v>90</v>
      </c>
      <c r="O163" s="298">
        <v>0.10650999999999999</v>
      </c>
      <c r="P163" s="297">
        <v>683</v>
      </c>
      <c r="Q163" s="298">
        <v>0.80828</v>
      </c>
      <c r="R163" s="297">
        <v>51</v>
      </c>
      <c r="S163" s="298">
        <v>6.0359999999999997E-2</v>
      </c>
      <c r="T163" s="297">
        <v>48</v>
      </c>
      <c r="U163" s="297">
        <v>61</v>
      </c>
      <c r="V163" s="297">
        <v>78</v>
      </c>
      <c r="W163" s="297">
        <v>64</v>
      </c>
      <c r="X163" s="297">
        <v>59</v>
      </c>
      <c r="Y163" s="297">
        <v>64</v>
      </c>
      <c r="Z163" s="297">
        <v>60</v>
      </c>
      <c r="AA163" s="297">
        <v>60</v>
      </c>
      <c r="AB163" s="297">
        <v>70</v>
      </c>
      <c r="AC163" s="297">
        <v>85</v>
      </c>
      <c r="AD163" s="297">
        <v>67</v>
      </c>
      <c r="AE163" s="297">
        <v>62</v>
      </c>
      <c r="AF163" s="297">
        <v>67</v>
      </c>
    </row>
    <row r="164" spans="1:32" x14ac:dyDescent="0.35">
      <c r="A164" s="296" t="s">
        <v>384</v>
      </c>
      <c r="B164" s="296">
        <v>1977</v>
      </c>
      <c r="C164" s="296" t="s">
        <v>174</v>
      </c>
      <c r="D164" s="297">
        <v>7066</v>
      </c>
      <c r="E164" s="297">
        <v>7080</v>
      </c>
      <c r="F164" s="297">
        <v>59</v>
      </c>
      <c r="G164" s="298">
        <v>8.3300000000000006E-3</v>
      </c>
      <c r="H164" s="297">
        <v>59</v>
      </c>
      <c r="I164" s="298">
        <v>8.3300000000000006E-3</v>
      </c>
      <c r="J164" s="297">
        <v>28</v>
      </c>
      <c r="K164" s="298">
        <v>3.9500000000000004E-3</v>
      </c>
      <c r="L164" s="297">
        <v>45</v>
      </c>
      <c r="M164" s="298">
        <v>6.3600000000000002E-3</v>
      </c>
      <c r="N164" s="297">
        <v>1494</v>
      </c>
      <c r="O164" s="298">
        <v>0.21102000000000001</v>
      </c>
      <c r="P164" s="297">
        <v>5087</v>
      </c>
      <c r="Q164" s="298">
        <v>0.71850000000000003</v>
      </c>
      <c r="R164" s="297">
        <v>308</v>
      </c>
      <c r="S164" s="298">
        <v>4.3499999999999997E-2</v>
      </c>
      <c r="T164" s="297">
        <v>455</v>
      </c>
      <c r="U164" s="297">
        <v>488</v>
      </c>
      <c r="V164" s="297">
        <v>502</v>
      </c>
      <c r="W164" s="297">
        <v>507</v>
      </c>
      <c r="X164" s="297">
        <v>496</v>
      </c>
      <c r="Y164" s="297">
        <v>503</v>
      </c>
      <c r="Z164" s="297">
        <v>515</v>
      </c>
      <c r="AA164" s="297">
        <v>508</v>
      </c>
      <c r="AB164" s="297">
        <v>596</v>
      </c>
      <c r="AC164" s="297">
        <v>630</v>
      </c>
      <c r="AD164" s="297">
        <v>652</v>
      </c>
      <c r="AE164" s="297">
        <v>634</v>
      </c>
      <c r="AF164" s="297">
        <v>594</v>
      </c>
    </row>
    <row r="165" spans="1:32" x14ac:dyDescent="0.35">
      <c r="A165" s="296" t="s">
        <v>431</v>
      </c>
      <c r="B165" s="296">
        <v>2001</v>
      </c>
      <c r="C165" s="296" t="s">
        <v>175</v>
      </c>
      <c r="D165" s="297">
        <v>593</v>
      </c>
      <c r="E165" s="297">
        <v>606</v>
      </c>
      <c r="F165" s="297">
        <v>11</v>
      </c>
      <c r="G165" s="298">
        <v>1.8149999999999999E-2</v>
      </c>
      <c r="H165" s="297">
        <v>4</v>
      </c>
      <c r="I165" s="298">
        <v>6.6E-3</v>
      </c>
      <c r="J165" s="297">
        <v>5</v>
      </c>
      <c r="K165" s="298">
        <v>8.2500000000000004E-3</v>
      </c>
      <c r="L165" s="297">
        <v>5</v>
      </c>
      <c r="M165" s="298">
        <v>8.2500000000000004E-3</v>
      </c>
      <c r="N165" s="297">
        <v>63</v>
      </c>
      <c r="O165" s="298">
        <v>0.10396</v>
      </c>
      <c r="P165" s="297">
        <v>483</v>
      </c>
      <c r="Q165" s="298">
        <v>0.79703000000000002</v>
      </c>
      <c r="R165" s="297">
        <v>35</v>
      </c>
      <c r="S165" s="298">
        <v>5.7759999999999999E-2</v>
      </c>
      <c r="T165" s="297">
        <v>40</v>
      </c>
      <c r="U165" s="297">
        <v>46</v>
      </c>
      <c r="V165" s="297">
        <v>43</v>
      </c>
      <c r="W165" s="297">
        <v>45</v>
      </c>
      <c r="X165" s="297">
        <v>47</v>
      </c>
      <c r="Y165" s="297">
        <v>44</v>
      </c>
      <c r="Z165" s="297">
        <v>46</v>
      </c>
      <c r="AA165" s="297">
        <v>44</v>
      </c>
      <c r="AB165" s="297">
        <v>62</v>
      </c>
      <c r="AC165" s="297">
        <v>54</v>
      </c>
      <c r="AD165" s="297">
        <v>51</v>
      </c>
      <c r="AE165" s="297">
        <v>47</v>
      </c>
      <c r="AF165" s="297">
        <v>37</v>
      </c>
    </row>
    <row r="166" spans="1:32" x14ac:dyDescent="0.35">
      <c r="A166" s="296" t="s">
        <v>456</v>
      </c>
      <c r="B166" s="296">
        <v>2182</v>
      </c>
      <c r="C166" s="296" t="s">
        <v>176</v>
      </c>
      <c r="D166" s="297">
        <v>9940</v>
      </c>
      <c r="E166" s="297">
        <v>9807</v>
      </c>
      <c r="F166" s="297">
        <v>78</v>
      </c>
      <c r="G166" s="298">
        <v>7.9500000000000005E-3</v>
      </c>
      <c r="H166" s="297">
        <v>673</v>
      </c>
      <c r="I166" s="298">
        <v>6.862E-2</v>
      </c>
      <c r="J166" s="297">
        <v>333</v>
      </c>
      <c r="K166" s="298">
        <v>3.3959999999999997E-2</v>
      </c>
      <c r="L166" s="297">
        <v>1019</v>
      </c>
      <c r="M166" s="298">
        <v>0.10391</v>
      </c>
      <c r="N166" s="297">
        <v>4360</v>
      </c>
      <c r="O166" s="298">
        <v>0.44457999999999998</v>
      </c>
      <c r="P166" s="297">
        <v>2638</v>
      </c>
      <c r="Q166" s="298">
        <v>0.26899000000000001</v>
      </c>
      <c r="R166" s="297">
        <v>706</v>
      </c>
      <c r="S166" s="298">
        <v>7.1989999999999998E-2</v>
      </c>
      <c r="T166" s="297">
        <v>767</v>
      </c>
      <c r="U166" s="297">
        <v>807</v>
      </c>
      <c r="V166" s="297">
        <v>779</v>
      </c>
      <c r="W166" s="297">
        <v>798</v>
      </c>
      <c r="X166" s="297">
        <v>807</v>
      </c>
      <c r="Y166" s="297">
        <v>809</v>
      </c>
      <c r="Z166" s="297">
        <v>776</v>
      </c>
      <c r="AA166" s="297">
        <v>773</v>
      </c>
      <c r="AB166" s="297">
        <v>790</v>
      </c>
      <c r="AC166" s="297">
        <v>722</v>
      </c>
      <c r="AD166" s="297">
        <v>668</v>
      </c>
      <c r="AE166" s="297">
        <v>639</v>
      </c>
      <c r="AF166" s="297">
        <v>672</v>
      </c>
    </row>
    <row r="167" spans="1:32" x14ac:dyDescent="0.35">
      <c r="A167" s="296" t="s">
        <v>431</v>
      </c>
      <c r="B167" s="296">
        <v>1999</v>
      </c>
      <c r="C167" s="296" t="s">
        <v>177</v>
      </c>
      <c r="D167" s="297">
        <v>352</v>
      </c>
      <c r="E167" s="297">
        <v>344</v>
      </c>
      <c r="F167" s="297">
        <v>9</v>
      </c>
      <c r="G167" s="298">
        <v>2.6159999999999999E-2</v>
      </c>
      <c r="H167" s="297">
        <v>1</v>
      </c>
      <c r="I167" s="298">
        <v>2.9099999999999998E-3</v>
      </c>
      <c r="J167" s="297">
        <v>0</v>
      </c>
      <c r="K167" s="298">
        <v>0</v>
      </c>
      <c r="L167" s="297">
        <v>0</v>
      </c>
      <c r="M167" s="298">
        <v>0</v>
      </c>
      <c r="N167" s="297">
        <v>27</v>
      </c>
      <c r="O167" s="298">
        <v>7.8490000000000004E-2</v>
      </c>
      <c r="P167" s="297">
        <v>289</v>
      </c>
      <c r="Q167" s="298">
        <v>0.84011999999999998</v>
      </c>
      <c r="R167" s="297">
        <v>18</v>
      </c>
      <c r="S167" s="298">
        <v>5.2330000000000002E-2</v>
      </c>
      <c r="T167" s="297">
        <v>19</v>
      </c>
      <c r="U167" s="297">
        <v>23</v>
      </c>
      <c r="V167" s="297">
        <v>24</v>
      </c>
      <c r="W167" s="297">
        <v>27</v>
      </c>
      <c r="X167" s="297">
        <v>37</v>
      </c>
      <c r="Y167" s="297">
        <v>33</v>
      </c>
      <c r="Z167" s="297">
        <v>22</v>
      </c>
      <c r="AA167" s="297">
        <v>32</v>
      </c>
      <c r="AB167" s="297">
        <v>25</v>
      </c>
      <c r="AC167" s="297">
        <v>20</v>
      </c>
      <c r="AD167" s="297">
        <v>39</v>
      </c>
      <c r="AE167" s="297">
        <v>23</v>
      </c>
      <c r="AF167" s="297">
        <v>20</v>
      </c>
    </row>
    <row r="168" spans="1:32" x14ac:dyDescent="0.35">
      <c r="A168" s="296" t="s">
        <v>456</v>
      </c>
      <c r="B168" s="296">
        <v>2188</v>
      </c>
      <c r="C168" s="296" t="s">
        <v>178</v>
      </c>
      <c r="D168" s="297">
        <v>563</v>
      </c>
      <c r="E168" s="297">
        <v>596</v>
      </c>
      <c r="F168" s="297">
        <v>1</v>
      </c>
      <c r="G168" s="298">
        <v>1.6800000000000001E-3</v>
      </c>
      <c r="H168" s="297">
        <v>21</v>
      </c>
      <c r="I168" s="298">
        <v>3.5229999999999997E-2</v>
      </c>
      <c r="J168" s="297">
        <v>0</v>
      </c>
      <c r="K168" s="298">
        <v>0</v>
      </c>
      <c r="L168" s="297">
        <v>4</v>
      </c>
      <c r="M168" s="298">
        <v>6.7099999999999998E-3</v>
      </c>
      <c r="N168" s="297">
        <v>41</v>
      </c>
      <c r="O168" s="298">
        <v>6.8790000000000004E-2</v>
      </c>
      <c r="P168" s="297">
        <v>463</v>
      </c>
      <c r="Q168" s="298">
        <v>0.77685000000000004</v>
      </c>
      <c r="R168" s="297">
        <v>66</v>
      </c>
      <c r="S168" s="298">
        <v>0.11074000000000001</v>
      </c>
      <c r="T168" s="297">
        <v>40</v>
      </c>
      <c r="U168" s="297">
        <v>46</v>
      </c>
      <c r="V168" s="297">
        <v>42</v>
      </c>
      <c r="W168" s="297">
        <v>50</v>
      </c>
      <c r="X168" s="297">
        <v>40</v>
      </c>
      <c r="Y168" s="297">
        <v>42</v>
      </c>
      <c r="Z168" s="297">
        <v>55</v>
      </c>
      <c r="AA168" s="297">
        <v>45</v>
      </c>
      <c r="AB168" s="297">
        <v>51</v>
      </c>
      <c r="AC168" s="297">
        <v>39</v>
      </c>
      <c r="AD168" s="297">
        <v>54</v>
      </c>
      <c r="AE168" s="297">
        <v>43</v>
      </c>
      <c r="AF168" s="297">
        <v>49</v>
      </c>
    </row>
    <row r="169" spans="1:32" x14ac:dyDescent="0.35">
      <c r="A169" s="296" t="s">
        <v>318</v>
      </c>
      <c r="B169" s="296">
        <v>2044</v>
      </c>
      <c r="C169" s="296" t="s">
        <v>179</v>
      </c>
      <c r="D169" s="297">
        <v>1045</v>
      </c>
      <c r="E169" s="297">
        <v>1078</v>
      </c>
      <c r="F169" s="297">
        <v>8</v>
      </c>
      <c r="G169" s="298">
        <v>7.4200000000000004E-3</v>
      </c>
      <c r="H169" s="297">
        <v>6</v>
      </c>
      <c r="I169" s="298">
        <v>5.5700000000000003E-3</v>
      </c>
      <c r="J169" s="297">
        <v>2</v>
      </c>
      <c r="K169" s="298">
        <v>1.8600000000000001E-3</v>
      </c>
      <c r="L169" s="297">
        <v>6</v>
      </c>
      <c r="M169" s="298">
        <v>5.5700000000000003E-3</v>
      </c>
      <c r="N169" s="297">
        <v>109</v>
      </c>
      <c r="O169" s="298">
        <v>0.10111000000000001</v>
      </c>
      <c r="P169" s="297">
        <v>874</v>
      </c>
      <c r="Q169" s="298">
        <v>0.81076000000000004</v>
      </c>
      <c r="R169" s="297">
        <v>73</v>
      </c>
      <c r="S169" s="298">
        <v>6.7720000000000002E-2</v>
      </c>
      <c r="T169" s="297">
        <v>84</v>
      </c>
      <c r="U169" s="297">
        <v>72</v>
      </c>
      <c r="V169" s="297">
        <v>70</v>
      </c>
      <c r="W169" s="297">
        <v>81</v>
      </c>
      <c r="X169" s="297">
        <v>70</v>
      </c>
      <c r="Y169" s="297">
        <v>77</v>
      </c>
      <c r="Z169" s="297">
        <v>69</v>
      </c>
      <c r="AA169" s="297">
        <v>89</v>
      </c>
      <c r="AB169" s="297">
        <v>94</v>
      </c>
      <c r="AC169" s="297">
        <v>98</v>
      </c>
      <c r="AD169" s="297">
        <v>96</v>
      </c>
      <c r="AE169" s="297">
        <v>88</v>
      </c>
      <c r="AF169" s="297">
        <v>90</v>
      </c>
    </row>
    <row r="170" spans="1:32" x14ac:dyDescent="0.35">
      <c r="A170" s="296" t="s">
        <v>447</v>
      </c>
      <c r="B170" s="296">
        <v>2142</v>
      </c>
      <c r="C170" s="296" t="s">
        <v>180</v>
      </c>
      <c r="D170" s="297">
        <v>39488</v>
      </c>
      <c r="E170" s="297">
        <v>39376</v>
      </c>
      <c r="F170" s="297">
        <v>283</v>
      </c>
      <c r="G170" s="298">
        <v>7.1900000000000002E-3</v>
      </c>
      <c r="H170" s="297">
        <v>842</v>
      </c>
      <c r="I170" s="298">
        <v>2.138E-2</v>
      </c>
      <c r="J170" s="297">
        <v>1145</v>
      </c>
      <c r="K170" s="298">
        <v>2.9080000000000002E-2</v>
      </c>
      <c r="L170" s="297">
        <v>599</v>
      </c>
      <c r="M170" s="298">
        <v>1.521E-2</v>
      </c>
      <c r="N170" s="297">
        <v>18096</v>
      </c>
      <c r="O170" s="298">
        <v>0.45956999999999998</v>
      </c>
      <c r="P170" s="297">
        <v>15902</v>
      </c>
      <c r="Q170" s="298">
        <v>0.40384999999999999</v>
      </c>
      <c r="R170" s="297">
        <v>2509</v>
      </c>
      <c r="S170" s="298">
        <v>6.3719999999999999E-2</v>
      </c>
      <c r="T170" s="297">
        <v>2628</v>
      </c>
      <c r="U170" s="297">
        <v>2803</v>
      </c>
      <c r="V170" s="297">
        <v>2713</v>
      </c>
      <c r="W170" s="297">
        <v>2902</v>
      </c>
      <c r="X170" s="297">
        <v>2969</v>
      </c>
      <c r="Y170" s="297">
        <v>2920</v>
      </c>
      <c r="Z170" s="297">
        <v>2980</v>
      </c>
      <c r="AA170" s="297">
        <v>3131</v>
      </c>
      <c r="AB170" s="297">
        <v>3092</v>
      </c>
      <c r="AC170" s="297">
        <v>3500</v>
      </c>
      <c r="AD170" s="297">
        <v>3325</v>
      </c>
      <c r="AE170" s="297">
        <v>3289</v>
      </c>
      <c r="AF170" s="297">
        <v>3124</v>
      </c>
    </row>
    <row r="171" spans="1:32" x14ac:dyDescent="0.35">
      <c r="A171" s="296" t="s">
        <v>471</v>
      </c>
      <c r="B171" s="296">
        <v>2104</v>
      </c>
      <c r="C171" s="296" t="s">
        <v>181</v>
      </c>
      <c r="D171" s="297">
        <v>3222</v>
      </c>
      <c r="E171" s="297">
        <v>2617</v>
      </c>
      <c r="F171" s="297">
        <v>42</v>
      </c>
      <c r="G171" s="298">
        <v>1.6049999999999998E-2</v>
      </c>
      <c r="H171" s="297">
        <v>54</v>
      </c>
      <c r="I171" s="298">
        <v>2.0629999999999999E-2</v>
      </c>
      <c r="J171" s="297">
        <v>16</v>
      </c>
      <c r="K171" s="298">
        <v>6.11E-3</v>
      </c>
      <c r="L171" s="297">
        <v>51</v>
      </c>
      <c r="M171" s="298">
        <v>1.949E-2</v>
      </c>
      <c r="N171" s="297">
        <v>408</v>
      </c>
      <c r="O171" s="298">
        <v>0.15590000000000001</v>
      </c>
      <c r="P171" s="297">
        <v>1845</v>
      </c>
      <c r="Q171" s="298">
        <v>0.70501000000000003</v>
      </c>
      <c r="R171" s="297">
        <v>201</v>
      </c>
      <c r="S171" s="298">
        <v>7.6810000000000003E-2</v>
      </c>
      <c r="T171" s="297">
        <v>76</v>
      </c>
      <c r="U171" s="297">
        <v>125</v>
      </c>
      <c r="V171" s="297">
        <v>120</v>
      </c>
      <c r="W171" s="297">
        <v>141</v>
      </c>
      <c r="X171" s="297">
        <v>146</v>
      </c>
      <c r="Y171" s="297">
        <v>182</v>
      </c>
      <c r="Z171" s="297">
        <v>175</v>
      </c>
      <c r="AA171" s="297">
        <v>219</v>
      </c>
      <c r="AB171" s="297">
        <v>228</v>
      </c>
      <c r="AC171" s="297">
        <v>222</v>
      </c>
      <c r="AD171" s="297">
        <v>276</v>
      </c>
      <c r="AE171" s="297">
        <v>339</v>
      </c>
      <c r="AF171" s="297">
        <v>368</v>
      </c>
    </row>
    <row r="172" spans="1:32" x14ac:dyDescent="0.35">
      <c r="A172" s="296" t="s">
        <v>490</v>
      </c>
      <c r="B172" s="296">
        <v>1944</v>
      </c>
      <c r="C172" s="296" t="s">
        <v>182</v>
      </c>
      <c r="D172" s="297">
        <v>2171</v>
      </c>
      <c r="E172" s="297">
        <v>2218</v>
      </c>
      <c r="F172" s="297">
        <v>18</v>
      </c>
      <c r="G172" s="298">
        <v>8.1200000000000005E-3</v>
      </c>
      <c r="H172" s="297">
        <v>28</v>
      </c>
      <c r="I172" s="298">
        <v>1.2619999999999999E-2</v>
      </c>
      <c r="J172" s="297">
        <v>12</v>
      </c>
      <c r="K172" s="298">
        <v>5.4099999999999999E-3</v>
      </c>
      <c r="L172" s="297">
        <v>5</v>
      </c>
      <c r="M172" s="298">
        <v>2.2499999999999998E-3</v>
      </c>
      <c r="N172" s="297">
        <v>250</v>
      </c>
      <c r="O172" s="298">
        <v>0.11271</v>
      </c>
      <c r="P172" s="297">
        <v>1748</v>
      </c>
      <c r="Q172" s="298">
        <v>0.78810000000000002</v>
      </c>
      <c r="R172" s="297">
        <v>157</v>
      </c>
      <c r="S172" s="298">
        <v>7.0779999999999996E-2</v>
      </c>
      <c r="T172" s="297">
        <v>151</v>
      </c>
      <c r="U172" s="297">
        <v>167</v>
      </c>
      <c r="V172" s="297">
        <v>166</v>
      </c>
      <c r="W172" s="297">
        <v>145</v>
      </c>
      <c r="X172" s="297">
        <v>162</v>
      </c>
      <c r="Y172" s="297">
        <v>155</v>
      </c>
      <c r="Z172" s="297">
        <v>193</v>
      </c>
      <c r="AA172" s="297">
        <v>173</v>
      </c>
      <c r="AB172" s="297">
        <v>199</v>
      </c>
      <c r="AC172" s="297">
        <v>186</v>
      </c>
      <c r="AD172" s="297">
        <v>207</v>
      </c>
      <c r="AE172" s="297">
        <v>139</v>
      </c>
      <c r="AF172" s="297">
        <v>175</v>
      </c>
    </row>
    <row r="173" spans="1:32" x14ac:dyDescent="0.35">
      <c r="A173" s="296" t="s">
        <v>471</v>
      </c>
      <c r="B173" s="296">
        <v>2103</v>
      </c>
      <c r="C173" s="296" t="s">
        <v>183</v>
      </c>
      <c r="D173" s="297">
        <v>1893</v>
      </c>
      <c r="E173" s="297">
        <v>1688</v>
      </c>
      <c r="F173" s="297">
        <v>14</v>
      </c>
      <c r="G173" s="298">
        <v>8.2900000000000005E-3</v>
      </c>
      <c r="H173" s="297">
        <v>17</v>
      </c>
      <c r="I173" s="298">
        <v>1.0070000000000001E-2</v>
      </c>
      <c r="J173" s="297">
        <v>2</v>
      </c>
      <c r="K173" s="298">
        <v>1.1800000000000001E-3</v>
      </c>
      <c r="L173" s="297">
        <v>22</v>
      </c>
      <c r="M173" s="298">
        <v>1.303E-2</v>
      </c>
      <c r="N173" s="297">
        <v>195</v>
      </c>
      <c r="O173" s="298">
        <v>0.11552</v>
      </c>
      <c r="P173" s="297">
        <v>1285</v>
      </c>
      <c r="Q173" s="298">
        <v>0.76126000000000005</v>
      </c>
      <c r="R173" s="297">
        <v>153</v>
      </c>
      <c r="S173" s="298">
        <v>9.0639999999999998E-2</v>
      </c>
      <c r="T173" s="297">
        <v>92</v>
      </c>
      <c r="U173" s="297">
        <v>88</v>
      </c>
      <c r="V173" s="297">
        <v>101</v>
      </c>
      <c r="W173" s="297">
        <v>91</v>
      </c>
      <c r="X173" s="297">
        <v>102</v>
      </c>
      <c r="Y173" s="297">
        <v>113</v>
      </c>
      <c r="Z173" s="297">
        <v>108</v>
      </c>
      <c r="AA173" s="297">
        <v>168</v>
      </c>
      <c r="AB173" s="297">
        <v>171</v>
      </c>
      <c r="AC173" s="297">
        <v>146</v>
      </c>
      <c r="AD173" s="297">
        <v>154</v>
      </c>
      <c r="AE173" s="297">
        <v>175</v>
      </c>
      <c r="AF173" s="297">
        <v>179</v>
      </c>
    </row>
    <row r="174" spans="1:32" x14ac:dyDescent="0.35">
      <c r="A174" s="296" t="s">
        <v>338</v>
      </c>
      <c r="B174" s="296">
        <v>1935</v>
      </c>
      <c r="C174" s="296" t="s">
        <v>184</v>
      </c>
      <c r="D174" s="297">
        <v>1495</v>
      </c>
      <c r="E174" s="297">
        <v>1486</v>
      </c>
      <c r="F174" s="297">
        <v>14</v>
      </c>
      <c r="G174" s="298">
        <v>9.4199999999999996E-3</v>
      </c>
      <c r="H174" s="297">
        <v>27</v>
      </c>
      <c r="I174" s="298">
        <v>1.8169999999999999E-2</v>
      </c>
      <c r="J174" s="297">
        <v>5</v>
      </c>
      <c r="K174" s="298">
        <v>3.3600000000000001E-3</v>
      </c>
      <c r="L174" s="297">
        <v>6</v>
      </c>
      <c r="M174" s="298">
        <v>4.0400000000000002E-3</v>
      </c>
      <c r="N174" s="297">
        <v>453</v>
      </c>
      <c r="O174" s="298">
        <v>0.30485000000000001</v>
      </c>
      <c r="P174" s="297">
        <v>927</v>
      </c>
      <c r="Q174" s="298">
        <v>0.62382000000000004</v>
      </c>
      <c r="R174" s="297">
        <v>54</v>
      </c>
      <c r="S174" s="298">
        <v>3.6339999999999997E-2</v>
      </c>
      <c r="T174" s="297">
        <v>110</v>
      </c>
      <c r="U174" s="297">
        <v>98</v>
      </c>
      <c r="V174" s="297">
        <v>116</v>
      </c>
      <c r="W174" s="297">
        <v>93</v>
      </c>
      <c r="X174" s="297">
        <v>128</v>
      </c>
      <c r="Y174" s="297">
        <v>96</v>
      </c>
      <c r="Z174" s="297">
        <v>128</v>
      </c>
      <c r="AA174" s="297">
        <v>142</v>
      </c>
      <c r="AB174" s="297">
        <v>122</v>
      </c>
      <c r="AC174" s="297">
        <v>114</v>
      </c>
      <c r="AD174" s="297">
        <v>128</v>
      </c>
      <c r="AE174" s="297">
        <v>112</v>
      </c>
      <c r="AF174" s="297">
        <v>99</v>
      </c>
    </row>
    <row r="175" spans="1:32" x14ac:dyDescent="0.35">
      <c r="A175" s="296" t="s">
        <v>295</v>
      </c>
      <c r="B175" s="296">
        <v>2257</v>
      </c>
      <c r="C175" s="296" t="s">
        <v>185</v>
      </c>
      <c r="D175" s="297">
        <v>882</v>
      </c>
      <c r="E175" s="297">
        <v>935</v>
      </c>
      <c r="F175" s="297">
        <v>52</v>
      </c>
      <c r="G175" s="298">
        <v>5.561E-2</v>
      </c>
      <c r="H175" s="297">
        <v>4</v>
      </c>
      <c r="I175" s="298">
        <v>4.28E-3</v>
      </c>
      <c r="J175" s="297">
        <v>3</v>
      </c>
      <c r="K175" s="298">
        <v>3.2100000000000002E-3</v>
      </c>
      <c r="L175" s="297">
        <v>7</v>
      </c>
      <c r="M175" s="298">
        <v>7.4900000000000001E-3</v>
      </c>
      <c r="N175" s="297">
        <v>124</v>
      </c>
      <c r="O175" s="298">
        <v>0.13261999999999999</v>
      </c>
      <c r="P175" s="297">
        <v>654</v>
      </c>
      <c r="Q175" s="298">
        <v>0.69947000000000004</v>
      </c>
      <c r="R175" s="297">
        <v>91</v>
      </c>
      <c r="S175" s="298">
        <v>9.733E-2</v>
      </c>
      <c r="T175" s="297">
        <v>72</v>
      </c>
      <c r="U175" s="297">
        <v>76</v>
      </c>
      <c r="V175" s="297">
        <v>51</v>
      </c>
      <c r="W175" s="297">
        <v>74</v>
      </c>
      <c r="X175" s="297">
        <v>67</v>
      </c>
      <c r="Y175" s="297">
        <v>69</v>
      </c>
      <c r="Z175" s="297">
        <v>67</v>
      </c>
      <c r="AA175" s="297">
        <v>55</v>
      </c>
      <c r="AB175" s="297">
        <v>80</v>
      </c>
      <c r="AC175" s="297">
        <v>89</v>
      </c>
      <c r="AD175" s="297">
        <v>83</v>
      </c>
      <c r="AE175" s="297">
        <v>70</v>
      </c>
      <c r="AF175" s="297">
        <v>82</v>
      </c>
    </row>
    <row r="176" spans="1:32" x14ac:dyDescent="0.35">
      <c r="A176" s="296" t="s">
        <v>1186</v>
      </c>
      <c r="B176" s="296">
        <v>2195</v>
      </c>
      <c r="C176" s="296" t="s">
        <v>186</v>
      </c>
      <c r="D176" s="297">
        <v>248</v>
      </c>
      <c r="E176" s="297">
        <v>286</v>
      </c>
      <c r="F176" s="297">
        <v>3</v>
      </c>
      <c r="G176" s="298">
        <v>1.0489999999999999E-2</v>
      </c>
      <c r="H176" s="297">
        <v>1</v>
      </c>
      <c r="I176" s="298">
        <v>3.5000000000000001E-3</v>
      </c>
      <c r="J176" s="297">
        <v>0</v>
      </c>
      <c r="K176" s="298">
        <v>0</v>
      </c>
      <c r="L176" s="297">
        <v>0</v>
      </c>
      <c r="M176" s="298">
        <v>0</v>
      </c>
      <c r="N176" s="297">
        <v>30</v>
      </c>
      <c r="O176" s="298">
        <v>0.10489999999999999</v>
      </c>
      <c r="P176" s="297">
        <v>241</v>
      </c>
      <c r="Q176" s="298">
        <v>0.84265999999999996</v>
      </c>
      <c r="R176" s="297">
        <v>11</v>
      </c>
      <c r="S176" s="298">
        <v>3.8460000000000001E-2</v>
      </c>
      <c r="T176" s="297">
        <v>20</v>
      </c>
      <c r="U176" s="297">
        <v>30</v>
      </c>
      <c r="V176" s="297">
        <v>23</v>
      </c>
      <c r="W176" s="297">
        <v>19</v>
      </c>
      <c r="X176" s="297">
        <v>22</v>
      </c>
      <c r="Y176" s="297">
        <v>27</v>
      </c>
      <c r="Z176" s="297">
        <v>29</v>
      </c>
      <c r="AA176" s="297">
        <v>23</v>
      </c>
      <c r="AB176" s="297">
        <v>18</v>
      </c>
      <c r="AC176" s="297">
        <v>19</v>
      </c>
      <c r="AD176" s="297">
        <v>27</v>
      </c>
      <c r="AE176" s="297">
        <v>16</v>
      </c>
      <c r="AF176" s="297">
        <v>13</v>
      </c>
    </row>
    <row r="177" spans="1:32" x14ac:dyDescent="0.35">
      <c r="A177" s="296" t="s">
        <v>374</v>
      </c>
      <c r="B177" s="296">
        <v>2244</v>
      </c>
      <c r="C177" s="296" t="s">
        <v>187</v>
      </c>
      <c r="D177" s="297">
        <v>4908</v>
      </c>
      <c r="E177" s="297">
        <v>4906</v>
      </c>
      <c r="F177" s="297">
        <v>18</v>
      </c>
      <c r="G177" s="298">
        <v>3.6700000000000001E-3</v>
      </c>
      <c r="H177" s="297">
        <v>197</v>
      </c>
      <c r="I177" s="298">
        <v>4.0149999999999998E-2</v>
      </c>
      <c r="J177" s="297">
        <v>28</v>
      </c>
      <c r="K177" s="298">
        <v>5.7099999999999998E-3</v>
      </c>
      <c r="L177" s="297">
        <v>42</v>
      </c>
      <c r="M177" s="298">
        <v>8.5599999999999999E-3</v>
      </c>
      <c r="N177" s="297">
        <v>589</v>
      </c>
      <c r="O177" s="298">
        <v>0.12006</v>
      </c>
      <c r="P177" s="297">
        <v>3702</v>
      </c>
      <c r="Q177" s="298">
        <v>0.75458999999999998</v>
      </c>
      <c r="R177" s="297">
        <v>330</v>
      </c>
      <c r="S177" s="298">
        <v>6.726E-2</v>
      </c>
      <c r="T177" s="297">
        <v>289</v>
      </c>
      <c r="U177" s="297">
        <v>336</v>
      </c>
      <c r="V177" s="297">
        <v>305</v>
      </c>
      <c r="W177" s="297">
        <v>317</v>
      </c>
      <c r="X177" s="297">
        <v>364</v>
      </c>
      <c r="Y177" s="297">
        <v>388</v>
      </c>
      <c r="Z177" s="297">
        <v>382</v>
      </c>
      <c r="AA177" s="297">
        <v>404</v>
      </c>
      <c r="AB177" s="297">
        <v>415</v>
      </c>
      <c r="AC177" s="297">
        <v>447</v>
      </c>
      <c r="AD177" s="297">
        <v>428</v>
      </c>
      <c r="AE177" s="297">
        <v>447</v>
      </c>
      <c r="AF177" s="297">
        <v>384</v>
      </c>
    </row>
    <row r="178" spans="1:32" x14ac:dyDescent="0.35">
      <c r="A178" s="296" t="s">
        <v>447</v>
      </c>
      <c r="B178" s="296">
        <v>2138</v>
      </c>
      <c r="C178" s="296" t="s">
        <v>188</v>
      </c>
      <c r="D178" s="297">
        <v>3531</v>
      </c>
      <c r="E178" s="297">
        <v>3670</v>
      </c>
      <c r="F178" s="297">
        <v>25</v>
      </c>
      <c r="G178" s="298">
        <v>6.8100000000000001E-3</v>
      </c>
      <c r="H178" s="297">
        <v>21</v>
      </c>
      <c r="I178" s="298">
        <v>5.7200000000000003E-3</v>
      </c>
      <c r="J178" s="297">
        <v>3</v>
      </c>
      <c r="K178" s="298">
        <v>8.1999999999999998E-4</v>
      </c>
      <c r="L178" s="297">
        <v>18</v>
      </c>
      <c r="M178" s="298">
        <v>4.8999999999999998E-3</v>
      </c>
      <c r="N178" s="297">
        <v>586</v>
      </c>
      <c r="O178" s="298">
        <v>0.15967000000000001</v>
      </c>
      <c r="P178" s="297">
        <v>2908</v>
      </c>
      <c r="Q178" s="298">
        <v>0.79237000000000002</v>
      </c>
      <c r="R178" s="297">
        <v>109</v>
      </c>
      <c r="S178" s="298">
        <v>2.9700000000000001E-2</v>
      </c>
      <c r="T178" s="297">
        <v>267</v>
      </c>
      <c r="U178" s="297">
        <v>233</v>
      </c>
      <c r="V178" s="297">
        <v>264</v>
      </c>
      <c r="W178" s="297">
        <v>270</v>
      </c>
      <c r="X178" s="297">
        <v>271</v>
      </c>
      <c r="Y178" s="297">
        <v>276</v>
      </c>
      <c r="Z178" s="297">
        <v>265</v>
      </c>
      <c r="AA178" s="297">
        <v>268</v>
      </c>
      <c r="AB178" s="297">
        <v>318</v>
      </c>
      <c r="AC178" s="297">
        <v>319</v>
      </c>
      <c r="AD178" s="297">
        <v>317</v>
      </c>
      <c r="AE178" s="297">
        <v>305</v>
      </c>
      <c r="AF178" s="297">
        <v>297</v>
      </c>
    </row>
    <row r="179" spans="1:32" x14ac:dyDescent="0.35">
      <c r="A179" s="296" t="s">
        <v>384</v>
      </c>
      <c r="B179" s="296">
        <v>1978</v>
      </c>
      <c r="C179" s="296" t="s">
        <v>189</v>
      </c>
      <c r="D179" s="297">
        <v>1091</v>
      </c>
      <c r="E179" s="297">
        <v>1151</v>
      </c>
      <c r="F179" s="297">
        <v>14</v>
      </c>
      <c r="G179" s="298">
        <v>1.2160000000000001E-2</v>
      </c>
      <c r="H179" s="297">
        <v>8</v>
      </c>
      <c r="I179" s="298">
        <v>6.9499999999999996E-3</v>
      </c>
      <c r="J179" s="297">
        <v>8</v>
      </c>
      <c r="K179" s="298">
        <v>6.9499999999999996E-3</v>
      </c>
      <c r="L179" s="297">
        <v>8</v>
      </c>
      <c r="M179" s="298">
        <v>6.9499999999999996E-3</v>
      </c>
      <c r="N179" s="297">
        <v>119</v>
      </c>
      <c r="O179" s="298">
        <v>0.10339</v>
      </c>
      <c r="P179" s="297">
        <v>962</v>
      </c>
      <c r="Q179" s="298">
        <v>0.83579000000000003</v>
      </c>
      <c r="R179" s="297">
        <v>32</v>
      </c>
      <c r="S179" s="298">
        <v>2.7799999999999998E-2</v>
      </c>
      <c r="T179" s="297">
        <v>71</v>
      </c>
      <c r="U179" s="297">
        <v>78</v>
      </c>
      <c r="V179" s="297">
        <v>90</v>
      </c>
      <c r="W179" s="297">
        <v>85</v>
      </c>
      <c r="X179" s="297">
        <v>74</v>
      </c>
      <c r="Y179" s="297">
        <v>84</v>
      </c>
      <c r="Z179" s="297">
        <v>75</v>
      </c>
      <c r="AA179" s="297">
        <v>112</v>
      </c>
      <c r="AB179" s="297">
        <v>83</v>
      </c>
      <c r="AC179" s="297">
        <v>104</v>
      </c>
      <c r="AD179" s="297">
        <v>103</v>
      </c>
      <c r="AE179" s="297">
        <v>99</v>
      </c>
      <c r="AF179" s="297">
        <v>93</v>
      </c>
    </row>
    <row r="180" spans="1:32" x14ac:dyDescent="0.35">
      <c r="A180" s="296" t="s">
        <v>390</v>
      </c>
      <c r="B180" s="296">
        <v>2096</v>
      </c>
      <c r="C180" s="296" t="s">
        <v>190</v>
      </c>
      <c r="D180" s="297">
        <v>1196</v>
      </c>
      <c r="E180" s="297">
        <v>1249</v>
      </c>
      <c r="F180" s="297">
        <v>18</v>
      </c>
      <c r="G180" s="298">
        <v>1.4409999999999999E-2</v>
      </c>
      <c r="H180" s="297">
        <v>10</v>
      </c>
      <c r="I180" s="298">
        <v>8.0099999999999998E-3</v>
      </c>
      <c r="J180" s="297">
        <v>4</v>
      </c>
      <c r="K180" s="298">
        <v>3.2000000000000002E-3</v>
      </c>
      <c r="L180" s="297">
        <v>6</v>
      </c>
      <c r="M180" s="298">
        <v>4.7999999999999996E-3</v>
      </c>
      <c r="N180" s="297">
        <v>100</v>
      </c>
      <c r="O180" s="298">
        <v>8.0060000000000006E-2</v>
      </c>
      <c r="P180" s="297">
        <v>968</v>
      </c>
      <c r="Q180" s="298">
        <v>0.77502000000000004</v>
      </c>
      <c r="R180" s="297">
        <v>143</v>
      </c>
      <c r="S180" s="298">
        <v>0.11448999999999999</v>
      </c>
      <c r="T180" s="297">
        <v>87</v>
      </c>
      <c r="U180" s="297">
        <v>80</v>
      </c>
      <c r="V180" s="297">
        <v>84</v>
      </c>
      <c r="W180" s="297">
        <v>93</v>
      </c>
      <c r="X180" s="297">
        <v>99</v>
      </c>
      <c r="Y180" s="297">
        <v>77</v>
      </c>
      <c r="Z180" s="297">
        <v>93</v>
      </c>
      <c r="AA180" s="297">
        <v>89</v>
      </c>
      <c r="AB180" s="297">
        <v>88</v>
      </c>
      <c r="AC180" s="297">
        <v>134</v>
      </c>
      <c r="AD180" s="297">
        <v>126</v>
      </c>
      <c r="AE180" s="297">
        <v>106</v>
      </c>
      <c r="AF180" s="297">
        <v>93</v>
      </c>
    </row>
    <row r="181" spans="1:32" x14ac:dyDescent="0.35">
      <c r="A181" s="296" t="s">
        <v>584</v>
      </c>
      <c r="B181" s="296">
        <v>2022</v>
      </c>
      <c r="C181" s="296" t="s">
        <v>191</v>
      </c>
      <c r="D181" s="297">
        <v>10</v>
      </c>
      <c r="E181" s="297">
        <v>8</v>
      </c>
      <c r="F181" s="297">
        <v>0</v>
      </c>
      <c r="G181" s="298">
        <v>0</v>
      </c>
      <c r="H181" s="297">
        <v>0</v>
      </c>
      <c r="I181" s="298">
        <v>0</v>
      </c>
      <c r="J181" s="297">
        <v>0</v>
      </c>
      <c r="K181" s="298">
        <v>0</v>
      </c>
      <c r="L181" s="297">
        <v>0</v>
      </c>
      <c r="M181" s="298">
        <v>0</v>
      </c>
      <c r="N181" s="297">
        <v>3</v>
      </c>
      <c r="O181" s="298">
        <v>0.375</v>
      </c>
      <c r="P181" s="297">
        <v>5</v>
      </c>
      <c r="Q181" s="298">
        <v>0.625</v>
      </c>
      <c r="R181" s="297">
        <v>0</v>
      </c>
      <c r="S181" s="298">
        <v>0</v>
      </c>
      <c r="T181" s="297">
        <v>0</v>
      </c>
      <c r="U181" s="297">
        <v>3</v>
      </c>
      <c r="V181" s="297">
        <v>1</v>
      </c>
      <c r="W181" s="297">
        <v>0</v>
      </c>
      <c r="X181" s="297">
        <v>0</v>
      </c>
      <c r="Y181" s="297">
        <v>2</v>
      </c>
      <c r="Z181" s="297">
        <v>1</v>
      </c>
      <c r="AA181" s="297">
        <v>0</v>
      </c>
      <c r="AB181" s="297">
        <v>1</v>
      </c>
      <c r="AC181" s="297">
        <v>0</v>
      </c>
      <c r="AD181" s="297">
        <v>0</v>
      </c>
      <c r="AE181" s="297">
        <v>0</v>
      </c>
      <c r="AF181" s="297">
        <v>0</v>
      </c>
    </row>
    <row r="182" spans="1:32" x14ac:dyDescent="0.35">
      <c r="A182" s="296" t="s">
        <v>390</v>
      </c>
      <c r="B182" s="296">
        <v>2087</v>
      </c>
      <c r="C182" s="296" t="s">
        <v>192</v>
      </c>
      <c r="D182" s="297">
        <v>2797</v>
      </c>
      <c r="E182" s="297">
        <v>2765</v>
      </c>
      <c r="F182" s="297">
        <v>47</v>
      </c>
      <c r="G182" s="298">
        <v>1.7000000000000001E-2</v>
      </c>
      <c r="H182" s="297">
        <v>31</v>
      </c>
      <c r="I182" s="298">
        <v>1.1209999999999999E-2</v>
      </c>
      <c r="J182" s="297">
        <v>6</v>
      </c>
      <c r="K182" s="298">
        <v>2.1700000000000001E-3</v>
      </c>
      <c r="L182" s="297">
        <v>16</v>
      </c>
      <c r="M182" s="298">
        <v>5.79E-3</v>
      </c>
      <c r="N182" s="297">
        <v>365</v>
      </c>
      <c r="O182" s="298">
        <v>0.13200999999999999</v>
      </c>
      <c r="P182" s="297">
        <v>2208</v>
      </c>
      <c r="Q182" s="298">
        <v>0.79854999999999998</v>
      </c>
      <c r="R182" s="297">
        <v>92</v>
      </c>
      <c r="S182" s="298">
        <v>3.3270000000000001E-2</v>
      </c>
      <c r="T182" s="297">
        <v>200</v>
      </c>
      <c r="U182" s="297">
        <v>200</v>
      </c>
      <c r="V182" s="297">
        <v>218</v>
      </c>
      <c r="W182" s="297">
        <v>200</v>
      </c>
      <c r="X182" s="297">
        <v>208</v>
      </c>
      <c r="Y182" s="297">
        <v>232</v>
      </c>
      <c r="Z182" s="297">
        <v>214</v>
      </c>
      <c r="AA182" s="297">
        <v>210</v>
      </c>
      <c r="AB182" s="297">
        <v>187</v>
      </c>
      <c r="AC182" s="297">
        <v>222</v>
      </c>
      <c r="AD182" s="297">
        <v>238</v>
      </c>
      <c r="AE182" s="297">
        <v>222</v>
      </c>
      <c r="AF182" s="297">
        <v>214</v>
      </c>
    </row>
    <row r="183" spans="1:32" x14ac:dyDescent="0.35">
      <c r="A183" s="296" t="s">
        <v>431</v>
      </c>
      <c r="B183" s="296">
        <v>1994</v>
      </c>
      <c r="C183" s="296" t="s">
        <v>193</v>
      </c>
      <c r="D183" s="297">
        <v>1428</v>
      </c>
      <c r="E183" s="297">
        <v>1473</v>
      </c>
      <c r="F183" s="297">
        <v>30</v>
      </c>
      <c r="G183" s="298">
        <v>2.0369999999999999E-2</v>
      </c>
      <c r="H183" s="297">
        <v>10</v>
      </c>
      <c r="I183" s="298">
        <v>6.79E-3</v>
      </c>
      <c r="J183" s="297">
        <v>3</v>
      </c>
      <c r="K183" s="298">
        <v>2.0400000000000001E-3</v>
      </c>
      <c r="L183" s="297">
        <v>6</v>
      </c>
      <c r="M183" s="298">
        <v>4.0699999999999998E-3</v>
      </c>
      <c r="N183" s="297">
        <v>155</v>
      </c>
      <c r="O183" s="298">
        <v>0.10523</v>
      </c>
      <c r="P183" s="297">
        <v>1119</v>
      </c>
      <c r="Q183" s="298">
        <v>0.75966999999999996</v>
      </c>
      <c r="R183" s="297">
        <v>150</v>
      </c>
      <c r="S183" s="298">
        <v>0.10183</v>
      </c>
      <c r="T183" s="297">
        <v>103</v>
      </c>
      <c r="U183" s="297">
        <v>111</v>
      </c>
      <c r="V183" s="297">
        <v>106</v>
      </c>
      <c r="W183" s="297">
        <v>102</v>
      </c>
      <c r="X183" s="297">
        <v>131</v>
      </c>
      <c r="Y183" s="297">
        <v>130</v>
      </c>
      <c r="Z183" s="297">
        <v>105</v>
      </c>
      <c r="AA183" s="297">
        <v>119</v>
      </c>
      <c r="AB183" s="297">
        <v>111</v>
      </c>
      <c r="AC183" s="297">
        <v>129</v>
      </c>
      <c r="AD183" s="297">
        <v>108</v>
      </c>
      <c r="AE183" s="297">
        <v>112</v>
      </c>
      <c r="AF183" s="297">
        <v>106</v>
      </c>
    </row>
    <row r="184" spans="1:32" x14ac:dyDescent="0.35">
      <c r="A184" s="296" t="s">
        <v>612</v>
      </c>
      <c r="B184" s="296">
        <v>2225</v>
      </c>
      <c r="C184" s="296" t="s">
        <v>194</v>
      </c>
      <c r="D184" s="297">
        <v>225</v>
      </c>
      <c r="E184" s="297">
        <v>224</v>
      </c>
      <c r="F184" s="297">
        <v>7</v>
      </c>
      <c r="G184" s="298">
        <v>3.125E-2</v>
      </c>
      <c r="H184" s="297">
        <v>2</v>
      </c>
      <c r="I184" s="298">
        <v>8.9300000000000004E-3</v>
      </c>
      <c r="J184" s="297">
        <v>0</v>
      </c>
      <c r="K184" s="298">
        <v>0</v>
      </c>
      <c r="L184" s="297">
        <v>0</v>
      </c>
      <c r="M184" s="298">
        <v>0</v>
      </c>
      <c r="N184" s="297">
        <v>21</v>
      </c>
      <c r="O184" s="298">
        <v>9.375E-2</v>
      </c>
      <c r="P184" s="297">
        <v>179</v>
      </c>
      <c r="Q184" s="298">
        <v>0.79910999999999999</v>
      </c>
      <c r="R184" s="297">
        <v>15</v>
      </c>
      <c r="S184" s="298">
        <v>6.6960000000000006E-2</v>
      </c>
      <c r="T184" s="297">
        <v>14</v>
      </c>
      <c r="U184" s="297">
        <v>11</v>
      </c>
      <c r="V184" s="297">
        <v>14</v>
      </c>
      <c r="W184" s="297">
        <v>14</v>
      </c>
      <c r="X184" s="297">
        <v>17</v>
      </c>
      <c r="Y184" s="297">
        <v>22</v>
      </c>
      <c r="Z184" s="297">
        <v>20</v>
      </c>
      <c r="AA184" s="297">
        <v>18</v>
      </c>
      <c r="AB184" s="297">
        <v>18</v>
      </c>
      <c r="AC184" s="297">
        <v>31</v>
      </c>
      <c r="AD184" s="297">
        <v>15</v>
      </c>
      <c r="AE184" s="297">
        <v>15</v>
      </c>
      <c r="AF184" s="297">
        <v>15</v>
      </c>
    </row>
    <row r="185" spans="1:32" hidden="1" x14ac:dyDescent="0.35">
      <c r="A185" s="296" t="s">
        <v>318</v>
      </c>
      <c r="B185" s="296">
        <v>2025</v>
      </c>
      <c r="C185" s="296" t="s">
        <v>319</v>
      </c>
      <c r="D185" s="297">
        <v>59</v>
      </c>
      <c r="E185" s="297">
        <v>48</v>
      </c>
      <c r="F185" s="297">
        <v>0</v>
      </c>
      <c r="G185" s="298">
        <v>0</v>
      </c>
      <c r="H185" s="297">
        <v>0</v>
      </c>
      <c r="I185" s="298">
        <v>0</v>
      </c>
      <c r="J185" s="297">
        <v>0</v>
      </c>
      <c r="K185" s="298">
        <v>0</v>
      </c>
      <c r="L185" s="297">
        <v>1</v>
      </c>
      <c r="M185" s="298">
        <v>2.0830000000000001E-2</v>
      </c>
      <c r="N185" s="297">
        <v>13</v>
      </c>
      <c r="O185" s="298">
        <v>0.27083000000000002</v>
      </c>
      <c r="P185" s="297">
        <v>30</v>
      </c>
      <c r="Q185" s="298">
        <v>0.625</v>
      </c>
      <c r="R185" s="297">
        <v>4</v>
      </c>
      <c r="S185" s="298">
        <v>8.3330000000000001E-2</v>
      </c>
      <c r="T185" s="297">
        <v>1</v>
      </c>
      <c r="U185" s="297">
        <v>4</v>
      </c>
      <c r="V185" s="297">
        <v>3</v>
      </c>
      <c r="W185" s="297">
        <v>5</v>
      </c>
      <c r="X185" s="297">
        <v>3</v>
      </c>
      <c r="Y185" s="297">
        <v>4</v>
      </c>
      <c r="Z185" s="297">
        <v>6</v>
      </c>
      <c r="AA185" s="297">
        <v>2</v>
      </c>
      <c r="AB185" s="297">
        <v>2</v>
      </c>
      <c r="AC185" s="297">
        <v>2</v>
      </c>
      <c r="AD185" s="297">
        <v>1</v>
      </c>
      <c r="AE185" s="297">
        <v>4</v>
      </c>
      <c r="AF185" s="297">
        <v>11</v>
      </c>
    </row>
    <row r="186" spans="1:32" x14ac:dyDescent="0.35">
      <c r="A186" s="296" t="s">
        <v>686</v>
      </c>
      <c r="B186" s="296">
        <v>2247</v>
      </c>
      <c r="C186" s="296" t="s">
        <v>195</v>
      </c>
      <c r="D186" s="297">
        <v>67</v>
      </c>
      <c r="E186" s="297">
        <v>65</v>
      </c>
      <c r="F186" s="297">
        <v>1</v>
      </c>
      <c r="G186" s="298">
        <v>1.538E-2</v>
      </c>
      <c r="H186" s="297">
        <v>4</v>
      </c>
      <c r="I186" s="298">
        <v>6.1539999999999997E-2</v>
      </c>
      <c r="J186" s="297">
        <v>2</v>
      </c>
      <c r="K186" s="298">
        <v>3.0769999999999999E-2</v>
      </c>
      <c r="L186" s="297">
        <v>1</v>
      </c>
      <c r="M186" s="298">
        <v>1.538E-2</v>
      </c>
      <c r="N186" s="297">
        <v>4</v>
      </c>
      <c r="O186" s="298">
        <v>6.1539999999999997E-2</v>
      </c>
      <c r="P186" s="297">
        <v>53</v>
      </c>
      <c r="Q186" s="298">
        <v>0.81537999999999999</v>
      </c>
      <c r="R186" s="297">
        <v>0</v>
      </c>
      <c r="S186" s="298">
        <v>0</v>
      </c>
      <c r="T186" s="297">
        <v>4</v>
      </c>
      <c r="U186" s="297">
        <v>3</v>
      </c>
      <c r="V186" s="297">
        <v>4</v>
      </c>
      <c r="W186" s="297">
        <v>3</v>
      </c>
      <c r="X186" s="297">
        <v>1</v>
      </c>
      <c r="Y186" s="297">
        <v>4</v>
      </c>
      <c r="Z186" s="297">
        <v>1</v>
      </c>
      <c r="AA186" s="297">
        <v>5</v>
      </c>
      <c r="AB186" s="297">
        <v>5</v>
      </c>
      <c r="AC186" s="297">
        <v>5</v>
      </c>
      <c r="AD186" s="297">
        <v>5</v>
      </c>
      <c r="AE186" s="297">
        <v>14</v>
      </c>
      <c r="AF186" s="297">
        <v>11</v>
      </c>
    </row>
    <row r="187" spans="1:32" x14ac:dyDescent="0.35">
      <c r="A187" s="296" t="s">
        <v>390</v>
      </c>
      <c r="B187" s="296">
        <v>2083</v>
      </c>
      <c r="C187" s="296" t="s">
        <v>196</v>
      </c>
      <c r="D187" s="297">
        <v>9833</v>
      </c>
      <c r="E187" s="297">
        <v>9643</v>
      </c>
      <c r="F187" s="297">
        <v>94</v>
      </c>
      <c r="G187" s="298">
        <v>9.75E-3</v>
      </c>
      <c r="H187" s="297">
        <v>76</v>
      </c>
      <c r="I187" s="298">
        <v>7.8799999999999999E-3</v>
      </c>
      <c r="J187" s="297">
        <v>49</v>
      </c>
      <c r="K187" s="298">
        <v>5.0800000000000003E-3</v>
      </c>
      <c r="L187" s="297">
        <v>105</v>
      </c>
      <c r="M187" s="298">
        <v>1.089E-2</v>
      </c>
      <c r="N187" s="297">
        <v>2225</v>
      </c>
      <c r="O187" s="298">
        <v>0.23074</v>
      </c>
      <c r="P187" s="297">
        <v>6426</v>
      </c>
      <c r="Q187" s="298">
        <v>0.66639000000000004</v>
      </c>
      <c r="R187" s="297">
        <v>668</v>
      </c>
      <c r="S187" s="298">
        <v>6.9269999999999998E-2</v>
      </c>
      <c r="T187" s="297">
        <v>642</v>
      </c>
      <c r="U187" s="297">
        <v>693</v>
      </c>
      <c r="V187" s="297">
        <v>710</v>
      </c>
      <c r="W187" s="297">
        <v>689</v>
      </c>
      <c r="X187" s="297">
        <v>766</v>
      </c>
      <c r="Y187" s="297">
        <v>673</v>
      </c>
      <c r="Z187" s="297">
        <v>771</v>
      </c>
      <c r="AA187" s="297">
        <v>700</v>
      </c>
      <c r="AB187" s="297">
        <v>789</v>
      </c>
      <c r="AC187" s="297">
        <v>863</v>
      </c>
      <c r="AD187" s="297">
        <v>830</v>
      </c>
      <c r="AE187" s="297">
        <v>759</v>
      </c>
      <c r="AF187" s="297">
        <v>758</v>
      </c>
    </row>
    <row r="188" spans="1:32" x14ac:dyDescent="0.35">
      <c r="A188" s="296" t="s">
        <v>490</v>
      </c>
      <c r="B188" s="296">
        <v>1948</v>
      </c>
      <c r="C188" s="296" t="s">
        <v>197</v>
      </c>
      <c r="D188" s="297">
        <v>2799</v>
      </c>
      <c r="E188" s="297">
        <v>2827</v>
      </c>
      <c r="F188" s="297">
        <v>33</v>
      </c>
      <c r="G188" s="298">
        <v>1.167E-2</v>
      </c>
      <c r="H188" s="297">
        <v>16</v>
      </c>
      <c r="I188" s="298">
        <v>5.6600000000000001E-3</v>
      </c>
      <c r="J188" s="297">
        <v>13</v>
      </c>
      <c r="K188" s="298">
        <v>4.5999999999999999E-3</v>
      </c>
      <c r="L188" s="297">
        <v>28</v>
      </c>
      <c r="M188" s="298">
        <v>9.9000000000000008E-3</v>
      </c>
      <c r="N188" s="297">
        <v>342</v>
      </c>
      <c r="O188" s="298">
        <v>0.12098</v>
      </c>
      <c r="P188" s="297">
        <v>2198</v>
      </c>
      <c r="Q188" s="298">
        <v>0.77749999999999997</v>
      </c>
      <c r="R188" s="297">
        <v>197</v>
      </c>
      <c r="S188" s="298">
        <v>6.9690000000000002E-2</v>
      </c>
      <c r="T188" s="297">
        <v>189</v>
      </c>
      <c r="U188" s="297">
        <v>239</v>
      </c>
      <c r="V188" s="297">
        <v>202</v>
      </c>
      <c r="W188" s="297">
        <v>217</v>
      </c>
      <c r="X188" s="297">
        <v>176</v>
      </c>
      <c r="Y188" s="297">
        <v>192</v>
      </c>
      <c r="Z188" s="297">
        <v>206</v>
      </c>
      <c r="AA188" s="297">
        <v>215</v>
      </c>
      <c r="AB188" s="297">
        <v>242</v>
      </c>
      <c r="AC188" s="297">
        <v>242</v>
      </c>
      <c r="AD188" s="297">
        <v>259</v>
      </c>
      <c r="AE188" s="297">
        <v>202</v>
      </c>
      <c r="AF188" s="297">
        <v>246</v>
      </c>
    </row>
    <row r="189" spans="1:32" x14ac:dyDescent="0.35">
      <c r="A189" s="296" t="s">
        <v>447</v>
      </c>
      <c r="B189" s="296">
        <v>2144</v>
      </c>
      <c r="C189" s="296" t="s">
        <v>198</v>
      </c>
      <c r="D189" s="297">
        <v>297</v>
      </c>
      <c r="E189" s="297">
        <v>287</v>
      </c>
      <c r="F189" s="297">
        <v>3</v>
      </c>
      <c r="G189" s="298">
        <v>1.0449999999999999E-2</v>
      </c>
      <c r="H189" s="297">
        <v>1</v>
      </c>
      <c r="I189" s="298">
        <v>3.48E-3</v>
      </c>
      <c r="J189" s="297">
        <v>1</v>
      </c>
      <c r="K189" s="298">
        <v>3.48E-3</v>
      </c>
      <c r="L189" s="297">
        <v>0</v>
      </c>
      <c r="M189" s="298">
        <v>0</v>
      </c>
      <c r="N189" s="297">
        <v>108</v>
      </c>
      <c r="O189" s="298">
        <v>0.37630999999999998</v>
      </c>
      <c r="P189" s="297">
        <v>170</v>
      </c>
      <c r="Q189" s="298">
        <v>0.59233000000000002</v>
      </c>
      <c r="R189" s="297">
        <v>4</v>
      </c>
      <c r="S189" s="298">
        <v>1.3939999999999999E-2</v>
      </c>
      <c r="T189" s="297">
        <v>15</v>
      </c>
      <c r="U189" s="297">
        <v>21</v>
      </c>
      <c r="V189" s="297">
        <v>16</v>
      </c>
      <c r="W189" s="297">
        <v>29</v>
      </c>
      <c r="X189" s="297">
        <v>19</v>
      </c>
      <c r="Y189" s="297">
        <v>20</v>
      </c>
      <c r="Z189" s="297">
        <v>22</v>
      </c>
      <c r="AA189" s="297">
        <v>22</v>
      </c>
      <c r="AB189" s="297">
        <v>21</v>
      </c>
      <c r="AC189" s="297">
        <v>23</v>
      </c>
      <c r="AD189" s="297">
        <v>28</v>
      </c>
      <c r="AE189" s="297">
        <v>26</v>
      </c>
      <c r="AF189" s="297">
        <v>25</v>
      </c>
    </row>
    <row r="190" spans="1:32" x14ac:dyDescent="0.35">
      <c r="A190" s="296" t="s">
        <v>350</v>
      </c>
      <c r="B190" s="296">
        <v>2209</v>
      </c>
      <c r="C190" s="296" t="s">
        <v>199</v>
      </c>
      <c r="D190" s="297">
        <v>514</v>
      </c>
      <c r="E190" s="297">
        <v>516</v>
      </c>
      <c r="F190" s="297">
        <v>6</v>
      </c>
      <c r="G190" s="298">
        <v>1.163E-2</v>
      </c>
      <c r="H190" s="297">
        <v>2</v>
      </c>
      <c r="I190" s="298">
        <v>3.8800000000000002E-3</v>
      </c>
      <c r="J190" s="297">
        <v>0</v>
      </c>
      <c r="K190" s="298">
        <v>0</v>
      </c>
      <c r="L190" s="297">
        <v>2</v>
      </c>
      <c r="M190" s="298">
        <v>3.8800000000000002E-3</v>
      </c>
      <c r="N190" s="297">
        <v>244</v>
      </c>
      <c r="O190" s="298">
        <v>0.47287000000000001</v>
      </c>
      <c r="P190" s="297">
        <v>249</v>
      </c>
      <c r="Q190" s="298">
        <v>0.48255999999999999</v>
      </c>
      <c r="R190" s="297">
        <v>13</v>
      </c>
      <c r="S190" s="298">
        <v>2.5190000000000001E-2</v>
      </c>
      <c r="T190" s="297">
        <v>32</v>
      </c>
      <c r="U190" s="297">
        <v>44</v>
      </c>
      <c r="V190" s="297">
        <v>33</v>
      </c>
      <c r="W190" s="297">
        <v>36</v>
      </c>
      <c r="X190" s="297">
        <v>39</v>
      </c>
      <c r="Y190" s="297">
        <v>43</v>
      </c>
      <c r="Z190" s="297">
        <v>38</v>
      </c>
      <c r="AA190" s="297">
        <v>35</v>
      </c>
      <c r="AB190" s="297">
        <v>42</v>
      </c>
      <c r="AC190" s="297">
        <v>44</v>
      </c>
      <c r="AD190" s="297">
        <v>41</v>
      </c>
      <c r="AE190" s="297">
        <v>49</v>
      </c>
      <c r="AF190" s="297">
        <v>40</v>
      </c>
    </row>
    <row r="191" spans="1:32" x14ac:dyDescent="0.35">
      <c r="A191" s="296" t="s">
        <v>584</v>
      </c>
      <c r="B191" s="296">
        <v>2018</v>
      </c>
      <c r="C191" s="296" t="s">
        <v>200</v>
      </c>
      <c r="D191" s="297">
        <v>4</v>
      </c>
      <c r="E191" s="297">
        <v>2</v>
      </c>
      <c r="F191" s="297">
        <v>0</v>
      </c>
      <c r="G191" s="298">
        <v>0</v>
      </c>
      <c r="H191" s="297">
        <v>0</v>
      </c>
      <c r="I191" s="298">
        <v>0</v>
      </c>
      <c r="J191" s="297">
        <v>0</v>
      </c>
      <c r="K191" s="298">
        <v>0</v>
      </c>
      <c r="L191" s="297">
        <v>0</v>
      </c>
      <c r="M191" s="298">
        <v>0</v>
      </c>
      <c r="N191" s="297">
        <v>0</v>
      </c>
      <c r="O191" s="298">
        <v>0</v>
      </c>
      <c r="P191" s="297">
        <v>2</v>
      </c>
      <c r="Q191" s="298">
        <v>1</v>
      </c>
      <c r="R191" s="297">
        <v>0</v>
      </c>
      <c r="S191" s="298">
        <v>0</v>
      </c>
      <c r="T191" s="297">
        <v>0</v>
      </c>
      <c r="U191" s="297">
        <v>0</v>
      </c>
      <c r="V191" s="297">
        <v>1</v>
      </c>
      <c r="W191" s="297">
        <v>0</v>
      </c>
      <c r="X191" s="297">
        <v>1</v>
      </c>
      <c r="Y191" s="297">
        <v>0</v>
      </c>
      <c r="Z191" s="297">
        <v>0</v>
      </c>
      <c r="AA191" s="297">
        <v>0</v>
      </c>
      <c r="AB191" s="297">
        <v>0</v>
      </c>
      <c r="AC191" s="297">
        <v>0</v>
      </c>
      <c r="AD191" s="297">
        <v>0</v>
      </c>
      <c r="AE191" s="297">
        <v>0</v>
      </c>
      <c r="AF191" s="297">
        <v>0</v>
      </c>
    </row>
    <row r="192" spans="1:32" x14ac:dyDescent="0.35">
      <c r="A192" s="296" t="s">
        <v>431</v>
      </c>
      <c r="B192" s="296">
        <v>2003</v>
      </c>
      <c r="C192" s="296" t="s">
        <v>201</v>
      </c>
      <c r="D192" s="297">
        <v>1323</v>
      </c>
      <c r="E192" s="297">
        <v>1362</v>
      </c>
      <c r="F192" s="297">
        <v>32</v>
      </c>
      <c r="G192" s="298">
        <v>2.349E-2</v>
      </c>
      <c r="H192" s="297">
        <v>9</v>
      </c>
      <c r="I192" s="298">
        <v>6.6100000000000004E-3</v>
      </c>
      <c r="J192" s="297">
        <v>2</v>
      </c>
      <c r="K192" s="298">
        <v>1.47E-3</v>
      </c>
      <c r="L192" s="297">
        <v>4</v>
      </c>
      <c r="M192" s="298">
        <v>2.9399999999999999E-3</v>
      </c>
      <c r="N192" s="297">
        <v>181</v>
      </c>
      <c r="O192" s="298">
        <v>0.13289000000000001</v>
      </c>
      <c r="P192" s="297">
        <v>1074</v>
      </c>
      <c r="Q192" s="298">
        <v>0.78854999999999997</v>
      </c>
      <c r="R192" s="297">
        <v>60</v>
      </c>
      <c r="S192" s="298">
        <v>4.4049999999999999E-2</v>
      </c>
      <c r="T192" s="297">
        <v>89</v>
      </c>
      <c r="U192" s="297">
        <v>104</v>
      </c>
      <c r="V192" s="297">
        <v>103</v>
      </c>
      <c r="W192" s="297">
        <v>117</v>
      </c>
      <c r="X192" s="297">
        <v>108</v>
      </c>
      <c r="Y192" s="297">
        <v>103</v>
      </c>
      <c r="Z192" s="297">
        <v>108</v>
      </c>
      <c r="AA192" s="297">
        <v>97</v>
      </c>
      <c r="AB192" s="297">
        <v>102</v>
      </c>
      <c r="AC192" s="297">
        <v>121</v>
      </c>
      <c r="AD192" s="297">
        <v>111</v>
      </c>
      <c r="AE192" s="297">
        <v>92</v>
      </c>
      <c r="AF192" s="297">
        <v>107</v>
      </c>
    </row>
    <row r="193" spans="1:32" x14ac:dyDescent="0.35">
      <c r="A193" s="296" t="s">
        <v>471</v>
      </c>
      <c r="B193" s="296">
        <v>2102</v>
      </c>
      <c r="C193" s="296" t="s">
        <v>202</v>
      </c>
      <c r="D193" s="297">
        <v>2245</v>
      </c>
      <c r="E193" s="297">
        <v>2340</v>
      </c>
      <c r="F193" s="297">
        <v>22</v>
      </c>
      <c r="G193" s="298">
        <v>9.4000000000000004E-3</v>
      </c>
      <c r="H193" s="297">
        <v>7</v>
      </c>
      <c r="I193" s="298">
        <v>2.99E-3</v>
      </c>
      <c r="J193" s="297">
        <v>1</v>
      </c>
      <c r="K193" s="298">
        <v>4.2999999999999999E-4</v>
      </c>
      <c r="L193" s="297">
        <v>4</v>
      </c>
      <c r="M193" s="298">
        <v>1.7099999999999999E-3</v>
      </c>
      <c r="N193" s="297">
        <v>185</v>
      </c>
      <c r="O193" s="298">
        <v>7.9060000000000005E-2</v>
      </c>
      <c r="P193" s="297">
        <v>1951</v>
      </c>
      <c r="Q193" s="298">
        <v>0.83375999999999995</v>
      </c>
      <c r="R193" s="297">
        <v>170</v>
      </c>
      <c r="S193" s="298">
        <v>7.2650000000000006E-2</v>
      </c>
      <c r="T193" s="297">
        <v>179</v>
      </c>
      <c r="U193" s="297">
        <v>191</v>
      </c>
      <c r="V193" s="297">
        <v>154</v>
      </c>
      <c r="W193" s="297">
        <v>197</v>
      </c>
      <c r="X193" s="297">
        <v>169</v>
      </c>
      <c r="Y193" s="297">
        <v>193</v>
      </c>
      <c r="Z193" s="297">
        <v>190</v>
      </c>
      <c r="AA193" s="297">
        <v>206</v>
      </c>
      <c r="AB193" s="297">
        <v>177</v>
      </c>
      <c r="AC193" s="297">
        <v>192</v>
      </c>
      <c r="AD193" s="297">
        <v>175</v>
      </c>
      <c r="AE193" s="297">
        <v>181</v>
      </c>
      <c r="AF193" s="297">
        <v>136</v>
      </c>
    </row>
    <row r="194" spans="1:32" x14ac:dyDescent="0.35">
      <c r="A194" s="296" t="s">
        <v>722</v>
      </c>
      <c r="B194" s="296">
        <v>2055</v>
      </c>
      <c r="C194" s="296" t="s">
        <v>203</v>
      </c>
      <c r="D194" s="297">
        <v>4468</v>
      </c>
      <c r="E194" s="297">
        <v>4530</v>
      </c>
      <c r="F194" s="297">
        <v>71</v>
      </c>
      <c r="G194" s="298">
        <v>1.567E-2</v>
      </c>
      <c r="H194" s="297">
        <v>22</v>
      </c>
      <c r="I194" s="298">
        <v>4.8599999999999997E-3</v>
      </c>
      <c r="J194" s="297">
        <v>9</v>
      </c>
      <c r="K194" s="298">
        <v>1.99E-3</v>
      </c>
      <c r="L194" s="297">
        <v>15</v>
      </c>
      <c r="M194" s="298">
        <v>3.31E-3</v>
      </c>
      <c r="N194" s="297">
        <v>566</v>
      </c>
      <c r="O194" s="298">
        <v>0.12494</v>
      </c>
      <c r="P194" s="297">
        <v>3556</v>
      </c>
      <c r="Q194" s="298">
        <v>0.78498999999999997</v>
      </c>
      <c r="R194" s="297">
        <v>291</v>
      </c>
      <c r="S194" s="298">
        <v>6.4240000000000005E-2</v>
      </c>
      <c r="T194" s="297">
        <v>268</v>
      </c>
      <c r="U194" s="297">
        <v>326</v>
      </c>
      <c r="V194" s="297">
        <v>332</v>
      </c>
      <c r="W194" s="297">
        <v>351</v>
      </c>
      <c r="X194" s="297">
        <v>355</v>
      </c>
      <c r="Y194" s="297">
        <v>366</v>
      </c>
      <c r="Z194" s="297">
        <v>329</v>
      </c>
      <c r="AA194" s="297">
        <v>327</v>
      </c>
      <c r="AB194" s="297">
        <v>379</v>
      </c>
      <c r="AC194" s="297">
        <v>389</v>
      </c>
      <c r="AD194" s="297">
        <v>394</v>
      </c>
      <c r="AE194" s="297">
        <v>362</v>
      </c>
      <c r="AF194" s="297">
        <v>352</v>
      </c>
    </row>
    <row r="195" spans="1:32" x14ac:dyDescent="0.35">
      <c r="A195" s="296" t="s">
        <v>374</v>
      </c>
      <c r="B195" s="296">
        <v>2242</v>
      </c>
      <c r="C195" s="296" t="s">
        <v>204</v>
      </c>
      <c r="D195" s="297">
        <v>11767</v>
      </c>
      <c r="E195" s="297">
        <v>11680</v>
      </c>
      <c r="F195" s="297">
        <v>29</v>
      </c>
      <c r="G195" s="298">
        <v>2.48E-3</v>
      </c>
      <c r="H195" s="297">
        <v>567</v>
      </c>
      <c r="I195" s="298">
        <v>4.854E-2</v>
      </c>
      <c r="J195" s="297">
        <v>296</v>
      </c>
      <c r="K195" s="298">
        <v>2.5340000000000001E-2</v>
      </c>
      <c r="L195" s="297">
        <v>251</v>
      </c>
      <c r="M195" s="298">
        <v>2.1489999999999999E-2</v>
      </c>
      <c r="N195" s="297">
        <v>3367</v>
      </c>
      <c r="O195" s="298">
        <v>0.28827000000000003</v>
      </c>
      <c r="P195" s="297">
        <v>6131</v>
      </c>
      <c r="Q195" s="298">
        <v>0.52490999999999999</v>
      </c>
      <c r="R195" s="297">
        <v>1039</v>
      </c>
      <c r="S195" s="298">
        <v>8.8959999999999997E-2</v>
      </c>
      <c r="T195" s="297">
        <v>774</v>
      </c>
      <c r="U195" s="297">
        <v>891</v>
      </c>
      <c r="V195" s="297">
        <v>837</v>
      </c>
      <c r="W195" s="297">
        <v>905</v>
      </c>
      <c r="X195" s="297">
        <v>873</v>
      </c>
      <c r="Y195" s="297">
        <v>881</v>
      </c>
      <c r="Z195" s="297">
        <v>867</v>
      </c>
      <c r="AA195" s="297">
        <v>850</v>
      </c>
      <c r="AB195" s="297">
        <v>904</v>
      </c>
      <c r="AC195" s="297">
        <v>985</v>
      </c>
      <c r="AD195" s="297">
        <v>944</v>
      </c>
      <c r="AE195" s="297">
        <v>963</v>
      </c>
      <c r="AF195" s="297">
        <v>1006</v>
      </c>
    </row>
    <row r="196" spans="1:32" x14ac:dyDescent="0.35">
      <c r="A196" s="296" t="s">
        <v>943</v>
      </c>
      <c r="B196" s="296">
        <v>2197</v>
      </c>
      <c r="C196" s="296" t="s">
        <v>205</v>
      </c>
      <c r="D196" s="297">
        <v>2114</v>
      </c>
      <c r="E196" s="297">
        <v>2090</v>
      </c>
      <c r="F196" s="297">
        <v>14</v>
      </c>
      <c r="G196" s="298">
        <v>6.7000000000000002E-3</v>
      </c>
      <c r="H196" s="297">
        <v>11</v>
      </c>
      <c r="I196" s="298">
        <v>5.2599999999999999E-3</v>
      </c>
      <c r="J196" s="297">
        <v>7</v>
      </c>
      <c r="K196" s="298">
        <v>3.3500000000000001E-3</v>
      </c>
      <c r="L196" s="297">
        <v>3</v>
      </c>
      <c r="M196" s="298">
        <v>1.4400000000000001E-3</v>
      </c>
      <c r="N196" s="297">
        <v>581</v>
      </c>
      <c r="O196" s="298">
        <v>0.27799000000000001</v>
      </c>
      <c r="P196" s="297">
        <v>1357</v>
      </c>
      <c r="Q196" s="298">
        <v>0.64927999999999997</v>
      </c>
      <c r="R196" s="297">
        <v>117</v>
      </c>
      <c r="S196" s="298">
        <v>5.5980000000000002E-2</v>
      </c>
      <c r="T196" s="297">
        <v>125</v>
      </c>
      <c r="U196" s="297">
        <v>151</v>
      </c>
      <c r="V196" s="297">
        <v>130</v>
      </c>
      <c r="W196" s="297">
        <v>146</v>
      </c>
      <c r="X196" s="297">
        <v>155</v>
      </c>
      <c r="Y196" s="297">
        <v>152</v>
      </c>
      <c r="Z196" s="297">
        <v>163</v>
      </c>
      <c r="AA196" s="297">
        <v>155</v>
      </c>
      <c r="AB196" s="297">
        <v>190</v>
      </c>
      <c r="AC196" s="297">
        <v>184</v>
      </c>
      <c r="AD196" s="297">
        <v>191</v>
      </c>
      <c r="AE196" s="297">
        <v>182</v>
      </c>
      <c r="AF196" s="297">
        <v>166</v>
      </c>
    </row>
    <row r="197" spans="1:32" x14ac:dyDescent="0.35">
      <c r="A197" s="296" t="s">
        <v>643</v>
      </c>
      <c r="B197" s="296">
        <v>2222</v>
      </c>
      <c r="C197" s="296" t="s">
        <v>206</v>
      </c>
      <c r="D197" s="297">
        <v>2</v>
      </c>
      <c r="E197" s="297">
        <v>4</v>
      </c>
      <c r="F197" s="297">
        <v>0</v>
      </c>
      <c r="G197" s="298">
        <v>0</v>
      </c>
      <c r="H197" s="297">
        <v>0</v>
      </c>
      <c r="I197" s="298">
        <v>0</v>
      </c>
      <c r="J197" s="297">
        <v>0</v>
      </c>
      <c r="K197" s="298">
        <v>0</v>
      </c>
      <c r="L197" s="297">
        <v>0</v>
      </c>
      <c r="M197" s="298">
        <v>0</v>
      </c>
      <c r="N197" s="297">
        <v>2</v>
      </c>
      <c r="O197" s="298">
        <v>0.5</v>
      </c>
      <c r="P197" s="297">
        <v>2</v>
      </c>
      <c r="Q197" s="298">
        <v>0.5</v>
      </c>
      <c r="R197" s="297">
        <v>0</v>
      </c>
      <c r="S197" s="298">
        <v>0</v>
      </c>
      <c r="T197" s="297">
        <v>1</v>
      </c>
      <c r="U197" s="297">
        <v>0</v>
      </c>
      <c r="V197" s="297">
        <v>1</v>
      </c>
      <c r="W197" s="297">
        <v>1</v>
      </c>
      <c r="X197" s="297">
        <v>0</v>
      </c>
      <c r="Y197" s="297">
        <v>1</v>
      </c>
      <c r="Z197" s="297">
        <v>0</v>
      </c>
      <c r="AA197" s="297">
        <v>0</v>
      </c>
      <c r="AB197" s="297">
        <v>0</v>
      </c>
      <c r="AC197" s="297">
        <v>0</v>
      </c>
      <c r="AD197" s="297">
        <v>0</v>
      </c>
      <c r="AE197" s="297">
        <v>0</v>
      </c>
      <c r="AF197" s="297">
        <v>0</v>
      </c>
    </row>
    <row r="198" spans="1:32" x14ac:dyDescent="0.35">
      <c r="A198" s="296" t="s">
        <v>350</v>
      </c>
      <c r="B198" s="296">
        <v>2210</v>
      </c>
      <c r="C198" s="296" t="s">
        <v>207</v>
      </c>
      <c r="D198" s="297">
        <v>23</v>
      </c>
      <c r="E198" s="297">
        <v>21</v>
      </c>
      <c r="F198" s="297">
        <v>0</v>
      </c>
      <c r="G198" s="298">
        <v>0</v>
      </c>
      <c r="H198" s="297">
        <v>0</v>
      </c>
      <c r="I198" s="298">
        <v>0</v>
      </c>
      <c r="J198" s="297">
        <v>0</v>
      </c>
      <c r="K198" s="298">
        <v>0</v>
      </c>
      <c r="L198" s="297">
        <v>0</v>
      </c>
      <c r="M198" s="298">
        <v>0</v>
      </c>
      <c r="N198" s="297">
        <v>3</v>
      </c>
      <c r="O198" s="298">
        <v>0.14285999999999999</v>
      </c>
      <c r="P198" s="297">
        <v>18</v>
      </c>
      <c r="Q198" s="298">
        <v>0.85714000000000001</v>
      </c>
      <c r="R198" s="297">
        <v>0</v>
      </c>
      <c r="S198" s="298">
        <v>0</v>
      </c>
      <c r="T198" s="297">
        <v>1</v>
      </c>
      <c r="U198" s="297">
        <v>1</v>
      </c>
      <c r="V198" s="297">
        <v>0</v>
      </c>
      <c r="W198" s="297">
        <v>2</v>
      </c>
      <c r="X198" s="297">
        <v>3</v>
      </c>
      <c r="Y198" s="297">
        <v>3</v>
      </c>
      <c r="Z198" s="297">
        <v>3</v>
      </c>
      <c r="AA198" s="297">
        <v>1</v>
      </c>
      <c r="AB198" s="297">
        <v>1</v>
      </c>
      <c r="AC198" s="297">
        <v>1</v>
      </c>
      <c r="AD198" s="297">
        <v>3</v>
      </c>
      <c r="AE198" s="297">
        <v>0</v>
      </c>
      <c r="AF198" s="297">
        <v>2</v>
      </c>
    </row>
    <row r="199" spans="1:32" x14ac:dyDescent="0.35">
      <c r="A199" s="296" t="s">
        <v>350</v>
      </c>
      <c r="B199" s="296">
        <v>2204</v>
      </c>
      <c r="C199" s="296" t="s">
        <v>208</v>
      </c>
      <c r="D199" s="297">
        <v>1347</v>
      </c>
      <c r="E199" s="297">
        <v>1417</v>
      </c>
      <c r="F199" s="297">
        <v>13</v>
      </c>
      <c r="G199" s="298">
        <v>9.1699999999999993E-3</v>
      </c>
      <c r="H199" s="297">
        <v>4</v>
      </c>
      <c r="I199" s="298">
        <v>2.82E-3</v>
      </c>
      <c r="J199" s="297">
        <v>5</v>
      </c>
      <c r="K199" s="298">
        <v>3.5300000000000002E-3</v>
      </c>
      <c r="L199" s="297">
        <v>3</v>
      </c>
      <c r="M199" s="298">
        <v>2.1199999999999999E-3</v>
      </c>
      <c r="N199" s="297">
        <v>1026</v>
      </c>
      <c r="O199" s="298">
        <v>0.72406000000000004</v>
      </c>
      <c r="P199" s="297">
        <v>348</v>
      </c>
      <c r="Q199" s="298">
        <v>0.24559</v>
      </c>
      <c r="R199" s="297">
        <v>18</v>
      </c>
      <c r="S199" s="298">
        <v>1.2699999999999999E-2</v>
      </c>
      <c r="T199" s="297">
        <v>102</v>
      </c>
      <c r="U199" s="297">
        <v>103</v>
      </c>
      <c r="V199" s="297">
        <v>106</v>
      </c>
      <c r="W199" s="297">
        <v>113</v>
      </c>
      <c r="X199" s="297">
        <v>108</v>
      </c>
      <c r="Y199" s="297">
        <v>129</v>
      </c>
      <c r="Z199" s="297">
        <v>99</v>
      </c>
      <c r="AA199" s="297">
        <v>104</v>
      </c>
      <c r="AB199" s="297">
        <v>118</v>
      </c>
      <c r="AC199" s="297">
        <v>112</v>
      </c>
      <c r="AD199" s="297">
        <v>121</v>
      </c>
      <c r="AE199" s="297">
        <v>109</v>
      </c>
      <c r="AF199" s="297">
        <v>93</v>
      </c>
    </row>
    <row r="200" spans="1:32" x14ac:dyDescent="0.35">
      <c r="A200" s="296" t="s">
        <v>531</v>
      </c>
      <c r="B200" s="296">
        <v>2213</v>
      </c>
      <c r="C200" s="296" t="s">
        <v>209</v>
      </c>
      <c r="D200" s="297">
        <v>354</v>
      </c>
      <c r="E200" s="297">
        <v>376</v>
      </c>
      <c r="F200" s="297">
        <v>2</v>
      </c>
      <c r="G200" s="298">
        <v>5.3200000000000001E-3</v>
      </c>
      <c r="H200" s="297">
        <v>0</v>
      </c>
      <c r="I200" s="298">
        <v>0</v>
      </c>
      <c r="J200" s="297">
        <v>0</v>
      </c>
      <c r="K200" s="298">
        <v>0</v>
      </c>
      <c r="L200" s="297">
        <v>1</v>
      </c>
      <c r="M200" s="298">
        <v>2.66E-3</v>
      </c>
      <c r="N200" s="297">
        <v>17</v>
      </c>
      <c r="O200" s="298">
        <v>4.521E-2</v>
      </c>
      <c r="P200" s="297">
        <v>343</v>
      </c>
      <c r="Q200" s="298">
        <v>0.91222999999999999</v>
      </c>
      <c r="R200" s="297">
        <v>13</v>
      </c>
      <c r="S200" s="298">
        <v>3.4569999999999997E-2</v>
      </c>
      <c r="T200" s="297">
        <v>19</v>
      </c>
      <c r="U200" s="297">
        <v>26</v>
      </c>
      <c r="V200" s="297">
        <v>26</v>
      </c>
      <c r="W200" s="297">
        <v>36</v>
      </c>
      <c r="X200" s="297">
        <v>37</v>
      </c>
      <c r="Y200" s="297">
        <v>29</v>
      </c>
      <c r="Z200" s="297">
        <v>33</v>
      </c>
      <c r="AA200" s="297">
        <v>24</v>
      </c>
      <c r="AB200" s="297">
        <v>32</v>
      </c>
      <c r="AC200" s="297">
        <v>28</v>
      </c>
      <c r="AD200" s="297">
        <v>33</v>
      </c>
      <c r="AE200" s="297">
        <v>23</v>
      </c>
      <c r="AF200" s="297">
        <v>30</v>
      </c>
    </row>
    <row r="201" spans="1:32" x14ac:dyDescent="0.35">
      <c r="A201" s="296" t="s">
        <v>278</v>
      </c>
      <c r="B201" s="296">
        <v>2116</v>
      </c>
      <c r="C201" s="296" t="s">
        <v>210</v>
      </c>
      <c r="D201" s="297">
        <v>872</v>
      </c>
      <c r="E201" s="297">
        <v>946</v>
      </c>
      <c r="F201" s="297">
        <v>7</v>
      </c>
      <c r="G201" s="298">
        <v>7.4000000000000003E-3</v>
      </c>
      <c r="H201" s="297">
        <v>7</v>
      </c>
      <c r="I201" s="298">
        <v>7.4000000000000003E-3</v>
      </c>
      <c r="J201" s="297">
        <v>1</v>
      </c>
      <c r="K201" s="298">
        <v>1.06E-3</v>
      </c>
      <c r="L201" s="297">
        <v>1</v>
      </c>
      <c r="M201" s="298">
        <v>1.06E-3</v>
      </c>
      <c r="N201" s="297">
        <v>220</v>
      </c>
      <c r="O201" s="298">
        <v>0.23255999999999999</v>
      </c>
      <c r="P201" s="297">
        <v>691</v>
      </c>
      <c r="Q201" s="298">
        <v>0.73043999999999998</v>
      </c>
      <c r="R201" s="297">
        <v>19</v>
      </c>
      <c r="S201" s="298">
        <v>2.0080000000000001E-2</v>
      </c>
      <c r="T201" s="297">
        <v>56</v>
      </c>
      <c r="U201" s="297">
        <v>76</v>
      </c>
      <c r="V201" s="297">
        <v>67</v>
      </c>
      <c r="W201" s="297">
        <v>58</v>
      </c>
      <c r="X201" s="297">
        <v>102</v>
      </c>
      <c r="Y201" s="297">
        <v>58</v>
      </c>
      <c r="Z201" s="297">
        <v>80</v>
      </c>
      <c r="AA201" s="297">
        <v>84</v>
      </c>
      <c r="AB201" s="297">
        <v>74</v>
      </c>
      <c r="AC201" s="297">
        <v>86</v>
      </c>
      <c r="AD201" s="297">
        <v>72</v>
      </c>
      <c r="AE201" s="297">
        <v>74</v>
      </c>
      <c r="AF201" s="297">
        <v>59</v>
      </c>
    </row>
    <row r="202" spans="1:32" x14ac:dyDescent="0.35">
      <c r="A202" s="296" t="s">
        <v>490</v>
      </c>
      <c r="B202" s="296">
        <v>1947</v>
      </c>
      <c r="C202" s="296" t="s">
        <v>211</v>
      </c>
      <c r="D202" s="297">
        <v>562</v>
      </c>
      <c r="E202" s="297">
        <v>565</v>
      </c>
      <c r="F202" s="297">
        <v>7</v>
      </c>
      <c r="G202" s="298">
        <v>1.239E-2</v>
      </c>
      <c r="H202" s="297">
        <v>3</v>
      </c>
      <c r="I202" s="298">
        <v>5.3099999999999996E-3</v>
      </c>
      <c r="J202" s="297">
        <v>0</v>
      </c>
      <c r="K202" s="298">
        <v>0</v>
      </c>
      <c r="L202" s="297">
        <v>0</v>
      </c>
      <c r="M202" s="298">
        <v>0</v>
      </c>
      <c r="N202" s="297">
        <v>56</v>
      </c>
      <c r="O202" s="298">
        <v>9.912E-2</v>
      </c>
      <c r="P202" s="297">
        <v>467</v>
      </c>
      <c r="Q202" s="298">
        <v>0.82655000000000001</v>
      </c>
      <c r="R202" s="297">
        <v>32</v>
      </c>
      <c r="S202" s="298">
        <v>5.6640000000000003E-2</v>
      </c>
      <c r="T202" s="297">
        <v>46</v>
      </c>
      <c r="U202" s="297">
        <v>44</v>
      </c>
      <c r="V202" s="297">
        <v>36</v>
      </c>
      <c r="W202" s="297">
        <v>41</v>
      </c>
      <c r="X202" s="297">
        <v>46</v>
      </c>
      <c r="Y202" s="297">
        <v>45</v>
      </c>
      <c r="Z202" s="297">
        <v>48</v>
      </c>
      <c r="AA202" s="297">
        <v>32</v>
      </c>
      <c r="AB202" s="297">
        <v>43</v>
      </c>
      <c r="AC202" s="297">
        <v>44</v>
      </c>
      <c r="AD202" s="297">
        <v>57</v>
      </c>
      <c r="AE202" s="297">
        <v>39</v>
      </c>
      <c r="AF202" s="297">
        <v>44</v>
      </c>
    </row>
    <row r="203" spans="1:32" x14ac:dyDescent="0.35">
      <c r="A203" s="296" t="s">
        <v>643</v>
      </c>
      <c r="B203" s="296">
        <v>2220</v>
      </c>
      <c r="C203" s="296" t="s">
        <v>212</v>
      </c>
      <c r="D203" s="297">
        <v>200</v>
      </c>
      <c r="E203" s="297">
        <v>189</v>
      </c>
      <c r="F203" s="297">
        <v>1</v>
      </c>
      <c r="G203" s="298">
        <v>5.2900000000000004E-3</v>
      </c>
      <c r="H203" s="297">
        <v>0</v>
      </c>
      <c r="I203" s="298">
        <v>0</v>
      </c>
      <c r="J203" s="297">
        <v>0</v>
      </c>
      <c r="K203" s="298">
        <v>0</v>
      </c>
      <c r="L203" s="297">
        <v>1</v>
      </c>
      <c r="M203" s="298">
        <v>5.2900000000000004E-3</v>
      </c>
      <c r="N203" s="297">
        <v>13</v>
      </c>
      <c r="O203" s="298">
        <v>6.8779999999999994E-2</v>
      </c>
      <c r="P203" s="297">
        <v>168</v>
      </c>
      <c r="Q203" s="298">
        <v>0.88888999999999996</v>
      </c>
      <c r="R203" s="297">
        <v>6</v>
      </c>
      <c r="S203" s="298">
        <v>3.175E-2</v>
      </c>
      <c r="T203" s="297">
        <v>16</v>
      </c>
      <c r="U203" s="297">
        <v>13</v>
      </c>
      <c r="V203" s="297">
        <v>16</v>
      </c>
      <c r="W203" s="297">
        <v>17</v>
      </c>
      <c r="X203" s="297">
        <v>18</v>
      </c>
      <c r="Y203" s="297">
        <v>11</v>
      </c>
      <c r="Z203" s="297">
        <v>13</v>
      </c>
      <c r="AA203" s="297">
        <v>14</v>
      </c>
      <c r="AB203" s="297">
        <v>13</v>
      </c>
      <c r="AC203" s="297">
        <v>13</v>
      </c>
      <c r="AD203" s="297">
        <v>21</v>
      </c>
      <c r="AE203" s="297">
        <v>15</v>
      </c>
      <c r="AF203" s="297">
        <v>9</v>
      </c>
    </row>
    <row r="204" spans="1:32" x14ac:dyDescent="0.35">
      <c r="A204" s="296" t="s">
        <v>338</v>
      </c>
      <c r="B204" s="296">
        <v>1936</v>
      </c>
      <c r="C204" s="296" t="s">
        <v>213</v>
      </c>
      <c r="D204" s="297">
        <v>978</v>
      </c>
      <c r="E204" s="297">
        <v>983</v>
      </c>
      <c r="F204" s="297">
        <v>10</v>
      </c>
      <c r="G204" s="298">
        <v>1.017E-2</v>
      </c>
      <c r="H204" s="297">
        <v>5</v>
      </c>
      <c r="I204" s="298">
        <v>5.0899999999999999E-3</v>
      </c>
      <c r="J204" s="297">
        <v>13</v>
      </c>
      <c r="K204" s="298">
        <v>1.3220000000000001E-2</v>
      </c>
      <c r="L204" s="297">
        <v>4</v>
      </c>
      <c r="M204" s="298">
        <v>4.0699999999999998E-3</v>
      </c>
      <c r="N204" s="297">
        <v>184</v>
      </c>
      <c r="O204" s="298">
        <v>0.18718000000000001</v>
      </c>
      <c r="P204" s="297">
        <v>690</v>
      </c>
      <c r="Q204" s="298">
        <v>0.70193000000000005</v>
      </c>
      <c r="R204" s="297">
        <v>77</v>
      </c>
      <c r="S204" s="298">
        <v>7.8329999999999997E-2</v>
      </c>
      <c r="T204" s="297">
        <v>72</v>
      </c>
      <c r="U204" s="297">
        <v>78</v>
      </c>
      <c r="V204" s="297">
        <v>71</v>
      </c>
      <c r="W204" s="297">
        <v>75</v>
      </c>
      <c r="X204" s="297">
        <v>67</v>
      </c>
      <c r="Y204" s="297">
        <v>86</v>
      </c>
      <c r="Z204" s="297">
        <v>94</v>
      </c>
      <c r="AA204" s="297">
        <v>74</v>
      </c>
      <c r="AB204" s="297">
        <v>76</v>
      </c>
      <c r="AC204" s="297">
        <v>71</v>
      </c>
      <c r="AD204" s="297">
        <v>80</v>
      </c>
      <c r="AE204" s="297">
        <v>79</v>
      </c>
      <c r="AF204" s="297">
        <v>60</v>
      </c>
    </row>
    <row r="205" spans="1:32" x14ac:dyDescent="0.35">
      <c r="A205" s="296" t="s">
        <v>440</v>
      </c>
      <c r="B205" s="296">
        <v>1922</v>
      </c>
      <c r="C205" s="296" t="s">
        <v>214</v>
      </c>
      <c r="D205" s="297">
        <v>9121</v>
      </c>
      <c r="E205" s="297">
        <v>9089</v>
      </c>
      <c r="F205" s="297">
        <v>22</v>
      </c>
      <c r="G205" s="298">
        <v>2.4199999999999998E-3</v>
      </c>
      <c r="H205" s="297">
        <v>400</v>
      </c>
      <c r="I205" s="298">
        <v>4.4010000000000001E-2</v>
      </c>
      <c r="J205" s="297">
        <v>48</v>
      </c>
      <c r="K205" s="298">
        <v>5.28E-3</v>
      </c>
      <c r="L205" s="297">
        <v>94</v>
      </c>
      <c r="M205" s="298">
        <v>1.034E-2</v>
      </c>
      <c r="N205" s="297">
        <v>1289</v>
      </c>
      <c r="O205" s="298">
        <v>0.14182</v>
      </c>
      <c r="P205" s="297">
        <v>6401</v>
      </c>
      <c r="Q205" s="298">
        <v>0.70426</v>
      </c>
      <c r="R205" s="297">
        <v>835</v>
      </c>
      <c r="S205" s="298">
        <v>9.1869999999999993E-2</v>
      </c>
      <c r="T205" s="297">
        <v>526</v>
      </c>
      <c r="U205" s="297">
        <v>608</v>
      </c>
      <c r="V205" s="297">
        <v>633</v>
      </c>
      <c r="W205" s="297">
        <v>612</v>
      </c>
      <c r="X205" s="297">
        <v>607</v>
      </c>
      <c r="Y205" s="297">
        <v>673</v>
      </c>
      <c r="Z205" s="297">
        <v>669</v>
      </c>
      <c r="AA205" s="297">
        <v>763</v>
      </c>
      <c r="AB205" s="297">
        <v>783</v>
      </c>
      <c r="AC205" s="297">
        <v>803</v>
      </c>
      <c r="AD205" s="297">
        <v>818</v>
      </c>
      <c r="AE205" s="297">
        <v>788</v>
      </c>
      <c r="AF205" s="297">
        <v>806</v>
      </c>
    </row>
    <row r="206" spans="1:32" hidden="1" x14ac:dyDescent="0.35">
      <c r="A206" s="296" t="s">
        <v>447</v>
      </c>
      <c r="B206" s="296">
        <v>2117</v>
      </c>
      <c r="C206" s="296" t="s">
        <v>296</v>
      </c>
      <c r="D206" s="297">
        <v>24</v>
      </c>
      <c r="E206" s="297">
        <v>38</v>
      </c>
      <c r="F206" s="297">
        <v>1</v>
      </c>
      <c r="G206" s="298">
        <v>2.632E-2</v>
      </c>
      <c r="H206" s="297">
        <v>0</v>
      </c>
      <c r="I206" s="298">
        <v>0</v>
      </c>
      <c r="J206" s="297">
        <v>0</v>
      </c>
      <c r="K206" s="298">
        <v>0</v>
      </c>
      <c r="L206" s="297">
        <v>1</v>
      </c>
      <c r="M206" s="298">
        <v>2.632E-2</v>
      </c>
      <c r="N206" s="297">
        <v>9</v>
      </c>
      <c r="O206" s="298">
        <v>0.23683999999999999</v>
      </c>
      <c r="P206" s="297">
        <v>22</v>
      </c>
      <c r="Q206" s="298">
        <v>0.57894999999999996</v>
      </c>
      <c r="R206" s="297">
        <v>5</v>
      </c>
      <c r="S206" s="298">
        <v>0.13158</v>
      </c>
      <c r="T206" s="297">
        <v>0</v>
      </c>
      <c r="U206" s="297">
        <v>1</v>
      </c>
      <c r="V206" s="297">
        <v>1</v>
      </c>
      <c r="W206" s="297">
        <v>2</v>
      </c>
      <c r="X206" s="297">
        <v>4</v>
      </c>
      <c r="Y206" s="297">
        <v>8</v>
      </c>
      <c r="Z206" s="297">
        <v>1</v>
      </c>
      <c r="AA206" s="297">
        <v>5</v>
      </c>
      <c r="AB206" s="297">
        <v>4</v>
      </c>
      <c r="AC206" s="297">
        <v>0</v>
      </c>
      <c r="AD206" s="297">
        <v>3</v>
      </c>
      <c r="AE206" s="297">
        <v>2</v>
      </c>
      <c r="AF206" s="297">
        <v>7</v>
      </c>
    </row>
    <row r="207" spans="1:32" x14ac:dyDescent="0.35">
      <c r="A207" s="296" t="s">
        <v>295</v>
      </c>
      <c r="B207" s="296">
        <v>2255</v>
      </c>
      <c r="C207" s="296" t="s">
        <v>215</v>
      </c>
      <c r="D207" s="297">
        <v>856</v>
      </c>
      <c r="E207" s="297">
        <v>891</v>
      </c>
      <c r="F207" s="297">
        <v>183</v>
      </c>
      <c r="G207" s="298">
        <v>0.20538999999999999</v>
      </c>
      <c r="H207" s="297">
        <v>2</v>
      </c>
      <c r="I207" s="298">
        <v>2.2399999999999998E-3</v>
      </c>
      <c r="J207" s="297">
        <v>10</v>
      </c>
      <c r="K207" s="298">
        <v>1.1220000000000001E-2</v>
      </c>
      <c r="L207" s="297">
        <v>2</v>
      </c>
      <c r="M207" s="298">
        <v>2.2399999999999998E-3</v>
      </c>
      <c r="N207" s="297">
        <v>90</v>
      </c>
      <c r="O207" s="298">
        <v>0.10101</v>
      </c>
      <c r="P207" s="297">
        <v>525</v>
      </c>
      <c r="Q207" s="298">
        <v>0.58923000000000003</v>
      </c>
      <c r="R207" s="297">
        <v>79</v>
      </c>
      <c r="S207" s="298">
        <v>8.8660000000000003E-2</v>
      </c>
      <c r="T207" s="297">
        <v>69</v>
      </c>
      <c r="U207" s="297">
        <v>64</v>
      </c>
      <c r="V207" s="297">
        <v>74</v>
      </c>
      <c r="W207" s="297">
        <v>50</v>
      </c>
      <c r="X207" s="297">
        <v>59</v>
      </c>
      <c r="Y207" s="297">
        <v>63</v>
      </c>
      <c r="Z207" s="297">
        <v>69</v>
      </c>
      <c r="AA207" s="297">
        <v>63</v>
      </c>
      <c r="AB207" s="297">
        <v>72</v>
      </c>
      <c r="AC207" s="297">
        <v>67</v>
      </c>
      <c r="AD207" s="297">
        <v>85</v>
      </c>
      <c r="AE207" s="297">
        <v>85</v>
      </c>
      <c r="AF207" s="297">
        <v>71</v>
      </c>
    </row>
    <row r="208" spans="1:32" x14ac:dyDescent="0.35">
      <c r="A208" s="296" t="s">
        <v>431</v>
      </c>
      <c r="B208" s="296">
        <v>2002</v>
      </c>
      <c r="C208" s="296" t="s">
        <v>216</v>
      </c>
      <c r="D208" s="297">
        <v>1400</v>
      </c>
      <c r="E208" s="297">
        <v>1381</v>
      </c>
      <c r="F208" s="297">
        <v>24</v>
      </c>
      <c r="G208" s="298">
        <v>1.738E-2</v>
      </c>
      <c r="H208" s="297">
        <v>4</v>
      </c>
      <c r="I208" s="298">
        <v>2.8999999999999998E-3</v>
      </c>
      <c r="J208" s="297">
        <v>1</v>
      </c>
      <c r="K208" s="298">
        <v>7.2000000000000005E-4</v>
      </c>
      <c r="L208" s="297">
        <v>5</v>
      </c>
      <c r="M208" s="298">
        <v>3.62E-3</v>
      </c>
      <c r="N208" s="297">
        <v>139</v>
      </c>
      <c r="O208" s="298">
        <v>0.10065</v>
      </c>
      <c r="P208" s="297">
        <v>1118</v>
      </c>
      <c r="Q208" s="298">
        <v>0.80955999999999995</v>
      </c>
      <c r="R208" s="297">
        <v>90</v>
      </c>
      <c r="S208" s="298">
        <v>6.5170000000000006E-2</v>
      </c>
      <c r="T208" s="297">
        <v>92</v>
      </c>
      <c r="U208" s="297">
        <v>108</v>
      </c>
      <c r="V208" s="297">
        <v>102</v>
      </c>
      <c r="W208" s="297">
        <v>105</v>
      </c>
      <c r="X208" s="297">
        <v>103</v>
      </c>
      <c r="Y208" s="297">
        <v>98</v>
      </c>
      <c r="Z208" s="297">
        <v>114</v>
      </c>
      <c r="AA208" s="297">
        <v>96</v>
      </c>
      <c r="AB208" s="297">
        <v>99</v>
      </c>
      <c r="AC208" s="297">
        <v>135</v>
      </c>
      <c r="AD208" s="297">
        <v>106</v>
      </c>
      <c r="AE208" s="297">
        <v>116</v>
      </c>
      <c r="AF208" s="297">
        <v>107</v>
      </c>
    </row>
    <row r="209" spans="1:32" x14ac:dyDescent="0.35">
      <c r="A209" s="296" t="s">
        <v>447</v>
      </c>
      <c r="B209" s="296">
        <v>2146</v>
      </c>
      <c r="C209" s="296" t="s">
        <v>217</v>
      </c>
      <c r="D209" s="297">
        <v>5245</v>
      </c>
      <c r="E209" s="297">
        <v>5259</v>
      </c>
      <c r="F209" s="297">
        <v>9</v>
      </c>
      <c r="G209" s="298">
        <v>1.7099999999999999E-3</v>
      </c>
      <c r="H209" s="297">
        <v>28</v>
      </c>
      <c r="I209" s="298">
        <v>5.3200000000000001E-3</v>
      </c>
      <c r="J209" s="297">
        <v>16</v>
      </c>
      <c r="K209" s="298">
        <v>3.0400000000000002E-3</v>
      </c>
      <c r="L209" s="297">
        <v>9</v>
      </c>
      <c r="M209" s="298">
        <v>1.7099999999999999E-3</v>
      </c>
      <c r="N209" s="297">
        <v>4571</v>
      </c>
      <c r="O209" s="298">
        <v>0.86917999999999995</v>
      </c>
      <c r="P209" s="297">
        <v>580</v>
      </c>
      <c r="Q209" s="298">
        <v>0.11029</v>
      </c>
      <c r="R209" s="297">
        <v>46</v>
      </c>
      <c r="S209" s="298">
        <v>8.7500000000000008E-3</v>
      </c>
      <c r="T209" s="297">
        <v>364</v>
      </c>
      <c r="U209" s="297">
        <v>356</v>
      </c>
      <c r="V209" s="297">
        <v>353</v>
      </c>
      <c r="W209" s="297">
        <v>383</v>
      </c>
      <c r="X209" s="297">
        <v>384</v>
      </c>
      <c r="Y209" s="297">
        <v>371</v>
      </c>
      <c r="Z209" s="297">
        <v>397</v>
      </c>
      <c r="AA209" s="297">
        <v>401</v>
      </c>
      <c r="AB209" s="297">
        <v>419</v>
      </c>
      <c r="AC209" s="297">
        <v>481</v>
      </c>
      <c r="AD209" s="297">
        <v>446</v>
      </c>
      <c r="AE209" s="297">
        <v>435</v>
      </c>
      <c r="AF209" s="297">
        <v>469</v>
      </c>
    </row>
    <row r="210" spans="1:32" x14ac:dyDescent="0.35">
      <c r="A210" s="296" t="s">
        <v>295</v>
      </c>
      <c r="B210" s="296">
        <v>2251</v>
      </c>
      <c r="C210" s="296" t="s">
        <v>218</v>
      </c>
      <c r="D210" s="297">
        <v>1021</v>
      </c>
      <c r="E210" s="297">
        <v>1112</v>
      </c>
      <c r="F210" s="297">
        <v>1</v>
      </c>
      <c r="G210" s="298">
        <v>8.9999999999999998E-4</v>
      </c>
      <c r="H210" s="297">
        <v>10</v>
      </c>
      <c r="I210" s="298">
        <v>8.9899999999999997E-3</v>
      </c>
      <c r="J210" s="297">
        <v>0</v>
      </c>
      <c r="K210" s="298">
        <v>0</v>
      </c>
      <c r="L210" s="297">
        <v>8</v>
      </c>
      <c r="M210" s="298">
        <v>7.1900000000000002E-3</v>
      </c>
      <c r="N210" s="297">
        <v>121</v>
      </c>
      <c r="O210" s="298">
        <v>0.10881</v>
      </c>
      <c r="P210" s="297">
        <v>934</v>
      </c>
      <c r="Q210" s="298">
        <v>0.83992999999999995</v>
      </c>
      <c r="R210" s="297">
        <v>38</v>
      </c>
      <c r="S210" s="298">
        <v>3.4169999999999999E-2</v>
      </c>
      <c r="T210" s="297">
        <v>89</v>
      </c>
      <c r="U210" s="297">
        <v>93</v>
      </c>
      <c r="V210" s="297">
        <v>98</v>
      </c>
      <c r="W210" s="297">
        <v>110</v>
      </c>
      <c r="X210" s="297">
        <v>79</v>
      </c>
      <c r="Y210" s="297">
        <v>88</v>
      </c>
      <c r="Z210" s="297">
        <v>97</v>
      </c>
      <c r="AA210" s="297">
        <v>83</v>
      </c>
      <c r="AB210" s="297">
        <v>70</v>
      </c>
      <c r="AC210" s="297">
        <v>78</v>
      </c>
      <c r="AD210" s="297">
        <v>82</v>
      </c>
      <c r="AE210" s="297">
        <v>77</v>
      </c>
      <c r="AF210" s="297">
        <v>68</v>
      </c>
    </row>
    <row r="211" spans="1:32" x14ac:dyDescent="0.35">
      <c r="A211" s="296" t="s">
        <v>431</v>
      </c>
      <c r="B211" s="296">
        <v>1997</v>
      </c>
      <c r="C211" s="296" t="s">
        <v>219</v>
      </c>
      <c r="D211" s="297">
        <v>227</v>
      </c>
      <c r="E211" s="297">
        <v>255</v>
      </c>
      <c r="F211" s="297">
        <v>0</v>
      </c>
      <c r="G211" s="298">
        <v>0</v>
      </c>
      <c r="H211" s="297">
        <v>0</v>
      </c>
      <c r="I211" s="298">
        <v>0</v>
      </c>
      <c r="J211" s="297">
        <v>0</v>
      </c>
      <c r="K211" s="298">
        <v>0</v>
      </c>
      <c r="L211" s="297">
        <v>2</v>
      </c>
      <c r="M211" s="298">
        <v>7.8399999999999997E-3</v>
      </c>
      <c r="N211" s="297">
        <v>21</v>
      </c>
      <c r="O211" s="298">
        <v>8.2350000000000007E-2</v>
      </c>
      <c r="P211" s="297">
        <v>217</v>
      </c>
      <c r="Q211" s="298">
        <v>0.85097999999999996</v>
      </c>
      <c r="R211" s="297">
        <v>15</v>
      </c>
      <c r="S211" s="298">
        <v>5.8819999999999997E-2</v>
      </c>
      <c r="T211" s="297">
        <v>22</v>
      </c>
      <c r="U211" s="297">
        <v>24</v>
      </c>
      <c r="V211" s="297">
        <v>27</v>
      </c>
      <c r="W211" s="297">
        <v>15</v>
      </c>
      <c r="X211" s="297">
        <v>16</v>
      </c>
      <c r="Y211" s="297">
        <v>16</v>
      </c>
      <c r="Z211" s="297">
        <v>17</v>
      </c>
      <c r="AA211" s="297">
        <v>14</v>
      </c>
      <c r="AB211" s="297">
        <v>9</v>
      </c>
      <c r="AC211" s="297">
        <v>22</v>
      </c>
      <c r="AD211" s="297">
        <v>17</v>
      </c>
      <c r="AE211" s="297">
        <v>29</v>
      </c>
      <c r="AF211" s="297">
        <v>27</v>
      </c>
    </row>
  </sheetData>
  <pageMargins left="0.7" right="0.7" top="0.75" bottom="0.75" header="0.3" footer="0.3"/>
  <pageSetup orientation="portrait" horizontalDpi="4294967293" verticalDpi="4294967293"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dimension ref="A1:J198"/>
  <sheetViews>
    <sheetView zoomScaleNormal="100" workbookViewId="0">
      <selection activeCell="G2" sqref="G2"/>
    </sheetView>
  </sheetViews>
  <sheetFormatPr defaultRowHeight="14.5" x14ac:dyDescent="0.35"/>
  <cols>
    <col min="1" max="1" width="29.1796875" customWidth="1"/>
    <col min="2" max="2" width="20.54296875" customWidth="1"/>
    <col min="5" max="5" width="30.54296875" bestFit="1" customWidth="1"/>
    <col min="6" max="6" width="22.1796875" bestFit="1" customWidth="1"/>
    <col min="10" max="10" width="10.1796875" bestFit="1" customWidth="1"/>
  </cols>
  <sheetData>
    <row r="1" spans="1:10" x14ac:dyDescent="0.35">
      <c r="A1" t="s">
        <v>2109</v>
      </c>
      <c r="B1" t="s">
        <v>2110</v>
      </c>
      <c r="C1" t="s">
        <v>2111</v>
      </c>
      <c r="E1" t="s">
        <v>3198</v>
      </c>
      <c r="F1" t="s">
        <v>3200</v>
      </c>
    </row>
    <row r="2" spans="1:10" x14ac:dyDescent="0.35">
      <c r="A2" s="119" t="s">
        <v>14</v>
      </c>
      <c r="B2" s="120">
        <v>1</v>
      </c>
      <c r="C2" t="s">
        <v>1713</v>
      </c>
      <c r="D2" s="299">
        <f>MoeHistory!D2366/'Enroll%'!F2</f>
        <v>0.2857142857142857</v>
      </c>
      <c r="E2" t="s">
        <v>14</v>
      </c>
      <c r="F2">
        <v>7</v>
      </c>
      <c r="G2" t="str" cm="1">
        <f t="array" ref="G2">_xlfn.IFS(D2&gt;13.5%,"B")</f>
        <v>B</v>
      </c>
      <c r="H2" s="288"/>
    </row>
    <row r="3" spans="1:10" x14ac:dyDescent="0.35">
      <c r="A3" s="119" t="s">
        <v>17</v>
      </c>
      <c r="B3" s="120">
        <v>0.14828897338403041</v>
      </c>
      <c r="C3" t="s">
        <v>1713</v>
      </c>
      <c r="D3" s="299">
        <f>MoeHistory!D2367/'Enroll%'!F3</f>
        <v>0.12727272727272726</v>
      </c>
      <c r="E3" t="s">
        <v>17</v>
      </c>
      <c r="F3">
        <v>275</v>
      </c>
      <c r="H3" s="288"/>
    </row>
    <row r="4" spans="1:10" x14ac:dyDescent="0.35">
      <c r="A4" s="119" t="s">
        <v>20</v>
      </c>
      <c r="B4" s="120">
        <v>0.12114771519659936</v>
      </c>
      <c r="C4" t="s">
        <v>1714</v>
      </c>
      <c r="D4" s="299">
        <f>MoeHistory!D2368/'Enroll%'!F4</f>
        <v>0.16895874263261296</v>
      </c>
      <c r="E4" t="s">
        <v>20</v>
      </c>
      <c r="F4">
        <v>509</v>
      </c>
      <c r="H4" s="288"/>
    </row>
    <row r="5" spans="1:10" x14ac:dyDescent="0.35">
      <c r="A5" s="119" t="s">
        <v>21</v>
      </c>
      <c r="B5" s="120">
        <v>0.15443037974683543</v>
      </c>
      <c r="C5" t="s">
        <v>1713</v>
      </c>
      <c r="D5" s="299">
        <f>MoeHistory!D2369/'Enroll%'!F5</f>
        <v>0.15915119363395225</v>
      </c>
      <c r="E5" t="s">
        <v>21</v>
      </c>
      <c r="F5">
        <v>754</v>
      </c>
      <c r="H5" s="288"/>
      <c r="J5" t="s">
        <v>3194</v>
      </c>
    </row>
    <row r="6" spans="1:10" x14ac:dyDescent="0.35">
      <c r="A6" s="119" t="s">
        <v>23</v>
      </c>
      <c r="B6" s="120">
        <v>6.0606060606060608E-2</v>
      </c>
      <c r="C6" t="s">
        <v>1715</v>
      </c>
      <c r="D6" s="299">
        <f>MoeHistory!D2370/'Enroll%'!F6</f>
        <v>9.6000000000000002E-2</v>
      </c>
      <c r="E6" t="s">
        <v>23</v>
      </c>
      <c r="F6">
        <v>125</v>
      </c>
      <c r="H6" s="288"/>
      <c r="J6" t="s">
        <v>3195</v>
      </c>
    </row>
    <row r="7" spans="1:10" x14ac:dyDescent="0.35">
      <c r="A7" s="119" t="s">
        <v>24</v>
      </c>
      <c r="B7" s="120">
        <v>0.13125000000000001</v>
      </c>
      <c r="C7" t="s">
        <v>1714</v>
      </c>
      <c r="D7" s="299">
        <f>MoeHistory!D2371/'Enroll%'!F7</f>
        <v>0.14000000000000001</v>
      </c>
      <c r="E7" t="s">
        <v>24</v>
      </c>
      <c r="F7">
        <v>150</v>
      </c>
      <c r="H7" s="288"/>
    </row>
    <row r="8" spans="1:10" x14ac:dyDescent="0.35">
      <c r="A8" s="119" t="s">
        <v>25</v>
      </c>
      <c r="B8" s="120">
        <v>0</v>
      </c>
      <c r="C8" t="s">
        <v>1715</v>
      </c>
      <c r="D8" s="299">
        <f>MoeHistory!D2372/'Enroll%'!F8</f>
        <v>0</v>
      </c>
      <c r="E8" t="s">
        <v>25</v>
      </c>
      <c r="F8">
        <v>17</v>
      </c>
      <c r="H8" s="288"/>
    </row>
    <row r="9" spans="1:10" x14ac:dyDescent="0.35">
      <c r="A9" s="119" t="s">
        <v>26</v>
      </c>
      <c r="B9" s="120">
        <v>0.13147082990961381</v>
      </c>
      <c r="C9" t="s">
        <v>1714</v>
      </c>
      <c r="D9" s="299">
        <f>MoeHistory!D2373/'Enroll%'!F9</f>
        <v>0.13141524105754276</v>
      </c>
      <c r="E9" t="s">
        <v>26</v>
      </c>
      <c r="F9">
        <v>2572</v>
      </c>
      <c r="H9" s="288"/>
    </row>
    <row r="10" spans="1:10" x14ac:dyDescent="0.35">
      <c r="A10" s="119" t="s">
        <v>27</v>
      </c>
      <c r="B10" s="120">
        <v>0</v>
      </c>
      <c r="C10" t="s">
        <v>1715</v>
      </c>
      <c r="D10" s="299">
        <f>MoeHistory!D2374/'Enroll%'!F10</f>
        <v>0</v>
      </c>
      <c r="E10" t="s">
        <v>27</v>
      </c>
      <c r="F10">
        <v>2</v>
      </c>
      <c r="H10" s="288"/>
    </row>
    <row r="11" spans="1:10" x14ac:dyDescent="0.35">
      <c r="A11" s="119" t="s">
        <v>28</v>
      </c>
      <c r="B11" s="120">
        <v>0.14261168384879724</v>
      </c>
      <c r="C11" t="s">
        <v>1713</v>
      </c>
      <c r="D11" s="299">
        <f>MoeHistory!D2375/'Enroll%'!F11</f>
        <v>0.13856427378964942</v>
      </c>
      <c r="E11" t="s">
        <v>28</v>
      </c>
      <c r="F11">
        <v>1797</v>
      </c>
      <c r="H11" s="288"/>
    </row>
    <row r="12" spans="1:10" x14ac:dyDescent="0.35">
      <c r="A12" s="119" t="s">
        <v>29</v>
      </c>
      <c r="B12" s="120">
        <v>0.14700854700854701</v>
      </c>
      <c r="C12" t="s">
        <v>1713</v>
      </c>
      <c r="D12" s="299">
        <f>MoeHistory!D2376/'Enroll%'!F12</f>
        <v>0.14022140221402213</v>
      </c>
      <c r="E12" t="s">
        <v>29</v>
      </c>
      <c r="F12">
        <v>542</v>
      </c>
      <c r="H12" s="288"/>
      <c r="J12" t="s">
        <v>3196</v>
      </c>
    </row>
    <row r="13" spans="1:10" x14ac:dyDescent="0.35">
      <c r="A13" s="119" t="s">
        <v>30</v>
      </c>
      <c r="B13" s="120">
        <v>0.11906339739341727</v>
      </c>
      <c r="C13" t="s">
        <v>1714</v>
      </c>
      <c r="D13" s="299">
        <f>MoeHistory!D2377/'Enroll%'!F13</f>
        <v>0.12306310352571301</v>
      </c>
      <c r="E13" t="s">
        <v>30</v>
      </c>
      <c r="F13">
        <v>4453</v>
      </c>
      <c r="H13" s="288"/>
    </row>
    <row r="14" spans="1:10" x14ac:dyDescent="0.35">
      <c r="A14" s="119" t="s">
        <v>32</v>
      </c>
      <c r="B14" s="120">
        <v>0.14285714285714285</v>
      </c>
      <c r="C14" t="s">
        <v>1713</v>
      </c>
      <c r="D14" s="299">
        <f>MoeHistory!D2378/'Enroll%'!F14</f>
        <v>0.14157973174366617</v>
      </c>
      <c r="E14" t="s">
        <v>32</v>
      </c>
      <c r="F14">
        <v>671</v>
      </c>
      <c r="H14" s="288"/>
    </row>
    <row r="15" spans="1:10" x14ac:dyDescent="0.35">
      <c r="A15" s="119" t="s">
        <v>33</v>
      </c>
      <c r="B15" s="120">
        <v>0.138996138996139</v>
      </c>
      <c r="C15" t="s">
        <v>1713</v>
      </c>
      <c r="D15" s="299">
        <f>MoeHistory!D2379/'Enroll%'!F15</f>
        <v>0.13962264150943396</v>
      </c>
      <c r="E15" t="s">
        <v>33</v>
      </c>
      <c r="F15">
        <v>1060</v>
      </c>
      <c r="H15" s="288"/>
    </row>
    <row r="16" spans="1:10" x14ac:dyDescent="0.35">
      <c r="A16" s="119" t="s">
        <v>34</v>
      </c>
      <c r="B16" s="120">
        <v>0.11865747830525779</v>
      </c>
      <c r="C16" t="s">
        <v>1714</v>
      </c>
      <c r="D16" s="299">
        <f>MoeHistory!D2380/'Enroll%'!F16</f>
        <v>0.11897430589696484</v>
      </c>
      <c r="E16" t="s">
        <v>34</v>
      </c>
      <c r="F16">
        <v>38647</v>
      </c>
      <c r="H16" s="288"/>
    </row>
    <row r="17" spans="1:8" x14ac:dyDescent="0.35">
      <c r="A17" s="119" t="s">
        <v>35</v>
      </c>
      <c r="B17" s="120">
        <v>0.10063723520293932</v>
      </c>
      <c r="C17" t="s">
        <v>1714</v>
      </c>
      <c r="D17" s="299">
        <f>MoeHistory!D2381/'Enroll%'!F17</f>
        <v>0.1035952984558654</v>
      </c>
      <c r="E17" t="s">
        <v>35</v>
      </c>
      <c r="F17">
        <v>17356</v>
      </c>
      <c r="H17" s="288"/>
    </row>
    <row r="18" spans="1:8" x14ac:dyDescent="0.35">
      <c r="A18" s="119" t="s">
        <v>36</v>
      </c>
      <c r="B18" s="120">
        <v>0.1842854431580945</v>
      </c>
      <c r="C18" t="s">
        <v>1713</v>
      </c>
      <c r="D18" s="299">
        <f>MoeHistory!D2382/'Enroll%'!F18</f>
        <v>0.18458218909376226</v>
      </c>
      <c r="E18" t="s">
        <v>36</v>
      </c>
      <c r="F18">
        <v>5098</v>
      </c>
      <c r="H18" s="288"/>
    </row>
    <row r="19" spans="1:8" x14ac:dyDescent="0.35">
      <c r="A19" s="119" t="s">
        <v>37</v>
      </c>
      <c r="B19" s="120">
        <v>0.11589403973509933</v>
      </c>
      <c r="C19" t="s">
        <v>1714</v>
      </c>
      <c r="D19" s="299">
        <f>MoeHistory!D2383/'Enroll%'!F19</f>
        <v>0.10344827586206896</v>
      </c>
      <c r="E19" t="s">
        <v>37</v>
      </c>
      <c r="F19">
        <v>406</v>
      </c>
      <c r="H19" s="288"/>
    </row>
    <row r="20" spans="1:8" x14ac:dyDescent="0.35">
      <c r="A20" s="119" t="s">
        <v>38</v>
      </c>
      <c r="B20" s="120">
        <v>0.05</v>
      </c>
      <c r="C20" t="s">
        <v>1715</v>
      </c>
      <c r="D20" s="299">
        <f>MoeHistory!D2384/'Enroll%'!F20</f>
        <v>9.0909090909090912E-2</v>
      </c>
      <c r="E20" t="s">
        <v>38</v>
      </c>
      <c r="F20">
        <v>22</v>
      </c>
      <c r="H20" s="288"/>
    </row>
    <row r="21" spans="1:8" x14ac:dyDescent="0.35">
      <c r="A21" s="119" t="s">
        <v>39</v>
      </c>
      <c r="B21" s="120">
        <v>0.15232722143864599</v>
      </c>
      <c r="C21" t="s">
        <v>1713</v>
      </c>
      <c r="D21" s="299">
        <f>MoeHistory!D2385/'Enroll%'!F21</f>
        <v>0.15242165242165243</v>
      </c>
      <c r="E21" t="s">
        <v>39</v>
      </c>
      <c r="F21">
        <v>1404</v>
      </c>
      <c r="H21" s="288"/>
    </row>
    <row r="22" spans="1:8" x14ac:dyDescent="0.35">
      <c r="A22" s="119" t="s">
        <v>40</v>
      </c>
      <c r="B22" s="120">
        <v>0.21739130434782608</v>
      </c>
      <c r="C22" t="s">
        <v>1713</v>
      </c>
      <c r="D22" s="299">
        <f>MoeHistory!D2386/'Enroll%'!F22</f>
        <v>0.14814814814814814</v>
      </c>
      <c r="E22" t="s">
        <v>40</v>
      </c>
      <c r="F22">
        <v>27</v>
      </c>
      <c r="H22" s="288"/>
    </row>
    <row r="23" spans="1:8" x14ac:dyDescent="0.35">
      <c r="A23" s="119" t="s">
        <v>42</v>
      </c>
      <c r="B23" s="120">
        <v>0.20320855614973263</v>
      </c>
      <c r="C23" t="s">
        <v>1713</v>
      </c>
      <c r="D23" s="299">
        <f>MoeHistory!D2387/'Enroll%'!F23</f>
        <v>0.27040816326530615</v>
      </c>
      <c r="E23" t="s">
        <v>42</v>
      </c>
      <c r="F23">
        <v>196</v>
      </c>
      <c r="H23" s="288"/>
    </row>
    <row r="24" spans="1:8" x14ac:dyDescent="0.35">
      <c r="A24" s="119" t="s">
        <v>43</v>
      </c>
      <c r="B24" s="120">
        <v>0.16888888888888889</v>
      </c>
      <c r="C24" t="s">
        <v>1713</v>
      </c>
      <c r="D24" s="299">
        <f>MoeHistory!D2388/'Enroll%'!F24</f>
        <v>0.14953271028037382</v>
      </c>
      <c r="E24" t="s">
        <v>43</v>
      </c>
      <c r="F24">
        <v>214</v>
      </c>
      <c r="H24" s="288"/>
    </row>
    <row r="25" spans="1:8" x14ac:dyDescent="0.35">
      <c r="A25" s="119" t="s">
        <v>44</v>
      </c>
      <c r="B25" s="120">
        <v>0.13895601739971</v>
      </c>
      <c r="C25" t="s">
        <v>1713</v>
      </c>
      <c r="D25" s="299">
        <f>MoeHistory!D2389/'Enroll%'!F25</f>
        <v>0.14292497625830961</v>
      </c>
      <c r="E25" t="s">
        <v>44</v>
      </c>
      <c r="F25">
        <v>4212</v>
      </c>
      <c r="H25" s="288"/>
    </row>
    <row r="26" spans="1:8" x14ac:dyDescent="0.35">
      <c r="A26" s="119" t="s">
        <v>45</v>
      </c>
      <c r="B26" s="120">
        <v>0.146484375</v>
      </c>
      <c r="C26" t="s">
        <v>1713</v>
      </c>
      <c r="D26" s="299">
        <f>MoeHistory!D2390/'Enroll%'!F26</f>
        <v>0.148975791433892</v>
      </c>
      <c r="E26" t="s">
        <v>45</v>
      </c>
      <c r="F26">
        <v>2685</v>
      </c>
      <c r="H26" s="288"/>
    </row>
    <row r="27" spans="1:8" x14ac:dyDescent="0.35">
      <c r="A27" s="119" t="s">
        <v>46</v>
      </c>
      <c r="B27" s="120">
        <v>0.14076086956521738</v>
      </c>
      <c r="C27" t="s">
        <v>1713</v>
      </c>
      <c r="D27" s="299">
        <f>MoeHistory!D2391/'Enroll%'!F27</f>
        <v>0.14270092946965554</v>
      </c>
      <c r="E27" t="s">
        <v>46</v>
      </c>
      <c r="F27">
        <v>5487</v>
      </c>
      <c r="H27" s="288"/>
    </row>
    <row r="28" spans="1:8" x14ac:dyDescent="0.35">
      <c r="A28" s="119" t="s">
        <v>47</v>
      </c>
      <c r="B28" s="120">
        <v>0.12857142857142856</v>
      </c>
      <c r="C28" t="s">
        <v>1714</v>
      </c>
      <c r="D28" s="299">
        <f>MoeHistory!D2392/'Enroll%'!F28</f>
        <v>0.11085450346420324</v>
      </c>
      <c r="E28" t="s">
        <v>47</v>
      </c>
      <c r="F28">
        <v>433</v>
      </c>
      <c r="H28" s="288"/>
    </row>
    <row r="29" spans="1:8" x14ac:dyDescent="0.35">
      <c r="A29" s="119" t="s">
        <v>48</v>
      </c>
      <c r="B29" s="120">
        <v>0.16878402903811252</v>
      </c>
      <c r="C29" t="s">
        <v>1713</v>
      </c>
      <c r="D29" s="299">
        <f>MoeHistory!D2393/'Enroll%'!F29</f>
        <v>0.17439703153988867</v>
      </c>
      <c r="E29" t="s">
        <v>48</v>
      </c>
      <c r="F29">
        <v>539</v>
      </c>
      <c r="H29" s="288"/>
    </row>
    <row r="30" spans="1:8" x14ac:dyDescent="0.35">
      <c r="A30" s="119" t="s">
        <v>49</v>
      </c>
      <c r="B30" s="120">
        <v>0.13078556263269639</v>
      </c>
      <c r="C30" t="s">
        <v>1714</v>
      </c>
      <c r="D30" s="299">
        <f>MoeHistory!D2394/'Enroll%'!F30</f>
        <v>0.13441745574310415</v>
      </c>
      <c r="E30" t="s">
        <v>49</v>
      </c>
      <c r="F30">
        <v>4858</v>
      </c>
      <c r="H30" s="288"/>
    </row>
    <row r="31" spans="1:8" x14ac:dyDescent="0.35">
      <c r="A31" s="119" t="s">
        <v>50</v>
      </c>
      <c r="B31" s="120">
        <v>0.12043215761042263</v>
      </c>
      <c r="C31" t="s">
        <v>1714</v>
      </c>
      <c r="D31" s="299">
        <f>MoeHistory!D2395/'Enroll%'!F31</f>
        <v>0.12390213299874529</v>
      </c>
      <c r="E31" t="s">
        <v>50</v>
      </c>
      <c r="F31">
        <v>3188</v>
      </c>
      <c r="H31" s="288"/>
    </row>
    <row r="32" spans="1:8" x14ac:dyDescent="0.35">
      <c r="A32" s="119" t="s">
        <v>51</v>
      </c>
      <c r="B32" s="120">
        <v>0.17629179331306991</v>
      </c>
      <c r="C32" t="s">
        <v>1713</v>
      </c>
      <c r="D32" s="299">
        <f>MoeHistory!D2396/'Enroll%'!F32</f>
        <v>0.17706821480406387</v>
      </c>
      <c r="E32" t="s">
        <v>51</v>
      </c>
      <c r="F32">
        <v>689</v>
      </c>
      <c r="H32" s="288"/>
    </row>
    <row r="33" spans="1:8" x14ac:dyDescent="0.35">
      <c r="A33" s="119" t="s">
        <v>52</v>
      </c>
      <c r="B33" s="120">
        <v>0.14587737843551796</v>
      </c>
      <c r="C33" t="s">
        <v>1713</v>
      </c>
      <c r="D33" s="299">
        <f>MoeHistory!D2397/'Enroll%'!F33</f>
        <v>0.14054927302100162</v>
      </c>
      <c r="E33" t="s">
        <v>52</v>
      </c>
      <c r="F33">
        <v>619</v>
      </c>
      <c r="H33" s="288"/>
    </row>
    <row r="34" spans="1:8" x14ac:dyDescent="0.35">
      <c r="A34" s="119" t="s">
        <v>53</v>
      </c>
      <c r="B34" s="120">
        <v>6.2015503875968991E-2</v>
      </c>
      <c r="C34" t="s">
        <v>1715</v>
      </c>
      <c r="D34" s="299">
        <f>MoeHistory!D2398/'Enroll%'!F34</f>
        <v>9.8360655737704916E-2</v>
      </c>
      <c r="E34" t="s">
        <v>53</v>
      </c>
      <c r="F34">
        <v>122</v>
      </c>
      <c r="H34" s="288"/>
    </row>
    <row r="35" spans="1:8" x14ac:dyDescent="0.35">
      <c r="A35" s="119" t="s">
        <v>54</v>
      </c>
      <c r="B35" s="120">
        <v>0.15376984126984128</v>
      </c>
      <c r="C35" t="s">
        <v>1713</v>
      </c>
      <c r="D35" s="299">
        <f>MoeHistory!D2399/'Enroll%'!F35</f>
        <v>0.15584415584415584</v>
      </c>
      <c r="E35" t="s">
        <v>54</v>
      </c>
      <c r="F35">
        <v>3080</v>
      </c>
      <c r="H35" s="288"/>
    </row>
    <row r="36" spans="1:8" x14ac:dyDescent="0.35">
      <c r="A36" s="119" t="s">
        <v>55</v>
      </c>
      <c r="B36" s="120">
        <v>0.14686998394863562</v>
      </c>
      <c r="C36" t="s">
        <v>1713</v>
      </c>
      <c r="D36" s="299">
        <f>MoeHistory!D2400/'Enroll%'!F36</f>
        <v>0.14576547231270359</v>
      </c>
      <c r="E36" t="s">
        <v>55</v>
      </c>
      <c r="F36">
        <v>1228</v>
      </c>
      <c r="H36" s="288"/>
    </row>
    <row r="37" spans="1:8" x14ac:dyDescent="0.35">
      <c r="A37" s="119" t="s">
        <v>56</v>
      </c>
      <c r="B37" s="120">
        <v>0.14561234329797493</v>
      </c>
      <c r="C37" t="s">
        <v>1713</v>
      </c>
      <c r="D37" s="299">
        <f>MoeHistory!D2401/'Enroll%'!F37</f>
        <v>0.15071090047393365</v>
      </c>
      <c r="E37" t="s">
        <v>56</v>
      </c>
      <c r="F37">
        <v>1055</v>
      </c>
      <c r="H37" s="288"/>
    </row>
    <row r="38" spans="1:8" x14ac:dyDescent="0.35">
      <c r="A38" s="119" t="s">
        <v>58</v>
      </c>
      <c r="B38" s="120">
        <v>0.11353300925199937</v>
      </c>
      <c r="C38" t="s">
        <v>1714</v>
      </c>
      <c r="D38" s="299">
        <f>MoeHistory!D2402/'Enroll%'!F38</f>
        <v>0.11285759195221629</v>
      </c>
      <c r="E38" t="s">
        <v>58</v>
      </c>
      <c r="F38">
        <v>6362</v>
      </c>
      <c r="H38" s="288"/>
    </row>
    <row r="39" spans="1:8" x14ac:dyDescent="0.35">
      <c r="A39" s="119" t="s">
        <v>59</v>
      </c>
      <c r="B39" s="120">
        <v>0.13494809688581316</v>
      </c>
      <c r="C39" t="s">
        <v>1714</v>
      </c>
      <c r="D39" s="299">
        <f>MoeHistory!D2403/'Enroll%'!F39</f>
        <v>0.12751677852348994</v>
      </c>
      <c r="E39" t="s">
        <v>59</v>
      </c>
      <c r="F39">
        <v>298</v>
      </c>
      <c r="H39" s="288"/>
    </row>
    <row r="40" spans="1:8" x14ac:dyDescent="0.35">
      <c r="A40" s="119" t="s">
        <v>60</v>
      </c>
      <c r="B40" s="120">
        <v>0.1563071297989031</v>
      </c>
      <c r="C40" t="s">
        <v>1713</v>
      </c>
      <c r="D40" s="299">
        <f>MoeHistory!D2404/'Enroll%'!F40</f>
        <v>0.16389132340052587</v>
      </c>
      <c r="E40" t="s">
        <v>60</v>
      </c>
      <c r="F40">
        <v>1141</v>
      </c>
      <c r="H40" s="288"/>
    </row>
    <row r="41" spans="1:8" x14ac:dyDescent="0.35">
      <c r="A41" s="119" t="s">
        <v>61</v>
      </c>
      <c r="B41" s="120">
        <v>0.13712686567164178</v>
      </c>
      <c r="C41" t="s">
        <v>1713</v>
      </c>
      <c r="D41" s="299">
        <f>MoeHistory!D2405/'Enroll%'!F41</f>
        <v>0.13691931540342298</v>
      </c>
      <c r="E41" t="s">
        <v>61</v>
      </c>
      <c r="F41">
        <v>3272</v>
      </c>
      <c r="H41" s="288"/>
    </row>
    <row r="42" spans="1:8" x14ac:dyDescent="0.35">
      <c r="A42" s="119" t="s">
        <v>62</v>
      </c>
      <c r="B42" s="120">
        <v>0.1394422310756972</v>
      </c>
      <c r="C42" t="s">
        <v>1713</v>
      </c>
      <c r="D42" s="299">
        <f>MoeHistory!D2406/'Enroll%'!F42</f>
        <v>0.13653136531365315</v>
      </c>
      <c r="E42" t="s">
        <v>62</v>
      </c>
      <c r="F42">
        <v>271</v>
      </c>
      <c r="H42" s="288"/>
    </row>
    <row r="43" spans="1:8" x14ac:dyDescent="0.35">
      <c r="A43" s="119" t="s">
        <v>63</v>
      </c>
      <c r="B43" s="120">
        <v>0.16913946587537093</v>
      </c>
      <c r="C43" t="s">
        <v>1713</v>
      </c>
      <c r="D43" s="299">
        <f>MoeHistory!D2407/'Enroll%'!F43</f>
        <v>0.13967310549777118</v>
      </c>
      <c r="E43" t="s">
        <v>63</v>
      </c>
      <c r="F43">
        <v>673</v>
      </c>
      <c r="H43" s="288"/>
    </row>
    <row r="44" spans="1:8" x14ac:dyDescent="0.35">
      <c r="A44" s="119" t="s">
        <v>64</v>
      </c>
      <c r="B44" s="120">
        <v>0.16650278597181253</v>
      </c>
      <c r="C44" t="s">
        <v>1713</v>
      </c>
      <c r="D44" s="299">
        <f>MoeHistory!D2408/'Enroll%'!F44</f>
        <v>0.16382699868938402</v>
      </c>
      <c r="E44" t="s">
        <v>64</v>
      </c>
      <c r="F44">
        <v>3052</v>
      </c>
      <c r="H44" s="288"/>
    </row>
    <row r="45" spans="1:8" x14ac:dyDescent="0.35">
      <c r="A45" s="119" t="s">
        <v>65</v>
      </c>
      <c r="B45" s="120">
        <v>0.12821100917431191</v>
      </c>
      <c r="C45" t="s">
        <v>1714</v>
      </c>
      <c r="D45" s="299">
        <f>MoeHistory!D2409/'Enroll%'!F45</f>
        <v>0.13001735106998266</v>
      </c>
      <c r="E45" t="s">
        <v>65</v>
      </c>
      <c r="F45">
        <v>8645</v>
      </c>
      <c r="H45" s="288"/>
    </row>
    <row r="46" spans="1:8" x14ac:dyDescent="0.35">
      <c r="A46" s="119" t="s">
        <v>66</v>
      </c>
      <c r="B46" s="120">
        <v>0.11674008810572688</v>
      </c>
      <c r="C46" t="s">
        <v>1714</v>
      </c>
      <c r="D46" s="299">
        <f>MoeHistory!D2410/'Enroll%'!F46</f>
        <v>0.13295454545454546</v>
      </c>
      <c r="E46" t="s">
        <v>66</v>
      </c>
      <c r="F46">
        <v>880</v>
      </c>
      <c r="H46" s="288"/>
    </row>
    <row r="47" spans="1:8" x14ac:dyDescent="0.35">
      <c r="A47" s="119" t="s">
        <v>67</v>
      </c>
      <c r="B47" s="120">
        <v>0.1206896551724138</v>
      </c>
      <c r="C47" t="s">
        <v>1714</v>
      </c>
      <c r="D47" s="299">
        <f>MoeHistory!D2411/'Enroll%'!F47</f>
        <v>0.16949152542372881</v>
      </c>
      <c r="E47" t="s">
        <v>67</v>
      </c>
      <c r="F47">
        <v>59</v>
      </c>
      <c r="H47" s="288"/>
    </row>
    <row r="48" spans="1:8" x14ac:dyDescent="0.35">
      <c r="A48" s="119" t="s">
        <v>68</v>
      </c>
      <c r="B48" s="120">
        <v>0.25</v>
      </c>
      <c r="C48" t="s">
        <v>1713</v>
      </c>
      <c r="D48" s="299">
        <f>MoeHistory!D2412/'Enroll%'!F48</f>
        <v>9.0909090909090912E-2</v>
      </c>
      <c r="E48" t="s">
        <v>68</v>
      </c>
      <c r="F48">
        <v>11</v>
      </c>
      <c r="H48" s="288"/>
    </row>
    <row r="49" spans="1:8" x14ac:dyDescent="0.35">
      <c r="A49" s="119" t="s">
        <v>69</v>
      </c>
      <c r="B49" s="120">
        <v>0.5</v>
      </c>
      <c r="C49" t="s">
        <v>1713</v>
      </c>
      <c r="D49" s="299">
        <f>MoeHistory!D2413/'Enroll%'!F49</f>
        <v>0</v>
      </c>
      <c r="E49" t="s">
        <v>69</v>
      </c>
      <c r="F49">
        <v>3</v>
      </c>
      <c r="H49" s="288"/>
    </row>
    <row r="50" spans="1:8" x14ac:dyDescent="0.35">
      <c r="A50" s="119" t="s">
        <v>70</v>
      </c>
      <c r="B50" s="120">
        <v>0.1834862385321101</v>
      </c>
      <c r="C50" t="s">
        <v>1713</v>
      </c>
      <c r="D50" s="299">
        <f>MoeHistory!D2414/'Enroll%'!F50</f>
        <v>0.19067796610169491</v>
      </c>
      <c r="E50" t="s">
        <v>70</v>
      </c>
      <c r="F50">
        <v>236</v>
      </c>
      <c r="H50" s="288"/>
    </row>
    <row r="51" spans="1:8" x14ac:dyDescent="0.35">
      <c r="A51" s="119" t="s">
        <v>71</v>
      </c>
      <c r="B51" s="120">
        <v>0.1229306093694963</v>
      </c>
      <c r="C51" t="s">
        <v>1714</v>
      </c>
      <c r="D51" s="299">
        <f>MoeHistory!D2415/'Enroll%'!F51</f>
        <v>0.13090465400034862</v>
      </c>
      <c r="E51" t="s">
        <v>71</v>
      </c>
      <c r="F51">
        <v>5737</v>
      </c>
      <c r="H51" s="288"/>
    </row>
    <row r="52" spans="1:8" x14ac:dyDescent="0.35">
      <c r="A52" s="119" t="s">
        <v>72</v>
      </c>
      <c r="B52" s="120">
        <v>0.13333333333333333</v>
      </c>
      <c r="C52" t="s">
        <v>1714</v>
      </c>
      <c r="D52" s="299">
        <f>MoeHistory!D2416/'Enroll%'!F52</f>
        <v>0</v>
      </c>
      <c r="E52" t="s">
        <v>72</v>
      </c>
      <c r="F52">
        <v>10</v>
      </c>
      <c r="H52" s="288"/>
    </row>
    <row r="53" spans="1:8" x14ac:dyDescent="0.35">
      <c r="A53" s="119" t="s">
        <v>73</v>
      </c>
      <c r="B53" s="120">
        <v>0.17415730337078653</v>
      </c>
      <c r="C53" t="s">
        <v>1713</v>
      </c>
      <c r="D53" s="299">
        <f>MoeHistory!D2417/'Enroll%'!F53</f>
        <v>0.18541033434650456</v>
      </c>
      <c r="E53" t="s">
        <v>73</v>
      </c>
      <c r="F53">
        <v>329</v>
      </c>
      <c r="H53" s="288"/>
    </row>
    <row r="54" spans="1:8" x14ac:dyDescent="0.35">
      <c r="A54" s="119" t="s">
        <v>74</v>
      </c>
      <c r="B54" s="120">
        <v>0.14343482397716462</v>
      </c>
      <c r="C54" t="s">
        <v>1713</v>
      </c>
      <c r="D54" s="299">
        <f>MoeHistory!D2418/'Enroll%'!F54</f>
        <v>0.1408351026185421</v>
      </c>
      <c r="E54" t="s">
        <v>74</v>
      </c>
      <c r="F54">
        <v>4239</v>
      </c>
      <c r="H54" s="288"/>
    </row>
    <row r="55" spans="1:8" x14ac:dyDescent="0.35">
      <c r="A55" s="119" t="s">
        <v>75</v>
      </c>
      <c r="B55" s="120">
        <v>0.12582781456953643</v>
      </c>
      <c r="C55" t="s">
        <v>1714</v>
      </c>
      <c r="D55" s="299">
        <f>MoeHistory!D2419/'Enroll%'!F55</f>
        <v>0.12861736334405144</v>
      </c>
      <c r="E55" t="s">
        <v>75</v>
      </c>
      <c r="F55">
        <v>311</v>
      </c>
      <c r="H55" s="288"/>
    </row>
    <row r="56" spans="1:8" x14ac:dyDescent="0.35">
      <c r="A56" s="119" t="s">
        <v>76</v>
      </c>
      <c r="B56" s="120">
        <v>0.13592233009708737</v>
      </c>
      <c r="C56" t="s">
        <v>1713</v>
      </c>
      <c r="D56" s="299">
        <f>MoeHistory!D2420/'Enroll%'!F56</f>
        <v>0.14814814814814814</v>
      </c>
      <c r="E56" t="s">
        <v>76</v>
      </c>
      <c r="F56">
        <v>405</v>
      </c>
      <c r="H56" s="288"/>
    </row>
    <row r="57" spans="1:8" x14ac:dyDescent="0.35">
      <c r="A57" s="119" t="s">
        <v>77</v>
      </c>
      <c r="B57" s="120">
        <v>0.11607142857142858</v>
      </c>
      <c r="C57" t="s">
        <v>1714</v>
      </c>
      <c r="D57" s="299">
        <f>MoeHistory!D2421/'Enroll%'!F57</f>
        <v>0.10212765957446808</v>
      </c>
      <c r="E57" t="s">
        <v>77</v>
      </c>
      <c r="F57">
        <v>235</v>
      </c>
      <c r="H57" s="288"/>
    </row>
    <row r="58" spans="1:8" x14ac:dyDescent="0.35">
      <c r="A58" s="119" t="s">
        <v>78</v>
      </c>
      <c r="B58" s="120">
        <v>0.15632754342431762</v>
      </c>
      <c r="C58" t="s">
        <v>1713</v>
      </c>
      <c r="D58" s="299">
        <f>MoeHistory!D2422/'Enroll%'!F58</f>
        <v>0.17857142857142858</v>
      </c>
      <c r="E58" t="s">
        <v>78</v>
      </c>
      <c r="F58">
        <v>420</v>
      </c>
      <c r="H58" s="288"/>
    </row>
    <row r="59" spans="1:8" x14ac:dyDescent="0.35">
      <c r="A59" s="119" t="s">
        <v>79</v>
      </c>
      <c r="B59" s="120">
        <v>0.11717974180734857</v>
      </c>
      <c r="C59" t="s">
        <v>1714</v>
      </c>
      <c r="D59" s="299">
        <f>MoeHistory!D2423/'Enroll%'!F59</f>
        <v>0.12168284789644013</v>
      </c>
      <c r="E59" t="s">
        <v>79</v>
      </c>
      <c r="F59">
        <v>3090</v>
      </c>
      <c r="H59" s="288"/>
    </row>
    <row r="60" spans="1:8" x14ac:dyDescent="0.35">
      <c r="A60" s="119" t="s">
        <v>80</v>
      </c>
      <c r="B60" s="120">
        <v>0.13299356874165758</v>
      </c>
      <c r="C60" t="s">
        <v>1714</v>
      </c>
      <c r="D60" s="299">
        <f>MoeHistory!D2424/'Enroll%'!F60</f>
        <v>0.13420878260345762</v>
      </c>
      <c r="E60" t="s">
        <v>80</v>
      </c>
      <c r="F60">
        <v>16601</v>
      </c>
      <c r="H60" s="288"/>
    </row>
    <row r="61" spans="1:8" x14ac:dyDescent="0.35">
      <c r="A61" s="119" t="s">
        <v>81</v>
      </c>
      <c r="B61" s="120">
        <v>0.19075144508670519</v>
      </c>
      <c r="C61" t="s">
        <v>1713</v>
      </c>
      <c r="D61" s="299">
        <f>MoeHistory!D2425/'Enroll%'!F61</f>
        <v>0.17679558011049723</v>
      </c>
      <c r="E61" t="s">
        <v>81</v>
      </c>
      <c r="F61">
        <v>181</v>
      </c>
      <c r="H61" s="288"/>
    </row>
    <row r="62" spans="1:8" x14ac:dyDescent="0.35">
      <c r="A62" s="119" t="s">
        <v>82</v>
      </c>
      <c r="B62" s="120">
        <v>0.16883116883116883</v>
      </c>
      <c r="C62" t="s">
        <v>1713</v>
      </c>
      <c r="D62" s="299">
        <f>MoeHistory!D2426/'Enroll%'!F62</f>
        <v>0.16678346180798878</v>
      </c>
      <c r="E62" t="s">
        <v>82</v>
      </c>
      <c r="F62">
        <v>1427</v>
      </c>
      <c r="H62" s="288"/>
    </row>
    <row r="63" spans="1:8" x14ac:dyDescent="0.35">
      <c r="A63" s="119" t="s">
        <v>83</v>
      </c>
      <c r="B63" s="120">
        <v>0.14270923209663502</v>
      </c>
      <c r="C63" t="s">
        <v>1713</v>
      </c>
      <c r="D63" s="299">
        <f>MoeHistory!D2427/'Enroll%'!F63</f>
        <v>0.14108313211452225</v>
      </c>
      <c r="E63" t="s">
        <v>83</v>
      </c>
      <c r="F63">
        <v>5798</v>
      </c>
      <c r="H63" s="288"/>
    </row>
    <row r="64" spans="1:8" x14ac:dyDescent="0.35">
      <c r="A64" s="119" t="s">
        <v>84</v>
      </c>
      <c r="B64" s="120">
        <v>7.6601671309192196E-2</v>
      </c>
      <c r="C64" t="s">
        <v>1715</v>
      </c>
      <c r="D64" s="299">
        <f>MoeHistory!D2428/'Enroll%'!F64</f>
        <v>6.2992125984251968E-2</v>
      </c>
      <c r="E64" t="s">
        <v>84</v>
      </c>
      <c r="F64">
        <v>1778</v>
      </c>
      <c r="H64" s="288"/>
    </row>
    <row r="65" spans="1:8" x14ac:dyDescent="0.35">
      <c r="A65" s="119" t="s">
        <v>85</v>
      </c>
      <c r="B65" s="120">
        <v>0.14285714285714285</v>
      </c>
      <c r="C65" t="s">
        <v>1713</v>
      </c>
      <c r="D65" s="299">
        <f>MoeHistory!D2429/'Enroll%'!F65</f>
        <v>0.33333333333333331</v>
      </c>
      <c r="E65" t="s">
        <v>85</v>
      </c>
      <c r="F65">
        <v>6</v>
      </c>
      <c r="H65" s="288"/>
    </row>
    <row r="66" spans="1:8" x14ac:dyDescent="0.35">
      <c r="A66" s="119" t="s">
        <v>86</v>
      </c>
      <c r="B66" s="120">
        <v>0.17043121149897331</v>
      </c>
      <c r="C66" t="s">
        <v>1713</v>
      </c>
      <c r="D66" s="299">
        <f>MoeHistory!D2430/'Enroll%'!F66</f>
        <v>0.17916666666666667</v>
      </c>
      <c r="E66" t="s">
        <v>86</v>
      </c>
      <c r="F66">
        <v>480</v>
      </c>
      <c r="H66" s="288"/>
    </row>
    <row r="67" spans="1:8" x14ac:dyDescent="0.35">
      <c r="A67" s="119" t="s">
        <v>87</v>
      </c>
      <c r="B67" s="120">
        <v>0.14446952595936793</v>
      </c>
      <c r="C67" t="s">
        <v>1713</v>
      </c>
      <c r="D67" s="299">
        <f>MoeHistory!D2431/'Enroll%'!F67</f>
        <v>0.14754098360655737</v>
      </c>
      <c r="E67" t="s">
        <v>87</v>
      </c>
      <c r="F67">
        <v>1220</v>
      </c>
      <c r="H67" s="288"/>
    </row>
    <row r="68" spans="1:8" x14ac:dyDescent="0.35">
      <c r="A68" s="119" t="s">
        <v>88</v>
      </c>
      <c r="B68" s="120">
        <v>0.15962984384037016</v>
      </c>
      <c r="C68" t="s">
        <v>1713</v>
      </c>
      <c r="D68" s="299">
        <f>MoeHistory!D2432/'Enroll%'!F68</f>
        <v>0.1588447653429603</v>
      </c>
      <c r="E68" t="s">
        <v>88</v>
      </c>
      <c r="F68">
        <v>1662</v>
      </c>
      <c r="H68" s="288"/>
    </row>
    <row r="69" spans="1:8" x14ac:dyDescent="0.35">
      <c r="A69" s="119" t="s">
        <v>89</v>
      </c>
      <c r="B69" s="120">
        <v>0.18279569892473119</v>
      </c>
      <c r="C69" t="s">
        <v>1713</v>
      </c>
      <c r="D69" s="299">
        <f>MoeHistory!D2433/'Enroll%'!F69</f>
        <v>0.16896551724137931</v>
      </c>
      <c r="E69" t="s">
        <v>89</v>
      </c>
      <c r="F69">
        <v>290</v>
      </c>
      <c r="H69" s="288"/>
    </row>
    <row r="70" spans="1:8" x14ac:dyDescent="0.35">
      <c r="A70" s="119" t="s">
        <v>90</v>
      </c>
      <c r="B70" s="120">
        <v>0.16</v>
      </c>
      <c r="C70" t="s">
        <v>1713</v>
      </c>
      <c r="D70" s="299">
        <f>MoeHistory!D2434/'Enroll%'!F70</f>
        <v>0.15484804630969609</v>
      </c>
      <c r="E70" t="s">
        <v>90</v>
      </c>
      <c r="F70">
        <v>691</v>
      </c>
      <c r="H70" s="288"/>
    </row>
    <row r="71" spans="1:8" x14ac:dyDescent="0.35">
      <c r="A71" s="119" t="s">
        <v>91</v>
      </c>
      <c r="B71" s="120">
        <v>0.13153667678029626</v>
      </c>
      <c r="C71" t="s">
        <v>1714</v>
      </c>
      <c r="D71" s="299">
        <f>MoeHistory!D2435/'Enroll%'!F71</f>
        <v>0.14270742358078603</v>
      </c>
      <c r="E71" t="s">
        <v>91</v>
      </c>
      <c r="F71">
        <v>5725</v>
      </c>
      <c r="H71" s="288"/>
    </row>
    <row r="72" spans="1:8" x14ac:dyDescent="0.35">
      <c r="A72" s="119" t="s">
        <v>92</v>
      </c>
      <c r="B72" s="120">
        <v>0.14680521777581251</v>
      </c>
      <c r="C72" t="s">
        <v>1713</v>
      </c>
      <c r="D72" s="299">
        <f>MoeHistory!D2436/'Enroll%'!F72</f>
        <v>0.1442127330905881</v>
      </c>
      <c r="E72" t="s">
        <v>92</v>
      </c>
      <c r="F72">
        <v>9063</v>
      </c>
      <c r="H72" s="288"/>
    </row>
    <row r="73" spans="1:8" x14ac:dyDescent="0.35">
      <c r="A73" s="119" t="s">
        <v>93</v>
      </c>
      <c r="B73" s="120">
        <v>0.13573358905064947</v>
      </c>
      <c r="C73" t="s">
        <v>1713</v>
      </c>
      <c r="D73" s="299">
        <f>MoeHistory!D2437/'Enroll%'!F73</f>
        <v>0.13798219584569732</v>
      </c>
      <c r="E73" t="s">
        <v>93</v>
      </c>
      <c r="F73">
        <v>11458</v>
      </c>
      <c r="H73" s="288"/>
    </row>
    <row r="74" spans="1:8" x14ac:dyDescent="0.35">
      <c r="A74" s="119" t="s">
        <v>94</v>
      </c>
      <c r="B74" s="120">
        <v>0.14192708333333334</v>
      </c>
      <c r="C74" t="s">
        <v>1713</v>
      </c>
      <c r="D74" s="299">
        <f>MoeHistory!D2438/'Enroll%'!F74</f>
        <v>0.14959568733153639</v>
      </c>
      <c r="E74" t="s">
        <v>94</v>
      </c>
      <c r="F74">
        <v>742</v>
      </c>
      <c r="H74" s="288"/>
    </row>
    <row r="75" spans="1:8" x14ac:dyDescent="0.35">
      <c r="A75" s="119" t="s">
        <v>95</v>
      </c>
      <c r="B75" s="120">
        <v>0.10218978102189781</v>
      </c>
      <c r="C75" t="s">
        <v>1714</v>
      </c>
      <c r="D75" s="299">
        <f>MoeHistory!D2439/'Enroll%'!F75</f>
        <v>0.1061269146608315</v>
      </c>
      <c r="E75" t="s">
        <v>95</v>
      </c>
      <c r="F75">
        <v>914</v>
      </c>
      <c r="H75" s="288"/>
    </row>
    <row r="76" spans="1:8" x14ac:dyDescent="0.35">
      <c r="A76" s="119" t="s">
        <v>96</v>
      </c>
      <c r="B76" s="120">
        <v>7.7934272300469482E-2</v>
      </c>
      <c r="C76" t="s">
        <v>1715</v>
      </c>
      <c r="D76" s="299">
        <f>MoeHistory!D2440/'Enroll%'!F76</f>
        <v>9.6839959225280325E-2</v>
      </c>
      <c r="E76" t="s">
        <v>96</v>
      </c>
      <c r="F76">
        <v>981</v>
      </c>
      <c r="H76" s="288"/>
    </row>
    <row r="77" spans="1:8" x14ac:dyDescent="0.35">
      <c r="A77" s="119" t="s">
        <v>97</v>
      </c>
      <c r="B77" s="120">
        <v>0.11818181818181818</v>
      </c>
      <c r="C77" t="s">
        <v>1714</v>
      </c>
      <c r="D77" s="299">
        <f>MoeHistory!D2441/'Enroll%'!F77</f>
        <v>9.6330275229357804E-2</v>
      </c>
      <c r="E77" t="s">
        <v>97</v>
      </c>
      <c r="F77">
        <v>218</v>
      </c>
      <c r="H77" s="288"/>
    </row>
    <row r="78" spans="1:8" x14ac:dyDescent="0.35">
      <c r="A78" s="119" t="s">
        <v>98</v>
      </c>
      <c r="B78" s="120">
        <v>0.13722826086956522</v>
      </c>
      <c r="C78" t="s">
        <v>1713</v>
      </c>
      <c r="D78" s="299">
        <f>MoeHistory!D2442/'Enroll%'!F78</f>
        <v>0.14304123711340205</v>
      </c>
      <c r="E78" t="s">
        <v>98</v>
      </c>
      <c r="F78">
        <v>776</v>
      </c>
      <c r="H78" s="288"/>
    </row>
    <row r="79" spans="1:8" x14ac:dyDescent="0.35">
      <c r="A79" s="119" t="s">
        <v>99</v>
      </c>
      <c r="B79" s="120">
        <v>0.1111111111111111</v>
      </c>
      <c r="C79" t="s">
        <v>1714</v>
      </c>
      <c r="D79" s="299">
        <f>MoeHistory!D2443/'Enroll%'!F79</f>
        <v>0.11805555555555555</v>
      </c>
      <c r="E79" t="s">
        <v>99</v>
      </c>
      <c r="F79">
        <v>144</v>
      </c>
      <c r="H79" s="288"/>
    </row>
    <row r="80" spans="1:8" x14ac:dyDescent="0.35">
      <c r="A80" s="119" t="s">
        <v>100</v>
      </c>
      <c r="B80" s="120">
        <v>0.12449504223283143</v>
      </c>
      <c r="C80" t="s">
        <v>1714</v>
      </c>
      <c r="D80" s="299">
        <f>MoeHistory!D2444/'Enroll%'!F80</f>
        <v>0.12168344007319305</v>
      </c>
      <c r="E80" t="s">
        <v>100</v>
      </c>
      <c r="F80">
        <v>5465</v>
      </c>
      <c r="H80" s="288"/>
    </row>
    <row r="81" spans="1:8" x14ac:dyDescent="0.35">
      <c r="A81" s="119" t="s">
        <v>101</v>
      </c>
      <c r="B81" s="120">
        <v>0.1518434755167517</v>
      </c>
      <c r="C81" t="s">
        <v>1713</v>
      </c>
      <c r="D81" s="299">
        <f>MoeHistory!D2445/'Enroll%'!F81</f>
        <v>0.14381093683764307</v>
      </c>
      <c r="E81" t="s">
        <v>101</v>
      </c>
      <c r="F81">
        <v>18872</v>
      </c>
      <c r="H81" s="288"/>
    </row>
    <row r="82" spans="1:8" x14ac:dyDescent="0.35">
      <c r="A82" s="119" t="s">
        <v>102</v>
      </c>
      <c r="B82" s="120">
        <v>0.12991014120667521</v>
      </c>
      <c r="C82" t="s">
        <v>1714</v>
      </c>
      <c r="D82" s="299">
        <f>MoeHistory!D2446/'Enroll%'!F82</f>
        <v>0.13086548488008343</v>
      </c>
      <c r="E82" t="s">
        <v>102</v>
      </c>
      <c r="F82">
        <v>3836</v>
      </c>
      <c r="H82" s="288"/>
    </row>
    <row r="83" spans="1:8" x14ac:dyDescent="0.35">
      <c r="A83" s="119" t="s">
        <v>103</v>
      </c>
      <c r="B83" s="120">
        <v>0.10752688172043011</v>
      </c>
      <c r="C83" t="s">
        <v>1714</v>
      </c>
      <c r="D83" s="299">
        <f>MoeHistory!D2447/'Enroll%'!F83</f>
        <v>9.8765432098765427E-2</v>
      </c>
      <c r="E83" t="s">
        <v>103</v>
      </c>
      <c r="F83">
        <v>81</v>
      </c>
      <c r="H83" s="288"/>
    </row>
    <row r="84" spans="1:8" x14ac:dyDescent="0.35">
      <c r="A84" s="119" t="s">
        <v>104</v>
      </c>
      <c r="B84" s="120">
        <v>0.10283687943262411</v>
      </c>
      <c r="C84" t="s">
        <v>1714</v>
      </c>
      <c r="D84" s="299">
        <f>MoeHistory!D2448/'Enroll%'!F84</f>
        <v>9.6666666666666665E-2</v>
      </c>
      <c r="E84" t="s">
        <v>104</v>
      </c>
      <c r="F84">
        <v>300</v>
      </c>
      <c r="H84" s="288"/>
    </row>
    <row r="85" spans="1:8" x14ac:dyDescent="0.35">
      <c r="A85" s="119" t="s">
        <v>105</v>
      </c>
      <c r="B85" s="120">
        <v>0.17054263565891473</v>
      </c>
      <c r="C85" t="s">
        <v>1713</v>
      </c>
      <c r="D85" s="299">
        <f>MoeHistory!D2449/'Enroll%'!F85</f>
        <v>0.15671641791044777</v>
      </c>
      <c r="E85" t="s">
        <v>105</v>
      </c>
      <c r="F85">
        <v>134</v>
      </c>
      <c r="H85" s="288"/>
    </row>
    <row r="86" spans="1:8" x14ac:dyDescent="0.35">
      <c r="A86" s="119" t="s">
        <v>106</v>
      </c>
      <c r="B86" s="120">
        <v>0.18037518037518038</v>
      </c>
      <c r="C86" t="s">
        <v>1713</v>
      </c>
      <c r="D86" s="299">
        <f>MoeHistory!D2450/'Enroll%'!F86</f>
        <v>0.16902905740609497</v>
      </c>
      <c r="E86" t="s">
        <v>106</v>
      </c>
      <c r="F86">
        <v>2822</v>
      </c>
      <c r="H86" s="288"/>
    </row>
    <row r="87" spans="1:8" x14ac:dyDescent="0.35">
      <c r="A87" s="119" t="s">
        <v>107</v>
      </c>
      <c r="B87" s="120">
        <v>0.13636363636363635</v>
      </c>
      <c r="C87" t="s">
        <v>1713</v>
      </c>
      <c r="D87" s="299">
        <f>MoeHistory!D2451/'Enroll%'!F87</f>
        <v>0.14736842105263157</v>
      </c>
      <c r="E87" t="s">
        <v>107</v>
      </c>
      <c r="F87">
        <v>760</v>
      </c>
      <c r="H87" s="288"/>
    </row>
    <row r="88" spans="1:8" x14ac:dyDescent="0.35">
      <c r="A88" s="119" t="s">
        <v>108</v>
      </c>
      <c r="B88" s="120">
        <v>0.16891891891891891</v>
      </c>
      <c r="C88" t="s">
        <v>1713</v>
      </c>
      <c r="D88" s="299">
        <f>MoeHistory!D2452/'Enroll%'!F88</f>
        <v>0.18656716417910449</v>
      </c>
      <c r="E88" t="s">
        <v>108</v>
      </c>
      <c r="F88">
        <v>134</v>
      </c>
      <c r="H88" s="288"/>
    </row>
    <row r="89" spans="1:8" x14ac:dyDescent="0.35">
      <c r="A89" s="119" t="s">
        <v>109</v>
      </c>
      <c r="B89" s="120">
        <v>0.16306483300589392</v>
      </c>
      <c r="C89" t="s">
        <v>1713</v>
      </c>
      <c r="D89" s="299">
        <f>MoeHistory!D2453/'Enroll%'!F89</f>
        <v>0.15319148936170213</v>
      </c>
      <c r="E89" t="s">
        <v>109</v>
      </c>
      <c r="F89">
        <v>470</v>
      </c>
      <c r="H89" s="288"/>
    </row>
    <row r="90" spans="1:8" x14ac:dyDescent="0.35">
      <c r="A90" s="119" t="s">
        <v>110</v>
      </c>
      <c r="B90" s="120">
        <v>6.5573770491803282E-2</v>
      </c>
      <c r="C90" t="s">
        <v>1715</v>
      </c>
      <c r="D90" s="299">
        <f>MoeHistory!D2454/'Enroll%'!F90</f>
        <v>6.3492063492063489E-2</v>
      </c>
      <c r="E90" t="s">
        <v>110</v>
      </c>
      <c r="F90">
        <v>63</v>
      </c>
      <c r="H90" s="288"/>
    </row>
    <row r="91" spans="1:8" x14ac:dyDescent="0.35">
      <c r="A91" s="119" t="s">
        <v>111</v>
      </c>
      <c r="B91" s="120">
        <v>0.12681159420289856</v>
      </c>
      <c r="C91" t="s">
        <v>1714</v>
      </c>
      <c r="D91" s="299">
        <f>MoeHistory!D2455/'Enroll%'!F91</f>
        <v>0.10344827586206896</v>
      </c>
      <c r="E91" t="s">
        <v>111</v>
      </c>
      <c r="F91">
        <v>261</v>
      </c>
      <c r="H91" s="288"/>
    </row>
    <row r="92" spans="1:8" x14ac:dyDescent="0.35">
      <c r="A92" s="119" t="s">
        <v>112</v>
      </c>
      <c r="B92" s="120">
        <v>0.15327102803738318</v>
      </c>
      <c r="C92" t="s">
        <v>1713</v>
      </c>
      <c r="D92" s="299">
        <f>MoeHistory!D2456/'Enroll%'!F92</f>
        <v>0.16547619047619047</v>
      </c>
      <c r="E92" t="s">
        <v>112</v>
      </c>
      <c r="F92">
        <v>1680</v>
      </c>
      <c r="H92" s="288"/>
    </row>
    <row r="93" spans="1:8" x14ac:dyDescent="0.35">
      <c r="A93" s="119" t="s">
        <v>113</v>
      </c>
      <c r="B93" s="120">
        <v>0</v>
      </c>
      <c r="C93" t="s">
        <v>1715</v>
      </c>
      <c r="D93" s="299">
        <f>MoeHistory!D2457/'Enroll%'!F93</f>
        <v>0</v>
      </c>
      <c r="E93" t="s">
        <v>113</v>
      </c>
      <c r="F93">
        <v>3</v>
      </c>
      <c r="H93" s="288"/>
    </row>
    <row r="94" spans="1:8" x14ac:dyDescent="0.35">
      <c r="A94" s="119" t="s">
        <v>114</v>
      </c>
      <c r="B94" s="120">
        <v>0.15673891201377924</v>
      </c>
      <c r="C94" t="s">
        <v>1713</v>
      </c>
      <c r="D94" s="299">
        <f>MoeHistory!D2458/'Enroll%'!F94</f>
        <v>0.15280327637339358</v>
      </c>
      <c r="E94" t="s">
        <v>114</v>
      </c>
      <c r="F94">
        <v>7081</v>
      </c>
      <c r="H94" s="288"/>
    </row>
    <row r="95" spans="1:8" x14ac:dyDescent="0.35">
      <c r="A95" s="119" t="s">
        <v>115</v>
      </c>
      <c r="B95" s="120">
        <v>0.15890613451589061</v>
      </c>
      <c r="C95" t="s">
        <v>1713</v>
      </c>
      <c r="D95" s="299">
        <f>MoeHistory!D2459/'Enroll%'!F95</f>
        <v>0.15653440116490716</v>
      </c>
      <c r="E95" t="s">
        <v>115</v>
      </c>
      <c r="F95">
        <v>2747</v>
      </c>
      <c r="H95" s="288"/>
    </row>
    <row r="96" spans="1:8" x14ac:dyDescent="0.35">
      <c r="A96" s="119" t="s">
        <v>116</v>
      </c>
      <c r="B96" s="120">
        <v>0.21581196581196582</v>
      </c>
      <c r="C96" t="s">
        <v>1713</v>
      </c>
      <c r="D96" s="299">
        <f>MoeHistory!D2460/'Enroll%'!F96</f>
        <v>0.2185430463576159</v>
      </c>
      <c r="E96" t="s">
        <v>116</v>
      </c>
      <c r="F96">
        <v>453</v>
      </c>
      <c r="H96" s="288"/>
    </row>
    <row r="97" spans="1:8" x14ac:dyDescent="0.35">
      <c r="A97" s="119" t="s">
        <v>117</v>
      </c>
      <c r="B97" s="120">
        <v>0.18399219131283553</v>
      </c>
      <c r="C97" t="s">
        <v>1713</v>
      </c>
      <c r="D97" s="299">
        <f>MoeHistory!D2461/'Enroll%'!F97</f>
        <v>0.18636796949475692</v>
      </c>
      <c r="E97" t="s">
        <v>117</v>
      </c>
      <c r="F97">
        <v>2098</v>
      </c>
      <c r="H97" s="288"/>
    </row>
    <row r="98" spans="1:8" x14ac:dyDescent="0.35">
      <c r="A98" s="119" t="s">
        <v>118</v>
      </c>
      <c r="B98" s="120">
        <v>0.13910761154855644</v>
      </c>
      <c r="C98" t="s">
        <v>1713</v>
      </c>
      <c r="D98" s="299">
        <f>MoeHistory!D2462/'Enroll%'!F98</f>
        <v>0.14656290531776914</v>
      </c>
      <c r="E98" t="s">
        <v>118</v>
      </c>
      <c r="F98">
        <v>771</v>
      </c>
      <c r="H98" s="288"/>
    </row>
    <row r="99" spans="1:8" x14ac:dyDescent="0.35">
      <c r="A99" s="119" t="s">
        <v>119</v>
      </c>
      <c r="B99" s="120">
        <v>0.10646387832699619</v>
      </c>
      <c r="C99" t="s">
        <v>1714</v>
      </c>
      <c r="D99" s="299">
        <f>MoeHistory!D2463/'Enroll%'!F99</f>
        <v>0.11030055442077619</v>
      </c>
      <c r="E99" t="s">
        <v>119</v>
      </c>
      <c r="F99">
        <v>6854</v>
      </c>
      <c r="H99" s="288"/>
    </row>
    <row r="100" spans="1:8" x14ac:dyDescent="0.35">
      <c r="A100" s="119" t="s">
        <v>120</v>
      </c>
      <c r="B100" s="120">
        <v>0.16613339896628107</v>
      </c>
      <c r="C100" t="s">
        <v>1713</v>
      </c>
      <c r="D100" s="299">
        <f>MoeHistory!D2464/'Enroll%'!F100</f>
        <v>0.16188828472565497</v>
      </c>
      <c r="E100" t="s">
        <v>120</v>
      </c>
      <c r="F100">
        <v>4046</v>
      </c>
      <c r="H100" s="288"/>
    </row>
    <row r="101" spans="1:8" x14ac:dyDescent="0.35">
      <c r="A101" s="119" t="s">
        <v>121</v>
      </c>
      <c r="B101" s="120">
        <v>0.1415674222051479</v>
      </c>
      <c r="C101" t="s">
        <v>1713</v>
      </c>
      <c r="D101" s="299">
        <f>MoeHistory!D2465/'Enroll%'!F101</f>
        <v>0.1364168618266979</v>
      </c>
      <c r="E101" t="s">
        <v>121</v>
      </c>
      <c r="F101">
        <v>5124</v>
      </c>
      <c r="H101" s="288"/>
    </row>
    <row r="102" spans="1:8" x14ac:dyDescent="0.35">
      <c r="A102" s="119" t="s">
        <v>122</v>
      </c>
      <c r="B102" s="120">
        <v>4.3478260869565216E-2</v>
      </c>
      <c r="C102" t="s">
        <v>1715</v>
      </c>
      <c r="D102" s="299">
        <f>MoeHistory!D2466/'Enroll%'!F102</f>
        <v>3.8461538461538464E-2</v>
      </c>
      <c r="E102" t="s">
        <v>122</v>
      </c>
      <c r="F102">
        <v>26</v>
      </c>
      <c r="H102" s="288"/>
    </row>
    <row r="103" spans="1:8" x14ac:dyDescent="0.35">
      <c r="A103" s="119" t="s">
        <v>123</v>
      </c>
      <c r="B103" s="120">
        <v>0.10698878343399482</v>
      </c>
      <c r="C103" t="s">
        <v>1714</v>
      </c>
      <c r="D103" s="299">
        <f>MoeHistory!D2467/'Enroll%'!F103</f>
        <v>0.1137218045112782</v>
      </c>
      <c r="E103" t="s">
        <v>123</v>
      </c>
      <c r="F103">
        <v>1064</v>
      </c>
      <c r="H103" s="288"/>
    </row>
    <row r="104" spans="1:8" x14ac:dyDescent="0.35">
      <c r="A104" s="119" t="s">
        <v>124</v>
      </c>
      <c r="B104" s="120">
        <v>0</v>
      </c>
      <c r="C104" t="s">
        <v>1715</v>
      </c>
      <c r="D104" s="299">
        <f>MoeHistory!D2468/'Enroll%'!F104</f>
        <v>0</v>
      </c>
      <c r="E104" t="s">
        <v>124</v>
      </c>
      <c r="F104">
        <v>3</v>
      </c>
      <c r="H104" s="288"/>
    </row>
    <row r="105" spans="1:8" x14ac:dyDescent="0.35">
      <c r="A105" s="119" t="s">
        <v>125</v>
      </c>
      <c r="B105" s="120">
        <v>0.13333333333333333</v>
      </c>
      <c r="C105" t="s">
        <v>1714</v>
      </c>
      <c r="D105" s="299">
        <f>MoeHistory!D2469/'Enroll%'!F105</f>
        <v>0.1793103448275862</v>
      </c>
      <c r="E105" t="s">
        <v>125</v>
      </c>
      <c r="F105">
        <v>145</v>
      </c>
      <c r="H105" s="288"/>
    </row>
    <row r="106" spans="1:8" x14ac:dyDescent="0.35">
      <c r="A106" s="119" t="s">
        <v>126</v>
      </c>
      <c r="B106" s="120">
        <v>0.10505836575875487</v>
      </c>
      <c r="C106" t="s">
        <v>1714</v>
      </c>
      <c r="D106" s="299">
        <f>MoeHistory!D2470/'Enroll%'!F106</f>
        <v>0.11561382598331346</v>
      </c>
      <c r="E106" t="s">
        <v>126</v>
      </c>
      <c r="F106">
        <v>839</v>
      </c>
      <c r="H106" s="288"/>
    </row>
    <row r="107" spans="1:8" x14ac:dyDescent="0.35">
      <c r="A107" s="119" t="s">
        <v>127</v>
      </c>
      <c r="B107" s="120">
        <v>0.15568862275449102</v>
      </c>
      <c r="C107" t="s">
        <v>1713</v>
      </c>
      <c r="D107" s="299">
        <f>MoeHistory!D2471/'Enroll%'!F107</f>
        <v>0.18965517241379309</v>
      </c>
      <c r="E107" t="s">
        <v>127</v>
      </c>
      <c r="F107">
        <v>174</v>
      </c>
      <c r="H107" s="288"/>
    </row>
    <row r="108" spans="1:8" x14ac:dyDescent="0.35">
      <c r="A108" s="119" t="s">
        <v>128</v>
      </c>
      <c r="B108" s="120">
        <v>0.135168766526676</v>
      </c>
      <c r="C108" t="s">
        <v>1713</v>
      </c>
      <c r="D108" s="299">
        <f>MoeHistory!D2472/'Enroll%'!F108</f>
        <v>0.13754418318733672</v>
      </c>
      <c r="E108" t="s">
        <v>128</v>
      </c>
      <c r="F108">
        <v>6507</v>
      </c>
      <c r="H108" s="288"/>
    </row>
    <row r="109" spans="1:8" x14ac:dyDescent="0.35">
      <c r="A109" s="119" t="s">
        <v>129</v>
      </c>
      <c r="B109" s="120">
        <v>0.15267067562787406</v>
      </c>
      <c r="C109" t="s">
        <v>1713</v>
      </c>
      <c r="D109" s="299">
        <f>MoeHistory!D2473/'Enroll%'!F109</f>
        <v>0.15214094880496787</v>
      </c>
      <c r="E109" t="s">
        <v>129</v>
      </c>
      <c r="F109">
        <v>13849</v>
      </c>
      <c r="H109" s="288"/>
    </row>
    <row r="110" spans="1:8" x14ac:dyDescent="0.35">
      <c r="A110" s="119" t="s">
        <v>130</v>
      </c>
      <c r="B110" s="120">
        <v>0.14481044126786824</v>
      </c>
      <c r="C110" t="s">
        <v>1713</v>
      </c>
      <c r="D110" s="299">
        <f>MoeHistory!D2474/'Enroll%'!F110</f>
        <v>0.14915040906230334</v>
      </c>
      <c r="E110" t="s">
        <v>130</v>
      </c>
      <c r="F110">
        <v>1589</v>
      </c>
      <c r="H110" s="288"/>
    </row>
    <row r="111" spans="1:8" x14ac:dyDescent="0.35">
      <c r="A111" s="119" t="s">
        <v>131</v>
      </c>
      <c r="B111" s="120">
        <v>0.15486725663716813</v>
      </c>
      <c r="C111" t="s">
        <v>1713</v>
      </c>
      <c r="D111" s="299">
        <f>MoeHistory!D2475/'Enroll%'!F111</f>
        <v>0.15579357351509251</v>
      </c>
      <c r="E111" t="s">
        <v>131</v>
      </c>
      <c r="F111">
        <v>1027</v>
      </c>
      <c r="H111" s="288"/>
    </row>
    <row r="112" spans="1:8" x14ac:dyDescent="0.35">
      <c r="A112" s="119" t="s">
        <v>132</v>
      </c>
      <c r="B112" s="120">
        <v>0.15912698412698412</v>
      </c>
      <c r="C112" t="s">
        <v>1713</v>
      </c>
      <c r="D112" s="299">
        <f>MoeHistory!D2476/'Enroll%'!F112</f>
        <v>0.16536050156739812</v>
      </c>
      <c r="E112" t="s">
        <v>132</v>
      </c>
      <c r="F112">
        <v>2552</v>
      </c>
      <c r="H112" s="288"/>
    </row>
    <row r="113" spans="1:8" x14ac:dyDescent="0.35">
      <c r="A113" s="119" t="s">
        <v>133</v>
      </c>
      <c r="B113" s="120">
        <v>0.11388888888888889</v>
      </c>
      <c r="C113" t="s">
        <v>1714</v>
      </c>
      <c r="D113" s="299">
        <f>MoeHistory!D2477/'Enroll%'!F113</f>
        <v>0.13123359580052493</v>
      </c>
      <c r="E113" t="s">
        <v>133</v>
      </c>
      <c r="F113">
        <v>381</v>
      </c>
      <c r="H113" s="288"/>
    </row>
    <row r="114" spans="1:8" x14ac:dyDescent="0.35">
      <c r="A114" s="119" t="s">
        <v>134</v>
      </c>
      <c r="B114" s="120">
        <v>0.16363636363636364</v>
      </c>
      <c r="C114" t="s">
        <v>1713</v>
      </c>
      <c r="D114" s="299">
        <f>MoeHistory!D2478/'Enroll%'!F114</f>
        <v>0.14754098360655737</v>
      </c>
      <c r="E114" t="s">
        <v>134</v>
      </c>
      <c r="F114">
        <v>61</v>
      </c>
      <c r="H114" s="288"/>
    </row>
    <row r="115" spans="1:8" x14ac:dyDescent="0.35">
      <c r="A115" s="119" t="s">
        <v>135</v>
      </c>
      <c r="B115" s="120">
        <v>0.15882874889086068</v>
      </c>
      <c r="C115" t="s">
        <v>1713</v>
      </c>
      <c r="D115" s="299">
        <f>MoeHistory!D2479/'Enroll%'!F115</f>
        <v>0.15974025974025974</v>
      </c>
      <c r="E115" t="s">
        <v>135</v>
      </c>
      <c r="F115">
        <v>2310</v>
      </c>
      <c r="H115" s="288"/>
    </row>
    <row r="116" spans="1:8" x14ac:dyDescent="0.35">
      <c r="A116" s="119" t="s">
        <v>136</v>
      </c>
      <c r="B116" s="120">
        <v>0.13057324840764331</v>
      </c>
      <c r="C116" t="s">
        <v>1714</v>
      </c>
      <c r="D116" s="299">
        <f>MoeHistory!D2480/'Enroll%'!F116</f>
        <v>0.14350453172205438</v>
      </c>
      <c r="E116" t="s">
        <v>136</v>
      </c>
      <c r="F116">
        <v>662</v>
      </c>
      <c r="H116" s="288"/>
    </row>
    <row r="117" spans="1:8" x14ac:dyDescent="0.35">
      <c r="A117" s="119" t="s">
        <v>137</v>
      </c>
      <c r="B117" s="120">
        <v>0.15367483296213807</v>
      </c>
      <c r="C117" t="s">
        <v>1713</v>
      </c>
      <c r="D117" s="299">
        <f>MoeHistory!D2481/'Enroll%'!F117</f>
        <v>0.15340909090909091</v>
      </c>
      <c r="E117" t="s">
        <v>137</v>
      </c>
      <c r="F117">
        <v>528</v>
      </c>
      <c r="H117" s="288"/>
    </row>
    <row r="118" spans="1:8" x14ac:dyDescent="0.35">
      <c r="A118" s="119" t="s">
        <v>138</v>
      </c>
      <c r="B118" s="120">
        <v>0.14471780028943559</v>
      </c>
      <c r="C118" t="s">
        <v>1713</v>
      </c>
      <c r="D118" s="299">
        <f>MoeHistory!D2482/'Enroll%'!F118</f>
        <v>0.13881401617250674</v>
      </c>
      <c r="E118" t="s">
        <v>138</v>
      </c>
      <c r="F118">
        <v>742</v>
      </c>
      <c r="H118" s="288"/>
    </row>
    <row r="119" spans="1:8" x14ac:dyDescent="0.35">
      <c r="A119" s="119" t="s">
        <v>139</v>
      </c>
      <c r="B119" s="120">
        <v>0.15351812366737741</v>
      </c>
      <c r="C119" t="s">
        <v>1713</v>
      </c>
      <c r="D119" s="299">
        <f>MoeHistory!D2483/'Enroll%'!F119</f>
        <v>0.12720156555772993</v>
      </c>
      <c r="E119" t="s">
        <v>139</v>
      </c>
      <c r="F119">
        <v>511</v>
      </c>
      <c r="H119" s="288"/>
    </row>
    <row r="120" spans="1:8" x14ac:dyDescent="0.35">
      <c r="A120" s="119" t="s">
        <v>140</v>
      </c>
      <c r="B120" s="120">
        <v>0.15100438697760332</v>
      </c>
      <c r="C120" t="s">
        <v>1713</v>
      </c>
      <c r="D120" s="299">
        <f>MoeHistory!D2484/'Enroll%'!F120</f>
        <v>0.15329683408712211</v>
      </c>
      <c r="E120" t="s">
        <v>140</v>
      </c>
      <c r="F120">
        <v>4201</v>
      </c>
      <c r="H120" s="288"/>
    </row>
    <row r="121" spans="1:8" x14ac:dyDescent="0.35">
      <c r="A121" s="119" t="s">
        <v>141</v>
      </c>
      <c r="B121" s="120">
        <v>0.14491691104594331</v>
      </c>
      <c r="C121" t="s">
        <v>1713</v>
      </c>
      <c r="D121" s="299">
        <f>MoeHistory!D2485/'Enroll%'!F121</f>
        <v>0.15991902834008098</v>
      </c>
      <c r="E121" t="s">
        <v>141</v>
      </c>
      <c r="F121">
        <v>3458</v>
      </c>
      <c r="H121" s="288"/>
    </row>
    <row r="122" spans="1:8" x14ac:dyDescent="0.35">
      <c r="A122" s="119" t="s">
        <v>142</v>
      </c>
      <c r="B122" s="120">
        <v>0.15612755440352041</v>
      </c>
      <c r="C122" t="s">
        <v>1713</v>
      </c>
      <c r="D122" s="299">
        <f>MoeHistory!D2486/'Enroll%'!F122</f>
        <v>0.167005622682139</v>
      </c>
      <c r="E122" t="s">
        <v>142</v>
      </c>
      <c r="F122">
        <v>16718</v>
      </c>
      <c r="H122" s="288"/>
    </row>
    <row r="123" spans="1:8" x14ac:dyDescent="0.35">
      <c r="A123" s="119" t="s">
        <v>143</v>
      </c>
      <c r="B123" s="120">
        <v>0.16666666666666666</v>
      </c>
      <c r="C123" t="s">
        <v>1713</v>
      </c>
      <c r="D123" s="299">
        <f>MoeHistory!D2487/'Enroll%'!F123</f>
        <v>0.2138728323699422</v>
      </c>
      <c r="E123" t="s">
        <v>143</v>
      </c>
      <c r="F123">
        <v>346</v>
      </c>
      <c r="H123" s="288"/>
    </row>
    <row r="124" spans="1:8" x14ac:dyDescent="0.35">
      <c r="A124" s="119" t="s">
        <v>144</v>
      </c>
      <c r="B124" s="120">
        <v>0.26337448559670784</v>
      </c>
      <c r="C124" t="s">
        <v>1713</v>
      </c>
      <c r="D124" s="299">
        <f>MoeHistory!D2488/'Enroll%'!F124</f>
        <v>0.21739130434782608</v>
      </c>
      <c r="E124" t="s">
        <v>144</v>
      </c>
      <c r="F124">
        <v>230</v>
      </c>
      <c r="H124" s="288"/>
    </row>
    <row r="125" spans="1:8" x14ac:dyDescent="0.35">
      <c r="A125" s="119" t="s">
        <v>145</v>
      </c>
      <c r="B125" s="120">
        <v>0.18208955223880596</v>
      </c>
      <c r="C125" t="s">
        <v>1713</v>
      </c>
      <c r="D125" s="299">
        <f>MoeHistory!D2489/'Enroll%'!F125</f>
        <v>0.16427718040621267</v>
      </c>
      <c r="E125" t="s">
        <v>145</v>
      </c>
      <c r="F125">
        <v>1674</v>
      </c>
      <c r="H125" s="288"/>
    </row>
    <row r="126" spans="1:8" x14ac:dyDescent="0.35">
      <c r="A126" s="119" t="s">
        <v>146</v>
      </c>
      <c r="B126" s="120">
        <v>0.13793103448275862</v>
      </c>
      <c r="C126" t="s">
        <v>1713</v>
      </c>
      <c r="D126" s="299">
        <f>MoeHistory!D2490/'Enroll%'!F126</f>
        <v>0.13186813186813187</v>
      </c>
      <c r="E126" t="s">
        <v>146</v>
      </c>
      <c r="F126">
        <v>273</v>
      </c>
      <c r="H126" s="288"/>
    </row>
    <row r="127" spans="1:8" x14ac:dyDescent="0.35">
      <c r="A127" s="119" t="s">
        <v>147</v>
      </c>
      <c r="B127" s="120">
        <v>0.16578313253012048</v>
      </c>
      <c r="C127" t="s">
        <v>1713</v>
      </c>
      <c r="D127" s="299">
        <f>MoeHistory!D2491/'Enroll%'!F127</f>
        <v>0.1527046433700335</v>
      </c>
      <c r="E127" t="s">
        <v>147</v>
      </c>
      <c r="F127">
        <v>2089</v>
      </c>
      <c r="H127" s="288"/>
    </row>
    <row r="128" spans="1:8" x14ac:dyDescent="0.35">
      <c r="A128" s="119" t="s">
        <v>148</v>
      </c>
      <c r="B128" s="120">
        <v>0.15387387387387388</v>
      </c>
      <c r="C128" t="s">
        <v>1713</v>
      </c>
      <c r="D128" s="299">
        <f>MoeHistory!D2492/'Enroll%'!F128</f>
        <v>0.15295358649789029</v>
      </c>
      <c r="E128" t="s">
        <v>148</v>
      </c>
      <c r="F128">
        <v>2844</v>
      </c>
      <c r="H128" s="288"/>
    </row>
    <row r="129" spans="1:8" x14ac:dyDescent="0.35">
      <c r="A129" s="119" t="s">
        <v>149</v>
      </c>
      <c r="B129" s="120">
        <v>0.12478920741989882</v>
      </c>
      <c r="C129" t="s">
        <v>1714</v>
      </c>
      <c r="D129" s="299">
        <f>MoeHistory!D2493/'Enroll%'!F129</f>
        <v>0.11355034065102196</v>
      </c>
      <c r="E129" t="s">
        <v>149</v>
      </c>
      <c r="F129">
        <v>1321</v>
      </c>
      <c r="H129" s="288"/>
    </row>
    <row r="130" spans="1:8" x14ac:dyDescent="0.35">
      <c r="A130" s="119" t="s">
        <v>150</v>
      </c>
      <c r="B130" s="120">
        <v>0.15798319327731092</v>
      </c>
      <c r="C130" t="s">
        <v>1713</v>
      </c>
      <c r="D130" s="299">
        <f>MoeHistory!D2494/'Enroll%'!F130</f>
        <v>0.18471337579617833</v>
      </c>
      <c r="E130" t="s">
        <v>150</v>
      </c>
      <c r="F130">
        <v>628</v>
      </c>
      <c r="H130" s="288"/>
    </row>
    <row r="131" spans="1:8" x14ac:dyDescent="0.35">
      <c r="A131" s="119" t="s">
        <v>151</v>
      </c>
      <c r="B131" s="120">
        <v>0.1852589641434263</v>
      </c>
      <c r="C131" t="s">
        <v>1713</v>
      </c>
      <c r="D131" s="299">
        <f>MoeHistory!D2495/'Enroll%'!F131</f>
        <v>0.18908382066276802</v>
      </c>
      <c r="E131" t="s">
        <v>151</v>
      </c>
      <c r="F131">
        <v>513</v>
      </c>
      <c r="H131" s="288"/>
    </row>
    <row r="132" spans="1:8" x14ac:dyDescent="0.35">
      <c r="A132" s="119" t="s">
        <v>152</v>
      </c>
      <c r="B132" s="120">
        <v>0.13977072310405644</v>
      </c>
      <c r="C132" t="s">
        <v>1713</v>
      </c>
      <c r="D132" s="299">
        <f>MoeHistory!D2496/'Enroll%'!F132</f>
        <v>0.1595791319596668</v>
      </c>
      <c r="E132" t="s">
        <v>152</v>
      </c>
      <c r="F132">
        <v>2281</v>
      </c>
      <c r="H132" s="288"/>
    </row>
    <row r="133" spans="1:8" x14ac:dyDescent="0.35">
      <c r="A133" s="119" t="s">
        <v>153</v>
      </c>
      <c r="B133" s="120">
        <v>0.15334443519289481</v>
      </c>
      <c r="C133" t="s">
        <v>1713</v>
      </c>
      <c r="D133" s="299">
        <f>MoeHistory!D2497/'Enroll%'!F133</f>
        <v>0.14991060376839499</v>
      </c>
      <c r="E133" t="s">
        <v>153</v>
      </c>
      <c r="F133">
        <v>7271</v>
      </c>
      <c r="H133" s="288"/>
    </row>
    <row r="134" spans="1:8" x14ac:dyDescent="0.35">
      <c r="A134" s="119" t="s">
        <v>154</v>
      </c>
      <c r="B134" s="120">
        <v>0.13303821062441751</v>
      </c>
      <c r="C134" t="s">
        <v>1714</v>
      </c>
      <c r="D134" s="299">
        <f>MoeHistory!D2498/'Enroll%'!F134</f>
        <v>0.1357142857142857</v>
      </c>
      <c r="E134" t="s">
        <v>154</v>
      </c>
      <c r="F134">
        <v>4340</v>
      </c>
      <c r="H134" s="288"/>
    </row>
    <row r="135" spans="1:8" x14ac:dyDescent="0.35">
      <c r="A135" s="119" t="s">
        <v>155</v>
      </c>
      <c r="B135" s="120">
        <v>0.16666666666666666</v>
      </c>
      <c r="C135" t="s">
        <v>1713</v>
      </c>
      <c r="D135" s="299">
        <f>MoeHistory!D2499/'Enroll%'!F135</f>
        <v>0.12621359223300971</v>
      </c>
      <c r="E135" t="s">
        <v>155</v>
      </c>
      <c r="F135">
        <v>206</v>
      </c>
      <c r="H135" s="288"/>
    </row>
    <row r="136" spans="1:8" x14ac:dyDescent="0.35">
      <c r="A136" s="119" t="s">
        <v>156</v>
      </c>
      <c r="B136" s="120">
        <v>0.15656565656565657</v>
      </c>
      <c r="C136" t="s">
        <v>1713</v>
      </c>
      <c r="D136" s="299">
        <f>MoeHistory!D2500/'Enroll%'!F136</f>
        <v>0.14652406417112299</v>
      </c>
      <c r="E136" t="s">
        <v>156</v>
      </c>
      <c r="F136">
        <v>2805</v>
      </c>
      <c r="H136" s="288"/>
    </row>
    <row r="137" spans="1:8" x14ac:dyDescent="0.35">
      <c r="A137" s="119" t="s">
        <v>157</v>
      </c>
      <c r="B137" s="120">
        <v>0.15967523680649526</v>
      </c>
      <c r="C137" t="s">
        <v>1713</v>
      </c>
      <c r="D137" s="299">
        <f>MoeHistory!D2501/'Enroll%'!F137</f>
        <v>0.15135135135135136</v>
      </c>
      <c r="E137" t="s">
        <v>157</v>
      </c>
      <c r="F137">
        <v>2960</v>
      </c>
      <c r="H137" s="288"/>
    </row>
    <row r="138" spans="1:8" x14ac:dyDescent="0.35">
      <c r="A138" s="119" t="s">
        <v>158</v>
      </c>
      <c r="B138" s="120">
        <v>8.3056478405315617E-2</v>
      </c>
      <c r="C138" t="s">
        <v>1714</v>
      </c>
      <c r="D138" s="299">
        <f>MoeHistory!D2502/'Enroll%'!F138</f>
        <v>9.4339622641509441E-2</v>
      </c>
      <c r="E138" t="s">
        <v>158</v>
      </c>
      <c r="F138">
        <v>318</v>
      </c>
      <c r="H138" s="288"/>
    </row>
    <row r="139" spans="1:8" x14ac:dyDescent="0.35">
      <c r="A139" s="119" t="s">
        <v>160</v>
      </c>
      <c r="B139" s="120">
        <v>0.10102960102960103</v>
      </c>
      <c r="C139" t="s">
        <v>1714</v>
      </c>
      <c r="D139" s="299">
        <f>MoeHistory!D2503/'Enroll%'!F139</f>
        <v>0.11860174781523096</v>
      </c>
      <c r="E139" t="s">
        <v>160</v>
      </c>
      <c r="F139">
        <v>1602</v>
      </c>
      <c r="H139" s="288"/>
    </row>
    <row r="140" spans="1:8" x14ac:dyDescent="0.35">
      <c r="A140" s="119" t="s">
        <v>161</v>
      </c>
      <c r="B140" s="120">
        <v>0.1669642857142857</v>
      </c>
      <c r="C140" t="s">
        <v>1713</v>
      </c>
      <c r="D140" s="299">
        <f>MoeHistory!D2504/'Enroll%'!F140</f>
        <v>0.16070640176600443</v>
      </c>
      <c r="E140" t="s">
        <v>161</v>
      </c>
      <c r="F140">
        <v>2265</v>
      </c>
      <c r="H140" s="288"/>
    </row>
    <row r="141" spans="1:8" x14ac:dyDescent="0.35">
      <c r="A141" s="119" t="s">
        <v>162</v>
      </c>
      <c r="B141" s="120">
        <v>0.14840989399293286</v>
      </c>
      <c r="C141" t="s">
        <v>1713</v>
      </c>
      <c r="D141" s="299">
        <f>MoeHistory!D2505/'Enroll%'!F141</f>
        <v>0.15488215488215487</v>
      </c>
      <c r="E141" t="s">
        <v>162</v>
      </c>
      <c r="F141">
        <v>297</v>
      </c>
      <c r="H141" s="288"/>
    </row>
    <row r="142" spans="1:8" x14ac:dyDescent="0.35">
      <c r="A142" s="119" t="s">
        <v>163</v>
      </c>
      <c r="B142" s="120">
        <v>0</v>
      </c>
      <c r="C142" t="s">
        <v>1715</v>
      </c>
      <c r="D142" s="299">
        <f>MoeHistory!D2506/'Enroll%'!F142</f>
        <v>0</v>
      </c>
      <c r="E142" t="s">
        <v>163</v>
      </c>
      <c r="F142">
        <v>3</v>
      </c>
      <c r="H142" s="288"/>
    </row>
    <row r="143" spans="1:8" x14ac:dyDescent="0.35">
      <c r="A143" s="119" t="s">
        <v>164</v>
      </c>
      <c r="B143" s="120">
        <v>0.17857142857142858</v>
      </c>
      <c r="C143" t="s">
        <v>1713</v>
      </c>
      <c r="D143" s="299">
        <f>MoeHistory!D2507/'Enroll%'!F143</f>
        <v>0.18781725888324874</v>
      </c>
      <c r="E143" t="s">
        <v>164</v>
      </c>
      <c r="F143">
        <v>197</v>
      </c>
      <c r="H143" s="288"/>
    </row>
    <row r="144" spans="1:8" x14ac:dyDescent="0.35">
      <c r="A144" s="119" t="s">
        <v>165</v>
      </c>
      <c r="B144" s="120">
        <v>0.25</v>
      </c>
      <c r="C144" t="s">
        <v>1713</v>
      </c>
      <c r="D144" s="299">
        <f>MoeHistory!D2508/'Enroll%'!F144</f>
        <v>0.1</v>
      </c>
      <c r="E144" t="s">
        <v>165</v>
      </c>
      <c r="F144">
        <v>20</v>
      </c>
      <c r="H144" s="288"/>
    </row>
    <row r="145" spans="1:8" x14ac:dyDescent="0.35">
      <c r="A145" s="119" t="s">
        <v>166</v>
      </c>
      <c r="B145" s="120">
        <v>0.1496232508073197</v>
      </c>
      <c r="C145" t="s">
        <v>1713</v>
      </c>
      <c r="D145" s="299">
        <f>MoeHistory!D2509/'Enroll%'!F145</f>
        <v>0.14799999999999999</v>
      </c>
      <c r="E145" t="s">
        <v>166</v>
      </c>
      <c r="F145">
        <v>1000</v>
      </c>
      <c r="H145" s="288"/>
    </row>
    <row r="146" spans="1:8" x14ac:dyDescent="0.35">
      <c r="A146" s="119" t="s">
        <v>167</v>
      </c>
      <c r="B146" s="120">
        <v>0.44444444444444442</v>
      </c>
      <c r="C146" t="s">
        <v>1713</v>
      </c>
      <c r="D146" s="299">
        <f>MoeHistory!D2510/'Enroll%'!F146</f>
        <v>0.14285714285714285</v>
      </c>
      <c r="E146" t="s">
        <v>167</v>
      </c>
      <c r="F146">
        <v>7</v>
      </c>
      <c r="H146" s="288"/>
    </row>
    <row r="147" spans="1:8" x14ac:dyDescent="0.35">
      <c r="A147" s="119" t="s">
        <v>168</v>
      </c>
      <c r="B147" s="120">
        <v>0.1036036036036036</v>
      </c>
      <c r="C147" t="s">
        <v>1714</v>
      </c>
      <c r="D147" s="299">
        <f>MoeHistory!D2511/'Enroll%'!F147</f>
        <v>0.14666666666666667</v>
      </c>
      <c r="E147" t="s">
        <v>168</v>
      </c>
      <c r="F147">
        <v>225</v>
      </c>
      <c r="H147" s="288"/>
    </row>
    <row r="148" spans="1:8" x14ac:dyDescent="0.35">
      <c r="A148" s="119" t="s">
        <v>169</v>
      </c>
      <c r="B148" s="120">
        <v>0.15326995102276</v>
      </c>
      <c r="C148" t="s">
        <v>1713</v>
      </c>
      <c r="D148" s="299">
        <f>MoeHistory!D2512/'Enroll%'!F148</f>
        <v>0.16078422595734204</v>
      </c>
      <c r="E148" t="s">
        <v>169</v>
      </c>
      <c r="F148">
        <v>44681</v>
      </c>
      <c r="H148" s="288"/>
    </row>
    <row r="149" spans="1:8" x14ac:dyDescent="0.35">
      <c r="A149" s="119" t="s">
        <v>170</v>
      </c>
      <c r="B149" s="120">
        <v>0.16260162601626016</v>
      </c>
      <c r="C149" t="s">
        <v>1713</v>
      </c>
      <c r="D149" s="299">
        <f>MoeHistory!D2513/'Enroll%'!F149</f>
        <v>0.14960629921259844</v>
      </c>
      <c r="E149" t="s">
        <v>170</v>
      </c>
      <c r="F149">
        <v>127</v>
      </c>
      <c r="H149" s="288"/>
    </row>
    <row r="150" spans="1:8" x14ac:dyDescent="0.35">
      <c r="A150" s="119" t="s">
        <v>171</v>
      </c>
      <c r="B150" s="120">
        <v>0.12428734321550741</v>
      </c>
      <c r="C150" t="s">
        <v>1714</v>
      </c>
      <c r="D150" s="299">
        <f>MoeHistory!D2514/'Enroll%'!F150</f>
        <v>0.13406795224977044</v>
      </c>
      <c r="E150" t="s">
        <v>171</v>
      </c>
      <c r="F150">
        <v>1089</v>
      </c>
      <c r="H150" s="288"/>
    </row>
    <row r="151" spans="1:8" x14ac:dyDescent="0.35">
      <c r="A151" s="119" t="s">
        <v>172</v>
      </c>
      <c r="B151" s="120">
        <v>0.12727272727272726</v>
      </c>
      <c r="C151" t="s">
        <v>1714</v>
      </c>
      <c r="D151" s="299">
        <f>MoeHistory!D2515/'Enroll%'!F151</f>
        <v>0.1415929203539823</v>
      </c>
      <c r="E151" t="s">
        <v>172</v>
      </c>
      <c r="F151">
        <v>226</v>
      </c>
      <c r="H151" s="288"/>
    </row>
    <row r="152" spans="1:8" x14ac:dyDescent="0.35">
      <c r="A152" s="119" t="s">
        <v>173</v>
      </c>
      <c r="B152" s="120">
        <v>0.18235294117647058</v>
      </c>
      <c r="C152" t="s">
        <v>1713</v>
      </c>
      <c r="D152" s="299">
        <f>MoeHistory!D2516/'Enroll%'!F152</f>
        <v>0.18461538461538463</v>
      </c>
      <c r="E152" t="s">
        <v>173</v>
      </c>
      <c r="F152">
        <v>845</v>
      </c>
      <c r="H152" s="288"/>
    </row>
    <row r="153" spans="1:8" x14ac:dyDescent="0.35">
      <c r="A153" s="119" t="s">
        <v>174</v>
      </c>
      <c r="B153" s="120">
        <v>0.12468157373337108</v>
      </c>
      <c r="C153" t="s">
        <v>1714</v>
      </c>
      <c r="D153" s="299">
        <f>MoeHistory!D2517/'Enroll%'!F153</f>
        <v>0.1228813559322034</v>
      </c>
      <c r="E153" t="s">
        <v>174</v>
      </c>
      <c r="F153">
        <v>7080</v>
      </c>
      <c r="H153" s="288"/>
    </row>
    <row r="154" spans="1:8" x14ac:dyDescent="0.35">
      <c r="A154" s="119" t="s">
        <v>175</v>
      </c>
      <c r="B154" s="120">
        <v>0.17706576728499157</v>
      </c>
      <c r="C154" t="s">
        <v>1713</v>
      </c>
      <c r="D154" s="299">
        <f>MoeHistory!D2518/'Enroll%'!F154</f>
        <v>0.19636963696369636</v>
      </c>
      <c r="E154" t="s">
        <v>175</v>
      </c>
      <c r="F154">
        <v>606</v>
      </c>
      <c r="H154" s="288"/>
    </row>
    <row r="155" spans="1:8" x14ac:dyDescent="0.35">
      <c r="A155" s="119" t="s">
        <v>176</v>
      </c>
      <c r="B155" s="120">
        <v>0.15744466800804829</v>
      </c>
      <c r="C155" t="s">
        <v>1713</v>
      </c>
      <c r="D155" s="299">
        <f>MoeHistory!D2519/'Enroll%'!F155</f>
        <v>0.16029366778831447</v>
      </c>
      <c r="E155" t="s">
        <v>176</v>
      </c>
      <c r="F155">
        <v>9807</v>
      </c>
      <c r="H155" s="288"/>
    </row>
    <row r="156" spans="1:8" x14ac:dyDescent="0.35">
      <c r="A156" s="119" t="s">
        <v>177</v>
      </c>
      <c r="B156" s="120">
        <v>0.1875</v>
      </c>
      <c r="C156" t="s">
        <v>1713</v>
      </c>
      <c r="D156" s="299">
        <f>MoeHistory!D2520/'Enroll%'!F156</f>
        <v>0.21802325581395349</v>
      </c>
      <c r="E156" t="s">
        <v>177</v>
      </c>
      <c r="F156">
        <v>344</v>
      </c>
      <c r="H156" s="288"/>
    </row>
    <row r="157" spans="1:8" x14ac:dyDescent="0.35">
      <c r="A157" s="119" t="s">
        <v>178</v>
      </c>
      <c r="B157" s="120">
        <v>0.10657193605683836</v>
      </c>
      <c r="C157" t="s">
        <v>1714</v>
      </c>
      <c r="D157" s="299">
        <f>MoeHistory!D2521/'Enroll%'!F157</f>
        <v>9.563758389261745E-2</v>
      </c>
      <c r="E157" t="s">
        <v>178</v>
      </c>
      <c r="F157">
        <v>596</v>
      </c>
      <c r="H157" s="288"/>
    </row>
    <row r="158" spans="1:8" x14ac:dyDescent="0.35">
      <c r="A158" s="119" t="s">
        <v>179</v>
      </c>
      <c r="B158" s="120">
        <v>0.14162679425837321</v>
      </c>
      <c r="C158" t="s">
        <v>1713</v>
      </c>
      <c r="D158" s="299">
        <f>MoeHistory!D2522/'Enroll%'!F158</f>
        <v>0.14471243042671614</v>
      </c>
      <c r="E158" t="s">
        <v>179</v>
      </c>
      <c r="F158">
        <v>1078</v>
      </c>
      <c r="H158" s="288"/>
    </row>
    <row r="159" spans="1:8" x14ac:dyDescent="0.35">
      <c r="A159" s="119" t="s">
        <v>180</v>
      </c>
      <c r="B159" s="120">
        <v>0.16787378444084278</v>
      </c>
      <c r="C159" t="s">
        <v>1713</v>
      </c>
      <c r="D159" s="299">
        <f>MoeHistory!D2523/'Enroll%'!F159</f>
        <v>0.16609101991060546</v>
      </c>
      <c r="E159" t="s">
        <v>180</v>
      </c>
      <c r="F159">
        <v>39376</v>
      </c>
      <c r="H159" s="288"/>
    </row>
    <row r="160" spans="1:8" x14ac:dyDescent="0.35">
      <c r="A160" s="119" t="s">
        <v>181</v>
      </c>
      <c r="B160" s="120">
        <v>0.17039106145251395</v>
      </c>
      <c r="C160" t="s">
        <v>1713</v>
      </c>
      <c r="D160" s="299">
        <f>MoeHistory!D2524/'Enroll%'!F160</f>
        <v>0.19182269774551011</v>
      </c>
      <c r="E160" t="s">
        <v>181</v>
      </c>
      <c r="F160">
        <v>2617</v>
      </c>
      <c r="H160" s="288"/>
    </row>
    <row r="161" spans="1:8" x14ac:dyDescent="0.35">
      <c r="A161" s="119" t="s">
        <v>182</v>
      </c>
      <c r="B161" s="120">
        <v>0.16259788116075541</v>
      </c>
      <c r="C161" t="s">
        <v>1713</v>
      </c>
      <c r="D161" s="299">
        <f>MoeHistory!D2525/'Enroll%'!F161</f>
        <v>0.1636609558160505</v>
      </c>
      <c r="E161" t="s">
        <v>182</v>
      </c>
      <c r="F161">
        <v>2218</v>
      </c>
      <c r="H161" s="288"/>
    </row>
    <row r="162" spans="1:8" x14ac:dyDescent="0.35">
      <c r="A162" s="119" t="s">
        <v>183</v>
      </c>
      <c r="B162" s="120">
        <v>0.14527205493924986</v>
      </c>
      <c r="C162" t="s">
        <v>1713</v>
      </c>
      <c r="D162" s="299">
        <f>MoeHistory!D2526/'Enroll%'!F162</f>
        <v>0.1481042654028436</v>
      </c>
      <c r="E162" t="s">
        <v>183</v>
      </c>
      <c r="F162">
        <v>1688</v>
      </c>
      <c r="H162" s="288"/>
    </row>
    <row r="163" spans="1:8" x14ac:dyDescent="0.35">
      <c r="A163" s="119" t="s">
        <v>184</v>
      </c>
      <c r="B163" s="120">
        <v>0.14314381270903009</v>
      </c>
      <c r="C163" t="s">
        <v>1713</v>
      </c>
      <c r="D163" s="299">
        <f>MoeHistory!D2527/'Enroll%'!F163</f>
        <v>0.13458950201884254</v>
      </c>
      <c r="E163" t="s">
        <v>184</v>
      </c>
      <c r="F163">
        <v>1486</v>
      </c>
      <c r="H163" s="288"/>
    </row>
    <row r="164" spans="1:8" x14ac:dyDescent="0.35">
      <c r="A164" s="119" t="s">
        <v>185</v>
      </c>
      <c r="B164" s="120">
        <v>0.15306122448979592</v>
      </c>
      <c r="C164" t="s">
        <v>1713</v>
      </c>
      <c r="D164" s="299">
        <f>MoeHistory!D2528/'Enroll%'!F164</f>
        <v>0.14759358288770053</v>
      </c>
      <c r="E164" t="s">
        <v>185</v>
      </c>
      <c r="F164">
        <v>935</v>
      </c>
      <c r="H164" s="288"/>
    </row>
    <row r="165" spans="1:8" x14ac:dyDescent="0.35">
      <c r="A165" s="119" t="s">
        <v>186</v>
      </c>
      <c r="B165" s="120">
        <v>0.16532258064516128</v>
      </c>
      <c r="C165" t="s">
        <v>1713</v>
      </c>
      <c r="D165" s="299">
        <f>MoeHistory!D2529/'Enroll%'!F165</f>
        <v>0.14335664335664336</v>
      </c>
      <c r="E165" t="s">
        <v>186</v>
      </c>
      <c r="F165">
        <v>286</v>
      </c>
      <c r="H165" s="288"/>
    </row>
    <row r="166" spans="1:8" x14ac:dyDescent="0.35">
      <c r="A166" s="119" t="s">
        <v>187</v>
      </c>
      <c r="B166" s="120">
        <v>0.10839445802770986</v>
      </c>
      <c r="C166" t="s">
        <v>1714</v>
      </c>
      <c r="D166" s="299">
        <f>MoeHistory!D2530/'Enroll%'!F166</f>
        <v>0.11271911944557685</v>
      </c>
      <c r="E166" t="s">
        <v>187</v>
      </c>
      <c r="F166">
        <v>4906</v>
      </c>
      <c r="H166" s="288"/>
    </row>
    <row r="167" spans="1:8" x14ac:dyDescent="0.35">
      <c r="A167" s="119" t="s">
        <v>188</v>
      </c>
      <c r="B167" s="120">
        <v>0.12914188615123195</v>
      </c>
      <c r="C167" t="s">
        <v>1714</v>
      </c>
      <c r="D167" s="299">
        <f>MoeHistory!D2531/'Enroll%'!F167</f>
        <v>0.13079019073569481</v>
      </c>
      <c r="E167" t="s">
        <v>188</v>
      </c>
      <c r="F167">
        <v>3670</v>
      </c>
      <c r="H167" s="288"/>
    </row>
    <row r="168" spans="1:8" x14ac:dyDescent="0.35">
      <c r="A168" s="119" t="s">
        <v>189</v>
      </c>
      <c r="B168" s="120">
        <v>0.11640696608615948</v>
      </c>
      <c r="C168" t="s">
        <v>1714</v>
      </c>
      <c r="D168" s="299">
        <f>MoeHistory!D2532/'Enroll%'!F168</f>
        <v>0.12771503040834056</v>
      </c>
      <c r="E168" t="s">
        <v>189</v>
      </c>
      <c r="F168">
        <v>1151</v>
      </c>
      <c r="H168" s="288"/>
    </row>
    <row r="169" spans="1:8" x14ac:dyDescent="0.35">
      <c r="A169" s="119" t="s">
        <v>190</v>
      </c>
      <c r="B169" s="120">
        <v>0.14464882943143811</v>
      </c>
      <c r="C169" t="s">
        <v>1713</v>
      </c>
      <c r="D169" s="299">
        <f>MoeHistory!D2533/'Enroll%'!F169</f>
        <v>0.15692554043234588</v>
      </c>
      <c r="E169" t="s">
        <v>190</v>
      </c>
      <c r="F169">
        <v>1249</v>
      </c>
      <c r="H169" s="288"/>
    </row>
    <row r="170" spans="1:8" x14ac:dyDescent="0.35">
      <c r="A170" s="119" t="s">
        <v>191</v>
      </c>
      <c r="B170" s="120">
        <v>0.2</v>
      </c>
      <c r="C170" t="s">
        <v>1713</v>
      </c>
      <c r="D170" s="299">
        <f>MoeHistory!D2534/'Enroll%'!F170</f>
        <v>0.125</v>
      </c>
      <c r="E170" t="s">
        <v>191</v>
      </c>
      <c r="F170">
        <v>8</v>
      </c>
      <c r="H170" s="288"/>
    </row>
    <row r="171" spans="1:8" x14ac:dyDescent="0.35">
      <c r="A171" s="119" t="s">
        <v>192</v>
      </c>
      <c r="B171" s="120">
        <v>0.17554522702895961</v>
      </c>
      <c r="C171" t="s">
        <v>1713</v>
      </c>
      <c r="D171" s="299">
        <f>MoeHistory!D2535/'Enroll%'!F171</f>
        <v>0.1837251356238698</v>
      </c>
      <c r="E171" t="s">
        <v>192</v>
      </c>
      <c r="F171">
        <v>2765</v>
      </c>
      <c r="H171" s="288"/>
    </row>
    <row r="172" spans="1:8" x14ac:dyDescent="0.35">
      <c r="A172" s="119" t="s">
        <v>193</v>
      </c>
      <c r="B172" s="120">
        <v>0.16806722689075632</v>
      </c>
      <c r="C172" t="s">
        <v>1713</v>
      </c>
      <c r="D172" s="299">
        <f>MoeHistory!D2536/'Enroll%'!F172</f>
        <v>0.15274949083503056</v>
      </c>
      <c r="E172" t="s">
        <v>193</v>
      </c>
      <c r="F172">
        <v>1473</v>
      </c>
      <c r="H172" s="288"/>
    </row>
    <row r="173" spans="1:8" x14ac:dyDescent="0.35">
      <c r="A173" s="119" t="s">
        <v>194</v>
      </c>
      <c r="B173" s="120">
        <v>0.14666666666666667</v>
      </c>
      <c r="C173" t="s">
        <v>1713</v>
      </c>
      <c r="D173" s="299">
        <f>MoeHistory!D2537/'Enroll%'!F173</f>
        <v>0.20089285714285715</v>
      </c>
      <c r="E173" t="s">
        <v>194</v>
      </c>
      <c r="F173">
        <v>224</v>
      </c>
      <c r="H173" s="288"/>
    </row>
    <row r="174" spans="1:8" x14ac:dyDescent="0.35">
      <c r="A174" s="119" t="s">
        <v>195</v>
      </c>
      <c r="B174" s="120">
        <v>4.4776119402985072E-2</v>
      </c>
      <c r="C174" t="s">
        <v>1715</v>
      </c>
      <c r="D174" s="299">
        <f>MoeHistory!D2538/'Enroll%'!F174</f>
        <v>9.2307692307692313E-2</v>
      </c>
      <c r="E174" t="s">
        <v>195</v>
      </c>
      <c r="F174">
        <v>65</v>
      </c>
      <c r="H174" s="288"/>
    </row>
    <row r="175" spans="1:8" x14ac:dyDescent="0.35">
      <c r="A175" s="119" t="s">
        <v>196</v>
      </c>
      <c r="B175" s="120">
        <v>0.1668870131190888</v>
      </c>
      <c r="C175" t="s">
        <v>1713</v>
      </c>
      <c r="D175" s="299">
        <f>MoeHistory!D2539/'Enroll%'!F175</f>
        <v>0.16281240277921807</v>
      </c>
      <c r="E175" t="s">
        <v>196</v>
      </c>
      <c r="F175">
        <v>9643</v>
      </c>
      <c r="H175" s="288"/>
    </row>
    <row r="176" spans="1:8" x14ac:dyDescent="0.35">
      <c r="A176" s="119" t="s">
        <v>197</v>
      </c>
      <c r="B176" s="120">
        <v>0.16184351554126475</v>
      </c>
      <c r="C176" t="s">
        <v>1713</v>
      </c>
      <c r="D176" s="299">
        <f>MoeHistory!D2540/'Enroll%'!F176</f>
        <v>0.17403608065086665</v>
      </c>
      <c r="E176" t="s">
        <v>197</v>
      </c>
      <c r="F176">
        <v>2827</v>
      </c>
      <c r="H176" s="288"/>
    </row>
    <row r="177" spans="1:8" x14ac:dyDescent="0.35">
      <c r="A177" s="119" t="s">
        <v>198</v>
      </c>
      <c r="B177" s="120">
        <v>6.7340067340067339E-2</v>
      </c>
      <c r="C177" t="s">
        <v>1715</v>
      </c>
      <c r="D177" s="299">
        <f>MoeHistory!D2541/'Enroll%'!F177</f>
        <v>7.6655052264808357E-2</v>
      </c>
      <c r="E177" t="s">
        <v>198</v>
      </c>
      <c r="F177">
        <v>287</v>
      </c>
      <c r="H177" s="288"/>
    </row>
    <row r="178" spans="1:8" x14ac:dyDescent="0.35">
      <c r="A178" s="119" t="s">
        <v>199</v>
      </c>
      <c r="B178" s="120">
        <v>0.14591439688715954</v>
      </c>
      <c r="C178" t="s">
        <v>1713</v>
      </c>
      <c r="D178" s="299">
        <f>MoeHistory!D2542/'Enroll%'!F178</f>
        <v>0.1375968992248062</v>
      </c>
      <c r="E178" t="s">
        <v>199</v>
      </c>
      <c r="F178">
        <v>516</v>
      </c>
      <c r="H178" s="288"/>
    </row>
    <row r="179" spans="1:8" x14ac:dyDescent="0.35">
      <c r="A179" s="119" t="s">
        <v>200</v>
      </c>
      <c r="B179" s="120">
        <v>0</v>
      </c>
      <c r="C179" t="s">
        <v>1715</v>
      </c>
      <c r="D179" s="299">
        <f>MoeHistory!D2543/'Enroll%'!F179</f>
        <v>0</v>
      </c>
      <c r="E179" t="s">
        <v>200</v>
      </c>
      <c r="F179">
        <v>2</v>
      </c>
      <c r="H179" s="288"/>
    </row>
    <row r="180" spans="1:8" x14ac:dyDescent="0.35">
      <c r="A180" s="119" t="s">
        <v>201</v>
      </c>
      <c r="B180" s="120">
        <v>0.16024187452758881</v>
      </c>
      <c r="C180" t="s">
        <v>1713</v>
      </c>
      <c r="D180" s="299">
        <f>MoeHistory!D2544/'Enroll%'!F180</f>
        <v>0.16666666666666666</v>
      </c>
      <c r="E180" t="s">
        <v>201</v>
      </c>
      <c r="F180">
        <v>1362</v>
      </c>
      <c r="H180" s="288"/>
    </row>
    <row r="181" spans="1:8" x14ac:dyDescent="0.35">
      <c r="A181" s="119" t="s">
        <v>202</v>
      </c>
      <c r="B181" s="120">
        <v>0.18129175946547885</v>
      </c>
      <c r="C181" t="s">
        <v>1713</v>
      </c>
      <c r="D181" s="299">
        <f>MoeHistory!D2545/'Enroll%'!F181</f>
        <v>0.18247863247863247</v>
      </c>
      <c r="E181" t="s">
        <v>202</v>
      </c>
      <c r="F181">
        <v>2340</v>
      </c>
      <c r="H181" s="288"/>
    </row>
    <row r="182" spans="1:8" x14ac:dyDescent="0.35">
      <c r="A182" s="119" t="s">
        <v>203</v>
      </c>
      <c r="B182" s="120">
        <v>0.13675022381378693</v>
      </c>
      <c r="C182" t="s">
        <v>1713</v>
      </c>
      <c r="D182" s="299">
        <f>MoeHistory!D2546/'Enroll%'!F182</f>
        <v>0.13554083885209714</v>
      </c>
      <c r="E182" t="s">
        <v>203</v>
      </c>
      <c r="F182">
        <v>4530</v>
      </c>
      <c r="H182" s="288"/>
    </row>
    <row r="183" spans="1:8" x14ac:dyDescent="0.35">
      <c r="A183" s="119" t="s">
        <v>204</v>
      </c>
      <c r="B183" s="120">
        <v>0.11583241267952749</v>
      </c>
      <c r="C183" t="s">
        <v>1714</v>
      </c>
      <c r="D183" s="299">
        <f>MoeHistory!D2547/'Enroll%'!F183</f>
        <v>0.11498287671232876</v>
      </c>
      <c r="E183" t="s">
        <v>204</v>
      </c>
      <c r="F183">
        <v>11680</v>
      </c>
      <c r="H183" s="288"/>
    </row>
    <row r="184" spans="1:8" x14ac:dyDescent="0.35">
      <c r="A184" s="119" t="s">
        <v>205</v>
      </c>
      <c r="B184" s="120">
        <v>0.16650898770104069</v>
      </c>
      <c r="C184" t="s">
        <v>1713</v>
      </c>
      <c r="D184" s="299">
        <f>MoeHistory!D2548/'Enroll%'!F184</f>
        <v>0.15406698564593302</v>
      </c>
      <c r="E184" t="s">
        <v>205</v>
      </c>
      <c r="F184">
        <v>2090</v>
      </c>
      <c r="H184" s="288"/>
    </row>
    <row r="185" spans="1:8" x14ac:dyDescent="0.35">
      <c r="A185" s="119" t="s">
        <v>206</v>
      </c>
      <c r="B185" s="120">
        <v>0</v>
      </c>
      <c r="C185" t="s">
        <v>1715</v>
      </c>
      <c r="D185" s="299">
        <f>MoeHistory!D2549/'Enroll%'!F185</f>
        <v>0.25</v>
      </c>
      <c r="E185" t="s">
        <v>206</v>
      </c>
      <c r="F185">
        <v>4</v>
      </c>
      <c r="H185" s="288"/>
    </row>
    <row r="186" spans="1:8" x14ac:dyDescent="0.35">
      <c r="A186" s="119" t="s">
        <v>207</v>
      </c>
      <c r="B186" s="120">
        <v>0.13043478260869565</v>
      </c>
      <c r="C186" t="s">
        <v>1714</v>
      </c>
      <c r="D186" s="299">
        <f>MoeHistory!D2550/'Enroll%'!F186</f>
        <v>0.14285714285714285</v>
      </c>
      <c r="E186" t="s">
        <v>207</v>
      </c>
      <c r="F186">
        <v>21</v>
      </c>
      <c r="H186" s="288"/>
    </row>
    <row r="187" spans="1:8" x14ac:dyDescent="0.35">
      <c r="A187" s="119" t="s">
        <v>208</v>
      </c>
      <c r="B187" s="120">
        <v>0.11358574610244988</v>
      </c>
      <c r="C187" t="s">
        <v>1714</v>
      </c>
      <c r="D187" s="299">
        <f>MoeHistory!D2551/'Enroll%'!F187</f>
        <v>0.10162314749470713</v>
      </c>
      <c r="E187" t="s">
        <v>208</v>
      </c>
      <c r="F187">
        <v>1417</v>
      </c>
      <c r="H187" s="288"/>
    </row>
    <row r="188" spans="1:8" x14ac:dyDescent="0.35">
      <c r="A188" s="119" t="s">
        <v>209</v>
      </c>
      <c r="B188" s="120">
        <v>0.15254237288135594</v>
      </c>
      <c r="C188" t="s">
        <v>1713</v>
      </c>
      <c r="D188" s="299">
        <f>MoeHistory!D2552/'Enroll%'!F188</f>
        <v>0.15691489361702127</v>
      </c>
      <c r="E188" t="s">
        <v>209</v>
      </c>
      <c r="F188">
        <v>376</v>
      </c>
      <c r="H188" s="288"/>
    </row>
    <row r="189" spans="1:8" x14ac:dyDescent="0.35">
      <c r="A189" s="119" t="s">
        <v>210</v>
      </c>
      <c r="B189" s="120">
        <v>0.11009174311926606</v>
      </c>
      <c r="C189" t="s">
        <v>1714</v>
      </c>
      <c r="D189" s="299">
        <f>MoeHistory!D2553/'Enroll%'!F189</f>
        <v>0.13742071881606766</v>
      </c>
      <c r="E189" t="s">
        <v>210</v>
      </c>
      <c r="F189">
        <v>946</v>
      </c>
      <c r="H189" s="288"/>
    </row>
    <row r="190" spans="1:8" x14ac:dyDescent="0.35">
      <c r="A190" s="119" t="s">
        <v>211</v>
      </c>
      <c r="B190" s="120">
        <v>0.16725978647686832</v>
      </c>
      <c r="C190" t="s">
        <v>1713</v>
      </c>
      <c r="D190" s="299">
        <f>MoeHistory!D2554/'Enroll%'!F190</f>
        <v>0.13451327433628318</v>
      </c>
      <c r="E190" t="s">
        <v>211</v>
      </c>
      <c r="F190">
        <v>565</v>
      </c>
      <c r="H190" s="288"/>
    </row>
    <row r="191" spans="1:8" x14ac:dyDescent="0.35">
      <c r="A191" s="119" t="s">
        <v>212</v>
      </c>
      <c r="B191" s="120">
        <v>0.14499999999999999</v>
      </c>
      <c r="C191" t="s">
        <v>1713</v>
      </c>
      <c r="D191" s="299">
        <f>MoeHistory!D2555/'Enroll%'!F191</f>
        <v>0.15873015873015872</v>
      </c>
      <c r="E191" t="s">
        <v>212</v>
      </c>
      <c r="F191">
        <v>189</v>
      </c>
      <c r="H191" s="288"/>
    </row>
    <row r="192" spans="1:8" x14ac:dyDescent="0.35">
      <c r="A192" s="119" t="s">
        <v>213</v>
      </c>
      <c r="B192" s="120">
        <v>0.15337423312883436</v>
      </c>
      <c r="C192" t="s">
        <v>1713</v>
      </c>
      <c r="D192" s="299">
        <f>MoeHistory!D2556/'Enroll%'!F192</f>
        <v>0.14140386571719227</v>
      </c>
      <c r="E192" t="s">
        <v>213</v>
      </c>
      <c r="F192">
        <v>983</v>
      </c>
      <c r="H192" s="288"/>
    </row>
    <row r="193" spans="1:8" x14ac:dyDescent="0.35">
      <c r="A193" s="119" t="s">
        <v>214</v>
      </c>
      <c r="B193" s="120">
        <v>0.11446113364762636</v>
      </c>
      <c r="C193" t="s">
        <v>1714</v>
      </c>
      <c r="D193" s="299">
        <f>MoeHistory!D2557/'Enroll%'!F193</f>
        <v>0.11915502255473649</v>
      </c>
      <c r="E193" t="s">
        <v>214</v>
      </c>
      <c r="F193">
        <v>9089</v>
      </c>
      <c r="H193" s="288"/>
    </row>
    <row r="194" spans="1:8" x14ac:dyDescent="0.35">
      <c r="A194" s="119" t="s">
        <v>215</v>
      </c>
      <c r="B194" s="120">
        <v>0.14719626168224298</v>
      </c>
      <c r="C194" t="s">
        <v>1713</v>
      </c>
      <c r="D194" s="299">
        <f>MoeHistory!D2558/'Enroll%'!F194</f>
        <v>0.13916947250280584</v>
      </c>
      <c r="E194" t="s">
        <v>215</v>
      </c>
      <c r="F194">
        <v>891</v>
      </c>
      <c r="H194" s="288"/>
    </row>
    <row r="195" spans="1:8" x14ac:dyDescent="0.35">
      <c r="A195" s="119" t="s">
        <v>216</v>
      </c>
      <c r="B195" s="120">
        <v>0.15571428571428572</v>
      </c>
      <c r="C195" t="s">
        <v>1713</v>
      </c>
      <c r="D195" s="299">
        <f>MoeHistory!D2559/'Enroll%'!F195</f>
        <v>0.17016654598117306</v>
      </c>
      <c r="E195" t="s">
        <v>216</v>
      </c>
      <c r="F195">
        <v>1381</v>
      </c>
      <c r="H195" s="288"/>
    </row>
    <row r="196" spans="1:8" x14ac:dyDescent="0.35">
      <c r="A196" s="119" t="s">
        <v>217</v>
      </c>
      <c r="B196" s="120">
        <v>0.14795042897998092</v>
      </c>
      <c r="C196" t="s">
        <v>1713</v>
      </c>
      <c r="D196" s="299">
        <f>MoeHistory!D2560/'Enroll%'!F196</f>
        <v>0.14641566837801864</v>
      </c>
      <c r="E196" t="s">
        <v>217</v>
      </c>
      <c r="F196">
        <v>5259</v>
      </c>
      <c r="H196" s="288"/>
    </row>
    <row r="197" spans="1:8" x14ac:dyDescent="0.35">
      <c r="A197" s="119" t="s">
        <v>218</v>
      </c>
      <c r="B197" s="120">
        <v>0.11067580803134182</v>
      </c>
      <c r="C197" t="s">
        <v>1714</v>
      </c>
      <c r="D197" s="299">
        <f>MoeHistory!D2561/'Enroll%'!F197</f>
        <v>0.13758992805755396</v>
      </c>
      <c r="E197" t="s">
        <v>218</v>
      </c>
      <c r="F197">
        <v>1112</v>
      </c>
      <c r="H197" s="288"/>
    </row>
    <row r="198" spans="1:8" x14ac:dyDescent="0.35">
      <c r="A198" s="119" t="s">
        <v>219</v>
      </c>
      <c r="B198" s="120">
        <v>0.16740088105726872</v>
      </c>
      <c r="C198" t="s">
        <v>1713</v>
      </c>
      <c r="D198" s="299">
        <f>MoeHistory!D2562/'Enroll%'!F198</f>
        <v>0.16470588235294117</v>
      </c>
      <c r="E198" t="s">
        <v>219</v>
      </c>
      <c r="F198">
        <v>255</v>
      </c>
      <c r="H198" s="288"/>
    </row>
  </sheetData>
  <sheetProtection selectLockedCells="1" selectUnlockedCells="1"/>
  <autoFilter ref="A1:C198" xr:uid="{00000000-0009-0000-0000-000003000000}">
    <sortState xmlns:xlrd2="http://schemas.microsoft.com/office/spreadsheetml/2017/richdata2" ref="A2:C198">
      <sortCondition ref="A1:A198"/>
    </sortState>
  </autoFilter>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rgb="FF00B050"/>
  </sheetPr>
  <dimension ref="A1:U41"/>
  <sheetViews>
    <sheetView showGridLines="0" tabSelected="1" zoomScaleNormal="100" workbookViewId="0"/>
  </sheetViews>
  <sheetFormatPr defaultRowHeight="14.5" x14ac:dyDescent="0.35"/>
  <cols>
    <col min="3" max="3" width="0.81640625" customWidth="1"/>
    <col min="4" max="4" width="6.7265625" customWidth="1"/>
    <col min="5" max="5" width="74.26953125" customWidth="1"/>
    <col min="6" max="6" width="0.453125" customWidth="1"/>
    <col min="7" max="7" width="0.1796875" customWidth="1"/>
    <col min="8" max="9" width="0.54296875" customWidth="1"/>
    <col min="10" max="10" width="4.54296875" customWidth="1"/>
    <col min="11" max="11" width="10.81640625" customWidth="1"/>
  </cols>
  <sheetData>
    <row r="1" spans="1:21" ht="20" thickBot="1" x14ac:dyDescent="0.5">
      <c r="A1" s="3"/>
      <c r="B1" s="2" t="s">
        <v>2024</v>
      </c>
      <c r="C1" s="2"/>
      <c r="D1" s="2"/>
      <c r="E1" s="2"/>
      <c r="F1" s="2"/>
      <c r="G1" s="2"/>
      <c r="H1" s="2"/>
      <c r="I1" s="2"/>
      <c r="J1" s="2"/>
      <c r="K1" s="5" t="s">
        <v>1587</v>
      </c>
      <c r="L1" s="4" t="str">
        <f>CurrSchlYr</f>
        <v>2024-2025</v>
      </c>
      <c r="M1" s="3"/>
    </row>
    <row r="2" spans="1:21" ht="15.5" thickTop="1" thickBot="1" x14ac:dyDescent="0.4"/>
    <row r="3" spans="1:21" ht="21" x14ac:dyDescent="0.5">
      <c r="B3" s="227" t="s">
        <v>3013</v>
      </c>
      <c r="C3" s="106"/>
      <c r="L3" s="261" t="s">
        <v>3011</v>
      </c>
      <c r="M3" s="262"/>
      <c r="N3" s="262"/>
      <c r="O3" s="262"/>
      <c r="P3" s="262"/>
      <c r="Q3" s="262"/>
      <c r="R3" s="262"/>
      <c r="S3" s="262"/>
      <c r="T3" s="262"/>
      <c r="U3" s="263"/>
    </row>
    <row r="4" spans="1:21" ht="5.5" customHeight="1" x14ac:dyDescent="0.35">
      <c r="B4" s="106"/>
      <c r="C4" s="106"/>
      <c r="L4" s="264"/>
      <c r="U4" s="265"/>
    </row>
    <row r="5" spans="1:21" ht="18.649999999999999" customHeight="1" x14ac:dyDescent="0.5">
      <c r="B5" s="107">
        <v>1</v>
      </c>
      <c r="C5" s="107"/>
      <c r="D5" s="106" t="s">
        <v>3014</v>
      </c>
      <c r="L5" s="308" t="s">
        <v>3012</v>
      </c>
      <c r="M5" s="309"/>
      <c r="N5" s="309"/>
      <c r="O5" s="309"/>
      <c r="P5" s="309"/>
      <c r="Q5" s="309"/>
      <c r="R5" s="309"/>
      <c r="S5" s="309"/>
      <c r="T5" s="309"/>
      <c r="U5" s="310"/>
    </row>
    <row r="6" spans="1:21" ht="87" x14ac:dyDescent="0.35">
      <c r="B6" s="107"/>
      <c r="C6" s="107"/>
      <c r="E6" s="103" t="s">
        <v>2115</v>
      </c>
      <c r="L6" s="305" t="s">
        <v>3111</v>
      </c>
      <c r="M6" s="306"/>
      <c r="N6" s="306"/>
      <c r="O6" s="306"/>
      <c r="P6" s="306"/>
      <c r="Q6" s="306"/>
      <c r="R6" s="306"/>
      <c r="S6" s="306"/>
      <c r="T6" s="306"/>
      <c r="U6" s="307"/>
    </row>
    <row r="7" spans="1:21" ht="19" thickBot="1" x14ac:dyDescent="0.5">
      <c r="B7" s="107">
        <v>2</v>
      </c>
      <c r="C7" s="107"/>
      <c r="D7" s="106" t="s">
        <v>3015</v>
      </c>
      <c r="L7" s="269"/>
      <c r="M7" s="266"/>
      <c r="N7" s="266"/>
      <c r="O7" s="311" t="s">
        <v>3112</v>
      </c>
      <c r="P7" s="311"/>
      <c r="Q7" s="311"/>
      <c r="R7" s="311"/>
      <c r="S7" s="266"/>
      <c r="T7" s="266"/>
      <c r="U7" s="267"/>
    </row>
    <row r="8" spans="1:21" ht="43.5" x14ac:dyDescent="0.35">
      <c r="B8" s="107"/>
      <c r="C8" s="107"/>
      <c r="E8" s="103" t="s">
        <v>2088</v>
      </c>
      <c r="L8" s="268"/>
    </row>
    <row r="9" spans="1:21" ht="15" thickBot="1" x14ac:dyDescent="0.4">
      <c r="B9" s="107">
        <v>3</v>
      </c>
      <c r="C9" s="107"/>
      <c r="D9" s="106" t="s">
        <v>3016</v>
      </c>
    </row>
    <row r="10" spans="1:21" ht="44" thickBot="1" x14ac:dyDescent="0.4">
      <c r="B10" s="107"/>
      <c r="C10" s="107"/>
      <c r="E10" s="103" t="s">
        <v>2032</v>
      </c>
      <c r="L10" s="312" t="s">
        <v>3169</v>
      </c>
      <c r="M10" s="313"/>
      <c r="N10" s="313"/>
      <c r="O10" s="313"/>
      <c r="P10" s="313"/>
      <c r="Q10" s="313"/>
      <c r="R10" s="313"/>
      <c r="S10" s="313"/>
      <c r="T10" s="313"/>
      <c r="U10" s="314"/>
    </row>
    <row r="11" spans="1:21" x14ac:dyDescent="0.35">
      <c r="B11" s="107">
        <v>4</v>
      </c>
      <c r="C11" s="107"/>
      <c r="D11" s="106" t="s">
        <v>3017</v>
      </c>
      <c r="L11" s="260"/>
      <c r="M11" s="260"/>
      <c r="N11" s="260"/>
      <c r="O11" s="260"/>
      <c r="P11" s="260"/>
      <c r="Q11" s="260"/>
    </row>
    <row r="12" spans="1:21" ht="58" x14ac:dyDescent="0.35">
      <c r="B12" s="107"/>
      <c r="C12" s="107"/>
      <c r="E12" s="103" t="s">
        <v>2116</v>
      </c>
      <c r="L12" s="260"/>
      <c r="M12" s="260"/>
      <c r="N12" s="260"/>
      <c r="O12" s="260"/>
      <c r="P12" s="260"/>
      <c r="Q12" s="260"/>
    </row>
    <row r="13" spans="1:21" x14ac:dyDescent="0.35">
      <c r="B13" s="107">
        <v>5</v>
      </c>
      <c r="C13" s="107"/>
      <c r="D13" s="106" t="s">
        <v>2025</v>
      </c>
    </row>
    <row r="14" spans="1:21" ht="100.5" customHeight="1" x14ac:dyDescent="0.35">
      <c r="B14" s="107"/>
      <c r="C14" s="107"/>
      <c r="D14" s="106"/>
      <c r="E14" s="112" t="s">
        <v>2137</v>
      </c>
    </row>
    <row r="15" spans="1:21" x14ac:dyDescent="0.35">
      <c r="B15" s="107">
        <v>6</v>
      </c>
      <c r="C15" s="19"/>
      <c r="D15" s="106" t="s">
        <v>3018</v>
      </c>
    </row>
    <row r="16" spans="1:21" ht="36.65" customHeight="1" x14ac:dyDescent="0.35">
      <c r="E16" s="112" t="s">
        <v>2033</v>
      </c>
    </row>
    <row r="17" spans="2:15" x14ac:dyDescent="0.35">
      <c r="B17" s="106">
        <v>7</v>
      </c>
      <c r="D17" s="106" t="s">
        <v>3019</v>
      </c>
    </row>
    <row r="18" spans="2:15" ht="48.65" customHeight="1" x14ac:dyDescent="0.35">
      <c r="E18" s="103" t="s">
        <v>2081</v>
      </c>
    </row>
    <row r="19" spans="2:15" x14ac:dyDescent="0.35">
      <c r="B19" s="106"/>
      <c r="D19" s="106"/>
    </row>
    <row r="20" spans="2:15" ht="0.65" customHeight="1" x14ac:dyDescent="0.35">
      <c r="E20" s="103"/>
    </row>
    <row r="21" spans="2:15" ht="2.5" customHeight="1" x14ac:dyDescent="0.35">
      <c r="B21" s="34"/>
      <c r="C21" s="34"/>
      <c r="D21" s="34"/>
      <c r="E21" s="34"/>
    </row>
    <row r="22" spans="2:15" ht="20" thickBot="1" x14ac:dyDescent="0.5">
      <c r="B22" s="151" t="s">
        <v>2117</v>
      </c>
      <c r="C22" s="152"/>
      <c r="D22" s="152"/>
      <c r="E22" s="152"/>
      <c r="F22" s="34"/>
      <c r="G22" s="34"/>
      <c r="H22" s="34"/>
      <c r="I22" s="34"/>
      <c r="J22" s="34"/>
      <c r="K22" s="34"/>
      <c r="L22" s="34"/>
      <c r="M22" s="34"/>
      <c r="N22" s="34"/>
      <c r="O22" s="34"/>
    </row>
    <row r="23" spans="2:15" ht="3" customHeight="1" thickTop="1" x14ac:dyDescent="0.35">
      <c r="B23" s="34"/>
      <c r="C23" s="34"/>
      <c r="D23" s="34"/>
      <c r="E23" s="34"/>
      <c r="F23" s="34"/>
      <c r="G23" s="34"/>
      <c r="H23" s="34"/>
      <c r="I23" s="34"/>
      <c r="J23" s="34"/>
      <c r="K23" s="34"/>
      <c r="L23" s="34"/>
      <c r="M23" s="34"/>
      <c r="N23" s="34"/>
      <c r="O23" s="34"/>
    </row>
    <row r="24" spans="2:15" ht="53.15" customHeight="1" x14ac:dyDescent="0.35">
      <c r="B24" s="302" t="s">
        <v>2118</v>
      </c>
      <c r="C24" s="302"/>
      <c r="D24" s="302"/>
      <c r="E24" s="302"/>
      <c r="F24" s="34"/>
      <c r="G24" s="34"/>
      <c r="H24" s="34"/>
      <c r="I24" s="34"/>
      <c r="J24" s="34"/>
      <c r="K24" s="34"/>
      <c r="L24" s="34"/>
      <c r="M24" s="34"/>
      <c r="N24" s="34"/>
      <c r="O24" s="34"/>
    </row>
    <row r="25" spans="2:15" x14ac:dyDescent="0.35">
      <c r="B25" s="303" t="s">
        <v>2119</v>
      </c>
      <c r="C25" s="304"/>
      <c r="D25" s="304"/>
      <c r="E25" s="304"/>
      <c r="F25" s="34"/>
      <c r="G25" s="34"/>
      <c r="H25" s="34"/>
      <c r="I25" s="34"/>
      <c r="J25" s="34"/>
      <c r="K25" s="34"/>
      <c r="L25" s="34"/>
      <c r="M25" s="34"/>
      <c r="N25" s="34"/>
      <c r="O25" s="34"/>
    </row>
    <row r="26" spans="2:15" x14ac:dyDescent="0.35">
      <c r="B26">
        <v>1</v>
      </c>
      <c r="D26" t="s">
        <v>2120</v>
      </c>
      <c r="F26" s="34"/>
      <c r="G26" s="34"/>
      <c r="H26" s="34"/>
      <c r="I26" s="34"/>
      <c r="J26" s="34"/>
      <c r="K26" s="34"/>
      <c r="L26" s="34"/>
      <c r="M26" s="34"/>
      <c r="N26" s="34"/>
      <c r="O26" s="34"/>
    </row>
    <row r="27" spans="2:15" x14ac:dyDescent="0.35">
      <c r="B27">
        <v>2</v>
      </c>
      <c r="D27" t="s">
        <v>2121</v>
      </c>
      <c r="F27" s="34"/>
      <c r="G27" s="34"/>
      <c r="H27" s="34"/>
      <c r="I27" s="34"/>
      <c r="J27" s="34"/>
      <c r="K27" s="34"/>
      <c r="L27" s="34"/>
      <c r="M27" s="34"/>
      <c r="N27" s="34"/>
      <c r="O27" s="34"/>
    </row>
    <row r="28" spans="2:15" x14ac:dyDescent="0.35">
      <c r="B28">
        <v>3</v>
      </c>
      <c r="D28" t="s">
        <v>2122</v>
      </c>
      <c r="F28" s="34"/>
      <c r="G28" s="34"/>
      <c r="H28" s="34"/>
      <c r="I28" s="34"/>
      <c r="J28" s="34"/>
      <c r="K28" s="34"/>
      <c r="L28" s="34"/>
      <c r="M28" s="34"/>
      <c r="N28" s="34"/>
      <c r="O28" s="34"/>
    </row>
    <row r="29" spans="2:15" x14ac:dyDescent="0.35">
      <c r="B29">
        <v>4</v>
      </c>
      <c r="D29" t="s">
        <v>2123</v>
      </c>
      <c r="F29" s="34"/>
      <c r="G29" s="34"/>
      <c r="H29" s="34"/>
      <c r="I29" s="34"/>
      <c r="J29" s="34"/>
      <c r="K29" s="34"/>
      <c r="L29" s="34"/>
      <c r="M29" s="34"/>
      <c r="N29" s="34"/>
      <c r="O29" s="34"/>
    </row>
    <row r="30" spans="2:15" x14ac:dyDescent="0.35">
      <c r="B30">
        <v>5</v>
      </c>
      <c r="D30" t="s">
        <v>2124</v>
      </c>
      <c r="F30" s="34"/>
      <c r="G30" s="34"/>
      <c r="H30" s="34"/>
      <c r="I30" s="34"/>
      <c r="J30" s="34"/>
      <c r="K30" s="34"/>
      <c r="L30" s="34"/>
      <c r="M30" s="34"/>
      <c r="N30" s="34"/>
      <c r="O30" s="34"/>
    </row>
    <row r="31" spans="2:15" x14ac:dyDescent="0.35">
      <c r="B31">
        <v>6</v>
      </c>
      <c r="D31" t="s">
        <v>2125</v>
      </c>
      <c r="F31" s="34"/>
      <c r="G31" s="34"/>
      <c r="H31" s="34"/>
      <c r="I31" s="34"/>
      <c r="J31" s="34"/>
      <c r="K31" s="34"/>
      <c r="L31" s="34"/>
      <c r="M31" s="34"/>
      <c r="N31" s="34"/>
      <c r="O31" s="34"/>
    </row>
    <row r="32" spans="2:15" x14ac:dyDescent="0.35">
      <c r="B32">
        <v>7</v>
      </c>
      <c r="D32" t="s">
        <v>2126</v>
      </c>
      <c r="F32" s="34"/>
      <c r="G32" s="34"/>
      <c r="H32" s="34"/>
      <c r="I32" s="34"/>
      <c r="J32" s="34"/>
      <c r="K32" s="34"/>
      <c r="L32" s="34"/>
      <c r="M32" s="34"/>
      <c r="N32" s="34"/>
      <c r="O32" s="34"/>
    </row>
    <row r="33" spans="2:15" x14ac:dyDescent="0.35">
      <c r="F33" s="34"/>
      <c r="G33" s="34"/>
      <c r="H33" s="34"/>
      <c r="I33" s="34"/>
      <c r="J33" s="34"/>
      <c r="K33" s="34"/>
      <c r="L33" s="34"/>
      <c r="M33" s="34"/>
      <c r="N33" s="34"/>
      <c r="O33" s="34"/>
    </row>
    <row r="34" spans="2:15" x14ac:dyDescent="0.35">
      <c r="B34" s="106" t="s">
        <v>2127</v>
      </c>
      <c r="F34" s="34"/>
      <c r="G34" s="34"/>
      <c r="H34" s="34"/>
      <c r="I34" s="34"/>
      <c r="J34" s="34"/>
      <c r="K34" s="34"/>
      <c r="L34" s="34"/>
      <c r="M34" s="34"/>
      <c r="N34" s="34"/>
      <c r="O34" s="34"/>
    </row>
    <row r="35" spans="2:15" x14ac:dyDescent="0.35">
      <c r="B35">
        <v>1</v>
      </c>
      <c r="D35" t="s">
        <v>2128</v>
      </c>
      <c r="F35" s="34"/>
      <c r="G35" s="34"/>
      <c r="H35" s="34"/>
      <c r="I35" s="34"/>
      <c r="J35" s="34"/>
      <c r="K35" s="34"/>
      <c r="L35" s="34"/>
      <c r="M35" s="34"/>
      <c r="N35" s="34"/>
      <c r="O35" s="34"/>
    </row>
    <row r="36" spans="2:15" x14ac:dyDescent="0.35">
      <c r="B36">
        <v>2</v>
      </c>
      <c r="D36" t="s">
        <v>2129</v>
      </c>
      <c r="F36" s="34"/>
      <c r="G36" s="34"/>
      <c r="H36" s="34"/>
      <c r="I36" s="34"/>
      <c r="J36" s="34"/>
      <c r="K36" s="34"/>
      <c r="L36" s="34"/>
      <c r="M36" s="34"/>
      <c r="N36" s="34"/>
      <c r="O36" s="34"/>
    </row>
    <row r="37" spans="2:15" x14ac:dyDescent="0.35">
      <c r="B37">
        <v>3</v>
      </c>
      <c r="D37" t="s">
        <v>2130</v>
      </c>
      <c r="F37" s="34"/>
      <c r="G37" s="34"/>
      <c r="H37" s="34"/>
      <c r="I37" s="34"/>
      <c r="J37" s="34"/>
      <c r="K37" s="34"/>
      <c r="L37" s="34"/>
      <c r="M37" s="34"/>
      <c r="N37" s="34"/>
      <c r="O37" s="34"/>
    </row>
    <row r="38" spans="2:15" x14ac:dyDescent="0.35">
      <c r="E38" t="s">
        <v>2131</v>
      </c>
      <c r="F38" s="34"/>
      <c r="G38" s="34"/>
      <c r="H38" s="34"/>
      <c r="I38" s="34"/>
      <c r="J38" s="34"/>
      <c r="K38" s="34"/>
      <c r="L38" s="34"/>
      <c r="M38" s="34"/>
      <c r="N38" s="34"/>
      <c r="O38" s="34"/>
    </row>
    <row r="39" spans="2:15" x14ac:dyDescent="0.35">
      <c r="B39">
        <v>4</v>
      </c>
      <c r="D39" t="s">
        <v>2964</v>
      </c>
      <c r="F39" s="34"/>
      <c r="G39" s="34"/>
      <c r="H39" s="34"/>
      <c r="I39" s="34"/>
      <c r="J39" s="34"/>
      <c r="K39" s="34"/>
      <c r="L39" s="34"/>
      <c r="M39" s="34"/>
      <c r="N39" s="34"/>
      <c r="O39" s="34"/>
    </row>
    <row r="40" spans="2:15" x14ac:dyDescent="0.35">
      <c r="B40">
        <v>5</v>
      </c>
      <c r="D40" t="s">
        <v>2132</v>
      </c>
      <c r="F40" s="34"/>
      <c r="G40" s="34"/>
      <c r="H40" s="34"/>
      <c r="I40" s="34"/>
      <c r="J40" s="34"/>
      <c r="K40" s="34"/>
      <c r="L40" s="34"/>
      <c r="M40" s="34"/>
      <c r="N40" s="34"/>
      <c r="O40" s="34"/>
    </row>
    <row r="41" spans="2:15" x14ac:dyDescent="0.35">
      <c r="F41" s="34"/>
      <c r="G41" s="34"/>
      <c r="H41" s="34"/>
      <c r="I41" s="34"/>
      <c r="J41" s="34"/>
      <c r="K41" s="34"/>
      <c r="L41" s="34"/>
      <c r="M41" s="34"/>
      <c r="N41" s="34"/>
      <c r="O41" s="34"/>
    </row>
  </sheetData>
  <sheetProtection algorithmName="SHA-512" hashValue="rLA0PQRA5t7HCD4Nwgy5uJowxjnlVkqYedIqybd/E79O36x0bQM4mVBVApkJNJH1hFevtYWU/T5IDinl+ZVh+A==" saltValue="/c6UjV+/1EldodggVA3pJw==" spinCount="100000" sheet="1" objects="1" scenarios="1"/>
  <mergeCells count="6">
    <mergeCell ref="B24:E24"/>
    <mergeCell ref="B25:E25"/>
    <mergeCell ref="L6:U6"/>
    <mergeCell ref="L5:U5"/>
    <mergeCell ref="O7:R7"/>
    <mergeCell ref="L10:U10"/>
  </mergeCells>
  <hyperlinks>
    <hyperlink ref="L5" r:id="rId1" xr:uid="{5E38767B-CF77-4328-BD64-BEA09D55C10C}"/>
    <hyperlink ref="O7:R7" r:id="rId2" display=" ode.ideaassurances@ode.oregon.gov" xr:uid="{2DA39FC6-3569-4DFE-96F2-D1718971F330}"/>
    <hyperlink ref="L10:U10" r:id="rId3" display="Link to Exception Request Form" xr:uid="{B95A253C-3243-4360-B25A-29A96C3532DD}"/>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E2C9A0A1-7A30-4A7C-899A-D5BC09C6F5C4}">
            <xm:f>AND(LeaName&lt;&gt;"",NOT(Output!$C$19))</xm:f>
            <x14:dxf>
              <fill>
                <patternFill>
                  <bgColor rgb="FFFF0000"/>
                </patternFill>
              </fill>
            </x14:dxf>
          </x14:cfRule>
          <x14:cfRule type="expression" priority="2" id="{BA2D94F6-136F-47AF-B11A-C50491C83AB3}">
            <xm:f>AND(LeaName&lt;&gt;"",Output!$C$19)</xm:f>
            <x14:dxf>
              <fill>
                <patternFill>
                  <bgColor rgb="FF92D050"/>
                </patternFill>
              </fill>
            </x14:dxf>
          </x14:cfRule>
          <xm:sqref>A1</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dimension ref="A1:D198"/>
  <sheetViews>
    <sheetView workbookViewId="0"/>
  </sheetViews>
  <sheetFormatPr defaultRowHeight="14.5" x14ac:dyDescent="0.35"/>
  <cols>
    <col min="1" max="1" width="32" bestFit="1" customWidth="1"/>
    <col min="2" max="2" width="8.453125" customWidth="1"/>
    <col min="3" max="3" width="9.81640625" customWidth="1"/>
    <col min="4" max="4" width="11.7265625" bestFit="1" customWidth="1"/>
  </cols>
  <sheetData>
    <row r="1" spans="1:4" s="106" customFormat="1" x14ac:dyDescent="0.35">
      <c r="A1" s="106" t="s">
        <v>1539</v>
      </c>
      <c r="B1" s="106" t="s">
        <v>2089</v>
      </c>
      <c r="C1" s="106" t="s">
        <v>2080</v>
      </c>
      <c r="D1" s="106" t="s">
        <v>2108</v>
      </c>
    </row>
    <row r="2" spans="1:4" x14ac:dyDescent="0.35">
      <c r="A2" s="109" t="s">
        <v>14</v>
      </c>
      <c r="B2" s="148">
        <v>2063</v>
      </c>
      <c r="C2" s="148"/>
      <c r="D2" t="s">
        <v>1528</v>
      </c>
    </row>
    <row r="3" spans="1:4" x14ac:dyDescent="0.35">
      <c r="A3" s="109" t="s">
        <v>17</v>
      </c>
      <c r="B3" s="148">
        <v>2113</v>
      </c>
      <c r="C3" s="148"/>
      <c r="D3" t="s">
        <v>1528</v>
      </c>
    </row>
    <row r="4" spans="1:4" x14ac:dyDescent="0.35">
      <c r="A4" s="109" t="s">
        <v>20</v>
      </c>
      <c r="B4" s="148">
        <v>1899</v>
      </c>
      <c r="C4" s="148"/>
      <c r="D4" t="s">
        <v>1528</v>
      </c>
    </row>
    <row r="5" spans="1:4" x14ac:dyDescent="0.35">
      <c r="A5" s="109" t="s">
        <v>21</v>
      </c>
      <c r="B5" s="148">
        <v>2252</v>
      </c>
      <c r="C5" s="148"/>
      <c r="D5" t="s">
        <v>1528</v>
      </c>
    </row>
    <row r="6" spans="1:4" x14ac:dyDescent="0.35">
      <c r="A6" s="109" t="s">
        <v>23</v>
      </c>
      <c r="B6" s="148">
        <v>2111</v>
      </c>
      <c r="C6" s="148"/>
      <c r="D6" t="s">
        <v>1528</v>
      </c>
    </row>
    <row r="7" spans="1:4" x14ac:dyDescent="0.35">
      <c r="A7" s="109" t="s">
        <v>24</v>
      </c>
      <c r="B7" s="148">
        <v>2005</v>
      </c>
      <c r="C7" s="148"/>
      <c r="D7" t="s">
        <v>1528</v>
      </c>
    </row>
    <row r="8" spans="1:4" x14ac:dyDescent="0.35">
      <c r="A8" s="109" t="s">
        <v>25</v>
      </c>
      <c r="B8" s="148">
        <v>2115</v>
      </c>
      <c r="C8" s="148"/>
      <c r="D8" t="s">
        <v>1528</v>
      </c>
    </row>
    <row r="9" spans="1:4" x14ac:dyDescent="0.35">
      <c r="A9" s="109" t="s">
        <v>26</v>
      </c>
      <c r="B9" s="148">
        <v>2041</v>
      </c>
      <c r="C9" s="148"/>
      <c r="D9" t="s">
        <v>1527</v>
      </c>
    </row>
    <row r="10" spans="1:4" x14ac:dyDescent="0.35">
      <c r="A10" s="109" t="s">
        <v>27</v>
      </c>
      <c r="B10" s="148">
        <v>2051</v>
      </c>
      <c r="C10" s="148"/>
      <c r="D10" t="s">
        <v>1528</v>
      </c>
    </row>
    <row r="11" spans="1:4" x14ac:dyDescent="0.35">
      <c r="A11" s="109" t="s">
        <v>28</v>
      </c>
      <c r="B11" s="148">
        <v>1933</v>
      </c>
      <c r="C11" s="148"/>
      <c r="D11" t="s">
        <v>1528</v>
      </c>
    </row>
    <row r="12" spans="1:4" x14ac:dyDescent="0.35">
      <c r="A12" s="109" t="s">
        <v>29</v>
      </c>
      <c r="B12" s="148">
        <v>2208</v>
      </c>
      <c r="C12" s="148"/>
      <c r="D12" t="s">
        <v>1528</v>
      </c>
    </row>
    <row r="13" spans="1:4" x14ac:dyDescent="0.35">
      <c r="A13" s="109" t="s">
        <v>30</v>
      </c>
      <c r="B13" s="148">
        <v>1894</v>
      </c>
      <c r="C13" s="148"/>
      <c r="D13" t="s">
        <v>1528</v>
      </c>
    </row>
    <row r="14" spans="1:4" x14ac:dyDescent="0.35">
      <c r="A14" s="109" t="s">
        <v>32</v>
      </c>
      <c r="B14" s="148">
        <v>1969</v>
      </c>
      <c r="C14" s="148"/>
      <c r="D14" t="s">
        <v>1528</v>
      </c>
    </row>
    <row r="15" spans="1:4" x14ac:dyDescent="0.35">
      <c r="A15" s="109" t="s">
        <v>33</v>
      </c>
      <c r="B15" s="148">
        <v>2240</v>
      </c>
      <c r="C15" s="148"/>
      <c r="D15" t="s">
        <v>1528</v>
      </c>
    </row>
    <row r="16" spans="1:4" x14ac:dyDescent="0.35">
      <c r="A16" s="109" t="s">
        <v>34</v>
      </c>
      <c r="B16" s="148">
        <v>2243</v>
      </c>
      <c r="C16" s="148"/>
      <c r="D16" t="s">
        <v>1527</v>
      </c>
    </row>
    <row r="17" spans="1:4" x14ac:dyDescent="0.35">
      <c r="A17" s="109" t="s">
        <v>35</v>
      </c>
      <c r="B17" s="148">
        <v>1976</v>
      </c>
      <c r="C17" s="148"/>
      <c r="D17" t="s">
        <v>1528</v>
      </c>
    </row>
    <row r="18" spans="1:4" x14ac:dyDescent="0.35">
      <c r="A18" s="109" t="s">
        <v>36</v>
      </c>
      <c r="B18" s="148">
        <v>2088</v>
      </c>
      <c r="C18" s="148"/>
      <c r="D18" t="s">
        <v>1528</v>
      </c>
    </row>
    <row r="19" spans="1:4" x14ac:dyDescent="0.35">
      <c r="A19" s="109" t="s">
        <v>37</v>
      </c>
      <c r="B19" s="148">
        <v>2095</v>
      </c>
      <c r="C19" s="148"/>
      <c r="D19" t="s">
        <v>1528</v>
      </c>
    </row>
    <row r="20" spans="1:4" x14ac:dyDescent="0.35">
      <c r="A20" s="109" t="s">
        <v>38</v>
      </c>
      <c r="B20" s="148">
        <v>2052</v>
      </c>
      <c r="C20" s="148"/>
      <c r="D20" t="s">
        <v>1528</v>
      </c>
    </row>
    <row r="21" spans="1:4" x14ac:dyDescent="0.35">
      <c r="A21" s="109" t="s">
        <v>39</v>
      </c>
      <c r="B21" s="148">
        <v>1974</v>
      </c>
      <c r="C21" s="148"/>
      <c r="D21" t="s">
        <v>1528</v>
      </c>
    </row>
    <row r="22" spans="1:4" x14ac:dyDescent="0.35">
      <c r="A22" s="109" t="s">
        <v>40</v>
      </c>
      <c r="B22" s="148">
        <v>1896</v>
      </c>
      <c r="C22" s="148"/>
      <c r="D22" t="s">
        <v>1528</v>
      </c>
    </row>
    <row r="23" spans="1:4" x14ac:dyDescent="0.35">
      <c r="A23" s="109" t="s">
        <v>42</v>
      </c>
      <c r="B23" s="148">
        <v>2046</v>
      </c>
      <c r="C23" s="148"/>
      <c r="D23" t="s">
        <v>1528</v>
      </c>
    </row>
    <row r="24" spans="1:4" x14ac:dyDescent="0.35">
      <c r="A24" s="109" t="s">
        <v>43</v>
      </c>
      <c r="B24" s="148">
        <v>1995</v>
      </c>
      <c r="C24" s="148"/>
      <c r="D24" t="s">
        <v>1528</v>
      </c>
    </row>
    <row r="25" spans="1:4" x14ac:dyDescent="0.35">
      <c r="A25" s="109" t="s">
        <v>44</v>
      </c>
      <c r="B25" s="148">
        <v>1929</v>
      </c>
      <c r="C25" s="148"/>
      <c r="D25" t="s">
        <v>1528</v>
      </c>
    </row>
    <row r="26" spans="1:4" x14ac:dyDescent="0.35">
      <c r="A26" s="109" t="s">
        <v>45</v>
      </c>
      <c r="B26" s="148">
        <v>2139</v>
      </c>
      <c r="C26" s="148"/>
      <c r="D26" t="s">
        <v>1528</v>
      </c>
    </row>
    <row r="27" spans="1:4" x14ac:dyDescent="0.35">
      <c r="A27" s="109" t="s">
        <v>46</v>
      </c>
      <c r="B27" s="148">
        <v>2185</v>
      </c>
      <c r="C27" s="148"/>
      <c r="D27" t="s">
        <v>1528</v>
      </c>
    </row>
    <row r="28" spans="1:4" x14ac:dyDescent="0.35">
      <c r="A28" s="109" t="s">
        <v>47</v>
      </c>
      <c r="B28" s="148">
        <v>1972</v>
      </c>
      <c r="C28" s="148"/>
      <c r="D28" t="s">
        <v>1528</v>
      </c>
    </row>
    <row r="29" spans="1:4" x14ac:dyDescent="0.35">
      <c r="A29" s="109" t="s">
        <v>48</v>
      </c>
      <c r="B29" s="148">
        <v>2105</v>
      </c>
      <c r="C29" s="148"/>
      <c r="D29" t="s">
        <v>1528</v>
      </c>
    </row>
    <row r="30" spans="1:4" x14ac:dyDescent="0.35">
      <c r="A30" s="109" t="s">
        <v>49</v>
      </c>
      <c r="B30" s="148">
        <v>2042</v>
      </c>
      <c r="C30" s="148"/>
      <c r="D30" t="s">
        <v>1528</v>
      </c>
    </row>
    <row r="31" spans="1:4" x14ac:dyDescent="0.35">
      <c r="A31" s="109" t="s">
        <v>50</v>
      </c>
      <c r="B31" s="148">
        <v>2191</v>
      </c>
      <c r="C31" s="148"/>
      <c r="D31" t="s">
        <v>1528</v>
      </c>
    </row>
    <row r="32" spans="1:4" x14ac:dyDescent="0.35">
      <c r="A32" s="109" t="s">
        <v>51</v>
      </c>
      <c r="B32" s="148">
        <v>1945</v>
      </c>
      <c r="C32" s="148"/>
      <c r="D32" t="s">
        <v>1528</v>
      </c>
    </row>
    <row r="33" spans="1:4" x14ac:dyDescent="0.35">
      <c r="A33" s="109" t="s">
        <v>52</v>
      </c>
      <c r="B33" s="148">
        <v>1927</v>
      </c>
      <c r="C33" s="148"/>
      <c r="D33" t="s">
        <v>1528</v>
      </c>
    </row>
    <row r="34" spans="1:4" x14ac:dyDescent="0.35">
      <c r="A34" s="109" t="s">
        <v>53</v>
      </c>
      <c r="B34" s="148">
        <v>2006</v>
      </c>
      <c r="C34" s="148"/>
      <c r="D34" t="s">
        <v>1528</v>
      </c>
    </row>
    <row r="35" spans="1:4" x14ac:dyDescent="0.35">
      <c r="A35" s="109" t="s">
        <v>54</v>
      </c>
      <c r="B35" s="148">
        <v>1965</v>
      </c>
      <c r="C35" s="148"/>
      <c r="D35" t="s">
        <v>1528</v>
      </c>
    </row>
    <row r="36" spans="1:4" x14ac:dyDescent="0.35">
      <c r="A36" s="109" t="s">
        <v>55</v>
      </c>
      <c r="B36" s="148">
        <v>1964</v>
      </c>
      <c r="C36" s="148"/>
      <c r="D36" t="s">
        <v>1528</v>
      </c>
    </row>
    <row r="37" spans="1:4" x14ac:dyDescent="0.35">
      <c r="A37" s="109" t="s">
        <v>56</v>
      </c>
      <c r="B37" s="148">
        <v>2186</v>
      </c>
      <c r="C37" s="148"/>
      <c r="D37" t="s">
        <v>1528</v>
      </c>
    </row>
    <row r="38" spans="1:4" x14ac:dyDescent="0.35">
      <c r="A38" s="109" t="s">
        <v>58</v>
      </c>
      <c r="B38" s="148">
        <v>1901</v>
      </c>
      <c r="C38" s="148"/>
      <c r="D38" t="s">
        <v>1528</v>
      </c>
    </row>
    <row r="39" spans="1:4" x14ac:dyDescent="0.35">
      <c r="A39" s="109" t="s">
        <v>59</v>
      </c>
      <c r="B39" s="148">
        <v>2216</v>
      </c>
      <c r="C39" s="148"/>
      <c r="D39" t="s">
        <v>1528</v>
      </c>
    </row>
    <row r="40" spans="1:4" x14ac:dyDescent="0.35">
      <c r="A40" s="109" t="s">
        <v>60</v>
      </c>
      <c r="B40" s="148">
        <v>2086</v>
      </c>
      <c r="C40" s="148"/>
      <c r="D40" t="s">
        <v>1528</v>
      </c>
    </row>
    <row r="41" spans="1:4" x14ac:dyDescent="0.35">
      <c r="A41" s="109" t="s">
        <v>61</v>
      </c>
      <c r="B41" s="148">
        <v>1970</v>
      </c>
      <c r="C41" s="148"/>
      <c r="D41" t="s">
        <v>1528</v>
      </c>
    </row>
    <row r="42" spans="1:4" x14ac:dyDescent="0.35">
      <c r="A42" s="109" t="s">
        <v>62</v>
      </c>
      <c r="B42" s="148">
        <v>2089</v>
      </c>
      <c r="C42" s="148"/>
      <c r="D42" t="s">
        <v>1528</v>
      </c>
    </row>
    <row r="43" spans="1:4" x14ac:dyDescent="0.35">
      <c r="A43" s="109" t="s">
        <v>63</v>
      </c>
      <c r="B43" s="148">
        <v>2050</v>
      </c>
      <c r="C43" s="148"/>
      <c r="D43" t="s">
        <v>1528</v>
      </c>
    </row>
    <row r="44" spans="1:4" x14ac:dyDescent="0.35">
      <c r="A44" s="109" t="s">
        <v>64</v>
      </c>
      <c r="B44" s="148">
        <v>2190</v>
      </c>
      <c r="C44" s="148"/>
      <c r="D44" t="s">
        <v>1527</v>
      </c>
    </row>
    <row r="45" spans="1:4" x14ac:dyDescent="0.35">
      <c r="A45" s="109" t="s">
        <v>65</v>
      </c>
      <c r="B45" s="148">
        <v>2187</v>
      </c>
      <c r="C45" s="148"/>
      <c r="D45" t="s">
        <v>1528</v>
      </c>
    </row>
    <row r="46" spans="1:4" x14ac:dyDescent="0.35">
      <c r="A46" s="109" t="s">
        <v>66</v>
      </c>
      <c r="B46" s="148">
        <v>2253</v>
      </c>
      <c r="C46" s="148"/>
      <c r="D46" t="s">
        <v>1528</v>
      </c>
    </row>
    <row r="47" spans="1:4" x14ac:dyDescent="0.35">
      <c r="A47" s="109" t="s">
        <v>67</v>
      </c>
      <c r="B47" s="148">
        <v>2011</v>
      </c>
      <c r="C47" s="148"/>
      <c r="D47" t="s">
        <v>1528</v>
      </c>
    </row>
    <row r="48" spans="1:4" x14ac:dyDescent="0.35">
      <c r="A48" s="109" t="s">
        <v>68</v>
      </c>
      <c r="B48" s="148">
        <v>2017</v>
      </c>
      <c r="C48" s="148"/>
      <c r="D48" t="s">
        <v>1528</v>
      </c>
    </row>
    <row r="49" spans="1:4" x14ac:dyDescent="0.35">
      <c r="A49" s="109" t="s">
        <v>69</v>
      </c>
      <c r="B49" s="148">
        <v>2021</v>
      </c>
      <c r="C49" s="148"/>
      <c r="D49" t="s">
        <v>1528</v>
      </c>
    </row>
    <row r="50" spans="1:4" x14ac:dyDescent="0.35">
      <c r="A50" s="109" t="s">
        <v>70</v>
      </c>
      <c r="B50" s="148">
        <v>1993</v>
      </c>
      <c r="C50" s="148"/>
      <c r="D50" t="s">
        <v>1528</v>
      </c>
    </row>
    <row r="51" spans="1:4" x14ac:dyDescent="0.35">
      <c r="A51" s="109" t="s">
        <v>71</v>
      </c>
      <c r="B51" s="148">
        <v>1991</v>
      </c>
      <c r="C51" s="148"/>
      <c r="D51" t="s">
        <v>1528</v>
      </c>
    </row>
    <row r="52" spans="1:4" x14ac:dyDescent="0.35">
      <c r="A52" s="109" t="s">
        <v>72</v>
      </c>
      <c r="B52" s="148">
        <v>2019</v>
      </c>
      <c r="C52" s="148"/>
      <c r="D52" t="s">
        <v>1528</v>
      </c>
    </row>
    <row r="53" spans="1:4" x14ac:dyDescent="0.35">
      <c r="A53" s="109" t="s">
        <v>73</v>
      </c>
      <c r="B53" s="148">
        <v>2229</v>
      </c>
      <c r="C53" s="148"/>
      <c r="D53" t="s">
        <v>1528</v>
      </c>
    </row>
    <row r="54" spans="1:4" x14ac:dyDescent="0.35">
      <c r="A54" s="109" t="s">
        <v>74</v>
      </c>
      <c r="B54" s="148">
        <v>2043</v>
      </c>
      <c r="C54" s="148"/>
      <c r="D54" t="s">
        <v>1528</v>
      </c>
    </row>
    <row r="55" spans="1:4" x14ac:dyDescent="0.35">
      <c r="A55" s="109" t="s">
        <v>75</v>
      </c>
      <c r="B55" s="148">
        <v>2203</v>
      </c>
      <c r="C55" s="148"/>
      <c r="D55" t="s">
        <v>1528</v>
      </c>
    </row>
    <row r="56" spans="1:4" x14ac:dyDescent="0.35">
      <c r="A56" s="109" t="s">
        <v>76</v>
      </c>
      <c r="B56" s="148">
        <v>2217</v>
      </c>
      <c r="C56" s="148"/>
      <c r="D56" t="s">
        <v>1528</v>
      </c>
    </row>
    <row r="57" spans="1:4" x14ac:dyDescent="0.35">
      <c r="A57" s="109" t="s">
        <v>77</v>
      </c>
      <c r="B57" s="148">
        <v>1998</v>
      </c>
      <c r="C57" s="148"/>
      <c r="D57" t="s">
        <v>1528</v>
      </c>
    </row>
    <row r="58" spans="1:4" x14ac:dyDescent="0.35">
      <c r="A58" s="109" t="s">
        <v>78</v>
      </c>
      <c r="B58" s="148">
        <v>2221</v>
      </c>
      <c r="C58" s="148"/>
      <c r="D58" t="s">
        <v>1528</v>
      </c>
    </row>
    <row r="59" spans="1:4" x14ac:dyDescent="0.35">
      <c r="A59" s="109" t="s">
        <v>79</v>
      </c>
      <c r="B59" s="148">
        <v>1930</v>
      </c>
      <c r="C59" s="148"/>
      <c r="D59" t="s">
        <v>1528</v>
      </c>
    </row>
    <row r="60" spans="1:4" x14ac:dyDescent="0.35">
      <c r="A60" s="109" t="s">
        <v>80</v>
      </c>
      <c r="B60" s="148">
        <v>2082</v>
      </c>
      <c r="C60" s="148"/>
      <c r="D60" t="s">
        <v>1528</v>
      </c>
    </row>
    <row r="61" spans="1:4" x14ac:dyDescent="0.35">
      <c r="A61" s="109" t="s">
        <v>81</v>
      </c>
      <c r="B61" s="148">
        <v>2193</v>
      </c>
      <c r="C61" s="148"/>
      <c r="D61" t="s">
        <v>1528</v>
      </c>
    </row>
    <row r="62" spans="1:4" x14ac:dyDescent="0.35">
      <c r="A62" s="109" t="s">
        <v>82</v>
      </c>
      <c r="B62" s="148">
        <v>2084</v>
      </c>
      <c r="C62" s="148"/>
      <c r="D62" t="s">
        <v>1528</v>
      </c>
    </row>
    <row r="63" spans="1:4" x14ac:dyDescent="0.35">
      <c r="A63" s="109" t="s">
        <v>83</v>
      </c>
      <c r="B63" s="148">
        <v>2241</v>
      </c>
      <c r="C63" s="148"/>
      <c r="D63" t="s">
        <v>1528</v>
      </c>
    </row>
    <row r="64" spans="1:4" x14ac:dyDescent="0.35">
      <c r="A64" s="109" t="s">
        <v>84</v>
      </c>
      <c r="B64" s="148">
        <v>2248</v>
      </c>
      <c r="C64" s="148"/>
      <c r="D64" t="s">
        <v>1528</v>
      </c>
    </row>
    <row r="65" spans="1:4" x14ac:dyDescent="0.35">
      <c r="A65" s="109" t="s">
        <v>85</v>
      </c>
      <c r="B65" s="148">
        <v>2020</v>
      </c>
      <c r="C65" s="148"/>
      <c r="D65" t="s">
        <v>1528</v>
      </c>
    </row>
    <row r="66" spans="1:4" x14ac:dyDescent="0.35">
      <c r="A66" s="109" t="s">
        <v>86</v>
      </c>
      <c r="B66" s="148">
        <v>2245</v>
      </c>
      <c r="C66" s="148"/>
      <c r="D66" t="s">
        <v>1528</v>
      </c>
    </row>
    <row r="67" spans="1:4" x14ac:dyDescent="0.35">
      <c r="A67" s="109" t="s">
        <v>87</v>
      </c>
      <c r="B67" s="148">
        <v>2137</v>
      </c>
      <c r="C67" s="148"/>
      <c r="D67" t="s">
        <v>1528</v>
      </c>
    </row>
    <row r="68" spans="1:4" x14ac:dyDescent="0.35">
      <c r="A68" s="109" t="s">
        <v>88</v>
      </c>
      <c r="B68" s="148">
        <v>1931</v>
      </c>
      <c r="C68" s="148"/>
      <c r="D68" t="s">
        <v>1528</v>
      </c>
    </row>
    <row r="69" spans="1:4" x14ac:dyDescent="0.35">
      <c r="A69" s="109" t="s">
        <v>89</v>
      </c>
      <c r="B69" s="148">
        <v>2000</v>
      </c>
      <c r="C69" s="148"/>
      <c r="D69" t="s">
        <v>1528</v>
      </c>
    </row>
    <row r="70" spans="1:4" x14ac:dyDescent="0.35">
      <c r="A70" s="109" t="s">
        <v>90</v>
      </c>
      <c r="B70" s="148">
        <v>1992</v>
      </c>
      <c r="C70" s="148"/>
      <c r="D70" t="s">
        <v>1528</v>
      </c>
    </row>
    <row r="71" spans="1:4" x14ac:dyDescent="0.35">
      <c r="A71" s="109" t="s">
        <v>91</v>
      </c>
      <c r="B71" s="148">
        <v>2054</v>
      </c>
      <c r="C71" s="148"/>
      <c r="D71" t="s">
        <v>1528</v>
      </c>
    </row>
    <row r="72" spans="1:4" x14ac:dyDescent="0.35">
      <c r="A72" s="109" t="s">
        <v>92</v>
      </c>
      <c r="B72" s="148">
        <v>2100</v>
      </c>
      <c r="C72" s="148"/>
      <c r="D72" t="s">
        <v>1528</v>
      </c>
    </row>
    <row r="73" spans="1:4" x14ac:dyDescent="0.35">
      <c r="A73" s="109" t="s">
        <v>93</v>
      </c>
      <c r="B73" s="148">
        <v>2183</v>
      </c>
      <c r="C73" s="148"/>
      <c r="D73" t="s">
        <v>1528</v>
      </c>
    </row>
    <row r="74" spans="1:4" x14ac:dyDescent="0.35">
      <c r="A74" s="109" t="s">
        <v>94</v>
      </c>
      <c r="B74" s="148">
        <v>2014</v>
      </c>
      <c r="C74" s="148"/>
      <c r="D74" t="s">
        <v>1528</v>
      </c>
    </row>
    <row r="75" spans="1:4" x14ac:dyDescent="0.35">
      <c r="A75" s="109" t="s">
        <v>95</v>
      </c>
      <c r="B75" s="148">
        <v>2015</v>
      </c>
      <c r="C75" s="148"/>
      <c r="D75" t="s">
        <v>1528</v>
      </c>
    </row>
    <row r="76" spans="1:4" x14ac:dyDescent="0.35">
      <c r="A76" s="109" t="s">
        <v>96</v>
      </c>
      <c r="B76" s="148">
        <v>2023</v>
      </c>
      <c r="C76" s="148"/>
      <c r="D76" t="s">
        <v>1528</v>
      </c>
    </row>
    <row r="77" spans="1:4" x14ac:dyDescent="0.35">
      <c r="A77" s="109" t="s">
        <v>97</v>
      </c>
      <c r="B77" s="148">
        <v>2114</v>
      </c>
      <c r="C77" s="148"/>
      <c r="D77" t="s">
        <v>1528</v>
      </c>
    </row>
    <row r="78" spans="1:4" x14ac:dyDescent="0.35">
      <c r="A78" s="109" t="s">
        <v>98</v>
      </c>
      <c r="B78" s="148">
        <v>2099</v>
      </c>
      <c r="C78" s="148"/>
      <c r="D78" t="s">
        <v>1528</v>
      </c>
    </row>
    <row r="79" spans="1:4" x14ac:dyDescent="0.35">
      <c r="A79" s="109" t="s">
        <v>99</v>
      </c>
      <c r="B79" s="148">
        <v>2201</v>
      </c>
      <c r="C79" s="148"/>
      <c r="D79" t="s">
        <v>1528</v>
      </c>
    </row>
    <row r="80" spans="1:4" x14ac:dyDescent="0.35">
      <c r="A80" s="109" t="s">
        <v>100</v>
      </c>
      <c r="B80" s="148">
        <v>2206</v>
      </c>
      <c r="C80" s="148"/>
      <c r="D80" t="s">
        <v>1528</v>
      </c>
    </row>
    <row r="81" spans="1:4" x14ac:dyDescent="0.35">
      <c r="A81" s="109" t="s">
        <v>101</v>
      </c>
      <c r="B81" s="148">
        <v>2239</v>
      </c>
      <c r="C81" s="148"/>
      <c r="D81" t="s">
        <v>1528</v>
      </c>
    </row>
    <row r="82" spans="1:4" x14ac:dyDescent="0.35">
      <c r="A82" s="109" t="s">
        <v>102</v>
      </c>
      <c r="B82" s="148">
        <v>2024</v>
      </c>
      <c r="C82" s="148"/>
      <c r="D82" t="s">
        <v>1528</v>
      </c>
    </row>
    <row r="83" spans="1:4" x14ac:dyDescent="0.35">
      <c r="A83" s="109" t="s">
        <v>103</v>
      </c>
      <c r="B83" s="148">
        <v>1895</v>
      </c>
      <c r="C83" s="148"/>
      <c r="D83" t="s">
        <v>1528</v>
      </c>
    </row>
    <row r="84" spans="1:4" x14ac:dyDescent="0.35">
      <c r="A84" s="109" t="s">
        <v>104</v>
      </c>
      <c r="B84" s="148">
        <v>2215</v>
      </c>
      <c r="C84" s="148"/>
      <c r="D84" t="s">
        <v>1528</v>
      </c>
    </row>
    <row r="85" spans="1:4" x14ac:dyDescent="0.35">
      <c r="A85" s="109" t="s">
        <v>105</v>
      </c>
      <c r="B85" s="148">
        <v>3997</v>
      </c>
      <c r="C85" s="148"/>
      <c r="D85" t="s">
        <v>1528</v>
      </c>
    </row>
    <row r="86" spans="1:4" x14ac:dyDescent="0.35">
      <c r="A86" s="109" t="s">
        <v>106</v>
      </c>
      <c r="B86" s="148">
        <v>2053</v>
      </c>
      <c r="C86" s="148"/>
      <c r="D86" t="s">
        <v>1528</v>
      </c>
    </row>
    <row r="87" spans="1:4" x14ac:dyDescent="0.35">
      <c r="A87" s="109" t="s">
        <v>107</v>
      </c>
      <c r="B87" s="148">
        <v>2140</v>
      </c>
      <c r="C87" s="148"/>
      <c r="D87" t="s">
        <v>1528</v>
      </c>
    </row>
    <row r="88" spans="1:4" x14ac:dyDescent="0.35">
      <c r="A88" s="109" t="s">
        <v>108</v>
      </c>
      <c r="B88" s="148">
        <v>1934</v>
      </c>
      <c r="C88" s="148"/>
      <c r="D88" t="s">
        <v>1528</v>
      </c>
    </row>
    <row r="89" spans="1:4" x14ac:dyDescent="0.35">
      <c r="A89" s="109" t="s">
        <v>109</v>
      </c>
      <c r="B89" s="148">
        <v>2008</v>
      </c>
      <c r="C89" s="148"/>
      <c r="D89" t="s">
        <v>1528</v>
      </c>
    </row>
    <row r="90" spans="1:4" x14ac:dyDescent="0.35">
      <c r="A90" s="109" t="s">
        <v>110</v>
      </c>
      <c r="B90" s="148">
        <v>2107</v>
      </c>
      <c r="C90" s="148"/>
      <c r="D90" t="s">
        <v>1528</v>
      </c>
    </row>
    <row r="91" spans="1:4" x14ac:dyDescent="0.35">
      <c r="A91" s="109" t="s">
        <v>111</v>
      </c>
      <c r="B91" s="148">
        <v>2219</v>
      </c>
      <c r="C91" s="148"/>
      <c r="D91" t="s">
        <v>1528</v>
      </c>
    </row>
    <row r="92" spans="1:4" x14ac:dyDescent="0.35">
      <c r="A92" s="109" t="s">
        <v>112</v>
      </c>
      <c r="B92" s="148">
        <v>2091</v>
      </c>
      <c r="C92" s="148"/>
      <c r="D92" t="s">
        <v>1528</v>
      </c>
    </row>
    <row r="93" spans="1:4" x14ac:dyDescent="0.35">
      <c r="A93" s="109" t="s">
        <v>113</v>
      </c>
      <c r="B93" s="148">
        <v>2109</v>
      </c>
      <c r="C93" s="148"/>
      <c r="D93" t="s">
        <v>1528</v>
      </c>
    </row>
    <row r="94" spans="1:4" x14ac:dyDescent="0.35">
      <c r="A94" s="109" t="s">
        <v>114</v>
      </c>
      <c r="B94" s="148">
        <v>2057</v>
      </c>
      <c r="C94" s="148"/>
      <c r="D94" t="s">
        <v>1527</v>
      </c>
    </row>
    <row r="95" spans="1:4" x14ac:dyDescent="0.35">
      <c r="A95" s="109" t="s">
        <v>115</v>
      </c>
      <c r="B95" s="148">
        <v>2056</v>
      </c>
      <c r="C95" s="148"/>
      <c r="D95" t="s">
        <v>1528</v>
      </c>
    </row>
    <row r="96" spans="1:4" x14ac:dyDescent="0.35">
      <c r="A96" s="109" t="s">
        <v>116</v>
      </c>
      <c r="B96" s="148">
        <v>2262</v>
      </c>
      <c r="C96" s="148"/>
      <c r="D96" t="s">
        <v>1528</v>
      </c>
    </row>
    <row r="97" spans="1:4" x14ac:dyDescent="0.35">
      <c r="A97" s="109" t="s">
        <v>117</v>
      </c>
      <c r="B97" s="148">
        <v>2212</v>
      </c>
      <c r="C97" s="148"/>
      <c r="D97" t="s">
        <v>1528</v>
      </c>
    </row>
    <row r="98" spans="1:4" x14ac:dyDescent="0.35">
      <c r="A98" s="109" t="s">
        <v>118</v>
      </c>
      <c r="B98" s="148">
        <v>2059</v>
      </c>
      <c r="C98" s="148"/>
      <c r="D98" t="s">
        <v>1528</v>
      </c>
    </row>
    <row r="99" spans="1:4" x14ac:dyDescent="0.35">
      <c r="A99" s="109" t="s">
        <v>119</v>
      </c>
      <c r="B99" s="148">
        <v>1923</v>
      </c>
      <c r="C99" s="148"/>
      <c r="D99" t="s">
        <v>1528</v>
      </c>
    </row>
    <row r="100" spans="1:4" x14ac:dyDescent="0.35">
      <c r="A100" s="109" t="s">
        <v>120</v>
      </c>
      <c r="B100" s="148">
        <v>2101</v>
      </c>
      <c r="C100" s="148"/>
      <c r="D100" t="s">
        <v>1528</v>
      </c>
    </row>
    <row r="101" spans="1:4" x14ac:dyDescent="0.35">
      <c r="A101" s="109" t="s">
        <v>121</v>
      </c>
      <c r="B101" s="148">
        <v>2097</v>
      </c>
      <c r="C101" s="148"/>
      <c r="D101" t="s">
        <v>1528</v>
      </c>
    </row>
    <row r="102" spans="1:4" x14ac:dyDescent="0.35">
      <c r="A102" s="109" t="s">
        <v>122</v>
      </c>
      <c r="B102" s="148">
        <v>2012</v>
      </c>
      <c r="C102" s="148"/>
      <c r="D102" t="s">
        <v>1528</v>
      </c>
    </row>
    <row r="103" spans="1:4" x14ac:dyDescent="0.35">
      <c r="A103" s="109" t="s">
        <v>123</v>
      </c>
      <c r="B103" s="148">
        <v>2092</v>
      </c>
      <c r="C103" s="148"/>
      <c r="D103" t="s">
        <v>1528</v>
      </c>
    </row>
    <row r="104" spans="1:4" x14ac:dyDescent="0.35">
      <c r="A104" s="109" t="s">
        <v>124</v>
      </c>
      <c r="B104" s="148">
        <v>2112</v>
      </c>
      <c r="C104" s="148"/>
      <c r="D104" t="s">
        <v>1528</v>
      </c>
    </row>
    <row r="105" spans="1:4" x14ac:dyDescent="0.35">
      <c r="A105" s="109" t="s">
        <v>125</v>
      </c>
      <c r="B105" s="148">
        <v>2085</v>
      </c>
      <c r="C105" s="148"/>
      <c r="D105" t="s">
        <v>1528</v>
      </c>
    </row>
    <row r="106" spans="1:4" x14ac:dyDescent="0.35">
      <c r="A106" s="109" t="s">
        <v>126</v>
      </c>
      <c r="B106" s="148">
        <v>2094</v>
      </c>
      <c r="C106" s="148"/>
      <c r="D106" t="s">
        <v>1528</v>
      </c>
    </row>
    <row r="107" spans="1:4" x14ac:dyDescent="0.35">
      <c r="A107" s="109" t="s">
        <v>127</v>
      </c>
      <c r="B107" s="148">
        <v>2090</v>
      </c>
      <c r="C107" s="148"/>
      <c r="D107" t="s">
        <v>1528</v>
      </c>
    </row>
    <row r="108" spans="1:4" x14ac:dyDescent="0.35">
      <c r="A108" s="109" t="s">
        <v>128</v>
      </c>
      <c r="B108" s="148">
        <v>2256</v>
      </c>
      <c r="C108" s="148"/>
      <c r="D108" t="s">
        <v>1528</v>
      </c>
    </row>
    <row r="109" spans="1:4" x14ac:dyDescent="0.35">
      <c r="A109" s="109" t="s">
        <v>129</v>
      </c>
      <c r="B109" s="148">
        <v>2048</v>
      </c>
      <c r="C109" s="148"/>
      <c r="D109" t="s">
        <v>1528</v>
      </c>
    </row>
    <row r="110" spans="1:4" x14ac:dyDescent="0.35">
      <c r="A110" s="109" t="s">
        <v>130</v>
      </c>
      <c r="B110" s="148">
        <v>2205</v>
      </c>
      <c r="C110" s="148"/>
      <c r="D110" t="s">
        <v>1528</v>
      </c>
    </row>
    <row r="111" spans="1:4" x14ac:dyDescent="0.35">
      <c r="A111" s="109" t="s">
        <v>131</v>
      </c>
      <c r="B111" s="148">
        <v>2249</v>
      </c>
      <c r="C111" s="148"/>
      <c r="D111" t="s">
        <v>1528</v>
      </c>
    </row>
    <row r="112" spans="1:4" x14ac:dyDescent="0.35">
      <c r="A112" s="109" t="s">
        <v>132</v>
      </c>
      <c r="B112" s="148">
        <v>1925</v>
      </c>
      <c r="C112" s="148"/>
      <c r="D112" t="s">
        <v>1528</v>
      </c>
    </row>
    <row r="113" spans="1:4" x14ac:dyDescent="0.35">
      <c r="A113" s="109" t="s">
        <v>133</v>
      </c>
      <c r="B113" s="148">
        <v>1898</v>
      </c>
      <c r="C113" s="148"/>
      <c r="D113" t="s">
        <v>1528</v>
      </c>
    </row>
    <row r="114" spans="1:4" x14ac:dyDescent="0.35">
      <c r="A114" s="109" t="s">
        <v>134</v>
      </c>
      <c r="B114" s="148">
        <v>2010</v>
      </c>
      <c r="C114" s="148"/>
      <c r="D114" t="s">
        <v>1528</v>
      </c>
    </row>
    <row r="115" spans="1:4" x14ac:dyDescent="0.35">
      <c r="A115" s="109" t="s">
        <v>135</v>
      </c>
      <c r="B115" s="148">
        <v>2147</v>
      </c>
      <c r="C115" s="148"/>
      <c r="D115" t="s">
        <v>1527</v>
      </c>
    </row>
    <row r="116" spans="1:4" x14ac:dyDescent="0.35">
      <c r="A116" s="109" t="s">
        <v>136</v>
      </c>
      <c r="B116" s="148">
        <v>2145</v>
      </c>
      <c r="C116" s="148"/>
      <c r="D116" t="s">
        <v>1528</v>
      </c>
    </row>
    <row r="117" spans="1:4" x14ac:dyDescent="0.35">
      <c r="A117" s="109" t="s">
        <v>137</v>
      </c>
      <c r="B117" s="148">
        <v>1968</v>
      </c>
      <c r="C117" s="148"/>
      <c r="D117" t="s">
        <v>1528</v>
      </c>
    </row>
    <row r="118" spans="1:4" x14ac:dyDescent="0.35">
      <c r="A118" s="109" t="s">
        <v>138</v>
      </c>
      <c r="B118" s="148">
        <v>2198</v>
      </c>
      <c r="C118" s="148"/>
      <c r="D118" t="s">
        <v>1528</v>
      </c>
    </row>
    <row r="119" spans="1:4" x14ac:dyDescent="0.35">
      <c r="A119" s="109" t="s">
        <v>139</v>
      </c>
      <c r="B119" s="148">
        <v>2199</v>
      </c>
      <c r="C119" s="148"/>
      <c r="D119" t="s">
        <v>1528</v>
      </c>
    </row>
    <row r="120" spans="1:4" x14ac:dyDescent="0.35">
      <c r="A120" s="109" t="s">
        <v>140</v>
      </c>
      <c r="B120" s="148">
        <v>2254</v>
      </c>
      <c r="C120" s="148"/>
      <c r="D120" t="s">
        <v>1528</v>
      </c>
    </row>
    <row r="121" spans="1:4" x14ac:dyDescent="0.35">
      <c r="A121" s="109" t="s">
        <v>141</v>
      </c>
      <c r="B121" s="148">
        <v>1966</v>
      </c>
      <c r="C121" s="148"/>
      <c r="D121" t="s">
        <v>1528</v>
      </c>
    </row>
    <row r="122" spans="1:4" x14ac:dyDescent="0.35">
      <c r="A122" s="109" t="s">
        <v>142</v>
      </c>
      <c r="B122" s="148">
        <v>1924</v>
      </c>
      <c r="C122" s="148"/>
      <c r="D122" t="s">
        <v>1528</v>
      </c>
    </row>
    <row r="123" spans="1:4" x14ac:dyDescent="0.35">
      <c r="A123" s="109" t="s">
        <v>143</v>
      </c>
      <c r="B123" s="148">
        <v>1996</v>
      </c>
      <c r="C123" s="148"/>
      <c r="D123" t="s">
        <v>1528</v>
      </c>
    </row>
    <row r="124" spans="1:4" x14ac:dyDescent="0.35">
      <c r="A124" s="109" t="s">
        <v>144</v>
      </c>
      <c r="B124" s="148">
        <v>2061</v>
      </c>
      <c r="C124" s="148"/>
      <c r="D124" t="s">
        <v>1528</v>
      </c>
    </row>
    <row r="125" spans="1:4" x14ac:dyDescent="0.35">
      <c r="A125" s="109" t="s">
        <v>145</v>
      </c>
      <c r="B125" s="148">
        <v>2141</v>
      </c>
      <c r="C125" s="148"/>
      <c r="D125" t="s">
        <v>1528</v>
      </c>
    </row>
    <row r="126" spans="1:4" x14ac:dyDescent="0.35">
      <c r="A126" s="109" t="s">
        <v>146</v>
      </c>
      <c r="B126" s="148">
        <v>2214</v>
      </c>
      <c r="C126" s="148"/>
      <c r="D126" t="s">
        <v>1528</v>
      </c>
    </row>
    <row r="127" spans="1:4" x14ac:dyDescent="0.35">
      <c r="A127" s="109" t="s">
        <v>147</v>
      </c>
      <c r="B127" s="148">
        <v>2143</v>
      </c>
      <c r="C127" s="148"/>
      <c r="D127" t="s">
        <v>1528</v>
      </c>
    </row>
    <row r="128" spans="1:4" x14ac:dyDescent="0.35">
      <c r="A128" s="109" t="s">
        <v>148</v>
      </c>
      <c r="B128" s="148">
        <v>4131</v>
      </c>
      <c r="C128" s="148"/>
      <c r="D128" t="s">
        <v>1528</v>
      </c>
    </row>
    <row r="129" spans="1:4" x14ac:dyDescent="0.35">
      <c r="A129" s="109" t="s">
        <v>149</v>
      </c>
      <c r="B129" s="148">
        <v>2110</v>
      </c>
      <c r="C129" s="148"/>
      <c r="D129" t="s">
        <v>1528</v>
      </c>
    </row>
    <row r="130" spans="1:4" x14ac:dyDescent="0.35">
      <c r="A130" s="109" t="s">
        <v>150</v>
      </c>
      <c r="B130" s="148">
        <v>1990</v>
      </c>
      <c r="C130" s="148"/>
      <c r="D130" t="s">
        <v>1528</v>
      </c>
    </row>
    <row r="131" spans="1:4" x14ac:dyDescent="0.35">
      <c r="A131" s="109" t="s">
        <v>151</v>
      </c>
      <c r="B131" s="148">
        <v>2093</v>
      </c>
      <c r="C131" s="148"/>
      <c r="D131" t="s">
        <v>1528</v>
      </c>
    </row>
    <row r="132" spans="1:4" x14ac:dyDescent="0.35">
      <c r="A132" s="109" t="s">
        <v>152</v>
      </c>
      <c r="B132" s="148">
        <v>2108</v>
      </c>
      <c r="C132" s="148"/>
      <c r="D132" t="s">
        <v>1528</v>
      </c>
    </row>
    <row r="133" spans="1:4" x14ac:dyDescent="0.35">
      <c r="A133" s="109" t="s">
        <v>153</v>
      </c>
      <c r="B133" s="148">
        <v>1928</v>
      </c>
      <c r="C133" s="148"/>
      <c r="D133" t="s">
        <v>1528</v>
      </c>
    </row>
    <row r="134" spans="1:4" x14ac:dyDescent="0.35">
      <c r="A134" s="109" t="s">
        <v>154</v>
      </c>
      <c r="B134" s="148">
        <v>1926</v>
      </c>
      <c r="C134" s="148"/>
      <c r="D134" t="s">
        <v>1528</v>
      </c>
    </row>
    <row r="135" spans="1:4" x14ac:dyDescent="0.35">
      <c r="A135" s="109" t="s">
        <v>155</v>
      </c>
      <c r="B135" s="148">
        <v>2060</v>
      </c>
      <c r="C135" s="148"/>
      <c r="D135" t="s">
        <v>1528</v>
      </c>
    </row>
    <row r="136" spans="1:4" x14ac:dyDescent="0.35">
      <c r="A136" s="109" t="s">
        <v>156</v>
      </c>
      <c r="B136" s="148">
        <v>2181</v>
      </c>
      <c r="C136" s="148"/>
      <c r="D136" t="s">
        <v>1528</v>
      </c>
    </row>
    <row r="137" spans="1:4" x14ac:dyDescent="0.35">
      <c r="A137" s="109" t="s">
        <v>157</v>
      </c>
      <c r="B137" s="148">
        <v>2207</v>
      </c>
      <c r="C137" s="148"/>
      <c r="D137" t="s">
        <v>1528</v>
      </c>
    </row>
    <row r="138" spans="1:4" x14ac:dyDescent="0.35">
      <c r="A138" s="109" t="s">
        <v>158</v>
      </c>
      <c r="B138" s="148">
        <v>2192</v>
      </c>
      <c r="C138" s="148"/>
      <c r="D138" t="s">
        <v>1528</v>
      </c>
    </row>
    <row r="139" spans="1:4" x14ac:dyDescent="0.35">
      <c r="A139" s="109" t="s">
        <v>160</v>
      </c>
      <c r="B139" s="148">
        <v>1900</v>
      </c>
      <c r="C139" s="148"/>
      <c r="D139" t="s">
        <v>1528</v>
      </c>
    </row>
    <row r="140" spans="1:4" x14ac:dyDescent="0.35">
      <c r="A140" s="109" t="s">
        <v>161</v>
      </c>
      <c r="B140" s="148">
        <v>2039</v>
      </c>
      <c r="C140" s="148"/>
      <c r="D140" t="s">
        <v>1528</v>
      </c>
    </row>
    <row r="141" spans="1:4" x14ac:dyDescent="0.35">
      <c r="A141" s="109" t="s">
        <v>162</v>
      </c>
      <c r="B141" s="148">
        <v>2202</v>
      </c>
      <c r="C141" s="148"/>
      <c r="D141" t="s">
        <v>1528</v>
      </c>
    </row>
    <row r="142" spans="1:4" x14ac:dyDescent="0.35">
      <c r="A142" s="109" t="s">
        <v>163</v>
      </c>
      <c r="B142" s="148">
        <v>2016</v>
      </c>
      <c r="C142" s="148"/>
      <c r="D142" t="s">
        <v>1528</v>
      </c>
    </row>
    <row r="143" spans="1:4" x14ac:dyDescent="0.35">
      <c r="A143" s="109" t="s">
        <v>164</v>
      </c>
      <c r="B143" s="148">
        <v>1897</v>
      </c>
      <c r="C143" s="148"/>
      <c r="D143" t="s">
        <v>1528</v>
      </c>
    </row>
    <row r="144" spans="1:4" x14ac:dyDescent="0.35">
      <c r="A144" s="109" t="s">
        <v>165</v>
      </c>
      <c r="B144" s="148">
        <v>2047</v>
      </c>
      <c r="C144" s="148"/>
      <c r="D144" t="s">
        <v>1528</v>
      </c>
    </row>
    <row r="145" spans="1:4" x14ac:dyDescent="0.35">
      <c r="A145" s="109" t="s">
        <v>166</v>
      </c>
      <c r="B145" s="148">
        <v>2081</v>
      </c>
      <c r="C145" s="148"/>
      <c r="D145" t="s">
        <v>1528</v>
      </c>
    </row>
    <row r="146" spans="1:4" x14ac:dyDescent="0.35">
      <c r="A146" s="109" t="s">
        <v>167</v>
      </c>
      <c r="B146" s="148">
        <v>2062</v>
      </c>
      <c r="C146" s="148"/>
      <c r="D146" t="s">
        <v>1528</v>
      </c>
    </row>
    <row r="147" spans="1:4" x14ac:dyDescent="0.35">
      <c r="A147" s="109" t="s">
        <v>168</v>
      </c>
      <c r="B147" s="148">
        <v>1973</v>
      </c>
      <c r="C147" s="148"/>
      <c r="D147" t="s">
        <v>1528</v>
      </c>
    </row>
    <row r="148" spans="1:4" x14ac:dyDescent="0.35">
      <c r="A148" s="109" t="s">
        <v>169</v>
      </c>
      <c r="B148" s="148">
        <v>2180</v>
      </c>
      <c r="C148" s="148"/>
      <c r="D148" t="s">
        <v>1527</v>
      </c>
    </row>
    <row r="149" spans="1:4" x14ac:dyDescent="0.35">
      <c r="A149" s="109" t="s">
        <v>170</v>
      </c>
      <c r="B149" s="148">
        <v>1967</v>
      </c>
      <c r="C149" s="148"/>
      <c r="D149" t="s">
        <v>1528</v>
      </c>
    </row>
    <row r="150" spans="1:4" x14ac:dyDescent="0.35">
      <c r="A150" s="109" t="s">
        <v>171</v>
      </c>
      <c r="B150" s="148">
        <v>2009</v>
      </c>
      <c r="C150" s="148"/>
      <c r="D150" t="s">
        <v>1528</v>
      </c>
    </row>
    <row r="151" spans="1:4" x14ac:dyDescent="0.35">
      <c r="A151" s="109" t="s">
        <v>172</v>
      </c>
      <c r="B151" s="148">
        <v>2045</v>
      </c>
      <c r="C151" s="148"/>
      <c r="D151" t="s">
        <v>1528</v>
      </c>
    </row>
    <row r="152" spans="1:4" x14ac:dyDescent="0.35">
      <c r="A152" s="109" t="s">
        <v>173</v>
      </c>
      <c r="B152" s="148">
        <v>1946</v>
      </c>
      <c r="C152" s="148"/>
      <c r="D152" t="s">
        <v>1528</v>
      </c>
    </row>
    <row r="153" spans="1:4" x14ac:dyDescent="0.35">
      <c r="A153" s="109" t="s">
        <v>174</v>
      </c>
      <c r="B153" s="148">
        <v>1977</v>
      </c>
      <c r="C153" s="148"/>
      <c r="D153" t="s">
        <v>1528</v>
      </c>
    </row>
    <row r="154" spans="1:4" x14ac:dyDescent="0.35">
      <c r="A154" s="109" t="s">
        <v>175</v>
      </c>
      <c r="B154" s="148">
        <v>2001</v>
      </c>
      <c r="C154" s="148"/>
      <c r="D154" t="s">
        <v>1528</v>
      </c>
    </row>
    <row r="155" spans="1:4" x14ac:dyDescent="0.35">
      <c r="A155" s="109" t="s">
        <v>176</v>
      </c>
      <c r="B155" s="148">
        <v>2182</v>
      </c>
      <c r="C155" s="148"/>
      <c r="D155" t="s">
        <v>1528</v>
      </c>
    </row>
    <row r="156" spans="1:4" x14ac:dyDescent="0.35">
      <c r="A156" s="109" t="s">
        <v>177</v>
      </c>
      <c r="B156" s="148">
        <v>1999</v>
      </c>
      <c r="C156" s="148"/>
      <c r="D156" t="s">
        <v>1528</v>
      </c>
    </row>
    <row r="157" spans="1:4" x14ac:dyDescent="0.35">
      <c r="A157" s="109" t="s">
        <v>178</v>
      </c>
      <c r="B157" s="148">
        <v>2188</v>
      </c>
      <c r="C157" s="148"/>
      <c r="D157" t="s">
        <v>1528</v>
      </c>
    </row>
    <row r="158" spans="1:4" x14ac:dyDescent="0.35">
      <c r="A158" s="109" t="s">
        <v>179</v>
      </c>
      <c r="B158" s="148">
        <v>2044</v>
      </c>
      <c r="C158" s="148"/>
      <c r="D158" t="s">
        <v>1528</v>
      </c>
    </row>
    <row r="159" spans="1:4" x14ac:dyDescent="0.35">
      <c r="A159" s="109" t="s">
        <v>180</v>
      </c>
      <c r="B159" s="148">
        <v>2142</v>
      </c>
      <c r="C159" s="148"/>
      <c r="D159" t="s">
        <v>1528</v>
      </c>
    </row>
    <row r="160" spans="1:4" x14ac:dyDescent="0.35">
      <c r="A160" s="109" t="s">
        <v>181</v>
      </c>
      <c r="B160" s="148">
        <v>2104</v>
      </c>
      <c r="C160" s="148"/>
      <c r="D160" t="s">
        <v>1528</v>
      </c>
    </row>
    <row r="161" spans="1:4" x14ac:dyDescent="0.35">
      <c r="A161" s="109" t="s">
        <v>182</v>
      </c>
      <c r="B161" s="148">
        <v>1944</v>
      </c>
      <c r="C161" s="148"/>
      <c r="D161" t="s">
        <v>1528</v>
      </c>
    </row>
    <row r="162" spans="1:4" x14ac:dyDescent="0.35">
      <c r="A162" s="109" t="s">
        <v>183</v>
      </c>
      <c r="B162" s="148">
        <v>2103</v>
      </c>
      <c r="C162" s="148"/>
      <c r="D162" t="s">
        <v>1528</v>
      </c>
    </row>
    <row r="163" spans="1:4" x14ac:dyDescent="0.35">
      <c r="A163" s="109" t="s">
        <v>184</v>
      </c>
      <c r="B163" s="148">
        <v>1935</v>
      </c>
      <c r="C163" s="148"/>
      <c r="D163" t="s">
        <v>1528</v>
      </c>
    </row>
    <row r="164" spans="1:4" x14ac:dyDescent="0.35">
      <c r="A164" s="109" t="s">
        <v>185</v>
      </c>
      <c r="B164" s="148">
        <v>2257</v>
      </c>
      <c r="C164" s="148"/>
      <c r="D164" t="s">
        <v>1528</v>
      </c>
    </row>
    <row r="165" spans="1:4" x14ac:dyDescent="0.35">
      <c r="A165" s="109" t="s">
        <v>186</v>
      </c>
      <c r="B165" s="148">
        <v>2195</v>
      </c>
      <c r="C165" s="148"/>
      <c r="D165" t="s">
        <v>1528</v>
      </c>
    </row>
    <row r="166" spans="1:4" x14ac:dyDescent="0.35">
      <c r="A166" s="109" t="s">
        <v>187</v>
      </c>
      <c r="B166" s="148">
        <v>2244</v>
      </c>
      <c r="C166" s="148"/>
      <c r="D166" t="s">
        <v>1528</v>
      </c>
    </row>
    <row r="167" spans="1:4" x14ac:dyDescent="0.35">
      <c r="A167" s="109" t="s">
        <v>188</v>
      </c>
      <c r="B167" s="148">
        <v>2138</v>
      </c>
      <c r="C167" s="148"/>
      <c r="D167" t="s">
        <v>1528</v>
      </c>
    </row>
    <row r="168" spans="1:4" x14ac:dyDescent="0.35">
      <c r="A168" s="109" t="s">
        <v>189</v>
      </c>
      <c r="B168" s="148">
        <v>1978</v>
      </c>
      <c r="C168" s="148"/>
      <c r="D168" t="s">
        <v>1528</v>
      </c>
    </row>
    <row r="169" spans="1:4" x14ac:dyDescent="0.35">
      <c r="A169" s="109" t="s">
        <v>190</v>
      </c>
      <c r="B169" s="148">
        <v>2096</v>
      </c>
      <c r="C169" s="148"/>
      <c r="D169" t="s">
        <v>1528</v>
      </c>
    </row>
    <row r="170" spans="1:4" x14ac:dyDescent="0.35">
      <c r="A170" s="109" t="s">
        <v>191</v>
      </c>
      <c r="B170" s="148">
        <v>2022</v>
      </c>
      <c r="C170" s="148"/>
      <c r="D170" t="s">
        <v>1528</v>
      </c>
    </row>
    <row r="171" spans="1:4" x14ac:dyDescent="0.35">
      <c r="A171" s="109" t="s">
        <v>192</v>
      </c>
      <c r="B171" s="148">
        <v>2087</v>
      </c>
      <c r="C171" s="148"/>
      <c r="D171" t="s">
        <v>1528</v>
      </c>
    </row>
    <row r="172" spans="1:4" x14ac:dyDescent="0.35">
      <c r="A172" s="109" t="s">
        <v>193</v>
      </c>
      <c r="B172" s="148">
        <v>1994</v>
      </c>
      <c r="C172" s="148"/>
      <c r="D172" t="s">
        <v>1528</v>
      </c>
    </row>
    <row r="173" spans="1:4" x14ac:dyDescent="0.35">
      <c r="A173" s="109" t="s">
        <v>194</v>
      </c>
      <c r="B173" s="148">
        <v>2225</v>
      </c>
      <c r="C173" s="148"/>
      <c r="D173" t="s">
        <v>1528</v>
      </c>
    </row>
    <row r="174" spans="1:4" x14ac:dyDescent="0.35">
      <c r="A174" s="109" t="s">
        <v>195</v>
      </c>
      <c r="B174" s="148">
        <v>2247</v>
      </c>
      <c r="C174" s="148"/>
      <c r="D174" t="s">
        <v>1528</v>
      </c>
    </row>
    <row r="175" spans="1:4" x14ac:dyDescent="0.35">
      <c r="A175" s="109" t="s">
        <v>196</v>
      </c>
      <c r="B175" s="148">
        <v>2083</v>
      </c>
      <c r="C175" s="148"/>
      <c r="D175" t="s">
        <v>1528</v>
      </c>
    </row>
    <row r="176" spans="1:4" x14ac:dyDescent="0.35">
      <c r="A176" s="109" t="s">
        <v>197</v>
      </c>
      <c r="B176" s="148">
        <v>1948</v>
      </c>
      <c r="C176" s="148"/>
      <c r="D176" t="s">
        <v>1528</v>
      </c>
    </row>
    <row r="177" spans="1:4" x14ac:dyDescent="0.35">
      <c r="A177" s="109" t="s">
        <v>198</v>
      </c>
      <c r="B177" s="148">
        <v>2144</v>
      </c>
      <c r="C177" s="148"/>
      <c r="D177" t="s">
        <v>1528</v>
      </c>
    </row>
    <row r="178" spans="1:4" x14ac:dyDescent="0.35">
      <c r="A178" s="109" t="s">
        <v>199</v>
      </c>
      <c r="B178" s="148">
        <v>2209</v>
      </c>
      <c r="C178" s="148"/>
      <c r="D178" t="s">
        <v>1528</v>
      </c>
    </row>
    <row r="179" spans="1:4" x14ac:dyDescent="0.35">
      <c r="A179" s="109" t="s">
        <v>200</v>
      </c>
      <c r="B179" s="148">
        <v>2018</v>
      </c>
      <c r="C179" s="148"/>
      <c r="D179" t="s">
        <v>1528</v>
      </c>
    </row>
    <row r="180" spans="1:4" x14ac:dyDescent="0.35">
      <c r="A180" s="109" t="s">
        <v>201</v>
      </c>
      <c r="B180" s="148">
        <v>2003</v>
      </c>
      <c r="C180" s="148"/>
      <c r="D180" t="s">
        <v>1528</v>
      </c>
    </row>
    <row r="181" spans="1:4" x14ac:dyDescent="0.35">
      <c r="A181" s="109" t="s">
        <v>202</v>
      </c>
      <c r="B181" s="148">
        <v>2102</v>
      </c>
      <c r="C181" s="148"/>
      <c r="D181" t="s">
        <v>1528</v>
      </c>
    </row>
    <row r="182" spans="1:4" x14ac:dyDescent="0.35">
      <c r="A182" s="109" t="s">
        <v>203</v>
      </c>
      <c r="B182" s="148">
        <v>2055</v>
      </c>
      <c r="C182" s="148"/>
      <c r="D182" t="s">
        <v>1528</v>
      </c>
    </row>
    <row r="183" spans="1:4" x14ac:dyDescent="0.35">
      <c r="A183" s="109" t="s">
        <v>204</v>
      </c>
      <c r="B183" s="148">
        <v>2242</v>
      </c>
      <c r="C183" s="148"/>
      <c r="D183" t="s">
        <v>1528</v>
      </c>
    </row>
    <row r="184" spans="1:4" x14ac:dyDescent="0.35">
      <c r="A184" s="109" t="s">
        <v>205</v>
      </c>
      <c r="B184" s="148">
        <v>2197</v>
      </c>
      <c r="C184" s="148"/>
      <c r="D184" t="s">
        <v>1528</v>
      </c>
    </row>
    <row r="185" spans="1:4" x14ac:dyDescent="0.35">
      <c r="A185" s="109" t="s">
        <v>206</v>
      </c>
      <c r="B185" s="148">
        <v>2222</v>
      </c>
      <c r="C185" s="148"/>
      <c r="D185" t="s">
        <v>1528</v>
      </c>
    </row>
    <row r="186" spans="1:4" x14ac:dyDescent="0.35">
      <c r="A186" s="109" t="s">
        <v>207</v>
      </c>
      <c r="B186" s="148">
        <v>2210</v>
      </c>
      <c r="C186" s="148"/>
      <c r="D186" t="s">
        <v>1528</v>
      </c>
    </row>
    <row r="187" spans="1:4" x14ac:dyDescent="0.35">
      <c r="A187" s="109" t="s">
        <v>208</v>
      </c>
      <c r="B187" s="148">
        <v>2204</v>
      </c>
      <c r="C187" s="148"/>
      <c r="D187" t="s">
        <v>1528</v>
      </c>
    </row>
    <row r="188" spans="1:4" x14ac:dyDescent="0.35">
      <c r="A188" s="109" t="s">
        <v>209</v>
      </c>
      <c r="B188" s="148">
        <v>2213</v>
      </c>
      <c r="C188" s="148"/>
      <c r="D188" t="s">
        <v>1528</v>
      </c>
    </row>
    <row r="189" spans="1:4" x14ac:dyDescent="0.35">
      <c r="A189" s="109" t="s">
        <v>210</v>
      </c>
      <c r="B189" s="148">
        <v>2116</v>
      </c>
      <c r="C189" s="148"/>
      <c r="D189" t="s">
        <v>1528</v>
      </c>
    </row>
    <row r="190" spans="1:4" x14ac:dyDescent="0.35">
      <c r="A190" s="109" t="s">
        <v>211</v>
      </c>
      <c r="B190" s="148">
        <v>1947</v>
      </c>
      <c r="C190" s="148"/>
      <c r="D190" t="s">
        <v>1528</v>
      </c>
    </row>
    <row r="191" spans="1:4" x14ac:dyDescent="0.35">
      <c r="A191" s="109" t="s">
        <v>212</v>
      </c>
      <c r="B191" s="148">
        <v>2220</v>
      </c>
      <c r="C191" s="148"/>
      <c r="D191" t="s">
        <v>1528</v>
      </c>
    </row>
    <row r="192" spans="1:4" x14ac:dyDescent="0.35">
      <c r="A192" s="109" t="s">
        <v>213</v>
      </c>
      <c r="B192" s="148">
        <v>1936</v>
      </c>
      <c r="C192" s="148"/>
      <c r="D192" t="s">
        <v>1528</v>
      </c>
    </row>
    <row r="193" spans="1:4" x14ac:dyDescent="0.35">
      <c r="A193" s="109" t="s">
        <v>214</v>
      </c>
      <c r="B193" s="148">
        <v>1922</v>
      </c>
      <c r="C193" s="148"/>
      <c r="D193" t="s">
        <v>1528</v>
      </c>
    </row>
    <row r="194" spans="1:4" x14ac:dyDescent="0.35">
      <c r="A194" s="109" t="s">
        <v>215</v>
      </c>
      <c r="B194" s="148">
        <v>2255</v>
      </c>
      <c r="C194" s="148"/>
      <c r="D194" t="s">
        <v>1528</v>
      </c>
    </row>
    <row r="195" spans="1:4" x14ac:dyDescent="0.35">
      <c r="A195" s="109" t="s">
        <v>216</v>
      </c>
      <c r="B195" s="148">
        <v>2002</v>
      </c>
      <c r="C195" s="148"/>
      <c r="D195" t="s">
        <v>1528</v>
      </c>
    </row>
    <row r="196" spans="1:4" x14ac:dyDescent="0.35">
      <c r="A196" s="109" t="s">
        <v>217</v>
      </c>
      <c r="B196" s="148">
        <v>2146</v>
      </c>
      <c r="C196" s="148"/>
      <c r="D196" t="s">
        <v>1528</v>
      </c>
    </row>
    <row r="197" spans="1:4" x14ac:dyDescent="0.35">
      <c r="A197" s="109" t="s">
        <v>218</v>
      </c>
      <c r="B197" s="148">
        <v>2251</v>
      </c>
      <c r="C197" s="148"/>
      <c r="D197" t="s">
        <v>1528</v>
      </c>
    </row>
    <row r="198" spans="1:4" x14ac:dyDescent="0.35">
      <c r="A198" s="109" t="s">
        <v>219</v>
      </c>
      <c r="B198" s="148">
        <v>1997</v>
      </c>
      <c r="C198" s="148"/>
      <c r="D198" t="s">
        <v>1528</v>
      </c>
    </row>
  </sheetData>
  <sheetProtection selectLockedCells="1" selectUnlockedCells="1"/>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dimension ref="A1:DA24"/>
  <sheetViews>
    <sheetView workbookViewId="0"/>
  </sheetViews>
  <sheetFormatPr defaultRowHeight="14.5" x14ac:dyDescent="0.35"/>
  <cols>
    <col min="1" max="1" width="24.54296875" bestFit="1" customWidth="1"/>
    <col min="2" max="2" width="9.1796875" customWidth="1"/>
  </cols>
  <sheetData>
    <row r="1" spans="1:105" x14ac:dyDescent="0.35">
      <c r="A1" t="s">
        <v>1540</v>
      </c>
      <c r="B1" t="s">
        <v>1541</v>
      </c>
      <c r="C1" t="s">
        <v>1542</v>
      </c>
      <c r="D1" t="s">
        <v>1543</v>
      </c>
      <c r="E1" t="s">
        <v>1544</v>
      </c>
      <c r="F1" t="s">
        <v>1743</v>
      </c>
      <c r="G1" t="s">
        <v>1744</v>
      </c>
      <c r="H1" t="s">
        <v>1545</v>
      </c>
      <c r="I1" t="s">
        <v>1546</v>
      </c>
      <c r="J1" t="s">
        <v>1547</v>
      </c>
      <c r="K1" t="s">
        <v>1548</v>
      </c>
      <c r="L1" t="s">
        <v>1549</v>
      </c>
      <c r="M1" t="s">
        <v>1550</v>
      </c>
      <c r="N1" t="s">
        <v>1551</v>
      </c>
      <c r="O1" t="s">
        <v>1552</v>
      </c>
      <c r="P1" t="s">
        <v>1553</v>
      </c>
      <c r="Q1" t="s">
        <v>1554</v>
      </c>
      <c r="R1" t="s">
        <v>1555</v>
      </c>
      <c r="S1" t="s">
        <v>1556</v>
      </c>
      <c r="T1" t="s">
        <v>1557</v>
      </c>
      <c r="U1" t="s">
        <v>1558</v>
      </c>
      <c r="V1" t="s">
        <v>1559</v>
      </c>
      <c r="W1" t="s">
        <v>1560</v>
      </c>
      <c r="X1" t="s">
        <v>1561</v>
      </c>
      <c r="Y1" t="s">
        <v>1562</v>
      </c>
      <c r="Z1" t="s">
        <v>1563</v>
      </c>
      <c r="AA1" t="s">
        <v>1564</v>
      </c>
      <c r="AB1" t="s">
        <v>1565</v>
      </c>
      <c r="AC1" t="s">
        <v>1566</v>
      </c>
      <c r="AD1" t="s">
        <v>1567</v>
      </c>
      <c r="AE1" t="s">
        <v>1568</v>
      </c>
      <c r="AF1" t="s">
        <v>1569</v>
      </c>
      <c r="AG1" t="s">
        <v>1570</v>
      </c>
      <c r="AH1" t="s">
        <v>1571</v>
      </c>
      <c r="AI1" t="s">
        <v>1572</v>
      </c>
      <c r="AJ1" t="s">
        <v>1573</v>
      </c>
      <c r="AK1" t="s">
        <v>1574</v>
      </c>
      <c r="AL1" t="s">
        <v>1575</v>
      </c>
      <c r="AM1" t="s">
        <v>1576</v>
      </c>
      <c r="AN1" t="s">
        <v>1577</v>
      </c>
      <c r="AO1" t="s">
        <v>1578</v>
      </c>
      <c r="AP1" t="s">
        <v>1579</v>
      </c>
      <c r="AQ1" t="s">
        <v>1580</v>
      </c>
      <c r="AR1" t="s">
        <v>1581</v>
      </c>
      <c r="AS1" t="s">
        <v>1582</v>
      </c>
      <c r="AT1" t="s">
        <v>1356</v>
      </c>
      <c r="AU1" t="s">
        <v>1583</v>
      </c>
      <c r="AV1" t="s">
        <v>1746</v>
      </c>
      <c r="AW1" t="s">
        <v>1747</v>
      </c>
      <c r="AX1" t="s">
        <v>1748</v>
      </c>
      <c r="AY1" t="s">
        <v>1749</v>
      </c>
      <c r="AZ1" t="s">
        <v>1750</v>
      </c>
      <c r="BA1" t="s">
        <v>1751</v>
      </c>
      <c r="BB1" t="s">
        <v>1752</v>
      </c>
      <c r="BC1" t="s">
        <v>1753</v>
      </c>
      <c r="BD1" t="s">
        <v>1754</v>
      </c>
      <c r="BE1" t="s">
        <v>1755</v>
      </c>
      <c r="BF1" t="s">
        <v>1756</v>
      </c>
      <c r="BG1" t="s">
        <v>1757</v>
      </c>
      <c r="BH1" t="s">
        <v>1583</v>
      </c>
      <c r="BI1" t="s">
        <v>1758</v>
      </c>
      <c r="BJ1" t="s">
        <v>1759</v>
      </c>
      <c r="BK1" t="s">
        <v>1760</v>
      </c>
      <c r="BL1" t="s">
        <v>1761</v>
      </c>
      <c r="BM1" t="s">
        <v>1762</v>
      </c>
      <c r="BN1" t="s">
        <v>1763</v>
      </c>
      <c r="BO1" t="s">
        <v>1764</v>
      </c>
      <c r="BP1" t="s">
        <v>1765</v>
      </c>
      <c r="BQ1" t="s">
        <v>1766</v>
      </c>
      <c r="BR1" t="s">
        <v>1767</v>
      </c>
      <c r="BS1" t="s">
        <v>1768</v>
      </c>
      <c r="BT1" t="s">
        <v>1769</v>
      </c>
      <c r="BU1" t="s">
        <v>1584</v>
      </c>
      <c r="BV1" t="s">
        <v>1585</v>
      </c>
      <c r="BW1" t="s">
        <v>1980</v>
      </c>
      <c r="BX1" t="s">
        <v>1981</v>
      </c>
      <c r="BY1" t="s">
        <v>1982</v>
      </c>
      <c r="BZ1" t="s">
        <v>1983</v>
      </c>
      <c r="CA1" t="s">
        <v>1984</v>
      </c>
      <c r="CB1" t="s">
        <v>1985</v>
      </c>
      <c r="CC1" t="s">
        <v>1986</v>
      </c>
      <c r="CD1" t="s">
        <v>1987</v>
      </c>
      <c r="CE1" t="s">
        <v>1988</v>
      </c>
      <c r="CF1" t="s">
        <v>1989</v>
      </c>
      <c r="CG1" t="s">
        <v>1990</v>
      </c>
      <c r="CH1" t="s">
        <v>1991</v>
      </c>
      <c r="CI1" t="s">
        <v>1992</v>
      </c>
      <c r="CJ1" t="s">
        <v>1993</v>
      </c>
      <c r="CK1" t="s">
        <v>1994</v>
      </c>
      <c r="CL1" t="s">
        <v>1995</v>
      </c>
      <c r="CM1" t="s">
        <v>1996</v>
      </c>
      <c r="CN1" t="s">
        <v>1997</v>
      </c>
      <c r="CO1" t="s">
        <v>1998</v>
      </c>
      <c r="CP1" t="s">
        <v>1999</v>
      </c>
      <c r="CQ1" t="s">
        <v>2000</v>
      </c>
      <c r="CR1" t="s">
        <v>2001</v>
      </c>
      <c r="CS1" t="s">
        <v>2002</v>
      </c>
      <c r="CT1" t="s">
        <v>2003</v>
      </c>
      <c r="CU1" t="s">
        <v>2004</v>
      </c>
      <c r="CV1" t="s">
        <v>2005</v>
      </c>
      <c r="CW1" t="s">
        <v>2006</v>
      </c>
      <c r="CX1" t="s">
        <v>2007</v>
      </c>
      <c r="CY1" t="s">
        <v>2008</v>
      </c>
      <c r="CZ1" t="s">
        <v>2009</v>
      </c>
      <c r="DA1" t="s">
        <v>1745</v>
      </c>
    </row>
    <row r="2" spans="1:105" x14ac:dyDescent="0.35">
      <c r="A2" t="e">
        <f>VLOOKUP(LeaName,TblAgencies[],2,FALSE)</f>
        <v>#N/A</v>
      </c>
      <c r="B2">
        <f>LeaName</f>
        <v>0</v>
      </c>
      <c r="C2" t="str">
        <f>LEA_ID</f>
        <v/>
      </c>
      <c r="D2">
        <f>PrsnPhone</f>
        <v>0</v>
      </c>
      <c r="E2">
        <f>PrsnEmail</f>
        <v>0</v>
      </c>
      <c r="F2">
        <f>FiscalAgentAssurance</f>
        <v>0</v>
      </c>
      <c r="G2">
        <f>FiscalAgent</f>
        <v>0</v>
      </c>
      <c r="H2">
        <f>SupFirstName</f>
        <v>0</v>
      </c>
      <c r="I2">
        <f>SupLastName</f>
        <v>0</v>
      </c>
      <c r="J2">
        <f>SupTitle</f>
        <v>0</v>
      </c>
      <c r="K2">
        <f>SupPhone1</f>
        <v>0</v>
      </c>
      <c r="L2">
        <f>SupPhone1Extension</f>
        <v>0</v>
      </c>
      <c r="M2">
        <f>SupPhone2</f>
        <v>0</v>
      </c>
      <c r="N2">
        <f>SupPhone2Extension</f>
        <v>0</v>
      </c>
      <c r="O2">
        <f>SupEmail1</f>
        <v>0</v>
      </c>
      <c r="P2">
        <f>SupEmail2</f>
        <v>0</v>
      </c>
      <c r="Q2">
        <f>BsnFirstName</f>
        <v>0</v>
      </c>
      <c r="R2">
        <f>BsnLastName</f>
        <v>0</v>
      </c>
      <c r="S2">
        <f>BsnTitle</f>
        <v>0</v>
      </c>
      <c r="T2">
        <f>BsnPhone1</f>
        <v>0</v>
      </c>
      <c r="U2">
        <f>BsnPhone1Extension</f>
        <v>0</v>
      </c>
      <c r="V2">
        <f>BsnPhone2</f>
        <v>0</v>
      </c>
      <c r="W2">
        <f>BsnPhone2Extension</f>
        <v>0</v>
      </c>
      <c r="X2">
        <f>BsnEmail1</f>
        <v>0</v>
      </c>
      <c r="Y2">
        <f>BsnEmail2</f>
        <v>0</v>
      </c>
      <c r="Z2">
        <f>SedFirstName</f>
        <v>0</v>
      </c>
      <c r="AA2">
        <f>SedLastName</f>
        <v>0</v>
      </c>
      <c r="AB2">
        <f>SedTitle</f>
        <v>0</v>
      </c>
      <c r="AC2">
        <f>SedPhone1</f>
        <v>0</v>
      </c>
      <c r="AD2">
        <f>SedPhone1Extension</f>
        <v>0</v>
      </c>
      <c r="AE2">
        <f>SedPhone2</f>
        <v>0</v>
      </c>
      <c r="AF2">
        <f>SedPhone2Extension</f>
        <v>0</v>
      </c>
      <c r="AG2">
        <f>SedEmail1</f>
        <v>0</v>
      </c>
      <c r="AH2">
        <f>SedEmail2</f>
        <v>0</v>
      </c>
      <c r="AI2">
        <f>FsclBudget</f>
        <v>0</v>
      </c>
      <c r="AJ2">
        <f>FsclControls</f>
        <v>0</v>
      </c>
      <c r="AK2">
        <f>ceis_answer</f>
        <v>0</v>
      </c>
      <c r="AL2">
        <f>FsclTimeEffort</f>
        <v>0</v>
      </c>
      <c r="AM2">
        <f>FsclRegional</f>
        <v>0</v>
      </c>
      <c r="AN2">
        <f>FsclOsd</f>
        <v>0</v>
      </c>
      <c r="AO2">
        <f>FsclLtct</f>
        <v>0</v>
      </c>
      <c r="AP2">
        <f>DataCllctnRptng</f>
        <v>0</v>
      </c>
      <c r="AQ2" t="e">
        <f>GeneralIDEA</f>
        <v>#VALUE!</v>
      </c>
      <c r="AR2">
        <f>PublicBenefits</f>
        <v>0</v>
      </c>
      <c r="AS2">
        <f>OtherPolicies</f>
        <v>0</v>
      </c>
      <c r="AT2">
        <f>Nimas</f>
        <v>0</v>
      </c>
      <c r="AU2">
        <f>CharterAllocations</f>
        <v>0</v>
      </c>
      <c r="AV2" t="str">
        <f>Charter1Nm</f>
        <v/>
      </c>
      <c r="AW2">
        <f>Charter1Opt</f>
        <v>0</v>
      </c>
      <c r="AX2" t="str">
        <f>Charter2Nm</f>
        <v/>
      </c>
      <c r="AY2">
        <f>Charter2Opt</f>
        <v>0</v>
      </c>
      <c r="AZ2" t="str">
        <f>Charter3Nm</f>
        <v/>
      </c>
      <c r="BA2">
        <f>Charter3Opt</f>
        <v>0</v>
      </c>
      <c r="BB2" t="str">
        <f>Charter4Nm</f>
        <v/>
      </c>
      <c r="BC2">
        <f>Charter4Opt</f>
        <v>0</v>
      </c>
      <c r="BD2" t="str">
        <f>Charter5Nm</f>
        <v/>
      </c>
      <c r="BE2">
        <f>Charter5Opt</f>
        <v>0</v>
      </c>
      <c r="BF2" t="str">
        <f>Charter6Nm</f>
        <v/>
      </c>
      <c r="BG2">
        <f>Charter6Opt</f>
        <v>0</v>
      </c>
      <c r="BH2">
        <f>CharterAllocations</f>
        <v>0</v>
      </c>
      <c r="BI2">
        <f>CharterNew1Nm</f>
        <v>0</v>
      </c>
      <c r="BJ2">
        <f>CharterNew1Opt</f>
        <v>0</v>
      </c>
      <c r="BK2">
        <f>CharterNew2Nm</f>
        <v>0</v>
      </c>
      <c r="BL2">
        <f>CharterNew2Opt</f>
        <v>0</v>
      </c>
      <c r="BM2">
        <f>CharterNew3Nm</f>
        <v>0</v>
      </c>
      <c r="BN2">
        <f>CharterNew3Opt</f>
        <v>0</v>
      </c>
      <c r="BO2">
        <f>CharterNew4Nm</f>
        <v>0</v>
      </c>
      <c r="BP2">
        <f>CharterNew4Opt</f>
        <v>0</v>
      </c>
      <c r="BQ2">
        <f>CharterNew5Nm</f>
        <v>0</v>
      </c>
      <c r="BR2">
        <f>CharterNew5Opt</f>
        <v>0</v>
      </c>
      <c r="BS2">
        <f>CharterNew6Nm</f>
        <v>0</v>
      </c>
      <c r="BT2">
        <f>CharterNew6Opt</f>
        <v>0</v>
      </c>
      <c r="BU2">
        <f>PrivateSchlLeaPlcd</f>
        <v>0</v>
      </c>
      <c r="BV2">
        <f>PrivateSchlPrntPlcd</f>
        <v>0</v>
      </c>
      <c r="BW2">
        <f>FrAns1</f>
        <v>0</v>
      </c>
      <c r="BX2">
        <f>FrAns2</f>
        <v>0</v>
      </c>
      <c r="BY2" t="str">
        <f>FrAns3</f>
        <v>-</v>
      </c>
      <c r="BZ2">
        <f>FrAns4</f>
        <v>0</v>
      </c>
      <c r="CA2">
        <f>FrAns5</f>
        <v>0</v>
      </c>
      <c r="CB2">
        <f>FrAns6</f>
        <v>0</v>
      </c>
      <c r="CC2" t="e">
        <f>FrAns7</f>
        <v>#REF!</v>
      </c>
      <c r="CD2">
        <f>FrAns8</f>
        <v>0</v>
      </c>
      <c r="CE2">
        <f>FrAns9</f>
        <v>0</v>
      </c>
      <c r="CF2">
        <f>FrAns10</f>
        <v>0</v>
      </c>
      <c r="CG2">
        <f>FrAns11</f>
        <v>0</v>
      </c>
      <c r="CH2">
        <f>FrAns12</f>
        <v>0</v>
      </c>
      <c r="CI2">
        <f>FrAns13</f>
        <v>0</v>
      </c>
      <c r="CJ2" t="e">
        <f>FrAns14</f>
        <v>#REF!</v>
      </c>
      <c r="CK2" t="e">
        <f>FrAns15</f>
        <v>#REF!</v>
      </c>
      <c r="CL2" t="str">
        <f>FrScore1</f>
        <v/>
      </c>
      <c r="CM2" t="str">
        <f>FrScore2</f>
        <v/>
      </c>
      <c r="CN2" t="str">
        <f>FrScore3</f>
        <v/>
      </c>
      <c r="CO2" t="str">
        <f>FrScore4</f>
        <v/>
      </c>
      <c r="CP2" t="str">
        <f>FrScore5</f>
        <v/>
      </c>
      <c r="CQ2" t="str">
        <f>FrScore6</f>
        <v/>
      </c>
      <c r="CR2" t="e">
        <f>FrScore7</f>
        <v>#REF!</v>
      </c>
      <c r="CS2" t="str">
        <f>FrScore8</f>
        <v/>
      </c>
      <c r="CT2" t="str">
        <f>FrScore9</f>
        <v/>
      </c>
      <c r="CU2" t="str">
        <f>FrScore10</f>
        <v/>
      </c>
      <c r="CV2" t="str">
        <f>FrScore11</f>
        <v/>
      </c>
      <c r="CW2" t="str">
        <f>FrScore12</f>
        <v/>
      </c>
      <c r="CX2" t="str">
        <f>FrScore13</f>
        <v/>
      </c>
      <c r="CY2" t="e">
        <f>FrScore14</f>
        <v>#REF!</v>
      </c>
      <c r="CZ2" t="e">
        <f>FrScore15</f>
        <v>#REF!</v>
      </c>
      <c r="DA2">
        <f>FiscalRiskTotal</f>
        <v>0</v>
      </c>
    </row>
    <row r="5" spans="1:105" x14ac:dyDescent="0.35">
      <c r="A5" t="s">
        <v>1770</v>
      </c>
      <c r="B5" t="s">
        <v>1541</v>
      </c>
      <c r="C5" t="s">
        <v>1542</v>
      </c>
      <c r="D5" t="s">
        <v>1543</v>
      </c>
      <c r="E5" t="s">
        <v>1544</v>
      </c>
      <c r="F5" t="s">
        <v>1743</v>
      </c>
      <c r="G5" t="s">
        <v>1744</v>
      </c>
    </row>
    <row r="6" spans="1:105" x14ac:dyDescent="0.35">
      <c r="A6" t="s">
        <v>1586</v>
      </c>
      <c r="B6">
        <f>LeaName</f>
        <v>0</v>
      </c>
      <c r="C6" t="str">
        <f>LEA_ID</f>
        <v/>
      </c>
      <c r="D6">
        <f>PrsnPhone</f>
        <v>0</v>
      </c>
      <c r="E6">
        <f>PrsnEmail</f>
        <v>0</v>
      </c>
      <c r="F6" t="str">
        <f>IF(FiscalAgentAssurance="Yes",FiscalAgentAssurance,"")</f>
        <v/>
      </c>
      <c r="G6" t="str">
        <f>IF(FiscalAgentAssurance="Yes",FiscalAgent,"")</f>
        <v/>
      </c>
    </row>
    <row r="7" spans="1:105" x14ac:dyDescent="0.35">
      <c r="B7" t="s">
        <v>1573</v>
      </c>
      <c r="C7" t="s">
        <v>1574</v>
      </c>
      <c r="D7" t="s">
        <v>1575</v>
      </c>
      <c r="E7" t="s">
        <v>1576</v>
      </c>
      <c r="F7" t="s">
        <v>1577</v>
      </c>
      <c r="G7" t="s">
        <v>1578</v>
      </c>
      <c r="H7" t="s">
        <v>1969</v>
      </c>
    </row>
    <row r="8" spans="1:105" x14ac:dyDescent="0.35">
      <c r="A8" t="s">
        <v>1771</v>
      </c>
      <c r="B8">
        <f>FsclControls</f>
        <v>0</v>
      </c>
      <c r="C8">
        <f>ceis_answer</f>
        <v>0</v>
      </c>
      <c r="D8">
        <f>FsclTimeEffort</f>
        <v>0</v>
      </c>
      <c r="E8">
        <f>FsclRegional</f>
        <v>0</v>
      </c>
      <c r="F8">
        <f>FsclOsd</f>
        <v>0</v>
      </c>
      <c r="G8">
        <f>FsclLtct</f>
        <v>0</v>
      </c>
      <c r="H8">
        <f>FsclBudget</f>
        <v>0</v>
      </c>
    </row>
    <row r="9" spans="1:105" x14ac:dyDescent="0.35">
      <c r="B9" t="s">
        <v>1579</v>
      </c>
      <c r="C9" t="s">
        <v>1580</v>
      </c>
      <c r="D9" t="s">
        <v>1581</v>
      </c>
      <c r="E9" t="s">
        <v>1582</v>
      </c>
      <c r="F9" t="s">
        <v>1356</v>
      </c>
    </row>
    <row r="10" spans="1:105" x14ac:dyDescent="0.35">
      <c r="A10" t="s">
        <v>1772</v>
      </c>
      <c r="B10">
        <f>DataCllctnRptng</f>
        <v>0</v>
      </c>
      <c r="C10" t="e">
        <f>GeneralIDEA</f>
        <v>#VALUE!</v>
      </c>
      <c r="D10">
        <f>PublicBenefits</f>
        <v>0</v>
      </c>
      <c r="E10">
        <f>OtherPolicies</f>
        <v>0</v>
      </c>
      <c r="F10">
        <f>Nimas</f>
        <v>0</v>
      </c>
    </row>
    <row r="11" spans="1:105" x14ac:dyDescent="0.35">
      <c r="B11" t="s">
        <v>1583</v>
      </c>
      <c r="C11" t="s">
        <v>1747</v>
      </c>
      <c r="D11" t="s">
        <v>1749</v>
      </c>
      <c r="E11" t="s">
        <v>1751</v>
      </c>
      <c r="F11" t="s">
        <v>1753</v>
      </c>
      <c r="G11" t="s">
        <v>1755</v>
      </c>
      <c r="H11" t="s">
        <v>1757</v>
      </c>
      <c r="I11" t="s">
        <v>1759</v>
      </c>
      <c r="J11" t="s">
        <v>1761</v>
      </c>
      <c r="K11" t="s">
        <v>1763</v>
      </c>
      <c r="L11" t="s">
        <v>1765</v>
      </c>
      <c r="M11" t="s">
        <v>1767</v>
      </c>
      <c r="N11" t="s">
        <v>1769</v>
      </c>
    </row>
    <row r="12" spans="1:105" x14ac:dyDescent="0.35">
      <c r="A12" t="s">
        <v>1773</v>
      </c>
      <c r="B12">
        <f>CharterAllocations</f>
        <v>0</v>
      </c>
      <c r="C12" t="str">
        <f>IF(Charter1Nm="","",Charter1Opt)</f>
        <v/>
      </c>
      <c r="D12" t="str">
        <f>IF(Charter2Nm="","",Charter2Opt)</f>
        <v/>
      </c>
      <c r="E12" t="str">
        <f>IF(Charter3Nm="","",Charter3Opt)</f>
        <v/>
      </c>
      <c r="F12" t="str">
        <f>IF(Charter4Nm="","",Charter4Opt)</f>
        <v/>
      </c>
      <c r="G12" t="str">
        <f>IF(Charter5Nm="","",Charter5Opt)</f>
        <v/>
      </c>
      <c r="H12" t="str">
        <f>IF(Charter6Nm="","",Charter6Opt)</f>
        <v/>
      </c>
      <c r="I12" t="str">
        <f>IF(CharterNew1Nm="","",CharterNew1Opt)</f>
        <v/>
      </c>
      <c r="J12" t="str">
        <f>IF(CharterNew2Nm="","",CharterNew2Opt)</f>
        <v/>
      </c>
      <c r="K12" t="str">
        <f>IF(CharterNew3Nm="","",CharterNew3Opt)</f>
        <v/>
      </c>
      <c r="L12" t="str">
        <f>IF(CharterNew4Nm="","",CharterNew4Opt)</f>
        <v/>
      </c>
      <c r="M12" t="str">
        <f>IF(CharterNew5Nm="","",CharterNew5Opt)</f>
        <v/>
      </c>
      <c r="N12" t="str">
        <f>IF(CharterNew6Nm="","",CharterNew6Opt)</f>
        <v/>
      </c>
    </row>
    <row r="13" spans="1:105" x14ac:dyDescent="0.35">
      <c r="B13" t="s">
        <v>1584</v>
      </c>
      <c r="C13" t="s">
        <v>1585</v>
      </c>
    </row>
    <row r="14" spans="1:105" x14ac:dyDescent="0.35">
      <c r="A14" t="s">
        <v>1774</v>
      </c>
      <c r="B14">
        <f>PrivateSchlLeaPlcd</f>
        <v>0</v>
      </c>
      <c r="C14">
        <f>PrivateSchlPrntPlcd</f>
        <v>0</v>
      </c>
    </row>
    <row r="15" spans="1:105" x14ac:dyDescent="0.35">
      <c r="B15" t="s">
        <v>1980</v>
      </c>
      <c r="C15" t="s">
        <v>1981</v>
      </c>
      <c r="D15" t="s">
        <v>1982</v>
      </c>
      <c r="E15" t="s">
        <v>1983</v>
      </c>
      <c r="F15" t="s">
        <v>1984</v>
      </c>
      <c r="G15" t="s">
        <v>1985</v>
      </c>
      <c r="H15" t="s">
        <v>1986</v>
      </c>
      <c r="I15" t="s">
        <v>1987</v>
      </c>
      <c r="J15" t="s">
        <v>1988</v>
      </c>
      <c r="K15" t="s">
        <v>1989</v>
      </c>
      <c r="L15" t="s">
        <v>1990</v>
      </c>
      <c r="M15" t="s">
        <v>1991</v>
      </c>
      <c r="N15" t="s">
        <v>1992</v>
      </c>
      <c r="O15" t="s">
        <v>1993</v>
      </c>
      <c r="P15" t="s">
        <v>1994</v>
      </c>
    </row>
    <row r="16" spans="1:105" x14ac:dyDescent="0.35">
      <c r="A16" t="s">
        <v>1935</v>
      </c>
      <c r="B16">
        <f>FrAns1</f>
        <v>0</v>
      </c>
      <c r="C16">
        <f>FrAns2</f>
        <v>0</v>
      </c>
      <c r="D16" t="str">
        <f>FrAns3</f>
        <v>-</v>
      </c>
      <c r="E16">
        <f>FrAns4</f>
        <v>0</v>
      </c>
      <c r="F16">
        <f>FrAns5</f>
        <v>0</v>
      </c>
      <c r="G16">
        <f>FrAns6</f>
        <v>0</v>
      </c>
      <c r="H16" t="e">
        <f>FrAns7</f>
        <v>#REF!</v>
      </c>
      <c r="I16">
        <f>FrAns8</f>
        <v>0</v>
      </c>
      <c r="J16">
        <f>FrAns9</f>
        <v>0</v>
      </c>
      <c r="K16">
        <f>FrAns10</f>
        <v>0</v>
      </c>
      <c r="L16">
        <f>FrAns11</f>
        <v>0</v>
      </c>
      <c r="M16">
        <f>FrAns12</f>
        <v>0</v>
      </c>
      <c r="N16">
        <f>FrAns13</f>
        <v>0</v>
      </c>
      <c r="O16" t="e">
        <f>FrAns14</f>
        <v>#REF!</v>
      </c>
      <c r="P16" t="e">
        <f>FrAns15</f>
        <v>#REF!</v>
      </c>
    </row>
    <row r="19" spans="1:4" x14ac:dyDescent="0.35">
      <c r="A19" t="s">
        <v>1586</v>
      </c>
      <c r="B19" t="str">
        <f>IF(COUNTIF(B6:F6,0)&gt;0,A19&amp;" tab incomplete. Please check the tab to ensure all required fields are filled out.",A19&amp;" completed.")</f>
        <v>Agency Information tab incomplete. Please check the tab to ensure all required fields are filled out.</v>
      </c>
      <c r="C19" t="b">
        <f>COUNTIF(B6:F6,0)=0</f>
        <v>0</v>
      </c>
    </row>
    <row r="20" spans="1:4" x14ac:dyDescent="0.35">
      <c r="A20" t="s">
        <v>1771</v>
      </c>
      <c r="B20" t="str">
        <f>IF(COUNTIF(B8:G8,0)&gt;0,A20&amp;" tab incomplete. Please check the tab to ensure all required fields are filled out.",A20&amp;" completed.")</f>
        <v>Fiscal tab incomplete. Please check the tab to ensure all required fields are filled out.</v>
      </c>
      <c r="C20" t="b">
        <f>COUNTIF(B8:H8,0)=0</f>
        <v>0</v>
      </c>
      <c r="D20" t="b">
        <f>AND(LeaName&lt;&gt;"",NOT(Output!$C$20))</f>
        <v>0</v>
      </c>
    </row>
    <row r="21" spans="1:4" x14ac:dyDescent="0.35">
      <c r="A21" t="s">
        <v>1772</v>
      </c>
      <c r="B21" t="str">
        <f>IF(COUNTIF(B10:F10,0)&gt;0,A21&amp;" tab incomplete. Please check the tab to ensure all required fields are filled out.",A21&amp;" completed.")</f>
        <v>Data Collection &amp; Program tab incomplete. Please check the tab to ensure all required fields are filled out.</v>
      </c>
      <c r="C21" t="b">
        <f>COUNTIF(B10:F10,0)=0</f>
        <v>0</v>
      </c>
    </row>
    <row r="22" spans="1:4" x14ac:dyDescent="0.35">
      <c r="A22" t="s">
        <v>1773</v>
      </c>
      <c r="B22" t="str">
        <f>IF(COUNTIF(B12:N12,0)&gt;0,A22&amp;" tab incomplete. Please check the tab to ensure all required fields are filled out.",A22&amp;" completed.")</f>
        <v>Charter Schools tab incomplete. Please check the tab to ensure all required fields are filled out.</v>
      </c>
      <c r="C22" t="b">
        <f>COUNTIF(B12:N12,0)=0</f>
        <v>0</v>
      </c>
    </row>
    <row r="23" spans="1:4" x14ac:dyDescent="0.35">
      <c r="A23" t="s">
        <v>1774</v>
      </c>
      <c r="B23" t="str">
        <f>IF(COUNTIF(B14:C14,0)&gt;0,A23&amp;" tab incomplete. Please check the tab to ensure all required fields are filled out.",A23&amp;" completed.")</f>
        <v>Private Schools tab incomplete. Please check the tab to ensure all required fields are filled out.</v>
      </c>
      <c r="C23" t="b">
        <f>COUNTIF(B14:C14,0)=0</f>
        <v>0</v>
      </c>
    </row>
    <row r="24" spans="1:4" x14ac:dyDescent="0.35">
      <c r="A24" t="s">
        <v>1775</v>
      </c>
      <c r="B24" t="str">
        <f>IF(COUNTIF(B16:P16,0)&gt;0,A24&amp;" tab incomplete. Please check the tab to ensure all required fields are filled out.",A24&amp;" completed.")</f>
        <v>Fiscal Risk tab incomplete. Please check the tab to ensure all required fields are filled out.</v>
      </c>
      <c r="C24" t="b">
        <f>COUNTIF(B16:P16,0)=0</f>
        <v>0</v>
      </c>
      <c r="D24" s="63"/>
    </row>
  </sheetData>
  <sheetProtection selectLockedCells="1" selectUnlockedCells="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FF941-90BA-41C0-BEFC-DB5248B112BB}">
  <sheetPr codeName="Sheet27"/>
  <dimension ref="A1:B9"/>
  <sheetViews>
    <sheetView workbookViewId="0"/>
  </sheetViews>
  <sheetFormatPr defaultRowHeight="14.5" x14ac:dyDescent="0.35"/>
  <sheetData>
    <row r="1" spans="1:2" x14ac:dyDescent="0.35">
      <c r="A1" t="s">
        <v>3004</v>
      </c>
    </row>
    <row r="3" spans="1:2" x14ac:dyDescent="0.35">
      <c r="A3" t="s">
        <v>3005</v>
      </c>
    </row>
    <row r="4" spans="1:2" x14ac:dyDescent="0.35">
      <c r="B4" t="s">
        <v>3006</v>
      </c>
    </row>
    <row r="6" spans="1:2" x14ac:dyDescent="0.35">
      <c r="A6" t="s">
        <v>3007</v>
      </c>
    </row>
    <row r="7" spans="1:2" x14ac:dyDescent="0.35">
      <c r="B7" t="s">
        <v>3008</v>
      </c>
    </row>
    <row r="9" spans="1:2" x14ac:dyDescent="0.35">
      <c r="A9" t="s">
        <v>3009</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L35"/>
  <sheetViews>
    <sheetView showGridLines="0" workbookViewId="0">
      <selection activeCell="F2" sqref="F2:H2"/>
    </sheetView>
  </sheetViews>
  <sheetFormatPr defaultColWidth="0" defaultRowHeight="14.5" zeroHeight="1" x14ac:dyDescent="0.35"/>
  <cols>
    <col min="1" max="1" width="6" customWidth="1"/>
    <col min="2" max="3" width="12.26953125" customWidth="1"/>
    <col min="4" max="10" width="15.7265625" customWidth="1"/>
    <col min="11" max="11" width="14.7265625" customWidth="1"/>
    <col min="12" max="12" width="6" customWidth="1"/>
    <col min="13" max="16384" width="6" hidden="1"/>
  </cols>
  <sheetData>
    <row r="1" spans="1:12" ht="20" thickBot="1" x14ac:dyDescent="0.5">
      <c r="A1" s="3"/>
      <c r="B1" s="2" t="s">
        <v>1586</v>
      </c>
      <c r="C1" s="2"/>
      <c r="D1" s="2"/>
      <c r="E1" s="2"/>
      <c r="F1" s="2"/>
      <c r="G1" s="2"/>
      <c r="H1" s="2"/>
      <c r="I1" s="2"/>
      <c r="J1" s="5" t="s">
        <v>1587</v>
      </c>
      <c r="K1" s="4" t="str">
        <f>CurrSchlYr</f>
        <v>2024-2025</v>
      </c>
      <c r="L1" s="3"/>
    </row>
    <row r="2" spans="1:12" ht="15" thickTop="1" x14ac:dyDescent="0.35">
      <c r="A2" s="3"/>
      <c r="B2" s="3"/>
      <c r="C2" s="3"/>
      <c r="D2" s="3"/>
      <c r="E2" s="38" t="s">
        <v>1886</v>
      </c>
      <c r="F2" s="323"/>
      <c r="G2" s="324"/>
      <c r="H2" s="325"/>
      <c r="I2" s="3"/>
      <c r="J2" s="38" t="s">
        <v>1883</v>
      </c>
      <c r="K2" s="3">
        <f>AppVersion</f>
        <v>3.7</v>
      </c>
      <c r="L2" s="3"/>
    </row>
    <row r="3" spans="1:12" x14ac:dyDescent="0.35">
      <c r="A3" s="3"/>
      <c r="B3" s="3"/>
      <c r="C3" s="3"/>
      <c r="D3" s="3"/>
      <c r="E3" s="38" t="s">
        <v>3010</v>
      </c>
      <c r="F3" s="326" t="str">
        <f>_xlfn.IFNA(INDEX(Admin!I23:I220,MATCH(LeaName,Admin!H23:H220,0)),"")</f>
        <v/>
      </c>
      <c r="G3" s="327"/>
      <c r="H3" s="328"/>
      <c r="I3" s="3"/>
      <c r="J3" s="38" t="s">
        <v>1884</v>
      </c>
      <c r="K3" s="80">
        <f>AppUpdateDt</f>
        <v>45446</v>
      </c>
      <c r="L3" s="3"/>
    </row>
    <row r="4" spans="1:12" x14ac:dyDescent="0.35">
      <c r="A4" s="3"/>
      <c r="B4" s="3"/>
      <c r="C4" s="3"/>
      <c r="D4" s="3"/>
      <c r="E4" s="38" t="s">
        <v>1588</v>
      </c>
      <c r="F4" s="319"/>
      <c r="G4" s="320"/>
      <c r="H4" s="321"/>
      <c r="I4" s="3"/>
      <c r="J4" s="3"/>
      <c r="K4" s="3"/>
      <c r="L4" s="3"/>
    </row>
    <row r="5" spans="1:12" x14ac:dyDescent="0.35">
      <c r="A5" s="3"/>
      <c r="B5" s="3"/>
      <c r="C5" s="3"/>
      <c r="D5" s="3"/>
      <c r="E5" s="38" t="s">
        <v>1589</v>
      </c>
      <c r="F5" s="319"/>
      <c r="G5" s="320"/>
      <c r="H5" s="321"/>
      <c r="I5" s="3"/>
      <c r="J5" s="3"/>
      <c r="K5" s="3"/>
      <c r="L5" s="3"/>
    </row>
    <row r="6" spans="1:12" x14ac:dyDescent="0.35">
      <c r="A6" s="3"/>
      <c r="B6" s="3"/>
      <c r="C6" s="3"/>
      <c r="D6" s="3"/>
      <c r="E6" s="38" t="s">
        <v>1590</v>
      </c>
      <c r="F6" s="329"/>
      <c r="G6" s="330"/>
      <c r="H6" s="331"/>
      <c r="I6" s="3"/>
      <c r="J6" s="3"/>
      <c r="K6" s="3"/>
      <c r="L6" s="3"/>
    </row>
    <row r="7" spans="1:12" ht="7.4" customHeight="1" x14ac:dyDescent="0.35">
      <c r="A7" s="3"/>
      <c r="B7" s="3"/>
      <c r="C7" s="3"/>
      <c r="D7" s="3"/>
      <c r="E7" s="3"/>
      <c r="F7" s="3"/>
      <c r="G7" s="3"/>
      <c r="H7" s="3"/>
      <c r="I7" s="3"/>
      <c r="J7" s="3"/>
      <c r="K7" s="3"/>
      <c r="L7" s="3"/>
    </row>
    <row r="8" spans="1:12" ht="18.75" customHeight="1" x14ac:dyDescent="0.35">
      <c r="B8" s="333" t="s">
        <v>1891</v>
      </c>
      <c r="C8" s="333"/>
      <c r="D8" s="333"/>
      <c r="E8" s="333"/>
      <c r="F8" s="333"/>
      <c r="G8" s="333"/>
      <c r="H8" s="333"/>
      <c r="I8" s="333"/>
      <c r="J8" s="333"/>
      <c r="K8" s="333"/>
    </row>
    <row r="9" spans="1:12" ht="33" customHeight="1" x14ac:dyDescent="0.35">
      <c r="A9" s="3"/>
      <c r="B9" s="316" t="s">
        <v>3115</v>
      </c>
      <c r="C9" s="317"/>
      <c r="D9" s="317"/>
      <c r="E9" s="317"/>
      <c r="F9" s="317"/>
      <c r="G9" s="317"/>
      <c r="H9" s="317"/>
      <c r="I9" s="317"/>
      <c r="J9" s="317"/>
      <c r="K9" s="318"/>
      <c r="L9" s="3"/>
    </row>
    <row r="10" spans="1:12" ht="7.4" customHeight="1" x14ac:dyDescent="0.35">
      <c r="A10" s="3"/>
      <c r="B10" s="3"/>
      <c r="C10" s="3"/>
      <c r="D10" s="3"/>
      <c r="E10" s="3"/>
      <c r="F10" s="3"/>
      <c r="G10" s="3"/>
      <c r="H10" s="3"/>
      <c r="I10" s="3"/>
      <c r="J10" s="3"/>
      <c r="K10" s="3"/>
      <c r="L10" s="3"/>
    </row>
    <row r="11" spans="1:12" x14ac:dyDescent="0.35">
      <c r="A11" s="3"/>
      <c r="B11" s="3"/>
      <c r="C11" s="3"/>
      <c r="D11" s="78" t="s">
        <v>7</v>
      </c>
      <c r="E11" s="64" t="s">
        <v>8</v>
      </c>
      <c r="F11" s="64" t="s">
        <v>9</v>
      </c>
      <c r="G11" s="64" t="s">
        <v>10</v>
      </c>
      <c r="H11" s="64" t="s">
        <v>11</v>
      </c>
      <c r="I11" s="64" t="s">
        <v>12</v>
      </c>
      <c r="J11" s="78" t="s">
        <v>3113</v>
      </c>
      <c r="K11" s="3"/>
      <c r="L11" s="3"/>
    </row>
    <row r="12" spans="1:12" x14ac:dyDescent="0.35">
      <c r="A12" s="3"/>
      <c r="B12" s="38"/>
      <c r="C12" s="38" t="s">
        <v>1591</v>
      </c>
      <c r="D12" s="7" t="str">
        <f>_xlfn.IFNA(INDEX('Agency Info Data'!$P:$P,MATCH(LEA_ID,'Agency Info Data'!$N:$N,0)),"-")</f>
        <v>-</v>
      </c>
      <c r="E12" s="62" t="str">
        <f>_xlfn.IFNA(INDEX('Agency Info Data'!$Q:$Q,MATCH(LEA_ID,'Agency Info Data'!$N:$N,0)),"-")</f>
        <v>-</v>
      </c>
      <c r="F12" s="62" t="str">
        <f>_xlfn.IFNA(INDEX('Agency Info Data'!$R:$R,MATCH(LEA_ID,'Agency Info Data'!$N:$N,0)),"-")</f>
        <v>-</v>
      </c>
      <c r="G12" s="62" t="str">
        <f>_xlfn.IFNA(INDEX('Agency Info Data'!$S:$S,MATCH(LEA_ID,'Agency Info Data'!$N:$N,0)),"-")</f>
        <v>-</v>
      </c>
      <c r="H12" s="62" t="str">
        <f>_xlfn.IFNA(INDEX('Agency Info Data'!$T:$T,MATCH(LEA_ID,'Agency Info Data'!$N:$N,0)),"-")</f>
        <v>-</v>
      </c>
      <c r="I12" s="62" t="str">
        <f>_xlfn.IFNA(INDEX('Agency Info Data'!$V:$V,MATCH(LEA_ID,'Agency Info Data'!$N:$N,0)),"-")</f>
        <v>-</v>
      </c>
      <c r="J12" s="7" t="str">
        <f>_xlfn.IFNA(INDEX('Agency Info Data'!$W:$W,MATCH(LEA_ID,'Agency Info Data'!$N:$N,0)),"-")</f>
        <v>-</v>
      </c>
      <c r="K12" s="3"/>
      <c r="L12" s="3"/>
    </row>
    <row r="13" spans="1:12" x14ac:dyDescent="0.35">
      <c r="A13" s="3"/>
      <c r="B13" s="38"/>
      <c r="C13" s="38" t="s">
        <v>1592</v>
      </c>
      <c r="D13" s="7" t="str">
        <f>_xlfn.IFNA(INDEX('Agency Info Data'!$AC:$AC,MATCH(LEA_ID,'Agency Info Data'!$AA:$AA,0)),"-")</f>
        <v>-</v>
      </c>
      <c r="E13" s="62" t="str">
        <f>_xlfn.IFNA(INDEX('Agency Info Data'!$AD:$AD,MATCH(LEA_ID,'Agency Info Data'!$AA:$AA,0)),"-")</f>
        <v>-</v>
      </c>
      <c r="F13" s="62" t="str">
        <f>_xlfn.IFNA(INDEX('Agency Info Data'!$AE:$AE,MATCH(LEA_ID,'Agency Info Data'!$AA:$AA,0)),"-")</f>
        <v>-</v>
      </c>
      <c r="G13" s="62" t="str">
        <f>_xlfn.IFNA(INDEX('Agency Info Data'!$AF:$AF,MATCH(LEA_ID,'Agency Info Data'!$AA:$AA,0)),"-")</f>
        <v>-</v>
      </c>
      <c r="H13" s="62" t="str">
        <f>_xlfn.IFNA(INDEX('Agency Info Data'!$AG:$AG,MATCH(LEA_ID,'Agency Info Data'!$AA:$AA,0)),"-")</f>
        <v>-</v>
      </c>
      <c r="I13" s="62" t="str">
        <f>_xlfn.IFNA(INDEX('Agency Info Data'!$AH:$AH,MATCH(LEA_ID,'Agency Info Data'!$AA:$AA,0)),"-")</f>
        <v>-</v>
      </c>
      <c r="J13" s="7" t="str">
        <f>_xlfn.IFNA(INDEX('Agency Info Data'!$AI:$AI,MATCH(LEA_ID,'Agency Info Data'!$AA:$AA,0)),"-")</f>
        <v>-</v>
      </c>
      <c r="K13" s="3"/>
      <c r="L13" s="3"/>
    </row>
    <row r="14" spans="1:12" x14ac:dyDescent="0.35">
      <c r="A14" s="3"/>
      <c r="B14" s="38"/>
      <c r="C14" s="38" t="s">
        <v>1593</v>
      </c>
      <c r="D14" s="7">
        <f>SUM(D12:D13)</f>
        <v>0</v>
      </c>
      <c r="E14" s="62">
        <f t="shared" ref="E14:I14" si="0">SUM(E12:E13)</f>
        <v>0</v>
      </c>
      <c r="F14" s="62">
        <f t="shared" si="0"/>
        <v>0</v>
      </c>
      <c r="G14" s="62">
        <f t="shared" si="0"/>
        <v>0</v>
      </c>
      <c r="H14" s="62">
        <f t="shared" si="0"/>
        <v>0</v>
      </c>
      <c r="I14" s="62">
        <f t="shared" si="0"/>
        <v>0</v>
      </c>
      <c r="J14" s="7">
        <f>SUM(J12:J13)</f>
        <v>0</v>
      </c>
      <c r="K14" s="3"/>
      <c r="L14" s="3"/>
    </row>
    <row r="15" spans="1:12" ht="7.4" customHeight="1" x14ac:dyDescent="0.35">
      <c r="A15" s="3"/>
      <c r="B15" s="3"/>
      <c r="C15" s="3"/>
      <c r="D15" s="3"/>
      <c r="E15" s="3"/>
      <c r="F15" s="3"/>
      <c r="G15" s="3"/>
      <c r="H15" s="3"/>
      <c r="I15" s="3"/>
      <c r="J15" s="3"/>
      <c r="K15" s="3"/>
      <c r="L15" s="3"/>
    </row>
    <row r="16" spans="1:12" ht="36" customHeight="1" x14ac:dyDescent="0.35">
      <c r="A16" s="3"/>
      <c r="B16" s="332" t="s">
        <v>1892</v>
      </c>
      <c r="C16" s="332"/>
      <c r="D16" s="332"/>
      <c r="E16" s="332"/>
      <c r="F16" s="332"/>
      <c r="G16" s="332"/>
      <c r="H16" s="332"/>
      <c r="I16" s="332"/>
      <c r="J16" s="332"/>
      <c r="K16" s="332"/>
      <c r="L16" s="3"/>
    </row>
    <row r="17" spans="1:12" ht="7.4" customHeight="1" x14ac:dyDescent="0.35">
      <c r="A17" s="3"/>
      <c r="B17" s="3"/>
      <c r="C17" s="3"/>
      <c r="D17" s="3"/>
      <c r="E17" s="3"/>
      <c r="F17" s="3"/>
      <c r="G17" s="3"/>
      <c r="H17" s="3"/>
      <c r="I17" s="3"/>
      <c r="J17" s="3"/>
      <c r="K17" s="3"/>
      <c r="L17" s="3"/>
    </row>
    <row r="18" spans="1:12" ht="17.5" thickBot="1" x14ac:dyDescent="0.45">
      <c r="A18" s="3"/>
      <c r="B18" s="65" t="s">
        <v>1893</v>
      </c>
      <c r="C18" s="65"/>
      <c r="D18" s="65"/>
      <c r="E18" s="65"/>
      <c r="F18" s="65"/>
      <c r="G18" s="65"/>
      <c r="H18" s="65"/>
      <c r="I18" s="65"/>
      <c r="J18" s="65"/>
      <c r="K18" s="65"/>
      <c r="L18" s="3"/>
    </row>
    <row r="19" spans="1:12" ht="44.5" customHeight="1" thickTop="1" x14ac:dyDescent="0.35">
      <c r="A19" s="3"/>
      <c r="B19" s="332" t="s">
        <v>3075</v>
      </c>
      <c r="C19" s="332"/>
      <c r="D19" s="332"/>
      <c r="E19" s="332"/>
      <c r="F19" s="332"/>
      <c r="G19" s="332"/>
      <c r="H19" s="332"/>
      <c r="I19" s="332"/>
      <c r="J19" s="332"/>
      <c r="K19" s="332"/>
      <c r="L19" s="3"/>
    </row>
    <row r="20" spans="1:12" ht="7.4" customHeight="1" x14ac:dyDescent="0.35">
      <c r="A20" s="3"/>
      <c r="B20" s="3"/>
      <c r="C20" s="3"/>
      <c r="D20" s="3"/>
      <c r="E20" s="3"/>
      <c r="F20" s="3"/>
      <c r="G20" s="3"/>
      <c r="H20" s="3"/>
      <c r="I20" s="3"/>
      <c r="J20" s="3"/>
      <c r="K20" s="3"/>
      <c r="L20" s="3"/>
    </row>
    <row r="21" spans="1:12" x14ac:dyDescent="0.35">
      <c r="A21" s="3"/>
      <c r="B21" s="3"/>
      <c r="C21" s="3"/>
      <c r="D21" s="3"/>
      <c r="G21" s="19" t="str">
        <f>IF(LeaName="","The LEA",LeaName)&amp;" is a member of an IDEA Consortium:"</f>
        <v>The LEA is a member of an IDEA Consortium:</v>
      </c>
      <c r="H21" s="77"/>
      <c r="I21" s="6" t="s">
        <v>1656</v>
      </c>
      <c r="J21" s="3"/>
      <c r="K21" s="3"/>
      <c r="L21" s="3"/>
    </row>
    <row r="22" spans="1:12" ht="7.4" customHeight="1" x14ac:dyDescent="0.35">
      <c r="A22" s="3"/>
      <c r="B22" s="3"/>
      <c r="C22" s="3"/>
      <c r="D22" s="3"/>
      <c r="E22" s="3"/>
      <c r="F22" s="3"/>
      <c r="G22" s="3"/>
      <c r="H22" s="3"/>
      <c r="I22" s="3"/>
      <c r="J22" s="3"/>
      <c r="K22" s="3"/>
      <c r="L22" s="3"/>
    </row>
    <row r="23" spans="1:12" ht="32.5" customHeight="1" x14ac:dyDescent="0.35">
      <c r="A23" s="3"/>
      <c r="B23" s="332" t="str">
        <f>CONCATENATE("By identifying a Consortium Manager below ",IF(LeaName="","the LEA",LeaName)," assures it understands the agreement with the Consortium Manager does not absolve, share, or limit the LEA's fiscal responsibilities under IDEA.")</f>
        <v>By identifying a Consortium Manager below the LEA assures it understands the agreement with the Consortium Manager does not absolve, share, or limit the LEA's fiscal responsibilities under IDEA.</v>
      </c>
      <c r="C23" s="332"/>
      <c r="D23" s="332"/>
      <c r="E23" s="332"/>
      <c r="F23" s="332"/>
      <c r="G23" s="332"/>
      <c r="H23" s="332"/>
      <c r="I23" s="332"/>
      <c r="J23" s="332"/>
      <c r="K23" s="332"/>
      <c r="L23" s="3"/>
    </row>
    <row r="24" spans="1:12" ht="7.4" customHeight="1" x14ac:dyDescent="0.35">
      <c r="A24" s="3"/>
      <c r="B24" s="3"/>
      <c r="C24" s="3"/>
      <c r="D24" s="3"/>
      <c r="E24" s="3"/>
      <c r="F24" s="3"/>
      <c r="G24" s="3"/>
      <c r="H24" s="3"/>
      <c r="I24" s="3"/>
      <c r="J24" s="3"/>
      <c r="K24" s="3"/>
      <c r="L24" s="3"/>
    </row>
    <row r="25" spans="1:12" x14ac:dyDescent="0.35">
      <c r="A25" s="3"/>
      <c r="B25" s="3"/>
      <c r="C25" s="3"/>
      <c r="D25" s="38" t="s">
        <v>1894</v>
      </c>
      <c r="E25" s="77"/>
      <c r="F25" s="3"/>
      <c r="G25" s="38" t="s">
        <v>1895</v>
      </c>
      <c r="H25" s="315"/>
      <c r="I25" s="315"/>
      <c r="J25" s="315"/>
      <c r="K25" s="3"/>
      <c r="L25" s="3"/>
    </row>
    <row r="26" spans="1:12" ht="7.4" customHeight="1" x14ac:dyDescent="0.35">
      <c r="A26" s="3"/>
      <c r="B26" s="3"/>
      <c r="C26" s="3"/>
      <c r="D26" s="3"/>
      <c r="E26" s="3"/>
      <c r="F26" s="3"/>
      <c r="G26" s="3"/>
      <c r="H26" s="3"/>
      <c r="I26" s="3"/>
      <c r="J26" s="3"/>
      <c r="K26" s="3"/>
      <c r="L26" s="3"/>
    </row>
    <row r="27" spans="1:12" ht="21.75" customHeight="1" x14ac:dyDescent="0.35">
      <c r="A27" s="3"/>
      <c r="B27" s="322" t="str">
        <f>IF(FiscalAgentAssurance= "Yes", "If you are part of a consortium, do NOT waive your funds unless the consortia has agreed that it will not use IDEA dollars. Waiving funds means the LEA will receive NO allocation to be used by the consortia.","-")</f>
        <v>-</v>
      </c>
      <c r="C27" s="322"/>
      <c r="D27" s="322"/>
      <c r="E27" s="322"/>
      <c r="F27" s="322"/>
      <c r="G27" s="322"/>
      <c r="H27" s="322"/>
      <c r="I27" s="322"/>
      <c r="J27" s="322"/>
      <c r="K27" s="322"/>
      <c r="L27" s="322"/>
    </row>
    <row r="28" spans="1:12" x14ac:dyDescent="0.35">
      <c r="A28" s="3"/>
      <c r="B28" s="322"/>
      <c r="C28" s="322"/>
      <c r="D28" s="322"/>
      <c r="E28" s="322"/>
      <c r="F28" s="322"/>
      <c r="G28" s="322"/>
      <c r="H28" s="322"/>
      <c r="I28" s="322"/>
      <c r="J28" s="322"/>
      <c r="K28" s="322"/>
      <c r="L28" s="322"/>
    </row>
    <row r="29" spans="1:12" s="98" customFormat="1" hidden="1" x14ac:dyDescent="0.35"/>
    <row r="30" spans="1:12" s="98" customFormat="1" hidden="1" x14ac:dyDescent="0.35"/>
    <row r="31" spans="1:12" s="98" customFormat="1" hidden="1" x14ac:dyDescent="0.35"/>
    <row r="32" spans="1:12" s="98" customFormat="1" hidden="1" x14ac:dyDescent="0.35"/>
    <row r="33" s="98" customFormat="1" hidden="1" x14ac:dyDescent="0.35"/>
    <row r="34" s="98" customFormat="1" hidden="1" x14ac:dyDescent="0.35"/>
    <row r="35" s="98" customFormat="1" hidden="1" x14ac:dyDescent="0.35"/>
  </sheetData>
  <sheetProtection algorithmName="SHA-512" hashValue="r+Jo2wCNoduhp80Crn6zNtZUmMmQjGNuJkQpAb5WHST4YfzHRlmPQ4FvSOOJVsQd2ArnZmjx4Cr4Bs22LWz2Tg==" saltValue="oC/mM0cprzUP7KSBn4x1Kw==" spinCount="100000" sheet="1" selectLockedCells="1"/>
  <mergeCells count="12">
    <mergeCell ref="H25:J25"/>
    <mergeCell ref="B9:K9"/>
    <mergeCell ref="F4:H4"/>
    <mergeCell ref="B27:L28"/>
    <mergeCell ref="F2:H2"/>
    <mergeCell ref="F3:H3"/>
    <mergeCell ref="F5:H5"/>
    <mergeCell ref="F6:H6"/>
    <mergeCell ref="B23:K23"/>
    <mergeCell ref="B8:K8"/>
    <mergeCell ref="B16:K16"/>
    <mergeCell ref="B19:K19"/>
  </mergeCells>
  <conditionalFormatting sqref="B23:K23">
    <cfRule type="expression" dxfId="81" priority="12">
      <formula>$H$21&lt;&gt;"Yes"</formula>
    </cfRule>
  </conditionalFormatting>
  <conditionalFormatting sqref="D12:D13">
    <cfRule type="expression" dxfId="80" priority="3">
      <formula>Sect611App="No"</formula>
    </cfRule>
  </conditionalFormatting>
  <conditionalFormatting sqref="D14">
    <cfRule type="expression" dxfId="79" priority="13">
      <formula>OR(Sect611App="No",Sect619App="No")</formula>
    </cfRule>
  </conditionalFormatting>
  <conditionalFormatting sqref="D25 G25">
    <cfRule type="expression" dxfId="78" priority="10">
      <formula>FiscalAgentAssurance&lt;&gt;"Yes"</formula>
    </cfRule>
  </conditionalFormatting>
  <conditionalFormatting sqref="E25 H25:J25">
    <cfRule type="expression" dxfId="77" priority="9">
      <formula>FiscalAgentAssurance&lt;&gt;"Yes"</formula>
    </cfRule>
  </conditionalFormatting>
  <conditionalFormatting sqref="J12:J13">
    <cfRule type="expression" dxfId="76" priority="1">
      <formula>Sect611App="No"</formula>
    </cfRule>
  </conditionalFormatting>
  <dataValidations count="2">
    <dataValidation type="custom" allowBlank="1" showInputMessage="1" showErrorMessage="1" errorTitle="Bad Email Address" error="The email address entered does not conform to a proper email address. Please review the information entered." sqref="F6:H6" xr:uid="{00000000-0002-0000-0A00-000001000000}">
      <formula1>AND(FIND("@",F6),IFERROR(FIND("@",F6,FIND("@",F6)+1),TRUE),FIND(".",F6),ISERROR(FIND(" ",F6)))</formula1>
    </dataValidation>
    <dataValidation type="list" allowBlank="1" showInputMessage="1" showErrorMessage="1" sqref="H25:J25" xr:uid="{00000000-0002-0000-0A00-000002000000}">
      <formula1>FiscalAgent_choices</formula1>
    </dataValidation>
  </dataValidations>
  <pageMargins left="0.25" right="0.25" top="0.75" bottom="0.75" header="0.3" footer="0.3"/>
  <pageSetup scale="83" orientation="landscape" horizontalDpi="1200" verticalDpi="1200" r:id="rId1"/>
  <ignoredErrors>
    <ignoredError sqref="E12" formula="1"/>
  </ignoredErrors>
  <extLst>
    <ext xmlns:x14="http://schemas.microsoft.com/office/spreadsheetml/2009/9/main" uri="{78C0D931-6437-407d-A8EE-F0AAD7539E65}">
      <x14:conditionalFormattings>
        <x14:conditionalFormatting xmlns:xm="http://schemas.microsoft.com/office/excel/2006/main">
          <x14:cfRule type="expression" priority="4" id="{C11379E2-3FAA-4B8E-AB5D-E96B0C2E4273}">
            <xm:f>AND(LeaName&lt;&gt;"",NOT(Output!$C$19))</xm:f>
            <x14:dxf>
              <fill>
                <patternFill>
                  <bgColor rgb="FFFF0000"/>
                </patternFill>
              </fill>
            </x14:dxf>
          </x14:cfRule>
          <x14:cfRule type="expression" priority="5" id="{6B670FA4-EADC-4981-8B89-05DE870DAD09}">
            <xm:f>AND(LeaName&lt;&gt;"",Output!$C$19)</xm:f>
            <x14:dxf>
              <fill>
                <patternFill>
                  <bgColor rgb="FF92D050"/>
                </patternFill>
              </fill>
            </x14:dxf>
          </x14:cfRule>
          <xm:sqref>A1:A28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3000000}">
          <x14:formula1>
            <xm:f>Admin!$B$5:$B$6</xm:f>
          </x14:formula1>
          <xm:sqref>E25</xm:sqref>
        </x14:dataValidation>
        <x14:dataValidation type="list" allowBlank="1" showInputMessage="1" showErrorMessage="1" xr:uid="{00000000-0002-0000-0A00-000004000000}">
          <x14:formula1>
            <xm:f>'Agency Info Data'!$A$2:$A$198</xm:f>
          </x14:formula1>
          <xm:sqref>F2:H2</xm:sqref>
        </x14:dataValidation>
        <x14:dataValidation type="list" allowBlank="1" showInputMessage="1" showErrorMessage="1" xr:uid="{00000000-0002-0000-0A00-000005000000}">
          <x14:formula1>
            <xm:f>Admin!$B$28:$B$29</xm:f>
          </x14:formula1>
          <xm:sqref>H21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F40"/>
  <sheetViews>
    <sheetView showGridLines="0" workbookViewId="0">
      <selection activeCell="C21" sqref="C21"/>
    </sheetView>
  </sheetViews>
  <sheetFormatPr defaultColWidth="0" defaultRowHeight="14.5" zeroHeight="1" x14ac:dyDescent="0.35"/>
  <cols>
    <col min="1" max="1" width="3.26953125" style="3" customWidth="1"/>
    <col min="2" max="2" width="18.81640625" style="3" customWidth="1"/>
    <col min="3" max="5" width="41.7265625" style="3" customWidth="1"/>
    <col min="6" max="6" width="3.26953125" style="3" customWidth="1"/>
    <col min="7" max="16384" width="9.1796875" style="3" hidden="1"/>
  </cols>
  <sheetData>
    <row r="1" spans="1:6" customFormat="1" ht="20" thickBot="1" x14ac:dyDescent="0.5">
      <c r="A1" s="3"/>
      <c r="B1" s="2" t="s">
        <v>3003</v>
      </c>
      <c r="C1" s="2"/>
      <c r="D1" s="5" t="s">
        <v>1587</v>
      </c>
      <c r="E1" s="4" t="str">
        <f>CurrSchlYr</f>
        <v>2024-2025</v>
      </c>
      <c r="F1" s="3"/>
    </row>
    <row r="2" spans="1:6" customFormat="1" ht="15" thickTop="1" x14ac:dyDescent="0.35">
      <c r="A2" s="3"/>
      <c r="B2" s="334" t="s">
        <v>1594</v>
      </c>
      <c r="C2" s="334"/>
      <c r="D2" s="334"/>
      <c r="E2" s="334"/>
      <c r="F2" s="3"/>
    </row>
    <row r="3" spans="1:6" customFormat="1" ht="8.15" customHeight="1" x14ac:dyDescent="0.35">
      <c r="A3" s="3"/>
      <c r="B3" s="3"/>
      <c r="C3" s="3"/>
      <c r="D3" s="3"/>
      <c r="E3" s="3"/>
      <c r="F3" s="3"/>
    </row>
    <row r="4" spans="1:6" customFormat="1" x14ac:dyDescent="0.35">
      <c r="A4" s="3"/>
      <c r="B4" s="3"/>
      <c r="C4" s="26" t="s">
        <v>273</v>
      </c>
      <c r="D4" s="26" t="s">
        <v>1595</v>
      </c>
      <c r="E4" s="26" t="s">
        <v>276</v>
      </c>
      <c r="F4" s="3"/>
    </row>
    <row r="5" spans="1:6" customFormat="1" x14ac:dyDescent="0.35">
      <c r="A5" s="3"/>
      <c r="B5" s="27" t="s">
        <v>1596</v>
      </c>
      <c r="C5" s="279" t="str">
        <f>_xlfn.IFNA(VLOOKUP(LeaName,tblContacts[],MATCH("SupFirstName",contact_columns,0)),"")</f>
        <v/>
      </c>
      <c r="D5" s="279" t="str">
        <f>_xlfn.IFNA(VLOOKUP(LeaName,tblContacts[],MATCH("BsnFirstName",contact_columns,0)),"")</f>
        <v/>
      </c>
      <c r="E5" s="279" t="str">
        <f>_xlfn.IFNA(VLOOKUP(LeaName,tblContacts[],MATCH("SedFirstName",contact_columns,0)),"")</f>
        <v/>
      </c>
      <c r="F5" s="3"/>
    </row>
    <row r="6" spans="1:6" customFormat="1" x14ac:dyDescent="0.35">
      <c r="A6" s="3"/>
      <c r="B6" s="28" t="s">
        <v>1597</v>
      </c>
      <c r="C6" s="279" t="str">
        <f>_xlfn.IFNA(VLOOKUP(LeaName,tblContacts[],MATCH("SupLastName",contact_columns,0)),"")</f>
        <v/>
      </c>
      <c r="D6" s="279" t="str">
        <f>_xlfn.IFNA(VLOOKUP(LeaName,tblContacts[],MATCH("BsnLastName",contact_columns,0)),"")</f>
        <v/>
      </c>
      <c r="E6" s="279" t="str">
        <f>_xlfn.IFNA(VLOOKUP(LeaName,tblContacts[],MATCH("SedLastName",contact_columns,0)),"")</f>
        <v/>
      </c>
      <c r="F6" s="3"/>
    </row>
    <row r="7" spans="1:6" customFormat="1" x14ac:dyDescent="0.35">
      <c r="A7" s="3"/>
      <c r="B7" s="29" t="s">
        <v>1598</v>
      </c>
      <c r="C7" s="279" t="str">
        <f>_xlfn.IFNA(VLOOKUP(LeaName,tblContacts[],MATCH("Type",contact_columns,0)),"")</f>
        <v/>
      </c>
      <c r="D7" s="279" t="str">
        <f>IF(LeaName="","",IF(VLOOKUP(LeaName,tblContacts[],MATCH("Type3",contact_columns,0))=0,"",VLOOKUP(LeaName,tblContacts[],MATCH("Type3",contact_columns,0))))</f>
        <v/>
      </c>
      <c r="E7" s="279" t="str">
        <f>_xlfn.IFNA(VLOOKUP(LeaName,tblContacts[],MATCH("Type2",contact_columns,0)),"")</f>
        <v/>
      </c>
      <c r="F7" s="3"/>
    </row>
    <row r="8" spans="1:6" customFormat="1" x14ac:dyDescent="0.35">
      <c r="A8" s="3"/>
      <c r="B8" s="28" t="s">
        <v>1599</v>
      </c>
      <c r="C8" s="280" t="str">
        <f>_xlfn.IFNA(VLOOKUP(LeaName,tblContacts[],MATCH("SupPhoneNumber",contact_columns,0)),"")</f>
        <v/>
      </c>
      <c r="D8" s="280" t="str">
        <f>_xlfn.IFNA(VLOOKUP(LeaName,tblContacts[],MATCH("BsnPhoneNumber",contact_columns,0)),"")</f>
        <v/>
      </c>
      <c r="E8" s="280" t="str">
        <f>_xlfn.IFNA(VLOOKUP(LeaName,tblContacts[],MATCH("SedPhoneNumber",contact_columns,0)),"")</f>
        <v/>
      </c>
      <c r="F8" s="3"/>
    </row>
    <row r="9" spans="1:6" customFormat="1" x14ac:dyDescent="0.35">
      <c r="A9" s="3"/>
      <c r="B9" s="29" t="s">
        <v>1600</v>
      </c>
      <c r="C9" s="279" t="str">
        <f>IF(_xlfn.IFNA(VLOOKUP(LeaName,tblContacts[],MATCH("SupPhoneExt",contact_columns,0)),"")=0,"",_xlfn.IFNA(VLOOKUP(LeaName,tblContacts[],MATCH("SupPhoneExt",contact_columns,0)),""))</f>
        <v/>
      </c>
      <c r="D9" s="279" t="str">
        <f>IF(_xlfn.IFNA(VLOOKUP(LeaName,tblContacts[],MATCH("BsnPhoneExt",contact_columns,0)),"")=0,"",_xlfn.IFNA(VLOOKUP(LeaName,tblContacts[],MATCH("BsnPhoneExt",contact_columns,0)),""))</f>
        <v/>
      </c>
      <c r="E9" s="279" t="str">
        <f>IF(_xlfn.IFNA(VLOOKUP(LeaName,tblContacts[],MATCH("SedPhoneExt",contact_columns,0)),"")=0,"",_xlfn.IFNA(VLOOKUP(LeaName,tblContacts[],MATCH("SedPhoneExt",contact_columns,0)),""))</f>
        <v/>
      </c>
      <c r="F9" s="3"/>
    </row>
    <row r="10" spans="1:6" customFormat="1" x14ac:dyDescent="0.35">
      <c r="A10" s="3"/>
      <c r="B10" s="28" t="s">
        <v>1601</v>
      </c>
      <c r="C10" s="279" t="str">
        <f>_xlfn.IFNA(VLOOKUP(LeaName,tblContacts[],MATCH("SupEmail",contact_columns,0)),"")</f>
        <v/>
      </c>
      <c r="D10" s="279" t="str">
        <f>_xlfn.IFNA(VLOOKUP(LeaName,tblContacts[],MATCH("BsnEmail",contact_columns,0)),"")</f>
        <v/>
      </c>
      <c r="E10" s="279" t="str">
        <f>_xlfn.IFNA(VLOOKUP(LeaName,tblContacts[],MATCH("SedEmail",contact_columns,0)),"")</f>
        <v/>
      </c>
      <c r="F10" s="3"/>
    </row>
    <row r="11" spans="1:6" customFormat="1" ht="8.15" customHeight="1" x14ac:dyDescent="0.35">
      <c r="A11" s="3"/>
      <c r="B11" s="3"/>
      <c r="C11" s="3"/>
      <c r="D11" s="3"/>
      <c r="E11" s="3"/>
      <c r="F11" s="3"/>
    </row>
    <row r="12" spans="1:6" customFormat="1" ht="31.15" customHeight="1" x14ac:dyDescent="0.35">
      <c r="A12" s="3"/>
      <c r="B12" s="332" t="s">
        <v>1602</v>
      </c>
      <c r="C12" s="332"/>
      <c r="D12" s="332"/>
      <c r="E12" s="332"/>
      <c r="F12" s="3"/>
    </row>
    <row r="13" spans="1:6" customFormat="1" ht="8.15" customHeight="1" x14ac:dyDescent="0.35">
      <c r="A13" s="3"/>
      <c r="B13" s="3"/>
      <c r="C13" s="3"/>
      <c r="D13" s="3"/>
      <c r="E13" s="3"/>
      <c r="F13" s="3"/>
    </row>
    <row r="14" spans="1:6" customFormat="1" x14ac:dyDescent="0.35">
      <c r="A14" s="3"/>
      <c r="B14" s="335" t="s">
        <v>3190</v>
      </c>
      <c r="C14" s="335"/>
      <c r="D14" s="335"/>
      <c r="E14" s="336" t="s">
        <v>3192</v>
      </c>
      <c r="F14" s="3"/>
    </row>
    <row r="15" spans="1:6" customFormat="1" ht="14.5" customHeight="1" x14ac:dyDescent="0.35">
      <c r="A15" s="3"/>
      <c r="B15" s="3"/>
      <c r="C15" s="3"/>
      <c r="D15" s="229" t="s">
        <v>3191</v>
      </c>
      <c r="E15" s="336"/>
      <c r="F15" s="3"/>
    </row>
    <row r="16" spans="1:6" customFormat="1" ht="8.15" customHeight="1" x14ac:dyDescent="0.35">
      <c r="A16" s="3"/>
      <c r="B16" s="3"/>
      <c r="C16" s="3"/>
      <c r="D16" s="3"/>
      <c r="E16" s="336"/>
      <c r="F16" s="3"/>
    </row>
    <row r="17" spans="1:6" customFormat="1" ht="8.15" customHeight="1" x14ac:dyDescent="0.35">
      <c r="A17" s="3"/>
      <c r="B17" s="3"/>
      <c r="C17" s="3"/>
      <c r="D17" s="3"/>
      <c r="E17" s="336"/>
      <c r="F17" s="3"/>
    </row>
    <row r="18" spans="1:6" customFormat="1" x14ac:dyDescent="0.35">
      <c r="A18" s="3"/>
      <c r="B18" s="3"/>
      <c r="C18" s="3"/>
      <c r="D18" s="3"/>
      <c r="E18" s="229" t="s">
        <v>3023</v>
      </c>
      <c r="F18" s="3"/>
    </row>
    <row r="19" spans="1:6" customFormat="1" x14ac:dyDescent="0.35">
      <c r="A19" s="3"/>
      <c r="B19" s="3"/>
      <c r="C19" s="3"/>
      <c r="D19" s="3"/>
      <c r="E19" s="3"/>
      <c r="F19" s="3"/>
    </row>
    <row r="20" spans="1:6" customFormat="1" x14ac:dyDescent="0.35">
      <c r="A20" s="3"/>
      <c r="B20" s="3"/>
      <c r="C20" s="26" t="s">
        <v>273</v>
      </c>
      <c r="D20" s="26" t="s">
        <v>1595</v>
      </c>
      <c r="E20" s="26" t="s">
        <v>276</v>
      </c>
      <c r="F20" s="3"/>
    </row>
    <row r="21" spans="1:6" customFormat="1" x14ac:dyDescent="0.35">
      <c r="A21" s="3"/>
      <c r="B21" s="27" t="s">
        <v>1596</v>
      </c>
      <c r="C21" s="77"/>
      <c r="D21" s="77"/>
      <c r="E21" s="77"/>
      <c r="F21" s="3"/>
    </row>
    <row r="22" spans="1:6" customFormat="1" x14ac:dyDescent="0.35">
      <c r="A22" s="3"/>
      <c r="B22" s="28" t="s">
        <v>1597</v>
      </c>
      <c r="C22" s="77"/>
      <c r="D22" s="77"/>
      <c r="E22" s="77"/>
      <c r="F22" s="3"/>
    </row>
    <row r="23" spans="1:6" customFormat="1" x14ac:dyDescent="0.35">
      <c r="A23" s="3"/>
      <c r="B23" s="29" t="s">
        <v>1598</v>
      </c>
      <c r="C23" s="77"/>
      <c r="D23" s="77"/>
      <c r="E23" s="77"/>
      <c r="F23" s="3"/>
    </row>
    <row r="24" spans="1:6" customFormat="1" x14ac:dyDescent="0.35">
      <c r="A24" s="3"/>
      <c r="B24" s="28" t="s">
        <v>1599</v>
      </c>
      <c r="C24" s="25"/>
      <c r="D24" s="25"/>
      <c r="E24" s="25"/>
      <c r="F24" s="3"/>
    </row>
    <row r="25" spans="1:6" customFormat="1" x14ac:dyDescent="0.35">
      <c r="A25" s="3"/>
      <c r="B25" s="29" t="s">
        <v>1600</v>
      </c>
      <c r="C25" s="77"/>
      <c r="D25" s="77"/>
      <c r="E25" s="77"/>
      <c r="F25" s="3"/>
    </row>
    <row r="26" spans="1:6" customFormat="1" x14ac:dyDescent="0.35">
      <c r="A26" s="3"/>
      <c r="B26" s="29" t="s">
        <v>1603</v>
      </c>
      <c r="C26" s="25"/>
      <c r="D26" s="25"/>
      <c r="E26" s="25"/>
      <c r="F26" s="3"/>
    </row>
    <row r="27" spans="1:6" customFormat="1" x14ac:dyDescent="0.35">
      <c r="A27" s="3"/>
      <c r="B27" s="29" t="s">
        <v>1604</v>
      </c>
      <c r="C27" s="77"/>
      <c r="D27" s="77"/>
      <c r="E27" s="77"/>
      <c r="F27" s="3"/>
    </row>
    <row r="28" spans="1:6" customFormat="1" x14ac:dyDescent="0.35">
      <c r="A28" s="3"/>
      <c r="B28" s="28" t="s">
        <v>1601</v>
      </c>
      <c r="C28" s="77"/>
      <c r="D28" s="77"/>
      <c r="E28" s="77"/>
      <c r="F28" s="3"/>
    </row>
    <row r="29" spans="1:6" customFormat="1" x14ac:dyDescent="0.35">
      <c r="A29" s="3"/>
      <c r="B29" s="29" t="s">
        <v>1605</v>
      </c>
      <c r="C29" s="77"/>
      <c r="D29" s="77"/>
      <c r="E29" s="77"/>
      <c r="F29" s="3"/>
    </row>
    <row r="30" spans="1:6" customFormat="1" x14ac:dyDescent="0.35">
      <c r="A30" s="3"/>
      <c r="B30" s="3"/>
      <c r="C30" s="3"/>
      <c r="D30" s="3"/>
      <c r="E30" s="3"/>
      <c r="F30" s="3"/>
    </row>
    <row r="31" spans="1:6" customFormat="1" x14ac:dyDescent="0.35">
      <c r="A31" s="3"/>
      <c r="B31" s="3"/>
      <c r="C31" s="3"/>
      <c r="D31" s="3"/>
      <c r="E31" s="3"/>
      <c r="F31" s="3"/>
    </row>
    <row r="32" spans="1:6" customFormat="1" x14ac:dyDescent="0.35">
      <c r="A32" s="3"/>
      <c r="B32" s="3"/>
      <c r="C32" s="3"/>
      <c r="D32" s="3"/>
      <c r="E32" s="3"/>
      <c r="F32" s="3"/>
    </row>
    <row r="33" spans="1:6" customFormat="1" x14ac:dyDescent="0.35">
      <c r="A33" s="3"/>
      <c r="B33" s="3"/>
      <c r="C33" s="3"/>
      <c r="D33" s="3"/>
      <c r="E33" s="3"/>
      <c r="F33" s="3"/>
    </row>
    <row r="34" spans="1:6" customFormat="1" x14ac:dyDescent="0.35">
      <c r="A34" s="3"/>
      <c r="B34" s="3"/>
      <c r="C34" s="3"/>
      <c r="D34" s="3"/>
      <c r="E34" s="3"/>
      <c r="F34" s="3"/>
    </row>
    <row r="35" spans="1:6" customFormat="1" x14ac:dyDescent="0.35">
      <c r="A35" s="3"/>
      <c r="B35" s="3"/>
      <c r="C35" s="3"/>
      <c r="D35" s="3"/>
      <c r="E35" s="3"/>
      <c r="F35" s="3"/>
    </row>
    <row r="36" spans="1:6" customFormat="1" x14ac:dyDescent="0.35">
      <c r="A36" s="3"/>
      <c r="B36" s="3"/>
      <c r="C36" s="3"/>
      <c r="D36" s="3"/>
      <c r="E36" s="3"/>
      <c r="F36" s="3"/>
    </row>
    <row r="37" spans="1:6" customFormat="1" x14ac:dyDescent="0.35">
      <c r="A37" s="3"/>
      <c r="B37" s="3"/>
      <c r="C37" s="3"/>
      <c r="E37" s="3"/>
      <c r="F37" s="3"/>
    </row>
    <row r="38" spans="1:6" customFormat="1" x14ac:dyDescent="0.35">
      <c r="A38" s="3"/>
      <c r="B38" s="3"/>
      <c r="C38" s="3"/>
      <c r="D38" s="3"/>
      <c r="E38" s="3"/>
      <c r="F38" s="3"/>
    </row>
    <row r="39" spans="1:6" x14ac:dyDescent="0.35"/>
    <row r="40" spans="1:6" x14ac:dyDescent="0.35"/>
  </sheetData>
  <sheetProtection algorithmName="SHA-512" hashValue="3Xk0b/5Ey7tTkvFUZfGYR+QIX8j1hVGr8ff6nHZnItcRouoIFCL0OO76X/49YIhUyvTGcShY4GhxQAQH8hXPwg==" saltValue="KwLZizRoTG6qUXjdFT4kdg==" spinCount="100000" sheet="1" selectLockedCells="1"/>
  <mergeCells count="4">
    <mergeCell ref="B12:E12"/>
    <mergeCell ref="B2:E2"/>
    <mergeCell ref="B14:D14"/>
    <mergeCell ref="E14:E17"/>
  </mergeCells>
  <dataValidations xWindow="910" yWindow="818" count="3">
    <dataValidation type="custom" allowBlank="1" showErrorMessage="1" error="Only text allowed in this field" prompt="Please only enter text in this field" sqref="C21:E22" xr:uid="{00000000-0002-0000-0B00-000000000000}">
      <formula1>ISTEXT(C21)</formula1>
    </dataValidation>
    <dataValidation type="whole" operator="greaterThan" allowBlank="1" showInputMessage="1" showErrorMessage="1" promptTitle="Phone Numbers" prompt="Please enter the whole number, with area code. No parentheses, periods, dashes, or spaces." sqref="C24:E24 C26:E26" xr:uid="{00000000-0002-0000-0B00-000001000000}">
      <formula1>100000</formula1>
    </dataValidation>
    <dataValidation type="custom" allowBlank="1" showInputMessage="1" showErrorMessage="1" errorTitle="Invalid Email" error="Email address does not conform to known Email conventions. Please review the Email address entered. If this message continues to show, please contact a member of the fiscal team for assistance." prompt="Valid Email addresses only. Must contain an @ and a domain address (e.g., user@my.awesomeschool.k12.org)" sqref="C28:E29" xr:uid="{00000000-0002-0000-0B00-000002000000}">
      <formula1>ISNUMBER(MATCH("*@*.?*",C28,0))</formula1>
    </dataValidation>
  </dataValidations>
  <hyperlinks>
    <hyperlink ref="D15" r:id="rId1" tooltip="https://district.ode.state.or.us/centrallogin/" xr:uid="{428380BF-F5DB-44E0-B76B-5C8F3004FEB3}"/>
    <hyperlink ref="E18" r:id="rId2" xr:uid="{682C1265-C5AD-4BD2-B61E-7E02CE27ED32}"/>
  </hyperlinks>
  <pageMargins left="0.25" right="0.25" top="0.75" bottom="0.75" header="0.3" footer="0.3"/>
  <pageSetup orientation="landscape" horizontalDpi="1200" verticalDpi="1200"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2B9A7-586F-4E5E-859D-8C9DBA9767B3}">
  <sheetPr codeName="Sheet28"/>
  <dimension ref="A1:A50"/>
  <sheetViews>
    <sheetView showGridLines="0" workbookViewId="0"/>
  </sheetViews>
  <sheetFormatPr defaultRowHeight="14.5" x14ac:dyDescent="0.35"/>
  <cols>
    <col min="1" max="1" width="151.453125" customWidth="1"/>
  </cols>
  <sheetData>
    <row r="1" spans="1:1" ht="20" thickBot="1" x14ac:dyDescent="0.5">
      <c r="A1" s="151" t="s">
        <v>3193</v>
      </c>
    </row>
    <row r="2" spans="1:1" ht="15" thickTop="1" x14ac:dyDescent="0.35">
      <c r="A2" s="106" t="s">
        <v>3042</v>
      </c>
    </row>
    <row r="3" spans="1:1" x14ac:dyDescent="0.35">
      <c r="A3" s="238" t="s">
        <v>3074</v>
      </c>
    </row>
    <row r="4" spans="1:1" ht="23.5" x14ac:dyDescent="0.55000000000000004">
      <c r="A4" s="237" t="s">
        <v>3060</v>
      </c>
    </row>
    <row r="5" spans="1:1" ht="6.75" customHeight="1" x14ac:dyDescent="0.55000000000000004">
      <c r="A5" s="237"/>
    </row>
    <row r="6" spans="1:1" ht="17.5" thickBot="1" x14ac:dyDescent="0.4">
      <c r="A6" s="236" t="s">
        <v>3026</v>
      </c>
    </row>
    <row r="7" spans="1:1" ht="16" thickTop="1" x14ac:dyDescent="0.35">
      <c r="A7" s="232" t="s">
        <v>3027</v>
      </c>
    </row>
    <row r="8" spans="1:1" ht="77.5" x14ac:dyDescent="0.35">
      <c r="A8" s="230" t="s">
        <v>3028</v>
      </c>
    </row>
    <row r="9" spans="1:1" ht="15.5" x14ac:dyDescent="0.35">
      <c r="A9" s="233" t="s">
        <v>3038</v>
      </c>
    </row>
    <row r="10" spans="1:1" ht="46.5" x14ac:dyDescent="0.35">
      <c r="A10" s="230" t="s">
        <v>3029</v>
      </c>
    </row>
    <row r="11" spans="1:1" ht="15.5" x14ac:dyDescent="0.35">
      <c r="A11" s="233" t="s">
        <v>3039</v>
      </c>
    </row>
    <row r="12" spans="1:1" ht="46.5" x14ac:dyDescent="0.35">
      <c r="A12" s="230" t="s">
        <v>3030</v>
      </c>
    </row>
    <row r="13" spans="1:1" ht="15.5" x14ac:dyDescent="0.35">
      <c r="A13" s="233" t="s">
        <v>3040</v>
      </c>
    </row>
    <row r="14" spans="1:1" ht="46.5" x14ac:dyDescent="0.35">
      <c r="A14" s="230" t="s">
        <v>3031</v>
      </c>
    </row>
    <row r="16" spans="1:1" ht="17.5" thickBot="1" x14ac:dyDescent="0.4">
      <c r="A16" s="236" t="s">
        <v>3032</v>
      </c>
    </row>
    <row r="17" spans="1:1" ht="16" thickTop="1" x14ac:dyDescent="0.35">
      <c r="A17" s="232" t="s">
        <v>3027</v>
      </c>
    </row>
    <row r="18" spans="1:1" ht="62" x14ac:dyDescent="0.35">
      <c r="A18" s="230" t="s">
        <v>3033</v>
      </c>
    </row>
    <row r="19" spans="1:1" ht="46.5" x14ac:dyDescent="0.35">
      <c r="A19" s="230" t="s">
        <v>3034</v>
      </c>
    </row>
    <row r="20" spans="1:1" ht="15.5" x14ac:dyDescent="0.35">
      <c r="A20" s="233" t="s">
        <v>3038</v>
      </c>
    </row>
    <row r="21" spans="1:1" ht="93" x14ac:dyDescent="0.35">
      <c r="A21" s="230" t="s">
        <v>3035</v>
      </c>
    </row>
    <row r="22" spans="1:1" ht="15.5" x14ac:dyDescent="0.35">
      <c r="A22" s="233" t="s">
        <v>3039</v>
      </c>
    </row>
    <row r="23" spans="1:1" ht="46.5" x14ac:dyDescent="0.35">
      <c r="A23" s="230" t="s">
        <v>3036</v>
      </c>
    </row>
    <row r="24" spans="1:1" ht="15.5" x14ac:dyDescent="0.35">
      <c r="A24" s="233" t="s">
        <v>3041</v>
      </c>
    </row>
    <row r="25" spans="1:1" ht="31" x14ac:dyDescent="0.35">
      <c r="A25" s="230" t="s">
        <v>3037</v>
      </c>
    </row>
    <row r="27" spans="1:1" ht="17.5" thickBot="1" x14ac:dyDescent="0.4">
      <c r="A27" s="236" t="s">
        <v>3043</v>
      </c>
    </row>
    <row r="28" spans="1:1" ht="15" thickTop="1" x14ac:dyDescent="0.35">
      <c r="A28" s="239" t="s">
        <v>3066</v>
      </c>
    </row>
    <row r="29" spans="1:1" ht="62" x14ac:dyDescent="0.35">
      <c r="A29" s="230" t="s">
        <v>3065</v>
      </c>
    </row>
    <row r="30" spans="1:1" ht="15.5" x14ac:dyDescent="0.35">
      <c r="A30" s="234" t="s">
        <v>3044</v>
      </c>
    </row>
    <row r="31" spans="1:1" ht="46.5" x14ac:dyDescent="0.35">
      <c r="A31" s="230" t="s">
        <v>3045</v>
      </c>
    </row>
    <row r="32" spans="1:1" ht="15.5" x14ac:dyDescent="0.35">
      <c r="A32" s="234" t="s">
        <v>3046</v>
      </c>
    </row>
    <row r="33" spans="1:1" ht="31" x14ac:dyDescent="0.35">
      <c r="A33" s="230" t="s">
        <v>3047</v>
      </c>
    </row>
    <row r="34" spans="1:1" ht="15.5" x14ac:dyDescent="0.35">
      <c r="A34" s="234" t="s">
        <v>3048</v>
      </c>
    </row>
    <row r="35" spans="1:1" ht="31" x14ac:dyDescent="0.35">
      <c r="A35" s="230" t="s">
        <v>3049</v>
      </c>
    </row>
    <row r="37" spans="1:1" ht="17.5" thickBot="1" x14ac:dyDescent="0.4">
      <c r="A37" s="236" t="s">
        <v>3050</v>
      </c>
    </row>
    <row r="38" spans="1:1" ht="16" thickTop="1" x14ac:dyDescent="0.35">
      <c r="A38" s="234" t="s">
        <v>3027</v>
      </c>
    </row>
    <row r="39" spans="1:1" ht="31" x14ac:dyDescent="0.35">
      <c r="A39" s="230" t="s">
        <v>3051</v>
      </c>
    </row>
    <row r="40" spans="1:1" ht="31" x14ac:dyDescent="0.35">
      <c r="A40" s="230" t="s">
        <v>3052</v>
      </c>
    </row>
    <row r="41" spans="1:1" ht="15.5" x14ac:dyDescent="0.35">
      <c r="A41" s="235" t="s">
        <v>3057</v>
      </c>
    </row>
    <row r="42" spans="1:1" ht="15.5" x14ac:dyDescent="0.35">
      <c r="A42" s="231" t="s">
        <v>3053</v>
      </c>
    </row>
    <row r="43" spans="1:1" ht="15.5" x14ac:dyDescent="0.35">
      <c r="A43" s="235" t="s">
        <v>3058</v>
      </c>
    </row>
    <row r="44" spans="1:1" ht="46.5" x14ac:dyDescent="0.35">
      <c r="A44" s="230" t="s">
        <v>3054</v>
      </c>
    </row>
    <row r="45" spans="1:1" ht="46.5" x14ac:dyDescent="0.35">
      <c r="A45" s="230" t="s">
        <v>3055</v>
      </c>
    </row>
    <row r="46" spans="1:1" ht="15.5" x14ac:dyDescent="0.35">
      <c r="A46" s="235" t="s">
        <v>3059</v>
      </c>
    </row>
    <row r="47" spans="1:1" ht="15.5" x14ac:dyDescent="0.35">
      <c r="A47" s="230" t="s">
        <v>3056</v>
      </c>
    </row>
    <row r="50" spans="1:1" ht="23.5" x14ac:dyDescent="0.55000000000000004">
      <c r="A50" s="237"/>
    </row>
  </sheetData>
  <sheetProtection algorithmName="SHA-512" hashValue="E9yyfPIPLM04zYFYRhX7vBT8jwL5Rd+2fHTBQOV6QM6GwUgqUmVNYlryysXN3YYkFmGGZdrEpL6AZ5ty4b5Lcw==" saltValue="uaWY7KGs6oMn+c7QxBPfJQ==" spinCount="100000" sheet="1" objects="1" scenarios="1"/>
  <hyperlinks>
    <hyperlink ref="A28" r:id="rId1" xr:uid="{A4CC467F-30BF-47F2-9F49-6D6FAA1B45B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dimension ref="A1:I53"/>
  <sheetViews>
    <sheetView showGridLines="0" workbookViewId="0"/>
  </sheetViews>
  <sheetFormatPr defaultRowHeight="14.5" x14ac:dyDescent="0.35"/>
  <cols>
    <col min="1" max="1" width="5.1796875" customWidth="1"/>
    <col min="2" max="2" width="29.1796875" customWidth="1"/>
    <col min="3" max="3" width="32.26953125" customWidth="1"/>
    <col min="4" max="4" width="24.26953125" customWidth="1"/>
    <col min="5" max="5" width="19.54296875" customWidth="1"/>
    <col min="8" max="8" width="12.453125" customWidth="1"/>
  </cols>
  <sheetData>
    <row r="1" spans="1:9" ht="20" thickBot="1" x14ac:dyDescent="0.5">
      <c r="A1" s="3"/>
      <c r="B1" s="117" t="s">
        <v>2039</v>
      </c>
      <c r="C1" s="117"/>
      <c r="D1" s="118" t="s">
        <v>1587</v>
      </c>
      <c r="E1" s="4" t="str">
        <f>CurrSchlYr</f>
        <v>2024-2025</v>
      </c>
      <c r="F1" s="103"/>
      <c r="G1" s="103"/>
      <c r="H1" s="103"/>
    </row>
    <row r="2" spans="1:9" ht="3" customHeight="1" thickTop="1" x14ac:dyDescent="0.35"/>
    <row r="3" spans="1:9" ht="11.5" customHeight="1" x14ac:dyDescent="0.35">
      <c r="B3" s="113" t="s">
        <v>2031</v>
      </c>
    </row>
    <row r="6" spans="1:9" x14ac:dyDescent="0.35">
      <c r="B6" t="s">
        <v>2082</v>
      </c>
      <c r="C6" s="112"/>
      <c r="D6" s="112"/>
      <c r="E6" s="112"/>
      <c r="I6" s="34"/>
    </row>
    <row r="7" spans="1:9" x14ac:dyDescent="0.35">
      <c r="B7" t="s">
        <v>3061</v>
      </c>
      <c r="C7" s="112"/>
      <c r="D7" s="112"/>
      <c r="E7" s="112"/>
      <c r="I7" s="34"/>
    </row>
    <row r="8" spans="1:9" x14ac:dyDescent="0.35">
      <c r="B8" t="s">
        <v>3062</v>
      </c>
      <c r="C8" s="112"/>
      <c r="D8" s="112"/>
      <c r="E8" s="112"/>
      <c r="I8" s="34"/>
    </row>
    <row r="9" spans="1:9" x14ac:dyDescent="0.35">
      <c r="B9" t="s">
        <v>3063</v>
      </c>
      <c r="C9" s="112"/>
      <c r="D9" s="112"/>
      <c r="E9" s="112"/>
      <c r="I9" s="34"/>
    </row>
    <row r="10" spans="1:9" x14ac:dyDescent="0.35">
      <c r="C10" s="112"/>
      <c r="D10" s="112"/>
      <c r="E10" s="112"/>
      <c r="I10" s="34"/>
    </row>
    <row r="11" spans="1:9" x14ac:dyDescent="0.35">
      <c r="B11" s="238" t="s">
        <v>3064</v>
      </c>
      <c r="C11" s="112"/>
      <c r="D11" s="112"/>
      <c r="E11" s="112"/>
      <c r="I11" s="34"/>
    </row>
    <row r="12" spans="1:9" x14ac:dyDescent="0.35">
      <c r="B12" s="112"/>
      <c r="C12" s="112"/>
      <c r="D12" s="112"/>
      <c r="E12" s="112"/>
    </row>
    <row r="13" spans="1:9" ht="20.149999999999999" customHeight="1" x14ac:dyDescent="0.35">
      <c r="B13" s="338"/>
      <c r="C13" s="338"/>
      <c r="D13" s="338"/>
      <c r="E13" s="338"/>
      <c r="F13" s="142"/>
      <c r="G13" s="112"/>
      <c r="H13" s="112"/>
    </row>
    <row r="14" spans="1:9" x14ac:dyDescent="0.35">
      <c r="B14" s="338"/>
      <c r="C14" s="338"/>
      <c r="D14" s="338"/>
      <c r="E14" s="338"/>
    </row>
    <row r="15" spans="1:9" ht="8.15" customHeight="1" x14ac:dyDescent="0.35">
      <c r="B15" s="338"/>
      <c r="C15" s="338"/>
      <c r="D15" s="338"/>
      <c r="E15" s="338"/>
    </row>
    <row r="16" spans="1:9" x14ac:dyDescent="0.35">
      <c r="B16" s="338"/>
      <c r="C16" s="338"/>
      <c r="D16" s="338"/>
      <c r="E16" s="338"/>
    </row>
    <row r="17" spans="2:5" x14ac:dyDescent="0.35">
      <c r="B17" s="338"/>
      <c r="C17" s="338"/>
      <c r="D17" s="338"/>
      <c r="E17" s="338"/>
    </row>
    <row r="18" spans="2:5" x14ac:dyDescent="0.35">
      <c r="B18" s="338"/>
      <c r="C18" s="338"/>
      <c r="D18" s="338"/>
      <c r="E18" s="338"/>
    </row>
    <row r="19" spans="2:5" x14ac:dyDescent="0.35">
      <c r="B19" s="338"/>
      <c r="C19" s="338"/>
      <c r="D19" s="338"/>
      <c r="E19" s="338"/>
    </row>
    <row r="20" spans="2:5" x14ac:dyDescent="0.35">
      <c r="B20" s="338"/>
      <c r="C20" s="338"/>
      <c r="D20" s="338"/>
      <c r="E20" s="338"/>
    </row>
    <row r="21" spans="2:5" x14ac:dyDescent="0.35">
      <c r="B21" s="338"/>
      <c r="C21" s="338"/>
      <c r="D21" s="338"/>
      <c r="E21" s="338"/>
    </row>
    <row r="22" spans="2:5" x14ac:dyDescent="0.35">
      <c r="B22" s="338"/>
      <c r="C22" s="338"/>
      <c r="D22" s="338"/>
      <c r="E22" s="338"/>
    </row>
    <row r="23" spans="2:5" x14ac:dyDescent="0.35">
      <c r="B23" s="338"/>
      <c r="C23" s="338"/>
      <c r="D23" s="338"/>
      <c r="E23" s="338"/>
    </row>
    <row r="24" spans="2:5" x14ac:dyDescent="0.35">
      <c r="B24" s="338"/>
      <c r="C24" s="338"/>
      <c r="D24" s="338"/>
      <c r="E24" s="338"/>
    </row>
    <row r="25" spans="2:5" x14ac:dyDescent="0.35">
      <c r="B25" s="338"/>
      <c r="C25" s="338"/>
      <c r="D25" s="338"/>
      <c r="E25" s="338"/>
    </row>
    <row r="26" spans="2:5" x14ac:dyDescent="0.35">
      <c r="B26" s="338"/>
      <c r="C26" s="338"/>
      <c r="D26" s="338"/>
      <c r="E26" s="338"/>
    </row>
    <row r="27" spans="2:5" x14ac:dyDescent="0.35">
      <c r="B27" s="338"/>
      <c r="C27" s="338"/>
      <c r="D27" s="338"/>
      <c r="E27" s="338"/>
    </row>
    <row r="28" spans="2:5" ht="37.5" customHeight="1" x14ac:dyDescent="0.35">
      <c r="B28" s="338"/>
      <c r="C28" s="338"/>
      <c r="D28" s="338"/>
      <c r="E28" s="338"/>
    </row>
    <row r="29" spans="2:5" ht="6.65" customHeight="1" x14ac:dyDescent="0.35">
      <c r="B29" s="337"/>
      <c r="C29" s="337"/>
      <c r="D29" s="337"/>
      <c r="E29" s="337"/>
    </row>
    <row r="30" spans="2:5" x14ac:dyDescent="0.35">
      <c r="B30" s="337"/>
      <c r="C30" s="337"/>
      <c r="D30" s="337"/>
      <c r="E30" s="337"/>
    </row>
    <row r="31" spans="2:5" x14ac:dyDescent="0.35">
      <c r="B31" s="337"/>
      <c r="C31" s="337"/>
      <c r="D31" s="337"/>
      <c r="E31" s="337"/>
    </row>
    <row r="32" spans="2:5" x14ac:dyDescent="0.35">
      <c r="B32" s="337"/>
      <c r="C32" s="337"/>
      <c r="D32" s="337"/>
      <c r="E32" s="337"/>
    </row>
    <row r="33" spans="2:8" x14ac:dyDescent="0.35">
      <c r="B33" s="337"/>
      <c r="C33" s="337"/>
      <c r="D33" s="337"/>
      <c r="E33" s="337"/>
    </row>
    <row r="34" spans="2:8" x14ac:dyDescent="0.35">
      <c r="B34" s="337"/>
      <c r="C34" s="337"/>
      <c r="D34" s="337"/>
      <c r="E34" s="337"/>
    </row>
    <row r="35" spans="2:8" x14ac:dyDescent="0.35">
      <c r="B35" s="337"/>
      <c r="C35" s="337"/>
      <c r="D35" s="337"/>
      <c r="E35" s="337"/>
    </row>
    <row r="36" spans="2:8" x14ac:dyDescent="0.35">
      <c r="B36" s="337"/>
      <c r="C36" s="337"/>
      <c r="D36" s="337"/>
      <c r="E36" s="337"/>
    </row>
    <row r="37" spans="2:8" x14ac:dyDescent="0.35">
      <c r="B37" s="337"/>
      <c r="C37" s="337"/>
      <c r="D37" s="337"/>
      <c r="E37" s="337"/>
    </row>
    <row r="39" spans="2:8" ht="5.5" customHeight="1" x14ac:dyDescent="0.35"/>
    <row r="40" spans="2:8" ht="6.65" customHeight="1" x14ac:dyDescent="0.35"/>
    <row r="41" spans="2:8" s="103" customFormat="1" ht="28.5" customHeight="1" x14ac:dyDescent="0.35">
      <c r="B41"/>
      <c r="C41"/>
      <c r="D41"/>
      <c r="E41"/>
      <c r="F41"/>
      <c r="G41"/>
      <c r="H41"/>
    </row>
    <row r="53" ht="24.65" customHeight="1" x14ac:dyDescent="0.35"/>
  </sheetData>
  <sheetProtection algorithmName="SHA-512" hashValue="qvXc3rSQkTDvYc9s0Fn1hPcbsJOpblEtQimJLSTrvqh4AlQHFy1i+22kMzrvIArOMUcYNPWsBAopKkmYPZ3VWw==" saltValue="ihYGUkAutRGd/HozHLe+7Q==" spinCount="100000" sheet="1" objects="1" scenarios="1"/>
  <mergeCells count="2">
    <mergeCell ref="B29:E37"/>
    <mergeCell ref="B13:E28"/>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dimension ref="A1:U90"/>
  <sheetViews>
    <sheetView showGridLines="0" zoomScaleNormal="100" zoomScaleSheetLayoutView="100" workbookViewId="0"/>
  </sheetViews>
  <sheetFormatPr defaultColWidth="0" defaultRowHeight="14.5" zeroHeight="1" x14ac:dyDescent="0.35"/>
  <cols>
    <col min="1" max="1" width="3.26953125" customWidth="1"/>
    <col min="2" max="2" width="10.54296875" bestFit="1" customWidth="1"/>
    <col min="3" max="6" width="22.7265625" customWidth="1"/>
    <col min="7" max="8" width="15.453125" customWidth="1"/>
    <col min="9" max="12" width="14.81640625" customWidth="1"/>
    <col min="13" max="17" width="15.453125" customWidth="1"/>
    <col min="18" max="18" width="3.26953125" customWidth="1"/>
    <col min="19" max="21" width="0" hidden="1" customWidth="1"/>
    <col min="22" max="16384" width="8.81640625" hidden="1"/>
  </cols>
  <sheetData>
    <row r="1" spans="1:18" ht="20" thickBot="1" x14ac:dyDescent="0.5">
      <c r="A1" s="3"/>
      <c r="B1" s="2" t="s">
        <v>1971</v>
      </c>
      <c r="C1" s="2"/>
      <c r="D1" s="2"/>
      <c r="E1" s="2"/>
      <c r="F1" s="2"/>
      <c r="G1" s="2"/>
      <c r="H1" s="2"/>
      <c r="I1" s="2"/>
      <c r="J1" s="2"/>
      <c r="K1" s="2"/>
      <c r="L1" s="2"/>
      <c r="M1" s="2"/>
      <c r="N1" s="2"/>
      <c r="O1" s="2"/>
      <c r="P1" s="5" t="s">
        <v>1587</v>
      </c>
      <c r="Q1" s="4" t="str">
        <f>MoeCurrYear</f>
        <v>2022-2023</v>
      </c>
      <c r="R1" s="3"/>
    </row>
    <row r="2" spans="1:18" ht="58.15" customHeight="1" thickTop="1" x14ac:dyDescent="0.35">
      <c r="A2" s="3"/>
      <c r="B2" s="332" t="s">
        <v>1606</v>
      </c>
      <c r="C2" s="332"/>
      <c r="D2" s="332"/>
      <c r="E2" s="332"/>
      <c r="F2" s="332"/>
      <c r="G2" s="332"/>
      <c r="H2" s="332"/>
      <c r="I2" s="332"/>
      <c r="J2" s="332"/>
      <c r="K2" s="332"/>
      <c r="L2" s="332"/>
      <c r="M2" s="332"/>
      <c r="N2" s="332"/>
      <c r="O2" s="332"/>
      <c r="P2" s="332"/>
      <c r="Q2" s="332"/>
      <c r="R2" s="3"/>
    </row>
    <row r="3" spans="1:18" ht="7.4" customHeight="1" x14ac:dyDescent="0.35">
      <c r="A3" s="3"/>
      <c r="B3" s="3"/>
      <c r="C3" s="3"/>
      <c r="D3" s="3"/>
      <c r="E3" s="3"/>
      <c r="F3" s="3"/>
      <c r="G3" s="3"/>
      <c r="H3" s="3"/>
      <c r="I3" s="3"/>
      <c r="J3" s="3"/>
      <c r="K3" s="3"/>
      <c r="L3" s="3"/>
      <c r="M3" s="3"/>
      <c r="N3" s="3"/>
      <c r="O3" s="3"/>
      <c r="P3" s="3"/>
      <c r="Q3" s="3"/>
      <c r="R3" s="3"/>
    </row>
    <row r="4" spans="1:18" ht="42" customHeight="1" x14ac:dyDescent="0.35">
      <c r="A4" s="3"/>
      <c r="B4" s="332" t="s">
        <v>1607</v>
      </c>
      <c r="C4" s="332"/>
      <c r="D4" s="332"/>
      <c r="E4" s="332"/>
      <c r="F4" s="332"/>
      <c r="G4" s="332"/>
      <c r="H4" s="332"/>
      <c r="I4" s="332"/>
      <c r="J4" s="332"/>
      <c r="K4" s="332"/>
      <c r="L4" s="332"/>
      <c r="M4" s="332"/>
      <c r="N4" s="332"/>
      <c r="O4" s="332"/>
      <c r="P4" s="332"/>
      <c r="Q4" s="332"/>
      <c r="R4" s="3"/>
    </row>
    <row r="5" spans="1:18" ht="7.4" customHeight="1" x14ac:dyDescent="0.35">
      <c r="A5" s="3"/>
      <c r="B5" s="3"/>
      <c r="C5" s="3"/>
      <c r="D5" s="3"/>
      <c r="E5" s="3"/>
      <c r="F5" s="3"/>
      <c r="G5" s="3"/>
      <c r="H5" s="3"/>
      <c r="I5" s="3"/>
      <c r="J5" s="3"/>
      <c r="K5" s="3"/>
      <c r="L5" s="3"/>
      <c r="M5" s="3"/>
      <c r="N5" s="3"/>
      <c r="O5" s="3"/>
      <c r="P5" s="3"/>
      <c r="Q5" s="3"/>
      <c r="R5" s="3"/>
    </row>
    <row r="6" spans="1:18" ht="34.5" customHeight="1" x14ac:dyDescent="0.35">
      <c r="A6" s="3"/>
      <c r="B6" s="332" t="s">
        <v>1970</v>
      </c>
      <c r="C6" s="332"/>
      <c r="D6" s="332"/>
      <c r="E6" s="332"/>
      <c r="F6" s="332"/>
      <c r="G6" s="332"/>
      <c r="H6" s="332"/>
      <c r="I6" s="332"/>
      <c r="J6" s="332"/>
      <c r="K6" s="332"/>
      <c r="L6" s="332"/>
      <c r="M6" s="332"/>
      <c r="N6" s="332"/>
      <c r="O6" s="332"/>
      <c r="P6" s="332"/>
      <c r="Q6" s="332"/>
      <c r="R6" s="3"/>
    </row>
    <row r="7" spans="1:18" ht="7.4" customHeight="1" x14ac:dyDescent="0.35">
      <c r="A7" s="3"/>
      <c r="B7" s="3"/>
      <c r="C7" s="3"/>
      <c r="D7" s="3"/>
      <c r="E7" s="3"/>
      <c r="F7" s="3"/>
      <c r="G7" s="3"/>
      <c r="H7" s="3"/>
      <c r="I7" s="3"/>
      <c r="J7" s="3"/>
      <c r="K7" s="3"/>
      <c r="L7" s="3"/>
      <c r="M7" s="3"/>
      <c r="N7" s="3"/>
      <c r="O7" s="3"/>
      <c r="P7" s="3"/>
      <c r="Q7" s="3"/>
      <c r="R7" s="3"/>
    </row>
    <row r="8" spans="1:18" ht="17.5" thickBot="1" x14ac:dyDescent="0.45">
      <c r="A8" s="3"/>
      <c r="B8" s="67" t="s">
        <v>1608</v>
      </c>
      <c r="C8" s="65"/>
      <c r="D8" s="65"/>
      <c r="E8" s="65"/>
      <c r="F8" s="65"/>
      <c r="G8" s="65"/>
      <c r="H8" s="65"/>
      <c r="I8" s="65"/>
      <c r="J8" s="65"/>
      <c r="K8" s="65"/>
      <c r="L8" s="65"/>
      <c r="M8" s="65"/>
      <c r="N8" s="65"/>
      <c r="O8" s="65"/>
      <c r="P8" s="65"/>
      <c r="Q8" s="65"/>
      <c r="R8" s="3"/>
    </row>
    <row r="9" spans="1:18" ht="44" thickTop="1" x14ac:dyDescent="0.35">
      <c r="A9" s="3"/>
      <c r="B9" s="73" t="s">
        <v>220</v>
      </c>
      <c r="C9" s="73" t="s">
        <v>221</v>
      </c>
      <c r="D9" s="73" t="s">
        <v>222</v>
      </c>
      <c r="E9" s="73" t="s">
        <v>223</v>
      </c>
      <c r="F9" s="73" t="s">
        <v>224</v>
      </c>
      <c r="G9" s="73" t="s">
        <v>225</v>
      </c>
      <c r="H9" s="73" t="s">
        <v>226</v>
      </c>
      <c r="I9" s="73" t="s">
        <v>227</v>
      </c>
      <c r="J9" s="73" t="s">
        <v>228</v>
      </c>
      <c r="K9" s="73" t="s">
        <v>229</v>
      </c>
      <c r="L9" s="73" t="s">
        <v>230</v>
      </c>
      <c r="M9" s="73" t="s">
        <v>231</v>
      </c>
      <c r="N9" s="73" t="s">
        <v>232</v>
      </c>
      <c r="O9" s="73" t="s">
        <v>233</v>
      </c>
      <c r="P9" s="73" t="s">
        <v>234</v>
      </c>
      <c r="Q9" s="73" t="s">
        <v>238</v>
      </c>
      <c r="R9" s="3"/>
    </row>
    <row r="10" spans="1:18" ht="45" hidden="1" customHeight="1" x14ac:dyDescent="0.35">
      <c r="A10" s="3"/>
      <c r="B10" s="11" t="str">
        <f>MoeStartYear</f>
        <v>2013-2014</v>
      </c>
      <c r="C10" s="11" t="str">
        <f t="array" ref="C10">_xlfn.IFNA(INDEX(tblMoeHistory[],MATCH(1,(tblMoeHistory[InstNm]=LeaName)*(tblMoeHistory[Fiscal Year]=$B10),0),MATCH(C$9,moehist_cols,0)),"")</f>
        <v/>
      </c>
      <c r="D10" s="59" t="str">
        <f t="array" ref="D10">_xlfn.IFNA(INDEX(tblMoeHistory[],MATCH(1,(tblMoeHistory[InstNm]=LeaName)*(tblMoeHistory[Fiscal Year]=$B10),0),MATCH(D$9,moehist_cols,0)),"")</f>
        <v/>
      </c>
      <c r="E10" s="58" t="str">
        <f t="array" ref="E10">_xlfn.IFNA(INDEX(tblMoeHistory[],MATCH(1,(tblMoeHistory[InstNm]=LeaName)*(tblMoeHistory[Fiscal Year]=$B10),0),MATCH(E$9,moehist_cols,0)),"")</f>
        <v/>
      </c>
      <c r="F10" s="60" t="str">
        <f t="array" ref="F10">_xlfn.IFNA(INDEX(tblMoeHistory[],MATCH(1,(tblMoeHistory[InstNm]=LeaName)*(tblMoeHistory[Fiscal Year]=$B10),0),MATCH(F$9,moehist_cols,0)),"")</f>
        <v/>
      </c>
      <c r="G10" s="66" t="str">
        <f t="array" ref="G10">_xlfn.IFNA(INDEX(tblMoeHistory[],MATCH(1,(tblMoeHistory[InstNm]=LeaName)*(tblMoeHistory[Fiscal Year]=$B10),0),MATCH(G$9,moehist_cols,0)),"")</f>
        <v/>
      </c>
      <c r="H10" s="57" t="str">
        <f t="array" ref="H10">_xlfn.IFNA(INDEX(tblMoeHistory[],MATCH(1,(tblMoeHistory[InstNm]=LeaName)*(tblMoeHistory[Fiscal Year]=$B10),0),MATCH(H$9,moehist_cols,0)),"")</f>
        <v/>
      </c>
      <c r="I10" s="56" t="str">
        <f t="array" ref="I10">_xlfn.IFNA(INDEX(tblMoeHistory[],MATCH(1,(tblMoeHistory[InstNm]=LeaName)*(tblMoeHistory[Fiscal Year]=$B10),0),MATCH(I$9,moehist_cols,0)),"")</f>
        <v/>
      </c>
      <c r="J10" s="56" t="str">
        <f t="array" ref="J10">_xlfn.IFNA(INDEX(tblMoeHistory[],MATCH(1,(tblMoeHistory[InstNm]=LeaName)*(tblMoeHistory[Fiscal Year]=$B10),0),MATCH(J$9,moehist_cols,0)),"")</f>
        <v/>
      </c>
      <c r="K10" s="56" t="str">
        <f t="array" ref="K10">_xlfn.IFNA(INDEX(tblMoeHistory[],MATCH(1,(tblMoeHistory[InstNm]=LeaName)*(tblMoeHistory[Fiscal Year]=$B10),0),MATCH(K$9,moehist_cols,0)),"")</f>
        <v/>
      </c>
      <c r="L10" s="56" t="str">
        <f t="array" ref="L10">_xlfn.IFNA(INDEX(tblMoeHistory[],MATCH(1,(tblMoeHistory[InstNm]=LeaName)*(tblMoeHistory[Fiscal Year]=$B10),0),MATCH(L$9,moehist_cols,0)),"")</f>
        <v/>
      </c>
      <c r="M10" s="57" t="str">
        <f t="array" ref="M10">_xlfn.IFNA(INDEX(tblMoeHistory[],MATCH(1,(tblMoeHistory[InstNm]=LeaName)*(tblMoeHistory[Fiscal Year]=$B10),0),MATCH(M$9,moehist_cols,0)),"")</f>
        <v/>
      </c>
      <c r="N10" s="56" t="str">
        <f t="array" ref="N10">_xlfn.IFNA(INDEX(tblMoeHistory[],MATCH(1,(tblMoeHistory[InstNm]=LeaName)*(tblMoeHistory[Fiscal Year]=$B10),0),MATCH(N$9,moehist_cols,0)),"")</f>
        <v/>
      </c>
      <c r="O10" s="56" t="str">
        <f t="array" ref="O10">_xlfn.IFNA(INDEX(tblMoeHistory[],MATCH(1,(tblMoeHistory[InstNm]=LeaName)*(tblMoeHistory[Fiscal Year]=$B10),0),MATCH(O$9,moehist_cols,0)),"")</f>
        <v/>
      </c>
      <c r="P10" s="56" t="str">
        <f t="array" ref="P10">_xlfn.IFNA(INDEX(tblMoeHistory[],MATCH(1,(tblMoeHistory[InstNm]=LeaName)*(tblMoeHistory[Fiscal Year]=$B10),0),MATCH(P$9,moehist_cols,0)),"")</f>
        <v/>
      </c>
      <c r="Q10" s="56" t="str">
        <f t="array" ref="Q10">_xlfn.IFNA(INDEX(tblMoeHistory[],MATCH(1,(tblMoeHistory[InstNm]=LeaName)*(tblMoeHistory[Fiscal Year]=$B10),0),MATCH(Q$9,moehist_cols,0)),"")</f>
        <v/>
      </c>
      <c r="R10" s="3"/>
    </row>
    <row r="11" spans="1:18" ht="45" hidden="1" customHeight="1" x14ac:dyDescent="0.35">
      <c r="A11" s="3"/>
      <c r="B11" s="11" t="str">
        <f>RIGHT(B10,4)&amp;"-"&amp;_xlfn.NUMBERVALUE(RIGHT(B10,4))+1</f>
        <v>2014-2015</v>
      </c>
      <c r="C11" s="11" t="str">
        <f t="array" ref="C11">_xlfn.IFNA(INDEX(tblMoeHistory[],MATCH(1,(tblMoeHistory[InstNm]=LeaName)*(tblMoeHistory[Fiscal Year]=$B11),0),MATCH(C$9,moehist_cols,0)),"")</f>
        <v/>
      </c>
      <c r="D11" s="59" t="str">
        <f t="array" ref="D11">_xlfn.IFNA(INDEX(tblMoeHistory[],MATCH(1,(tblMoeHistory[InstNm]=LeaName)*(tblMoeHistory[Fiscal Year]=$B11),0),MATCH(D$9,moehist_cols,0)),"")</f>
        <v/>
      </c>
      <c r="E11" s="58" t="str">
        <f t="array" ref="E11">_xlfn.IFNA(INDEX(tblMoeHistory[],MATCH(1,(tblMoeHistory[InstNm]=LeaName)*(tblMoeHistory[Fiscal Year]=$B11),0),MATCH(E$9,moehist_cols,0)),"")</f>
        <v/>
      </c>
      <c r="F11" s="60" t="str">
        <f t="array" ref="F11">_xlfn.IFNA(INDEX(tblMoeHistory[],MATCH(1,(tblMoeHistory[InstNm]=LeaName)*(tblMoeHistory[Fiscal Year]=$B11),0),MATCH(F$9,moehist_cols,0)),"")</f>
        <v/>
      </c>
      <c r="G11" s="66" t="str">
        <f t="array" ref="G11">_xlfn.IFNA(INDEX(tblMoeHistory[],MATCH(1,(tblMoeHistory[InstNm]=LeaName)*(tblMoeHistory[Fiscal Year]=$B11),0),MATCH(G$9,moehist_cols,0)),"")</f>
        <v/>
      </c>
      <c r="H11" s="57" t="str">
        <f t="array" ref="H11">_xlfn.IFNA(INDEX(tblMoeHistory[],MATCH(1,(tblMoeHistory[InstNm]=LeaName)*(tblMoeHistory[Fiscal Year]=$B11),0),MATCH(H$9,moehist_cols,0)),"")</f>
        <v/>
      </c>
      <c r="I11" s="56" t="str">
        <f t="array" ref="I11">_xlfn.IFNA(INDEX(tblMoeHistory[],MATCH(1,(tblMoeHistory[InstNm]=LeaName)*(tblMoeHistory[Fiscal Year]=$B11),0),MATCH(I$9,moehist_cols,0)),"")</f>
        <v/>
      </c>
      <c r="J11" s="56" t="str">
        <f t="array" ref="J11">_xlfn.IFNA(INDEX(tblMoeHistory[],MATCH(1,(tblMoeHistory[InstNm]=LeaName)*(tblMoeHistory[Fiscal Year]=$B11),0),MATCH(J$9,moehist_cols,0)),"")</f>
        <v/>
      </c>
      <c r="K11" s="56" t="str">
        <f t="array" ref="K11">_xlfn.IFNA(INDEX(tblMoeHistory[],MATCH(1,(tblMoeHistory[InstNm]=LeaName)*(tblMoeHistory[Fiscal Year]=$B11),0),MATCH(K$9,moehist_cols,0)),"")</f>
        <v/>
      </c>
      <c r="L11" s="56" t="str">
        <f t="array" ref="L11">_xlfn.IFNA(INDEX(tblMoeHistory[],MATCH(1,(tblMoeHistory[InstNm]=LeaName)*(tblMoeHistory[Fiscal Year]=$B11),0),MATCH(L$9,moehist_cols,0)),"")</f>
        <v/>
      </c>
      <c r="M11" s="57" t="str">
        <f t="array" ref="M11">_xlfn.IFNA(INDEX(tblMoeHistory[],MATCH(1,(tblMoeHistory[InstNm]=LeaName)*(tblMoeHistory[Fiscal Year]=$B11),0),MATCH(M$9,moehist_cols,0)),"")</f>
        <v/>
      </c>
      <c r="N11" s="56" t="str">
        <f t="array" ref="N11">_xlfn.IFNA(INDEX(tblMoeHistory[],MATCH(1,(tblMoeHistory[InstNm]=LeaName)*(tblMoeHistory[Fiscal Year]=$B11),0),MATCH(N$9,moehist_cols,0)),"")</f>
        <v/>
      </c>
      <c r="O11" s="56" t="str">
        <f t="array" ref="O11">_xlfn.IFNA(INDEX(tblMoeHistory[],MATCH(1,(tblMoeHistory[InstNm]=LeaName)*(tblMoeHistory[Fiscal Year]=$B11),0),MATCH(O$9,moehist_cols,0)),"")</f>
        <v/>
      </c>
      <c r="P11" s="56" t="str">
        <f t="array" ref="P11">_xlfn.IFNA(INDEX(tblMoeHistory[],MATCH(1,(tblMoeHistory[InstNm]=LeaName)*(tblMoeHistory[Fiscal Year]=$B11),0),MATCH(P$9,moehist_cols,0)),"")</f>
        <v/>
      </c>
      <c r="Q11" s="56" t="str">
        <f t="array" ref="Q11">_xlfn.IFNA(INDEX(tblMoeHistory[],MATCH(1,(tblMoeHistory[InstNm]=LeaName)*(tblMoeHistory[Fiscal Year]=$B11),0),MATCH(Q$9,moehist_cols,0)),"")</f>
        <v/>
      </c>
      <c r="R11" s="3"/>
    </row>
    <row r="12" spans="1:18" ht="45" hidden="1" customHeight="1" x14ac:dyDescent="0.35">
      <c r="A12" s="3"/>
      <c r="B12" s="11" t="str">
        <f t="shared" ref="B12:B19" si="0">RIGHT(B11,4)&amp;"-"&amp;_xlfn.NUMBERVALUE(RIGHT(B11,4))+1</f>
        <v>2015-2016</v>
      </c>
      <c r="C12" s="11" t="str">
        <f t="array" ref="C12">_xlfn.IFNA(INDEX(tblMoeHistory[],MATCH(1,(tblMoeHistory[InstNm]=LeaName)*(tblMoeHistory[Fiscal Year]=$B12),0),MATCH(C$9,moehist_cols,0)),"")</f>
        <v/>
      </c>
      <c r="D12" s="59" t="str">
        <f t="array" ref="D12">_xlfn.IFNA(INDEX(tblMoeHistory[],MATCH(1,(tblMoeHistory[InstNm]=LeaName)*(tblMoeHistory[Fiscal Year]=$B12),0),MATCH(D$9,moehist_cols,0)),"")</f>
        <v/>
      </c>
      <c r="E12" s="58" t="str">
        <f t="array" ref="E12">_xlfn.IFNA(INDEX(tblMoeHistory[],MATCH(1,(tblMoeHistory[InstNm]=LeaName)*(tblMoeHistory[Fiscal Year]=$B12),0),MATCH(E$9,moehist_cols,0)),"")</f>
        <v/>
      </c>
      <c r="F12" s="60" t="str">
        <f t="array" ref="F12">_xlfn.IFNA(INDEX(tblMoeHistory[],MATCH(1,(tblMoeHistory[InstNm]=LeaName)*(tblMoeHistory[Fiscal Year]=$B12),0),MATCH(F$9,moehist_cols,0)),"")</f>
        <v/>
      </c>
      <c r="G12" s="66" t="str">
        <f t="array" ref="G12">_xlfn.IFNA(INDEX(tblMoeHistory[],MATCH(1,(tblMoeHistory[InstNm]=LeaName)*(tblMoeHistory[Fiscal Year]=$B12),0),MATCH(G$9,moehist_cols,0)),"")</f>
        <v/>
      </c>
      <c r="H12" s="57" t="str">
        <f t="array" ref="H12">_xlfn.IFNA(INDEX(tblMoeHistory[],MATCH(1,(tblMoeHistory[InstNm]=LeaName)*(tblMoeHistory[Fiscal Year]=$B12),0),MATCH(H$9,moehist_cols,0)),"")</f>
        <v/>
      </c>
      <c r="I12" s="56" t="str">
        <f t="array" ref="I12">_xlfn.IFNA(INDEX(tblMoeHistory[],MATCH(1,(tblMoeHistory[InstNm]=LeaName)*(tblMoeHistory[Fiscal Year]=$B12),0),MATCH(I$9,moehist_cols,0)),"")</f>
        <v/>
      </c>
      <c r="J12" s="56" t="str">
        <f t="array" ref="J12">_xlfn.IFNA(INDEX(tblMoeHistory[],MATCH(1,(tblMoeHistory[InstNm]=LeaName)*(tblMoeHistory[Fiscal Year]=$B12),0),MATCH(J$9,moehist_cols,0)),"")</f>
        <v/>
      </c>
      <c r="K12" s="56" t="str">
        <f t="array" ref="K12">_xlfn.IFNA(INDEX(tblMoeHistory[],MATCH(1,(tblMoeHistory[InstNm]=LeaName)*(tblMoeHistory[Fiscal Year]=$B12),0),MATCH(K$9,moehist_cols,0)),"")</f>
        <v/>
      </c>
      <c r="L12" s="56" t="str">
        <f t="array" ref="L12">_xlfn.IFNA(INDEX(tblMoeHistory[],MATCH(1,(tblMoeHistory[InstNm]=LeaName)*(tblMoeHistory[Fiscal Year]=$B12),0),MATCH(L$9,moehist_cols,0)),"")</f>
        <v/>
      </c>
      <c r="M12" s="57" t="str">
        <f t="array" ref="M12">_xlfn.IFNA(INDEX(tblMoeHistory[],MATCH(1,(tblMoeHistory[InstNm]=LeaName)*(tblMoeHistory[Fiscal Year]=$B12),0),MATCH(M$9,moehist_cols,0)),"")</f>
        <v/>
      </c>
      <c r="N12" s="56" t="str">
        <f t="array" ref="N12">_xlfn.IFNA(INDEX(tblMoeHistory[],MATCH(1,(tblMoeHistory[InstNm]=LeaName)*(tblMoeHistory[Fiscal Year]=$B12),0),MATCH(N$9,moehist_cols,0)),"")</f>
        <v/>
      </c>
      <c r="O12" s="56" t="str">
        <f t="array" ref="O12">_xlfn.IFNA(INDEX(tblMoeHistory[],MATCH(1,(tblMoeHistory[InstNm]=LeaName)*(tblMoeHistory[Fiscal Year]=$B12),0),MATCH(O$9,moehist_cols,0)),"")</f>
        <v/>
      </c>
      <c r="P12" s="56" t="str">
        <f t="array" ref="P12">_xlfn.IFNA(INDEX(tblMoeHistory[],MATCH(1,(tblMoeHistory[InstNm]=LeaName)*(tblMoeHistory[Fiscal Year]=$B12),0),MATCH(P$9,moehist_cols,0)),"")</f>
        <v/>
      </c>
      <c r="Q12" s="56" t="str">
        <f t="array" ref="Q12">_xlfn.IFNA(INDEX(tblMoeHistory[],MATCH(1,(tblMoeHistory[InstNm]=LeaName)*(tblMoeHistory[Fiscal Year]=$B12),0),MATCH(Q$9,moehist_cols,0)),"")</f>
        <v/>
      </c>
      <c r="R12" s="3"/>
    </row>
    <row r="13" spans="1:18" ht="45" hidden="1" customHeight="1" x14ac:dyDescent="0.35">
      <c r="A13" s="3"/>
      <c r="B13" s="11" t="str">
        <f t="shared" si="0"/>
        <v>2016-2017</v>
      </c>
      <c r="C13" s="11" t="str">
        <f t="array" ref="C13">_xlfn.IFNA(INDEX(tblMoeHistory[],MATCH(1,(tblMoeHistory[InstNm]=LeaName)*(tblMoeHistory[Fiscal Year]=$B13),0),MATCH(C$9,moehist_cols,0)),"")</f>
        <v/>
      </c>
      <c r="D13" s="59" t="str">
        <f t="array" ref="D13">_xlfn.IFNA(INDEX(tblMoeHistory[],MATCH(1,(tblMoeHistory[InstNm]=LeaName)*(tblMoeHistory[Fiscal Year]=$B13),0),MATCH(D$9,moehist_cols,0)),"")</f>
        <v/>
      </c>
      <c r="E13" s="58" t="str">
        <f t="array" ref="E13">_xlfn.IFNA(INDEX(tblMoeHistory[],MATCH(1,(tblMoeHistory[InstNm]=LeaName)*(tblMoeHistory[Fiscal Year]=$B13),0),MATCH(E$9,moehist_cols,0)),"")</f>
        <v/>
      </c>
      <c r="F13" s="60" t="str">
        <f t="array" ref="F13">_xlfn.IFNA(INDEX(tblMoeHistory[],MATCH(1,(tblMoeHistory[InstNm]=LeaName)*(tblMoeHistory[Fiscal Year]=$B13),0),MATCH(F$9,moehist_cols,0)),"")</f>
        <v/>
      </c>
      <c r="G13" s="66" t="str">
        <f t="array" ref="G13">_xlfn.IFNA(INDEX(tblMoeHistory[],MATCH(1,(tblMoeHistory[InstNm]=LeaName)*(tblMoeHistory[Fiscal Year]=$B13),0),MATCH(G$9,moehist_cols,0)),"")</f>
        <v/>
      </c>
      <c r="H13" s="57" t="str">
        <f t="array" ref="H13">_xlfn.IFNA(INDEX(tblMoeHistory[],MATCH(1,(tblMoeHistory[InstNm]=LeaName)*(tblMoeHistory[Fiscal Year]=$B13),0),MATCH(H$9,moehist_cols,0)),"")</f>
        <v/>
      </c>
      <c r="I13" s="56" t="str">
        <f t="array" ref="I13">_xlfn.IFNA(INDEX(tblMoeHistory[],MATCH(1,(tblMoeHistory[InstNm]=LeaName)*(tblMoeHistory[Fiscal Year]=$B13),0),MATCH(I$9,moehist_cols,0)),"")</f>
        <v/>
      </c>
      <c r="J13" s="56" t="str">
        <f t="array" ref="J13">_xlfn.IFNA(INDEX(tblMoeHistory[],MATCH(1,(tblMoeHistory[InstNm]=LeaName)*(tblMoeHistory[Fiscal Year]=$B13),0),MATCH(J$9,moehist_cols,0)),"")</f>
        <v/>
      </c>
      <c r="K13" s="56" t="str">
        <f t="array" ref="K13">_xlfn.IFNA(INDEX(tblMoeHistory[],MATCH(1,(tblMoeHistory[InstNm]=LeaName)*(tblMoeHistory[Fiscal Year]=$B13),0),MATCH(K$9,moehist_cols,0)),"")</f>
        <v/>
      </c>
      <c r="L13" s="56" t="str">
        <f t="array" ref="L13">_xlfn.IFNA(INDEX(tblMoeHistory[],MATCH(1,(tblMoeHistory[InstNm]=LeaName)*(tblMoeHistory[Fiscal Year]=$B13),0),MATCH(L$9,moehist_cols,0)),"")</f>
        <v/>
      </c>
      <c r="M13" s="57" t="str">
        <f t="array" ref="M13">_xlfn.IFNA(INDEX(tblMoeHistory[],MATCH(1,(tblMoeHistory[InstNm]=LeaName)*(tblMoeHistory[Fiscal Year]=$B13),0),MATCH(M$9,moehist_cols,0)),"")</f>
        <v/>
      </c>
      <c r="N13" s="56" t="str">
        <f t="array" ref="N13">_xlfn.IFNA(INDEX(tblMoeHistory[],MATCH(1,(tblMoeHistory[InstNm]=LeaName)*(tblMoeHistory[Fiscal Year]=$B13),0),MATCH(N$9,moehist_cols,0)),"")</f>
        <v/>
      </c>
      <c r="O13" s="56" t="str">
        <f t="array" ref="O13">_xlfn.IFNA(INDEX(tblMoeHistory[],MATCH(1,(tblMoeHistory[InstNm]=LeaName)*(tblMoeHistory[Fiscal Year]=$B13),0),MATCH(O$9,moehist_cols,0)),"")</f>
        <v/>
      </c>
      <c r="P13" s="56" t="str">
        <f t="array" ref="P13">_xlfn.IFNA(INDEX(tblMoeHistory[],MATCH(1,(tblMoeHistory[InstNm]=LeaName)*(tblMoeHistory[Fiscal Year]=$B13),0),MATCH(P$9,moehist_cols,0)),"")</f>
        <v/>
      </c>
      <c r="Q13" s="56" t="str">
        <f t="array" ref="Q13">_xlfn.IFNA(INDEX(tblMoeHistory[],MATCH(1,(tblMoeHistory[InstNm]=LeaName)*(tblMoeHistory[Fiscal Year]=$B13),0),MATCH(Q$9,moehist_cols,0)),"")</f>
        <v/>
      </c>
      <c r="R13" s="3"/>
    </row>
    <row r="14" spans="1:18" ht="45" hidden="1" customHeight="1" x14ac:dyDescent="0.35">
      <c r="A14" s="3"/>
      <c r="B14" s="11" t="str">
        <f t="shared" si="0"/>
        <v>2017-2018</v>
      </c>
      <c r="C14" s="11" t="str">
        <f t="array" ref="C14">_xlfn.IFNA(INDEX(tblMoeHistory[],MATCH(1,(tblMoeHistory[InstNm]=LeaName)*(tblMoeHistory[Fiscal Year]=$B14),0),MATCH(C$9,moehist_cols,0)),"")</f>
        <v/>
      </c>
      <c r="D14" s="59" t="str">
        <f t="array" ref="D14">_xlfn.IFNA(INDEX(tblMoeHistory[],MATCH(1,(tblMoeHistory[InstNm]=LeaName)*(tblMoeHistory[Fiscal Year]=$B14),0),MATCH(D$9,moehist_cols,0)),"")</f>
        <v/>
      </c>
      <c r="E14" s="58" t="str">
        <f t="array" ref="E14">_xlfn.IFNA(INDEX(tblMoeHistory[],MATCH(1,(tblMoeHistory[InstNm]=LeaName)*(tblMoeHistory[Fiscal Year]=$B14),0),MATCH(E$9,moehist_cols,0)),"")</f>
        <v/>
      </c>
      <c r="F14" s="75" t="str">
        <f t="array" ref="F14">_xlfn.IFNA(INDEX(tblMoeHistory[],MATCH(1,(tblMoeHistory[InstNm]=LeaName)*(tblMoeHistory[Fiscal Year]=$B14),0),MATCH(F$9,moehist_cols,0)),"")</f>
        <v/>
      </c>
      <c r="G14" s="66" t="str">
        <f t="array" ref="G14">_xlfn.IFNA(INDEX(tblMoeHistory[],MATCH(1,(tblMoeHistory[InstNm]=LeaName)*(tblMoeHistory[Fiscal Year]=$B14),0),MATCH(G$9,moehist_cols,0)),"")</f>
        <v/>
      </c>
      <c r="H14" s="57" t="str">
        <f t="array" ref="H14">_xlfn.IFNA(INDEX(tblMoeHistory[],MATCH(1,(tblMoeHistory[InstNm]=LeaName)*(tblMoeHistory[Fiscal Year]=$B14),0),MATCH(H$9,moehist_cols,0)),"")</f>
        <v/>
      </c>
      <c r="I14" s="59" t="str">
        <f t="array" ref="I14">_xlfn.IFNA(INDEX(tblMoeHistory[],MATCH(1,(tblMoeHistory[InstNm]=LeaName)*(tblMoeHistory[Fiscal Year]=$B14),0),MATCH(I$9,moehist_cols,0)),"")</f>
        <v/>
      </c>
      <c r="J14" s="58" t="str">
        <f t="array" ref="J14">_xlfn.IFNA(INDEX(tblMoeHistory[],MATCH(1,(tblMoeHistory[InstNm]=LeaName)*(tblMoeHistory[Fiscal Year]=$B14),0),MATCH(J$9,moehist_cols,0)),"")</f>
        <v/>
      </c>
      <c r="K14" s="75" t="str">
        <f t="array" ref="K14">_xlfn.IFNA(INDEX(tblMoeHistory[],MATCH(1,(tblMoeHistory[InstNm]=LeaName)*(tblMoeHistory[Fiscal Year]=$B14),0),MATCH(K$9,moehist_cols,0)),"")</f>
        <v/>
      </c>
      <c r="L14" s="56" t="str">
        <f t="array" ref="L14">_xlfn.IFNA(INDEX(tblMoeHistory[],MATCH(1,(tblMoeHistory[InstNm]=LeaName)*(tblMoeHistory[Fiscal Year]=$B14),0),MATCH(L$9,moehist_cols,0)),"")</f>
        <v/>
      </c>
      <c r="M14" s="57" t="str">
        <f t="array" ref="M14">_xlfn.IFNA(INDEX(tblMoeHistory[],MATCH(1,(tblMoeHistory[InstNm]=LeaName)*(tblMoeHistory[Fiscal Year]=$B14),0),MATCH(M$9,moehist_cols,0)),"")</f>
        <v/>
      </c>
      <c r="N14" s="56" t="str">
        <f t="array" ref="N14">_xlfn.IFNA(INDEX(tblMoeHistory[],MATCH(1,(tblMoeHistory[InstNm]=LeaName)*(tblMoeHistory[Fiscal Year]=$B14),0),MATCH(N$9,moehist_cols,0)),"")</f>
        <v/>
      </c>
      <c r="O14" s="56" t="str">
        <f t="array" ref="O14">_xlfn.IFNA(INDEX(tblMoeHistory[],MATCH(1,(tblMoeHistory[InstNm]=LeaName)*(tblMoeHistory[Fiscal Year]=$B14),0),MATCH(O$9,moehist_cols,0)),"")</f>
        <v/>
      </c>
      <c r="P14" s="56" t="str">
        <f t="array" ref="P14">_xlfn.IFNA(INDEX(tblMoeHistory[],MATCH(1,(tblMoeHistory[InstNm]=LeaName)*(tblMoeHistory[Fiscal Year]=$B14),0),MATCH(P$9,moehist_cols,0)),"")</f>
        <v/>
      </c>
      <c r="Q14" s="56" t="str">
        <f t="array" ref="Q14">_xlfn.IFNA(INDEX(tblMoeHistory[],MATCH(1,(tblMoeHistory[InstNm]=LeaName)*(tblMoeHistory[Fiscal Year]=$B14),0),MATCH(Q$9,moehist_cols,0)),"")</f>
        <v/>
      </c>
      <c r="R14" s="3"/>
    </row>
    <row r="15" spans="1:18" ht="45" customHeight="1" x14ac:dyDescent="0.35">
      <c r="A15" s="3"/>
      <c r="B15" s="11" t="str">
        <f t="shared" si="0"/>
        <v>2018-2019</v>
      </c>
      <c r="C15" s="11" t="str">
        <f t="array" ref="C15">_xlfn.IFNA(INDEX(tblMoeHistory[],MATCH(1,(tblMoeHistory[InstNm]=LeaName)*(tblMoeHistory[Fiscal Year]=$B15),0),MATCH(C$9,moehist_cols,0)),"")</f>
        <v/>
      </c>
      <c r="D15" s="59" t="str">
        <f t="array" ref="D15">_xlfn.IFNA(INDEX(tblMoeHistory[],MATCH(1,(tblMoeHistory[InstNm]=LeaName)*(tblMoeHistory[Fiscal Year]=$B15),0),MATCH(D$9,moehist_cols,0)),"")</f>
        <v/>
      </c>
      <c r="E15" s="58" t="str">
        <f t="array" ref="E15">_xlfn.IFNA(INDEX(tblMoeHistory[],MATCH(1,(tblMoeHistory[InstNm]=LeaName)*(tblMoeHistory[Fiscal Year]=$B15),0),MATCH(E$9,moehist_cols,0)),"")</f>
        <v/>
      </c>
      <c r="F15" s="75" t="str">
        <f t="array" ref="F15">_xlfn.IFNA(INDEX(tblMoeHistory[],MATCH(1,(tblMoeHistory[InstNm]=LeaName)*(tblMoeHistory[Fiscal Year]=$B15),0),MATCH(F$9,moehist_cols,0)),"")</f>
        <v/>
      </c>
      <c r="G15" s="66" t="str">
        <f t="array" ref="G15">_xlfn.IFNA(INDEX(tblMoeHistory[],MATCH(1,(tblMoeHistory[InstNm]=LeaName)*(tblMoeHistory[Fiscal Year]=$B15),0),MATCH(G$9,moehist_cols,0)),"")</f>
        <v/>
      </c>
      <c r="H15" s="57" t="str">
        <f t="array" ref="H15">_xlfn.IFNA(INDEX(tblMoeHistory[],MATCH(1,(tblMoeHistory[InstNm]=LeaName)*(tblMoeHistory[Fiscal Year]=$B15),0),MATCH(H$9,moehist_cols,0)),"")</f>
        <v/>
      </c>
      <c r="I15" s="59" t="str">
        <f t="array" ref="I15">_xlfn.IFNA(INDEX(tblMoeHistory[],MATCH(1,(tblMoeHistory[InstNm]=LeaName)*(tblMoeHistory[Fiscal Year]=$B15),0),MATCH(I$9,moehist_cols,0)),"")</f>
        <v/>
      </c>
      <c r="J15" s="58" t="str">
        <f t="array" ref="J15">_xlfn.IFNA(INDEX(tblMoeHistory[],MATCH(1,(tblMoeHistory[InstNm]=LeaName)*(tblMoeHistory[Fiscal Year]=$B15),0),MATCH(J$9,moehist_cols,0)),"")</f>
        <v/>
      </c>
      <c r="K15" s="75" t="str">
        <f t="array" ref="K15">_xlfn.IFNA(INDEX(tblMoeHistory[],MATCH(1,(tblMoeHistory[InstNm]=LeaName)*(tblMoeHistory[Fiscal Year]=$B15),0),MATCH(K$9,moehist_cols,0)),"")</f>
        <v/>
      </c>
      <c r="L15" s="56" t="str">
        <f t="array" ref="L15">_xlfn.IFNA(ABS(INDEX(tblMoeHistory[],MATCH(1,(tblMoeHistory[InstNm]=LeaName)*(tblMoeHistory[Fiscal Year]=$B15),0),MATCH(L$9,moehist_cols,0))),"")</f>
        <v/>
      </c>
      <c r="M15" s="57" t="str">
        <f t="array" ref="M15">_xlfn.IFNA(INDEX(tblMoeHistory[],MATCH(1,(tblMoeHistory[InstNm]=LeaName)*(tblMoeHistory[Fiscal Year]=$B15),0),MATCH(M$9,moehist_cols,0)),"")</f>
        <v/>
      </c>
      <c r="N15" s="56" t="str">
        <f t="array" ref="N15">_xlfn.IFNA(INDEX(tblMoeHistory[],MATCH(1,(tblMoeHistory[InstNm]=LeaName)*(tblMoeHistory[Fiscal Year]=$B15),0),MATCH(N$9,moehist_cols,0)),"")</f>
        <v/>
      </c>
      <c r="O15" s="56" t="str">
        <f t="array" ref="O15">_xlfn.IFNA(INDEX(tblMoeHistory[],MATCH(1,(tblMoeHistory[InstNm]=LeaName)*(tblMoeHistory[Fiscal Year]=$B15),0),MATCH(O$9,moehist_cols,0)),"")</f>
        <v/>
      </c>
      <c r="P15" s="56" t="str">
        <f t="array" ref="P15">_xlfn.IFNA(INDEX(tblMoeHistory[],MATCH(1,(tblMoeHistory[InstNm]=LeaName)*(tblMoeHistory[Fiscal Year]=$B15),0),MATCH(P$9,moehist_cols,0)),"")</f>
        <v/>
      </c>
      <c r="Q15" s="56" t="str">
        <f t="array" ref="Q15">_xlfn.IFNA(INDEX(tblMoeHistory[],MATCH(1,(tblMoeHistory[InstNm]=LeaName)*(tblMoeHistory[Fiscal Year]=$B15),0),MATCH(Q$9,moehist_cols,0)),"")</f>
        <v/>
      </c>
      <c r="R15" s="3"/>
    </row>
    <row r="16" spans="1:18" ht="45" customHeight="1" x14ac:dyDescent="0.35">
      <c r="A16" s="3"/>
      <c r="B16" s="11" t="str">
        <f t="shared" si="0"/>
        <v>2019-2020</v>
      </c>
      <c r="C16" s="11" t="str">
        <f t="array" ref="C16">_xlfn.IFNA(INDEX(tblMoeHistory[],MATCH(1,(tblMoeHistory[InstNm]=LeaName)*(tblMoeHistory[Fiscal Year]=$B16),0),MATCH(C$9,moehist_cols,0)),"")</f>
        <v/>
      </c>
      <c r="D16" s="59" t="str">
        <f t="array" ref="D16">_xlfn.IFNA(INDEX(tblMoeHistory[],MATCH(1,(tblMoeHistory[InstNm]=LeaName)*(tblMoeHistory[Fiscal Year]=$B16),0),MATCH(D$9,moehist_cols,0)),"")</f>
        <v/>
      </c>
      <c r="E16" s="58" t="str">
        <f t="array" ref="E16">_xlfn.IFNA(INDEX(tblMoeHistory[],MATCH(1,(tblMoeHistory[InstNm]=LeaName)*(tblMoeHistory[Fiscal Year]=$B16),0),MATCH(E$9,moehist_cols,0)),"")</f>
        <v/>
      </c>
      <c r="F16" s="75" t="str">
        <f t="array" ref="F16">_xlfn.IFNA(INDEX(tblMoeHistory[],MATCH(1,(tblMoeHistory[InstNm]=LeaName)*(tblMoeHistory[Fiscal Year]=$B16),0),MATCH(F$9,moehist_cols,0)),"")</f>
        <v/>
      </c>
      <c r="G16" s="66" t="str">
        <f t="array" ref="G16">_xlfn.IFNA(INDEX(tblMoeHistory[],MATCH(1,(tblMoeHistory[InstNm]=LeaName)*(tblMoeHistory[Fiscal Year]=$B16),0),MATCH(G$9,moehist_cols,0)),"")</f>
        <v/>
      </c>
      <c r="H16" s="57" t="str">
        <f t="array" ref="H16">_xlfn.IFNA(INDEX(tblMoeHistory[],MATCH(1,(tblMoeHistory[InstNm]=LeaName)*(tblMoeHistory[Fiscal Year]=$B16),0),MATCH(H$9,moehist_cols,0)),"")</f>
        <v/>
      </c>
      <c r="I16" s="59" t="str">
        <f t="array" ref="I16">_xlfn.IFNA(INDEX(tblMoeHistory[],MATCH(1,(tblMoeHistory[InstNm]=LeaName)*(tblMoeHistory[Fiscal Year]=$B16),0),MATCH(I$9,moehist_cols,0)),"")</f>
        <v/>
      </c>
      <c r="J16" s="58" t="str">
        <f t="array" ref="J16">_xlfn.IFNA(INDEX(tblMoeHistory[],MATCH(1,(tblMoeHistory[InstNm]=LeaName)*(tblMoeHistory[Fiscal Year]=$B16),0),MATCH(J$9,moehist_cols,0)),"")</f>
        <v/>
      </c>
      <c r="K16" s="75" t="str">
        <f t="array" ref="K16">_xlfn.IFNA(INDEX(tblMoeHistory[],MATCH(1,(tblMoeHistory[InstNm]=LeaName)*(tblMoeHistory[Fiscal Year]=$B16),0),MATCH(K$9,moehist_cols,0)),"")</f>
        <v/>
      </c>
      <c r="L16" s="56" t="str">
        <f t="array" ref="L16">_xlfn.IFNA(ABS(INDEX(tblMoeHistory[],MATCH(1,(tblMoeHistory[InstNm]=LeaName)*(tblMoeHistory[Fiscal Year]=$B16),0),MATCH(L$9,moehist_cols,0))),"")</f>
        <v/>
      </c>
      <c r="M16" s="57" t="str">
        <f t="array" ref="M16">_xlfn.IFNA(INDEX(tblMoeHistory[],MATCH(1,(tblMoeHistory[InstNm]=LeaName)*(tblMoeHistory[Fiscal Year]=$B16),0),MATCH(M$9,moehist_cols,0)),"")</f>
        <v/>
      </c>
      <c r="N16" s="56" t="str">
        <f t="array" ref="N16">_xlfn.IFNA(INDEX(tblMoeHistory[],MATCH(1,(tblMoeHistory[InstNm]=LeaName)*(tblMoeHistory[Fiscal Year]=$B16),0),MATCH(N$9,moehist_cols,0)),"")</f>
        <v/>
      </c>
      <c r="O16" s="56" t="str">
        <f t="array" ref="O16">_xlfn.IFNA(INDEX(tblMoeHistory[],MATCH(1,(tblMoeHistory[InstNm]=LeaName)*(tblMoeHistory[Fiscal Year]=$B16),0),MATCH(O$9,moehist_cols,0)),"")</f>
        <v/>
      </c>
      <c r="P16" s="56" t="str">
        <f t="array" ref="P16">_xlfn.IFNA(INDEX(tblMoeHistory[],MATCH(1,(tblMoeHistory[InstNm]=LeaName)*(tblMoeHistory[Fiscal Year]=$B16),0),MATCH(P$9,moehist_cols,0)),"")</f>
        <v/>
      </c>
      <c r="Q16" s="56" t="str">
        <f t="array" ref="Q16">_xlfn.IFNA(INDEX(tblMoeHistory[],MATCH(1,(tblMoeHistory[InstNm]=LeaName)*(tblMoeHistory[Fiscal Year]=$B16),0),MATCH(Q$9,moehist_cols,0)),"")</f>
        <v/>
      </c>
      <c r="R16" s="3"/>
    </row>
    <row r="17" spans="1:18" ht="45" customHeight="1" x14ac:dyDescent="0.35">
      <c r="A17" s="3"/>
      <c r="B17" s="11" t="str">
        <f t="shared" si="0"/>
        <v>2020-2021</v>
      </c>
      <c r="C17" s="11" t="str">
        <f t="array" ref="C17">_xlfn.IFNA(INDEX(tblMoeHistory[],MATCH(1,(tblMoeHistory[InstNm]=LeaName)*(tblMoeHistory[Fiscal Year]=$B17),0),MATCH(C$9,moehist_cols,0)),"")</f>
        <v/>
      </c>
      <c r="D17" s="59" t="str">
        <f t="array" ref="D17">_xlfn.IFNA(INDEX(tblMoeHistory[],MATCH(1,(tblMoeHistory[InstNm]=LeaName)*(tblMoeHistory[Fiscal Year]=$B17),0),MATCH(D$9,moehist_cols,0)),"")</f>
        <v/>
      </c>
      <c r="E17" s="58" t="str">
        <f t="array" ref="E17">_xlfn.IFNA(INDEX(tblMoeHistory[],MATCH(1,(tblMoeHistory[InstNm]=LeaName)*(tblMoeHistory[Fiscal Year]=$B17),0),MATCH(E$9,moehist_cols,0)),"")</f>
        <v/>
      </c>
      <c r="F17" s="75" t="str">
        <f t="array" ref="F17">_xlfn.IFNA(INDEX(tblMoeHistory[],MATCH(1,(tblMoeHistory[InstNm]=LeaName)*(tblMoeHistory[Fiscal Year]=$B17),0),MATCH(F$9,moehist_cols,0)),"")</f>
        <v/>
      </c>
      <c r="G17" s="66" t="str">
        <f t="array" ref="G17">_xlfn.IFNA(INDEX(tblMoeHistory[],MATCH(1,(tblMoeHistory[InstNm]=LeaName)*(tblMoeHistory[Fiscal Year]=$B17),0),MATCH(G$9,moehist_cols,0)),"")</f>
        <v/>
      </c>
      <c r="H17" s="57" t="str">
        <f t="array" ref="H17">_xlfn.IFNA(INDEX(tblMoeHistory[],MATCH(1,(tblMoeHistory[InstNm]=LeaName)*(tblMoeHistory[Fiscal Year]=$B17),0),MATCH(H$9,moehist_cols,0)),"")</f>
        <v/>
      </c>
      <c r="I17" s="59" t="str">
        <f t="array" ref="I17">_xlfn.IFNA(INDEX(tblMoeHistory[],MATCH(1,(tblMoeHistory[InstNm]=LeaName)*(tblMoeHistory[Fiscal Year]=$B17),0),MATCH(I$9,moehist_cols,0)),"")</f>
        <v/>
      </c>
      <c r="J17" s="58" t="str">
        <f t="array" ref="J17">_xlfn.IFNA(INDEX(tblMoeHistory[],MATCH(1,(tblMoeHistory[InstNm]=LeaName)*(tblMoeHistory[Fiscal Year]=$B17),0),MATCH(J$9,moehist_cols,0)),"")</f>
        <v/>
      </c>
      <c r="K17" s="75" t="str">
        <f t="array" ref="K17">_xlfn.IFNA(INDEX(tblMoeHistory[],MATCH(1,(tblMoeHistory[InstNm]=LeaName)*(tblMoeHistory[Fiscal Year]=$B17),0),MATCH(K$9,moehist_cols,0)),"")</f>
        <v/>
      </c>
      <c r="L17" s="56" t="str">
        <f t="array" ref="L17">_xlfn.IFNA(ABS(INDEX(tblMoeHistory[],MATCH(1,(tblMoeHistory[InstNm]=LeaName)*(tblMoeHistory[Fiscal Year]=$B17),0),MATCH(L$9,moehist_cols,0))),"")</f>
        <v/>
      </c>
      <c r="M17" s="57" t="str">
        <f t="array" ref="M17">_xlfn.IFNA(INDEX(tblMoeHistory[],MATCH(1,(tblMoeHistory[InstNm]=LeaName)*(tblMoeHistory[Fiscal Year]=$B17),0),MATCH(M$9,moehist_cols,0)),"")</f>
        <v/>
      </c>
      <c r="N17" s="56" t="str">
        <f t="array" ref="N17">_xlfn.IFNA(INDEX(tblMoeHistory[],MATCH(1,(tblMoeHistory[InstNm]=LeaName)*(tblMoeHistory[Fiscal Year]=$B17),0),MATCH(N$9,moehist_cols,0)),"")</f>
        <v/>
      </c>
      <c r="O17" s="56" t="str">
        <f t="array" ref="O17">_xlfn.IFNA(INDEX(tblMoeHistory[],MATCH(1,(tblMoeHistory[InstNm]=LeaName)*(tblMoeHistory[Fiscal Year]=$B17),0),MATCH(O$9,moehist_cols,0)),"")</f>
        <v/>
      </c>
      <c r="P17" s="56" t="str">
        <f t="array" ref="P17">_xlfn.IFNA(INDEX(tblMoeHistory[],MATCH(1,(tblMoeHistory[InstNm]=LeaName)*(tblMoeHistory[Fiscal Year]=$B17),0),MATCH(P$9,moehist_cols,0)),"")</f>
        <v/>
      </c>
      <c r="Q17" s="56" t="str">
        <f t="array" ref="Q17">_xlfn.IFNA(INDEX(tblMoeHistory[],MATCH(1,(tblMoeHistory[InstNm]=LeaName)*(tblMoeHistory[Fiscal Year]=$B17),0),MATCH(Q$9,moehist_cols,0)),"")</f>
        <v/>
      </c>
      <c r="R17" s="3"/>
    </row>
    <row r="18" spans="1:18" ht="45" customHeight="1" x14ac:dyDescent="0.35">
      <c r="A18" s="3"/>
      <c r="B18" s="11" t="str">
        <f t="shared" si="0"/>
        <v>2021-2022</v>
      </c>
      <c r="C18" s="11" t="str">
        <f t="array" ref="C18">_xlfn.IFNA(INDEX(tblMoeHistory[],MATCH(1,(tblMoeHistory[InstNm]=LeaName)*(tblMoeHistory[Fiscal Year]=$B18),0),MATCH(C$9,moehist_cols,0)),"")</f>
        <v/>
      </c>
      <c r="D18" s="59" t="str">
        <f t="array" ref="D18">_xlfn.IFNA(INDEX(tblMoeHistory[],MATCH(1,(tblMoeHistory[InstNm]=LeaName)*(tblMoeHistory[Fiscal Year]=$B18),0),MATCH(D$9,moehist_cols,0)),"")</f>
        <v/>
      </c>
      <c r="E18" s="58" t="str">
        <f t="array" ref="E18">_xlfn.IFNA(INDEX(tblMoeHistory[],MATCH(1,(tblMoeHistory[InstNm]=LeaName)*(tblMoeHistory[Fiscal Year]=$B18),0),MATCH(E$9,moehist_cols,0)),"")</f>
        <v/>
      </c>
      <c r="F18" s="75" t="str">
        <f t="array" ref="F18">_xlfn.IFNA(INDEX(tblMoeHistory[],MATCH(1,(tblMoeHistory[InstNm]=LeaName)*(tblMoeHistory[Fiscal Year]=$B18),0),MATCH(F$9,moehist_cols,0)),"")</f>
        <v/>
      </c>
      <c r="G18" s="66" t="str">
        <f t="array" ref="G18">_xlfn.IFNA(INDEX(tblMoeHistory[],MATCH(1,(tblMoeHistory[InstNm]=LeaName)*(tblMoeHistory[Fiscal Year]=$B18),0),MATCH(G$9,moehist_cols,0)),"")</f>
        <v/>
      </c>
      <c r="H18" s="57" t="str">
        <f t="array" ref="H18">_xlfn.IFNA(INDEX(tblMoeHistory[],MATCH(1,(tblMoeHistory[InstNm]=LeaName)*(tblMoeHistory[Fiscal Year]=$B18),0),MATCH(H$9,moehist_cols,0)),"")</f>
        <v/>
      </c>
      <c r="I18" s="59" t="str">
        <f t="array" ref="I18">_xlfn.IFNA(INDEX(tblMoeHistory[],MATCH(1,(tblMoeHistory[InstNm]=LeaName)*(tblMoeHistory[Fiscal Year]=$B18),0),MATCH(I$9,moehist_cols,0)),"")</f>
        <v/>
      </c>
      <c r="J18" s="58" t="str">
        <f t="array" ref="J18">_xlfn.IFNA(INDEX(tblMoeHistory[],MATCH(1,(tblMoeHistory[InstNm]=LeaName)*(tblMoeHistory[Fiscal Year]=$B18),0),MATCH(J$9,moehist_cols,0)),"")</f>
        <v/>
      </c>
      <c r="K18" s="75" t="str">
        <f t="array" ref="K18">_xlfn.IFNA(INDEX(tblMoeHistory[],MATCH(1,(tblMoeHistory[InstNm]=LeaName)*(tblMoeHistory[Fiscal Year]=$B18),0),MATCH(K$9,moehist_cols,0)),"")</f>
        <v/>
      </c>
      <c r="L18" s="56" t="str">
        <f t="array" ref="L18">_xlfn.IFNA(ABS(INDEX(tblMoeHistory[],MATCH(1,(tblMoeHistory[InstNm]=LeaName)*(tblMoeHistory[Fiscal Year]=$B18),0),MATCH(L$9,moehist_cols,0))),"")</f>
        <v/>
      </c>
      <c r="M18" s="57" t="str">
        <f t="array" ref="M18">_xlfn.IFNA(INDEX(tblMoeHistory[],MATCH(1,(tblMoeHistory[InstNm]=LeaName)*(tblMoeHistory[Fiscal Year]=$B18),0),MATCH(M$9,moehist_cols,0)),"")</f>
        <v/>
      </c>
      <c r="N18" s="56" t="str">
        <f t="array" ref="N18">_xlfn.IFNA(INDEX(tblMoeHistory[],MATCH(1,(tblMoeHistory[InstNm]=LeaName)*(tblMoeHistory[Fiscal Year]=$B18),0),MATCH(N$9,moehist_cols,0)),"")</f>
        <v/>
      </c>
      <c r="O18" s="56" t="str">
        <f t="array" ref="O18">_xlfn.IFNA(INDEX(tblMoeHistory[],MATCH(1,(tblMoeHistory[InstNm]=LeaName)*(tblMoeHistory[Fiscal Year]=$B18),0),MATCH(O$9,moehist_cols,0)),"")</f>
        <v/>
      </c>
      <c r="P18" s="56" t="str">
        <f t="array" ref="P18">_xlfn.IFNA(INDEX(tblMoeHistory[],MATCH(1,(tblMoeHistory[InstNm]=LeaName)*(tblMoeHistory[Fiscal Year]=$B18),0),MATCH(P$9,moehist_cols,0)),"")</f>
        <v/>
      </c>
      <c r="Q18" s="56" t="str">
        <f>IF(LeaName="","",MIN(P18,L18,G18))</f>
        <v/>
      </c>
      <c r="R18" s="3"/>
    </row>
    <row r="19" spans="1:18" ht="45" customHeight="1" x14ac:dyDescent="0.35">
      <c r="A19" s="3"/>
      <c r="B19" s="11" t="str">
        <f t="shared" si="0"/>
        <v>2022-2023</v>
      </c>
      <c r="C19" s="11" t="str">
        <f t="array" ref="C19">_xlfn.IFNA(INDEX(tblMoeHistory[],MATCH(1,(tblMoeHistory[InstNm]=LeaName)*(tblMoeHistory[Fiscal Year]=$B19),0),MATCH(C$9,moehist_cols,0)),"")</f>
        <v/>
      </c>
      <c r="D19" s="59" t="str">
        <f t="array" ref="D19">_xlfn.IFNA(INDEX(tblMoeHistory[],MATCH(1,(tblMoeHistory[InstNm]=LeaName)*(tblMoeHistory[Fiscal Year]=$B19),0),MATCH(D$9,moehist_cols,0)),"")</f>
        <v/>
      </c>
      <c r="E19" s="58" t="str">
        <f t="array" ref="E19">_xlfn.IFNA(INDEX(tblMoeHistory[],MATCH(1,(tblMoeHistory[InstNm]=LeaName)*(tblMoeHistory[Fiscal Year]=$B19),0),MATCH(E$9,moehist_cols,0)),"")</f>
        <v/>
      </c>
      <c r="F19" s="75" t="str">
        <f t="array" ref="F19">_xlfn.IFNA(INDEX(tblMoeHistory[],MATCH(1,(tblMoeHistory[InstNm]=LeaName)*(tblMoeHistory[Fiscal Year]=$B19),0),MATCH(F$9,moehist_cols,0)),"")</f>
        <v/>
      </c>
      <c r="G19" s="56" t="str">
        <f>IF(LeaName="","",IF(K42&gt;0,K42,0))</f>
        <v/>
      </c>
      <c r="H19" s="57" t="str">
        <f>IF(F19="","",IF(L38="Met","Met",IF(L42="Met","Met with Exceptions","Did Not Meet")))</f>
        <v/>
      </c>
      <c r="I19" s="59" t="str">
        <f t="array" ref="I19">_xlfn.IFNA(INDEX(tblMoeHistory[],MATCH(1,(tblMoeHistory[InstNm]=LeaName)*(tblMoeHistory[Fiscal Year]=$B19),0),MATCH(I$9,moehist_cols,0)),"")</f>
        <v/>
      </c>
      <c r="J19" s="58" t="str">
        <f t="array" ref="J19">_xlfn.IFNA(INDEX(tblMoeHistory[],MATCH(1,(tblMoeHistory[InstNm]=LeaName)*(tblMoeHistory[Fiscal Year]=$B19),0),MATCH(J$9,moehist_cols,0)),"")</f>
        <v/>
      </c>
      <c r="K19" s="75" t="str">
        <f t="array" ref="K19">_xlfn.IFNA(INDEX(tblMoeHistory[],MATCH(1,(tblMoeHistory[InstNm]=LeaName)*(tblMoeHistory[Fiscal Year]=$B19),0),MATCH(K$9,moehist_cols,0)),"")</f>
        <v/>
      </c>
      <c r="L19" s="56" t="str">
        <f>IF(LeaName="","",IF(O43&gt;0,O43*C19,0))</f>
        <v/>
      </c>
      <c r="M19" s="57" t="str">
        <f>IF(K19="","",IF(P39="Met","Met",IF(P43="Met","Met with Exceptions","Did Not Meet")))</f>
        <v/>
      </c>
      <c r="N19" s="56" t="str">
        <f t="array" ref="N19">_xlfn.IFNA(INDEX(tblMoeHistory[],MATCH(1,(tblMoeHistory[InstNm]=LeaName)*(tblMoeHistory[Fiscal Year]=$B19),0),MATCH(N$9,moehist_cols,0)),"")</f>
        <v/>
      </c>
      <c r="O19" s="56" t="str">
        <f t="array" ref="O19">_xlfn.IFNA(INDEX(tblMoeHistory[],MATCH(1,(tblMoeHistory[InstNm]=LeaName)*(tblMoeHistory[Fiscal Year]=$B19),0),MATCH(O$9,moehist_cols,0)),"")</f>
        <v/>
      </c>
      <c r="P19" s="56" t="str">
        <f t="array" ref="P19">_xlfn.IFNA(INDEX(tblMoeHistory[],MATCH(1,(tblMoeHistory[InstNm]=LeaName)*(tblMoeHistory[Fiscal Year]=$B19),0),MATCH(P$9,moehist_cols,0)),"")</f>
        <v/>
      </c>
      <c r="Q19" s="56" t="str">
        <f>IF(LeaName="","",MIN(P19,L19,G19))</f>
        <v/>
      </c>
      <c r="R19" s="3"/>
    </row>
    <row r="20" spans="1:18" ht="7.4" customHeight="1" x14ac:dyDescent="0.35">
      <c r="A20" s="3"/>
      <c r="B20" s="3"/>
      <c r="C20" s="3"/>
      <c r="D20" s="3"/>
      <c r="E20" s="3"/>
      <c r="F20" s="3"/>
      <c r="G20" s="3"/>
      <c r="H20" s="3"/>
      <c r="I20" s="3"/>
      <c r="J20" s="3"/>
      <c r="K20" s="3"/>
      <c r="L20" s="3"/>
      <c r="M20" s="3"/>
      <c r="N20" s="3"/>
      <c r="O20" s="3"/>
      <c r="P20" s="3"/>
      <c r="Q20" s="3"/>
      <c r="R20" s="3"/>
    </row>
    <row r="21" spans="1:18" ht="17.5" thickBot="1" x14ac:dyDescent="0.45">
      <c r="A21" s="3"/>
      <c r="B21" s="67" t="s">
        <v>1609</v>
      </c>
      <c r="C21" s="65"/>
      <c r="D21" s="65"/>
      <c r="E21" s="65"/>
      <c r="F21" s="65"/>
      <c r="G21" s="65"/>
      <c r="H21" s="65"/>
      <c r="I21" s="65"/>
      <c r="J21" s="65"/>
      <c r="K21" s="65"/>
      <c r="L21" s="65"/>
      <c r="M21" s="65"/>
      <c r="N21" s="65"/>
      <c r="O21" s="65"/>
      <c r="P21" s="65"/>
      <c r="Q21" s="65"/>
      <c r="R21" s="3"/>
    </row>
    <row r="22" spans="1:18" ht="97.5" customHeight="1" thickTop="1" x14ac:dyDescent="0.35">
      <c r="A22" s="3"/>
      <c r="B22" s="339" t="s">
        <v>3084</v>
      </c>
      <c r="C22" s="339"/>
      <c r="D22" s="339"/>
      <c r="E22" s="339"/>
      <c r="F22" s="339"/>
      <c r="G22" s="339"/>
      <c r="H22" s="278" t="s">
        <v>3120</v>
      </c>
      <c r="I22" s="332" t="s">
        <v>1610</v>
      </c>
      <c r="J22" s="332"/>
      <c r="K22" s="332"/>
      <c r="L22" s="332"/>
      <c r="M22" s="332"/>
      <c r="N22" s="332"/>
      <c r="O22" s="332"/>
      <c r="P22" s="332"/>
      <c r="Q22" s="332"/>
      <c r="R22" s="3"/>
    </row>
    <row r="23" spans="1:18" ht="7.4" customHeight="1" x14ac:dyDescent="0.35">
      <c r="A23" s="3"/>
      <c r="B23" s="3"/>
      <c r="C23" s="3"/>
      <c r="D23" s="3"/>
      <c r="E23" s="3"/>
      <c r="F23" s="3"/>
      <c r="G23" s="3"/>
      <c r="H23" s="3"/>
      <c r="I23" s="3"/>
      <c r="J23" s="3"/>
      <c r="K23" s="3"/>
      <c r="L23" s="3"/>
      <c r="M23" s="3"/>
      <c r="N23" s="3"/>
      <c r="O23" s="3"/>
      <c r="P23" s="3"/>
      <c r="Q23" s="3"/>
      <c r="R23" s="3"/>
    </row>
    <row r="24" spans="1:18" ht="15" thickBot="1" x14ac:dyDescent="0.4">
      <c r="A24" s="3"/>
      <c r="B24" s="68" t="s">
        <v>1611</v>
      </c>
      <c r="C24" s="69"/>
      <c r="D24" s="69"/>
      <c r="E24" s="69"/>
      <c r="F24" s="69"/>
      <c r="G24" s="70"/>
      <c r="H24" s="3"/>
      <c r="I24" s="3"/>
      <c r="J24" s="3"/>
      <c r="K24" s="3"/>
      <c r="L24" s="3"/>
      <c r="M24" s="3"/>
      <c r="N24" s="3"/>
      <c r="O24" s="3"/>
      <c r="P24" s="3"/>
      <c r="Q24" s="3"/>
      <c r="R24" s="3"/>
    </row>
    <row r="25" spans="1:18" ht="30.75" customHeight="1" x14ac:dyDescent="0.35">
      <c r="A25" s="3"/>
      <c r="B25" s="334" t="s">
        <v>1612</v>
      </c>
      <c r="C25" s="334"/>
      <c r="D25" s="334"/>
      <c r="E25" s="334"/>
      <c r="F25" s="334"/>
      <c r="G25" s="334"/>
      <c r="H25" s="3"/>
      <c r="I25" s="159"/>
      <c r="J25" s="159"/>
      <c r="K25" s="160" t="s">
        <v>1613</v>
      </c>
      <c r="L25" s="159"/>
      <c r="M25" s="159"/>
      <c r="N25" s="159"/>
      <c r="O25" s="159"/>
      <c r="P25" s="159"/>
      <c r="Q25" s="161"/>
      <c r="R25" s="3"/>
    </row>
    <row r="26" spans="1:18" x14ac:dyDescent="0.35">
      <c r="A26" s="158"/>
      <c r="B26" s="170" t="s">
        <v>1614</v>
      </c>
      <c r="C26" s="170"/>
      <c r="D26" s="170"/>
      <c r="E26" s="170"/>
      <c r="F26" s="170"/>
      <c r="G26" s="170"/>
      <c r="H26" s="3"/>
      <c r="I26" s="159"/>
      <c r="J26" s="160" t="s">
        <v>1611</v>
      </c>
      <c r="K26" s="162">
        <f>G43</f>
        <v>0</v>
      </c>
      <c r="L26" s="159"/>
      <c r="M26" s="159"/>
      <c r="N26" s="159"/>
      <c r="O26" s="159"/>
      <c r="P26" s="159"/>
      <c r="Q26" s="159"/>
      <c r="R26" s="3"/>
    </row>
    <row r="27" spans="1:18" x14ac:dyDescent="0.35">
      <c r="A27" s="158"/>
      <c r="B27" s="171" t="s">
        <v>1615</v>
      </c>
      <c r="C27" s="345" t="s">
        <v>1616</v>
      </c>
      <c r="D27" s="345"/>
      <c r="E27" s="172" t="s">
        <v>1617</v>
      </c>
      <c r="F27" s="172" t="s">
        <v>1618</v>
      </c>
      <c r="G27" s="172" t="s">
        <v>1619</v>
      </c>
      <c r="H27" s="3"/>
      <c r="I27" s="159"/>
      <c r="J27" s="160" t="s">
        <v>1620</v>
      </c>
      <c r="K27" s="162">
        <f>D54</f>
        <v>0</v>
      </c>
      <c r="L27" s="159"/>
      <c r="M27" s="159"/>
      <c r="N27" s="159"/>
      <c r="O27" s="159"/>
      <c r="P27" s="159"/>
      <c r="Q27" s="159"/>
      <c r="R27" s="3"/>
    </row>
    <row r="28" spans="1:18" x14ac:dyDescent="0.35">
      <c r="A28" s="158"/>
      <c r="B28" s="77"/>
      <c r="C28" s="342"/>
      <c r="D28" s="343"/>
      <c r="E28" s="61"/>
      <c r="F28" s="61"/>
      <c r="G28" s="173">
        <f t="shared" ref="G28:G32" si="1">F28+E28</f>
        <v>0</v>
      </c>
      <c r="H28" s="3"/>
      <c r="I28" s="159"/>
      <c r="J28" s="160" t="s">
        <v>1621</v>
      </c>
      <c r="K28" s="162">
        <f>G64</f>
        <v>0</v>
      </c>
      <c r="L28" s="159"/>
      <c r="M28" s="159"/>
      <c r="N28" s="159"/>
      <c r="O28" s="159"/>
      <c r="P28" s="159"/>
      <c r="Q28" s="159"/>
      <c r="R28" s="3"/>
    </row>
    <row r="29" spans="1:18" x14ac:dyDescent="0.35">
      <c r="A29" s="158"/>
      <c r="B29" s="77"/>
      <c r="C29" s="342"/>
      <c r="D29" s="343"/>
      <c r="E29" s="61"/>
      <c r="F29" s="61"/>
      <c r="G29" s="173">
        <f t="shared" si="1"/>
        <v>0</v>
      </c>
      <c r="H29" s="3"/>
      <c r="I29" s="159"/>
      <c r="J29" s="160" t="s">
        <v>1622</v>
      </c>
      <c r="K29" s="162">
        <f>G74</f>
        <v>0</v>
      </c>
      <c r="L29" s="159"/>
      <c r="M29" s="159"/>
      <c r="N29" s="159"/>
      <c r="O29" s="159"/>
      <c r="P29" s="159"/>
      <c r="Q29" s="159"/>
      <c r="R29" s="3"/>
    </row>
    <row r="30" spans="1:18" x14ac:dyDescent="0.35">
      <c r="A30" s="158"/>
      <c r="B30" s="77"/>
      <c r="C30" s="342"/>
      <c r="D30" s="343"/>
      <c r="E30" s="61"/>
      <c r="F30" s="61"/>
      <c r="G30" s="173">
        <f t="shared" si="1"/>
        <v>0</v>
      </c>
      <c r="H30" s="3"/>
      <c r="I30" s="159"/>
      <c r="J30" s="160" t="s">
        <v>1623</v>
      </c>
      <c r="K30" s="162">
        <f>SUM(K26:K29)</f>
        <v>0</v>
      </c>
      <c r="L30" s="159"/>
      <c r="M30" s="159"/>
      <c r="N30" s="159"/>
      <c r="O30" s="159"/>
      <c r="P30" s="159"/>
      <c r="Q30" s="159"/>
      <c r="R30" s="3"/>
    </row>
    <row r="31" spans="1:18" x14ac:dyDescent="0.35">
      <c r="A31" s="158"/>
      <c r="B31" s="77"/>
      <c r="C31" s="342"/>
      <c r="D31" s="343"/>
      <c r="E31" s="61"/>
      <c r="F31" s="61"/>
      <c r="G31" s="173">
        <f t="shared" si="1"/>
        <v>0</v>
      </c>
      <c r="H31" s="3"/>
      <c r="I31" s="159"/>
      <c r="J31" s="159"/>
      <c r="K31" s="159"/>
      <c r="L31" s="159"/>
      <c r="M31" s="159"/>
      <c r="N31" s="159"/>
      <c r="O31" s="160"/>
      <c r="P31" s="163"/>
      <c r="Q31" s="159"/>
      <c r="R31" s="3"/>
    </row>
    <row r="32" spans="1:18" x14ac:dyDescent="0.35">
      <c r="A32" s="158"/>
      <c r="B32" s="77"/>
      <c r="C32" s="342"/>
      <c r="D32" s="343"/>
      <c r="E32" s="61"/>
      <c r="F32" s="61"/>
      <c r="G32" s="173">
        <f t="shared" si="1"/>
        <v>0</v>
      </c>
      <c r="H32" s="3"/>
      <c r="I32" s="159"/>
      <c r="J32" s="159"/>
      <c r="K32" s="159"/>
      <c r="L32" s="159"/>
      <c r="M32" s="159"/>
      <c r="N32" s="159"/>
      <c r="O32" s="159"/>
      <c r="P32" s="159"/>
      <c r="Q32" s="159"/>
      <c r="R32" s="3"/>
    </row>
    <row r="33" spans="1:18" x14ac:dyDescent="0.35">
      <c r="A33" s="158"/>
      <c r="B33" s="158"/>
      <c r="C33" s="158"/>
      <c r="D33" s="174" t="s">
        <v>1624</v>
      </c>
      <c r="E33" s="173">
        <f t="shared" ref="E33:G33" si="2">SUM(E28:E32)</f>
        <v>0</v>
      </c>
      <c r="F33" s="173">
        <f t="shared" si="2"/>
        <v>0</v>
      </c>
      <c r="G33" s="173">
        <f t="shared" si="2"/>
        <v>0</v>
      </c>
      <c r="H33" s="3"/>
      <c r="I33" s="159"/>
      <c r="J33" s="159"/>
      <c r="K33" s="159"/>
      <c r="L33" s="159"/>
      <c r="M33" s="159"/>
      <c r="N33" s="159"/>
      <c r="O33" s="159"/>
      <c r="P33" s="159"/>
      <c r="Q33" s="159"/>
      <c r="R33" s="3"/>
    </row>
    <row r="34" spans="1:18" x14ac:dyDescent="0.35">
      <c r="A34" s="158"/>
      <c r="B34" s="158"/>
      <c r="C34" s="158"/>
      <c r="D34" s="158"/>
      <c r="E34" s="175"/>
      <c r="F34" s="175"/>
      <c r="G34" s="175"/>
      <c r="H34" s="3"/>
      <c r="I34" s="159"/>
      <c r="J34" s="164" t="s">
        <v>226</v>
      </c>
      <c r="K34" s="164"/>
      <c r="L34" s="164"/>
      <c r="M34" s="159"/>
      <c r="N34" s="164" t="s">
        <v>231</v>
      </c>
      <c r="O34" s="164"/>
      <c r="P34" s="164"/>
      <c r="Q34" s="159"/>
      <c r="R34" s="3"/>
    </row>
    <row r="35" spans="1:18" x14ac:dyDescent="0.35">
      <c r="A35" s="158"/>
      <c r="B35" s="170" t="s">
        <v>1625</v>
      </c>
      <c r="C35" s="170"/>
      <c r="D35" s="170"/>
      <c r="E35" s="170"/>
      <c r="F35" s="170"/>
      <c r="G35" s="170"/>
      <c r="H35" s="3"/>
      <c r="I35" s="159"/>
      <c r="J35" s="163" t="s">
        <v>1626</v>
      </c>
      <c r="K35" s="165" t="s">
        <v>1627</v>
      </c>
      <c r="L35" s="163" t="s">
        <v>1628</v>
      </c>
      <c r="M35" s="159"/>
      <c r="N35" s="163" t="s">
        <v>1626</v>
      </c>
      <c r="O35" s="165" t="s">
        <v>1627</v>
      </c>
      <c r="P35" s="163" t="s">
        <v>1628</v>
      </c>
      <c r="Q35" s="159"/>
      <c r="R35" s="3"/>
    </row>
    <row r="36" spans="1:18" x14ac:dyDescent="0.35">
      <c r="A36" s="158"/>
      <c r="B36" s="171" t="s">
        <v>1615</v>
      </c>
      <c r="C36" s="176"/>
      <c r="D36" s="176"/>
      <c r="E36" s="172" t="s">
        <v>1617</v>
      </c>
      <c r="F36" s="172" t="s">
        <v>1618</v>
      </c>
      <c r="G36" s="172" t="s">
        <v>1619</v>
      </c>
      <c r="H36" s="3"/>
      <c r="I36" s="159"/>
      <c r="J36" s="160" t="s">
        <v>1629</v>
      </c>
      <c r="K36" s="166" t="str">
        <f>IF(LeaName="","",IFERROR(LOOKUP(2,1/($H$11:$H$18&lt;&gt;"Did Not Meet"),$B$11:$B$18),""))</f>
        <v/>
      </c>
      <c r="L36" s="163"/>
      <c r="M36" s="159"/>
      <c r="N36" s="160" t="s">
        <v>1629</v>
      </c>
      <c r="O36" s="166" t="str">
        <f>IF(LeaName="","",IFERROR(LOOKUP(2,1/($M$10:$M$18&lt;&gt;"Did Not Meet"),$B$10:$B$18),""))</f>
        <v/>
      </c>
      <c r="P36" s="163"/>
      <c r="Q36" s="159"/>
      <c r="R36" s="3"/>
    </row>
    <row r="37" spans="1:18" x14ac:dyDescent="0.35">
      <c r="A37" s="158"/>
      <c r="B37" s="77"/>
      <c r="C37" s="176"/>
      <c r="D37" s="176"/>
      <c r="E37" s="61"/>
      <c r="F37" s="61"/>
      <c r="G37" s="173">
        <f t="shared" ref="G37:G41" si="3">E37+F37</f>
        <v>0</v>
      </c>
      <c r="H37" s="3"/>
      <c r="I37" s="159"/>
      <c r="J37" s="160" t="s">
        <v>1630</v>
      </c>
      <c r="K37" s="162" t="str">
        <f>IF(K36="","",VLOOKUP(K36,$B$10:$F$18,5,FALSE))</f>
        <v/>
      </c>
      <c r="L37" s="163"/>
      <c r="M37" s="159"/>
      <c r="N37" s="160" t="s">
        <v>1631</v>
      </c>
      <c r="O37" s="166" t="str">
        <f>IF(O36="","",VLOOKUP(O36,$B$10:$C$18,2,FALSE))</f>
        <v/>
      </c>
      <c r="P37" s="163"/>
      <c r="Q37" s="159"/>
      <c r="R37" s="3"/>
    </row>
    <row r="38" spans="1:18" x14ac:dyDescent="0.35">
      <c r="A38" s="158"/>
      <c r="B38" s="77"/>
      <c r="C38" s="176"/>
      <c r="D38" s="176"/>
      <c r="E38" s="61"/>
      <c r="F38" s="61"/>
      <c r="G38" s="173">
        <f t="shared" si="3"/>
        <v>0</v>
      </c>
      <c r="H38" s="3"/>
      <c r="I38" s="159"/>
      <c r="J38" s="160" t="str">
        <f>MoeCurrYear&amp;" Amount"</f>
        <v>2022-2023 Amount</v>
      </c>
      <c r="K38" s="162" t="str">
        <f>IF(K36="","",VLOOKUP(MoeCurrYear,$B$10:$K$19,5,FALSE))</f>
        <v/>
      </c>
      <c r="L38" s="165" t="str">
        <f>IF(LeaName="","",IF(K38&gt;=K37,"Met","Did Not Meet"))</f>
        <v/>
      </c>
      <c r="M38" s="159"/>
      <c r="N38" s="160" t="s">
        <v>1630</v>
      </c>
      <c r="O38" s="162" t="str">
        <f>IF(O36="","",VLOOKUP(O36,$B$10:$K$18,10,FALSE))</f>
        <v/>
      </c>
      <c r="P38" s="163"/>
      <c r="Q38" s="159"/>
      <c r="R38" s="3"/>
    </row>
    <row r="39" spans="1:18" x14ac:dyDescent="0.35">
      <c r="A39" s="158"/>
      <c r="B39" s="77"/>
      <c r="C39" s="176"/>
      <c r="D39" s="176"/>
      <c r="E39" s="61"/>
      <c r="F39" s="61"/>
      <c r="G39" s="173">
        <f t="shared" si="3"/>
        <v>0</v>
      </c>
      <c r="H39" s="3"/>
      <c r="I39" s="159"/>
      <c r="J39" s="160" t="s">
        <v>1632</v>
      </c>
      <c r="K39" s="162" t="str">
        <f>IF(LeaName="","",K37-K38)</f>
        <v/>
      </c>
      <c r="L39" s="163"/>
      <c r="M39" s="159"/>
      <c r="N39" s="160" t="str">
        <f>MoeCurrYear&amp;" Amount"</f>
        <v>2022-2023 Amount</v>
      </c>
      <c r="O39" s="162" t="str">
        <f>IF(O36="","",VLOOKUP(MoeCurrYear,$B$10:$K$19,10,FALSE))</f>
        <v/>
      </c>
      <c r="P39" s="165" t="str">
        <f>IF(LeaName="","",IF(O39&gt;=O38,"Met","Did Not Meet"))</f>
        <v/>
      </c>
      <c r="Q39" s="159"/>
      <c r="R39" s="3"/>
    </row>
    <row r="40" spans="1:18" x14ac:dyDescent="0.35">
      <c r="A40" s="158"/>
      <c r="B40" s="77"/>
      <c r="C40" s="176"/>
      <c r="D40" s="176"/>
      <c r="E40" s="61"/>
      <c r="F40" s="61"/>
      <c r="G40" s="173">
        <f t="shared" si="3"/>
        <v>0</v>
      </c>
      <c r="H40" s="3"/>
      <c r="I40" s="159"/>
      <c r="J40" s="160" t="s">
        <v>235</v>
      </c>
      <c r="K40" s="162" t="str">
        <f>IF(LeaName="","",IF(K39&gt;0,K30,0))</f>
        <v/>
      </c>
      <c r="L40" s="163"/>
      <c r="M40" s="159"/>
      <c r="N40" s="160" t="s">
        <v>1632</v>
      </c>
      <c r="O40" s="162" t="str">
        <f>IF(LeaName="","",O38-O39)</f>
        <v/>
      </c>
      <c r="P40" s="163"/>
      <c r="Q40" s="159"/>
      <c r="R40" s="3"/>
    </row>
    <row r="41" spans="1:18" x14ac:dyDescent="0.35">
      <c r="A41" s="158"/>
      <c r="B41" s="77"/>
      <c r="C41" s="176"/>
      <c r="D41" s="176"/>
      <c r="E41" s="61"/>
      <c r="F41" s="61"/>
      <c r="G41" s="173">
        <f t="shared" si="3"/>
        <v>0</v>
      </c>
      <c r="H41" s="3"/>
      <c r="I41" s="159"/>
      <c r="J41" s="160" t="s">
        <v>1633</v>
      </c>
      <c r="K41" s="162" t="str">
        <f t="array" ref="K41">IF(H18="Did Not Meet",_xlfn.IFNA(INDEX(tblMoeHistory[SLT Exceptions],MATCH(1,(tblMoeHistory[InstNm]=LeaName)*(tblMoeHistory[Fiscal Year]=MoePriorYear),0)),""),"")</f>
        <v/>
      </c>
      <c r="L41" s="163"/>
      <c r="M41" s="159"/>
      <c r="N41" s="167" t="s">
        <v>235</v>
      </c>
      <c r="O41" s="168" t="str">
        <f>IF(LeaName="","",IF(O40&gt;0,K30/O37,0))</f>
        <v/>
      </c>
      <c r="P41" s="163"/>
      <c r="Q41" s="159"/>
      <c r="R41" s="3"/>
    </row>
    <row r="42" spans="1:18" x14ac:dyDescent="0.35">
      <c r="A42" s="158"/>
      <c r="B42" s="158"/>
      <c r="C42" s="158"/>
      <c r="D42" s="174" t="s">
        <v>1634</v>
      </c>
      <c r="E42" s="173">
        <f t="shared" ref="E42:G42" si="4">SUM(E37:E41)</f>
        <v>0</v>
      </c>
      <c r="F42" s="173">
        <f t="shared" si="4"/>
        <v>0</v>
      </c>
      <c r="G42" s="173">
        <f t="shared" si="4"/>
        <v>0</v>
      </c>
      <c r="H42" s="3"/>
      <c r="I42" s="159"/>
      <c r="J42" s="160" t="s">
        <v>1635</v>
      </c>
      <c r="K42" s="162" t="str">
        <f>IF(LeaName="","",IF(L38="Met",0,K39-K40-IF(K41="",0,K41)))</f>
        <v/>
      </c>
      <c r="L42" s="165" t="str">
        <f>IF(LeaName="","",IF(L38="Met","",IF(K42&lt;=0,"Met","Did Not Meet")))</f>
        <v/>
      </c>
      <c r="M42" s="159"/>
      <c r="N42" s="160" t="s">
        <v>1633</v>
      </c>
      <c r="O42" s="162" t="str">
        <f t="array" ref="O42">IF(M18="Did Not Meet",_xlfn.IFNA(IFERROR(INDEX(tblMoeHistory[SLPC Exceptions],MATCH(1,(tblMoeHistory[InstNm]=LeaName)*(tblMoeHistory[Fiscal Year]=MoePriorYear),0))/O37,""),""),"")</f>
        <v/>
      </c>
      <c r="P42" s="163"/>
      <c r="Q42" s="159"/>
      <c r="R42" s="3"/>
    </row>
    <row r="43" spans="1:18" x14ac:dyDescent="0.35">
      <c r="A43" s="158"/>
      <c r="B43" s="158"/>
      <c r="C43" s="158"/>
      <c r="D43" s="158"/>
      <c r="E43" s="158"/>
      <c r="F43" s="174" t="s">
        <v>1636</v>
      </c>
      <c r="G43" s="173">
        <f>G33-G42</f>
        <v>0</v>
      </c>
      <c r="H43" s="3"/>
      <c r="I43" s="159"/>
      <c r="J43" s="159"/>
      <c r="K43" s="159"/>
      <c r="L43" s="169"/>
      <c r="M43" s="159"/>
      <c r="N43" s="160" t="s">
        <v>1635</v>
      </c>
      <c r="O43" s="162" t="str">
        <f>IF(LeaName="","",IF(P39="Met",0,O40-O41-IF(O42="",0,O42)))</f>
        <v/>
      </c>
      <c r="P43" s="165" t="str">
        <f>IF(LeaName="","",IF(P39="Met","",IF(O43&lt;=0,"Met","Did Not Meet")))</f>
        <v/>
      </c>
      <c r="Q43" s="159"/>
      <c r="R43" s="3"/>
    </row>
    <row r="44" spans="1:18" ht="7.4" customHeight="1" x14ac:dyDescent="0.35">
      <c r="A44" s="158"/>
      <c r="B44" s="158"/>
      <c r="C44" s="158"/>
      <c r="D44" s="158"/>
      <c r="E44" s="158"/>
      <c r="F44" s="158"/>
      <c r="G44" s="158"/>
      <c r="H44" s="3"/>
      <c r="I44" s="159"/>
      <c r="J44" s="159"/>
      <c r="K44" s="159"/>
      <c r="L44" s="159"/>
      <c r="M44" s="159"/>
      <c r="N44" s="159"/>
      <c r="O44" s="159"/>
      <c r="P44" s="159"/>
      <c r="Q44" s="159"/>
      <c r="R44" s="3"/>
    </row>
    <row r="45" spans="1:18" ht="15" thickBot="1" x14ac:dyDescent="0.4">
      <c r="A45" s="3"/>
      <c r="B45" s="70" t="s">
        <v>1620</v>
      </c>
      <c r="C45" s="70"/>
      <c r="D45" s="70"/>
      <c r="E45" s="70"/>
      <c r="F45" s="70"/>
      <c r="G45" s="70"/>
      <c r="H45" s="3"/>
      <c r="I45" s="159"/>
      <c r="J45" s="159"/>
      <c r="K45" s="159"/>
      <c r="L45" s="159"/>
      <c r="M45" s="159"/>
      <c r="N45" s="159"/>
      <c r="O45" s="159"/>
      <c r="P45" s="159"/>
      <c r="Q45" s="159"/>
      <c r="R45" s="3"/>
    </row>
    <row r="46" spans="1:18" x14ac:dyDescent="0.35">
      <c r="A46" s="3"/>
      <c r="B46" s="344" t="s">
        <v>1637</v>
      </c>
      <c r="C46" s="344"/>
      <c r="D46" s="344"/>
      <c r="E46" s="344"/>
      <c r="F46" s="344"/>
      <c r="G46" s="344"/>
      <c r="H46" s="3"/>
      <c r="I46" s="3"/>
      <c r="J46" s="3"/>
      <c r="K46" s="3"/>
      <c r="L46" s="3"/>
      <c r="M46" s="3"/>
      <c r="N46" s="3"/>
      <c r="O46" s="3"/>
      <c r="P46" s="3"/>
      <c r="Q46" s="3"/>
      <c r="R46" s="3"/>
    </row>
    <row r="47" spans="1:18" ht="7.4" customHeight="1" x14ac:dyDescent="0.35">
      <c r="A47" s="3"/>
      <c r="B47" s="3"/>
      <c r="C47" s="3"/>
      <c r="D47" s="3"/>
      <c r="E47" s="3"/>
      <c r="F47" s="3"/>
      <c r="G47" s="3"/>
      <c r="H47" s="3"/>
      <c r="I47" s="3"/>
      <c r="J47" s="3"/>
      <c r="K47" s="3"/>
      <c r="L47" s="3"/>
      <c r="M47" s="3"/>
      <c r="N47" s="3"/>
      <c r="O47" s="3"/>
      <c r="P47" s="3"/>
      <c r="Q47" s="3"/>
      <c r="R47" s="3"/>
    </row>
    <row r="48" spans="1:18" x14ac:dyDescent="0.35">
      <c r="A48" s="3"/>
      <c r="B48" s="335" t="s">
        <v>1638</v>
      </c>
      <c r="C48" s="335"/>
      <c r="D48" s="79" t="s">
        <v>1626</v>
      </c>
      <c r="E48" s="3"/>
      <c r="F48" s="3"/>
      <c r="G48" s="3"/>
      <c r="H48" s="3"/>
      <c r="I48" s="3"/>
      <c r="J48" s="3"/>
      <c r="K48" s="3"/>
      <c r="L48" s="3"/>
      <c r="M48" s="3"/>
      <c r="N48" s="3"/>
      <c r="O48" s="3"/>
      <c r="P48" s="3"/>
      <c r="Q48" s="3"/>
      <c r="R48" s="3"/>
    </row>
    <row r="49" spans="1:18" x14ac:dyDescent="0.35">
      <c r="A49" s="3"/>
      <c r="B49" s="340" t="str">
        <f>MoeCurrYear&amp;" Child Count:"</f>
        <v>2022-2023 Child Count:</v>
      </c>
      <c r="C49" s="340"/>
      <c r="D49" s="45" t="str">
        <f>C19</f>
        <v/>
      </c>
      <c r="E49" s="3"/>
      <c r="F49" s="3"/>
      <c r="G49" s="3"/>
      <c r="H49" s="3"/>
      <c r="I49" s="3"/>
      <c r="J49" s="3"/>
      <c r="K49" s="3"/>
      <c r="L49" s="3"/>
      <c r="M49" s="3"/>
      <c r="N49" s="3"/>
      <c r="O49" s="3"/>
      <c r="P49" s="3"/>
      <c r="Q49" s="3"/>
      <c r="R49" s="3"/>
    </row>
    <row r="50" spans="1:18" x14ac:dyDescent="0.35">
      <c r="A50" s="3"/>
      <c r="B50" s="340" t="str">
        <f>MoePriorYear&amp;" Child Count:"</f>
        <v>2021-2022 Child Count:</v>
      </c>
      <c r="C50" s="340"/>
      <c r="D50" s="45" t="str">
        <f>C18</f>
        <v/>
      </c>
      <c r="E50" s="3"/>
      <c r="F50" s="3"/>
      <c r="G50" s="3"/>
      <c r="H50" s="3"/>
      <c r="I50" s="3"/>
      <c r="J50" s="3"/>
      <c r="K50" s="3"/>
      <c r="L50" s="3"/>
      <c r="M50" s="3"/>
      <c r="N50" s="3"/>
      <c r="O50" s="3"/>
      <c r="P50" s="3"/>
      <c r="Q50" s="3"/>
      <c r="R50" s="3"/>
    </row>
    <row r="51" spans="1:18" x14ac:dyDescent="0.35">
      <c r="A51" s="3"/>
      <c r="B51" s="340" t="s">
        <v>1639</v>
      </c>
      <c r="C51" s="340"/>
      <c r="D51" s="45" t="str">
        <f>IF(D49="","",D49-D50)</f>
        <v/>
      </c>
      <c r="E51" s="71" t="s">
        <v>1640</v>
      </c>
      <c r="F51" s="72"/>
      <c r="G51" s="3"/>
      <c r="H51" s="3"/>
      <c r="I51" s="3"/>
      <c r="J51" s="3"/>
      <c r="K51" s="3"/>
      <c r="L51" s="3"/>
      <c r="M51" s="3"/>
      <c r="N51" s="3"/>
      <c r="O51" s="3"/>
      <c r="P51" s="3"/>
      <c r="Q51" s="3"/>
      <c r="R51" s="3"/>
    </row>
    <row r="52" spans="1:18" x14ac:dyDescent="0.35">
      <c r="A52" s="3"/>
      <c r="B52" s="340" t="s">
        <v>1641</v>
      </c>
      <c r="C52" s="340"/>
      <c r="D52" s="47" t="str">
        <f>IF(D51&lt;0,ABS(D51/D50),"NA")</f>
        <v>NA</v>
      </c>
      <c r="E52" s="3"/>
      <c r="F52" s="3"/>
      <c r="G52" s="3"/>
      <c r="H52" s="3"/>
      <c r="I52" s="3"/>
      <c r="J52" s="3"/>
      <c r="K52" s="3"/>
      <c r="L52" s="3"/>
      <c r="M52" s="3"/>
      <c r="N52" s="3"/>
      <c r="O52" s="3"/>
      <c r="P52" s="3"/>
      <c r="Q52" s="3"/>
      <c r="R52" s="3"/>
    </row>
    <row r="53" spans="1:18" x14ac:dyDescent="0.35">
      <c r="A53" s="3"/>
      <c r="B53" s="340" t="str">
        <f>MoePriorYear&amp;" Expenditures:"</f>
        <v>2021-2022 Expenditures:</v>
      </c>
      <c r="C53" s="340"/>
      <c r="D53" s="7" t="str">
        <f>IF(D51&lt;0,VLOOKUP(MoePriorYear,$B$10:$K$19,5,FALSE),"")</f>
        <v/>
      </c>
      <c r="E53" s="3"/>
      <c r="F53" s="3"/>
      <c r="G53" s="3"/>
      <c r="H53" s="3"/>
      <c r="I53" s="3"/>
      <c r="J53" s="3"/>
      <c r="K53" s="3"/>
      <c r="L53" s="3"/>
      <c r="M53" s="3"/>
      <c r="N53" s="3"/>
      <c r="O53" s="3"/>
      <c r="P53" s="3"/>
      <c r="Q53" s="3"/>
      <c r="R53" s="3"/>
    </row>
    <row r="54" spans="1:18" x14ac:dyDescent="0.35">
      <c r="A54" s="3"/>
      <c r="B54" s="340" t="s">
        <v>1642</v>
      </c>
      <c r="C54" s="340"/>
      <c r="D54" s="46">
        <f>IF(D51&lt;0,D52*D53,0)</f>
        <v>0</v>
      </c>
      <c r="E54" s="3"/>
      <c r="F54" s="3"/>
      <c r="G54" s="3"/>
      <c r="H54" s="3"/>
      <c r="I54" s="3"/>
      <c r="J54" s="3"/>
      <c r="K54" s="3"/>
      <c r="L54" s="3"/>
      <c r="M54" s="3"/>
      <c r="N54" s="3"/>
      <c r="O54" s="3"/>
      <c r="P54" s="3"/>
      <c r="Q54" s="3"/>
      <c r="R54" s="3"/>
    </row>
    <row r="55" spans="1:18" ht="7.4" customHeight="1" x14ac:dyDescent="0.35">
      <c r="A55" s="3"/>
      <c r="B55" s="3"/>
      <c r="C55" s="3"/>
      <c r="D55" s="3"/>
      <c r="E55" s="3"/>
      <c r="F55" s="3"/>
      <c r="G55" s="3"/>
      <c r="H55" s="3"/>
      <c r="I55" s="3"/>
      <c r="J55" s="3"/>
      <c r="K55" s="3"/>
      <c r="L55" s="3"/>
      <c r="M55" s="3"/>
      <c r="N55" s="3"/>
      <c r="O55" s="3"/>
      <c r="P55" s="3"/>
      <c r="Q55" s="3"/>
      <c r="R55" s="3"/>
    </row>
    <row r="56" spans="1:18" ht="15" thickBot="1" x14ac:dyDescent="0.4">
      <c r="A56" s="3"/>
      <c r="B56" s="70" t="s">
        <v>1621</v>
      </c>
      <c r="C56" s="70"/>
      <c r="D56" s="70"/>
      <c r="E56" s="70"/>
      <c r="F56" s="70"/>
      <c r="G56" s="70"/>
      <c r="H56" s="3"/>
      <c r="I56" s="3"/>
      <c r="J56" s="3"/>
      <c r="K56" s="3"/>
      <c r="L56" s="3"/>
      <c r="M56" s="3"/>
      <c r="N56" s="3"/>
      <c r="O56" s="3"/>
      <c r="P56" s="3"/>
      <c r="Q56" s="3"/>
      <c r="R56" s="3"/>
    </row>
    <row r="57" spans="1:18" ht="51" customHeight="1" x14ac:dyDescent="0.35">
      <c r="A57" s="3"/>
      <c r="B57" s="332" t="s">
        <v>1643</v>
      </c>
      <c r="C57" s="332"/>
      <c r="D57" s="332"/>
      <c r="E57" s="332"/>
      <c r="F57" s="332"/>
      <c r="G57" s="332"/>
      <c r="H57" s="3"/>
      <c r="I57" s="3"/>
      <c r="J57" s="3"/>
      <c r="K57" s="3"/>
      <c r="L57" s="3"/>
      <c r="M57" s="3"/>
      <c r="N57" s="3"/>
      <c r="O57" s="3"/>
      <c r="P57" s="3"/>
      <c r="Q57" s="3"/>
      <c r="R57" s="3"/>
    </row>
    <row r="58" spans="1:18" ht="15" customHeight="1" x14ac:dyDescent="0.35">
      <c r="A58" s="158"/>
      <c r="B58" s="346" t="s">
        <v>1644</v>
      </c>
      <c r="C58" s="346"/>
      <c r="D58" s="346" t="s">
        <v>1616</v>
      </c>
      <c r="E58" s="346"/>
      <c r="F58" s="346"/>
      <c r="G58" s="172" t="s">
        <v>1645</v>
      </c>
      <c r="H58" s="3"/>
      <c r="I58" s="3"/>
      <c r="J58" s="3"/>
      <c r="K58" s="3"/>
      <c r="L58" s="3"/>
      <c r="M58" s="3"/>
      <c r="N58" s="3"/>
      <c r="O58" s="3"/>
      <c r="P58" s="3"/>
      <c r="Q58" s="3"/>
      <c r="R58" s="3"/>
    </row>
    <row r="59" spans="1:18" x14ac:dyDescent="0.35">
      <c r="A59" s="158"/>
      <c r="B59" s="315"/>
      <c r="C59" s="315"/>
      <c r="D59" s="315"/>
      <c r="E59" s="315"/>
      <c r="F59" s="315"/>
      <c r="G59" s="61"/>
      <c r="H59" s="3"/>
      <c r="I59" s="3"/>
      <c r="J59" s="3"/>
      <c r="K59" s="3"/>
      <c r="L59" s="3"/>
      <c r="M59" s="3"/>
      <c r="N59" s="3"/>
      <c r="O59" s="3"/>
      <c r="P59" s="3"/>
      <c r="Q59" s="3"/>
      <c r="R59" s="3"/>
    </row>
    <row r="60" spans="1:18" x14ac:dyDescent="0.35">
      <c r="A60" s="158"/>
      <c r="B60" s="315"/>
      <c r="C60" s="315"/>
      <c r="D60" s="315"/>
      <c r="E60" s="315"/>
      <c r="F60" s="315"/>
      <c r="G60" s="61"/>
      <c r="H60" s="3"/>
      <c r="I60" s="3"/>
      <c r="J60" s="3"/>
      <c r="K60" s="3"/>
      <c r="L60" s="3"/>
      <c r="M60" s="3"/>
      <c r="N60" s="3"/>
      <c r="O60" s="3"/>
      <c r="P60" s="3"/>
      <c r="Q60" s="3"/>
      <c r="R60" s="3"/>
    </row>
    <row r="61" spans="1:18" x14ac:dyDescent="0.35">
      <c r="A61" s="158"/>
      <c r="B61" s="315"/>
      <c r="C61" s="315"/>
      <c r="D61" s="315"/>
      <c r="E61" s="315"/>
      <c r="F61" s="315"/>
      <c r="G61" s="61"/>
      <c r="H61" s="3"/>
      <c r="I61" s="3"/>
      <c r="J61" s="3"/>
      <c r="K61" s="3"/>
      <c r="L61" s="3"/>
      <c r="M61" s="3"/>
      <c r="N61" s="3"/>
      <c r="O61" s="3"/>
      <c r="P61" s="3"/>
      <c r="Q61" s="3"/>
      <c r="R61" s="3"/>
    </row>
    <row r="62" spans="1:18" x14ac:dyDescent="0.35">
      <c r="A62" s="158"/>
      <c r="B62" s="315"/>
      <c r="C62" s="315"/>
      <c r="D62" s="315"/>
      <c r="E62" s="315"/>
      <c r="F62" s="315"/>
      <c r="G62" s="61"/>
      <c r="H62" s="3"/>
      <c r="I62" s="3"/>
      <c r="J62" s="3"/>
      <c r="K62" s="3"/>
      <c r="L62" s="3"/>
      <c r="M62" s="3"/>
      <c r="N62" s="3"/>
      <c r="O62" s="3"/>
      <c r="P62" s="3"/>
      <c r="Q62" s="3"/>
      <c r="R62" s="3"/>
    </row>
    <row r="63" spans="1:18" x14ac:dyDescent="0.35">
      <c r="A63" s="158"/>
      <c r="B63" s="315"/>
      <c r="C63" s="315"/>
      <c r="D63" s="315"/>
      <c r="E63" s="315"/>
      <c r="F63" s="315"/>
      <c r="G63" s="61"/>
      <c r="H63" s="3"/>
      <c r="I63" s="3"/>
      <c r="J63" s="3"/>
      <c r="K63" s="3"/>
      <c r="L63" s="3"/>
      <c r="M63" s="3"/>
      <c r="N63" s="3"/>
      <c r="O63" s="3"/>
      <c r="P63" s="3"/>
      <c r="Q63" s="3"/>
      <c r="R63" s="3"/>
    </row>
    <row r="64" spans="1:18" x14ac:dyDescent="0.35">
      <c r="A64" s="158"/>
      <c r="B64" s="158"/>
      <c r="C64" s="158"/>
      <c r="D64" s="158"/>
      <c r="E64" s="158"/>
      <c r="F64" s="177" t="s">
        <v>1646</v>
      </c>
      <c r="G64" s="173">
        <f>SUM(G59:G63)</f>
        <v>0</v>
      </c>
      <c r="H64" s="3"/>
      <c r="I64" s="3"/>
      <c r="J64" s="3"/>
      <c r="K64" s="3"/>
      <c r="L64" s="3"/>
      <c r="M64" s="3"/>
      <c r="N64" s="3"/>
      <c r="O64" s="3"/>
      <c r="P64" s="3"/>
      <c r="Q64" s="3"/>
      <c r="R64" s="3"/>
    </row>
    <row r="65" spans="1:18" ht="7.4" customHeight="1" x14ac:dyDescent="0.35">
      <c r="A65" s="158"/>
      <c r="B65" s="158"/>
      <c r="C65" s="158"/>
      <c r="D65" s="158"/>
      <c r="E65" s="158"/>
      <c r="F65" s="158"/>
      <c r="G65" s="158"/>
      <c r="H65" s="3"/>
      <c r="I65" s="3"/>
      <c r="J65" s="3"/>
      <c r="K65" s="3"/>
      <c r="L65" s="3"/>
      <c r="M65" s="3"/>
      <c r="N65" s="3"/>
      <c r="O65" s="3"/>
      <c r="P65" s="3"/>
      <c r="Q65" s="3"/>
      <c r="R65" s="3"/>
    </row>
    <row r="66" spans="1:18" ht="15" thickBot="1" x14ac:dyDescent="0.4">
      <c r="A66" s="158"/>
      <c r="B66" s="178" t="s">
        <v>1622</v>
      </c>
      <c r="C66" s="178"/>
      <c r="D66" s="178"/>
      <c r="E66" s="178"/>
      <c r="F66" s="178"/>
      <c r="G66" s="178"/>
      <c r="H66" s="3"/>
      <c r="I66" s="3"/>
      <c r="J66" s="3"/>
      <c r="K66" s="3"/>
      <c r="L66" s="3"/>
      <c r="M66" s="3"/>
      <c r="N66" s="3"/>
      <c r="O66" s="3"/>
      <c r="P66" s="3"/>
      <c r="Q66" s="3"/>
      <c r="R66" s="3"/>
    </row>
    <row r="67" spans="1:18" ht="28.9" customHeight="1" x14ac:dyDescent="0.35">
      <c r="A67" s="158"/>
      <c r="B67" s="347" t="s">
        <v>1647</v>
      </c>
      <c r="C67" s="347"/>
      <c r="D67" s="347"/>
      <c r="E67" s="347"/>
      <c r="F67" s="347"/>
      <c r="G67" s="347"/>
      <c r="H67" s="3"/>
      <c r="I67" s="3"/>
      <c r="J67" s="3"/>
      <c r="K67" s="3"/>
      <c r="L67" s="3"/>
      <c r="M67" s="3"/>
      <c r="N67" s="3"/>
      <c r="O67" s="3"/>
      <c r="P67" s="3"/>
      <c r="Q67" s="3"/>
      <c r="R67" s="3"/>
    </row>
    <row r="68" spans="1:18" x14ac:dyDescent="0.35">
      <c r="A68" s="158"/>
      <c r="B68" s="341" t="s">
        <v>1648</v>
      </c>
      <c r="C68" s="341"/>
      <c r="D68" s="341"/>
      <c r="E68" s="341"/>
      <c r="F68" s="341"/>
      <c r="G68" s="172" t="s">
        <v>1645</v>
      </c>
      <c r="H68" s="3"/>
      <c r="I68" s="3"/>
      <c r="J68" s="3"/>
      <c r="K68" s="3"/>
      <c r="L68" s="3"/>
      <c r="M68" s="3"/>
      <c r="N68" s="3"/>
      <c r="O68" s="3"/>
      <c r="P68" s="3"/>
      <c r="Q68" s="3"/>
      <c r="R68" s="3"/>
    </row>
    <row r="69" spans="1:18" x14ac:dyDescent="0.35">
      <c r="A69" s="158"/>
      <c r="B69" s="315"/>
      <c r="C69" s="315"/>
      <c r="D69" s="315"/>
      <c r="E69" s="315"/>
      <c r="F69" s="315"/>
      <c r="G69" s="61"/>
      <c r="H69" s="3"/>
      <c r="I69" s="3"/>
      <c r="J69" s="3"/>
      <c r="K69" s="3"/>
      <c r="L69" s="3"/>
      <c r="M69" s="3"/>
      <c r="N69" s="3"/>
      <c r="O69" s="3"/>
      <c r="P69" s="3"/>
      <c r="Q69" s="3"/>
      <c r="R69" s="3"/>
    </row>
    <row r="70" spans="1:18" x14ac:dyDescent="0.35">
      <c r="A70" s="158"/>
      <c r="B70" s="315"/>
      <c r="C70" s="315"/>
      <c r="D70" s="315"/>
      <c r="E70" s="315"/>
      <c r="F70" s="315"/>
      <c r="G70" s="61"/>
      <c r="H70" s="3"/>
      <c r="I70" s="3"/>
      <c r="J70" s="3"/>
      <c r="K70" s="3"/>
      <c r="L70" s="3"/>
      <c r="M70" s="3"/>
      <c r="N70" s="3"/>
      <c r="O70" s="3"/>
      <c r="P70" s="3"/>
      <c r="Q70" s="3"/>
      <c r="R70" s="3"/>
    </row>
    <row r="71" spans="1:18" x14ac:dyDescent="0.35">
      <c r="A71" s="158"/>
      <c r="B71" s="315"/>
      <c r="C71" s="315"/>
      <c r="D71" s="315"/>
      <c r="E71" s="315"/>
      <c r="F71" s="315"/>
      <c r="G71" s="61"/>
      <c r="H71" s="3"/>
      <c r="I71" s="3"/>
      <c r="J71" s="3"/>
      <c r="K71" s="3"/>
      <c r="L71" s="3"/>
      <c r="M71" s="3"/>
      <c r="N71" s="3"/>
      <c r="O71" s="3"/>
      <c r="P71" s="3"/>
      <c r="Q71" s="3"/>
      <c r="R71" s="3"/>
    </row>
    <row r="72" spans="1:18" x14ac:dyDescent="0.35">
      <c r="A72" s="158"/>
      <c r="B72" s="315"/>
      <c r="C72" s="315"/>
      <c r="D72" s="315"/>
      <c r="E72" s="315"/>
      <c r="F72" s="315"/>
      <c r="G72" s="61"/>
      <c r="H72" s="3"/>
      <c r="I72" s="3"/>
      <c r="J72" s="3"/>
      <c r="K72" s="3"/>
      <c r="L72" s="3"/>
      <c r="M72" s="3"/>
      <c r="N72" s="3"/>
      <c r="O72" s="3"/>
      <c r="P72" s="3"/>
      <c r="Q72" s="3"/>
      <c r="R72" s="3"/>
    </row>
    <row r="73" spans="1:18" x14ac:dyDescent="0.35">
      <c r="A73" s="158"/>
      <c r="B73" s="315"/>
      <c r="C73" s="315"/>
      <c r="D73" s="315"/>
      <c r="E73" s="315"/>
      <c r="F73" s="315"/>
      <c r="G73" s="61"/>
      <c r="H73" s="3"/>
      <c r="I73" s="3"/>
      <c r="J73" s="3"/>
      <c r="K73" s="3"/>
      <c r="L73" s="3"/>
      <c r="M73" s="3"/>
      <c r="N73" s="3"/>
      <c r="O73" s="3"/>
      <c r="P73" s="3"/>
      <c r="Q73" s="3"/>
      <c r="R73" s="3"/>
    </row>
    <row r="74" spans="1:18" x14ac:dyDescent="0.35">
      <c r="A74" s="158"/>
      <c r="B74" s="158"/>
      <c r="C74" s="158"/>
      <c r="D74" s="158"/>
      <c r="E74" s="179"/>
      <c r="F74" s="174" t="s">
        <v>1646</v>
      </c>
      <c r="G74" s="173">
        <f>SUM(G69:G73)</f>
        <v>0</v>
      </c>
      <c r="H74" s="3"/>
      <c r="I74" s="3"/>
      <c r="J74" s="3"/>
      <c r="K74" s="3"/>
      <c r="L74" s="3"/>
      <c r="M74" s="3"/>
      <c r="N74" s="3"/>
      <c r="O74" s="3"/>
      <c r="P74" s="3"/>
      <c r="Q74" s="3"/>
      <c r="R74" s="3"/>
    </row>
    <row r="75" spans="1:18" ht="7.4" customHeight="1" x14ac:dyDescent="0.35">
      <c r="A75" s="158"/>
      <c r="B75" s="158"/>
      <c r="C75" s="158"/>
      <c r="D75" s="158"/>
      <c r="E75" s="158"/>
      <c r="F75" s="158"/>
      <c r="G75" s="158"/>
      <c r="H75" s="3"/>
      <c r="I75" s="3"/>
      <c r="J75" s="3"/>
      <c r="K75" s="3"/>
      <c r="L75" s="3"/>
      <c r="M75" s="3"/>
      <c r="N75" s="3"/>
      <c r="O75" s="3"/>
      <c r="P75" s="3"/>
      <c r="Q75" s="3"/>
      <c r="R75" s="3"/>
    </row>
    <row r="76" spans="1:18" ht="15" thickBot="1" x14ac:dyDescent="0.4">
      <c r="A76" s="3"/>
      <c r="B76" s="70" t="s">
        <v>1649</v>
      </c>
      <c r="C76" s="70"/>
      <c r="D76" s="70"/>
      <c r="E76" s="70"/>
      <c r="F76" s="70"/>
      <c r="G76" s="70"/>
      <c r="H76" s="3"/>
      <c r="I76" s="3"/>
      <c r="J76" s="3"/>
      <c r="K76" s="3"/>
      <c r="L76" s="3"/>
      <c r="M76" s="3"/>
      <c r="N76" s="3"/>
      <c r="O76" s="3"/>
      <c r="P76" s="3"/>
      <c r="Q76" s="3"/>
      <c r="R76" s="3"/>
    </row>
    <row r="77" spans="1:18" ht="30" customHeight="1" x14ac:dyDescent="0.35">
      <c r="A77" s="3"/>
      <c r="B77" s="332" t="s">
        <v>1650</v>
      </c>
      <c r="C77" s="332"/>
      <c r="D77" s="332"/>
      <c r="E77" s="332"/>
      <c r="F77" s="332"/>
      <c r="G77" s="332"/>
      <c r="H77" s="3"/>
      <c r="I77" s="3"/>
      <c r="J77" s="3"/>
      <c r="K77" s="3"/>
      <c r="L77" s="3"/>
      <c r="M77" s="3"/>
      <c r="N77" s="3"/>
      <c r="O77" s="3"/>
      <c r="P77" s="3"/>
      <c r="Q77" s="3"/>
      <c r="R77" s="3"/>
    </row>
    <row r="78" spans="1:18" ht="32.5" customHeight="1" x14ac:dyDescent="0.35">
      <c r="A78" s="3"/>
      <c r="B78" s="332" t="s">
        <v>1651</v>
      </c>
      <c r="C78" s="332"/>
      <c r="D78" s="332"/>
      <c r="E78" s="332"/>
      <c r="F78" s="332"/>
      <c r="G78" s="332"/>
      <c r="H78" s="3"/>
      <c r="I78" s="3"/>
      <c r="J78" s="3"/>
      <c r="K78" s="3"/>
      <c r="L78" s="3"/>
      <c r="M78" s="3"/>
      <c r="N78" s="3"/>
      <c r="O78" s="3"/>
      <c r="P78" s="3"/>
      <c r="Q78" s="3"/>
      <c r="R78" s="3"/>
    </row>
    <row r="79" spans="1:18" ht="7.4" customHeight="1" x14ac:dyDescent="0.35">
      <c r="A79" s="3"/>
      <c r="B79" s="3"/>
      <c r="C79" s="3"/>
      <c r="D79" s="3"/>
      <c r="E79" s="3"/>
      <c r="F79" s="3"/>
      <c r="G79" s="3"/>
      <c r="H79" s="3"/>
      <c r="I79" s="3"/>
      <c r="J79" s="3"/>
      <c r="K79" s="3"/>
      <c r="L79" s="3"/>
      <c r="M79" s="3"/>
      <c r="N79" s="3"/>
      <c r="O79" s="3"/>
      <c r="P79" s="3"/>
      <c r="Q79" s="3"/>
      <c r="R79" s="3"/>
    </row>
    <row r="80" spans="1:18" x14ac:dyDescent="0.35">
      <c r="A80" s="3"/>
      <c r="B80" s="3"/>
      <c r="C80" s="3"/>
      <c r="D80" s="3"/>
      <c r="E80" s="3"/>
      <c r="F80" s="3"/>
      <c r="G80" s="3"/>
      <c r="H80" s="3"/>
      <c r="I80" s="3"/>
      <c r="J80" s="3"/>
      <c r="K80" s="3"/>
      <c r="L80" s="3"/>
      <c r="M80" s="3"/>
      <c r="N80" s="3"/>
      <c r="O80" s="3"/>
      <c r="P80" s="3"/>
      <c r="Q80" s="3"/>
      <c r="R80" s="3"/>
    </row>
    <row r="81" spans="1:18" hidden="1" x14ac:dyDescent="0.35">
      <c r="A81" s="3"/>
      <c r="B81" s="3"/>
      <c r="C81" s="3"/>
      <c r="D81" s="3"/>
      <c r="E81" s="3"/>
      <c r="F81" s="3"/>
      <c r="G81" s="3"/>
      <c r="H81" s="3"/>
      <c r="I81" s="3"/>
      <c r="J81" s="3"/>
      <c r="K81" s="3"/>
      <c r="L81" s="3"/>
      <c r="M81" s="3"/>
      <c r="N81" s="3"/>
      <c r="O81" s="3"/>
      <c r="P81" s="3"/>
      <c r="Q81" s="3"/>
      <c r="R81" s="3"/>
    </row>
    <row r="82" spans="1:18" hidden="1" x14ac:dyDescent="0.35">
      <c r="A82" s="3"/>
      <c r="B82" s="3"/>
      <c r="C82" s="3"/>
      <c r="D82" s="3"/>
      <c r="E82" s="3"/>
      <c r="F82" s="3"/>
      <c r="G82" s="3"/>
      <c r="H82" s="3"/>
      <c r="I82" s="3"/>
      <c r="J82" s="3"/>
      <c r="K82" s="3"/>
      <c r="L82" s="3"/>
      <c r="M82" s="3"/>
      <c r="N82" s="3"/>
      <c r="O82" s="3"/>
      <c r="P82" s="3"/>
      <c r="Q82" s="3"/>
      <c r="R82" s="3"/>
    </row>
    <row r="83" spans="1:18" hidden="1" x14ac:dyDescent="0.35">
      <c r="A83" s="3"/>
      <c r="B83" s="3"/>
      <c r="C83" s="3"/>
      <c r="D83" s="3"/>
      <c r="E83" s="3"/>
      <c r="F83" s="3"/>
      <c r="G83" s="3"/>
      <c r="H83" s="3"/>
      <c r="I83" s="3"/>
      <c r="J83" s="3"/>
      <c r="K83" s="3"/>
      <c r="L83" s="3"/>
      <c r="M83" s="3"/>
      <c r="N83" s="3"/>
      <c r="O83" s="3"/>
      <c r="P83" s="3"/>
      <c r="Q83" s="3"/>
      <c r="R83" s="3"/>
    </row>
    <row r="89" spans="1:18" s="3" customFormat="1" x14ac:dyDescent="0.35"/>
    <row r="90" spans="1:18" s="3" customFormat="1" x14ac:dyDescent="0.35"/>
  </sheetData>
  <sheetProtection algorithmName="SHA-512" hashValue="hgoF3xwGDhpoc3riUfN6/vyuDYQlQ6POAnFtn/cBPHk07Lu+1Em8XTRiKMDG+YIUwxYOsOzs6Hil9auyCHAs+A==" saltValue="OtTj1rJvJHvjR9O4Q6bzwg==" spinCount="100000" sheet="1" objects="1" scenarios="1"/>
  <mergeCells count="42">
    <mergeCell ref="B77:G77"/>
    <mergeCell ref="B78:G78"/>
    <mergeCell ref="D58:F58"/>
    <mergeCell ref="D59:F59"/>
    <mergeCell ref="D60:F60"/>
    <mergeCell ref="D61:F61"/>
    <mergeCell ref="D62:F62"/>
    <mergeCell ref="B67:G67"/>
    <mergeCell ref="D63:F63"/>
    <mergeCell ref="B58:C58"/>
    <mergeCell ref="B59:C59"/>
    <mergeCell ref="B60:C60"/>
    <mergeCell ref="B61:C61"/>
    <mergeCell ref="B62:C62"/>
    <mergeCell ref="B63:C63"/>
    <mergeCell ref="B2:Q2"/>
    <mergeCell ref="B4:Q4"/>
    <mergeCell ref="B68:F68"/>
    <mergeCell ref="B69:F69"/>
    <mergeCell ref="B70:F70"/>
    <mergeCell ref="C32:D32"/>
    <mergeCell ref="B53:C53"/>
    <mergeCell ref="B54:C54"/>
    <mergeCell ref="B25:G25"/>
    <mergeCell ref="B46:G46"/>
    <mergeCell ref="B57:G57"/>
    <mergeCell ref="C27:D27"/>
    <mergeCell ref="C28:D28"/>
    <mergeCell ref="C29:D29"/>
    <mergeCell ref="C30:D30"/>
    <mergeCell ref="C31:D31"/>
    <mergeCell ref="B6:Q6"/>
    <mergeCell ref="B73:F73"/>
    <mergeCell ref="B22:G22"/>
    <mergeCell ref="I22:Q22"/>
    <mergeCell ref="B71:F71"/>
    <mergeCell ref="B72:F72"/>
    <mergeCell ref="B48:C48"/>
    <mergeCell ref="B49:C49"/>
    <mergeCell ref="B50:C50"/>
    <mergeCell ref="B51:C51"/>
    <mergeCell ref="B52:C52"/>
  </mergeCells>
  <conditionalFormatting sqref="C14:C19">
    <cfRule type="cellIs" dxfId="75" priority="20" operator="lessThan">
      <formula>6</formula>
    </cfRule>
  </conditionalFormatting>
  <conditionalFormatting sqref="D49:D54">
    <cfRule type="expression" dxfId="74" priority="18">
      <formula>$C$18&lt;6</formula>
    </cfRule>
  </conditionalFormatting>
  <conditionalFormatting sqref="D50:D54">
    <cfRule type="expression" dxfId="73" priority="15">
      <formula>$D$50&lt;6</formula>
    </cfRule>
  </conditionalFormatting>
  <conditionalFormatting sqref="H10:H19 M10:M19">
    <cfRule type="cellIs" dxfId="72" priority="35" operator="notEqual">
      <formula>"Did not Meet"</formula>
    </cfRule>
    <cfRule type="cellIs" dxfId="71" priority="36" operator="equal">
      <formula>"Did not Meet"</formula>
    </cfRule>
  </conditionalFormatting>
  <conditionalFormatting sqref="H10:H19">
    <cfRule type="containsBlanks" dxfId="70" priority="22">
      <formula>LEN(TRIM(H10))=0</formula>
    </cfRule>
  </conditionalFormatting>
  <conditionalFormatting sqref="H18:H19">
    <cfRule type="containsText" dxfId="69" priority="3" operator="containsText" text="Not Met">
      <formula>NOT(ISERROR(SEARCH("Not Met",H18)))</formula>
    </cfRule>
  </conditionalFormatting>
  <conditionalFormatting sqref="I14:L19">
    <cfRule type="expression" dxfId="68" priority="19">
      <formula>$C14&lt;6</formula>
    </cfRule>
  </conditionalFormatting>
  <conditionalFormatting sqref="L38">
    <cfRule type="cellIs" dxfId="67" priority="32" operator="equal">
      <formula>"Did Not Meet"</formula>
    </cfRule>
    <cfRule type="cellIs" dxfId="66" priority="34" operator="equal">
      <formula>"Met"</formula>
    </cfRule>
    <cfRule type="containsBlanks" dxfId="65" priority="37">
      <formula>LEN(TRIM(L38))=0</formula>
    </cfRule>
  </conditionalFormatting>
  <conditionalFormatting sqref="L42">
    <cfRule type="cellIs" dxfId="64" priority="29" operator="equal">
      <formula>"Did Not Meet"</formula>
    </cfRule>
    <cfRule type="cellIs" dxfId="63" priority="31" operator="equal">
      <formula>"Met"</formula>
    </cfRule>
    <cfRule type="containsBlanks" dxfId="62" priority="38">
      <formula>LEN(TRIM(L42))=0</formula>
    </cfRule>
  </conditionalFormatting>
  <conditionalFormatting sqref="M10:M19">
    <cfRule type="containsBlanks" dxfId="61" priority="2">
      <formula>LEN(TRIM(M10))=0</formula>
    </cfRule>
  </conditionalFormatting>
  <conditionalFormatting sqref="M18">
    <cfRule type="containsText" dxfId="60" priority="1" operator="containsText" text="Not Met">
      <formula>NOT(ISERROR(SEARCH("Not Met",M18)))</formula>
    </cfRule>
  </conditionalFormatting>
  <conditionalFormatting sqref="O36:O43">
    <cfRule type="expression" dxfId="59" priority="17">
      <formula>$C$18&lt;6</formula>
    </cfRule>
  </conditionalFormatting>
  <conditionalFormatting sqref="O37:O43">
    <cfRule type="expression" dxfId="58" priority="16">
      <formula>$O$37&lt;6</formula>
    </cfRule>
  </conditionalFormatting>
  <conditionalFormatting sqref="P39">
    <cfRule type="cellIs" dxfId="57" priority="26" operator="equal">
      <formula>"Did Not Meet"</formula>
    </cfRule>
    <cfRule type="cellIs" dxfId="56" priority="27" operator="equal">
      <formula>"Met"</formula>
    </cfRule>
    <cfRule type="containsBlanks" dxfId="55" priority="28">
      <formula>LEN(TRIM(P39))=0</formula>
    </cfRule>
  </conditionalFormatting>
  <conditionalFormatting sqref="P43">
    <cfRule type="cellIs" dxfId="54" priority="23" operator="equal">
      <formula>"Did Not Meet"</formula>
    </cfRule>
    <cfRule type="cellIs" dxfId="53" priority="24" operator="equal">
      <formula>"Met"</formula>
    </cfRule>
    <cfRule type="containsBlanks" dxfId="52" priority="25">
      <formula>LEN(TRIM(P43))=0</formula>
    </cfRule>
  </conditionalFormatting>
  <hyperlinks>
    <hyperlink ref="B22:G22" r:id="rId1" display="Please use this linked form, and the tables below to enter in any allowed exceptions for your maintenance of effort. If the table above shows your LEA is not meeting either by State and Local Total or by State and Local Per Capita, then we suggest searching for and entering in exceptions below. Note: If the LEA enters any exceptions for Exception (a), (c), or (d), the LEA must also submit documentation for those exceptions. Please reach out to the IDEA Fiscal Team for details on the documentation necessary." xr:uid="{D94A1DB0-7313-42AD-BD51-33995A769276}"/>
  </hyperlinks>
  <pageMargins left="0.25" right="0.25" top="0.75" bottom="0.75" header="0.3" footer="0.3"/>
  <pageSetup paperSize="3" scale="85" pageOrder="overThenDown" orientation="landscape" horizontalDpi="1200" verticalDpi="1200" r:id="rId2"/>
  <rowBreaks count="2" manualBreakCount="2">
    <brk id="20" max="16383" man="1"/>
    <brk id="65"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N102"/>
  <sheetViews>
    <sheetView showGridLines="0" workbookViewId="0">
      <selection activeCell="B21" sqref="B21:K22"/>
    </sheetView>
  </sheetViews>
  <sheetFormatPr defaultColWidth="0" defaultRowHeight="14.5" zeroHeight="1" x14ac:dyDescent="0.35"/>
  <cols>
    <col min="1" max="1" width="3.26953125" customWidth="1"/>
    <col min="2" max="2" width="22.453125" customWidth="1"/>
    <col min="3" max="3" width="42.1796875" customWidth="1"/>
    <col min="4" max="4" width="23.81640625" customWidth="1"/>
    <col min="5" max="5" width="20.453125" bestFit="1" customWidth="1"/>
    <col min="6" max="6" width="3.26953125" customWidth="1"/>
    <col min="7" max="7" width="23.81640625" customWidth="1"/>
    <col min="8" max="8" width="13.453125" customWidth="1"/>
    <col min="9" max="10" width="13" customWidth="1"/>
    <col min="11" max="13" width="9.1796875" customWidth="1"/>
    <col min="14" max="14" width="3.26953125" customWidth="1"/>
    <col min="15" max="16384" width="9.1796875" hidden="1"/>
  </cols>
  <sheetData>
    <row r="1" spans="1:14" ht="20" thickBot="1" x14ac:dyDescent="0.5">
      <c r="A1" s="3"/>
      <c r="B1" s="2" t="s">
        <v>1652</v>
      </c>
      <c r="C1" s="2"/>
      <c r="D1" s="2"/>
      <c r="E1" s="2"/>
      <c r="F1" s="2"/>
      <c r="G1" s="2"/>
      <c r="H1" s="17" t="s">
        <v>1587</v>
      </c>
      <c r="I1" s="18" t="str">
        <f>CurrSchlYr</f>
        <v>2024-2025</v>
      </c>
      <c r="J1" s="18"/>
      <c r="K1" s="2"/>
      <c r="L1" s="2"/>
      <c r="M1" s="2"/>
      <c r="N1" s="3"/>
    </row>
    <row r="2" spans="1:14" ht="16" thickTop="1" x14ac:dyDescent="0.35">
      <c r="A2" s="3"/>
      <c r="B2" s="20" t="s">
        <v>1653</v>
      </c>
      <c r="C2" s="16"/>
      <c r="D2" s="16"/>
      <c r="E2" s="16"/>
      <c r="F2" s="16"/>
      <c r="G2" s="16"/>
      <c r="H2" s="16"/>
      <c r="I2" s="16"/>
      <c r="J2" s="16"/>
      <c r="K2" s="16"/>
      <c r="L2" s="16"/>
      <c r="M2" s="16"/>
      <c r="N2" s="3"/>
    </row>
    <row r="3" spans="1:14" x14ac:dyDescent="0.35">
      <c r="A3" s="3"/>
      <c r="C3" s="3"/>
      <c r="D3" s="8"/>
      <c r="E3" s="8"/>
      <c r="F3" s="3"/>
      <c r="G3" s="3"/>
      <c r="H3" s="3"/>
      <c r="I3" s="3"/>
      <c r="J3" s="3"/>
      <c r="K3" s="3"/>
      <c r="L3" s="3"/>
      <c r="M3" s="3"/>
      <c r="N3" s="3"/>
    </row>
    <row r="4" spans="1:14" x14ac:dyDescent="0.35">
      <c r="A4" s="3"/>
      <c r="C4" s="348" t="s">
        <v>2030</v>
      </c>
      <c r="D4" s="348"/>
      <c r="E4" s="348"/>
      <c r="F4" s="348"/>
      <c r="G4" s="348"/>
      <c r="H4" s="348"/>
      <c r="I4" s="348"/>
      <c r="J4" s="253"/>
      <c r="K4" s="3"/>
      <c r="L4" s="3"/>
      <c r="M4" s="3"/>
      <c r="N4" s="3"/>
    </row>
    <row r="5" spans="1:14" ht="15.65" customHeight="1" x14ac:dyDescent="0.35">
      <c r="A5" s="3"/>
      <c r="B5" s="3"/>
      <c r="C5" s="3"/>
      <c r="D5" s="99" t="s">
        <v>1972</v>
      </c>
      <c r="E5" s="24" t="s">
        <v>1654</v>
      </c>
      <c r="G5" s="8" t="s">
        <v>1655</v>
      </c>
      <c r="H5" s="24" t="s">
        <v>1654</v>
      </c>
      <c r="I5" s="240"/>
      <c r="J5" s="240"/>
      <c r="K5" s="376" t="s">
        <v>3095</v>
      </c>
      <c r="L5" s="377"/>
      <c r="M5" s="378"/>
      <c r="N5" s="3"/>
    </row>
    <row r="6" spans="1:14" ht="14.5" customHeight="1" x14ac:dyDescent="0.35">
      <c r="A6" s="3"/>
      <c r="B6" s="3"/>
      <c r="C6" s="38" t="s">
        <v>7</v>
      </c>
      <c r="D6" s="74" t="str">
        <f>_xlfn.IFNA(VLOOKUP(E6,MOE!$B$10:$M$19,3,FALSE),"")</f>
        <v/>
      </c>
      <c r="E6" s="45" t="str">
        <f>IF(LeaName="","",IFERROR(LOOKUP(2,1/(MOE!$H$10:$H$19&lt;&gt;"Did Not Meet"),MOE!$B$10:$B$19),""))</f>
        <v/>
      </c>
      <c r="F6" s="3"/>
      <c r="G6" s="74" t="str">
        <f>_xlfn.IFNA(VLOOKUP(H6,MOE!$B$10:$M$19,8,FALSE),"")</f>
        <v/>
      </c>
      <c r="H6" s="45" t="str">
        <f>IF(LeaName="","",IFERROR(LOOKUP(2,1/(MOE!$M$10:$M$19&lt;&gt;"Did Not Meet"),MOE!$B$10:$B$19),""))</f>
        <v/>
      </c>
      <c r="I6" s="240"/>
      <c r="J6" s="240"/>
      <c r="K6" s="367" t="s">
        <v>3094</v>
      </c>
      <c r="L6" s="368"/>
      <c r="M6" s="369"/>
      <c r="N6" s="3"/>
    </row>
    <row r="7" spans="1:14" ht="14.5" customHeight="1" x14ac:dyDescent="0.35">
      <c r="A7" s="3"/>
      <c r="B7" s="3"/>
      <c r="C7" s="38" t="s">
        <v>248</v>
      </c>
      <c r="D7" s="74" t="str">
        <f>_xlfn.IFNA(VLOOKUP(E6,MOE!$B$10:$M$19,4,FALSE),"")</f>
        <v/>
      </c>
      <c r="F7" s="3"/>
      <c r="G7" s="74" t="str">
        <f>_xlfn.IFNA(VLOOKUP(H6,MOE!$B$10:$M$19,9,FALSE),"")</f>
        <v/>
      </c>
      <c r="H7" s="3"/>
      <c r="I7" s="240"/>
      <c r="J7" s="240"/>
      <c r="K7" s="370"/>
      <c r="L7" s="371"/>
      <c r="M7" s="372"/>
      <c r="N7" s="3"/>
    </row>
    <row r="8" spans="1:14" ht="14.5" customHeight="1" x14ac:dyDescent="0.35">
      <c r="A8" s="3"/>
      <c r="B8" s="363" t="s">
        <v>3071</v>
      </c>
      <c r="C8" s="38" t="s">
        <v>3109</v>
      </c>
      <c r="D8" s="140">
        <f>SUM(D6:D7)</f>
        <v>0</v>
      </c>
      <c r="E8" s="3"/>
      <c r="G8" s="140">
        <f>SUM(G6:G7)</f>
        <v>0</v>
      </c>
      <c r="I8" s="240"/>
      <c r="J8" s="240"/>
      <c r="K8" s="370"/>
      <c r="L8" s="371"/>
      <c r="M8" s="372"/>
      <c r="N8" s="3"/>
    </row>
    <row r="9" spans="1:14" ht="14.5" customHeight="1" x14ac:dyDescent="0.35">
      <c r="A9" s="3"/>
      <c r="B9" s="363"/>
      <c r="C9" s="3"/>
      <c r="D9" s="3"/>
      <c r="E9" s="3"/>
      <c r="F9" s="3"/>
      <c r="G9" s="3"/>
      <c r="H9" s="3"/>
      <c r="I9" s="240"/>
      <c r="J9" s="240"/>
      <c r="K9" s="370"/>
      <c r="L9" s="371"/>
      <c r="M9" s="372"/>
      <c r="N9" s="3"/>
    </row>
    <row r="10" spans="1:14" ht="16" customHeight="1" x14ac:dyDescent="0.35">
      <c r="A10" s="3"/>
      <c r="B10" s="363"/>
      <c r="C10" s="139" t="s">
        <v>3020</v>
      </c>
      <c r="D10" s="157"/>
      <c r="E10" s="180"/>
      <c r="F10" s="3"/>
      <c r="G10" s="140" t="str">
        <f>IFERROR(D10/MOE!C19,"-")</f>
        <v>-</v>
      </c>
      <c r="H10" s="3"/>
      <c r="I10" s="240"/>
      <c r="J10" s="240"/>
      <c r="K10" s="370"/>
      <c r="L10" s="371"/>
      <c r="M10" s="372"/>
      <c r="N10" s="3"/>
    </row>
    <row r="11" spans="1:14" ht="16" customHeight="1" x14ac:dyDescent="0.35">
      <c r="A11" s="3"/>
      <c r="B11" s="363"/>
      <c r="C11" s="38"/>
      <c r="I11" s="240"/>
      <c r="J11" s="240"/>
      <c r="K11" s="370"/>
      <c r="L11" s="371"/>
      <c r="M11" s="372"/>
      <c r="N11" s="3"/>
    </row>
    <row r="12" spans="1:14" ht="16" customHeight="1" x14ac:dyDescent="0.35">
      <c r="A12" s="3"/>
      <c r="B12" s="3"/>
      <c r="C12" s="38" t="s">
        <v>2079</v>
      </c>
      <c r="D12" s="244" t="str">
        <f>_xlfn.IFNA(VLOOKUP(LEA_ID,'Agency Info Data'!B:C,2,0),"-")</f>
        <v>-</v>
      </c>
      <c r="E12" s="180"/>
      <c r="I12" s="240"/>
      <c r="J12" s="240"/>
      <c r="K12" s="370"/>
      <c r="L12" s="371"/>
      <c r="M12" s="372"/>
      <c r="N12" s="3"/>
    </row>
    <row r="13" spans="1:14" ht="4.5" customHeight="1" x14ac:dyDescent="0.35">
      <c r="A13" s="3"/>
      <c r="B13" s="3"/>
      <c r="C13" s="38"/>
      <c r="H13" s="3"/>
      <c r="I13" s="240"/>
      <c r="J13" s="240"/>
      <c r="K13" s="370"/>
      <c r="L13" s="371"/>
      <c r="M13" s="372"/>
      <c r="N13" s="3"/>
    </row>
    <row r="14" spans="1:14" ht="16" customHeight="1" x14ac:dyDescent="0.35">
      <c r="A14" s="3"/>
      <c r="B14" s="3"/>
      <c r="C14" s="366" t="str">
        <f>IF(D12= "Yes", "Please ensure you select an award year in the drop down to designate where funds will be expended.", "-")</f>
        <v>-</v>
      </c>
      <c r="D14" s="366"/>
      <c r="E14" s="366"/>
      <c r="F14" s="366"/>
      <c r="G14" s="366"/>
      <c r="H14" s="251"/>
      <c r="I14" s="251"/>
      <c r="J14" s="251"/>
      <c r="K14" s="373"/>
      <c r="L14" s="374"/>
      <c r="M14" s="375"/>
      <c r="N14" s="3"/>
    </row>
    <row r="15" spans="1:14" ht="15.65" customHeight="1" x14ac:dyDescent="0.35">
      <c r="A15" s="3"/>
      <c r="B15" s="3"/>
      <c r="C15" s="38"/>
      <c r="G15" s="149" t="s">
        <v>3088</v>
      </c>
      <c r="H15" s="245" t="s">
        <v>3089</v>
      </c>
      <c r="I15" s="250">
        <v>0.15</v>
      </c>
      <c r="J15" s="250"/>
      <c r="K15" s="379"/>
      <c r="L15" s="380"/>
      <c r="M15" s="381"/>
      <c r="N15" s="3"/>
    </row>
    <row r="16" spans="1:14" ht="16" customHeight="1" x14ac:dyDescent="0.35">
      <c r="A16" s="3"/>
      <c r="B16" s="3"/>
      <c r="C16" s="38" t="s">
        <v>2078</v>
      </c>
      <c r="D16" s="157"/>
      <c r="G16" s="286"/>
      <c r="H16" s="249" t="str" cm="1">
        <f t="array" ref="H16">_xlfn.IFNA(_xlfn.IFS($G$16="2022-2023",SUMIFS('Agency Info Data'!$BO:$BO,'Agency Info Data'!$BM:$BM,LEA_ID)+SUMIFS('Agency Info Data'!$CG:$CG,'Agency Info Data'!$BY:$BY,LEA_ID),$G$16="2023-2024",SUMIFS('Agency Info Data'!$AW:$AW,'Agency Info Data'!$AN:$AN,LEA_ID)+SUMIFS('Agency Info Data'!$BH:$BH,'Agency Info Data'!$AZ:$AZ,LEA_ID),$G$16="2024-2025",SUMIFS('Agency Info Data'!$W:$W,'Agency Info Data'!$N:$N,LEA_ID)+SUMIFS('Agency Info Data'!$AI:$AI,'Agency Info Data'!$AA:$AA,LEA_ID)),"-")</f>
        <v>-</v>
      </c>
      <c r="I16" s="257" t="str">
        <f>IFERROR(H16*0.15,"-")</f>
        <v>-</v>
      </c>
      <c r="J16" s="258"/>
      <c r="K16" s="382"/>
      <c r="L16" s="383"/>
      <c r="M16" s="384"/>
      <c r="N16" s="3"/>
    </row>
    <row r="17" spans="1:14" ht="22" customHeight="1" x14ac:dyDescent="0.35">
      <c r="A17" s="3"/>
      <c r="B17" s="3"/>
      <c r="C17" s="3"/>
      <c r="H17" s="3"/>
      <c r="I17" s="3"/>
      <c r="J17" s="3"/>
      <c r="K17" s="382"/>
      <c r="L17" s="385"/>
      <c r="M17" s="386"/>
      <c r="N17" s="3"/>
    </row>
    <row r="18" spans="1:14" ht="54" customHeight="1" x14ac:dyDescent="0.35">
      <c r="A18" s="3"/>
      <c r="B18" s="387" t="s">
        <v>2040</v>
      </c>
      <c r="C18" s="388"/>
      <c r="D18" s="388"/>
      <c r="E18" s="388"/>
      <c r="F18" s="388"/>
      <c r="G18" s="388"/>
      <c r="H18" s="388"/>
      <c r="I18" s="388"/>
      <c r="J18" s="389"/>
      <c r="K18" s="390"/>
      <c r="L18" s="110"/>
      <c r="M18" s="110"/>
      <c r="N18" s="3"/>
    </row>
    <row r="19" spans="1:14" ht="67" customHeight="1" x14ac:dyDescent="0.5">
      <c r="A19" s="3"/>
      <c r="B19" s="365" t="s">
        <v>3231</v>
      </c>
      <c r="C19" s="365"/>
      <c r="D19" s="365"/>
      <c r="E19" s="365"/>
      <c r="F19" s="365"/>
      <c r="G19" s="365"/>
      <c r="H19" s="365"/>
      <c r="I19" s="365"/>
      <c r="J19" s="365"/>
      <c r="K19" s="365"/>
      <c r="L19" s="110"/>
      <c r="M19" s="110"/>
      <c r="N19" s="3"/>
    </row>
    <row r="20" spans="1:14" ht="3.75" customHeight="1" x14ac:dyDescent="0.35">
      <c r="A20" s="3"/>
      <c r="B20" s="111"/>
      <c r="C20" s="111"/>
      <c r="D20" s="110"/>
      <c r="E20" s="110"/>
      <c r="F20" s="110"/>
      <c r="G20" s="110"/>
      <c r="H20" s="110"/>
      <c r="I20" s="110"/>
      <c r="J20" s="110"/>
      <c r="K20" s="110"/>
      <c r="L20" s="110"/>
      <c r="M20" s="110"/>
      <c r="N20" s="3"/>
    </row>
    <row r="21" spans="1:14" ht="54" customHeight="1" x14ac:dyDescent="0.35">
      <c r="A21" s="3"/>
      <c r="B21" s="357"/>
      <c r="C21" s="358"/>
      <c r="D21" s="358"/>
      <c r="E21" s="358"/>
      <c r="F21" s="358"/>
      <c r="G21" s="358"/>
      <c r="H21" s="358"/>
      <c r="I21" s="358"/>
      <c r="J21" s="358"/>
      <c r="K21" s="359"/>
      <c r="L21" s="110"/>
      <c r="M21" s="110"/>
      <c r="N21" s="3"/>
    </row>
    <row r="22" spans="1:14" ht="83.5" customHeight="1" x14ac:dyDescent="0.35">
      <c r="A22" s="3"/>
      <c r="B22" s="360"/>
      <c r="C22" s="361"/>
      <c r="D22" s="361"/>
      <c r="E22" s="361"/>
      <c r="F22" s="361"/>
      <c r="G22" s="361"/>
      <c r="H22" s="361"/>
      <c r="I22" s="361"/>
      <c r="J22" s="361"/>
      <c r="K22" s="362"/>
      <c r="L22" s="110"/>
      <c r="M22" s="110"/>
      <c r="N22" s="3"/>
    </row>
    <row r="23" spans="1:14" ht="7.4" customHeight="1" x14ac:dyDescent="0.35">
      <c r="A23" s="3"/>
      <c r="B23" s="3"/>
      <c r="C23" s="3"/>
      <c r="D23" s="3"/>
      <c r="E23" s="3"/>
      <c r="F23" s="3"/>
      <c r="G23" s="3"/>
      <c r="H23" s="3"/>
      <c r="I23" s="3"/>
      <c r="J23" s="3"/>
      <c r="K23" s="3"/>
      <c r="N23" s="3"/>
    </row>
    <row r="24" spans="1:14" ht="48.75" customHeight="1" x14ac:dyDescent="0.35">
      <c r="A24" s="3"/>
      <c r="B24" s="350" t="str">
        <f>CONCATENATE("1. The LEA budgets state and/or local funds for special education and related services at least ","the same amount as the LEA spent when it last met IDEA Maintenance of Effort (MOE) in the most recent fiscal ","year for which final MOE information is available. ","(",E6," fiscal year for State and Local Total combined method, ",H6," for the State and Local Per Capita method)")</f>
        <v>1. The LEA budgets state and/or local funds for special education and related services at least the same amount as the LEA spent when it last met IDEA Maintenance of Effort (MOE) in the most recent fiscal year for which final MOE information is available. ( fiscal year for State and Local Total combined method,  for the State and Local Per Capita method)</v>
      </c>
      <c r="C24" s="351"/>
      <c r="D24" s="351"/>
      <c r="E24" s="351"/>
      <c r="F24" s="351"/>
      <c r="G24" s="351"/>
      <c r="H24" s="351"/>
      <c r="I24" s="351"/>
      <c r="J24" s="352"/>
      <c r="K24" s="353"/>
      <c r="L24" s="223"/>
      <c r="M24" s="223"/>
      <c r="N24" s="3"/>
    </row>
    <row r="25" spans="1:14" ht="7.4" customHeight="1" x14ac:dyDescent="0.35">
      <c r="A25" s="3"/>
      <c r="B25" s="3"/>
      <c r="C25" s="3"/>
      <c r="D25" s="3"/>
      <c r="E25" s="3"/>
      <c r="F25" s="3"/>
      <c r="G25" s="3"/>
      <c r="H25" s="3"/>
      <c r="I25" s="3"/>
      <c r="J25" s="3"/>
      <c r="K25" s="3"/>
      <c r="N25" s="3"/>
    </row>
    <row r="26" spans="1:14" x14ac:dyDescent="0.35">
      <c r="A26" s="3"/>
      <c r="B26" s="38" t="s">
        <v>1470</v>
      </c>
      <c r="C26" s="416"/>
      <c r="D26" s="417"/>
      <c r="E26" s="417"/>
      <c r="F26" s="417"/>
      <c r="G26" s="417"/>
      <c r="H26" s="417"/>
      <c r="I26" s="417"/>
      <c r="J26" s="418"/>
      <c r="K26" s="3"/>
      <c r="N26" s="3"/>
    </row>
    <row r="27" spans="1:14" ht="7.4" customHeight="1" x14ac:dyDescent="0.35">
      <c r="A27" s="3"/>
      <c r="B27" s="3"/>
      <c r="C27" s="3"/>
      <c r="D27" s="3"/>
      <c r="E27" s="3"/>
      <c r="F27" s="3"/>
      <c r="G27" s="3"/>
      <c r="H27" s="3"/>
      <c r="I27" s="3"/>
      <c r="J27" s="3"/>
      <c r="K27" s="3"/>
      <c r="N27" s="3"/>
    </row>
    <row r="28" spans="1:14" ht="42" customHeight="1" x14ac:dyDescent="0.35">
      <c r="A28" s="3"/>
      <c r="B28" s="391" t="str">
        <f>CONCATENATE("If the district wishes to meet the Eligibility standard by Local Only or Local Only Per Capita,"," it must also submit financial records showing the amounts spent from local sources only towards Area of Responsibility 320 for the last five fiscal years. ","Including fiscal year ",MoePriorYear4," through ",MoeCurrYear)</f>
        <v>If the district wishes to meet the Eligibility standard by Local Only or Local Only Per Capita, it must also submit financial records showing the amounts spent from local sources only towards Area of Responsibility 320 for the last five fiscal years. Including fiscal year 2018-2019 through 2022-2023</v>
      </c>
      <c r="C28" s="392"/>
      <c r="D28" s="392"/>
      <c r="E28" s="392"/>
      <c r="F28" s="392"/>
      <c r="G28" s="392"/>
      <c r="H28" s="392"/>
      <c r="I28" s="392"/>
      <c r="J28" s="393"/>
      <c r="K28" s="394"/>
      <c r="L28" s="224"/>
      <c r="M28" s="224"/>
      <c r="N28" s="3"/>
    </row>
    <row r="29" spans="1:14" ht="7.4" customHeight="1" x14ac:dyDescent="0.35">
      <c r="A29" s="3"/>
      <c r="B29" s="3"/>
      <c r="C29" s="3"/>
      <c r="D29" s="3"/>
      <c r="E29" s="3"/>
      <c r="F29" s="3"/>
      <c r="G29" s="3"/>
      <c r="H29" s="3"/>
      <c r="I29" s="3"/>
      <c r="J29" s="3"/>
      <c r="K29" s="3"/>
      <c r="N29" s="3"/>
    </row>
    <row r="30" spans="1:14" ht="15.5" x14ac:dyDescent="0.35">
      <c r="A30" s="3"/>
      <c r="B30" s="20" t="s">
        <v>1657</v>
      </c>
      <c r="C30" s="14"/>
      <c r="D30" s="14"/>
      <c r="E30" s="14"/>
      <c r="F30" s="14"/>
      <c r="G30" s="14"/>
      <c r="H30" s="14"/>
      <c r="I30" s="14"/>
      <c r="J30" s="14"/>
      <c r="K30" s="14"/>
      <c r="L30" s="106"/>
      <c r="M30" s="106"/>
      <c r="N30" s="3"/>
    </row>
    <row r="31" spans="1:14" ht="113.25" customHeight="1" x14ac:dyDescent="0.35">
      <c r="A31" s="3"/>
      <c r="B31" s="350" t="s">
        <v>1658</v>
      </c>
      <c r="C31" s="420"/>
      <c r="D31" s="420"/>
      <c r="E31" s="420"/>
      <c r="F31" s="420"/>
      <c r="G31" s="420"/>
      <c r="H31" s="420"/>
      <c r="I31" s="420"/>
      <c r="J31" s="421"/>
      <c r="K31" s="422"/>
      <c r="L31" s="225"/>
      <c r="M31" s="225"/>
      <c r="N31" s="3"/>
    </row>
    <row r="32" spans="1:14" ht="7.4" customHeight="1" x14ac:dyDescent="0.35">
      <c r="A32" s="3"/>
      <c r="B32" s="3"/>
      <c r="C32" s="3"/>
      <c r="D32" s="3"/>
      <c r="E32" s="3"/>
      <c r="F32" s="3"/>
      <c r="G32" s="3"/>
      <c r="H32" s="3"/>
      <c r="I32" s="3"/>
      <c r="J32" s="3"/>
      <c r="K32" s="3"/>
      <c r="N32" s="3"/>
    </row>
    <row r="33" spans="1:14" x14ac:dyDescent="0.35">
      <c r="A33" s="3"/>
      <c r="B33" s="19" t="s">
        <v>1471</v>
      </c>
      <c r="C33" s="413"/>
      <c r="D33" s="414"/>
      <c r="E33" s="414"/>
      <c r="F33" s="414"/>
      <c r="G33" s="414"/>
      <c r="H33" s="414"/>
      <c r="I33" s="414"/>
      <c r="J33" s="415"/>
      <c r="K33" s="6"/>
      <c r="L33" s="34"/>
      <c r="M33" s="34"/>
      <c r="N33" s="3"/>
    </row>
    <row r="34" spans="1:14" ht="7.4" customHeight="1" x14ac:dyDescent="0.35">
      <c r="A34" s="3"/>
      <c r="B34" s="3"/>
      <c r="C34" s="3"/>
      <c r="D34" s="3"/>
      <c r="E34" s="3"/>
      <c r="F34" s="3"/>
      <c r="G34" s="3"/>
      <c r="H34" s="3"/>
      <c r="I34" s="3"/>
      <c r="J34" s="3"/>
      <c r="K34" s="3"/>
      <c r="N34" s="3"/>
    </row>
    <row r="35" spans="1:14" ht="15.5" x14ac:dyDescent="0.35">
      <c r="A35" s="3"/>
      <c r="B35" s="20" t="s">
        <v>1659</v>
      </c>
      <c r="C35" s="14"/>
      <c r="D35" s="14"/>
      <c r="E35" s="14"/>
      <c r="F35" s="14"/>
      <c r="G35" s="14"/>
      <c r="H35" s="14"/>
      <c r="I35" s="14"/>
      <c r="J35" s="14"/>
      <c r="K35" s="14"/>
      <c r="L35" s="106"/>
      <c r="M35" s="106"/>
      <c r="N35" s="3"/>
    </row>
    <row r="36" spans="1:14" ht="62.25" customHeight="1" x14ac:dyDescent="0.35">
      <c r="A36" s="3"/>
      <c r="B36" s="423" t="s">
        <v>1660</v>
      </c>
      <c r="C36" s="423"/>
      <c r="D36" s="423"/>
      <c r="E36" s="423"/>
      <c r="F36" s="423"/>
      <c r="G36" s="423"/>
      <c r="H36" s="423"/>
      <c r="I36" s="423"/>
      <c r="J36" s="423"/>
      <c r="K36" s="423"/>
      <c r="L36" s="221"/>
      <c r="M36" s="221"/>
      <c r="N36" s="3"/>
    </row>
    <row r="37" spans="1:14" ht="50.25" customHeight="1" x14ac:dyDescent="0.35">
      <c r="A37" s="3"/>
      <c r="B37" s="424" t="s">
        <v>1661</v>
      </c>
      <c r="C37" s="424"/>
      <c r="D37" s="424"/>
      <c r="E37" s="424"/>
      <c r="F37" s="424"/>
      <c r="G37" s="424"/>
      <c r="H37" s="424"/>
      <c r="I37" s="424"/>
      <c r="J37" s="424"/>
      <c r="K37" s="424"/>
      <c r="L37" s="221"/>
      <c r="M37" s="221"/>
      <c r="N37" s="3"/>
    </row>
    <row r="38" spans="1:14" ht="7.4" customHeight="1" x14ac:dyDescent="0.35">
      <c r="A38" s="3"/>
      <c r="B38" s="3"/>
      <c r="C38" s="3"/>
      <c r="D38" s="3"/>
      <c r="E38" s="3"/>
      <c r="F38" s="3"/>
      <c r="G38" s="3"/>
      <c r="H38" s="3"/>
      <c r="I38" s="3"/>
      <c r="J38" s="3"/>
      <c r="K38" s="3"/>
      <c r="N38" s="3"/>
    </row>
    <row r="39" spans="1:14" ht="48" customHeight="1" x14ac:dyDescent="0.35">
      <c r="A39" s="3"/>
      <c r="B39" s="350" t="str">
        <f>IF(_xlfn.IFNA(VLOOKUP(LeaName,TblAgencies[],3,FALSE),"N")="Y","3. IDEA requires the LEA to reserve 15% of its total IDEA Part B, Section 611 and Section 619 funds for Mandatory CEIS in the identified Fiscal Year. The LEA will not be permitted to reduce its Maintenance of Effort based on the use of funds for CCEIS.",CONCATENATE("5. IDEA allows, but does not require, a LEA to use up to 15% of its total IDEA, Part B, Section 611 and Section 619 funds to provide professional development for teachers and other school staff",", as well as scientifically based academic and behavioral interventions to K–12 students without a disability."))</f>
        <v>5. IDEA allows, but does not require, a LEA to use up to 15% of its total IDEA, Part B, Section 611 and Section 619 funds to provide professional development for teachers and other school staff, as well as scientifically based academic and behavioral interventions to K–12 students without a disability.</v>
      </c>
      <c r="C39" s="351"/>
      <c r="D39" s="351"/>
      <c r="E39" s="351"/>
      <c r="F39" s="351"/>
      <c r="G39" s="351"/>
      <c r="H39" s="351"/>
      <c r="I39" s="351"/>
      <c r="J39" s="352"/>
      <c r="K39" s="353"/>
      <c r="L39" s="223"/>
      <c r="M39" s="223"/>
      <c r="N39" s="3"/>
    </row>
    <row r="40" spans="1:14" ht="7.4" customHeight="1" x14ac:dyDescent="0.35">
      <c r="A40" s="3"/>
      <c r="B40" s="3"/>
      <c r="C40" s="3"/>
      <c r="D40" s="3"/>
      <c r="E40" s="3"/>
      <c r="F40" s="3"/>
      <c r="G40" s="3"/>
      <c r="H40" s="3"/>
      <c r="I40" s="3"/>
      <c r="J40" s="3"/>
      <c r="K40" s="3"/>
      <c r="N40" s="3"/>
    </row>
    <row r="41" spans="1:14" x14ac:dyDescent="0.35">
      <c r="A41" s="3"/>
      <c r="B41" s="19" t="str">
        <f>IF(_xlfn.IFNA(VLOOKUP(LeaName,TblAgencies[],3,FALSE),"N")="Y","CCEIS Assurance:","CEIS Assurance:")</f>
        <v>CEIS Assurance:</v>
      </c>
      <c r="C41" s="410"/>
      <c r="D41" s="411"/>
      <c r="E41" s="411"/>
      <c r="F41" s="411"/>
      <c r="G41" s="411"/>
      <c r="H41" s="411"/>
      <c r="I41" s="411"/>
      <c r="J41" s="412"/>
      <c r="K41" s="6"/>
      <c r="L41" s="34"/>
      <c r="M41" s="34"/>
      <c r="N41" s="3"/>
    </row>
    <row r="42" spans="1:14" ht="6.65" customHeight="1" x14ac:dyDescent="0.35">
      <c r="A42" s="3"/>
      <c r="B42" s="3"/>
      <c r="C42" s="3"/>
      <c r="D42" s="3"/>
      <c r="E42" s="3"/>
      <c r="F42" s="3"/>
      <c r="G42" s="3"/>
      <c r="H42" s="3"/>
      <c r="I42" s="3"/>
      <c r="J42" s="3"/>
      <c r="K42" s="3"/>
      <c r="N42" s="3"/>
    </row>
    <row r="43" spans="1:14" ht="16" customHeight="1" x14ac:dyDescent="0.35">
      <c r="A43" s="3"/>
      <c r="B43" s="419" t="s">
        <v>2141</v>
      </c>
      <c r="C43" s="419"/>
      <c r="D43" s="419"/>
      <c r="E43" s="419"/>
      <c r="F43" s="419"/>
      <c r="G43" s="419"/>
      <c r="H43" s="419"/>
      <c r="I43" s="419"/>
      <c r="J43" s="419"/>
      <c r="K43" s="419"/>
      <c r="L43" s="226"/>
      <c r="M43" s="226"/>
      <c r="N43" s="3"/>
    </row>
    <row r="44" spans="1:14" ht="9.65" customHeight="1" x14ac:dyDescent="0.35"/>
    <row r="45" spans="1:14" ht="6.65" customHeight="1" x14ac:dyDescent="0.35">
      <c r="A45" s="3"/>
      <c r="B45" s="3"/>
      <c r="C45" s="3"/>
      <c r="D45" s="3"/>
      <c r="E45" s="3"/>
      <c r="F45" s="3"/>
      <c r="G45" s="3"/>
      <c r="H45" s="3"/>
      <c r="I45" s="3"/>
      <c r="J45" s="3"/>
      <c r="K45" s="3"/>
      <c r="N45" s="3"/>
    </row>
    <row r="46" spans="1:14" ht="5.15" customHeight="1" x14ac:dyDescent="0.35">
      <c r="A46" s="3"/>
      <c r="B46" s="3"/>
      <c r="C46" s="3"/>
      <c r="D46" s="3"/>
      <c r="E46" s="3"/>
      <c r="F46" s="3"/>
      <c r="G46" s="3"/>
      <c r="H46" s="3"/>
      <c r="I46" s="3"/>
      <c r="J46" s="3"/>
      <c r="K46" s="3"/>
      <c r="N46" s="3"/>
    </row>
    <row r="47" spans="1:14" ht="15.5" x14ac:dyDescent="0.35">
      <c r="A47" s="3"/>
      <c r="B47" s="20" t="s">
        <v>1662</v>
      </c>
      <c r="C47" s="20"/>
      <c r="D47" s="20"/>
      <c r="E47" s="20"/>
      <c r="F47" s="20"/>
      <c r="G47" s="20"/>
      <c r="H47" s="20"/>
      <c r="I47" s="20"/>
      <c r="J47" s="20"/>
      <c r="K47" s="20"/>
      <c r="L47" s="222"/>
      <c r="M47" s="222"/>
      <c r="N47" s="3"/>
    </row>
    <row r="48" spans="1:14" ht="34.5" customHeight="1" x14ac:dyDescent="0.35">
      <c r="A48" s="3"/>
      <c r="B48" s="350" t="str">
        <f>"6. The LEA will track all charges to the Federal IDEA award for salaries and wages based on records that accurately reflect the work being performed in accordance with the Uniform Grant Guidance during the period covered by this application, July 1, "&amp;RptYr&amp;" through September 30, "&amp;RptYr+2&amp;". (2 CFR §200.430(i))"</f>
        <v>6. The LEA will track all charges to the Federal IDEA award for salaries and wages based on records that accurately reflect the work being performed in accordance with the Uniform Grant Guidance during the period covered by this application, July 1, 2024 through September 30, 2026. (2 CFR §200.430(i))</v>
      </c>
      <c r="C48" s="351"/>
      <c r="D48" s="351"/>
      <c r="E48" s="351"/>
      <c r="F48" s="351"/>
      <c r="G48" s="351"/>
      <c r="H48" s="351"/>
      <c r="I48" s="351"/>
      <c r="J48" s="352"/>
      <c r="K48" s="353"/>
      <c r="L48" s="223"/>
      <c r="M48" s="223"/>
      <c r="N48" s="3"/>
    </row>
    <row r="49" spans="1:14" ht="10.5" customHeight="1" x14ac:dyDescent="0.35"/>
    <row r="50" spans="1:14" ht="38.5" customHeight="1" x14ac:dyDescent="0.35">
      <c r="A50" s="3"/>
      <c r="B50" s="354" t="s">
        <v>3110</v>
      </c>
      <c r="C50" s="355"/>
      <c r="D50" s="355"/>
      <c r="E50" s="355"/>
      <c r="F50" s="355"/>
      <c r="G50" s="355"/>
      <c r="H50" s="355"/>
      <c r="I50" s="355"/>
      <c r="J50" s="355"/>
      <c r="K50" s="356"/>
      <c r="L50" s="110"/>
      <c r="M50" s="110"/>
      <c r="N50" s="3"/>
    </row>
    <row r="51" spans="1:14" ht="7.5" customHeight="1" x14ac:dyDescent="0.35"/>
    <row r="52" spans="1:14" x14ac:dyDescent="0.35">
      <c r="A52" s="3"/>
      <c r="B52" s="19" t="s">
        <v>1474</v>
      </c>
      <c r="C52" s="410"/>
      <c r="D52" s="411"/>
      <c r="E52" s="411"/>
      <c r="F52" s="411"/>
      <c r="G52" s="411"/>
      <c r="H52" s="411"/>
      <c r="I52" s="411"/>
      <c r="J52" s="412"/>
      <c r="K52" s="6"/>
      <c r="L52" s="34"/>
      <c r="M52" s="34"/>
      <c r="N52" s="3"/>
    </row>
    <row r="53" spans="1:14" ht="4" customHeight="1" x14ac:dyDescent="0.35">
      <c r="A53" s="3"/>
      <c r="B53" s="3"/>
      <c r="C53" s="3"/>
      <c r="D53" s="3"/>
      <c r="E53" s="3"/>
      <c r="F53" s="3"/>
      <c r="G53" s="3"/>
      <c r="H53" s="3"/>
      <c r="I53" s="3"/>
      <c r="J53" s="3"/>
      <c r="K53" s="3"/>
      <c r="N53" s="3"/>
    </row>
    <row r="54" spans="1:14" ht="57" customHeight="1" x14ac:dyDescent="0.35">
      <c r="A54" s="3"/>
      <c r="B54" s="395" t="s">
        <v>2972</v>
      </c>
      <c r="C54" s="396"/>
      <c r="D54" s="396"/>
      <c r="E54" s="396"/>
      <c r="F54" s="396"/>
      <c r="G54" s="396"/>
      <c r="H54" s="396"/>
      <c r="I54" s="396"/>
      <c r="J54" s="396"/>
      <c r="K54" s="396"/>
      <c r="L54" s="223"/>
      <c r="M54" s="223"/>
      <c r="N54" s="3"/>
    </row>
    <row r="55" spans="1:14" ht="21.65" customHeight="1" x14ac:dyDescent="0.35">
      <c r="A55" s="3"/>
      <c r="B55" s="364" t="s">
        <v>3076</v>
      </c>
      <c r="C55" s="364"/>
      <c r="D55" s="364"/>
      <c r="E55" s="364"/>
      <c r="F55" s="364"/>
      <c r="G55" s="364"/>
      <c r="H55" s="364"/>
      <c r="I55" s="364"/>
      <c r="J55" s="364"/>
      <c r="K55" s="364"/>
      <c r="N55" s="3"/>
    </row>
    <row r="56" spans="1:14" ht="4.5" customHeight="1" x14ac:dyDescent="0.35">
      <c r="A56" s="3"/>
      <c r="B56" s="3"/>
      <c r="C56" s="3"/>
      <c r="D56" s="3"/>
      <c r="E56" s="3"/>
      <c r="F56" s="3"/>
      <c r="G56" s="3"/>
      <c r="H56" s="3"/>
      <c r="I56" s="3"/>
      <c r="J56" s="3"/>
      <c r="K56" s="3"/>
      <c r="N56" s="3"/>
    </row>
    <row r="57" spans="1:14" ht="4.5" customHeight="1" x14ac:dyDescent="0.35">
      <c r="A57" s="3"/>
      <c r="B57" s="3"/>
      <c r="C57" s="3"/>
      <c r="D57" s="3"/>
      <c r="E57" s="3"/>
      <c r="F57" s="3"/>
      <c r="G57" s="3"/>
      <c r="H57" s="3"/>
      <c r="I57" s="3"/>
      <c r="J57" s="3"/>
      <c r="K57" s="3"/>
      <c r="N57" s="3"/>
    </row>
    <row r="58" spans="1:14" x14ac:dyDescent="0.35">
      <c r="A58" s="3"/>
      <c r="B58" s="3"/>
      <c r="C58" s="3"/>
      <c r="D58" s="3"/>
      <c r="E58" s="3"/>
      <c r="F58" s="3"/>
      <c r="G58" s="3"/>
      <c r="H58" s="3"/>
      <c r="I58" s="3"/>
      <c r="J58" s="3"/>
      <c r="K58" s="3"/>
      <c r="N58" s="3"/>
    </row>
    <row r="59" spans="1:14" x14ac:dyDescent="0.35">
      <c r="A59" s="3"/>
      <c r="B59" s="397" t="s">
        <v>3022</v>
      </c>
      <c r="C59" s="397"/>
      <c r="D59" s="397"/>
      <c r="E59" s="397"/>
      <c r="F59" s="397"/>
      <c r="G59" s="397"/>
      <c r="H59" s="397"/>
      <c r="I59" s="397"/>
      <c r="J59" s="397"/>
      <c r="K59" s="397"/>
      <c r="L59" s="397"/>
      <c r="N59" s="3"/>
    </row>
    <row r="60" spans="1:14" ht="31" customHeight="1" x14ac:dyDescent="0.35">
      <c r="A60" s="3"/>
      <c r="B60" s="397"/>
      <c r="C60" s="397"/>
      <c r="D60" s="397"/>
      <c r="E60" s="397"/>
      <c r="F60" s="397"/>
      <c r="G60" s="397"/>
      <c r="H60" s="397"/>
      <c r="I60" s="397"/>
      <c r="J60" s="397"/>
      <c r="K60" s="397"/>
      <c r="L60" s="397"/>
      <c r="N60" s="3"/>
    </row>
    <row r="61" spans="1:14" ht="14.5" customHeight="1" x14ac:dyDescent="0.35">
      <c r="A61" s="3"/>
      <c r="B61" s="3"/>
      <c r="C61" s="3"/>
      <c r="D61" s="3"/>
      <c r="E61" s="3"/>
      <c r="F61" s="3"/>
      <c r="G61" s="3"/>
      <c r="H61" s="3"/>
      <c r="I61" s="3"/>
      <c r="J61" s="3"/>
      <c r="K61" s="3"/>
      <c r="N61" s="3"/>
    </row>
    <row r="62" spans="1:14" ht="23.15" customHeight="1" x14ac:dyDescent="0.35">
      <c r="A62" s="3"/>
      <c r="B62" s="20" t="s">
        <v>1663</v>
      </c>
      <c r="C62" s="14"/>
      <c r="D62" s="14"/>
      <c r="E62" s="14"/>
      <c r="F62" s="14"/>
      <c r="G62" s="14"/>
      <c r="H62" s="14"/>
      <c r="I62" s="14"/>
      <c r="J62" s="14"/>
      <c r="K62" s="14"/>
      <c r="L62" s="106"/>
      <c r="M62" s="106"/>
      <c r="N62" s="3"/>
    </row>
    <row r="63" spans="1:14" ht="34.5" customHeight="1" x14ac:dyDescent="0.35">
      <c r="A63" s="3"/>
      <c r="B63" s="349" t="s">
        <v>1664</v>
      </c>
      <c r="C63" s="349"/>
      <c r="D63" s="349"/>
      <c r="E63" s="349"/>
      <c r="F63" s="349"/>
      <c r="G63" s="349"/>
      <c r="H63" s="349"/>
      <c r="I63" s="349"/>
      <c r="J63" s="349"/>
      <c r="K63" s="349"/>
      <c r="L63" s="221"/>
      <c r="M63" s="221"/>
      <c r="N63" s="3"/>
    </row>
    <row r="64" spans="1:14" ht="6.65" customHeight="1" x14ac:dyDescent="0.35">
      <c r="A64" s="3"/>
      <c r="B64" s="3"/>
      <c r="C64" s="3"/>
      <c r="D64" s="3"/>
      <c r="E64" s="3"/>
      <c r="F64" s="3"/>
      <c r="G64" s="3"/>
      <c r="H64" s="3"/>
      <c r="I64" s="3"/>
      <c r="J64" s="3"/>
      <c r="K64" s="3"/>
      <c r="N64" s="3"/>
    </row>
    <row r="65" spans="1:14" ht="50.25" customHeight="1" x14ac:dyDescent="0.35">
      <c r="A65" s="3"/>
      <c r="B65" s="350" t="s">
        <v>1960</v>
      </c>
      <c r="C65" s="351"/>
      <c r="D65" s="351"/>
      <c r="E65" s="351"/>
      <c r="F65" s="351"/>
      <c r="G65" s="351"/>
      <c r="H65" s="351"/>
      <c r="I65" s="351"/>
      <c r="J65" s="352"/>
      <c r="K65" s="353"/>
      <c r="L65" s="223"/>
      <c r="M65" s="223"/>
      <c r="N65" s="3"/>
    </row>
    <row r="66" spans="1:14" ht="6.65" customHeight="1" x14ac:dyDescent="0.35">
      <c r="A66" s="3"/>
      <c r="B66" s="3"/>
      <c r="C66" s="3"/>
      <c r="D66" s="3"/>
      <c r="E66" s="3"/>
      <c r="F66" s="3"/>
      <c r="G66" s="3"/>
      <c r="H66" s="3"/>
      <c r="I66" s="3"/>
      <c r="J66" s="3"/>
      <c r="K66" s="3"/>
      <c r="N66" s="3"/>
    </row>
    <row r="67" spans="1:14" ht="43.5" customHeight="1" x14ac:dyDescent="0.35">
      <c r="A67" s="3"/>
      <c r="B67" s="3"/>
      <c r="C67" s="322" t="s">
        <v>3078</v>
      </c>
      <c r="D67" s="322"/>
      <c r="E67" s="322"/>
      <c r="F67" s="322"/>
      <c r="G67" s="322"/>
      <c r="H67" s="322"/>
      <c r="I67" s="322"/>
      <c r="J67" s="254"/>
      <c r="K67" s="3"/>
      <c r="N67" s="3"/>
    </row>
    <row r="68" spans="1:14" ht="29.5" customHeight="1" x14ac:dyDescent="0.35">
      <c r="A68" s="3"/>
      <c r="B68" s="21" t="s">
        <v>1475</v>
      </c>
      <c r="C68" s="407"/>
      <c r="D68" s="408"/>
      <c r="E68" s="408"/>
      <c r="F68" s="408"/>
      <c r="G68" s="408"/>
      <c r="H68" s="408"/>
      <c r="I68" s="408"/>
      <c r="J68" s="409"/>
      <c r="K68" s="23"/>
      <c r="L68" s="35"/>
      <c r="M68" s="35"/>
      <c r="N68" s="3"/>
    </row>
    <row r="69" spans="1:14" ht="30.25" customHeight="1" x14ac:dyDescent="0.35">
      <c r="A69" s="3"/>
      <c r="B69" s="3"/>
      <c r="C69" s="404" t="s">
        <v>2087</v>
      </c>
      <c r="D69" s="405"/>
      <c r="E69" s="405"/>
      <c r="F69" s="405"/>
      <c r="G69" s="405"/>
      <c r="H69" s="405"/>
      <c r="I69" s="406"/>
      <c r="J69" s="255"/>
      <c r="K69" s="3"/>
      <c r="N69" s="3"/>
    </row>
    <row r="70" spans="1:14" ht="6.65" customHeight="1" x14ac:dyDescent="0.35">
      <c r="A70" s="3"/>
      <c r="B70" s="3"/>
      <c r="C70" s="3"/>
      <c r="D70" s="3"/>
      <c r="E70" s="3"/>
      <c r="F70" s="3"/>
      <c r="G70" s="3"/>
      <c r="H70" s="3"/>
      <c r="I70" s="3"/>
      <c r="J70" s="3"/>
      <c r="K70" s="3"/>
      <c r="N70" s="3"/>
    </row>
    <row r="71" spans="1:14" ht="31" customHeight="1" x14ac:dyDescent="0.35">
      <c r="A71" s="3"/>
      <c r="B71" s="401" t="s">
        <v>1966</v>
      </c>
      <c r="C71" s="402"/>
      <c r="D71" s="402"/>
      <c r="E71" s="402"/>
      <c r="F71" s="402"/>
      <c r="G71" s="402"/>
      <c r="H71" s="402"/>
      <c r="I71" s="402"/>
      <c r="J71" s="402"/>
      <c r="K71" s="403"/>
      <c r="L71" s="223"/>
      <c r="M71" s="223"/>
      <c r="N71" s="3"/>
    </row>
    <row r="72" spans="1:14" ht="7.4" customHeight="1" x14ac:dyDescent="0.35">
      <c r="A72" s="3"/>
      <c r="B72" s="3"/>
      <c r="C72" s="3"/>
      <c r="D72" s="3"/>
      <c r="E72" s="3"/>
      <c r="F72" s="3"/>
      <c r="G72" s="3"/>
      <c r="H72" s="3"/>
      <c r="I72" s="3"/>
      <c r="J72" s="3"/>
      <c r="K72" s="3"/>
      <c r="N72" s="3"/>
    </row>
    <row r="73" spans="1:14" ht="29.25" customHeight="1" x14ac:dyDescent="0.35">
      <c r="A73" s="3"/>
      <c r="B73" s="3"/>
      <c r="C73" s="322" t="s">
        <v>3079</v>
      </c>
      <c r="D73" s="322"/>
      <c r="E73" s="322"/>
      <c r="F73" s="322"/>
      <c r="G73" s="322"/>
      <c r="H73" s="322"/>
      <c r="I73" s="322"/>
      <c r="J73" s="254"/>
      <c r="K73" s="3"/>
      <c r="N73" s="3"/>
    </row>
    <row r="74" spans="1:14" ht="29.5" customHeight="1" x14ac:dyDescent="0.35">
      <c r="A74" s="3"/>
      <c r="B74" s="22" t="s">
        <v>1476</v>
      </c>
      <c r="C74" s="407"/>
      <c r="D74" s="408"/>
      <c r="E74" s="408"/>
      <c r="F74" s="408"/>
      <c r="G74" s="408"/>
      <c r="H74" s="408"/>
      <c r="I74" s="408"/>
      <c r="J74" s="409"/>
      <c r="K74" s="23"/>
      <c r="L74" s="35"/>
      <c r="M74" s="35"/>
      <c r="N74" s="3"/>
    </row>
    <row r="75" spans="1:14" ht="30.25" customHeight="1" x14ac:dyDescent="0.35">
      <c r="A75" s="3"/>
      <c r="C75" s="398" t="s">
        <v>1665</v>
      </c>
      <c r="D75" s="399"/>
      <c r="E75" s="399"/>
      <c r="F75" s="399"/>
      <c r="G75" s="399"/>
      <c r="H75" s="399"/>
      <c r="I75" s="400"/>
      <c r="J75" s="256"/>
      <c r="N75" s="3"/>
    </row>
    <row r="76" spans="1:14" ht="7.4" customHeight="1" x14ac:dyDescent="0.35">
      <c r="A76" s="3"/>
      <c r="B76" s="3"/>
      <c r="C76" s="3"/>
      <c r="D76" s="3"/>
      <c r="E76" s="3"/>
      <c r="F76" s="3"/>
      <c r="G76" s="3"/>
      <c r="H76" s="3"/>
      <c r="I76" s="3"/>
      <c r="J76" s="3"/>
      <c r="K76" s="3"/>
      <c r="N76" s="3"/>
    </row>
    <row r="77" spans="1:14" ht="47.25" customHeight="1" x14ac:dyDescent="0.35">
      <c r="A77" s="3"/>
      <c r="B77" s="401" t="s">
        <v>1965</v>
      </c>
      <c r="C77" s="402"/>
      <c r="D77" s="402"/>
      <c r="E77" s="402"/>
      <c r="F77" s="402"/>
      <c r="G77" s="402"/>
      <c r="H77" s="402"/>
      <c r="I77" s="402"/>
      <c r="J77" s="402"/>
      <c r="K77" s="403"/>
      <c r="L77" s="223"/>
      <c r="M77" s="223"/>
      <c r="N77" s="3"/>
    </row>
    <row r="78" spans="1:14" ht="7.4" customHeight="1" x14ac:dyDescent="0.35">
      <c r="A78" s="3"/>
      <c r="B78" s="3"/>
      <c r="C78" s="3"/>
      <c r="D78" s="3"/>
      <c r="E78" s="3"/>
      <c r="F78" s="3"/>
      <c r="G78" s="3"/>
      <c r="H78" s="3"/>
      <c r="I78" s="3"/>
      <c r="J78" s="3"/>
      <c r="K78" s="3"/>
      <c r="N78" s="3"/>
    </row>
    <row r="79" spans="1:14" ht="36.75" customHeight="1" x14ac:dyDescent="0.35">
      <c r="A79" s="3"/>
      <c r="B79" s="3"/>
      <c r="C79" s="322" t="s">
        <v>3080</v>
      </c>
      <c r="D79" s="322"/>
      <c r="E79" s="322"/>
      <c r="F79" s="322"/>
      <c r="G79" s="322"/>
      <c r="H79" s="322"/>
      <c r="I79" s="322"/>
      <c r="J79" s="254"/>
      <c r="K79" s="3"/>
      <c r="N79" s="3"/>
    </row>
    <row r="80" spans="1:14" ht="29.5" customHeight="1" x14ac:dyDescent="0.35">
      <c r="A80" s="3"/>
      <c r="B80" s="22" t="s">
        <v>1477</v>
      </c>
      <c r="C80" s="407"/>
      <c r="D80" s="408"/>
      <c r="E80" s="408"/>
      <c r="F80" s="408"/>
      <c r="G80" s="408"/>
      <c r="H80" s="408"/>
      <c r="I80" s="408"/>
      <c r="J80" s="409"/>
      <c r="K80" s="23"/>
      <c r="L80" s="35"/>
      <c r="M80" s="35"/>
      <c r="N80" s="3"/>
    </row>
    <row r="81" spans="1:14" ht="43.5" customHeight="1" x14ac:dyDescent="0.35">
      <c r="A81" s="3"/>
      <c r="C81" s="398" t="s">
        <v>1666</v>
      </c>
      <c r="D81" s="399"/>
      <c r="E81" s="399"/>
      <c r="F81" s="399"/>
      <c r="G81" s="399"/>
      <c r="H81" s="399"/>
      <c r="I81" s="400"/>
      <c r="J81" s="256"/>
      <c r="N81" s="3"/>
    </row>
    <row r="82" spans="1:14" ht="7.4" customHeight="1" x14ac:dyDescent="0.35">
      <c r="A82" s="3"/>
      <c r="B82" s="3"/>
      <c r="C82" s="3"/>
      <c r="D82" s="3"/>
      <c r="E82" s="3"/>
      <c r="F82" s="3"/>
      <c r="G82" s="3"/>
      <c r="H82" s="3"/>
      <c r="I82" s="3"/>
      <c r="J82" s="3"/>
      <c r="K82" s="3"/>
      <c r="L82" s="3"/>
      <c r="M82" s="3"/>
      <c r="N82" s="3"/>
    </row>
    <row r="83" spans="1:14" x14ac:dyDescent="0.35">
      <c r="A83" s="3"/>
      <c r="B83" s="3"/>
      <c r="C83" s="3"/>
      <c r="D83" s="3"/>
      <c r="E83" s="3"/>
      <c r="F83" s="3"/>
      <c r="G83" s="3"/>
      <c r="H83" s="3"/>
      <c r="I83" s="3"/>
      <c r="J83" s="3"/>
      <c r="K83" s="3"/>
      <c r="L83" s="3"/>
      <c r="M83" s="3"/>
      <c r="N83" s="3"/>
    </row>
    <row r="93" spans="1:14" ht="15" customHeight="1" x14ac:dyDescent="0.35">
      <c r="B93" s="397" t="s">
        <v>3021</v>
      </c>
      <c r="C93" s="397"/>
      <c r="D93" s="397"/>
      <c r="E93" s="397"/>
      <c r="F93" s="397"/>
      <c r="G93" s="397"/>
      <c r="H93" s="397"/>
      <c r="I93" s="397"/>
      <c r="J93" s="397"/>
      <c r="K93" s="397"/>
      <c r="L93" s="397"/>
    </row>
    <row r="94" spans="1:14" ht="34" customHeight="1" x14ac:dyDescent="0.35">
      <c r="B94" s="397"/>
      <c r="C94" s="397"/>
      <c r="D94" s="397"/>
      <c r="E94" s="397"/>
      <c r="F94" s="397"/>
      <c r="G94" s="397"/>
      <c r="H94" s="397"/>
      <c r="I94" s="397"/>
      <c r="J94" s="397"/>
      <c r="K94" s="397"/>
      <c r="L94" s="397"/>
    </row>
    <row r="95" spans="1:14" x14ac:dyDescent="0.35"/>
    <row r="96" spans="1:14" x14ac:dyDescent="0.35"/>
    <row r="97" x14ac:dyDescent="0.35"/>
    <row r="98" x14ac:dyDescent="0.35"/>
    <row r="99" x14ac:dyDescent="0.35"/>
    <row r="100" x14ac:dyDescent="0.35"/>
    <row r="101" x14ac:dyDescent="0.35"/>
    <row r="102" x14ac:dyDescent="0.35"/>
  </sheetData>
  <sheetProtection algorithmName="SHA-512" hashValue="xeuu62El4Y6IGEzJdjSROQL1CdZf5oPSNYJJNdDLriTE/A77Y4ppp8ff26pB+m1J0vhk9LlPM8L8s0Ld6BnsdA==" saltValue="9XNFLQiNbzMawpVBySGktw==" spinCount="100000" sheet="1" selectLockedCells="1"/>
  <mergeCells count="39">
    <mergeCell ref="C52:J52"/>
    <mergeCell ref="C41:J41"/>
    <mergeCell ref="C33:J33"/>
    <mergeCell ref="C26:J26"/>
    <mergeCell ref="B43:K43"/>
    <mergeCell ref="B48:K48"/>
    <mergeCell ref="B31:K31"/>
    <mergeCell ref="B36:K36"/>
    <mergeCell ref="B37:K37"/>
    <mergeCell ref="B39:K39"/>
    <mergeCell ref="B93:L94"/>
    <mergeCell ref="B59:L60"/>
    <mergeCell ref="C81:I81"/>
    <mergeCell ref="B77:K77"/>
    <mergeCell ref="C75:I75"/>
    <mergeCell ref="B71:K71"/>
    <mergeCell ref="C69:I69"/>
    <mergeCell ref="C67:I67"/>
    <mergeCell ref="C73:I73"/>
    <mergeCell ref="C79:I79"/>
    <mergeCell ref="C68:J68"/>
    <mergeCell ref="C74:J74"/>
    <mergeCell ref="C80:J80"/>
    <mergeCell ref="C4:I4"/>
    <mergeCell ref="B63:K63"/>
    <mergeCell ref="B65:K65"/>
    <mergeCell ref="B50:K50"/>
    <mergeCell ref="B21:K22"/>
    <mergeCell ref="B8:B11"/>
    <mergeCell ref="B55:K55"/>
    <mergeCell ref="B19:K19"/>
    <mergeCell ref="C14:G14"/>
    <mergeCell ref="K6:M14"/>
    <mergeCell ref="K5:M5"/>
    <mergeCell ref="K15:M17"/>
    <mergeCell ref="B18:K18"/>
    <mergeCell ref="B28:K28"/>
    <mergeCell ref="B24:K24"/>
    <mergeCell ref="B54:K54"/>
  </mergeCells>
  <conditionalFormatting sqref="B54:H54">
    <cfRule type="expression" dxfId="49" priority="21">
      <formula>OR(IFERROR(SEARCH("No",C52),0)&gt;0,$C$52="")</formula>
    </cfRule>
  </conditionalFormatting>
  <conditionalFormatting sqref="B28:M28">
    <cfRule type="expression" dxfId="48" priority="17">
      <formula>AND(LEFT(#REF!,2)="No",OR(Sect611App="Yes",Sect619App="Yes"))</formula>
    </cfRule>
  </conditionalFormatting>
  <conditionalFormatting sqref="B43:M44">
    <cfRule type="expression" dxfId="47" priority="22">
      <formula>NOT(OR(IFERROR(FIND("required",ceis_answer),0)&gt;0,IFERROR(FIND("Yes",ceis_answer),0)&gt;0))</formula>
    </cfRule>
  </conditionalFormatting>
  <conditionalFormatting sqref="C69:J69">
    <cfRule type="expression" dxfId="46" priority="20">
      <formula>OR(IFERROR(SEARCH("directly",$C$68),IF(ISBLANK($C$68),1,0))&gt;0)</formula>
    </cfRule>
  </conditionalFormatting>
  <conditionalFormatting sqref="C75:J75">
    <cfRule type="expression" dxfId="45" priority="19">
      <formula>OR(IFERROR(SEARCH("directly",$C$74),IF(ISBLANK($C$74),1,0))&gt;0)</formula>
    </cfRule>
  </conditionalFormatting>
  <conditionalFormatting sqref="C81:J81">
    <cfRule type="expression" dxfId="44" priority="18">
      <formula>OR(ISBLANK($C$80),IFERROR(SEARCH("directly",$C$80),0)&gt;0,IFERROR(SEARCH("N/A",$C$80),0)&gt;0)</formula>
    </cfRule>
  </conditionalFormatting>
  <conditionalFormatting sqref="D10">
    <cfRule type="cellIs" dxfId="43" priority="6" operator="equal">
      <formula>$D$8</formula>
    </cfRule>
    <cfRule type="cellIs" dxfId="42" priority="8" operator="lessThan">
      <formula>$D$8</formula>
    </cfRule>
    <cfRule type="cellIs" dxfId="41" priority="10" operator="greaterThan">
      <formula>$D$8</formula>
    </cfRule>
  </conditionalFormatting>
  <conditionalFormatting sqref="G10">
    <cfRule type="cellIs" dxfId="40" priority="5" operator="equal">
      <formula>$G$8</formula>
    </cfRule>
    <cfRule type="cellIs" dxfId="39" priority="7" operator="lessThan">
      <formula>$G$8</formula>
    </cfRule>
    <cfRule type="cellIs" dxfId="38" priority="9" operator="greaterThan">
      <formula>$G$8</formula>
    </cfRule>
  </conditionalFormatting>
  <conditionalFormatting sqref="I54:J54">
    <cfRule type="expression" dxfId="37" priority="72">
      <formula>OR(IFERROR(SEARCH("No",K52),0)&gt;0,$C$52="")</formula>
    </cfRule>
  </conditionalFormatting>
  <conditionalFormatting sqref="K6">
    <cfRule type="expression" dxfId="36" priority="2">
      <formula>$D$12="Yes"</formula>
    </cfRule>
  </conditionalFormatting>
  <conditionalFormatting sqref="K15">
    <cfRule type="expression" dxfId="35" priority="1">
      <formula>$D$12="Yes"</formula>
    </cfRule>
  </conditionalFormatting>
  <conditionalFormatting sqref="K5:M5">
    <cfRule type="expression" dxfId="34" priority="4">
      <formula>$D$12="Yes"</formula>
    </cfRule>
  </conditionalFormatting>
  <conditionalFormatting sqref="K54:M54">
    <cfRule type="expression" dxfId="33" priority="70">
      <formula>OR(IFERROR(SEARCH("No",N52),0)&gt;0,$C$52="")</formula>
    </cfRule>
  </conditionalFormatting>
  <dataValidations count="7">
    <dataValidation type="list" allowBlank="1" showInputMessage="1" showErrorMessage="1" sqref="C33" xr:uid="{00000000-0002-0000-0E00-000000000000}">
      <formula1>fiscalcontrols_choices</formula1>
    </dataValidation>
    <dataValidation type="list" allowBlank="1" showInputMessage="1" showErrorMessage="1" sqref="C52" xr:uid="{00000000-0002-0000-0E00-000002000000}">
      <formula1>tande_choices</formula1>
    </dataValidation>
    <dataValidation type="list" allowBlank="1" showInputMessage="1" showErrorMessage="1" sqref="C68" xr:uid="{00000000-0002-0000-0E00-000003000000}">
      <formula1>regional_choices</formula1>
    </dataValidation>
    <dataValidation type="list" allowBlank="1" showInputMessage="1" showErrorMessage="1" sqref="C74" xr:uid="{00000000-0002-0000-0E00-000004000000}">
      <formula1>osd_choices</formula1>
    </dataValidation>
    <dataValidation type="list" allowBlank="1" showInputMessage="1" showErrorMessage="1" sqref="C80" xr:uid="{00000000-0002-0000-0E00-000005000000}">
      <formula1>ltct_choices</formula1>
    </dataValidation>
    <dataValidation type="list" allowBlank="1" showInputMessage="1" showErrorMessage="1" sqref="C26" xr:uid="{00000000-0002-0000-0E00-000006000000}">
      <formula1>budgetmoe_choices</formula1>
    </dataValidation>
    <dataValidation type="decimal" allowBlank="1" showInputMessage="1" showErrorMessage="1" sqref="D16" xr:uid="{00000000-0002-0000-0E00-000007000000}">
      <formula1>0</formula1>
      <formula2>6000000</formula2>
    </dataValidation>
  </dataValidations>
  <hyperlinks>
    <hyperlink ref="B55" r:id="rId1" location="idea-fiscal-monitoring" xr:uid="{CE87335B-3299-4570-B3B9-DBCDD774F72B}"/>
  </hyperlinks>
  <pageMargins left="0.25" right="0.25" top="0.75" bottom="0.75" header="0.3" footer="0.3"/>
  <pageSetup scale="97" orientation="landscape" horizontalDpi="1200" verticalDpi="1200" r:id="rId2"/>
  <rowBreaks count="2" manualBreakCount="2">
    <brk id="34" max="16383" man="1"/>
    <brk id="61" max="16383" man="1"/>
  </rowBreaks>
  <extLst>
    <ext xmlns:x14="http://schemas.microsoft.com/office/spreadsheetml/2009/9/main" uri="{78C0D931-6437-407d-A8EE-F0AAD7539E65}">
      <x14:conditionalFormattings>
        <x14:conditionalFormatting xmlns:xm="http://schemas.microsoft.com/office/excel/2006/main">
          <x14:cfRule type="expression" priority="11" id="{20EFEE99-80D9-4A22-8DFF-ED9AF4FE83EE}">
            <xm:f>AND(LeaName&lt;&gt;"",Output!$C$20)</xm:f>
            <x14:dxf>
              <fill>
                <patternFill>
                  <bgColor rgb="FF92D050"/>
                </patternFill>
              </fill>
              <border>
                <left style="thin">
                  <color rgb="FF92D050"/>
                </left>
                <right style="thin">
                  <color rgb="FF92D050"/>
                </right>
                <top style="thin">
                  <color rgb="FF92D050"/>
                </top>
                <bottom style="thin">
                  <color rgb="FF92D050"/>
                </bottom>
                <vertical/>
                <horizontal/>
              </border>
            </x14:dxf>
          </x14:cfRule>
          <x14:cfRule type="expression" priority="12" id="{01622CB4-8EE0-41F1-9A5F-C78B1544559C}">
            <xm:f>AND(LeaName&lt;&gt;"",NOT(Output!$C$20))</xm:f>
            <x14:dxf>
              <fill>
                <patternFill>
                  <bgColor rgb="FFFF0000"/>
                </patternFill>
              </fill>
              <border>
                <left style="thin">
                  <color rgb="FFFF0000"/>
                </left>
                <right style="thin">
                  <color rgb="FFFF0000"/>
                </right>
                <top style="thin">
                  <color rgb="FFFF0000"/>
                </top>
                <bottom style="thin">
                  <color rgb="FFFF0000"/>
                </bottom>
              </border>
            </x14:dxf>
          </x14:cfRule>
          <xm:sqref>A1:A83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E00-000001000000}">
          <x14:formula1>
            <xm:f>Admin!$H$2</xm:f>
          </x14:formula1>
          <xm:sqref>C41</xm:sqref>
        </x14:dataValidation>
        <x14:dataValidation type="list" allowBlank="1" showInputMessage="1" showErrorMessage="1" xr:uid="{DE98C052-DE32-4EFD-B0CF-7CFF8CC415AD}">
          <x14:formula1>
            <xm:f>Admin!$J$16:$J$18</xm:f>
          </x14:formula1>
          <xm:sqref>G16</xm:sqref>
        </x14:dataValidation>
        <x14:dataValidation type="list" allowBlank="1" showInputMessage="1" showErrorMessage="1" xr:uid="{29823BF4-4C86-4AC9-B3DC-441208C6DB51}">
          <x14:formula1>
            <xm:f>Admin!$AD$2:$AD$3</xm:f>
          </x14:formula1>
          <xm:sqref>K15</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dimension ref="A1:O66"/>
  <sheetViews>
    <sheetView showGridLines="0" workbookViewId="0"/>
  </sheetViews>
  <sheetFormatPr defaultRowHeight="14.5" x14ac:dyDescent="0.35"/>
  <cols>
    <col min="1" max="1" width="3.7265625" customWidth="1"/>
    <col min="2" max="2" width="23" customWidth="1"/>
  </cols>
  <sheetData>
    <row r="1" spans="1:15" ht="20" thickBot="1" x14ac:dyDescent="0.5">
      <c r="A1" s="3"/>
      <c r="B1" s="31" t="s">
        <v>2026</v>
      </c>
      <c r="C1" s="31"/>
      <c r="D1" s="31"/>
      <c r="E1" s="31"/>
      <c r="F1" s="31"/>
      <c r="G1" s="31"/>
      <c r="H1" s="31"/>
      <c r="I1" s="31"/>
      <c r="J1" s="31"/>
      <c r="K1" s="31"/>
      <c r="L1" s="31"/>
      <c r="M1" s="31"/>
      <c r="N1" s="31"/>
      <c r="O1" s="3"/>
    </row>
    <row r="2" spans="1:15" ht="20.149999999999999" customHeight="1" thickTop="1" x14ac:dyDescent="0.35">
      <c r="A2" s="3"/>
      <c r="B2" s="241" t="s">
        <v>2083</v>
      </c>
      <c r="C2" s="143"/>
      <c r="D2" s="143"/>
      <c r="E2" s="143"/>
      <c r="F2" s="143"/>
      <c r="G2" s="143"/>
      <c r="H2" s="143"/>
      <c r="I2" s="143"/>
      <c r="J2" s="143"/>
      <c r="K2" s="143"/>
      <c r="L2" s="143"/>
      <c r="M2" s="143"/>
      <c r="N2" s="143"/>
      <c r="O2" s="3"/>
    </row>
    <row r="3" spans="1:15" x14ac:dyDescent="0.35">
      <c r="A3" s="3"/>
      <c r="B3" s="14" t="s">
        <v>2027</v>
      </c>
      <c r="C3" s="14"/>
      <c r="D3" s="14"/>
      <c r="E3" s="14"/>
      <c r="F3" s="14"/>
      <c r="G3" s="14"/>
      <c r="H3" s="14"/>
      <c r="I3" s="14"/>
      <c r="J3" s="14"/>
      <c r="K3" s="14"/>
      <c r="L3" s="14"/>
      <c r="M3" s="14"/>
      <c r="N3" s="14"/>
      <c r="O3" s="3"/>
    </row>
    <row r="4" spans="1:15" ht="75" customHeight="1" x14ac:dyDescent="0.35">
      <c r="A4" s="3"/>
      <c r="B4" s="426" t="s">
        <v>1671</v>
      </c>
      <c r="C4" s="426"/>
      <c r="D4" s="426"/>
      <c r="E4" s="426"/>
      <c r="F4" s="426"/>
      <c r="G4" s="426"/>
      <c r="H4" s="426"/>
      <c r="I4" s="426"/>
      <c r="J4" s="426"/>
      <c r="K4" s="426"/>
      <c r="L4" s="426"/>
      <c r="M4" s="426"/>
      <c r="N4" s="426"/>
      <c r="O4" s="3"/>
    </row>
    <row r="5" spans="1:15" ht="7.4" customHeight="1" x14ac:dyDescent="0.35">
      <c r="A5" s="3"/>
      <c r="B5" s="3"/>
      <c r="C5" s="3"/>
      <c r="D5" s="3"/>
      <c r="E5" s="3"/>
      <c r="F5" s="3"/>
      <c r="G5" s="3"/>
      <c r="H5" s="3"/>
      <c r="I5" s="3"/>
      <c r="J5" s="3"/>
      <c r="K5" s="3"/>
      <c r="L5" s="3"/>
      <c r="M5" s="3"/>
      <c r="N5" s="3"/>
      <c r="O5" s="3"/>
    </row>
    <row r="6" spans="1:15" x14ac:dyDescent="0.35">
      <c r="A6" s="3"/>
      <c r="B6" s="19" t="s">
        <v>2028</v>
      </c>
      <c r="C6" s="425"/>
      <c r="D6" s="425"/>
      <c r="E6" s="425"/>
      <c r="F6" s="425"/>
      <c r="G6" s="425"/>
      <c r="H6" s="425"/>
      <c r="I6" s="425"/>
      <c r="J6" s="425"/>
      <c r="K6" s="425"/>
      <c r="L6" s="425"/>
      <c r="M6" s="425"/>
      <c r="N6" s="34" t="s">
        <v>1656</v>
      </c>
      <c r="O6" s="3"/>
    </row>
    <row r="7" spans="1:15" ht="6.65" customHeight="1" x14ac:dyDescent="0.35">
      <c r="A7" s="3"/>
      <c r="B7" s="3"/>
      <c r="C7" s="3"/>
      <c r="D7" s="3"/>
      <c r="E7" s="3"/>
      <c r="F7" s="3"/>
      <c r="G7" s="3"/>
      <c r="H7" s="3"/>
      <c r="I7" s="3"/>
      <c r="J7" s="3"/>
      <c r="K7" s="3"/>
      <c r="L7" s="3"/>
      <c r="M7" s="3"/>
      <c r="N7" s="3"/>
      <c r="O7" s="3"/>
    </row>
    <row r="8" spans="1:15" ht="76" customHeight="1" x14ac:dyDescent="0.35">
      <c r="A8" s="3"/>
      <c r="B8" s="426" t="s">
        <v>1672</v>
      </c>
      <c r="C8" s="426"/>
      <c r="D8" s="426"/>
      <c r="E8" s="426"/>
      <c r="F8" s="426"/>
      <c r="G8" s="426"/>
      <c r="H8" s="426"/>
      <c r="I8" s="426"/>
      <c r="J8" s="426"/>
      <c r="K8" s="426"/>
      <c r="L8" s="426"/>
      <c r="M8" s="426"/>
      <c r="N8" s="426"/>
      <c r="O8" s="3"/>
    </row>
    <row r="9" spans="1:15" ht="7.4" customHeight="1" x14ac:dyDescent="0.35">
      <c r="A9" s="3"/>
      <c r="B9" s="3"/>
      <c r="C9" s="3"/>
      <c r="D9" s="3"/>
      <c r="E9" s="3"/>
      <c r="F9" s="3"/>
      <c r="G9" s="3"/>
      <c r="H9" s="3"/>
      <c r="I9" s="3"/>
      <c r="J9" s="3"/>
      <c r="K9" s="3"/>
      <c r="L9" s="3"/>
      <c r="M9" s="3"/>
      <c r="N9" s="3"/>
      <c r="O9" s="3"/>
    </row>
    <row r="10" spans="1:15" x14ac:dyDescent="0.35">
      <c r="A10" s="3"/>
      <c r="B10" s="19" t="s">
        <v>2028</v>
      </c>
      <c r="C10" s="425"/>
      <c r="D10" s="425"/>
      <c r="E10" s="425"/>
      <c r="F10" s="425"/>
      <c r="G10" s="425"/>
      <c r="H10" s="425"/>
      <c r="I10" s="425"/>
      <c r="J10" s="425"/>
      <c r="K10" s="425"/>
      <c r="L10" s="425"/>
      <c r="M10" s="425"/>
      <c r="N10" s="34" t="s">
        <v>1656</v>
      </c>
      <c r="O10" s="3"/>
    </row>
    <row r="11" spans="1:15" ht="6.65" customHeight="1" x14ac:dyDescent="0.35">
      <c r="A11" s="3"/>
      <c r="B11" s="3"/>
      <c r="C11" s="3"/>
      <c r="D11" s="3"/>
      <c r="E11" s="3"/>
      <c r="F11" s="3"/>
      <c r="G11" s="3"/>
      <c r="H11" s="3"/>
      <c r="I11" s="3"/>
      <c r="J11" s="3"/>
      <c r="K11" s="3"/>
      <c r="L11" s="3"/>
      <c r="M11" s="3"/>
      <c r="N11" s="3"/>
      <c r="O11" s="3"/>
    </row>
    <row r="12" spans="1:15" ht="48.75" customHeight="1" x14ac:dyDescent="0.35">
      <c r="A12" s="3"/>
      <c r="B12" s="426" t="s">
        <v>1673</v>
      </c>
      <c r="C12" s="426"/>
      <c r="D12" s="426"/>
      <c r="E12" s="426"/>
      <c r="F12" s="426"/>
      <c r="G12" s="426"/>
      <c r="H12" s="426"/>
      <c r="I12" s="426"/>
      <c r="J12" s="426"/>
      <c r="K12" s="426"/>
      <c r="L12" s="426"/>
      <c r="M12" s="426"/>
      <c r="N12" s="426"/>
      <c r="O12" s="3"/>
    </row>
    <row r="13" spans="1:15" ht="7.4" customHeight="1" x14ac:dyDescent="0.35">
      <c r="A13" s="3"/>
      <c r="B13" s="3"/>
      <c r="C13" s="3"/>
      <c r="D13" s="3"/>
      <c r="E13" s="3"/>
      <c r="F13" s="3"/>
      <c r="G13" s="3"/>
      <c r="H13" s="3"/>
      <c r="I13" s="3"/>
      <c r="J13" s="3"/>
      <c r="K13" s="3"/>
      <c r="L13" s="3"/>
      <c r="M13" s="3"/>
      <c r="N13" s="3"/>
      <c r="O13" s="3"/>
    </row>
    <row r="14" spans="1:15" x14ac:dyDescent="0.35">
      <c r="A14" s="3"/>
      <c r="B14" s="19" t="s">
        <v>2028</v>
      </c>
      <c r="C14" s="425"/>
      <c r="D14" s="425"/>
      <c r="E14" s="425"/>
      <c r="F14" s="425"/>
      <c r="G14" s="425"/>
      <c r="H14" s="425"/>
      <c r="I14" s="425"/>
      <c r="J14" s="425"/>
      <c r="K14" s="425"/>
      <c r="L14" s="425"/>
      <c r="M14" s="425"/>
      <c r="N14" s="34" t="s">
        <v>1656</v>
      </c>
      <c r="O14" s="3"/>
    </row>
    <row r="15" spans="1:15" ht="6.65" customHeight="1" x14ac:dyDescent="0.35">
      <c r="A15" s="3"/>
      <c r="B15" s="3"/>
      <c r="C15" s="3"/>
      <c r="D15" s="3"/>
      <c r="E15" s="3"/>
      <c r="F15" s="3"/>
      <c r="G15" s="3"/>
      <c r="H15" s="3"/>
      <c r="I15" s="3"/>
      <c r="J15" s="3"/>
      <c r="K15" s="3"/>
      <c r="L15" s="3"/>
      <c r="M15" s="3"/>
      <c r="N15" s="3"/>
      <c r="O15" s="3"/>
    </row>
    <row r="16" spans="1:15" ht="48.75" customHeight="1" x14ac:dyDescent="0.35">
      <c r="A16" s="3"/>
      <c r="B16" s="426" t="s">
        <v>1674</v>
      </c>
      <c r="C16" s="426"/>
      <c r="D16" s="426"/>
      <c r="E16" s="426"/>
      <c r="F16" s="426"/>
      <c r="G16" s="426"/>
      <c r="H16" s="426"/>
      <c r="I16" s="426"/>
      <c r="J16" s="426"/>
      <c r="K16" s="426"/>
      <c r="L16" s="426"/>
      <c r="M16" s="426"/>
      <c r="N16" s="426"/>
      <c r="O16" s="3"/>
    </row>
    <row r="17" spans="1:15" ht="7.4" customHeight="1" x14ac:dyDescent="0.35">
      <c r="A17" s="3"/>
      <c r="B17" s="3"/>
      <c r="C17" s="3"/>
      <c r="D17" s="3"/>
      <c r="E17" s="3"/>
      <c r="F17" s="3"/>
      <c r="G17" s="3"/>
      <c r="H17" s="3"/>
      <c r="I17" s="3"/>
      <c r="J17" s="3"/>
      <c r="K17" s="3"/>
      <c r="L17" s="3"/>
      <c r="M17" s="3"/>
      <c r="N17" s="3"/>
      <c r="O17" s="3"/>
    </row>
    <row r="18" spans="1:15" x14ac:dyDescent="0.35">
      <c r="A18" s="3"/>
      <c r="B18" s="19" t="s">
        <v>2028</v>
      </c>
      <c r="C18" s="425"/>
      <c r="D18" s="425"/>
      <c r="E18" s="425"/>
      <c r="F18" s="425"/>
      <c r="G18" s="425"/>
      <c r="H18" s="425"/>
      <c r="I18" s="425"/>
      <c r="J18" s="425"/>
      <c r="K18" s="425"/>
      <c r="L18" s="425"/>
      <c r="M18" s="425"/>
      <c r="N18" s="34" t="s">
        <v>1656</v>
      </c>
      <c r="O18" s="3"/>
    </row>
    <row r="19" spans="1:15" ht="6.65" customHeight="1" x14ac:dyDescent="0.35">
      <c r="A19" s="3"/>
      <c r="B19" s="3"/>
      <c r="C19" s="3"/>
      <c r="D19" s="3"/>
      <c r="E19" s="3"/>
      <c r="F19" s="3"/>
      <c r="G19" s="3"/>
      <c r="H19" s="3"/>
      <c r="I19" s="3"/>
      <c r="J19" s="3"/>
      <c r="K19" s="3"/>
      <c r="L19" s="3"/>
      <c r="M19" s="3"/>
      <c r="N19" s="3"/>
      <c r="O19" s="3"/>
    </row>
    <row r="20" spans="1:15" ht="62.25" customHeight="1" x14ac:dyDescent="0.35">
      <c r="A20" s="3"/>
      <c r="B20" s="426" t="s">
        <v>1675</v>
      </c>
      <c r="C20" s="426"/>
      <c r="D20" s="426"/>
      <c r="E20" s="426"/>
      <c r="F20" s="426"/>
      <c r="G20" s="426"/>
      <c r="H20" s="426"/>
      <c r="I20" s="426"/>
      <c r="J20" s="426"/>
      <c r="K20" s="426"/>
      <c r="L20" s="426"/>
      <c r="M20" s="426"/>
      <c r="N20" s="426"/>
      <c r="O20" s="3"/>
    </row>
    <row r="21" spans="1:15" ht="7.4" customHeight="1" x14ac:dyDescent="0.35">
      <c r="A21" s="3"/>
      <c r="B21" s="3"/>
      <c r="C21" s="3"/>
      <c r="D21" s="3"/>
      <c r="E21" s="3"/>
      <c r="F21" s="3"/>
      <c r="G21" s="3"/>
      <c r="H21" s="3"/>
      <c r="I21" s="3"/>
      <c r="J21" s="3"/>
      <c r="K21" s="3"/>
      <c r="L21" s="3"/>
      <c r="M21" s="3"/>
      <c r="N21" s="3"/>
      <c r="O21" s="3"/>
    </row>
    <row r="22" spans="1:15" x14ac:dyDescent="0.35">
      <c r="A22" s="3"/>
      <c r="B22" s="19" t="s">
        <v>2028</v>
      </c>
      <c r="C22" s="425"/>
      <c r="D22" s="425"/>
      <c r="E22" s="425"/>
      <c r="F22" s="425"/>
      <c r="G22" s="425"/>
      <c r="H22" s="425"/>
      <c r="I22" s="425"/>
      <c r="J22" s="425"/>
      <c r="K22" s="425"/>
      <c r="L22" s="425"/>
      <c r="M22" s="425"/>
      <c r="N22" s="34" t="s">
        <v>1656</v>
      </c>
      <c r="O22" s="3"/>
    </row>
    <row r="23" spans="1:15" ht="6.65" customHeight="1" x14ac:dyDescent="0.35">
      <c r="A23" s="3"/>
      <c r="B23" s="3"/>
      <c r="C23" s="3"/>
      <c r="D23" s="3"/>
      <c r="E23" s="3"/>
      <c r="F23" s="3"/>
      <c r="G23" s="3"/>
      <c r="H23" s="3"/>
      <c r="I23" s="3"/>
      <c r="J23" s="3"/>
      <c r="K23" s="3"/>
      <c r="L23" s="3"/>
      <c r="M23" s="3"/>
      <c r="N23" s="3"/>
      <c r="O23" s="3"/>
    </row>
    <row r="24" spans="1:15" ht="54.75" customHeight="1" x14ac:dyDescent="0.35">
      <c r="A24" s="3"/>
      <c r="B24" s="426" t="s">
        <v>1676</v>
      </c>
      <c r="C24" s="426"/>
      <c r="D24" s="426"/>
      <c r="E24" s="426"/>
      <c r="F24" s="426"/>
      <c r="G24" s="426"/>
      <c r="H24" s="426"/>
      <c r="I24" s="426"/>
      <c r="J24" s="426"/>
      <c r="K24" s="426"/>
      <c r="L24" s="426"/>
      <c r="M24" s="426"/>
      <c r="N24" s="426"/>
      <c r="O24" s="3"/>
    </row>
    <row r="25" spans="1:15" ht="7.4" customHeight="1" x14ac:dyDescent="0.35">
      <c r="A25" s="3"/>
      <c r="B25" s="3"/>
      <c r="C25" s="3"/>
      <c r="D25" s="3"/>
      <c r="E25" s="3"/>
      <c r="F25" s="3"/>
      <c r="G25" s="3"/>
      <c r="H25" s="3"/>
      <c r="I25" s="3"/>
      <c r="J25" s="3"/>
      <c r="K25" s="3"/>
      <c r="L25" s="3"/>
      <c r="M25" s="3"/>
      <c r="N25" s="3"/>
      <c r="O25" s="3"/>
    </row>
    <row r="26" spans="1:15" x14ac:dyDescent="0.35">
      <c r="A26" s="3"/>
      <c r="B26" s="19" t="s">
        <v>2028</v>
      </c>
      <c r="C26" s="425"/>
      <c r="D26" s="425"/>
      <c r="E26" s="425"/>
      <c r="F26" s="425"/>
      <c r="G26" s="425"/>
      <c r="H26" s="425"/>
      <c r="I26" s="425"/>
      <c r="J26" s="425"/>
      <c r="K26" s="425"/>
      <c r="L26" s="425"/>
      <c r="M26" s="425"/>
      <c r="N26" s="34" t="s">
        <v>1656</v>
      </c>
      <c r="O26" s="3"/>
    </row>
    <row r="27" spans="1:15" ht="6.65" customHeight="1" x14ac:dyDescent="0.35">
      <c r="A27" s="3"/>
      <c r="B27" s="3"/>
      <c r="C27" s="3"/>
      <c r="D27" s="3"/>
      <c r="E27" s="3"/>
      <c r="F27" s="3"/>
      <c r="G27" s="3"/>
      <c r="H27" s="3"/>
      <c r="I27" s="3"/>
      <c r="J27" s="3"/>
      <c r="K27" s="3"/>
      <c r="L27" s="3"/>
      <c r="M27" s="3"/>
      <c r="N27" s="3"/>
      <c r="O27" s="3"/>
    </row>
    <row r="28" spans="1:15" ht="79.5" customHeight="1" x14ac:dyDescent="0.35">
      <c r="A28" s="3"/>
      <c r="B28" s="426" t="s">
        <v>1677</v>
      </c>
      <c r="C28" s="426"/>
      <c r="D28" s="426"/>
      <c r="E28" s="426"/>
      <c r="F28" s="426"/>
      <c r="G28" s="426"/>
      <c r="H28" s="426"/>
      <c r="I28" s="426"/>
      <c r="J28" s="426"/>
      <c r="K28" s="426"/>
      <c r="L28" s="426"/>
      <c r="M28" s="426"/>
      <c r="N28" s="426"/>
      <c r="O28" s="3"/>
    </row>
    <row r="29" spans="1:15" ht="7.4" customHeight="1" x14ac:dyDescent="0.35">
      <c r="A29" s="3"/>
      <c r="B29" s="3"/>
      <c r="C29" s="3"/>
      <c r="D29" s="3"/>
      <c r="E29" s="3"/>
      <c r="F29" s="3"/>
      <c r="G29" s="3"/>
      <c r="H29" s="3"/>
      <c r="I29" s="3"/>
      <c r="J29" s="3"/>
      <c r="K29" s="3"/>
      <c r="L29" s="3"/>
      <c r="M29" s="3"/>
      <c r="N29" s="3"/>
      <c r="O29" s="3"/>
    </row>
    <row r="30" spans="1:15" x14ac:dyDescent="0.35">
      <c r="A30" s="3"/>
      <c r="B30" s="19" t="s">
        <v>2028</v>
      </c>
      <c r="C30" s="425"/>
      <c r="D30" s="425"/>
      <c r="E30" s="425"/>
      <c r="F30" s="425"/>
      <c r="G30" s="425"/>
      <c r="H30" s="425"/>
      <c r="I30" s="425"/>
      <c r="J30" s="425"/>
      <c r="K30" s="425"/>
      <c r="L30" s="425"/>
      <c r="M30" s="425"/>
      <c r="N30" s="34" t="s">
        <v>1656</v>
      </c>
      <c r="O30" s="3"/>
    </row>
    <row r="31" spans="1:15" ht="6.65" customHeight="1" x14ac:dyDescent="0.35">
      <c r="A31" s="3"/>
      <c r="B31" s="3"/>
      <c r="C31" s="3"/>
      <c r="D31" s="3"/>
      <c r="E31" s="3"/>
      <c r="F31" s="3"/>
      <c r="G31" s="3"/>
      <c r="H31" s="3"/>
      <c r="I31" s="3"/>
      <c r="J31" s="3"/>
      <c r="K31" s="3"/>
      <c r="L31" s="3"/>
      <c r="M31" s="3"/>
      <c r="N31" s="3"/>
      <c r="O31" s="3"/>
    </row>
    <row r="32" spans="1:15" ht="63" customHeight="1" x14ac:dyDescent="0.35">
      <c r="A32" s="3"/>
      <c r="B32" s="426" t="s">
        <v>1678</v>
      </c>
      <c r="C32" s="426"/>
      <c r="D32" s="426"/>
      <c r="E32" s="426"/>
      <c r="F32" s="426"/>
      <c r="G32" s="426"/>
      <c r="H32" s="426"/>
      <c r="I32" s="426"/>
      <c r="J32" s="426"/>
      <c r="K32" s="426"/>
      <c r="L32" s="426"/>
      <c r="M32" s="426"/>
      <c r="N32" s="426"/>
      <c r="O32" s="3"/>
    </row>
    <row r="33" spans="1:15" ht="7.4" customHeight="1" x14ac:dyDescent="0.35">
      <c r="A33" s="3"/>
      <c r="B33" s="3"/>
      <c r="C33" s="3"/>
      <c r="D33" s="3"/>
      <c r="E33" s="3"/>
      <c r="F33" s="3"/>
      <c r="G33" s="3"/>
      <c r="H33" s="3"/>
      <c r="I33" s="3"/>
      <c r="J33" s="3"/>
      <c r="K33" s="3"/>
      <c r="L33" s="3"/>
      <c r="M33" s="3"/>
      <c r="N33" s="3"/>
      <c r="O33" s="3"/>
    </row>
    <row r="34" spans="1:15" x14ac:dyDescent="0.35">
      <c r="A34" s="3"/>
      <c r="B34" s="19" t="s">
        <v>2028</v>
      </c>
      <c r="C34" s="425"/>
      <c r="D34" s="425"/>
      <c r="E34" s="425"/>
      <c r="F34" s="425"/>
      <c r="G34" s="425"/>
      <c r="H34" s="425"/>
      <c r="I34" s="425"/>
      <c r="J34" s="425"/>
      <c r="K34" s="425"/>
      <c r="L34" s="425"/>
      <c r="M34" s="425"/>
      <c r="N34" s="34" t="s">
        <v>1656</v>
      </c>
      <c r="O34" s="3"/>
    </row>
    <row r="35" spans="1:15" ht="6.65" customHeight="1" x14ac:dyDescent="0.35">
      <c r="A35" s="3"/>
      <c r="B35" s="3"/>
      <c r="C35" s="3"/>
      <c r="D35" s="3"/>
      <c r="E35" s="3"/>
      <c r="F35" s="3"/>
      <c r="G35" s="3"/>
      <c r="H35" s="3"/>
      <c r="I35" s="3"/>
      <c r="J35" s="3"/>
      <c r="K35" s="3"/>
      <c r="L35" s="3"/>
      <c r="M35" s="3"/>
      <c r="N35" s="3"/>
      <c r="O35" s="3"/>
    </row>
    <row r="36" spans="1:15" ht="97.5" customHeight="1" x14ac:dyDescent="0.35">
      <c r="A36" s="3"/>
      <c r="B36" s="426" t="s">
        <v>1679</v>
      </c>
      <c r="C36" s="426"/>
      <c r="D36" s="426"/>
      <c r="E36" s="426"/>
      <c r="F36" s="426"/>
      <c r="G36" s="426"/>
      <c r="H36" s="426"/>
      <c r="I36" s="426"/>
      <c r="J36" s="426"/>
      <c r="K36" s="426"/>
      <c r="L36" s="426"/>
      <c r="M36" s="426"/>
      <c r="N36" s="426"/>
      <c r="O36" s="3"/>
    </row>
    <row r="37" spans="1:15" ht="7.4" customHeight="1" x14ac:dyDescent="0.35">
      <c r="A37" s="3"/>
      <c r="B37" s="3"/>
      <c r="C37" s="3"/>
      <c r="D37" s="3"/>
      <c r="E37" s="3"/>
      <c r="F37" s="3"/>
      <c r="G37" s="3"/>
      <c r="H37" s="3"/>
      <c r="I37" s="3"/>
      <c r="J37" s="3"/>
      <c r="K37" s="3"/>
      <c r="L37" s="3"/>
      <c r="M37" s="3"/>
      <c r="N37" s="3"/>
      <c r="O37" s="3"/>
    </row>
    <row r="38" spans="1:15" x14ac:dyDescent="0.35">
      <c r="A38" s="3"/>
      <c r="B38" s="19" t="s">
        <v>2028</v>
      </c>
      <c r="C38" s="425"/>
      <c r="D38" s="425"/>
      <c r="E38" s="425"/>
      <c r="F38" s="425"/>
      <c r="G38" s="425"/>
      <c r="H38" s="425"/>
      <c r="I38" s="425"/>
      <c r="J38" s="425"/>
      <c r="K38" s="425"/>
      <c r="L38" s="425"/>
      <c r="M38" s="425"/>
      <c r="N38" s="34" t="s">
        <v>1656</v>
      </c>
      <c r="O38" s="3"/>
    </row>
    <row r="39" spans="1:15" ht="6.65" customHeight="1" x14ac:dyDescent="0.35">
      <c r="A39" s="3"/>
      <c r="B39" s="3"/>
      <c r="C39" s="3"/>
      <c r="D39" s="3"/>
      <c r="E39" s="3"/>
      <c r="F39" s="3"/>
      <c r="G39" s="3"/>
      <c r="H39" s="3"/>
      <c r="I39" s="3"/>
      <c r="J39" s="3"/>
      <c r="K39" s="3"/>
      <c r="L39" s="3"/>
      <c r="M39" s="3"/>
      <c r="N39" s="3"/>
      <c r="O39" s="3"/>
    </row>
    <row r="40" spans="1:15" ht="33.75" customHeight="1" x14ac:dyDescent="0.35">
      <c r="A40" s="3"/>
      <c r="B40" s="426" t="s">
        <v>1680</v>
      </c>
      <c r="C40" s="426"/>
      <c r="D40" s="426"/>
      <c r="E40" s="426"/>
      <c r="F40" s="426"/>
      <c r="G40" s="426"/>
      <c r="H40" s="426"/>
      <c r="I40" s="426"/>
      <c r="J40" s="426"/>
      <c r="K40" s="426"/>
      <c r="L40" s="426"/>
      <c r="M40" s="426"/>
      <c r="N40" s="426"/>
      <c r="O40" s="3"/>
    </row>
    <row r="41" spans="1:15" ht="7.4" customHeight="1" x14ac:dyDescent="0.35">
      <c r="A41" s="3"/>
      <c r="B41" s="3"/>
      <c r="C41" s="3"/>
      <c r="D41" s="3"/>
      <c r="E41" s="3"/>
      <c r="F41" s="3"/>
      <c r="G41" s="3"/>
      <c r="H41" s="3"/>
      <c r="I41" s="3"/>
      <c r="J41" s="3"/>
      <c r="K41" s="3"/>
      <c r="L41" s="3"/>
      <c r="M41" s="3"/>
      <c r="N41" s="3"/>
      <c r="O41" s="3"/>
    </row>
    <row r="42" spans="1:15" x14ac:dyDescent="0.35">
      <c r="A42" s="3"/>
      <c r="B42" s="19" t="s">
        <v>2028</v>
      </c>
      <c r="C42" s="425"/>
      <c r="D42" s="425"/>
      <c r="E42" s="425"/>
      <c r="F42" s="425"/>
      <c r="G42" s="425"/>
      <c r="H42" s="425"/>
      <c r="I42" s="425"/>
      <c r="J42" s="425"/>
      <c r="K42" s="425"/>
      <c r="L42" s="425"/>
      <c r="M42" s="425"/>
      <c r="N42" s="34" t="s">
        <v>1656</v>
      </c>
      <c r="O42" s="3"/>
    </row>
    <row r="43" spans="1:15" ht="6.65" customHeight="1" x14ac:dyDescent="0.35">
      <c r="A43" s="3"/>
      <c r="B43" s="3"/>
      <c r="C43" s="3"/>
      <c r="D43" s="3"/>
      <c r="E43" s="3"/>
      <c r="F43" s="3"/>
      <c r="G43" s="3"/>
      <c r="H43" s="3"/>
      <c r="I43" s="3"/>
      <c r="J43" s="3"/>
      <c r="K43" s="3"/>
      <c r="L43" s="3"/>
      <c r="M43" s="3"/>
      <c r="N43" s="3"/>
      <c r="O43" s="3"/>
    </row>
    <row r="44" spans="1:15" ht="46.5" customHeight="1" x14ac:dyDescent="0.35">
      <c r="A44" s="3"/>
      <c r="B44" s="426" t="s">
        <v>1681</v>
      </c>
      <c r="C44" s="426"/>
      <c r="D44" s="426"/>
      <c r="E44" s="426"/>
      <c r="F44" s="426"/>
      <c r="G44" s="426"/>
      <c r="H44" s="426"/>
      <c r="I44" s="426"/>
      <c r="J44" s="426"/>
      <c r="K44" s="426"/>
      <c r="L44" s="426"/>
      <c r="M44" s="426"/>
      <c r="N44" s="426"/>
      <c r="O44" s="3"/>
    </row>
    <row r="45" spans="1:15" ht="7.4" customHeight="1" x14ac:dyDescent="0.35">
      <c r="A45" s="3"/>
      <c r="B45" s="3"/>
      <c r="C45" s="3"/>
      <c r="D45" s="3"/>
      <c r="E45" s="3"/>
      <c r="F45" s="3"/>
      <c r="G45" s="3"/>
      <c r="H45" s="3"/>
      <c r="I45" s="3"/>
      <c r="J45" s="3"/>
      <c r="K45" s="3"/>
      <c r="L45" s="3"/>
      <c r="M45" s="3"/>
      <c r="N45" s="3"/>
      <c r="O45" s="3"/>
    </row>
    <row r="46" spans="1:15" x14ac:dyDescent="0.35">
      <c r="A46" s="3"/>
      <c r="B46" s="19" t="s">
        <v>2028</v>
      </c>
      <c r="C46" s="425"/>
      <c r="D46" s="425"/>
      <c r="E46" s="425"/>
      <c r="F46" s="425"/>
      <c r="G46" s="425"/>
      <c r="H46" s="425"/>
      <c r="I46" s="425"/>
      <c r="J46" s="425"/>
      <c r="K46" s="425"/>
      <c r="L46" s="425"/>
      <c r="M46" s="425"/>
      <c r="N46" s="34" t="s">
        <v>1656</v>
      </c>
      <c r="O46" s="3"/>
    </row>
    <row r="47" spans="1:15" ht="6.65" customHeight="1" x14ac:dyDescent="0.35">
      <c r="A47" s="3"/>
      <c r="B47" s="3"/>
      <c r="C47" s="3"/>
      <c r="D47" s="3"/>
      <c r="E47" s="3"/>
      <c r="F47" s="3"/>
      <c r="G47" s="3"/>
      <c r="H47" s="3"/>
      <c r="I47" s="3"/>
      <c r="J47" s="3"/>
      <c r="K47" s="3"/>
      <c r="L47" s="3"/>
      <c r="M47" s="3"/>
      <c r="N47" s="3"/>
      <c r="O47" s="3"/>
    </row>
    <row r="48" spans="1:15" ht="65.25" customHeight="1" x14ac:dyDescent="0.35">
      <c r="A48" s="3"/>
      <c r="B48" s="426" t="s">
        <v>1682</v>
      </c>
      <c r="C48" s="426"/>
      <c r="D48" s="426"/>
      <c r="E48" s="426"/>
      <c r="F48" s="426"/>
      <c r="G48" s="426"/>
      <c r="H48" s="426"/>
      <c r="I48" s="426"/>
      <c r="J48" s="426"/>
      <c r="K48" s="426"/>
      <c r="L48" s="426"/>
      <c r="M48" s="426"/>
      <c r="N48" s="426"/>
      <c r="O48" s="3"/>
    </row>
    <row r="49" spans="1:15" ht="7.4" customHeight="1" x14ac:dyDescent="0.35">
      <c r="A49" s="3"/>
      <c r="B49" s="3"/>
      <c r="C49" s="3"/>
      <c r="D49" s="3"/>
      <c r="E49" s="3"/>
      <c r="F49" s="3"/>
      <c r="G49" s="3"/>
      <c r="H49" s="3"/>
      <c r="I49" s="3"/>
      <c r="J49" s="3"/>
      <c r="K49" s="3"/>
      <c r="L49" s="3"/>
      <c r="M49" s="3"/>
      <c r="N49" s="3"/>
      <c r="O49" s="3"/>
    </row>
    <row r="50" spans="1:15" x14ac:dyDescent="0.35">
      <c r="A50" s="3"/>
      <c r="B50" s="19" t="s">
        <v>2028</v>
      </c>
      <c r="C50" s="425"/>
      <c r="D50" s="425"/>
      <c r="E50" s="425"/>
      <c r="F50" s="425"/>
      <c r="G50" s="425"/>
      <c r="H50" s="425"/>
      <c r="I50" s="425"/>
      <c r="J50" s="425"/>
      <c r="K50" s="425"/>
      <c r="L50" s="425"/>
      <c r="M50" s="425"/>
      <c r="N50" s="34" t="s">
        <v>1656</v>
      </c>
      <c r="O50" s="3"/>
    </row>
    <row r="51" spans="1:15" ht="6.65" customHeight="1" x14ac:dyDescent="0.35">
      <c r="A51" s="3"/>
      <c r="B51" s="3"/>
      <c r="C51" s="3"/>
      <c r="D51" s="3"/>
      <c r="E51" s="3"/>
      <c r="F51" s="3"/>
      <c r="G51" s="3"/>
      <c r="H51" s="3"/>
      <c r="I51" s="3"/>
      <c r="J51" s="3"/>
      <c r="K51" s="3"/>
      <c r="L51" s="3"/>
      <c r="M51" s="3"/>
      <c r="N51" s="3"/>
      <c r="O51" s="3"/>
    </row>
    <row r="52" spans="1:15" ht="52.5" customHeight="1" x14ac:dyDescent="0.35">
      <c r="A52" s="3"/>
      <c r="B52" s="426" t="s">
        <v>1683</v>
      </c>
      <c r="C52" s="426"/>
      <c r="D52" s="426"/>
      <c r="E52" s="426"/>
      <c r="F52" s="426"/>
      <c r="G52" s="426"/>
      <c r="H52" s="426"/>
      <c r="I52" s="426"/>
      <c r="J52" s="426"/>
      <c r="K52" s="426"/>
      <c r="L52" s="426"/>
      <c r="M52" s="426"/>
      <c r="N52" s="426"/>
      <c r="O52" s="3"/>
    </row>
    <row r="53" spans="1:15" ht="7.4" customHeight="1" x14ac:dyDescent="0.35">
      <c r="A53" s="3"/>
      <c r="B53" s="3"/>
      <c r="C53" s="3"/>
      <c r="D53" s="3"/>
      <c r="E53" s="3"/>
      <c r="F53" s="3"/>
      <c r="G53" s="3"/>
      <c r="H53" s="3"/>
      <c r="I53" s="3"/>
      <c r="J53" s="3"/>
      <c r="K53" s="3"/>
      <c r="L53" s="3"/>
      <c r="M53" s="3"/>
      <c r="N53" s="3"/>
      <c r="O53" s="3"/>
    </row>
    <row r="54" spans="1:15" x14ac:dyDescent="0.35">
      <c r="A54" s="3"/>
      <c r="B54" s="19" t="s">
        <v>2028</v>
      </c>
      <c r="C54" s="425"/>
      <c r="D54" s="425"/>
      <c r="E54" s="425"/>
      <c r="F54" s="425"/>
      <c r="G54" s="425"/>
      <c r="H54" s="425"/>
      <c r="I54" s="425"/>
      <c r="J54" s="425"/>
      <c r="K54" s="425"/>
      <c r="L54" s="425"/>
      <c r="M54" s="425"/>
      <c r="N54" s="34" t="s">
        <v>1656</v>
      </c>
      <c r="O54" s="3"/>
    </row>
    <row r="55" spans="1:15" ht="6.65" customHeight="1" x14ac:dyDescent="0.35">
      <c r="A55" s="3"/>
      <c r="B55" s="3"/>
      <c r="C55" s="3"/>
      <c r="D55" s="3"/>
      <c r="E55" s="3"/>
      <c r="F55" s="3"/>
      <c r="G55" s="3"/>
      <c r="H55" s="3"/>
      <c r="I55" s="3"/>
      <c r="J55" s="3"/>
      <c r="K55" s="3"/>
      <c r="L55" s="3"/>
      <c r="M55" s="3"/>
      <c r="N55" s="3"/>
      <c r="O55" s="3"/>
    </row>
    <row r="56" spans="1:15" ht="114" customHeight="1" x14ac:dyDescent="0.35">
      <c r="A56" s="3"/>
      <c r="B56" s="426" t="s">
        <v>1684</v>
      </c>
      <c r="C56" s="426"/>
      <c r="D56" s="426"/>
      <c r="E56" s="426"/>
      <c r="F56" s="426"/>
      <c r="G56" s="426"/>
      <c r="H56" s="426"/>
      <c r="I56" s="426"/>
      <c r="J56" s="426"/>
      <c r="K56" s="426"/>
      <c r="L56" s="426"/>
      <c r="M56" s="426"/>
      <c r="N56" s="426"/>
      <c r="O56" s="3"/>
    </row>
    <row r="57" spans="1:15" ht="7.4" customHeight="1" x14ac:dyDescent="0.35">
      <c r="A57" s="3"/>
      <c r="B57" s="3"/>
      <c r="C57" s="3"/>
      <c r="D57" s="3"/>
      <c r="E57" s="3"/>
      <c r="F57" s="3"/>
      <c r="G57" s="3"/>
      <c r="H57" s="3"/>
      <c r="I57" s="3"/>
      <c r="J57" s="3"/>
      <c r="K57" s="3"/>
      <c r="L57" s="3"/>
      <c r="M57" s="3"/>
      <c r="N57" s="3"/>
      <c r="O57" s="3"/>
    </row>
    <row r="58" spans="1:15" x14ac:dyDescent="0.35">
      <c r="A58" s="3"/>
      <c r="B58" s="19" t="s">
        <v>2028</v>
      </c>
      <c r="C58" s="425"/>
      <c r="D58" s="425"/>
      <c r="E58" s="425"/>
      <c r="F58" s="425"/>
      <c r="G58" s="425"/>
      <c r="H58" s="425"/>
      <c r="I58" s="425"/>
      <c r="J58" s="425"/>
      <c r="K58" s="425"/>
      <c r="L58" s="425"/>
      <c r="M58" s="425"/>
      <c r="N58" s="34" t="s">
        <v>1656</v>
      </c>
      <c r="O58" s="3"/>
    </row>
    <row r="59" spans="1:15" ht="6.65" customHeight="1" x14ac:dyDescent="0.35">
      <c r="A59" s="3"/>
      <c r="B59" s="3"/>
      <c r="C59" s="3"/>
      <c r="D59" s="3"/>
      <c r="E59" s="3"/>
      <c r="F59" s="3"/>
      <c r="G59" s="3"/>
      <c r="H59" s="3"/>
      <c r="I59" s="3"/>
      <c r="J59" s="3"/>
      <c r="K59" s="3"/>
      <c r="L59" s="3"/>
      <c r="M59" s="3"/>
      <c r="N59" s="3"/>
      <c r="O59" s="3"/>
    </row>
    <row r="60" spans="1:15" ht="84" customHeight="1" x14ac:dyDescent="0.35">
      <c r="A60" s="3"/>
      <c r="B60" s="426" t="s">
        <v>1685</v>
      </c>
      <c r="C60" s="426"/>
      <c r="D60" s="426"/>
      <c r="E60" s="426"/>
      <c r="F60" s="426"/>
      <c r="G60" s="426"/>
      <c r="H60" s="426"/>
      <c r="I60" s="426"/>
      <c r="J60" s="426"/>
      <c r="K60" s="426"/>
      <c r="L60" s="426"/>
      <c r="M60" s="426"/>
      <c r="N60" s="426"/>
      <c r="O60" s="3"/>
    </row>
    <row r="61" spans="1:15" ht="7.4" customHeight="1" x14ac:dyDescent="0.35">
      <c r="A61" s="3"/>
      <c r="B61" s="3"/>
      <c r="C61" s="3"/>
      <c r="D61" s="3"/>
      <c r="E61" s="3"/>
      <c r="F61" s="3"/>
      <c r="G61" s="3"/>
      <c r="H61" s="3"/>
      <c r="I61" s="3"/>
      <c r="J61" s="3"/>
      <c r="K61" s="3"/>
      <c r="L61" s="3"/>
      <c r="M61" s="3"/>
      <c r="N61" s="3"/>
      <c r="O61" s="3"/>
    </row>
    <row r="62" spans="1:15" x14ac:dyDescent="0.35">
      <c r="A62" s="3"/>
      <c r="B62" s="19" t="s">
        <v>2028</v>
      </c>
      <c r="C62" s="425"/>
      <c r="D62" s="425"/>
      <c r="E62" s="425"/>
      <c r="F62" s="425"/>
      <c r="G62" s="425"/>
      <c r="H62" s="425"/>
      <c r="I62" s="425"/>
      <c r="J62" s="425"/>
      <c r="K62" s="425"/>
      <c r="L62" s="425"/>
      <c r="M62" s="425"/>
      <c r="N62" s="34" t="s">
        <v>1656</v>
      </c>
      <c r="O62" s="3"/>
    </row>
    <row r="63" spans="1:15" ht="6.65" customHeight="1" x14ac:dyDescent="0.35">
      <c r="A63" s="3"/>
      <c r="B63" s="3"/>
      <c r="C63" s="3"/>
      <c r="D63" s="3"/>
      <c r="E63" s="3"/>
      <c r="F63" s="3"/>
      <c r="G63" s="3"/>
      <c r="H63" s="3"/>
      <c r="I63" s="3"/>
      <c r="J63" s="3"/>
      <c r="K63" s="3"/>
      <c r="L63" s="3"/>
      <c r="M63" s="3"/>
      <c r="N63" s="3"/>
      <c r="O63" s="3"/>
    </row>
    <row r="64" spans="1:15" ht="35.25" customHeight="1" x14ac:dyDescent="0.35">
      <c r="A64" s="3"/>
      <c r="B64" s="426" t="s">
        <v>1686</v>
      </c>
      <c r="C64" s="426"/>
      <c r="D64" s="426"/>
      <c r="E64" s="426"/>
      <c r="F64" s="426"/>
      <c r="G64" s="426"/>
      <c r="H64" s="426"/>
      <c r="I64" s="426"/>
      <c r="J64" s="426"/>
      <c r="K64" s="426"/>
      <c r="L64" s="426"/>
      <c r="M64" s="426"/>
      <c r="N64" s="426"/>
      <c r="O64" s="3"/>
    </row>
    <row r="65" spans="1:15" ht="7.4" customHeight="1" x14ac:dyDescent="0.35">
      <c r="A65" s="3"/>
      <c r="B65" s="3"/>
      <c r="C65" s="3"/>
      <c r="D65" s="3"/>
      <c r="E65" s="3"/>
      <c r="F65" s="3"/>
      <c r="G65" s="3"/>
      <c r="H65" s="3"/>
      <c r="I65" s="3"/>
      <c r="J65" s="3"/>
      <c r="K65" s="3"/>
      <c r="L65" s="3"/>
      <c r="M65" s="3"/>
      <c r="N65" s="3"/>
      <c r="O65" s="3"/>
    </row>
    <row r="66" spans="1:15" x14ac:dyDescent="0.35">
      <c r="A66" s="3"/>
      <c r="B66" s="19" t="s">
        <v>2028</v>
      </c>
      <c r="C66" s="425"/>
      <c r="D66" s="425"/>
      <c r="E66" s="425"/>
      <c r="F66" s="425"/>
      <c r="G66" s="425"/>
      <c r="H66" s="425"/>
      <c r="I66" s="425"/>
      <c r="J66" s="425"/>
      <c r="K66" s="425"/>
      <c r="L66" s="425"/>
      <c r="M66" s="425"/>
      <c r="N66" s="34" t="s">
        <v>1656</v>
      </c>
      <c r="O66" s="3"/>
    </row>
  </sheetData>
  <sheetProtection algorithmName="SHA-512" hashValue="Ctj5k2PCHSzY8MzIXvgAjY5AEQp/f0p7RZ37/aCUBP5uVm06rFlJAxK4cLPPAd9YhK01hZrEYONFsh8xuZXVAQ==" saltValue="9rhnjopQC5KxbZUuaTTXlA==" spinCount="100000" sheet="1" objects="1" scenarios="1"/>
  <mergeCells count="32">
    <mergeCell ref="B64:N64"/>
    <mergeCell ref="C66:M66"/>
    <mergeCell ref="B52:N52"/>
    <mergeCell ref="C54:M54"/>
    <mergeCell ref="B56:N56"/>
    <mergeCell ref="C58:M58"/>
    <mergeCell ref="B60:N60"/>
    <mergeCell ref="C62:M62"/>
    <mergeCell ref="C50:M50"/>
    <mergeCell ref="B28:N28"/>
    <mergeCell ref="C30:M30"/>
    <mergeCell ref="B32:N32"/>
    <mergeCell ref="C34:M34"/>
    <mergeCell ref="B36:N36"/>
    <mergeCell ref="C38:M38"/>
    <mergeCell ref="B40:N40"/>
    <mergeCell ref="C42:M42"/>
    <mergeCell ref="B44:N44"/>
    <mergeCell ref="C46:M46"/>
    <mergeCell ref="B48:N48"/>
    <mergeCell ref="C26:M26"/>
    <mergeCell ref="B4:N4"/>
    <mergeCell ref="C6:M6"/>
    <mergeCell ref="B8:N8"/>
    <mergeCell ref="C10:M10"/>
    <mergeCell ref="B12:N12"/>
    <mergeCell ref="C14:M14"/>
    <mergeCell ref="B16:N16"/>
    <mergeCell ref="C18:M18"/>
    <mergeCell ref="B20:N20"/>
    <mergeCell ref="C22:M22"/>
    <mergeCell ref="B24:N24"/>
  </mergeCells>
  <dataValidations count="1">
    <dataValidation type="list" allowBlank="1" showInputMessage="1" showErrorMessage="1" sqref="C66:M66 C62:M62 C10:M10 C14:M14 C18:M18 C22:M22 C26:M26 C30:M30 C34:M34 C38:M38 C42:M42 C46:M46 C50:M50 C54:M54 C58:M58 C6:M6" xr:uid="{00000000-0002-0000-0F00-000000000000}">
      <formula1>genidea_choices</formula1>
    </dataValidation>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 id="{2B22F3A5-9279-4323-B472-A3A196953E44}">
            <xm:f>AND(LeaName&lt;&gt;"",Output!$C$21)</xm:f>
            <x14:dxf>
              <fill>
                <patternFill>
                  <bgColor rgb="FF00B050"/>
                </patternFill>
              </fill>
              <border>
                <left style="thin">
                  <color rgb="FF00B050"/>
                </left>
                <right style="thin">
                  <color rgb="FF00B050"/>
                </right>
                <top style="thin">
                  <color rgb="FF00B050"/>
                </top>
                <bottom style="thin">
                  <color rgb="FF00B050"/>
                </bottom>
                <vertical/>
                <horizontal/>
              </border>
            </x14:dxf>
          </x14:cfRule>
          <x14:cfRule type="expression" priority="2" id="{75172826-214B-4446-B536-8B81DC16AB1E}">
            <xm:f>AND(LeaName&lt;&gt;"",NOT(Output!$C$21))</xm:f>
            <x14:dxf>
              <fill>
                <patternFill>
                  <bgColor rgb="FFFF0000"/>
                </patternFill>
              </fill>
              <border>
                <left style="thin">
                  <color rgb="FFFF0000"/>
                </left>
                <right style="thin">
                  <color rgb="FFFF0000"/>
                </right>
                <top style="thin">
                  <color rgb="FFFF0000"/>
                </top>
                <bottom style="thin">
                  <color rgb="FFFF0000"/>
                </bottom>
                <vertical/>
                <horizontal/>
              </border>
            </x14:dxf>
          </x14:cfRule>
          <xm:sqref>A1:A66</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dimension ref="A1:P122"/>
  <sheetViews>
    <sheetView showGridLines="0" topLeftCell="A4" workbookViewId="0">
      <selection activeCell="E5" sqref="E5"/>
    </sheetView>
  </sheetViews>
  <sheetFormatPr defaultColWidth="0" defaultRowHeight="14.5" zeroHeight="1" x14ac:dyDescent="0.35"/>
  <cols>
    <col min="1" max="1" width="3.26953125" customWidth="1"/>
    <col min="2" max="2" width="18.26953125" customWidth="1"/>
    <col min="3" max="3" width="9.1796875" customWidth="1"/>
    <col min="4" max="4" width="4.453125" customWidth="1"/>
    <col min="5" max="5" width="10.54296875" customWidth="1"/>
    <col min="6" max="14" width="9.1796875" customWidth="1"/>
    <col min="15" max="15" width="3.26953125" customWidth="1"/>
    <col min="16" max="16" width="3.453125" hidden="1" customWidth="1"/>
    <col min="17" max="16384" width="9.1796875" hidden="1"/>
  </cols>
  <sheetData>
    <row r="1" spans="1:15" ht="20" thickBot="1" x14ac:dyDescent="0.5">
      <c r="A1" s="3"/>
      <c r="B1" s="31" t="s">
        <v>1667</v>
      </c>
      <c r="C1" s="31"/>
      <c r="D1" s="31"/>
      <c r="E1" s="31"/>
      <c r="F1" s="31"/>
      <c r="G1" s="31"/>
      <c r="H1" s="31"/>
      <c r="I1" s="31"/>
      <c r="J1" s="31"/>
      <c r="K1" s="31"/>
      <c r="L1" s="32" t="s">
        <v>1587</v>
      </c>
      <c r="M1" s="33" t="str">
        <f>CurrSchlYr</f>
        <v>2024-2025</v>
      </c>
      <c r="N1" s="31"/>
      <c r="O1" s="3"/>
    </row>
    <row r="2" spans="1:15" ht="47.25" customHeight="1" thickTop="1" x14ac:dyDescent="0.35">
      <c r="A2" s="3"/>
      <c r="B2" s="426" t="s">
        <v>1668</v>
      </c>
      <c r="C2" s="426"/>
      <c r="D2" s="426"/>
      <c r="E2" s="426"/>
      <c r="F2" s="426"/>
      <c r="G2" s="426"/>
      <c r="H2" s="426"/>
      <c r="I2" s="426"/>
      <c r="J2" s="426"/>
      <c r="K2" s="426"/>
      <c r="L2" s="426"/>
      <c r="M2" s="426"/>
      <c r="N2" s="426"/>
      <c r="O2" s="3"/>
    </row>
    <row r="3" spans="1:15" ht="47.25" customHeight="1" x14ac:dyDescent="0.35">
      <c r="A3" s="3"/>
      <c r="B3" s="426" t="s">
        <v>1669</v>
      </c>
      <c r="C3" s="426"/>
      <c r="D3" s="426"/>
      <c r="E3" s="426"/>
      <c r="F3" s="426"/>
      <c r="G3" s="426"/>
      <c r="H3" s="426"/>
      <c r="I3" s="426"/>
      <c r="J3" s="426"/>
      <c r="K3" s="426"/>
      <c r="L3" s="426"/>
      <c r="M3" s="426"/>
      <c r="N3" s="426"/>
      <c r="O3" s="3"/>
    </row>
    <row r="4" spans="1:15" ht="34.5" customHeight="1" x14ac:dyDescent="0.35">
      <c r="A4" s="3"/>
      <c r="B4" s="426" t="s">
        <v>1670</v>
      </c>
      <c r="C4" s="426"/>
      <c r="D4" s="426"/>
      <c r="E4" s="426"/>
      <c r="F4" s="426"/>
      <c r="G4" s="426"/>
      <c r="H4" s="426"/>
      <c r="I4" s="426"/>
      <c r="J4" s="426"/>
      <c r="K4" s="426"/>
      <c r="L4" s="426"/>
      <c r="M4" s="426"/>
      <c r="N4" s="426"/>
      <c r="O4" s="3"/>
    </row>
    <row r="5" spans="1:15" ht="6.65" customHeight="1" x14ac:dyDescent="0.35">
      <c r="A5" s="3"/>
      <c r="B5" s="3"/>
      <c r="C5" s="3"/>
      <c r="D5" s="3"/>
      <c r="E5" s="3"/>
      <c r="F5" s="3"/>
      <c r="G5" s="3"/>
      <c r="H5" s="3"/>
      <c r="I5" s="3"/>
      <c r="J5" s="3"/>
      <c r="K5" s="3"/>
      <c r="L5" s="3"/>
      <c r="M5" s="3"/>
      <c r="N5" s="3"/>
      <c r="O5" s="3"/>
    </row>
    <row r="6" spans="1:15" x14ac:dyDescent="0.35">
      <c r="A6" s="3"/>
      <c r="B6" s="19" t="s">
        <v>1478</v>
      </c>
      <c r="C6" s="425"/>
      <c r="D6" s="425"/>
      <c r="E6" s="425"/>
      <c r="F6" s="425"/>
      <c r="G6" s="425"/>
      <c r="H6" s="425"/>
      <c r="I6" s="425"/>
      <c r="J6" s="425"/>
      <c r="K6" s="425"/>
      <c r="L6" s="425"/>
      <c r="M6" s="425"/>
      <c r="N6" s="34" t="s">
        <v>1656</v>
      </c>
      <c r="O6" s="3"/>
    </row>
    <row r="7" spans="1:15" ht="6.65" customHeight="1" x14ac:dyDescent="0.35">
      <c r="A7" s="3"/>
      <c r="B7" s="3"/>
      <c r="C7" s="3"/>
      <c r="D7" s="3"/>
      <c r="E7" s="3"/>
      <c r="F7" s="3"/>
      <c r="G7" s="3"/>
      <c r="H7" s="3"/>
      <c r="I7" s="3"/>
      <c r="J7" s="3"/>
      <c r="K7" s="3"/>
      <c r="L7" s="3"/>
      <c r="M7" s="3"/>
      <c r="N7" s="3"/>
      <c r="O7" s="3"/>
    </row>
    <row r="8" spans="1:15" ht="5.15" customHeight="1" x14ac:dyDescent="0.35">
      <c r="B8" s="428"/>
      <c r="C8" s="428"/>
      <c r="D8" s="428"/>
      <c r="E8" s="115"/>
      <c r="O8" s="3"/>
    </row>
    <row r="9" spans="1:15" ht="2.5" customHeight="1" x14ac:dyDescent="0.35">
      <c r="B9" s="116"/>
      <c r="C9" s="116"/>
      <c r="D9" s="116"/>
      <c r="E9" s="115"/>
      <c r="O9" s="3"/>
    </row>
    <row r="10" spans="1:15" ht="16" hidden="1" customHeight="1" x14ac:dyDescent="0.35">
      <c r="B10" s="428"/>
      <c r="C10" s="428"/>
      <c r="D10" s="428"/>
      <c r="E10" s="115"/>
      <c r="O10" s="3"/>
    </row>
    <row r="11" spans="1:15" ht="6.65" customHeight="1" x14ac:dyDescent="0.35">
      <c r="A11" s="3"/>
      <c r="B11" s="3"/>
      <c r="C11" s="3"/>
      <c r="D11" s="3"/>
      <c r="E11" s="3"/>
      <c r="F11" s="3"/>
      <c r="G11" s="3"/>
      <c r="H11" s="3"/>
      <c r="I11" s="3"/>
      <c r="J11" s="3"/>
      <c r="K11" s="3"/>
      <c r="L11" s="3"/>
      <c r="M11" s="3"/>
      <c r="N11" s="3"/>
      <c r="O11" s="3"/>
    </row>
    <row r="12" spans="1:15" x14ac:dyDescent="0.35">
      <c r="A12" s="3"/>
      <c r="B12" s="14" t="s">
        <v>1687</v>
      </c>
      <c r="C12" s="14"/>
      <c r="D12" s="14"/>
      <c r="E12" s="14"/>
      <c r="F12" s="14"/>
      <c r="G12" s="14"/>
      <c r="H12" s="14"/>
      <c r="I12" s="14"/>
      <c r="J12" s="14"/>
      <c r="K12" s="14"/>
      <c r="L12" s="14"/>
      <c r="M12" s="14"/>
      <c r="N12" s="14"/>
      <c r="O12" s="3"/>
    </row>
    <row r="13" spans="1:15" ht="15.75" customHeight="1" x14ac:dyDescent="0.35">
      <c r="A13" s="3"/>
      <c r="B13" s="426" t="s">
        <v>2043</v>
      </c>
      <c r="C13" s="426"/>
      <c r="D13" s="426"/>
      <c r="E13" s="426"/>
      <c r="F13" s="426"/>
      <c r="G13" s="426"/>
      <c r="H13" s="426"/>
      <c r="I13" s="426"/>
      <c r="J13" s="426"/>
      <c r="K13" s="426"/>
      <c r="L13" s="426"/>
      <c r="M13" s="426"/>
      <c r="N13" s="426"/>
      <c r="O13" s="3"/>
    </row>
    <row r="14" spans="1:15" ht="79.5" customHeight="1" x14ac:dyDescent="0.35">
      <c r="A14" s="3"/>
      <c r="B14" s="429" t="s">
        <v>1688</v>
      </c>
      <c r="C14" s="429"/>
      <c r="D14" s="429"/>
      <c r="E14" s="429"/>
      <c r="F14" s="429"/>
      <c r="G14" s="429"/>
      <c r="H14" s="429"/>
      <c r="I14" s="429"/>
      <c r="J14" s="429"/>
      <c r="K14" s="429"/>
      <c r="L14" s="429"/>
      <c r="M14" s="429"/>
      <c r="N14" s="429"/>
      <c r="O14" s="3"/>
    </row>
    <row r="15" spans="1:15" ht="36" customHeight="1" x14ac:dyDescent="0.35">
      <c r="A15" s="3"/>
      <c r="B15" s="429" t="s">
        <v>1689</v>
      </c>
      <c r="C15" s="429"/>
      <c r="D15" s="429"/>
      <c r="E15" s="429"/>
      <c r="F15" s="429"/>
      <c r="G15" s="429"/>
      <c r="H15" s="429"/>
      <c r="I15" s="429"/>
      <c r="J15" s="429"/>
      <c r="K15" s="429"/>
      <c r="L15" s="429"/>
      <c r="M15" s="429"/>
      <c r="N15" s="429"/>
      <c r="O15" s="3"/>
    </row>
    <row r="16" spans="1:15" ht="36" customHeight="1" x14ac:dyDescent="0.35">
      <c r="A16" s="3"/>
      <c r="B16" s="429" t="s">
        <v>1690</v>
      </c>
      <c r="C16" s="429"/>
      <c r="D16" s="429"/>
      <c r="E16" s="429"/>
      <c r="F16" s="429"/>
      <c r="G16" s="429"/>
      <c r="H16" s="429"/>
      <c r="I16" s="429"/>
      <c r="J16" s="429"/>
      <c r="K16" s="429"/>
      <c r="L16" s="429"/>
      <c r="M16" s="429"/>
      <c r="N16" s="429"/>
      <c r="O16" s="3"/>
    </row>
    <row r="17" spans="1:15" ht="6.65" customHeight="1" x14ac:dyDescent="0.35">
      <c r="A17" s="3"/>
      <c r="B17" s="3"/>
      <c r="C17" s="3"/>
      <c r="D17" s="3"/>
      <c r="E17" s="3"/>
      <c r="F17" s="3"/>
      <c r="G17" s="3"/>
      <c r="H17" s="3"/>
      <c r="I17" s="3"/>
      <c r="J17" s="3"/>
      <c r="K17" s="3"/>
      <c r="L17" s="3"/>
      <c r="M17" s="3"/>
      <c r="N17" s="3"/>
      <c r="O17" s="3"/>
    </row>
    <row r="18" spans="1:15" x14ac:dyDescent="0.35">
      <c r="A18" s="3"/>
      <c r="B18" s="21" t="s">
        <v>1482</v>
      </c>
      <c r="C18" s="425"/>
      <c r="D18" s="425"/>
      <c r="E18" s="425"/>
      <c r="F18" s="425"/>
      <c r="G18" s="425"/>
      <c r="H18" s="425"/>
      <c r="I18" s="425"/>
      <c r="J18" s="425"/>
      <c r="K18" s="425"/>
      <c r="L18" s="425"/>
      <c r="M18" s="425"/>
      <c r="N18" s="35" t="s">
        <v>1656</v>
      </c>
      <c r="O18" s="3"/>
    </row>
    <row r="19" spans="1:15" ht="6.65" customHeight="1" x14ac:dyDescent="0.35">
      <c r="A19" s="3"/>
      <c r="B19" s="24"/>
      <c r="C19" s="3"/>
      <c r="D19" s="3"/>
      <c r="E19" s="3"/>
      <c r="F19" s="3"/>
      <c r="G19" s="3"/>
      <c r="H19" s="3"/>
      <c r="I19" s="3"/>
      <c r="J19" s="3"/>
      <c r="K19" s="3"/>
      <c r="L19" s="3"/>
      <c r="M19" s="3"/>
      <c r="N19" s="3"/>
      <c r="O19" s="3"/>
    </row>
    <row r="20" spans="1:15" x14ac:dyDescent="0.35">
      <c r="A20" s="3"/>
      <c r="B20" s="14" t="s">
        <v>1691</v>
      </c>
      <c r="C20" s="14"/>
      <c r="D20" s="14"/>
      <c r="E20" s="14"/>
      <c r="F20" s="14"/>
      <c r="G20" s="14"/>
      <c r="H20" s="14"/>
      <c r="I20" s="14"/>
      <c r="J20" s="14"/>
      <c r="K20" s="14"/>
      <c r="L20" s="14"/>
      <c r="M20" s="14"/>
      <c r="N20" s="14"/>
      <c r="O20" s="3"/>
    </row>
    <row r="21" spans="1:15" ht="63" customHeight="1" x14ac:dyDescent="0.35">
      <c r="A21" s="3"/>
      <c r="B21" s="426" t="s">
        <v>2044</v>
      </c>
      <c r="C21" s="426"/>
      <c r="D21" s="426"/>
      <c r="E21" s="426"/>
      <c r="F21" s="426"/>
      <c r="G21" s="426"/>
      <c r="H21" s="426"/>
      <c r="I21" s="426"/>
      <c r="J21" s="426"/>
      <c r="K21" s="426"/>
      <c r="L21" s="426"/>
      <c r="M21" s="426"/>
      <c r="N21" s="426"/>
      <c r="O21" s="3"/>
    </row>
    <row r="22" spans="1:15" ht="52.5" customHeight="1" x14ac:dyDescent="0.35">
      <c r="A22" s="3"/>
      <c r="B22" s="426" t="s">
        <v>2045</v>
      </c>
      <c r="C22" s="426"/>
      <c r="D22" s="426"/>
      <c r="E22" s="426"/>
      <c r="F22" s="426"/>
      <c r="G22" s="426"/>
      <c r="H22" s="426"/>
      <c r="I22" s="426"/>
      <c r="J22" s="426"/>
      <c r="K22" s="426"/>
      <c r="L22" s="426"/>
      <c r="M22" s="426"/>
      <c r="N22" s="426"/>
      <c r="O22" s="3"/>
    </row>
    <row r="23" spans="1:15" ht="36.75" customHeight="1" x14ac:dyDescent="0.35">
      <c r="A23" s="3"/>
      <c r="B23" s="426" t="s">
        <v>2046</v>
      </c>
      <c r="C23" s="426"/>
      <c r="D23" s="426"/>
      <c r="E23" s="426"/>
      <c r="F23" s="426"/>
      <c r="G23" s="426"/>
      <c r="H23" s="426"/>
      <c r="I23" s="426"/>
      <c r="J23" s="426"/>
      <c r="K23" s="426"/>
      <c r="L23" s="426"/>
      <c r="M23" s="426"/>
      <c r="N23" s="426"/>
      <c r="O23" s="3"/>
    </row>
    <row r="24" spans="1:15" ht="52.5" customHeight="1" x14ac:dyDescent="0.35">
      <c r="A24" s="3"/>
      <c r="B24" s="426" t="s">
        <v>2047</v>
      </c>
      <c r="C24" s="426"/>
      <c r="D24" s="426"/>
      <c r="E24" s="426"/>
      <c r="F24" s="426"/>
      <c r="G24" s="426"/>
      <c r="H24" s="426"/>
      <c r="I24" s="426"/>
      <c r="J24" s="426"/>
      <c r="K24" s="426"/>
      <c r="L24" s="426"/>
      <c r="M24" s="426"/>
      <c r="N24" s="426"/>
      <c r="O24" s="3"/>
    </row>
    <row r="25" spans="1:15" ht="66.75" customHeight="1" x14ac:dyDescent="0.35">
      <c r="A25" s="3"/>
      <c r="B25" s="426" t="s">
        <v>2048</v>
      </c>
      <c r="C25" s="426"/>
      <c r="D25" s="426"/>
      <c r="E25" s="426"/>
      <c r="F25" s="426"/>
      <c r="G25" s="426"/>
      <c r="H25" s="426"/>
      <c r="I25" s="426"/>
      <c r="J25" s="426"/>
      <c r="K25" s="426"/>
      <c r="L25" s="426"/>
      <c r="M25" s="426"/>
      <c r="N25" s="426"/>
      <c r="O25" s="3"/>
    </row>
    <row r="26" spans="1:15" ht="78" customHeight="1" x14ac:dyDescent="0.35">
      <c r="A26" s="3"/>
      <c r="B26" s="426" t="s">
        <v>2049</v>
      </c>
      <c r="C26" s="426"/>
      <c r="D26" s="426"/>
      <c r="E26" s="426"/>
      <c r="F26" s="426"/>
      <c r="G26" s="426"/>
      <c r="H26" s="426"/>
      <c r="I26" s="426"/>
      <c r="J26" s="426"/>
      <c r="K26" s="426"/>
      <c r="L26" s="426"/>
      <c r="M26" s="426"/>
      <c r="N26" s="426"/>
      <c r="O26" s="3"/>
    </row>
    <row r="27" spans="1:15" ht="37.5" customHeight="1" x14ac:dyDescent="0.35">
      <c r="A27" s="3"/>
      <c r="B27" s="426" t="s">
        <v>2050</v>
      </c>
      <c r="C27" s="426"/>
      <c r="D27" s="426"/>
      <c r="E27" s="426"/>
      <c r="F27" s="426"/>
      <c r="G27" s="426"/>
      <c r="H27" s="426"/>
      <c r="I27" s="426"/>
      <c r="J27" s="426"/>
      <c r="K27" s="426"/>
      <c r="L27" s="426"/>
      <c r="M27" s="426"/>
      <c r="N27" s="426"/>
      <c r="O27" s="3"/>
    </row>
    <row r="28" spans="1:15" ht="6.65" customHeight="1" x14ac:dyDescent="0.35">
      <c r="A28" s="3"/>
      <c r="B28" s="3"/>
      <c r="C28" s="3"/>
      <c r="D28" s="3"/>
      <c r="E28" s="3"/>
      <c r="F28" s="3"/>
      <c r="G28" s="3"/>
      <c r="H28" s="3"/>
      <c r="I28" s="3"/>
      <c r="J28" s="3"/>
      <c r="K28" s="3"/>
      <c r="L28" s="3"/>
      <c r="M28" s="3"/>
      <c r="N28" s="3"/>
      <c r="O28" s="3"/>
    </row>
    <row r="29" spans="1:15" x14ac:dyDescent="0.35">
      <c r="A29" s="3"/>
      <c r="B29" s="21" t="s">
        <v>1483</v>
      </c>
      <c r="C29" s="425"/>
      <c r="D29" s="425"/>
      <c r="E29" s="425"/>
      <c r="F29" s="425"/>
      <c r="G29" s="425"/>
      <c r="H29" s="425"/>
      <c r="I29" s="425"/>
      <c r="J29" s="425"/>
      <c r="K29" s="425"/>
      <c r="L29" s="425"/>
      <c r="M29" s="425"/>
      <c r="N29" s="35" t="s">
        <v>1656</v>
      </c>
      <c r="O29" s="3"/>
    </row>
    <row r="30" spans="1:15" ht="6.65" customHeight="1" x14ac:dyDescent="0.35">
      <c r="A30" s="3"/>
      <c r="B30" s="24"/>
      <c r="C30" s="3"/>
      <c r="D30" s="3"/>
      <c r="E30" s="3"/>
      <c r="F30" s="3"/>
      <c r="G30" s="3"/>
      <c r="H30" s="3"/>
      <c r="I30" s="3"/>
      <c r="J30" s="3"/>
      <c r="K30" s="3"/>
      <c r="L30" s="3"/>
      <c r="M30" s="3"/>
      <c r="N30" s="3"/>
      <c r="O30" s="3"/>
    </row>
    <row r="31" spans="1:15" x14ac:dyDescent="0.35">
      <c r="A31" s="3"/>
      <c r="B31" s="14" t="s">
        <v>1692</v>
      </c>
      <c r="C31" s="14"/>
      <c r="D31" s="14"/>
      <c r="E31" s="14"/>
      <c r="F31" s="14"/>
      <c r="G31" s="14"/>
      <c r="H31" s="14"/>
      <c r="I31" s="14"/>
      <c r="J31" s="14"/>
      <c r="K31" s="14"/>
      <c r="L31" s="14"/>
      <c r="M31" s="14"/>
      <c r="N31" s="14"/>
      <c r="O31" s="3"/>
    </row>
    <row r="32" spans="1:15" ht="64.5" customHeight="1" x14ac:dyDescent="0.35">
      <c r="A32" s="3"/>
      <c r="B32" s="426" t="s">
        <v>3077</v>
      </c>
      <c r="C32" s="426"/>
      <c r="D32" s="426"/>
      <c r="E32" s="426"/>
      <c r="F32" s="426"/>
      <c r="G32" s="426"/>
      <c r="H32" s="426"/>
      <c r="I32" s="426"/>
      <c r="J32" s="426"/>
      <c r="K32" s="426"/>
      <c r="L32" s="426"/>
      <c r="M32" s="426"/>
      <c r="N32" s="426"/>
      <c r="O32" s="3"/>
    </row>
    <row r="33" spans="1:15" ht="7.4" customHeight="1" x14ac:dyDescent="0.35">
      <c r="A33" s="3"/>
      <c r="B33" s="3"/>
      <c r="C33" s="3"/>
      <c r="D33" s="3"/>
      <c r="E33" s="3"/>
      <c r="F33" s="3"/>
      <c r="G33" s="3"/>
      <c r="H33" s="3"/>
      <c r="I33" s="3"/>
      <c r="J33" s="3"/>
      <c r="K33" s="3"/>
      <c r="L33" s="3"/>
      <c r="M33" s="3"/>
      <c r="N33" s="3"/>
      <c r="O33" s="3"/>
    </row>
    <row r="34" spans="1:15" ht="48" customHeight="1" x14ac:dyDescent="0.35">
      <c r="A34" s="3"/>
      <c r="B34" s="21" t="s">
        <v>1484</v>
      </c>
      <c r="C34" s="427"/>
      <c r="D34" s="427"/>
      <c r="E34" s="427"/>
      <c r="F34" s="427"/>
      <c r="G34" s="427"/>
      <c r="H34" s="427"/>
      <c r="I34" s="427"/>
      <c r="J34" s="427"/>
      <c r="K34" s="427"/>
      <c r="L34" s="427"/>
      <c r="M34" s="427"/>
      <c r="N34" s="35" t="s">
        <v>1656</v>
      </c>
      <c r="O34" s="3"/>
    </row>
    <row r="35" spans="1:15" ht="6.65" customHeight="1" x14ac:dyDescent="0.35">
      <c r="A35" s="3"/>
      <c r="B35" s="3"/>
      <c r="C35" s="3"/>
      <c r="D35" s="3"/>
      <c r="E35" s="3"/>
      <c r="F35" s="3"/>
      <c r="G35" s="3"/>
      <c r="H35" s="3"/>
      <c r="I35" s="3"/>
      <c r="J35" s="3"/>
      <c r="K35" s="3"/>
      <c r="L35" s="3"/>
      <c r="M35" s="3"/>
      <c r="N35" s="3"/>
      <c r="O35" s="3"/>
    </row>
    <row r="36" spans="1:15" x14ac:dyDescent="0.35">
      <c r="A36" s="3"/>
      <c r="B36" s="3"/>
      <c r="C36" s="3"/>
      <c r="D36" s="3"/>
      <c r="E36" s="3"/>
      <c r="F36" s="3"/>
      <c r="G36" s="3"/>
      <c r="H36" s="3"/>
      <c r="I36" s="3"/>
      <c r="J36" s="3"/>
      <c r="K36" s="3"/>
      <c r="L36" s="3"/>
      <c r="M36" s="3"/>
      <c r="N36" s="3"/>
      <c r="O36" s="3"/>
    </row>
    <row r="58"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x14ac:dyDescent="0.35"/>
    <row r="76" x14ac:dyDescent="0.35"/>
    <row r="77" x14ac:dyDescent="0.35"/>
    <row r="78" x14ac:dyDescent="0.35"/>
    <row r="79" x14ac:dyDescent="0.35"/>
    <row r="80" x14ac:dyDescent="0.35"/>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row r="93" x14ac:dyDescent="0.35"/>
    <row r="94" x14ac:dyDescent="0.35"/>
    <row r="95" x14ac:dyDescent="0.35"/>
    <row r="96" x14ac:dyDescent="0.35"/>
    <row r="97" x14ac:dyDescent="0.35"/>
    <row r="98" x14ac:dyDescent="0.35"/>
    <row r="99" x14ac:dyDescent="0.35"/>
    <row r="100" x14ac:dyDescent="0.35"/>
    <row r="101" x14ac:dyDescent="0.35"/>
    <row r="102" x14ac:dyDescent="0.35"/>
    <row r="103" x14ac:dyDescent="0.35"/>
    <row r="104" x14ac:dyDescent="0.35"/>
    <row r="105" x14ac:dyDescent="0.35"/>
    <row r="106" x14ac:dyDescent="0.35"/>
    <row r="107" x14ac:dyDescent="0.35"/>
    <row r="108" x14ac:dyDescent="0.35"/>
    <row r="109" x14ac:dyDescent="0.35"/>
    <row r="110" x14ac:dyDescent="0.35"/>
    <row r="111" x14ac:dyDescent="0.35"/>
    <row r="112" x14ac:dyDescent="0.35"/>
    <row r="113" x14ac:dyDescent="0.35"/>
    <row r="114" x14ac:dyDescent="0.35"/>
    <row r="115" x14ac:dyDescent="0.35"/>
    <row r="116" x14ac:dyDescent="0.35"/>
    <row r="117" x14ac:dyDescent="0.35"/>
    <row r="118" x14ac:dyDescent="0.35"/>
    <row r="119" x14ac:dyDescent="0.35"/>
    <row r="120" x14ac:dyDescent="0.35"/>
    <row r="121" x14ac:dyDescent="0.35"/>
    <row r="122" x14ac:dyDescent="0.35"/>
  </sheetData>
  <sheetProtection algorithmName="SHA-512" hashValue="sl+Uq9dZpThEVaokDOOrqlv0ajE6yyX/GQrR7TUoMxweQAHlp1j9trNp1cPc3F8rjZszP1MuUxaO0HglRSFiYw==" saltValue="7+1bl4j9KjNt9VjxBNjPCQ==" spinCount="100000" sheet="1" selectLockedCells="1"/>
  <mergeCells count="21">
    <mergeCell ref="B23:N23"/>
    <mergeCell ref="B24:N24"/>
    <mergeCell ref="B25:N25"/>
    <mergeCell ref="B13:N13"/>
    <mergeCell ref="B14:N14"/>
    <mergeCell ref="B15:N15"/>
    <mergeCell ref="B16:N16"/>
    <mergeCell ref="B21:N21"/>
    <mergeCell ref="B2:N2"/>
    <mergeCell ref="B3:N3"/>
    <mergeCell ref="B4:N4"/>
    <mergeCell ref="C6:M6"/>
    <mergeCell ref="B22:N22"/>
    <mergeCell ref="C18:M18"/>
    <mergeCell ref="B8:D8"/>
    <mergeCell ref="B10:D10"/>
    <mergeCell ref="B32:N32"/>
    <mergeCell ref="C34:M34"/>
    <mergeCell ref="B27:N27"/>
    <mergeCell ref="C29:M29"/>
    <mergeCell ref="B26:N26"/>
  </mergeCells>
  <conditionalFormatting sqref="E8">
    <cfRule type="containsText" dxfId="28" priority="3" operator="containsText" text="Yes">
      <formula>NOT(ISERROR(SEARCH("Yes",E8)))</formula>
    </cfRule>
    <cfRule type="containsText" dxfId="27" priority="4" operator="containsText" text="No">
      <formula>NOT(ISERROR(SEARCH("No",E8)))</formula>
    </cfRule>
  </conditionalFormatting>
  <conditionalFormatting sqref="E10">
    <cfRule type="containsText" dxfId="26" priority="1" operator="containsText" text="No">
      <formula>NOT(ISERROR(SEARCH("No",E10)))</formula>
    </cfRule>
    <cfRule type="containsText" dxfId="25" priority="2" operator="containsText" text="Yes">
      <formula>NOT(ISERROR(SEARCH("Yes",E10)))</formula>
    </cfRule>
  </conditionalFormatting>
  <dataValidations count="4">
    <dataValidation type="list" allowBlank="1" showInputMessage="1" showErrorMessage="1" sqref="C6:M6" xr:uid="{00000000-0002-0000-1000-000000000000}">
      <formula1>data_choices</formula1>
    </dataValidation>
    <dataValidation type="list" allowBlank="1" showInputMessage="1" showErrorMessage="1" sqref="C34:M34" xr:uid="{00000000-0002-0000-1000-000001000000}">
      <formula1>nimas_choices</formula1>
    </dataValidation>
    <dataValidation type="list" allowBlank="1" showInputMessage="1" showErrorMessage="1" sqref="C18:M18" xr:uid="{00000000-0002-0000-1000-000002000000}">
      <formula1>pubben_choices</formula1>
    </dataValidation>
    <dataValidation type="list" allowBlank="1" showInputMessage="1" showErrorMessage="1" sqref="C29:M29" xr:uid="{00000000-0002-0000-1000-000003000000}">
      <formula1>otherpol_choices</formula1>
    </dataValidation>
  </dataValidations>
  <pageMargins left="0.25" right="0.25" top="0.75" bottom="0.75" header="0.3" footer="0.3"/>
  <pageSetup orientation="landscape" blackAndWhite="1"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63" id="{44148908-A270-4FE7-9317-CD0FBD254A88}">
            <xm:f>AND(LeaName&lt;&gt;"",Output!$C$21)</xm:f>
            <x14:dxf>
              <fill>
                <patternFill>
                  <bgColor rgb="FF00B050"/>
                </patternFill>
              </fill>
              <border>
                <left style="thin">
                  <color rgb="FF00B050"/>
                </left>
                <right style="thin">
                  <color rgb="FF00B050"/>
                </right>
                <top style="thin">
                  <color rgb="FF00B050"/>
                </top>
                <bottom style="thin">
                  <color rgb="FF00B050"/>
                </bottom>
                <vertical/>
                <horizontal/>
              </border>
            </x14:dxf>
          </x14:cfRule>
          <x14:cfRule type="expression" priority="64" id="{E74F7C0B-B509-47F6-8463-DAD3463B5518}">
            <xm:f>AND(LeaName&lt;&gt;"",NOT(Output!$C$21))</xm:f>
            <x14:dxf>
              <fill>
                <patternFill>
                  <bgColor rgb="FFFF0000"/>
                </patternFill>
              </fill>
              <border>
                <left style="thin">
                  <color rgb="FFFF0000"/>
                </left>
                <right style="thin">
                  <color rgb="FFFF0000"/>
                </right>
                <top style="thin">
                  <color rgb="FFFF0000"/>
                </top>
                <bottom style="thin">
                  <color rgb="FFFF0000"/>
                </bottom>
                <vertical/>
                <horizontal/>
              </border>
            </x14:dxf>
          </x14:cfRule>
          <xm:sqref>A1:A36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I35"/>
  <sheetViews>
    <sheetView showGridLines="0" workbookViewId="0">
      <selection activeCell="C10" sqref="C10:G10"/>
    </sheetView>
  </sheetViews>
  <sheetFormatPr defaultColWidth="0" defaultRowHeight="14.5" zeroHeight="1" x14ac:dyDescent="0.35"/>
  <cols>
    <col min="1" max="1" width="3.26953125" customWidth="1"/>
    <col min="2" max="2" width="18.26953125" customWidth="1"/>
    <col min="3" max="3" width="63.81640625" customWidth="1"/>
    <col min="4" max="4" width="10.26953125" bestFit="1" customWidth="1"/>
    <col min="5" max="8" width="9.1796875" customWidth="1"/>
    <col min="9" max="9" width="3.26953125" customWidth="1"/>
    <col min="10" max="16384" width="9.1796875" hidden="1"/>
  </cols>
  <sheetData>
    <row r="1" spans="1:9" ht="20" thickBot="1" x14ac:dyDescent="0.5">
      <c r="A1" s="3"/>
      <c r="B1" s="31" t="s">
        <v>1693</v>
      </c>
      <c r="C1" s="31"/>
      <c r="D1" s="31"/>
      <c r="E1" s="31"/>
      <c r="F1" s="32" t="s">
        <v>1587</v>
      </c>
      <c r="G1" s="33" t="str">
        <f>CurrSchlYr</f>
        <v>2024-2025</v>
      </c>
      <c r="H1" s="31"/>
      <c r="I1" s="3"/>
    </row>
    <row r="2" spans="1:9" ht="15" thickTop="1" x14ac:dyDescent="0.35">
      <c r="A2" s="3"/>
      <c r="B2" s="14" t="s">
        <v>1694</v>
      </c>
      <c r="C2" s="14"/>
      <c r="D2" s="14"/>
      <c r="E2" s="14"/>
      <c r="F2" s="14"/>
      <c r="G2" s="14"/>
      <c r="H2" s="14"/>
      <c r="I2" s="3"/>
    </row>
    <row r="3" spans="1:9" ht="52.5" customHeight="1" x14ac:dyDescent="0.35">
      <c r="A3" s="3"/>
      <c r="B3" s="430" t="s">
        <v>1695</v>
      </c>
      <c r="C3" s="431"/>
      <c r="D3" s="431"/>
      <c r="E3" s="431"/>
      <c r="F3" s="431"/>
      <c r="G3" s="431"/>
      <c r="H3" s="432"/>
      <c r="I3" s="3"/>
    </row>
    <row r="4" spans="1:9" ht="52.5" customHeight="1" x14ac:dyDescent="0.35">
      <c r="A4" s="3"/>
      <c r="B4" s="434" t="s">
        <v>1696</v>
      </c>
      <c r="C4" s="435"/>
      <c r="D4" s="435"/>
      <c r="E4" s="435"/>
      <c r="F4" s="435"/>
      <c r="G4" s="435"/>
      <c r="H4" s="436"/>
      <c r="I4" s="3"/>
    </row>
    <row r="5" spans="1:9" ht="34.5" customHeight="1" x14ac:dyDescent="0.35">
      <c r="A5" s="3"/>
      <c r="B5" s="434" t="s">
        <v>1697</v>
      </c>
      <c r="C5" s="435"/>
      <c r="D5" s="435"/>
      <c r="E5" s="435"/>
      <c r="F5" s="435"/>
      <c r="G5" s="435"/>
      <c r="H5" s="436"/>
      <c r="I5" s="3"/>
    </row>
    <row r="6" spans="1:9" ht="34.5" customHeight="1" x14ac:dyDescent="0.35">
      <c r="A6" s="3"/>
      <c r="B6" s="434" t="s">
        <v>1934</v>
      </c>
      <c r="C6" s="435"/>
      <c r="D6" s="435"/>
      <c r="E6" s="435"/>
      <c r="F6" s="435"/>
      <c r="G6" s="435"/>
      <c r="H6" s="436"/>
      <c r="I6" s="3"/>
    </row>
    <row r="7" spans="1:9" ht="52.5" customHeight="1" x14ac:dyDescent="0.35">
      <c r="A7" s="3"/>
      <c r="B7" s="434" t="s">
        <v>1698</v>
      </c>
      <c r="C7" s="435"/>
      <c r="D7" s="435"/>
      <c r="E7" s="435"/>
      <c r="F7" s="435"/>
      <c r="G7" s="435"/>
      <c r="H7" s="436"/>
      <c r="I7" s="3"/>
    </row>
    <row r="8" spans="1:9" ht="30" customHeight="1" x14ac:dyDescent="0.35">
      <c r="A8" s="3"/>
      <c r="B8" s="437" t="s">
        <v>1933</v>
      </c>
      <c r="C8" s="438"/>
      <c r="D8" s="438"/>
      <c r="E8" s="438"/>
      <c r="F8" s="438"/>
      <c r="G8" s="438"/>
      <c r="H8" s="439"/>
      <c r="I8" s="3"/>
    </row>
    <row r="9" spans="1:9" ht="6.65" customHeight="1" x14ac:dyDescent="0.35">
      <c r="A9" s="3"/>
      <c r="B9" s="3"/>
      <c r="C9" s="3"/>
      <c r="D9" s="3"/>
      <c r="E9" s="3"/>
      <c r="F9" s="3"/>
      <c r="G9" s="3"/>
      <c r="H9" s="3"/>
      <c r="I9" s="3"/>
    </row>
    <row r="10" spans="1:9" ht="30" customHeight="1" x14ac:dyDescent="0.35">
      <c r="A10" s="3"/>
      <c r="B10" s="21" t="s">
        <v>1481</v>
      </c>
      <c r="C10" s="440"/>
      <c r="D10" s="441"/>
      <c r="E10" s="441"/>
      <c r="F10" s="441"/>
      <c r="G10" s="442"/>
      <c r="H10" s="35" t="s">
        <v>1656</v>
      </c>
      <c r="I10" s="3"/>
    </row>
    <row r="11" spans="1:9" ht="6.65" customHeight="1" x14ac:dyDescent="0.35">
      <c r="A11" s="3"/>
      <c r="B11" s="3"/>
      <c r="C11" s="3"/>
      <c r="D11" s="3"/>
      <c r="E11" s="3"/>
      <c r="F11" s="3"/>
      <c r="G11" s="3"/>
      <c r="H11" s="3"/>
      <c r="I11" s="3"/>
    </row>
    <row r="12" spans="1:9" x14ac:dyDescent="0.35">
      <c r="A12" s="3"/>
      <c r="B12" s="433" t="s">
        <v>1699</v>
      </c>
      <c r="C12" s="433"/>
      <c r="D12" s="433"/>
      <c r="E12" s="433"/>
      <c r="F12" s="433"/>
      <c r="G12" s="433"/>
      <c r="H12" s="433"/>
      <c r="I12" s="3"/>
    </row>
    <row r="13" spans="1:9" ht="36" customHeight="1" x14ac:dyDescent="0.35">
      <c r="A13" s="3"/>
      <c r="B13" s="434" t="s">
        <v>1700</v>
      </c>
      <c r="C13" s="435"/>
      <c r="D13" s="435"/>
      <c r="E13" s="435"/>
      <c r="F13" s="435"/>
      <c r="G13" s="435"/>
      <c r="H13" s="436"/>
      <c r="I13" s="3"/>
    </row>
    <row r="14" spans="1:9" ht="34.5" customHeight="1" x14ac:dyDescent="0.35">
      <c r="A14" s="3"/>
      <c r="B14" s="434" t="s">
        <v>1701</v>
      </c>
      <c r="C14" s="435"/>
      <c r="D14" s="435"/>
      <c r="E14" s="435"/>
      <c r="F14" s="435"/>
      <c r="G14" s="435"/>
      <c r="H14" s="436"/>
      <c r="I14" s="3"/>
    </row>
    <row r="15" spans="1:9" ht="34.5" customHeight="1" x14ac:dyDescent="0.35">
      <c r="A15" s="3"/>
      <c r="B15" s="434" t="s">
        <v>1932</v>
      </c>
      <c r="C15" s="435"/>
      <c r="D15" s="435"/>
      <c r="E15" s="435"/>
      <c r="F15" s="435"/>
      <c r="G15" s="435"/>
      <c r="H15" s="436"/>
      <c r="I15" s="3"/>
    </row>
    <row r="16" spans="1:9" x14ac:dyDescent="0.35">
      <c r="A16" s="3"/>
      <c r="B16" s="3"/>
      <c r="C16" s="3"/>
      <c r="D16" s="3"/>
      <c r="E16" s="3"/>
      <c r="F16" s="3"/>
      <c r="G16" s="3"/>
      <c r="H16" s="3"/>
      <c r="I16" s="3"/>
    </row>
    <row r="17" spans="1:9" x14ac:dyDescent="0.35">
      <c r="A17" s="3"/>
      <c r="B17" s="3"/>
      <c r="C17" s="36" t="s">
        <v>1702</v>
      </c>
      <c r="D17" s="36" t="s">
        <v>1703</v>
      </c>
      <c r="E17" s="3"/>
      <c r="F17" s="3"/>
      <c r="G17" s="3"/>
      <c r="H17" s="3"/>
      <c r="I17" s="3"/>
    </row>
    <row r="18" spans="1:9" x14ac:dyDescent="0.35">
      <c r="A18" s="3"/>
      <c r="B18" s="3"/>
      <c r="C18" s="37" t="str">
        <f>IF(HasCharterSchools&gt;=ROW(B18)-17,INDEX(tblCharterSchls[],MATCH(LeaName,tblCharterSchls[AdminNm],0)+ROW(B18)-18,3),"")</f>
        <v/>
      </c>
      <c r="D18" s="30"/>
      <c r="E18" s="3"/>
      <c r="F18" s="3"/>
      <c r="G18" s="3"/>
      <c r="H18" s="3"/>
      <c r="I18" s="3"/>
    </row>
    <row r="19" spans="1:9" x14ac:dyDescent="0.35">
      <c r="A19" s="3"/>
      <c r="B19" s="3"/>
      <c r="C19" s="37" t="str">
        <f>IF(HasCharterSchools&gt;=ROW(B19)-17,INDEX(tblCharterSchls[],MATCH(LeaName,tblCharterSchls[AdminNm],0)+ROW(B19)-18,3),"")</f>
        <v/>
      </c>
      <c r="D19" s="30"/>
      <c r="E19" s="3"/>
      <c r="F19" s="3"/>
      <c r="G19" s="3"/>
      <c r="H19" s="3"/>
      <c r="I19" s="3"/>
    </row>
    <row r="20" spans="1:9" x14ac:dyDescent="0.35">
      <c r="A20" s="3"/>
      <c r="B20" s="3"/>
      <c r="C20" s="37" t="str">
        <f>IF(HasCharterSchools&gt;=ROW(B20)-17,INDEX(tblCharterSchls[],MATCH(LeaName,tblCharterSchls[AdminNm],0)+ROW(B20)-18,3),"")</f>
        <v/>
      </c>
      <c r="D20" s="30"/>
      <c r="E20" s="3"/>
      <c r="F20" s="3"/>
      <c r="G20" s="3"/>
      <c r="H20" s="3"/>
      <c r="I20" s="3"/>
    </row>
    <row r="21" spans="1:9" x14ac:dyDescent="0.35">
      <c r="A21" s="3"/>
      <c r="B21" s="3"/>
      <c r="C21" s="37" t="str">
        <f>IF(HasCharterSchools&gt;=ROW(B21)-17,INDEX(tblCharterSchls[],MATCH(LeaName,tblCharterSchls[AdminNm],0)+ROW(B21)-18,3),"")</f>
        <v/>
      </c>
      <c r="D21" s="30"/>
      <c r="E21" s="3"/>
      <c r="F21" s="3"/>
      <c r="G21" s="3"/>
      <c r="H21" s="3"/>
      <c r="I21" s="3"/>
    </row>
    <row r="22" spans="1:9" x14ac:dyDescent="0.35">
      <c r="A22" s="3"/>
      <c r="B22" s="3"/>
      <c r="C22" s="37" t="str">
        <f>IF(HasCharterSchools&gt;=ROW(B22)-17,INDEX(tblCharterSchls[],MATCH(LeaName,tblCharterSchls[AdminNm],0)+ROW(B22)-18,3),"")</f>
        <v/>
      </c>
      <c r="D22" s="30"/>
      <c r="E22" s="3"/>
      <c r="F22" s="3"/>
      <c r="G22" s="3"/>
      <c r="H22" s="3"/>
      <c r="I22" s="3"/>
    </row>
    <row r="23" spans="1:9" x14ac:dyDescent="0.35">
      <c r="A23" s="3"/>
      <c r="B23" s="3"/>
      <c r="C23" s="37" t="str">
        <f>IF(HasCharterSchools&gt;=ROW(B23)-17,INDEX(tblCharterSchls[],MATCH(LeaName,tblCharterSchls[AdminNm],0)+ROW(B23)-18,3),"")</f>
        <v/>
      </c>
      <c r="D23" s="30"/>
      <c r="E23" s="3"/>
      <c r="F23" s="3"/>
      <c r="G23" s="3"/>
      <c r="H23" s="3"/>
      <c r="I23" s="3"/>
    </row>
    <row r="24" spans="1:9" x14ac:dyDescent="0.35">
      <c r="A24" s="3"/>
      <c r="B24" s="3"/>
      <c r="C24" s="3"/>
      <c r="D24" s="3"/>
      <c r="E24" s="3"/>
      <c r="F24" s="3"/>
      <c r="G24" s="3"/>
      <c r="H24" s="3"/>
      <c r="I24" s="3"/>
    </row>
    <row r="25" spans="1:9" x14ac:dyDescent="0.35">
      <c r="A25" s="3"/>
      <c r="B25" s="14" t="s">
        <v>1704</v>
      </c>
      <c r="C25" s="14"/>
      <c r="D25" s="14"/>
      <c r="E25" s="14"/>
      <c r="F25" s="14"/>
      <c r="G25" s="14"/>
      <c r="H25" s="14"/>
      <c r="I25" s="3"/>
    </row>
    <row r="26" spans="1:9" ht="57.75" customHeight="1" x14ac:dyDescent="0.35">
      <c r="A26" s="3"/>
      <c r="B26" s="430" t="s">
        <v>1705</v>
      </c>
      <c r="C26" s="431"/>
      <c r="D26" s="431"/>
      <c r="E26" s="431"/>
      <c r="F26" s="431"/>
      <c r="G26" s="431"/>
      <c r="H26" s="432"/>
      <c r="I26" s="3"/>
    </row>
    <row r="27" spans="1:9" x14ac:dyDescent="0.35">
      <c r="A27" s="3"/>
      <c r="B27" s="3"/>
      <c r="C27" s="3"/>
      <c r="D27" s="3"/>
      <c r="E27" s="3"/>
      <c r="F27" s="3"/>
      <c r="G27" s="3"/>
      <c r="H27" s="3"/>
      <c r="I27" s="3"/>
    </row>
    <row r="28" spans="1:9" x14ac:dyDescent="0.35">
      <c r="A28" s="3"/>
      <c r="B28" s="3"/>
      <c r="C28" s="76" t="s">
        <v>1706</v>
      </c>
      <c r="D28" s="76" t="s">
        <v>1703</v>
      </c>
      <c r="E28" s="3"/>
      <c r="F28" s="3"/>
      <c r="G28" s="3"/>
      <c r="H28" s="3"/>
      <c r="I28" s="3"/>
    </row>
    <row r="29" spans="1:9" x14ac:dyDescent="0.35">
      <c r="A29" s="3"/>
      <c r="B29" s="3"/>
      <c r="C29" s="156"/>
      <c r="D29" s="30"/>
      <c r="E29" s="3"/>
      <c r="F29" s="3"/>
      <c r="G29" s="3"/>
      <c r="H29" s="3"/>
      <c r="I29" s="3"/>
    </row>
    <row r="30" spans="1:9" x14ac:dyDescent="0.35">
      <c r="A30" s="3"/>
      <c r="B30" s="3"/>
      <c r="C30" s="156"/>
      <c r="D30" s="30"/>
      <c r="E30" s="3"/>
      <c r="F30" s="3"/>
      <c r="G30" s="3"/>
      <c r="H30" s="3"/>
      <c r="I30" s="3"/>
    </row>
    <row r="31" spans="1:9" x14ac:dyDescent="0.35">
      <c r="A31" s="3"/>
      <c r="B31" s="3"/>
      <c r="C31" s="156"/>
      <c r="D31" s="30"/>
      <c r="E31" s="3"/>
      <c r="F31" s="3"/>
      <c r="G31" s="3"/>
      <c r="H31" s="3"/>
      <c r="I31" s="3"/>
    </row>
    <row r="32" spans="1:9" x14ac:dyDescent="0.35">
      <c r="A32" s="3"/>
      <c r="B32" s="3"/>
      <c r="C32" s="156"/>
      <c r="D32" s="30"/>
      <c r="E32" s="3"/>
      <c r="F32" s="3"/>
      <c r="G32" s="3"/>
      <c r="H32" s="3"/>
      <c r="I32" s="3"/>
    </row>
    <row r="33" spans="1:9" x14ac:dyDescent="0.35">
      <c r="A33" s="3"/>
      <c r="B33" s="3"/>
      <c r="C33" s="156"/>
      <c r="D33" s="30"/>
      <c r="E33" s="3"/>
      <c r="F33" s="3"/>
      <c r="G33" s="3"/>
      <c r="H33" s="3"/>
      <c r="I33" s="3"/>
    </row>
    <row r="34" spans="1:9" x14ac:dyDescent="0.35">
      <c r="A34" s="3"/>
      <c r="B34" s="3"/>
      <c r="C34" s="156"/>
      <c r="D34" s="30"/>
      <c r="E34" s="3"/>
      <c r="F34" s="3"/>
      <c r="G34" s="3"/>
      <c r="H34" s="3"/>
      <c r="I34" s="3"/>
    </row>
    <row r="35" spans="1:9" x14ac:dyDescent="0.35">
      <c r="A35" s="3"/>
      <c r="B35" s="3"/>
      <c r="C35" s="158"/>
      <c r="D35" s="158"/>
      <c r="E35" s="3"/>
      <c r="F35" s="3"/>
      <c r="G35" s="3"/>
      <c r="H35" s="3"/>
      <c r="I35" s="3"/>
    </row>
  </sheetData>
  <sheetProtection algorithmName="SHA-512" hashValue="K6gizOFwYqHUEc85bfqBizJ4gnDhP69Jh/eSeeFgq3MLq56OOS6MrNByGdPbUZDx5wYbfzMU2SDiGWQ+rJp+Cg==" saltValue="SF0HqseWhLKrY18nyo7IpA==" spinCount="100000" sheet="1" selectLockedCells="1"/>
  <dataConsolidate/>
  <mergeCells count="12">
    <mergeCell ref="B3:H3"/>
    <mergeCell ref="B4:H4"/>
    <mergeCell ref="B5:H5"/>
    <mergeCell ref="B6:H6"/>
    <mergeCell ref="B7:H7"/>
    <mergeCell ref="B26:H26"/>
    <mergeCell ref="B12:H12"/>
    <mergeCell ref="B13:H13"/>
    <mergeCell ref="B14:H14"/>
    <mergeCell ref="B8:H8"/>
    <mergeCell ref="C10:G10"/>
    <mergeCell ref="B15:H15"/>
  </mergeCells>
  <dataValidations count="2">
    <dataValidation type="list" allowBlank="1" showInputMessage="1" showErrorMessage="1" sqref="D18:D23 D29:D34" xr:uid="{00000000-0002-0000-1100-000000000000}">
      <formula1>nimas_charter_choices</formula1>
    </dataValidation>
    <dataValidation type="list" allowBlank="1" showInputMessage="1" showErrorMessage="1" sqref="C10" xr:uid="{00000000-0002-0000-1100-000001000000}">
      <formula1>charter_choices</formula1>
    </dataValidation>
  </dataValidations>
  <pageMargins left="0.25" right="0.25" top="0.75" bottom="0.75" header="0.3" footer="0.3"/>
  <pageSetup orientation="landscape" blackAndWhite="1" horizontalDpi="1200" verticalDpi="1200" r:id="rId1"/>
  <rowBreaks count="1" manualBreakCount="1">
    <brk id="11" max="16383" man="1"/>
  </rowBreaks>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id="{D08F71C8-3B70-4D83-806B-3140D1276D21}">
            <xm:f>AND(LeaName&lt;&gt;"",Output!$C$22)</xm:f>
            <x14:dxf>
              <fill>
                <patternFill>
                  <bgColor rgb="FF00B050"/>
                </patternFill>
              </fill>
              <border>
                <left style="thin">
                  <color rgb="FF00B050"/>
                </left>
                <right style="thin">
                  <color rgb="FF00B050"/>
                </right>
                <top style="thin">
                  <color rgb="FF00B050"/>
                </top>
                <bottom style="thin">
                  <color rgb="FF00B050"/>
                </bottom>
                <vertical/>
                <horizontal/>
              </border>
            </x14:dxf>
          </x14:cfRule>
          <x14:cfRule type="expression" priority="2" id="{B0E902C1-6C77-498E-9914-B894DE7AD6C7}">
            <xm:f>AND(LeaName&lt;&gt;"",NOT(Output!$C$22))</xm:f>
            <x14:dxf>
              <fill>
                <patternFill>
                  <bgColor rgb="FFFF0000"/>
                </patternFill>
              </fill>
              <border>
                <left style="thin">
                  <color rgb="FFFF0000"/>
                </left>
                <right style="thin">
                  <color rgb="FFFF0000"/>
                </right>
                <top style="thin">
                  <color rgb="FFFF0000"/>
                </top>
                <bottom style="thin">
                  <color rgb="FFFF0000"/>
                </bottom>
                <vertical/>
                <horizontal/>
              </border>
            </x14:dxf>
          </x14:cfRule>
          <xm:sqref>A1:A35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24069-55D3-4F06-B858-48D040587C6A}">
  <sheetPr codeName="Sheet24"/>
  <dimension ref="A1:X198"/>
  <sheetViews>
    <sheetView workbookViewId="0"/>
  </sheetViews>
  <sheetFormatPr defaultRowHeight="14.5" x14ac:dyDescent="0.35"/>
  <cols>
    <col min="1" max="1" width="30.54296875" bestFit="1" customWidth="1"/>
    <col min="2" max="2" width="5.1796875" bestFit="1" customWidth="1"/>
    <col min="3" max="3" width="9.81640625" customWidth="1"/>
    <col min="4" max="4" width="17.453125" bestFit="1" customWidth="1"/>
    <col min="5" max="5" width="17.54296875" bestFit="1" customWidth="1"/>
    <col min="6" max="6" width="18.1796875" bestFit="1" customWidth="1"/>
    <col min="7" max="7" width="17.81640625" bestFit="1" customWidth="1"/>
    <col min="8" max="8" width="26" bestFit="1" customWidth="1"/>
    <col min="9" max="9" width="26.1796875" bestFit="1" customWidth="1"/>
    <col min="10" max="10" width="14.26953125" bestFit="1" customWidth="1"/>
    <col min="11" max="11" width="11.81640625" bestFit="1" customWidth="1"/>
    <col min="12" max="12" width="12.1796875" bestFit="1" customWidth="1"/>
    <col min="13" max="13" width="17.453125" bestFit="1" customWidth="1"/>
    <col min="14" max="14" width="17.54296875" bestFit="1" customWidth="1"/>
    <col min="15" max="15" width="18.1796875" bestFit="1" customWidth="1"/>
    <col min="16" max="16" width="31.26953125" bestFit="1" customWidth="1"/>
    <col min="17" max="17" width="26" bestFit="1" customWidth="1"/>
    <col min="18" max="18" width="26.1796875" bestFit="1" customWidth="1"/>
    <col min="19" max="19" width="14" bestFit="1" customWidth="1"/>
    <col min="21" max="21" width="51.1796875" bestFit="1" customWidth="1"/>
    <col min="22" max="22" width="29.54296875" bestFit="1" customWidth="1"/>
    <col min="23" max="23" width="49.453125" bestFit="1" customWidth="1"/>
    <col min="24" max="24" width="11.26953125" bestFit="1" customWidth="1"/>
  </cols>
  <sheetData>
    <row r="1" spans="1:24" x14ac:dyDescent="0.35">
      <c r="A1" t="s">
        <v>2109</v>
      </c>
      <c r="B1" t="s">
        <v>2985</v>
      </c>
      <c r="C1" t="s">
        <v>1777</v>
      </c>
      <c r="D1" t="s">
        <v>2986</v>
      </c>
      <c r="E1" t="s">
        <v>2987</v>
      </c>
      <c r="F1" t="s">
        <v>2975</v>
      </c>
      <c r="G1" t="s">
        <v>2984</v>
      </c>
      <c r="H1" t="s">
        <v>2989</v>
      </c>
      <c r="I1" t="s">
        <v>2990</v>
      </c>
      <c r="J1" t="s">
        <v>2988</v>
      </c>
      <c r="K1" t="s">
        <v>2984</v>
      </c>
      <c r="L1" t="s">
        <v>1534</v>
      </c>
      <c r="M1" t="s">
        <v>2986</v>
      </c>
      <c r="N1" t="s">
        <v>2987</v>
      </c>
      <c r="O1" t="s">
        <v>2975</v>
      </c>
      <c r="P1" t="s">
        <v>2984</v>
      </c>
      <c r="Q1" t="s">
        <v>2989</v>
      </c>
      <c r="R1" t="s">
        <v>2990</v>
      </c>
      <c r="S1" t="s">
        <v>2988</v>
      </c>
      <c r="T1" t="s">
        <v>2984</v>
      </c>
      <c r="U1" t="s">
        <v>2980</v>
      </c>
      <c r="V1" t="s">
        <v>2981</v>
      </c>
      <c r="W1" t="s">
        <v>2982</v>
      </c>
      <c r="X1" t="s">
        <v>2983</v>
      </c>
    </row>
    <row r="2" spans="1:24" x14ac:dyDescent="0.35">
      <c r="A2" t="s">
        <v>14</v>
      </c>
      <c r="B2">
        <v>2063</v>
      </c>
      <c r="C2" t="s">
        <v>1777</v>
      </c>
      <c r="D2">
        <v>4692.63</v>
      </c>
      <c r="E2">
        <v>42748.200000000004</v>
      </c>
      <c r="F2">
        <v>47440.83</v>
      </c>
      <c r="G2" t="s">
        <v>241</v>
      </c>
      <c r="H2">
        <v>938.52600000000007</v>
      </c>
      <c r="I2">
        <v>0</v>
      </c>
      <c r="J2">
        <v>9488.1660000000011</v>
      </c>
      <c r="K2" t="s">
        <v>240</v>
      </c>
      <c r="L2" t="s">
        <v>1534</v>
      </c>
      <c r="M2">
        <v>4514.75</v>
      </c>
      <c r="N2">
        <v>66689.84</v>
      </c>
      <c r="O2">
        <v>71204.59</v>
      </c>
      <c r="P2" t="s">
        <v>241</v>
      </c>
      <c r="Q2">
        <v>902.95</v>
      </c>
      <c r="R2">
        <v>13337.967999999999</v>
      </c>
      <c r="S2">
        <v>14240.918</v>
      </c>
      <c r="T2" t="s">
        <v>240</v>
      </c>
      <c r="U2" t="s">
        <v>2991</v>
      </c>
      <c r="V2" t="str">
        <f>A2</f>
        <v>Adel SD 21</v>
      </c>
      <c r="W2" t="s">
        <v>2992</v>
      </c>
      <c r="X2" t="str">
        <f>A2</f>
        <v>Adel SD 21</v>
      </c>
    </row>
    <row r="3" spans="1:24" x14ac:dyDescent="0.35">
      <c r="A3" t="s">
        <v>17</v>
      </c>
      <c r="B3">
        <v>2113</v>
      </c>
      <c r="C3" t="s">
        <v>1777</v>
      </c>
      <c r="D3">
        <v>253169.40999999997</v>
      </c>
      <c r="E3">
        <v>121488.03</v>
      </c>
      <c r="F3">
        <v>374657.43999999994</v>
      </c>
      <c r="G3" t="s">
        <v>241</v>
      </c>
      <c r="H3">
        <v>6491.5233333333326</v>
      </c>
      <c r="I3">
        <v>3115.0776923076924</v>
      </c>
      <c r="J3">
        <v>9606.6010256410245</v>
      </c>
      <c r="K3" t="s">
        <v>241</v>
      </c>
      <c r="L3" t="s">
        <v>1534</v>
      </c>
      <c r="M3">
        <v>275669.42</v>
      </c>
      <c r="N3">
        <v>93756.959999999992</v>
      </c>
      <c r="O3">
        <v>369426.38</v>
      </c>
      <c r="P3" t="s">
        <v>2994</v>
      </c>
      <c r="Q3">
        <v>6410.9167441860463</v>
      </c>
      <c r="R3">
        <v>2180.394418604651</v>
      </c>
      <c r="S3">
        <v>8591.3111627906983</v>
      </c>
      <c r="T3" t="s">
        <v>241</v>
      </c>
      <c r="U3" t="s">
        <v>2991</v>
      </c>
      <c r="V3" t="str">
        <f t="shared" ref="V3:V66" si="0">A3</f>
        <v>Adrian SD 61</v>
      </c>
      <c r="W3" t="s">
        <v>2992</v>
      </c>
      <c r="X3" t="str">
        <f t="shared" ref="X3:X66" si="1">A3</f>
        <v>Adrian SD 61</v>
      </c>
    </row>
    <row r="4" spans="1:24" x14ac:dyDescent="0.35">
      <c r="A4" t="s">
        <v>20</v>
      </c>
      <c r="B4">
        <v>1899</v>
      </c>
      <c r="C4" t="s">
        <v>1777</v>
      </c>
      <c r="D4">
        <v>1501403.65</v>
      </c>
      <c r="E4">
        <v>138452</v>
      </c>
      <c r="F4">
        <v>1639855.65</v>
      </c>
      <c r="G4" t="s">
        <v>2994</v>
      </c>
      <c r="H4">
        <v>13170.20745614035</v>
      </c>
      <c r="I4">
        <v>1214.4912280701753</v>
      </c>
      <c r="J4">
        <v>14384.698684210525</v>
      </c>
      <c r="K4" t="s">
        <v>241</v>
      </c>
      <c r="L4" t="s">
        <v>1534</v>
      </c>
      <c r="M4">
        <v>757951.11</v>
      </c>
      <c r="N4">
        <v>143484</v>
      </c>
      <c r="O4">
        <v>901435.11</v>
      </c>
      <c r="P4" t="s">
        <v>241</v>
      </c>
      <c r="Q4">
        <v>7734.1949999999997</v>
      </c>
      <c r="R4">
        <v>1464.1224489795918</v>
      </c>
      <c r="S4">
        <v>9198.3174489795911</v>
      </c>
      <c r="T4" t="s">
        <v>240</v>
      </c>
      <c r="U4" t="s">
        <v>2991</v>
      </c>
      <c r="V4" t="str">
        <f t="shared" si="0"/>
        <v>Alsea SD 7J</v>
      </c>
      <c r="W4" t="s">
        <v>2992</v>
      </c>
      <c r="X4" t="str">
        <f t="shared" si="1"/>
        <v>Alsea SD 7J</v>
      </c>
    </row>
    <row r="5" spans="1:24" x14ac:dyDescent="0.35">
      <c r="A5" t="s">
        <v>21</v>
      </c>
      <c r="B5">
        <v>2252</v>
      </c>
      <c r="C5" t="s">
        <v>1777</v>
      </c>
      <c r="D5">
        <v>667452.79</v>
      </c>
      <c r="E5">
        <v>147629.78999999998</v>
      </c>
      <c r="F5">
        <v>815082.58000000007</v>
      </c>
      <c r="G5" t="s">
        <v>241</v>
      </c>
      <c r="H5">
        <v>5470.9245081967219</v>
      </c>
      <c r="I5">
        <v>1210.0802459016393</v>
      </c>
      <c r="J5">
        <v>6681.0047540983614</v>
      </c>
      <c r="K5" t="s">
        <v>241</v>
      </c>
      <c r="L5" t="s">
        <v>1534</v>
      </c>
      <c r="M5">
        <v>676751.8</v>
      </c>
      <c r="N5">
        <v>142426.82999999999</v>
      </c>
      <c r="O5">
        <v>819178.63</v>
      </c>
      <c r="P5" t="s">
        <v>2994</v>
      </c>
      <c r="Q5">
        <v>5414.0144</v>
      </c>
      <c r="R5">
        <v>1139.41464</v>
      </c>
      <c r="S5">
        <v>6553.42904</v>
      </c>
      <c r="T5" t="s">
        <v>241</v>
      </c>
      <c r="U5" t="s">
        <v>2991</v>
      </c>
      <c r="V5" t="str">
        <f t="shared" si="0"/>
        <v>Amity SD 4J</v>
      </c>
      <c r="W5" t="s">
        <v>2992</v>
      </c>
      <c r="X5" t="str">
        <f t="shared" si="1"/>
        <v>Amity SD 4J</v>
      </c>
    </row>
    <row r="6" spans="1:24" x14ac:dyDescent="0.35">
      <c r="A6" t="s">
        <v>23</v>
      </c>
      <c r="B6">
        <v>2111</v>
      </c>
      <c r="C6" t="s">
        <v>1777</v>
      </c>
      <c r="D6">
        <v>0</v>
      </c>
      <c r="E6">
        <v>44052.680000000008</v>
      </c>
      <c r="F6">
        <v>44052.680000000008</v>
      </c>
      <c r="G6" t="s">
        <v>241</v>
      </c>
      <c r="H6">
        <v>0</v>
      </c>
      <c r="I6">
        <v>7342.1133333333346</v>
      </c>
      <c r="J6">
        <v>7342.1133333333346</v>
      </c>
      <c r="K6" t="s">
        <v>240</v>
      </c>
      <c r="L6" t="s">
        <v>1534</v>
      </c>
      <c r="M6">
        <v>43439.82</v>
      </c>
      <c r="N6">
        <v>41493</v>
      </c>
      <c r="O6">
        <v>84932.82</v>
      </c>
      <c r="P6" t="s">
        <v>241</v>
      </c>
      <c r="Q6">
        <v>4343.982</v>
      </c>
      <c r="R6">
        <v>4149.3</v>
      </c>
      <c r="S6">
        <v>8493.2820000000011</v>
      </c>
      <c r="T6" t="s">
        <v>240</v>
      </c>
      <c r="U6" t="s">
        <v>2991</v>
      </c>
      <c r="V6" t="str">
        <f t="shared" si="0"/>
        <v>Annex SD 29</v>
      </c>
      <c r="W6" t="s">
        <v>2992</v>
      </c>
      <c r="X6" t="str">
        <f t="shared" si="1"/>
        <v>Annex SD 29</v>
      </c>
    </row>
    <row r="7" spans="1:24" x14ac:dyDescent="0.35">
      <c r="A7" t="s">
        <v>24</v>
      </c>
      <c r="B7">
        <v>2005</v>
      </c>
      <c r="C7" t="s">
        <v>1777</v>
      </c>
      <c r="D7">
        <v>18459.73</v>
      </c>
      <c r="E7">
        <v>168310</v>
      </c>
      <c r="F7">
        <v>186769.73</v>
      </c>
      <c r="G7" t="s">
        <v>241</v>
      </c>
      <c r="H7">
        <v>879.03476190476192</v>
      </c>
      <c r="I7">
        <v>8014.7619047619046</v>
      </c>
      <c r="J7">
        <v>8893.7966666666671</v>
      </c>
      <c r="K7" t="s">
        <v>241</v>
      </c>
      <c r="L7" t="s">
        <v>1534</v>
      </c>
      <c r="M7">
        <v>28897.65</v>
      </c>
      <c r="N7">
        <v>157487</v>
      </c>
      <c r="O7">
        <v>186384.65</v>
      </c>
      <c r="P7" t="s">
        <v>241</v>
      </c>
      <c r="Q7">
        <v>1204.0687500000001</v>
      </c>
      <c r="R7">
        <v>6561.958333333333</v>
      </c>
      <c r="S7">
        <v>7766.0270833333334</v>
      </c>
      <c r="T7" t="s">
        <v>241</v>
      </c>
      <c r="U7" t="s">
        <v>2991</v>
      </c>
      <c r="V7" t="str">
        <f t="shared" si="0"/>
        <v>Arlington SD 3</v>
      </c>
      <c r="W7" t="s">
        <v>2992</v>
      </c>
      <c r="X7" t="str">
        <f t="shared" si="1"/>
        <v>Arlington SD 3</v>
      </c>
    </row>
    <row r="8" spans="1:24" x14ac:dyDescent="0.35">
      <c r="A8" t="s">
        <v>25</v>
      </c>
      <c r="B8">
        <v>2115</v>
      </c>
      <c r="C8" t="s">
        <v>1777</v>
      </c>
      <c r="D8">
        <v>0</v>
      </c>
      <c r="E8">
        <v>13107.18</v>
      </c>
      <c r="F8">
        <v>13107.18</v>
      </c>
      <c r="G8" t="s">
        <v>2994</v>
      </c>
      <c r="H8">
        <v>0</v>
      </c>
      <c r="I8">
        <v>0</v>
      </c>
      <c r="J8">
        <v>0</v>
      </c>
      <c r="K8" t="s">
        <v>240</v>
      </c>
      <c r="L8" t="s">
        <v>1534</v>
      </c>
      <c r="M8">
        <v>0</v>
      </c>
      <c r="N8">
        <v>13099.999999999998</v>
      </c>
      <c r="O8">
        <v>13099.999999999998</v>
      </c>
      <c r="P8" t="s">
        <v>241</v>
      </c>
      <c r="Q8">
        <v>0</v>
      </c>
      <c r="R8">
        <v>13099.999999999998</v>
      </c>
      <c r="S8">
        <v>13099.999999999998</v>
      </c>
      <c r="T8" t="s">
        <v>241</v>
      </c>
      <c r="U8" t="s">
        <v>2991</v>
      </c>
      <c r="V8" t="str">
        <f t="shared" si="0"/>
        <v>Arock SD 81</v>
      </c>
      <c r="W8" t="s">
        <v>2992</v>
      </c>
      <c r="X8" t="str">
        <f t="shared" si="1"/>
        <v>Arock SD 81</v>
      </c>
    </row>
    <row r="9" spans="1:24" x14ac:dyDescent="0.35">
      <c r="A9" t="s">
        <v>26</v>
      </c>
      <c r="B9">
        <v>2041</v>
      </c>
      <c r="C9" t="s">
        <v>1777</v>
      </c>
      <c r="D9">
        <v>3285248.7000000007</v>
      </c>
      <c r="E9">
        <v>532575.49</v>
      </c>
      <c r="F9">
        <v>3817824.1900000004</v>
      </c>
      <c r="G9" t="s">
        <v>241</v>
      </c>
      <c r="H9">
        <v>10266.402187500002</v>
      </c>
      <c r="I9">
        <v>1664.29840625</v>
      </c>
      <c r="J9">
        <v>11930.700593750002</v>
      </c>
      <c r="K9" t="s">
        <v>240</v>
      </c>
      <c r="L9" t="s">
        <v>1534</v>
      </c>
      <c r="M9">
        <v>3311269.2600000002</v>
      </c>
      <c r="N9">
        <v>568007.90999999992</v>
      </c>
      <c r="O9">
        <v>3879277.17</v>
      </c>
      <c r="P9" t="s">
        <v>241</v>
      </c>
      <c r="Q9">
        <v>10716.081747572816</v>
      </c>
      <c r="R9">
        <v>1838.2133009708734</v>
      </c>
      <c r="S9">
        <v>12554.295048543689</v>
      </c>
      <c r="T9" t="s">
        <v>241</v>
      </c>
      <c r="U9" t="s">
        <v>2991</v>
      </c>
      <c r="V9" t="str">
        <f t="shared" si="0"/>
        <v>Ashland SD 5</v>
      </c>
      <c r="W9" t="s">
        <v>2992</v>
      </c>
      <c r="X9" t="str">
        <f t="shared" si="1"/>
        <v>Ashland SD 5</v>
      </c>
    </row>
    <row r="10" spans="1:24" x14ac:dyDescent="0.35">
      <c r="A10" t="s">
        <v>27</v>
      </c>
      <c r="B10">
        <v>2051</v>
      </c>
      <c r="C10" t="s">
        <v>1777</v>
      </c>
      <c r="D10">
        <v>0</v>
      </c>
      <c r="E10">
        <v>10583.51</v>
      </c>
      <c r="F10">
        <v>10583.51</v>
      </c>
      <c r="G10" t="s">
        <v>241</v>
      </c>
      <c r="H10">
        <v>0</v>
      </c>
      <c r="I10">
        <v>0</v>
      </c>
      <c r="J10">
        <v>0</v>
      </c>
      <c r="K10" t="s">
        <v>241</v>
      </c>
      <c r="L10" t="s">
        <v>1534</v>
      </c>
      <c r="M10">
        <v>0</v>
      </c>
      <c r="N10">
        <v>8932.7100000000009</v>
      </c>
      <c r="O10">
        <v>8932.7100000000009</v>
      </c>
      <c r="P10" t="s">
        <v>241</v>
      </c>
      <c r="Q10">
        <v>0</v>
      </c>
      <c r="R10">
        <v>0</v>
      </c>
      <c r="S10">
        <v>0</v>
      </c>
      <c r="T10" t="s">
        <v>241</v>
      </c>
      <c r="U10" t="s">
        <v>2991</v>
      </c>
      <c r="V10" t="str">
        <f t="shared" si="0"/>
        <v>Ashwood SD 8</v>
      </c>
      <c r="W10" t="s">
        <v>2992</v>
      </c>
      <c r="X10" t="str">
        <f t="shared" si="1"/>
        <v>Ashwood SD 8</v>
      </c>
    </row>
    <row r="11" spans="1:24" x14ac:dyDescent="0.35">
      <c r="A11" t="s">
        <v>28</v>
      </c>
      <c r="B11">
        <v>1933</v>
      </c>
      <c r="C11" t="s">
        <v>1777</v>
      </c>
      <c r="D11">
        <v>3397221.1100000003</v>
      </c>
      <c r="E11">
        <v>583074</v>
      </c>
      <c r="F11">
        <v>3980295.1100000003</v>
      </c>
      <c r="G11" t="s">
        <v>241</v>
      </c>
      <c r="H11">
        <v>13753.9316194332</v>
      </c>
      <c r="I11">
        <v>2360.6234817813765</v>
      </c>
      <c r="J11">
        <v>16114.555101214577</v>
      </c>
      <c r="K11" t="s">
        <v>241</v>
      </c>
      <c r="L11" t="s">
        <v>1534</v>
      </c>
      <c r="M11">
        <v>3090523.67</v>
      </c>
      <c r="N11">
        <v>652145</v>
      </c>
      <c r="O11">
        <v>3742668.67</v>
      </c>
      <c r="P11" t="s">
        <v>241</v>
      </c>
      <c r="Q11">
        <v>12931.061380753137</v>
      </c>
      <c r="R11">
        <v>2728.6401673640166</v>
      </c>
      <c r="S11">
        <v>15659.701548117155</v>
      </c>
      <c r="T11" t="s">
        <v>241</v>
      </c>
      <c r="U11" t="s">
        <v>2991</v>
      </c>
      <c r="V11" t="str">
        <f t="shared" si="0"/>
        <v>Astoria SD 1</v>
      </c>
      <c r="W11" t="s">
        <v>2992</v>
      </c>
      <c r="X11" t="str">
        <f t="shared" si="1"/>
        <v>Astoria SD 1</v>
      </c>
    </row>
    <row r="12" spans="1:24" x14ac:dyDescent="0.35">
      <c r="A12" t="s">
        <v>29</v>
      </c>
      <c r="B12">
        <v>2208</v>
      </c>
      <c r="C12" t="s">
        <v>1777</v>
      </c>
      <c r="D12">
        <v>602083.82999999996</v>
      </c>
      <c r="E12">
        <v>164385.64000000001</v>
      </c>
      <c r="F12">
        <v>766469.47</v>
      </c>
      <c r="G12" t="s">
        <v>2994</v>
      </c>
      <c r="H12">
        <v>7000.9747674418604</v>
      </c>
      <c r="I12">
        <v>1911.4609302325582</v>
      </c>
      <c r="J12">
        <v>8912.4356976744184</v>
      </c>
      <c r="K12" t="s">
        <v>241</v>
      </c>
      <c r="L12" t="s">
        <v>1534</v>
      </c>
      <c r="M12">
        <v>530420.86</v>
      </c>
      <c r="N12">
        <v>158478.79999999999</v>
      </c>
      <c r="O12">
        <v>688899.65999999992</v>
      </c>
      <c r="P12" t="s">
        <v>241</v>
      </c>
      <c r="Q12">
        <v>6027.5097727272723</v>
      </c>
      <c r="R12">
        <v>1800.8954545454544</v>
      </c>
      <c r="S12">
        <v>7828.4052272727267</v>
      </c>
      <c r="T12" t="s">
        <v>241</v>
      </c>
      <c r="U12" t="s">
        <v>2991</v>
      </c>
      <c r="V12" t="str">
        <f t="shared" si="0"/>
        <v>Athena-Weston SD 29RJ</v>
      </c>
      <c r="W12" t="s">
        <v>2992</v>
      </c>
      <c r="X12" t="str">
        <f t="shared" si="1"/>
        <v>Athena-Weston SD 29RJ</v>
      </c>
    </row>
    <row r="13" spans="1:24" x14ac:dyDescent="0.35">
      <c r="A13" t="s">
        <v>30</v>
      </c>
      <c r="B13">
        <v>1894</v>
      </c>
      <c r="C13" t="s">
        <v>1777</v>
      </c>
      <c r="D13">
        <v>2990927.8500000006</v>
      </c>
      <c r="E13">
        <v>0</v>
      </c>
      <c r="F13">
        <v>2990927.8500000006</v>
      </c>
      <c r="G13" t="s">
        <v>2994</v>
      </c>
      <c r="H13">
        <v>5549.0312615955481</v>
      </c>
      <c r="I13">
        <v>0</v>
      </c>
      <c r="J13">
        <v>5549.0312615955481</v>
      </c>
      <c r="K13" t="s">
        <v>240</v>
      </c>
      <c r="L13" t="s">
        <v>1534</v>
      </c>
      <c r="M13">
        <v>3052665.1100000013</v>
      </c>
      <c r="N13">
        <v>0</v>
      </c>
      <c r="O13">
        <v>3052665.1100000013</v>
      </c>
      <c r="P13" t="s">
        <v>241</v>
      </c>
      <c r="Q13">
        <v>5792.5334155597748</v>
      </c>
      <c r="R13">
        <v>0</v>
      </c>
      <c r="S13">
        <v>5792.5334155597748</v>
      </c>
      <c r="T13" t="s">
        <v>240</v>
      </c>
      <c r="U13" t="s">
        <v>2991</v>
      </c>
      <c r="V13" t="str">
        <f t="shared" si="0"/>
        <v>Baker SD 5J</v>
      </c>
      <c r="W13" t="s">
        <v>2992</v>
      </c>
      <c r="X13" t="str">
        <f t="shared" si="1"/>
        <v>Baker SD 5J</v>
      </c>
    </row>
    <row r="14" spans="1:24" x14ac:dyDescent="0.35">
      <c r="A14" t="s">
        <v>32</v>
      </c>
      <c r="B14">
        <v>1969</v>
      </c>
      <c r="C14" t="s">
        <v>1777</v>
      </c>
      <c r="D14">
        <v>881777.90000000014</v>
      </c>
      <c r="E14">
        <v>327150</v>
      </c>
      <c r="F14">
        <v>1208927.9000000001</v>
      </c>
      <c r="G14" t="s">
        <v>241</v>
      </c>
      <c r="H14">
        <v>10020.203409090911</v>
      </c>
      <c r="I14">
        <v>3717.6136363636365</v>
      </c>
      <c r="J14">
        <v>13737.817045454547</v>
      </c>
      <c r="K14" t="s">
        <v>240</v>
      </c>
      <c r="L14" t="s">
        <v>1534</v>
      </c>
      <c r="M14">
        <v>1030810.1799999996</v>
      </c>
      <c r="N14">
        <v>392923.12</v>
      </c>
      <c r="O14">
        <v>1423733.2999999996</v>
      </c>
      <c r="P14" t="s">
        <v>2994</v>
      </c>
      <c r="Q14">
        <v>11327.584395604392</v>
      </c>
      <c r="R14">
        <v>4317.8364835164839</v>
      </c>
      <c r="S14">
        <v>15645.420879120875</v>
      </c>
      <c r="T14" t="s">
        <v>2994</v>
      </c>
      <c r="U14" t="s">
        <v>2991</v>
      </c>
      <c r="V14" t="str">
        <f t="shared" si="0"/>
        <v>Bandon SD 54</v>
      </c>
      <c r="W14" t="s">
        <v>2992</v>
      </c>
      <c r="X14" t="str">
        <f t="shared" si="1"/>
        <v>Bandon SD 54</v>
      </c>
    </row>
    <row r="15" spans="1:24" x14ac:dyDescent="0.35">
      <c r="A15" t="s">
        <v>33</v>
      </c>
      <c r="B15">
        <v>2240</v>
      </c>
      <c r="C15" t="s">
        <v>1777</v>
      </c>
      <c r="D15">
        <v>1732949.4700000007</v>
      </c>
      <c r="E15">
        <v>254082</v>
      </c>
      <c r="F15">
        <v>1987031.4700000007</v>
      </c>
      <c r="G15" t="s">
        <v>241</v>
      </c>
      <c r="H15">
        <v>12378.210500000005</v>
      </c>
      <c r="I15">
        <v>1814.8714285714286</v>
      </c>
      <c r="J15">
        <v>14193.081928571433</v>
      </c>
      <c r="K15" t="s">
        <v>241</v>
      </c>
      <c r="L15" t="s">
        <v>1534</v>
      </c>
      <c r="M15">
        <v>1500587.0200000003</v>
      </c>
      <c r="N15">
        <v>288514</v>
      </c>
      <c r="O15">
        <v>1789101.0200000003</v>
      </c>
      <c r="P15" t="s">
        <v>240</v>
      </c>
      <c r="Q15">
        <v>10642.461134751775</v>
      </c>
      <c r="R15">
        <v>2046.1985815602836</v>
      </c>
      <c r="S15">
        <v>12688.659716312059</v>
      </c>
      <c r="T15" t="s">
        <v>2994</v>
      </c>
      <c r="U15" t="s">
        <v>2991</v>
      </c>
      <c r="V15" t="str">
        <f t="shared" si="0"/>
        <v>Banks SD 13</v>
      </c>
      <c r="W15" t="s">
        <v>2992</v>
      </c>
      <c r="X15" t="str">
        <f t="shared" si="1"/>
        <v>Banks SD 13</v>
      </c>
    </row>
    <row r="16" spans="1:24" x14ac:dyDescent="0.35">
      <c r="A16" t="s">
        <v>34</v>
      </c>
      <c r="B16">
        <v>2243</v>
      </c>
      <c r="C16" t="s">
        <v>1777</v>
      </c>
      <c r="D16">
        <v>59537929.719999984</v>
      </c>
      <c r="E16">
        <v>5727911</v>
      </c>
      <c r="F16">
        <v>65265840.719999984</v>
      </c>
      <c r="G16" t="s">
        <v>241</v>
      </c>
      <c r="H16">
        <v>12825.921956053422</v>
      </c>
      <c r="I16">
        <v>1233.9317104696252</v>
      </c>
      <c r="J16">
        <v>14059.853666523048</v>
      </c>
      <c r="K16" t="s">
        <v>241</v>
      </c>
      <c r="L16" t="s">
        <v>1534</v>
      </c>
      <c r="M16">
        <v>56342084.420000024</v>
      </c>
      <c r="N16">
        <v>6015285</v>
      </c>
      <c r="O16">
        <v>62357369.420000024</v>
      </c>
      <c r="P16" t="s">
        <v>2994</v>
      </c>
      <c r="Q16">
        <v>11638.52187977691</v>
      </c>
      <c r="R16">
        <v>1242.5707498450734</v>
      </c>
      <c r="S16">
        <v>12881.092629621984</v>
      </c>
      <c r="T16" t="s">
        <v>241</v>
      </c>
      <c r="U16" t="s">
        <v>2991</v>
      </c>
      <c r="V16" t="str">
        <f t="shared" si="0"/>
        <v>Beaverton SD 48J</v>
      </c>
      <c r="W16" t="s">
        <v>2992</v>
      </c>
      <c r="X16" t="str">
        <f t="shared" si="1"/>
        <v>Beaverton SD 48J</v>
      </c>
    </row>
    <row r="17" spans="1:24" x14ac:dyDescent="0.35">
      <c r="A17" t="s">
        <v>35</v>
      </c>
      <c r="B17">
        <v>1976</v>
      </c>
      <c r="C17" t="s">
        <v>1777</v>
      </c>
      <c r="D17">
        <v>22588976.860000014</v>
      </c>
      <c r="E17">
        <v>3192709.3400000003</v>
      </c>
      <c r="F17">
        <v>25781686.200000014</v>
      </c>
      <c r="G17" t="s">
        <v>241</v>
      </c>
      <c r="H17">
        <v>12982.170609195411</v>
      </c>
      <c r="I17">
        <v>1834.8904252873565</v>
      </c>
      <c r="J17">
        <v>14817.061034482767</v>
      </c>
      <c r="K17" t="s">
        <v>241</v>
      </c>
      <c r="L17" t="s">
        <v>1534</v>
      </c>
      <c r="M17">
        <v>22276469.34</v>
      </c>
      <c r="N17">
        <v>3220356.0599999996</v>
      </c>
      <c r="O17">
        <v>25496825.399999999</v>
      </c>
      <c r="P17" t="s">
        <v>241</v>
      </c>
      <c r="Q17">
        <v>12438.006331658291</v>
      </c>
      <c r="R17">
        <v>1798.0770854271354</v>
      </c>
      <c r="S17">
        <v>14236.083417085427</v>
      </c>
      <c r="T17" t="s">
        <v>241</v>
      </c>
      <c r="U17" t="s">
        <v>2991</v>
      </c>
      <c r="V17" t="str">
        <f t="shared" si="0"/>
        <v>Bend-LaPine Administrative SD 1</v>
      </c>
      <c r="W17" t="s">
        <v>2992</v>
      </c>
      <c r="X17" t="str">
        <f t="shared" si="1"/>
        <v>Bend-LaPine Administrative SD 1</v>
      </c>
    </row>
    <row r="18" spans="1:24" x14ac:dyDescent="0.35">
      <c r="A18" t="s">
        <v>36</v>
      </c>
      <c r="B18">
        <v>2088</v>
      </c>
      <c r="C18" t="s">
        <v>1777</v>
      </c>
      <c r="D18">
        <v>12538138.499999985</v>
      </c>
      <c r="E18">
        <v>656015</v>
      </c>
      <c r="F18">
        <v>13194153.499999985</v>
      </c>
      <c r="G18" t="s">
        <v>2994</v>
      </c>
      <c r="H18">
        <v>12939.255417956641</v>
      </c>
      <c r="I18">
        <v>677.00206398348814</v>
      </c>
      <c r="J18">
        <v>13616.257481940129</v>
      </c>
      <c r="K18" t="s">
        <v>241</v>
      </c>
      <c r="L18" t="s">
        <v>1534</v>
      </c>
      <c r="M18">
        <v>11026414.260000002</v>
      </c>
      <c r="N18">
        <v>848617</v>
      </c>
      <c r="O18">
        <v>11875031.260000002</v>
      </c>
      <c r="P18" t="s">
        <v>241</v>
      </c>
      <c r="Q18">
        <v>11414.507515527952</v>
      </c>
      <c r="R18">
        <v>878.48550724637676</v>
      </c>
      <c r="S18">
        <v>12292.993022774328</v>
      </c>
      <c r="T18" t="s">
        <v>241</v>
      </c>
      <c r="U18" t="s">
        <v>2991</v>
      </c>
      <c r="V18" t="str">
        <f t="shared" si="0"/>
        <v>Bethel SD 52</v>
      </c>
      <c r="W18" t="s">
        <v>2992</v>
      </c>
      <c r="X18" t="str">
        <f t="shared" si="1"/>
        <v>Bethel SD 52</v>
      </c>
    </row>
    <row r="19" spans="1:24" x14ac:dyDescent="0.35">
      <c r="A19" t="s">
        <v>37</v>
      </c>
      <c r="B19">
        <v>2095</v>
      </c>
      <c r="C19" t="s">
        <v>1777</v>
      </c>
      <c r="D19">
        <v>345253.88999999996</v>
      </c>
      <c r="E19">
        <v>43908</v>
      </c>
      <c r="F19">
        <v>389161.88999999996</v>
      </c>
      <c r="G19" t="s">
        <v>2994</v>
      </c>
      <c r="H19">
        <v>9864.3968571428559</v>
      </c>
      <c r="I19">
        <v>1254.5142857142857</v>
      </c>
      <c r="J19">
        <v>11118.911142857141</v>
      </c>
      <c r="K19" t="s">
        <v>241</v>
      </c>
      <c r="L19" t="s">
        <v>1534</v>
      </c>
      <c r="M19">
        <v>378329.81999999995</v>
      </c>
      <c r="N19">
        <v>41235</v>
      </c>
      <c r="O19">
        <v>419564.81999999995</v>
      </c>
      <c r="P19" t="s">
        <v>2994</v>
      </c>
      <c r="Q19">
        <v>9227.5565853658518</v>
      </c>
      <c r="R19">
        <v>1005.7317073170732</v>
      </c>
      <c r="S19">
        <v>10233.288292682926</v>
      </c>
      <c r="T19" t="s">
        <v>241</v>
      </c>
      <c r="U19" t="s">
        <v>2991</v>
      </c>
      <c r="V19" t="str">
        <f t="shared" si="0"/>
        <v>Blachly SD 90</v>
      </c>
      <c r="W19" t="s">
        <v>2992</v>
      </c>
      <c r="X19" t="str">
        <f t="shared" si="1"/>
        <v>Blachly SD 90</v>
      </c>
    </row>
    <row r="20" spans="1:24" x14ac:dyDescent="0.35">
      <c r="A20" t="s">
        <v>38</v>
      </c>
      <c r="B20">
        <v>2052</v>
      </c>
      <c r="C20" t="s">
        <v>1777</v>
      </c>
      <c r="D20">
        <v>0</v>
      </c>
      <c r="E20">
        <v>16122.65</v>
      </c>
      <c r="F20">
        <v>16122.65</v>
      </c>
      <c r="G20" t="s">
        <v>2994</v>
      </c>
      <c r="H20">
        <v>0</v>
      </c>
      <c r="I20">
        <v>16122.65</v>
      </c>
      <c r="J20">
        <v>16122.65</v>
      </c>
      <c r="K20" t="s">
        <v>241</v>
      </c>
      <c r="L20" t="s">
        <v>1534</v>
      </c>
      <c r="M20">
        <v>0</v>
      </c>
      <c r="N20">
        <v>16655.57</v>
      </c>
      <c r="O20">
        <v>16655.57</v>
      </c>
      <c r="P20" t="s">
        <v>241</v>
      </c>
      <c r="Q20">
        <v>0</v>
      </c>
      <c r="R20">
        <v>5551.8566666666666</v>
      </c>
      <c r="S20">
        <v>5551.8566666666666</v>
      </c>
      <c r="T20" t="s">
        <v>240</v>
      </c>
      <c r="U20" t="s">
        <v>2991</v>
      </c>
      <c r="V20" t="str">
        <f t="shared" si="0"/>
        <v>Black Butte SD 41</v>
      </c>
      <c r="W20" t="s">
        <v>2992</v>
      </c>
      <c r="X20" t="str">
        <f t="shared" si="1"/>
        <v>Black Butte SD 41</v>
      </c>
    </row>
    <row r="21" spans="1:24" x14ac:dyDescent="0.35">
      <c r="A21" t="s">
        <v>39</v>
      </c>
      <c r="B21">
        <v>1974</v>
      </c>
      <c r="C21" t="s">
        <v>1777</v>
      </c>
      <c r="D21">
        <v>2324257.899999999</v>
      </c>
      <c r="E21">
        <v>15924</v>
      </c>
      <c r="F21">
        <v>2340181.899999999</v>
      </c>
      <c r="G21" t="s">
        <v>240</v>
      </c>
      <c r="H21">
        <v>10810.501860465112</v>
      </c>
      <c r="I21">
        <v>74.06511627906977</v>
      </c>
      <c r="J21">
        <v>10884.566976744181</v>
      </c>
      <c r="K21" t="s">
        <v>241</v>
      </c>
      <c r="L21" t="s">
        <v>1534</v>
      </c>
      <c r="M21">
        <v>2320698.1199999992</v>
      </c>
      <c r="N21">
        <v>62579.49</v>
      </c>
      <c r="O21">
        <v>2383277.6099999994</v>
      </c>
      <c r="P21" t="s">
        <v>241</v>
      </c>
      <c r="Q21">
        <v>10314.213866666663</v>
      </c>
      <c r="R21">
        <v>278.13106666666664</v>
      </c>
      <c r="S21">
        <v>10592.34493333333</v>
      </c>
      <c r="T21" t="s">
        <v>241</v>
      </c>
      <c r="U21" t="s">
        <v>2991</v>
      </c>
      <c r="V21" t="str">
        <f t="shared" si="0"/>
        <v>Brookings-Harbor SD 17C</v>
      </c>
      <c r="W21" t="s">
        <v>2992</v>
      </c>
      <c r="X21" t="str">
        <f t="shared" si="1"/>
        <v>Brookings-Harbor SD 17C</v>
      </c>
    </row>
    <row r="22" spans="1:24" x14ac:dyDescent="0.35">
      <c r="A22" t="s">
        <v>40</v>
      </c>
      <c r="B22">
        <v>1896</v>
      </c>
      <c r="C22" t="s">
        <v>1777</v>
      </c>
      <c r="D22">
        <v>60182</v>
      </c>
      <c r="E22">
        <v>18701.620000000003</v>
      </c>
      <c r="F22">
        <v>78883.62</v>
      </c>
      <c r="G22" t="s">
        <v>241</v>
      </c>
      <c r="H22">
        <v>12036.4</v>
      </c>
      <c r="I22">
        <v>3740.3240000000005</v>
      </c>
      <c r="J22">
        <v>15776.723999999998</v>
      </c>
      <c r="K22" t="s">
        <v>240</v>
      </c>
      <c r="L22" t="s">
        <v>1534</v>
      </c>
      <c r="M22">
        <v>63948</v>
      </c>
      <c r="N22">
        <v>18468.940000000002</v>
      </c>
      <c r="O22">
        <v>82416.94</v>
      </c>
      <c r="P22" t="s">
        <v>241</v>
      </c>
      <c r="Q22">
        <v>12789.6</v>
      </c>
      <c r="R22">
        <v>3693.7880000000005</v>
      </c>
      <c r="S22">
        <v>16483.387999999999</v>
      </c>
      <c r="T22" t="s">
        <v>241</v>
      </c>
      <c r="U22" t="s">
        <v>2991</v>
      </c>
      <c r="V22" t="str">
        <f t="shared" si="0"/>
        <v>Burnt River SD 30J</v>
      </c>
      <c r="W22" t="s">
        <v>2992</v>
      </c>
      <c r="X22" t="str">
        <f t="shared" si="1"/>
        <v>Burnt River SD 30J</v>
      </c>
    </row>
    <row r="23" spans="1:24" x14ac:dyDescent="0.35">
      <c r="A23" t="s">
        <v>42</v>
      </c>
      <c r="B23">
        <v>2046</v>
      </c>
      <c r="C23" t="s">
        <v>1777</v>
      </c>
      <c r="D23">
        <v>263704.3</v>
      </c>
      <c r="E23">
        <v>143181.67000000001</v>
      </c>
      <c r="F23">
        <v>406885.97</v>
      </c>
      <c r="G23" t="s">
        <v>241</v>
      </c>
      <c r="H23">
        <v>6939.5868421052628</v>
      </c>
      <c r="I23">
        <v>3767.9386842105268</v>
      </c>
      <c r="J23">
        <v>10707.525526315789</v>
      </c>
      <c r="K23" t="s">
        <v>241</v>
      </c>
      <c r="L23" t="s">
        <v>1534</v>
      </c>
      <c r="M23">
        <v>273769.73000000004</v>
      </c>
      <c r="N23">
        <v>99488.41</v>
      </c>
      <c r="O23">
        <v>373258.14</v>
      </c>
      <c r="P23" t="s">
        <v>2994</v>
      </c>
      <c r="Q23">
        <v>5824.8878723404259</v>
      </c>
      <c r="R23">
        <v>2116.7746808510637</v>
      </c>
      <c r="S23">
        <v>7941.6625531914897</v>
      </c>
      <c r="T23" t="s">
        <v>241</v>
      </c>
      <c r="U23" t="s">
        <v>2991</v>
      </c>
      <c r="V23" t="str">
        <f t="shared" si="0"/>
        <v>Butte Falls SD 91</v>
      </c>
      <c r="W23" t="s">
        <v>2992</v>
      </c>
      <c r="X23" t="str">
        <f t="shared" si="1"/>
        <v>Butte Falls SD 91</v>
      </c>
    </row>
    <row r="24" spans="1:24" x14ac:dyDescent="0.35">
      <c r="A24" t="s">
        <v>43</v>
      </c>
      <c r="B24">
        <v>1995</v>
      </c>
      <c r="C24" t="s">
        <v>1777</v>
      </c>
      <c r="D24">
        <v>294956.69</v>
      </c>
      <c r="E24">
        <v>54403.13</v>
      </c>
      <c r="F24">
        <v>349359.82</v>
      </c>
      <c r="G24" t="s">
        <v>241</v>
      </c>
      <c r="H24">
        <v>7762.0181578947368</v>
      </c>
      <c r="I24">
        <v>1431.6613157894735</v>
      </c>
      <c r="J24">
        <v>9193.6794736842112</v>
      </c>
      <c r="K24" t="s">
        <v>241</v>
      </c>
      <c r="L24" t="s">
        <v>1534</v>
      </c>
      <c r="M24">
        <v>294406.66000000003</v>
      </c>
      <c r="N24">
        <v>38184.799999999996</v>
      </c>
      <c r="O24">
        <v>332591.46000000002</v>
      </c>
      <c r="P24" t="s">
        <v>241</v>
      </c>
      <c r="Q24">
        <v>7360.1665000000012</v>
      </c>
      <c r="R24">
        <v>954.61999999999989</v>
      </c>
      <c r="S24">
        <v>8314.7865000000002</v>
      </c>
      <c r="T24" t="s">
        <v>241</v>
      </c>
      <c r="U24" t="s">
        <v>2991</v>
      </c>
      <c r="V24" t="str">
        <f t="shared" si="0"/>
        <v>Camas Valley SD 21J</v>
      </c>
      <c r="W24" t="s">
        <v>2992</v>
      </c>
      <c r="X24" t="str">
        <f t="shared" si="1"/>
        <v>Camas Valley SD 21J</v>
      </c>
    </row>
    <row r="25" spans="1:24" x14ac:dyDescent="0.35">
      <c r="A25" t="s">
        <v>44</v>
      </c>
      <c r="B25">
        <v>1929</v>
      </c>
      <c r="C25" t="s">
        <v>1777</v>
      </c>
      <c r="D25">
        <v>7457547.1100000031</v>
      </c>
      <c r="E25">
        <v>990580</v>
      </c>
      <c r="F25">
        <v>8448127.1100000031</v>
      </c>
      <c r="G25" t="s">
        <v>241</v>
      </c>
      <c r="H25">
        <v>12969.647147826092</v>
      </c>
      <c r="I25">
        <v>1722.7478260869566</v>
      </c>
      <c r="J25">
        <v>14692.394973913049</v>
      </c>
      <c r="K25" t="s">
        <v>241</v>
      </c>
      <c r="L25" t="s">
        <v>1534</v>
      </c>
      <c r="M25">
        <v>6918693.4699999997</v>
      </c>
      <c r="N25">
        <v>572619</v>
      </c>
      <c r="O25">
        <v>7491312.4699999997</v>
      </c>
      <c r="P25" t="s">
        <v>2994</v>
      </c>
      <c r="Q25">
        <v>12138.058719298246</v>
      </c>
      <c r="R25">
        <v>1004.5947368421052</v>
      </c>
      <c r="S25">
        <v>13142.65345614035</v>
      </c>
      <c r="T25" t="s">
        <v>241</v>
      </c>
      <c r="U25" t="s">
        <v>2991</v>
      </c>
      <c r="V25" t="str">
        <f t="shared" si="0"/>
        <v>Canby SD 86</v>
      </c>
      <c r="W25" t="s">
        <v>2992</v>
      </c>
      <c r="X25" t="str">
        <f t="shared" si="1"/>
        <v>Canby SD 86</v>
      </c>
    </row>
    <row r="26" spans="1:24" x14ac:dyDescent="0.35">
      <c r="A26" t="s">
        <v>45</v>
      </c>
      <c r="B26">
        <v>2139</v>
      </c>
      <c r="C26" t="s">
        <v>1777</v>
      </c>
      <c r="D26">
        <v>4151153.5800000015</v>
      </c>
      <c r="E26">
        <v>318555.43999999994</v>
      </c>
      <c r="F26">
        <v>4469709.0200000014</v>
      </c>
      <c r="G26" t="s">
        <v>2994</v>
      </c>
      <c r="H26">
        <v>11341.949672131152</v>
      </c>
      <c r="I26">
        <v>870.37005464480865</v>
      </c>
      <c r="J26">
        <v>12212.319726775961</v>
      </c>
      <c r="K26" t="s">
        <v>241</v>
      </c>
      <c r="L26" t="s">
        <v>1534</v>
      </c>
      <c r="M26">
        <v>4084185.330000001</v>
      </c>
      <c r="N26">
        <v>378518.9</v>
      </c>
      <c r="O26">
        <v>4462704.2300000014</v>
      </c>
      <c r="P26" t="s">
        <v>2994</v>
      </c>
      <c r="Q26">
        <v>10949.558525469172</v>
      </c>
      <c r="R26">
        <v>1014.7959785522789</v>
      </c>
      <c r="S26">
        <v>11964.354504021452</v>
      </c>
      <c r="T26" t="s">
        <v>2994</v>
      </c>
      <c r="U26" t="s">
        <v>2991</v>
      </c>
      <c r="V26" t="str">
        <f t="shared" si="0"/>
        <v>Cascade SD 5</v>
      </c>
      <c r="W26" t="s">
        <v>2992</v>
      </c>
      <c r="X26" t="str">
        <f t="shared" si="1"/>
        <v>Cascade SD 5</v>
      </c>
    </row>
    <row r="27" spans="1:24" x14ac:dyDescent="0.35">
      <c r="A27" t="s">
        <v>46</v>
      </c>
      <c r="B27">
        <v>2185</v>
      </c>
      <c r="C27" t="s">
        <v>1777</v>
      </c>
      <c r="D27">
        <v>10342478.089999998</v>
      </c>
      <c r="E27">
        <v>2012927.4500000002</v>
      </c>
      <c r="F27">
        <v>12355405.539999999</v>
      </c>
      <c r="G27" t="s">
        <v>241</v>
      </c>
      <c r="H27">
        <v>13379.661177231563</v>
      </c>
      <c r="I27">
        <v>2604.0458602846056</v>
      </c>
      <c r="J27">
        <v>15983.707037516169</v>
      </c>
      <c r="K27" t="s">
        <v>241</v>
      </c>
      <c r="L27" t="s">
        <v>1534</v>
      </c>
      <c r="M27">
        <v>11598962.540000001</v>
      </c>
      <c r="N27">
        <v>1720338.6700000002</v>
      </c>
      <c r="O27">
        <v>13319301.210000001</v>
      </c>
      <c r="P27" t="s">
        <v>2994</v>
      </c>
      <c r="Q27">
        <v>13775.489952494063</v>
      </c>
      <c r="R27">
        <v>2043.1575653206653</v>
      </c>
      <c r="S27">
        <v>15818.647517814728</v>
      </c>
      <c r="T27" t="s">
        <v>2994</v>
      </c>
      <c r="U27" t="s">
        <v>2991</v>
      </c>
      <c r="V27" t="str">
        <f t="shared" si="0"/>
        <v>Centennial SD 28J</v>
      </c>
      <c r="W27" t="s">
        <v>2992</v>
      </c>
      <c r="X27" t="str">
        <f t="shared" si="1"/>
        <v>Centennial SD 28J</v>
      </c>
    </row>
    <row r="28" spans="1:24" x14ac:dyDescent="0.35">
      <c r="A28" t="s">
        <v>47</v>
      </c>
      <c r="B28">
        <v>1972</v>
      </c>
      <c r="C28" t="s">
        <v>1777</v>
      </c>
      <c r="D28">
        <v>293378.09000000008</v>
      </c>
      <c r="E28">
        <v>224279</v>
      </c>
      <c r="F28">
        <v>517657.09000000008</v>
      </c>
      <c r="G28" t="s">
        <v>2994</v>
      </c>
      <c r="H28">
        <v>5432.927592592594</v>
      </c>
      <c r="I28">
        <v>4153.3148148148148</v>
      </c>
      <c r="J28">
        <v>9586.2424074074097</v>
      </c>
      <c r="K28" t="s">
        <v>241</v>
      </c>
      <c r="L28" t="s">
        <v>1534</v>
      </c>
      <c r="M28">
        <v>306266.18999999994</v>
      </c>
      <c r="N28">
        <v>207392.97</v>
      </c>
      <c r="O28">
        <v>513659.15999999992</v>
      </c>
      <c r="P28" t="s">
        <v>241</v>
      </c>
      <c r="Q28">
        <v>5568.4761818181805</v>
      </c>
      <c r="R28">
        <v>3770.7812727272726</v>
      </c>
      <c r="S28">
        <v>9339.2574545454536</v>
      </c>
      <c r="T28" t="s">
        <v>241</v>
      </c>
      <c r="U28" t="s">
        <v>2991</v>
      </c>
      <c r="V28" t="str">
        <f t="shared" si="0"/>
        <v>Central Curry SD 1</v>
      </c>
      <c r="W28" t="s">
        <v>2992</v>
      </c>
      <c r="X28" t="str">
        <f t="shared" si="1"/>
        <v>Central Curry SD 1</v>
      </c>
    </row>
    <row r="29" spans="1:24" x14ac:dyDescent="0.35">
      <c r="A29" t="s">
        <v>48</v>
      </c>
      <c r="B29">
        <v>2105</v>
      </c>
      <c r="C29" t="s">
        <v>1777</v>
      </c>
      <c r="D29">
        <v>706035.70000000019</v>
      </c>
      <c r="E29">
        <v>178263</v>
      </c>
      <c r="F29">
        <v>884298.70000000019</v>
      </c>
      <c r="G29" t="s">
        <v>241</v>
      </c>
      <c r="H29">
        <v>7591.7817204301091</v>
      </c>
      <c r="I29">
        <v>1916.8064516129032</v>
      </c>
      <c r="J29">
        <v>9508.5881720430134</v>
      </c>
      <c r="K29" t="s">
        <v>241</v>
      </c>
      <c r="L29" t="s">
        <v>1534</v>
      </c>
      <c r="M29">
        <v>719654.11000000022</v>
      </c>
      <c r="N29">
        <v>170440</v>
      </c>
      <c r="O29">
        <v>890094.11000000022</v>
      </c>
      <c r="P29" t="s">
        <v>2139</v>
      </c>
      <c r="Q29">
        <v>7269.2334343434368</v>
      </c>
      <c r="R29">
        <v>1721.6161616161617</v>
      </c>
      <c r="S29">
        <v>8990.8495959595984</v>
      </c>
      <c r="T29" t="s">
        <v>241</v>
      </c>
      <c r="U29" t="s">
        <v>2991</v>
      </c>
      <c r="V29" t="str">
        <f t="shared" si="0"/>
        <v>Central Linn SD 552</v>
      </c>
      <c r="W29" t="s">
        <v>2992</v>
      </c>
      <c r="X29" t="str">
        <f t="shared" si="1"/>
        <v>Central Linn SD 552</v>
      </c>
    </row>
    <row r="30" spans="1:24" x14ac:dyDescent="0.35">
      <c r="A30" t="s">
        <v>49</v>
      </c>
      <c r="B30">
        <v>2042</v>
      </c>
      <c r="C30" t="s">
        <v>1777</v>
      </c>
      <c r="D30">
        <v>3419061.6300000018</v>
      </c>
      <c r="E30">
        <v>1084629.78</v>
      </c>
      <c r="F30">
        <v>4503691.410000002</v>
      </c>
      <c r="G30" t="s">
        <v>241</v>
      </c>
      <c r="H30">
        <v>5550.4247240259765</v>
      </c>
      <c r="I30">
        <v>1760.76262987013</v>
      </c>
      <c r="J30">
        <v>7311.1873538961072</v>
      </c>
      <c r="K30" t="s">
        <v>241</v>
      </c>
      <c r="L30" t="s">
        <v>1534</v>
      </c>
      <c r="M30">
        <v>3347688.7499999995</v>
      </c>
      <c r="N30">
        <v>1167415.31</v>
      </c>
      <c r="O30">
        <v>4515104.0599999996</v>
      </c>
      <c r="P30" t="s">
        <v>241</v>
      </c>
      <c r="Q30">
        <v>4974.2774888558688</v>
      </c>
      <c r="R30">
        <v>1734.6438484398218</v>
      </c>
      <c r="S30">
        <v>6708.9213372956901</v>
      </c>
      <c r="T30" t="s">
        <v>241</v>
      </c>
      <c r="U30" t="s">
        <v>2991</v>
      </c>
      <c r="V30" t="str">
        <f t="shared" si="0"/>
        <v>Central Point SD 6</v>
      </c>
      <c r="W30" t="s">
        <v>2992</v>
      </c>
      <c r="X30" t="str">
        <f t="shared" si="1"/>
        <v>Central Point SD 6</v>
      </c>
    </row>
    <row r="31" spans="1:24" x14ac:dyDescent="0.35">
      <c r="A31" t="s">
        <v>50</v>
      </c>
      <c r="B31">
        <v>2191</v>
      </c>
      <c r="C31" t="s">
        <v>1777</v>
      </c>
      <c r="D31">
        <v>6646785.1799999997</v>
      </c>
      <c r="E31">
        <v>193706.7</v>
      </c>
      <c r="F31">
        <v>6840491.8799999999</v>
      </c>
      <c r="G31" t="s">
        <v>2994</v>
      </c>
      <c r="H31">
        <v>17537.691767810025</v>
      </c>
      <c r="I31">
        <v>511.09947229551454</v>
      </c>
      <c r="J31">
        <v>18048.79124010554</v>
      </c>
      <c r="K31" t="s">
        <v>240</v>
      </c>
      <c r="L31" t="s">
        <v>1534</v>
      </c>
      <c r="M31">
        <v>6087357.8999999985</v>
      </c>
      <c r="N31">
        <v>391417.39999999997</v>
      </c>
      <c r="O31">
        <v>6478775.2999999989</v>
      </c>
      <c r="P31" t="s">
        <v>2994</v>
      </c>
      <c r="Q31">
        <v>19082.626645768021</v>
      </c>
      <c r="R31">
        <v>1227.0137931034483</v>
      </c>
      <c r="S31">
        <v>20309.640438871469</v>
      </c>
      <c r="T31" t="s">
        <v>241</v>
      </c>
      <c r="U31" t="s">
        <v>2991</v>
      </c>
      <c r="V31" t="str">
        <f t="shared" si="0"/>
        <v>Central SD 13J</v>
      </c>
      <c r="W31" t="s">
        <v>2992</v>
      </c>
      <c r="X31" t="str">
        <f t="shared" si="1"/>
        <v>Central SD 13J</v>
      </c>
    </row>
    <row r="32" spans="1:24" x14ac:dyDescent="0.35">
      <c r="A32" t="s">
        <v>51</v>
      </c>
      <c r="B32">
        <v>1945</v>
      </c>
      <c r="C32" t="s">
        <v>1777</v>
      </c>
      <c r="D32">
        <v>1964913.9799999997</v>
      </c>
      <c r="E32">
        <v>80689</v>
      </c>
      <c r="F32">
        <v>2045602.9799999997</v>
      </c>
      <c r="G32" t="s">
        <v>2994</v>
      </c>
      <c r="H32">
        <v>16938.913620689655</v>
      </c>
      <c r="I32">
        <v>695.59482758620686</v>
      </c>
      <c r="J32">
        <v>17634.508448275861</v>
      </c>
      <c r="K32" t="s">
        <v>241</v>
      </c>
      <c r="L32" t="s">
        <v>1534</v>
      </c>
      <c r="M32">
        <v>2051229.9200000002</v>
      </c>
      <c r="N32">
        <v>52542</v>
      </c>
      <c r="O32">
        <v>2103771.92</v>
      </c>
      <c r="P32" t="s">
        <v>241</v>
      </c>
      <c r="Q32">
        <v>14244.652222222223</v>
      </c>
      <c r="R32">
        <v>364.875</v>
      </c>
      <c r="S32">
        <v>14609.527222222221</v>
      </c>
      <c r="T32" t="s">
        <v>241</v>
      </c>
      <c r="U32" t="s">
        <v>2991</v>
      </c>
      <c r="V32" t="str">
        <f t="shared" si="0"/>
        <v>Clatskanie SD 6J</v>
      </c>
      <c r="W32" t="s">
        <v>2992</v>
      </c>
      <c r="X32" t="str">
        <f t="shared" si="1"/>
        <v>Clatskanie SD 6J</v>
      </c>
    </row>
    <row r="33" spans="1:24" x14ac:dyDescent="0.35">
      <c r="A33" t="s">
        <v>52</v>
      </c>
      <c r="B33">
        <v>1927</v>
      </c>
      <c r="C33" t="s">
        <v>1777</v>
      </c>
      <c r="D33">
        <v>762552.61</v>
      </c>
      <c r="E33">
        <v>16200</v>
      </c>
      <c r="F33">
        <v>778752.61</v>
      </c>
      <c r="G33" t="s">
        <v>2994</v>
      </c>
      <c r="H33">
        <v>11051.487101449275</v>
      </c>
      <c r="I33">
        <v>234.78260869565219</v>
      </c>
      <c r="J33">
        <v>11286.269710144927</v>
      </c>
      <c r="K33" t="s">
        <v>241</v>
      </c>
      <c r="L33" t="s">
        <v>1534</v>
      </c>
      <c r="M33">
        <v>792142.32999999984</v>
      </c>
      <c r="N33">
        <v>8600</v>
      </c>
      <c r="O33">
        <v>800742.32999999984</v>
      </c>
      <c r="P33" t="s">
        <v>2994</v>
      </c>
      <c r="Q33">
        <v>11156.93422535211</v>
      </c>
      <c r="R33">
        <v>121.12676056338029</v>
      </c>
      <c r="S33">
        <v>11278.06098591549</v>
      </c>
      <c r="T33" t="s">
        <v>2994</v>
      </c>
      <c r="U33" t="s">
        <v>2991</v>
      </c>
      <c r="V33" t="str">
        <f t="shared" si="0"/>
        <v>Colton SD 53</v>
      </c>
      <c r="W33" t="s">
        <v>2992</v>
      </c>
      <c r="X33" t="str">
        <f t="shared" si="1"/>
        <v>Colton SD 53</v>
      </c>
    </row>
    <row r="34" spans="1:24" x14ac:dyDescent="0.35">
      <c r="A34" t="s">
        <v>53</v>
      </c>
      <c r="B34">
        <v>2006</v>
      </c>
      <c r="C34" t="s">
        <v>1777</v>
      </c>
      <c r="D34">
        <v>8538.94</v>
      </c>
      <c r="E34">
        <v>145884</v>
      </c>
      <c r="F34">
        <v>154422.94</v>
      </c>
      <c r="G34" t="s">
        <v>240</v>
      </c>
      <c r="H34">
        <v>1067.3675000000001</v>
      </c>
      <c r="I34">
        <v>18235.5</v>
      </c>
      <c r="J34">
        <v>19302.8675</v>
      </c>
      <c r="K34" t="s">
        <v>241</v>
      </c>
      <c r="L34" t="s">
        <v>1534</v>
      </c>
      <c r="M34">
        <v>8173.43</v>
      </c>
      <c r="N34">
        <v>146131</v>
      </c>
      <c r="O34">
        <v>154304.43</v>
      </c>
      <c r="P34" t="s">
        <v>241</v>
      </c>
      <c r="Q34">
        <v>480.79</v>
      </c>
      <c r="R34">
        <v>8595.9411764705874</v>
      </c>
      <c r="S34">
        <v>9076.7311764705883</v>
      </c>
      <c r="T34" t="s">
        <v>241</v>
      </c>
      <c r="U34" t="s">
        <v>2991</v>
      </c>
      <c r="V34" t="str">
        <f t="shared" si="0"/>
        <v>Condon SD 25J</v>
      </c>
      <c r="W34" t="s">
        <v>2992</v>
      </c>
      <c r="X34" t="str">
        <f t="shared" si="1"/>
        <v>Condon SD 25J</v>
      </c>
    </row>
    <row r="35" spans="1:24" x14ac:dyDescent="0.35">
      <c r="A35" t="s">
        <v>54</v>
      </c>
      <c r="B35">
        <v>1965</v>
      </c>
      <c r="C35" t="s">
        <v>1777</v>
      </c>
      <c r="D35">
        <v>4818649.5800000029</v>
      </c>
      <c r="E35">
        <v>1509274</v>
      </c>
      <c r="F35">
        <v>6327923.5800000029</v>
      </c>
      <c r="G35" t="s">
        <v>2994</v>
      </c>
      <c r="H35">
        <v>10385.020646551729</v>
      </c>
      <c r="I35">
        <v>3252.7456896551726</v>
      </c>
      <c r="J35">
        <v>13637.766336206903</v>
      </c>
      <c r="K35" t="s">
        <v>240</v>
      </c>
      <c r="L35" t="s">
        <v>1534</v>
      </c>
      <c r="M35">
        <v>6025285.5699999994</v>
      </c>
      <c r="N35">
        <v>1499203.78</v>
      </c>
      <c r="O35">
        <v>7524489.3499999996</v>
      </c>
      <c r="P35" t="s">
        <v>241</v>
      </c>
      <c r="Q35">
        <v>12631.625932914045</v>
      </c>
      <c r="R35">
        <v>3142.9848637316563</v>
      </c>
      <c r="S35">
        <v>15774.610796645702</v>
      </c>
      <c r="T35" t="s">
        <v>241</v>
      </c>
      <c r="U35" t="s">
        <v>2991</v>
      </c>
      <c r="V35" t="str">
        <f t="shared" si="0"/>
        <v>Coos Bay SD 9</v>
      </c>
      <c r="W35" t="s">
        <v>2992</v>
      </c>
      <c r="X35" t="str">
        <f t="shared" si="1"/>
        <v>Coos Bay SD 9</v>
      </c>
    </row>
    <row r="36" spans="1:24" x14ac:dyDescent="0.35">
      <c r="A36" t="s">
        <v>55</v>
      </c>
      <c r="B36">
        <v>1964</v>
      </c>
      <c r="C36" t="s">
        <v>1777</v>
      </c>
      <c r="D36">
        <v>1166268.3599999999</v>
      </c>
      <c r="E36">
        <v>255876</v>
      </c>
      <c r="F36">
        <v>1422144.3599999999</v>
      </c>
      <c r="G36" t="s">
        <v>241</v>
      </c>
      <c r="H36">
        <v>6373.051147540983</v>
      </c>
      <c r="I36">
        <v>1398.2295081967213</v>
      </c>
      <c r="J36">
        <v>7771.2806557377044</v>
      </c>
      <c r="K36" t="s">
        <v>241</v>
      </c>
      <c r="L36" t="s">
        <v>1534</v>
      </c>
      <c r="M36">
        <v>1192806.4799999997</v>
      </c>
      <c r="N36">
        <v>247731.52</v>
      </c>
      <c r="O36">
        <v>1440537.9999999998</v>
      </c>
      <c r="P36" t="s">
        <v>241</v>
      </c>
      <c r="Q36">
        <v>6024.2751515151504</v>
      </c>
      <c r="R36">
        <v>1251.1692929292929</v>
      </c>
      <c r="S36">
        <v>7275.4444444444434</v>
      </c>
      <c r="T36" t="s">
        <v>241</v>
      </c>
      <c r="U36" t="s">
        <v>2991</v>
      </c>
      <c r="V36" t="str">
        <f t="shared" si="0"/>
        <v>Coquille SD 8</v>
      </c>
      <c r="W36" t="s">
        <v>2992</v>
      </c>
      <c r="X36" t="str">
        <f t="shared" si="1"/>
        <v>Coquille SD 8</v>
      </c>
    </row>
    <row r="37" spans="1:24" x14ac:dyDescent="0.35">
      <c r="A37" t="s">
        <v>56</v>
      </c>
      <c r="B37">
        <v>2186</v>
      </c>
      <c r="C37" t="s">
        <v>1777</v>
      </c>
      <c r="D37">
        <v>1727806.0200000003</v>
      </c>
      <c r="E37">
        <v>153805.58000000002</v>
      </c>
      <c r="F37">
        <v>1881611.6000000003</v>
      </c>
      <c r="G37" t="s">
        <v>241</v>
      </c>
      <c r="H37">
        <v>11518.706800000002</v>
      </c>
      <c r="I37">
        <v>1025.3705333333335</v>
      </c>
      <c r="J37">
        <v>12544.077333333336</v>
      </c>
      <c r="K37" t="s">
        <v>241</v>
      </c>
      <c r="L37" t="s">
        <v>1534</v>
      </c>
      <c r="M37">
        <v>1477787.9200000006</v>
      </c>
      <c r="N37">
        <v>81843.61</v>
      </c>
      <c r="O37">
        <v>1559631.5300000007</v>
      </c>
      <c r="P37" t="s">
        <v>240</v>
      </c>
      <c r="Q37">
        <v>9786.6749668874218</v>
      </c>
      <c r="R37">
        <v>542.01066225165562</v>
      </c>
      <c r="S37">
        <v>10328.685629139078</v>
      </c>
      <c r="T37" t="s">
        <v>2994</v>
      </c>
      <c r="U37" t="s">
        <v>2991</v>
      </c>
      <c r="V37" t="str">
        <f t="shared" si="0"/>
        <v>Corbett SD 39</v>
      </c>
      <c r="W37" t="s">
        <v>2992</v>
      </c>
      <c r="X37" t="str">
        <f t="shared" si="1"/>
        <v>Corbett SD 39</v>
      </c>
    </row>
    <row r="38" spans="1:24" x14ac:dyDescent="0.35">
      <c r="A38" t="s">
        <v>58</v>
      </c>
      <c r="B38">
        <v>1901</v>
      </c>
      <c r="C38" t="s">
        <v>1777</v>
      </c>
      <c r="D38">
        <v>10832005.649999993</v>
      </c>
      <c r="E38">
        <v>934001</v>
      </c>
      <c r="F38">
        <v>11766006.649999993</v>
      </c>
      <c r="G38" t="s">
        <v>241</v>
      </c>
      <c r="H38">
        <v>15256.345985915483</v>
      </c>
      <c r="I38">
        <v>1315.4943661971831</v>
      </c>
      <c r="J38">
        <v>16571.840352112667</v>
      </c>
      <c r="K38" t="s">
        <v>241</v>
      </c>
      <c r="L38" t="s">
        <v>1534</v>
      </c>
      <c r="M38">
        <v>9840214.1899999939</v>
      </c>
      <c r="N38">
        <v>994981</v>
      </c>
      <c r="O38">
        <v>10835195.189999994</v>
      </c>
      <c r="P38" t="s">
        <v>241</v>
      </c>
      <c r="Q38">
        <v>14281.878359941937</v>
      </c>
      <c r="R38">
        <v>1444.0943396226414</v>
      </c>
      <c r="S38">
        <v>15725.972699564578</v>
      </c>
      <c r="T38" t="s">
        <v>241</v>
      </c>
      <c r="U38" t="s">
        <v>2991</v>
      </c>
      <c r="V38" t="str">
        <f t="shared" si="0"/>
        <v>Corvallis SD 509J</v>
      </c>
      <c r="W38" t="s">
        <v>2992</v>
      </c>
      <c r="X38" t="str">
        <f t="shared" si="1"/>
        <v>Corvallis SD 509J</v>
      </c>
    </row>
    <row r="39" spans="1:24" x14ac:dyDescent="0.35">
      <c r="A39" t="s">
        <v>59</v>
      </c>
      <c r="B39">
        <v>2216</v>
      </c>
      <c r="C39" t="s">
        <v>1777</v>
      </c>
      <c r="D39">
        <v>157121.70000000001</v>
      </c>
      <c r="E39">
        <v>76319.23000000001</v>
      </c>
      <c r="F39">
        <v>233440.93000000002</v>
      </c>
      <c r="G39" t="s">
        <v>241</v>
      </c>
      <c r="H39">
        <v>4028.7615384615387</v>
      </c>
      <c r="I39">
        <v>1956.9033333333336</v>
      </c>
      <c r="J39">
        <v>5985.6648717948719</v>
      </c>
      <c r="K39" t="s">
        <v>240</v>
      </c>
      <c r="L39" t="s">
        <v>1534</v>
      </c>
      <c r="M39">
        <v>151482.67000000001</v>
      </c>
      <c r="N39">
        <v>76099.649999999994</v>
      </c>
      <c r="O39">
        <v>227582.32</v>
      </c>
      <c r="P39" t="s">
        <v>241</v>
      </c>
      <c r="Q39">
        <v>4328.0762857142863</v>
      </c>
      <c r="R39">
        <v>2174.275714285714</v>
      </c>
      <c r="S39">
        <v>6502.3519999999999</v>
      </c>
      <c r="T39" t="s">
        <v>241</v>
      </c>
      <c r="U39" t="s">
        <v>2991</v>
      </c>
      <c r="V39" t="str">
        <f t="shared" si="0"/>
        <v>Cove SD 15</v>
      </c>
      <c r="W39" t="s">
        <v>2992</v>
      </c>
      <c r="X39" t="str">
        <f t="shared" si="1"/>
        <v>Cove SD 15</v>
      </c>
    </row>
    <row r="40" spans="1:24" x14ac:dyDescent="0.35">
      <c r="A40" t="s">
        <v>60</v>
      </c>
      <c r="B40">
        <v>2086</v>
      </c>
      <c r="C40" t="s">
        <v>1777</v>
      </c>
      <c r="D40">
        <v>2633830.7899999996</v>
      </c>
      <c r="E40">
        <v>511873</v>
      </c>
      <c r="F40">
        <v>3145703.7899999996</v>
      </c>
      <c r="G40" t="s">
        <v>241</v>
      </c>
      <c r="H40">
        <v>16059.943841463411</v>
      </c>
      <c r="I40">
        <v>3121.1768292682927</v>
      </c>
      <c r="J40">
        <v>19181.120670731703</v>
      </c>
      <c r="K40" t="s">
        <v>241</v>
      </c>
      <c r="L40" t="s">
        <v>1534</v>
      </c>
      <c r="M40">
        <v>2587774.96</v>
      </c>
      <c r="N40">
        <v>502422</v>
      </c>
      <c r="O40">
        <v>3090196.96</v>
      </c>
      <c r="P40" t="s">
        <v>240</v>
      </c>
      <c r="Q40">
        <v>13477.994583333333</v>
      </c>
      <c r="R40">
        <v>2616.78125</v>
      </c>
      <c r="S40">
        <v>16094.775833333333</v>
      </c>
      <c r="T40" t="s">
        <v>2994</v>
      </c>
      <c r="U40" t="s">
        <v>2991</v>
      </c>
      <c r="V40" t="str">
        <f t="shared" si="0"/>
        <v>Creswell SD 40</v>
      </c>
      <c r="W40" t="s">
        <v>2992</v>
      </c>
      <c r="X40" t="str">
        <f t="shared" si="1"/>
        <v>Creswell SD 40</v>
      </c>
    </row>
    <row r="41" spans="1:24" x14ac:dyDescent="0.35">
      <c r="A41" t="s">
        <v>61</v>
      </c>
      <c r="B41">
        <v>1970</v>
      </c>
      <c r="C41" t="s">
        <v>1777</v>
      </c>
      <c r="D41">
        <v>4168007.2700000005</v>
      </c>
      <c r="E41">
        <v>333643.40999999997</v>
      </c>
      <c r="F41">
        <v>4501650.6800000006</v>
      </c>
      <c r="G41" t="s">
        <v>241</v>
      </c>
      <c r="H41">
        <v>9451.2636507936513</v>
      </c>
      <c r="I41">
        <v>756.56102040816324</v>
      </c>
      <c r="J41">
        <v>10207.824671201815</v>
      </c>
      <c r="K41" t="s">
        <v>241</v>
      </c>
      <c r="L41" t="s">
        <v>1534</v>
      </c>
      <c r="M41">
        <v>4056154.6500000018</v>
      </c>
      <c r="N41">
        <v>324083.21999999997</v>
      </c>
      <c r="O41">
        <v>4380237.870000002</v>
      </c>
      <c r="P41" t="s">
        <v>241</v>
      </c>
      <c r="Q41">
        <v>9218.5332954545502</v>
      </c>
      <c r="R41">
        <v>736.55277272727267</v>
      </c>
      <c r="S41">
        <v>9955.0860681818231</v>
      </c>
      <c r="T41" t="s">
        <v>240</v>
      </c>
      <c r="U41" t="s">
        <v>2991</v>
      </c>
      <c r="V41" t="str">
        <f t="shared" si="0"/>
        <v>Crook County SD</v>
      </c>
      <c r="W41" t="s">
        <v>2992</v>
      </c>
      <c r="X41" t="str">
        <f t="shared" si="1"/>
        <v>Crook County SD</v>
      </c>
    </row>
    <row r="42" spans="1:24" x14ac:dyDescent="0.35">
      <c r="A42" t="s">
        <v>62</v>
      </c>
      <c r="B42">
        <v>2089</v>
      </c>
      <c r="C42" t="s">
        <v>1777</v>
      </c>
      <c r="D42">
        <v>299828.59999999992</v>
      </c>
      <c r="E42">
        <v>162150</v>
      </c>
      <c r="F42">
        <v>461978.59999999992</v>
      </c>
      <c r="G42" t="s">
        <v>241</v>
      </c>
      <c r="H42">
        <v>8566.5314285714267</v>
      </c>
      <c r="I42">
        <v>4632.8571428571431</v>
      </c>
      <c r="J42">
        <v>13199.38857142857</v>
      </c>
      <c r="K42" t="s">
        <v>241</v>
      </c>
      <c r="L42" t="s">
        <v>1534</v>
      </c>
      <c r="M42">
        <v>304790.31999999995</v>
      </c>
      <c r="N42">
        <v>128821</v>
      </c>
      <c r="O42">
        <v>433611.31999999995</v>
      </c>
      <c r="P42" t="s">
        <v>240</v>
      </c>
      <c r="Q42">
        <v>9236.0703030303011</v>
      </c>
      <c r="R42">
        <v>3903.6666666666665</v>
      </c>
      <c r="S42">
        <v>13139.736969696969</v>
      </c>
      <c r="T42" t="s">
        <v>241</v>
      </c>
      <c r="U42" t="s">
        <v>2991</v>
      </c>
      <c r="V42" t="str">
        <f t="shared" si="0"/>
        <v>Crow-Applegate-Lorane SD 66</v>
      </c>
      <c r="W42" t="s">
        <v>2992</v>
      </c>
      <c r="X42" t="str">
        <f t="shared" si="1"/>
        <v>Crow-Applegate-Lorane SD 66</v>
      </c>
    </row>
    <row r="43" spans="1:24" x14ac:dyDescent="0.35">
      <c r="A43" t="s">
        <v>63</v>
      </c>
      <c r="B43">
        <v>2050</v>
      </c>
      <c r="C43" t="s">
        <v>1777</v>
      </c>
      <c r="D43">
        <v>649722.43000000005</v>
      </c>
      <c r="E43">
        <v>254007.33999999997</v>
      </c>
      <c r="F43">
        <v>903729.77</v>
      </c>
      <c r="G43" t="s">
        <v>241</v>
      </c>
      <c r="H43">
        <v>5699.3195614035094</v>
      </c>
      <c r="I43">
        <v>2197.4599122807017</v>
      </c>
      <c r="J43">
        <v>7896.7794736842116</v>
      </c>
      <c r="K43" t="s">
        <v>240</v>
      </c>
      <c r="L43" t="s">
        <v>1534</v>
      </c>
      <c r="M43">
        <v>652736.61999999988</v>
      </c>
      <c r="N43">
        <v>248962.76</v>
      </c>
      <c r="O43">
        <v>901699.37999999989</v>
      </c>
      <c r="P43" t="s">
        <v>2994</v>
      </c>
      <c r="Q43">
        <v>5880.5100900900889</v>
      </c>
      <c r="R43">
        <v>2242.9077477477476</v>
      </c>
      <c r="S43">
        <v>8123.4178378378365</v>
      </c>
      <c r="T43" t="s">
        <v>240</v>
      </c>
      <c r="U43" t="s">
        <v>2991</v>
      </c>
      <c r="V43" t="str">
        <f t="shared" si="0"/>
        <v>Culver SD 4</v>
      </c>
      <c r="W43" t="s">
        <v>2992</v>
      </c>
      <c r="X43" t="str">
        <f t="shared" si="1"/>
        <v>Culver SD 4</v>
      </c>
    </row>
    <row r="44" spans="1:24" x14ac:dyDescent="0.35">
      <c r="A44" t="s">
        <v>64</v>
      </c>
      <c r="B44">
        <v>2190</v>
      </c>
      <c r="C44" t="s">
        <v>1777</v>
      </c>
      <c r="D44">
        <v>6297161.4900000002</v>
      </c>
      <c r="E44">
        <v>471996.1</v>
      </c>
      <c r="F44">
        <v>6769157.5899999999</v>
      </c>
      <c r="G44" t="s">
        <v>241</v>
      </c>
      <c r="H44">
        <v>12519.20773359841</v>
      </c>
      <c r="I44">
        <v>938.36202783300189</v>
      </c>
      <c r="J44">
        <v>13457.56976143141</v>
      </c>
      <c r="K44" t="s">
        <v>241</v>
      </c>
      <c r="L44" t="s">
        <v>1534</v>
      </c>
      <c r="M44">
        <v>5344424.0999999996</v>
      </c>
      <c r="N44">
        <v>473582.38</v>
      </c>
      <c r="O44">
        <v>5818006.4799999995</v>
      </c>
      <c r="P44" t="s">
        <v>241</v>
      </c>
      <c r="Q44">
        <v>10317.421042471042</v>
      </c>
      <c r="R44">
        <v>914.25169884169884</v>
      </c>
      <c r="S44">
        <v>11231.672741312741</v>
      </c>
      <c r="T44" t="s">
        <v>241</v>
      </c>
      <c r="U44" t="s">
        <v>2991</v>
      </c>
      <c r="V44" t="str">
        <f t="shared" si="0"/>
        <v>Dallas SD 2</v>
      </c>
      <c r="W44" t="s">
        <v>2992</v>
      </c>
      <c r="X44" t="str">
        <f t="shared" si="1"/>
        <v>Dallas SD 2</v>
      </c>
    </row>
    <row r="45" spans="1:24" x14ac:dyDescent="0.35">
      <c r="A45" t="s">
        <v>65</v>
      </c>
      <c r="B45">
        <v>2187</v>
      </c>
      <c r="C45" t="s">
        <v>1777</v>
      </c>
      <c r="D45">
        <v>14503402.149999995</v>
      </c>
      <c r="E45">
        <v>1824268.5099999998</v>
      </c>
      <c r="F45">
        <v>16327670.659999995</v>
      </c>
      <c r="G45" t="s">
        <v>240</v>
      </c>
      <c r="H45">
        <v>13019.211983842006</v>
      </c>
      <c r="I45">
        <v>1637.5839407540393</v>
      </c>
      <c r="J45">
        <v>14656.795924596045</v>
      </c>
      <c r="K45" t="s">
        <v>241</v>
      </c>
      <c r="L45" t="s">
        <v>1534</v>
      </c>
      <c r="M45">
        <v>13975290.159999996</v>
      </c>
      <c r="N45">
        <v>1853482.0100000002</v>
      </c>
      <c r="O45">
        <v>15828772.169999996</v>
      </c>
      <c r="P45" t="s">
        <v>2994</v>
      </c>
      <c r="Q45">
        <v>11863.57398981324</v>
      </c>
      <c r="R45">
        <v>1573.4142699490665</v>
      </c>
      <c r="S45">
        <v>13436.988259762305</v>
      </c>
      <c r="T45" t="s">
        <v>2994</v>
      </c>
      <c r="U45" t="s">
        <v>2991</v>
      </c>
      <c r="V45" t="str">
        <f t="shared" si="0"/>
        <v>David Douglas SD 40</v>
      </c>
      <c r="W45" t="s">
        <v>2992</v>
      </c>
      <c r="X45" t="str">
        <f t="shared" si="1"/>
        <v>David Douglas SD 40</v>
      </c>
    </row>
    <row r="46" spans="1:24" x14ac:dyDescent="0.35">
      <c r="A46" t="s">
        <v>66</v>
      </c>
      <c r="B46">
        <v>2253</v>
      </c>
      <c r="C46" t="s">
        <v>1777</v>
      </c>
      <c r="D46">
        <v>398229.41999999993</v>
      </c>
      <c r="E46">
        <v>126596.65</v>
      </c>
      <c r="F46">
        <v>524826.06999999995</v>
      </c>
      <c r="G46" t="s">
        <v>241</v>
      </c>
      <c r="H46">
        <v>3756.8813207547164</v>
      </c>
      <c r="I46">
        <v>1194.3080188679244</v>
      </c>
      <c r="J46">
        <v>4951.1893396226415</v>
      </c>
      <c r="K46" t="s">
        <v>240</v>
      </c>
      <c r="L46" t="s">
        <v>1534</v>
      </c>
      <c r="M46">
        <v>1190334.7900000003</v>
      </c>
      <c r="N46">
        <v>99746.700000000012</v>
      </c>
      <c r="O46">
        <v>1290081.4900000002</v>
      </c>
      <c r="P46" t="s">
        <v>241</v>
      </c>
      <c r="Q46">
        <v>9756.8425409836091</v>
      </c>
      <c r="R46">
        <v>817.59590163934433</v>
      </c>
      <c r="S46">
        <v>10574.438442622954</v>
      </c>
      <c r="T46" t="s">
        <v>241</v>
      </c>
      <c r="U46" t="s">
        <v>2991</v>
      </c>
      <c r="V46" t="str">
        <f t="shared" si="0"/>
        <v>Dayton SD 8</v>
      </c>
      <c r="W46" t="s">
        <v>2992</v>
      </c>
      <c r="X46" t="str">
        <f t="shared" si="1"/>
        <v>Dayton SD 8</v>
      </c>
    </row>
    <row r="47" spans="1:24" x14ac:dyDescent="0.35">
      <c r="A47" t="s">
        <v>67</v>
      </c>
      <c r="B47">
        <v>2011</v>
      </c>
      <c r="C47" t="s">
        <v>1777</v>
      </c>
      <c r="D47">
        <v>56552.450000000004</v>
      </c>
      <c r="E47">
        <v>78229.34</v>
      </c>
      <c r="F47">
        <v>134781.79</v>
      </c>
      <c r="G47" t="s">
        <v>241</v>
      </c>
      <c r="H47">
        <v>8078.9214285714288</v>
      </c>
      <c r="I47">
        <v>11175.619999999999</v>
      </c>
      <c r="J47">
        <v>19254.541428571429</v>
      </c>
      <c r="K47" t="s">
        <v>241</v>
      </c>
      <c r="L47" t="s">
        <v>1534</v>
      </c>
      <c r="M47">
        <v>74282</v>
      </c>
      <c r="N47">
        <v>60062.77</v>
      </c>
      <c r="O47">
        <v>134344.76999999999</v>
      </c>
      <c r="P47" t="s">
        <v>2994</v>
      </c>
      <c r="Q47">
        <v>9285.25</v>
      </c>
      <c r="R47">
        <v>7507.8462499999996</v>
      </c>
      <c r="S47">
        <v>16793.096249999999</v>
      </c>
      <c r="T47" t="s">
        <v>241</v>
      </c>
      <c r="U47" t="s">
        <v>2991</v>
      </c>
      <c r="V47" t="str">
        <f t="shared" si="0"/>
        <v>Dayville SD 16J</v>
      </c>
      <c r="W47" t="s">
        <v>2992</v>
      </c>
      <c r="X47" t="str">
        <f t="shared" si="1"/>
        <v>Dayville SD 16J</v>
      </c>
    </row>
    <row r="48" spans="1:24" x14ac:dyDescent="0.35">
      <c r="A48" t="s">
        <v>68</v>
      </c>
      <c r="B48">
        <v>2017</v>
      </c>
      <c r="C48" t="s">
        <v>1777</v>
      </c>
      <c r="D48">
        <v>0</v>
      </c>
      <c r="E48">
        <v>18432.37</v>
      </c>
      <c r="F48">
        <v>18432.37</v>
      </c>
      <c r="G48" t="s">
        <v>240</v>
      </c>
      <c r="H48">
        <v>0</v>
      </c>
      <c r="I48">
        <v>9216.1849999999995</v>
      </c>
      <c r="J48">
        <v>9216.1849999999995</v>
      </c>
      <c r="K48" t="s">
        <v>241</v>
      </c>
      <c r="L48" t="s">
        <v>1534</v>
      </c>
      <c r="M48">
        <v>0</v>
      </c>
      <c r="N48">
        <v>16675.879999999997</v>
      </c>
      <c r="O48">
        <v>16675.879999999997</v>
      </c>
      <c r="P48" t="s">
        <v>241</v>
      </c>
      <c r="Q48">
        <v>0</v>
      </c>
      <c r="R48">
        <v>0</v>
      </c>
      <c r="S48">
        <v>0</v>
      </c>
      <c r="T48" t="s">
        <v>241</v>
      </c>
      <c r="U48" t="s">
        <v>2991</v>
      </c>
      <c r="V48" t="str">
        <f t="shared" si="0"/>
        <v>Diamond SD 7</v>
      </c>
      <c r="W48" t="s">
        <v>2992</v>
      </c>
      <c r="X48" t="str">
        <f t="shared" si="1"/>
        <v>Diamond SD 7</v>
      </c>
    </row>
    <row r="49" spans="1:24" x14ac:dyDescent="0.35">
      <c r="A49" t="s">
        <v>69</v>
      </c>
      <c r="B49">
        <v>2021</v>
      </c>
      <c r="C49" t="s">
        <v>1777</v>
      </c>
      <c r="D49">
        <v>0</v>
      </c>
      <c r="E49">
        <v>17095.600000000002</v>
      </c>
      <c r="F49">
        <v>17095.600000000002</v>
      </c>
      <c r="G49" t="s">
        <v>241</v>
      </c>
      <c r="H49">
        <v>0</v>
      </c>
      <c r="I49">
        <v>17095.600000000002</v>
      </c>
      <c r="J49">
        <v>17095.600000000002</v>
      </c>
      <c r="K49" t="s">
        <v>240</v>
      </c>
      <c r="L49" t="s">
        <v>1534</v>
      </c>
      <c r="M49">
        <v>0</v>
      </c>
      <c r="N49">
        <v>18720.61</v>
      </c>
      <c r="O49">
        <v>18720.61</v>
      </c>
      <c r="P49" t="s">
        <v>241</v>
      </c>
      <c r="Q49">
        <v>0</v>
      </c>
      <c r="R49">
        <v>18720.61</v>
      </c>
      <c r="S49">
        <v>18720.61</v>
      </c>
      <c r="T49" t="s">
        <v>241</v>
      </c>
      <c r="U49" t="s">
        <v>2991</v>
      </c>
      <c r="V49" t="str">
        <f t="shared" si="0"/>
        <v>Double O SD 28</v>
      </c>
      <c r="W49" t="s">
        <v>2992</v>
      </c>
      <c r="X49" t="str">
        <f t="shared" si="1"/>
        <v>Double O SD 28</v>
      </c>
    </row>
    <row r="50" spans="1:24" x14ac:dyDescent="0.35">
      <c r="A50" t="s">
        <v>70</v>
      </c>
      <c r="B50">
        <v>1993</v>
      </c>
      <c r="C50" t="s">
        <v>1777</v>
      </c>
      <c r="D50">
        <v>159095.34000000003</v>
      </c>
      <c r="E50">
        <v>63640.319999999992</v>
      </c>
      <c r="F50">
        <v>222735.66000000003</v>
      </c>
      <c r="G50" t="s">
        <v>241</v>
      </c>
      <c r="H50">
        <v>3977.3835000000008</v>
      </c>
      <c r="I50">
        <v>1591.0079999999998</v>
      </c>
      <c r="J50">
        <v>5568.3915000000006</v>
      </c>
      <c r="K50" t="s">
        <v>241</v>
      </c>
      <c r="L50" t="s">
        <v>1534</v>
      </c>
      <c r="M50">
        <v>129974.00999999998</v>
      </c>
      <c r="N50">
        <v>49244.680000000008</v>
      </c>
      <c r="O50">
        <v>179218.69</v>
      </c>
      <c r="P50" t="s">
        <v>2994</v>
      </c>
      <c r="Q50">
        <v>3332.6669230769226</v>
      </c>
      <c r="R50">
        <v>1262.6841025641027</v>
      </c>
      <c r="S50">
        <v>4595.3510256410254</v>
      </c>
      <c r="T50" t="s">
        <v>240</v>
      </c>
      <c r="U50" t="s">
        <v>2991</v>
      </c>
      <c r="V50" t="str">
        <f t="shared" si="0"/>
        <v>Douglas County SD 15</v>
      </c>
      <c r="W50" t="s">
        <v>2992</v>
      </c>
      <c r="X50" t="str">
        <f t="shared" si="1"/>
        <v>Douglas County SD 15</v>
      </c>
    </row>
    <row r="51" spans="1:24" x14ac:dyDescent="0.35">
      <c r="A51" t="s">
        <v>71</v>
      </c>
      <c r="B51">
        <v>1991</v>
      </c>
      <c r="C51" t="s">
        <v>1777</v>
      </c>
      <c r="D51">
        <v>7016856.7800000012</v>
      </c>
      <c r="E51">
        <v>2009996.6099999999</v>
      </c>
      <c r="F51">
        <v>9026853.3900000006</v>
      </c>
      <c r="G51" t="s">
        <v>241</v>
      </c>
      <c r="H51">
        <v>10052.803409742122</v>
      </c>
      <c r="I51">
        <v>2879.6513037249283</v>
      </c>
      <c r="J51">
        <v>12932.45471346705</v>
      </c>
      <c r="K51" t="s">
        <v>241</v>
      </c>
      <c r="L51" t="s">
        <v>1534</v>
      </c>
      <c r="M51">
        <v>6501877.7599999979</v>
      </c>
      <c r="N51">
        <v>1844137.11</v>
      </c>
      <c r="O51">
        <v>8346014.8699999982</v>
      </c>
      <c r="P51" t="s">
        <v>241</v>
      </c>
      <c r="Q51">
        <v>9533.545102639293</v>
      </c>
      <c r="R51">
        <v>2704.0133577712613</v>
      </c>
      <c r="S51">
        <v>12237.558460410555</v>
      </c>
      <c r="T51" t="s">
        <v>241</v>
      </c>
      <c r="U51" t="s">
        <v>2991</v>
      </c>
      <c r="V51" t="str">
        <f t="shared" si="0"/>
        <v>Douglas County SD 4</v>
      </c>
      <c r="W51" t="s">
        <v>2992</v>
      </c>
      <c r="X51" t="str">
        <f t="shared" si="1"/>
        <v>Douglas County SD 4</v>
      </c>
    </row>
    <row r="52" spans="1:24" x14ac:dyDescent="0.35">
      <c r="A52" t="s">
        <v>72</v>
      </c>
      <c r="B52">
        <v>2019</v>
      </c>
      <c r="C52" t="s">
        <v>1777</v>
      </c>
      <c r="D52">
        <v>0</v>
      </c>
      <c r="E52">
        <v>22563.800000000003</v>
      </c>
      <c r="F52">
        <v>22563.800000000003</v>
      </c>
      <c r="G52" t="s">
        <v>241</v>
      </c>
      <c r="H52">
        <v>0</v>
      </c>
      <c r="I52">
        <v>11281.900000000001</v>
      </c>
      <c r="J52">
        <v>11281.900000000001</v>
      </c>
      <c r="K52" t="s">
        <v>240</v>
      </c>
      <c r="L52" t="s">
        <v>1534</v>
      </c>
      <c r="M52">
        <v>0</v>
      </c>
      <c r="N52">
        <v>18964.830000000002</v>
      </c>
      <c r="O52">
        <v>18964.830000000002</v>
      </c>
      <c r="P52" t="s">
        <v>241</v>
      </c>
      <c r="Q52">
        <v>0</v>
      </c>
      <c r="R52">
        <v>18964.830000000002</v>
      </c>
      <c r="S52">
        <v>18964.830000000002</v>
      </c>
      <c r="T52" t="s">
        <v>241</v>
      </c>
      <c r="U52" t="s">
        <v>2991</v>
      </c>
      <c r="V52" t="str">
        <f t="shared" si="0"/>
        <v>Drewsey SD 13</v>
      </c>
      <c r="W52" t="s">
        <v>2992</v>
      </c>
      <c r="X52" t="str">
        <f t="shared" si="1"/>
        <v>Drewsey SD 13</v>
      </c>
    </row>
    <row r="53" spans="1:24" x14ac:dyDescent="0.35">
      <c r="A53" t="s">
        <v>73</v>
      </c>
      <c r="B53">
        <v>2229</v>
      </c>
      <c r="C53" t="s">
        <v>1777</v>
      </c>
      <c r="D53">
        <v>333767.46000000002</v>
      </c>
      <c r="E53">
        <v>0</v>
      </c>
      <c r="F53">
        <v>333767.46000000002</v>
      </c>
      <c r="G53" t="s">
        <v>241</v>
      </c>
      <c r="H53">
        <v>5383.3461290322584</v>
      </c>
      <c r="I53">
        <v>0</v>
      </c>
      <c r="J53">
        <v>5383.3461290322584</v>
      </c>
      <c r="K53" t="s">
        <v>241</v>
      </c>
      <c r="L53" t="s">
        <v>1534</v>
      </c>
      <c r="M53">
        <v>301402.23</v>
      </c>
      <c r="N53">
        <v>0</v>
      </c>
      <c r="O53">
        <v>301402.23</v>
      </c>
      <c r="P53" t="s">
        <v>241</v>
      </c>
      <c r="Q53">
        <v>5382.1826785714284</v>
      </c>
      <c r="R53">
        <v>0</v>
      </c>
      <c r="S53">
        <v>5382.1826785714284</v>
      </c>
      <c r="T53" t="s">
        <v>241</v>
      </c>
      <c r="U53" t="s">
        <v>2991</v>
      </c>
      <c r="V53" t="str">
        <f t="shared" si="0"/>
        <v>Dufur SD 29</v>
      </c>
      <c r="W53" t="s">
        <v>2992</v>
      </c>
      <c r="X53" t="str">
        <f t="shared" si="1"/>
        <v>Dufur SD 29</v>
      </c>
    </row>
    <row r="54" spans="1:24" x14ac:dyDescent="0.35">
      <c r="A54" t="s">
        <v>74</v>
      </c>
      <c r="B54">
        <v>2043</v>
      </c>
      <c r="C54" t="s">
        <v>1777</v>
      </c>
      <c r="D54">
        <v>4161786.9499999988</v>
      </c>
      <c r="E54">
        <v>444098.89</v>
      </c>
      <c r="F54">
        <v>4605885.8399999989</v>
      </c>
      <c r="G54" t="s">
        <v>2994</v>
      </c>
      <c r="H54">
        <v>6901.802570480927</v>
      </c>
      <c r="I54">
        <v>736.4824046434494</v>
      </c>
      <c r="J54">
        <v>7638.2849751243766</v>
      </c>
      <c r="K54" t="s">
        <v>240</v>
      </c>
      <c r="L54" t="s">
        <v>1534</v>
      </c>
      <c r="M54">
        <v>3896785.7300000009</v>
      </c>
      <c r="N54">
        <v>549922.05000000005</v>
      </c>
      <c r="O54">
        <v>4446707.7800000012</v>
      </c>
      <c r="P54" t="s">
        <v>241</v>
      </c>
      <c r="Q54">
        <v>7059.3944384057986</v>
      </c>
      <c r="R54">
        <v>996.23559782608709</v>
      </c>
      <c r="S54">
        <v>8055.6300362318862</v>
      </c>
      <c r="T54" t="s">
        <v>241</v>
      </c>
      <c r="U54" t="s">
        <v>2991</v>
      </c>
      <c r="V54" t="str">
        <f t="shared" si="0"/>
        <v>Eagle Point SD 9</v>
      </c>
      <c r="W54" t="s">
        <v>2992</v>
      </c>
      <c r="X54" t="str">
        <f t="shared" si="1"/>
        <v>Eagle Point SD 9</v>
      </c>
    </row>
    <row r="55" spans="1:24" x14ac:dyDescent="0.35">
      <c r="A55" t="s">
        <v>75</v>
      </c>
      <c r="B55">
        <v>2203</v>
      </c>
      <c r="C55" t="s">
        <v>1777</v>
      </c>
      <c r="D55">
        <v>177568.49999999997</v>
      </c>
      <c r="E55">
        <v>83504.420000000013</v>
      </c>
      <c r="F55">
        <v>261072.91999999998</v>
      </c>
      <c r="G55" t="s">
        <v>241</v>
      </c>
      <c r="H55">
        <v>4672.8552631578941</v>
      </c>
      <c r="I55">
        <v>2197.4847368421056</v>
      </c>
      <c r="J55">
        <v>6870.3399999999992</v>
      </c>
      <c r="K55" t="s">
        <v>240</v>
      </c>
      <c r="L55" t="s">
        <v>1534</v>
      </c>
      <c r="M55">
        <v>190418.63999999998</v>
      </c>
      <c r="N55">
        <v>82652.039999999994</v>
      </c>
      <c r="O55">
        <v>273070.68</v>
      </c>
      <c r="P55" t="s">
        <v>2994</v>
      </c>
      <c r="Q55">
        <v>5289.4066666666658</v>
      </c>
      <c r="R55">
        <v>2295.89</v>
      </c>
      <c r="S55">
        <v>7585.2966666666662</v>
      </c>
      <c r="T55" t="s">
        <v>241</v>
      </c>
      <c r="U55" t="s">
        <v>2991</v>
      </c>
      <c r="V55" t="str">
        <f t="shared" si="0"/>
        <v>Echo SD 5</v>
      </c>
      <c r="W55" t="s">
        <v>2992</v>
      </c>
      <c r="X55" t="str">
        <f t="shared" si="1"/>
        <v>Echo SD 5</v>
      </c>
    </row>
    <row r="56" spans="1:24" x14ac:dyDescent="0.35">
      <c r="A56" t="s">
        <v>76</v>
      </c>
      <c r="B56">
        <v>2217</v>
      </c>
      <c r="C56" t="s">
        <v>1777</v>
      </c>
      <c r="D56">
        <v>321395</v>
      </c>
      <c r="E56">
        <v>103143.94</v>
      </c>
      <c r="F56">
        <v>424538.94</v>
      </c>
      <c r="G56" t="s">
        <v>241</v>
      </c>
      <c r="H56">
        <v>5739.1964285714284</v>
      </c>
      <c r="I56">
        <v>1841.8560714285716</v>
      </c>
      <c r="J56">
        <v>7581.0524999999998</v>
      </c>
      <c r="K56" t="s">
        <v>240</v>
      </c>
      <c r="L56" t="s">
        <v>1534</v>
      </c>
      <c r="M56">
        <v>322442.01999999996</v>
      </c>
      <c r="N56">
        <v>102018.3</v>
      </c>
      <c r="O56">
        <v>424460.31999999995</v>
      </c>
      <c r="P56" t="s">
        <v>241</v>
      </c>
      <c r="Q56">
        <v>6083.8116981132071</v>
      </c>
      <c r="R56">
        <v>1924.8735849056604</v>
      </c>
      <c r="S56">
        <v>8008.6852830188673</v>
      </c>
      <c r="T56" t="s">
        <v>241</v>
      </c>
      <c r="U56" t="s">
        <v>2991</v>
      </c>
      <c r="V56" t="str">
        <f t="shared" si="0"/>
        <v>Elgin SD 23</v>
      </c>
      <c r="W56" t="s">
        <v>2992</v>
      </c>
      <c r="X56" t="str">
        <f t="shared" si="1"/>
        <v>Elgin SD 23</v>
      </c>
    </row>
    <row r="57" spans="1:24" x14ac:dyDescent="0.35">
      <c r="A57" t="s">
        <v>77</v>
      </c>
      <c r="B57">
        <v>1998</v>
      </c>
      <c r="C57" t="s">
        <v>1777</v>
      </c>
      <c r="D57">
        <v>286456.86999999994</v>
      </c>
      <c r="E57">
        <v>49241.340000000004</v>
      </c>
      <c r="F57">
        <v>335698.20999999996</v>
      </c>
      <c r="G57" t="s">
        <v>241</v>
      </c>
      <c r="H57">
        <v>11017.571923076921</v>
      </c>
      <c r="I57">
        <v>1893.8976923076925</v>
      </c>
      <c r="J57">
        <v>12911.469615384614</v>
      </c>
      <c r="K57" t="s">
        <v>240</v>
      </c>
      <c r="L57" t="s">
        <v>1534</v>
      </c>
      <c r="M57">
        <v>196303.63999999998</v>
      </c>
      <c r="N57">
        <v>51736.430000000008</v>
      </c>
      <c r="O57">
        <v>248040.07</v>
      </c>
      <c r="P57" t="s">
        <v>2994</v>
      </c>
      <c r="Q57">
        <v>10331.77052631579</v>
      </c>
      <c r="R57">
        <v>2722.9700000000003</v>
      </c>
      <c r="S57">
        <v>13054.740526315791</v>
      </c>
      <c r="T57" t="s">
        <v>241</v>
      </c>
      <c r="U57" t="s">
        <v>2991</v>
      </c>
      <c r="V57" t="str">
        <f t="shared" si="0"/>
        <v>Elkton SD 34</v>
      </c>
      <c r="W57" t="s">
        <v>2992</v>
      </c>
      <c r="X57" t="str">
        <f t="shared" si="1"/>
        <v>Elkton SD 34</v>
      </c>
    </row>
    <row r="58" spans="1:24" x14ac:dyDescent="0.35">
      <c r="A58" t="s">
        <v>78</v>
      </c>
      <c r="B58">
        <v>2221</v>
      </c>
      <c r="C58" t="s">
        <v>1777</v>
      </c>
      <c r="D58">
        <v>210184.06000000006</v>
      </c>
      <c r="E58">
        <v>356738.27</v>
      </c>
      <c r="F58">
        <v>566922.33000000007</v>
      </c>
      <c r="G58" t="s">
        <v>241</v>
      </c>
      <c r="H58">
        <v>3336.2549206349217</v>
      </c>
      <c r="I58">
        <v>5662.5122222222226</v>
      </c>
      <c r="J58">
        <v>8998.7671428571448</v>
      </c>
      <c r="K58" t="s">
        <v>240</v>
      </c>
      <c r="L58" t="s">
        <v>1534</v>
      </c>
      <c r="M58">
        <v>222649.09999999998</v>
      </c>
      <c r="N58">
        <v>337887.86</v>
      </c>
      <c r="O58">
        <v>560536.96</v>
      </c>
      <c r="P58" t="s">
        <v>2994</v>
      </c>
      <c r="Q58">
        <v>3649.9852459016388</v>
      </c>
      <c r="R58">
        <v>5539.1452459016391</v>
      </c>
      <c r="S58">
        <v>9189.1304918032783</v>
      </c>
      <c r="T58" t="s">
        <v>241</v>
      </c>
      <c r="U58" t="s">
        <v>2991</v>
      </c>
      <c r="V58" t="str">
        <f t="shared" si="0"/>
        <v>Enterprise SD 21</v>
      </c>
      <c r="W58" t="s">
        <v>2992</v>
      </c>
      <c r="X58" t="str">
        <f t="shared" si="1"/>
        <v>Enterprise SD 21</v>
      </c>
    </row>
    <row r="59" spans="1:24" x14ac:dyDescent="0.35">
      <c r="A59" t="s">
        <v>79</v>
      </c>
      <c r="B59">
        <v>1930</v>
      </c>
      <c r="C59" t="s">
        <v>1777</v>
      </c>
      <c r="D59">
        <v>3088117.9600000004</v>
      </c>
      <c r="E59">
        <v>185816</v>
      </c>
      <c r="F59">
        <v>3273933.9600000004</v>
      </c>
      <c r="G59" t="s">
        <v>241</v>
      </c>
      <c r="H59">
        <v>8723.4970621468947</v>
      </c>
      <c r="I59">
        <v>524.90395480225993</v>
      </c>
      <c r="J59">
        <v>9248.4010169491539</v>
      </c>
      <c r="K59" t="s">
        <v>240</v>
      </c>
      <c r="L59" t="s">
        <v>1534</v>
      </c>
      <c r="M59">
        <v>2999431.7399999993</v>
      </c>
      <c r="N59">
        <v>196959</v>
      </c>
      <c r="O59">
        <v>3196390.7399999993</v>
      </c>
      <c r="P59" t="s">
        <v>241</v>
      </c>
      <c r="Q59">
        <v>8953.5275820895495</v>
      </c>
      <c r="R59">
        <v>587.93731343283582</v>
      </c>
      <c r="S59">
        <v>9541.4648955223856</v>
      </c>
      <c r="T59" t="s">
        <v>241</v>
      </c>
      <c r="U59" t="s">
        <v>2991</v>
      </c>
      <c r="V59" t="str">
        <f t="shared" si="0"/>
        <v>Estacada SD 108</v>
      </c>
      <c r="W59" t="s">
        <v>2992</v>
      </c>
      <c r="X59" t="str">
        <f t="shared" si="1"/>
        <v>Estacada SD 108</v>
      </c>
    </row>
    <row r="60" spans="1:24" x14ac:dyDescent="0.35">
      <c r="A60" t="s">
        <v>80</v>
      </c>
      <c r="B60">
        <v>2082</v>
      </c>
      <c r="C60" t="s">
        <v>1777</v>
      </c>
      <c r="D60">
        <v>26392061.439999998</v>
      </c>
      <c r="E60">
        <v>3960405</v>
      </c>
      <c r="F60">
        <v>30352466.439999998</v>
      </c>
      <c r="G60" t="s">
        <v>241</v>
      </c>
      <c r="H60">
        <v>12173.460073800738</v>
      </c>
      <c r="I60">
        <v>1826.755073800738</v>
      </c>
      <c r="J60">
        <v>14000.215147601475</v>
      </c>
      <c r="K60" t="s">
        <v>241</v>
      </c>
      <c r="L60" t="s">
        <v>1534</v>
      </c>
      <c r="M60">
        <v>25740524.879999992</v>
      </c>
      <c r="N60">
        <v>3566530</v>
      </c>
      <c r="O60">
        <v>29307054.879999992</v>
      </c>
      <c r="P60" t="s">
        <v>241</v>
      </c>
      <c r="Q60">
        <v>11274.8685413929</v>
      </c>
      <c r="R60">
        <v>1562.2120017520806</v>
      </c>
      <c r="S60">
        <v>12837.080543144981</v>
      </c>
      <c r="T60" t="s">
        <v>241</v>
      </c>
      <c r="U60" t="s">
        <v>2991</v>
      </c>
      <c r="V60" t="str">
        <f t="shared" si="0"/>
        <v>Eugene SD 4J</v>
      </c>
      <c r="W60" t="s">
        <v>2992</v>
      </c>
      <c r="X60" t="str">
        <f t="shared" si="1"/>
        <v>Eugene SD 4J</v>
      </c>
    </row>
    <row r="61" spans="1:24" x14ac:dyDescent="0.35">
      <c r="A61" t="s">
        <v>81</v>
      </c>
      <c r="B61">
        <v>2193</v>
      </c>
      <c r="C61" t="s">
        <v>1777</v>
      </c>
      <c r="D61">
        <v>264590.80000000005</v>
      </c>
      <c r="E61">
        <v>42381.45</v>
      </c>
      <c r="F61">
        <v>306972.25000000006</v>
      </c>
      <c r="G61" t="s">
        <v>2994</v>
      </c>
      <c r="H61">
        <v>8017.9030303030313</v>
      </c>
      <c r="I61">
        <v>1284.2863636363636</v>
      </c>
      <c r="J61">
        <v>9302.1893939393958</v>
      </c>
      <c r="K61" t="s">
        <v>241</v>
      </c>
      <c r="L61" t="s">
        <v>1534</v>
      </c>
      <c r="M61">
        <v>259026.8</v>
      </c>
      <c r="N61">
        <v>42278.400000000001</v>
      </c>
      <c r="O61">
        <v>301305.2</v>
      </c>
      <c r="P61" t="s">
        <v>241</v>
      </c>
      <c r="Q61">
        <v>7618.4352941176467</v>
      </c>
      <c r="R61">
        <v>1243.4823529411765</v>
      </c>
      <c r="S61">
        <v>8861.9176470588245</v>
      </c>
      <c r="T61" t="s">
        <v>241</v>
      </c>
      <c r="U61" t="s">
        <v>2991</v>
      </c>
      <c r="V61" t="str">
        <f t="shared" si="0"/>
        <v>Falls City SD 57</v>
      </c>
      <c r="W61" t="s">
        <v>2992</v>
      </c>
      <c r="X61" t="str">
        <f t="shared" si="1"/>
        <v>Falls City SD 57</v>
      </c>
    </row>
    <row r="62" spans="1:24" x14ac:dyDescent="0.35">
      <c r="A62" t="s">
        <v>82</v>
      </c>
      <c r="B62">
        <v>2084</v>
      </c>
      <c r="C62" t="s">
        <v>1777</v>
      </c>
      <c r="D62">
        <v>3046712.0199999996</v>
      </c>
      <c r="E62">
        <v>213963</v>
      </c>
      <c r="F62">
        <v>3260675.0199999996</v>
      </c>
      <c r="G62" t="s">
        <v>2994</v>
      </c>
      <c r="H62">
        <v>13020.136837606835</v>
      </c>
      <c r="I62">
        <v>914.37179487179492</v>
      </c>
      <c r="J62">
        <v>13934.50863247863</v>
      </c>
      <c r="K62" t="s">
        <v>241</v>
      </c>
      <c r="L62" t="s">
        <v>1534</v>
      </c>
      <c r="M62">
        <v>3192921.4899999998</v>
      </c>
      <c r="N62">
        <v>222697</v>
      </c>
      <c r="O62">
        <v>3415618.4899999998</v>
      </c>
      <c r="P62" t="s">
        <v>2994</v>
      </c>
      <c r="Q62">
        <v>12822.977871485942</v>
      </c>
      <c r="R62">
        <v>894.36546184738961</v>
      </c>
      <c r="S62">
        <v>13717.343333333332</v>
      </c>
      <c r="T62" t="s">
        <v>241</v>
      </c>
      <c r="U62" t="s">
        <v>2991</v>
      </c>
      <c r="V62" t="str">
        <f t="shared" si="0"/>
        <v>Fern Ridge SD 28J</v>
      </c>
      <c r="W62" t="s">
        <v>2992</v>
      </c>
      <c r="X62" t="str">
        <f t="shared" si="1"/>
        <v>Fern Ridge SD 28J</v>
      </c>
    </row>
    <row r="63" spans="1:24" x14ac:dyDescent="0.35">
      <c r="A63" t="s">
        <v>83</v>
      </c>
      <c r="B63">
        <v>2241</v>
      </c>
      <c r="C63" t="s">
        <v>1777</v>
      </c>
      <c r="D63">
        <v>11134916.589999996</v>
      </c>
      <c r="E63">
        <v>293035</v>
      </c>
      <c r="F63">
        <v>11427951.589999996</v>
      </c>
      <c r="G63" t="s">
        <v>241</v>
      </c>
      <c r="H63">
        <v>13645.731115196073</v>
      </c>
      <c r="I63">
        <v>359.11151960784315</v>
      </c>
      <c r="J63">
        <v>14004.842634803917</v>
      </c>
      <c r="K63" t="s">
        <v>241</v>
      </c>
      <c r="L63" t="s">
        <v>1534</v>
      </c>
      <c r="M63">
        <v>11636765.320000002</v>
      </c>
      <c r="N63">
        <v>313198</v>
      </c>
      <c r="O63">
        <v>11949963.320000002</v>
      </c>
      <c r="P63" t="s">
        <v>2994</v>
      </c>
      <c r="Q63">
        <v>13562.663543123546</v>
      </c>
      <c r="R63">
        <v>365.03263403263401</v>
      </c>
      <c r="S63">
        <v>13927.69617715618</v>
      </c>
      <c r="T63" t="s">
        <v>241</v>
      </c>
      <c r="U63" t="s">
        <v>2991</v>
      </c>
      <c r="V63" t="str">
        <f t="shared" si="0"/>
        <v>Forest Grove SD 15</v>
      </c>
      <c r="W63" t="s">
        <v>2992</v>
      </c>
      <c r="X63" t="str">
        <f t="shared" si="1"/>
        <v>Forest Grove SD 15</v>
      </c>
    </row>
    <row r="64" spans="1:24" x14ac:dyDescent="0.35">
      <c r="A64" t="s">
        <v>84</v>
      </c>
      <c r="B64">
        <v>2248</v>
      </c>
      <c r="C64" t="s">
        <v>1777</v>
      </c>
      <c r="D64">
        <v>754673.89</v>
      </c>
      <c r="E64">
        <v>95544</v>
      </c>
      <c r="F64">
        <v>850217.89</v>
      </c>
      <c r="G64" t="s">
        <v>240</v>
      </c>
      <c r="H64">
        <v>6860.6717272727274</v>
      </c>
      <c r="I64">
        <v>868.58181818181822</v>
      </c>
      <c r="J64">
        <v>7729.2535454545459</v>
      </c>
      <c r="K64" t="s">
        <v>241</v>
      </c>
      <c r="L64" t="s">
        <v>1534</v>
      </c>
      <c r="M64">
        <v>487729.73</v>
      </c>
      <c r="N64">
        <v>95006</v>
      </c>
      <c r="O64">
        <v>582735.73</v>
      </c>
      <c r="P64" t="s">
        <v>241</v>
      </c>
      <c r="Q64">
        <v>5080.5180208333331</v>
      </c>
      <c r="R64">
        <v>989.64583333333337</v>
      </c>
      <c r="S64">
        <v>6070.1638541666662</v>
      </c>
      <c r="T64" t="s">
        <v>241</v>
      </c>
      <c r="U64" t="s">
        <v>2991</v>
      </c>
      <c r="V64" t="str">
        <f t="shared" si="0"/>
        <v>Fossil SD 21J</v>
      </c>
      <c r="W64" t="s">
        <v>2992</v>
      </c>
      <c r="X64" t="str">
        <f t="shared" si="1"/>
        <v>Fossil SD 21J</v>
      </c>
    </row>
    <row r="65" spans="1:24" x14ac:dyDescent="0.35">
      <c r="A65" t="s">
        <v>85</v>
      </c>
      <c r="B65">
        <v>2020</v>
      </c>
      <c r="C65" t="s">
        <v>1777</v>
      </c>
      <c r="D65">
        <v>0</v>
      </c>
      <c r="E65">
        <v>19769.169999999998</v>
      </c>
      <c r="F65">
        <v>19769.169999999998</v>
      </c>
      <c r="G65" t="s">
        <v>2994</v>
      </c>
      <c r="H65">
        <v>0</v>
      </c>
      <c r="I65">
        <v>19769.169999999998</v>
      </c>
      <c r="J65">
        <v>19769.169999999998</v>
      </c>
      <c r="K65" t="s">
        <v>240</v>
      </c>
      <c r="L65" t="s">
        <v>1534</v>
      </c>
      <c r="M65">
        <v>0</v>
      </c>
      <c r="N65">
        <v>21043.65</v>
      </c>
      <c r="O65">
        <v>21043.65</v>
      </c>
      <c r="P65" t="s">
        <v>241</v>
      </c>
      <c r="Q65">
        <v>0</v>
      </c>
      <c r="R65">
        <v>21043.65</v>
      </c>
      <c r="S65">
        <v>21043.65</v>
      </c>
      <c r="T65" t="s">
        <v>241</v>
      </c>
      <c r="U65" t="s">
        <v>2991</v>
      </c>
      <c r="V65" t="str">
        <f t="shared" si="0"/>
        <v>Frenchglen SD 16</v>
      </c>
      <c r="W65" t="s">
        <v>2992</v>
      </c>
      <c r="X65" t="str">
        <f t="shared" si="1"/>
        <v>Frenchglen SD 16</v>
      </c>
    </row>
    <row r="66" spans="1:24" x14ac:dyDescent="0.35">
      <c r="A66" t="s">
        <v>86</v>
      </c>
      <c r="B66">
        <v>2245</v>
      </c>
      <c r="C66" t="s">
        <v>1777</v>
      </c>
      <c r="D66">
        <v>915202.45</v>
      </c>
      <c r="E66">
        <v>254606</v>
      </c>
      <c r="F66">
        <v>1169808.45</v>
      </c>
      <c r="G66" t="s">
        <v>241</v>
      </c>
      <c r="H66">
        <v>11026.535542168675</v>
      </c>
      <c r="I66">
        <v>3067.5421686746986</v>
      </c>
      <c r="J66">
        <v>14094.077710843372</v>
      </c>
      <c r="K66" t="s">
        <v>241</v>
      </c>
      <c r="L66" t="s">
        <v>1534</v>
      </c>
      <c r="M66">
        <v>805692.62</v>
      </c>
      <c r="N66">
        <v>276044</v>
      </c>
      <c r="O66">
        <v>1081736.6200000001</v>
      </c>
      <c r="P66" t="s">
        <v>241</v>
      </c>
      <c r="Q66">
        <v>10198.64075949367</v>
      </c>
      <c r="R66">
        <v>3494.2278481012659</v>
      </c>
      <c r="S66">
        <v>13692.868607594939</v>
      </c>
      <c r="T66" t="s">
        <v>241</v>
      </c>
      <c r="U66" t="s">
        <v>2991</v>
      </c>
      <c r="V66" t="str">
        <f t="shared" si="0"/>
        <v>Gaston SD 511J</v>
      </c>
      <c r="W66" t="s">
        <v>2992</v>
      </c>
      <c r="X66" t="str">
        <f t="shared" si="1"/>
        <v>Gaston SD 511J</v>
      </c>
    </row>
    <row r="67" spans="1:24" x14ac:dyDescent="0.35">
      <c r="A67" t="s">
        <v>87</v>
      </c>
      <c r="B67">
        <v>2137</v>
      </c>
      <c r="C67" t="s">
        <v>1777</v>
      </c>
      <c r="D67">
        <v>1401220.6199999996</v>
      </c>
      <c r="E67">
        <v>383900.63999999996</v>
      </c>
      <c r="F67">
        <v>1785121.2599999995</v>
      </c>
      <c r="G67" t="s">
        <v>241</v>
      </c>
      <c r="H67">
        <v>7615.3294565217375</v>
      </c>
      <c r="I67">
        <v>2086.4165217391301</v>
      </c>
      <c r="J67">
        <v>9701.7459782608676</v>
      </c>
      <c r="K67" t="s">
        <v>241</v>
      </c>
      <c r="L67" t="s">
        <v>1534</v>
      </c>
      <c r="M67">
        <v>995093.48999999964</v>
      </c>
      <c r="N67">
        <v>301051.5</v>
      </c>
      <c r="O67">
        <v>1296144.9899999998</v>
      </c>
      <c r="P67" t="s">
        <v>2994</v>
      </c>
      <c r="Q67">
        <v>5293.0504787234022</v>
      </c>
      <c r="R67">
        <v>1601.3377659574469</v>
      </c>
      <c r="S67">
        <v>6894.3882446808502</v>
      </c>
      <c r="T67" t="s">
        <v>240</v>
      </c>
      <c r="U67" t="s">
        <v>2991</v>
      </c>
      <c r="V67" t="str">
        <f t="shared" ref="V67:V130" si="2">A67</f>
        <v>Gervais SD 1</v>
      </c>
      <c r="W67" t="s">
        <v>2992</v>
      </c>
      <c r="X67" t="str">
        <f t="shared" ref="X67:X130" si="3">A67</f>
        <v>Gervais SD 1</v>
      </c>
    </row>
    <row r="68" spans="1:24" x14ac:dyDescent="0.35">
      <c r="A68" t="s">
        <v>88</v>
      </c>
      <c r="B68">
        <v>1931</v>
      </c>
      <c r="C68" t="s">
        <v>1777</v>
      </c>
      <c r="D68">
        <v>3203486.6600000011</v>
      </c>
      <c r="E68">
        <v>293505</v>
      </c>
      <c r="F68">
        <v>3496991.6600000011</v>
      </c>
      <c r="G68" t="s">
        <v>240</v>
      </c>
      <c r="H68">
        <v>11649.042400000004</v>
      </c>
      <c r="I68">
        <v>1067.2909090909091</v>
      </c>
      <c r="J68">
        <v>12716.333309090913</v>
      </c>
      <c r="K68" t="s">
        <v>241</v>
      </c>
      <c r="L68" t="s">
        <v>1534</v>
      </c>
      <c r="M68">
        <v>2768526.55</v>
      </c>
      <c r="N68">
        <v>193649</v>
      </c>
      <c r="O68">
        <v>2962175.55</v>
      </c>
      <c r="P68" t="s">
        <v>2994</v>
      </c>
      <c r="Q68">
        <v>10369.01329588015</v>
      </c>
      <c r="R68">
        <v>725.27715355805242</v>
      </c>
      <c r="S68">
        <v>11094.290449438202</v>
      </c>
      <c r="T68" t="s">
        <v>2994</v>
      </c>
      <c r="U68" t="s">
        <v>2991</v>
      </c>
      <c r="V68" t="str">
        <f t="shared" si="2"/>
        <v>Gladstone SD 115</v>
      </c>
      <c r="W68" t="s">
        <v>2992</v>
      </c>
      <c r="X68" t="str">
        <f t="shared" si="3"/>
        <v>Gladstone SD 115</v>
      </c>
    </row>
    <row r="69" spans="1:24" x14ac:dyDescent="0.35">
      <c r="A69" t="s">
        <v>89</v>
      </c>
      <c r="B69">
        <v>2000</v>
      </c>
      <c r="C69" t="s">
        <v>1777</v>
      </c>
      <c r="D69">
        <v>0</v>
      </c>
      <c r="E69">
        <v>130568.07999999999</v>
      </c>
      <c r="F69">
        <v>130568.07999999999</v>
      </c>
      <c r="G69" t="s">
        <v>241</v>
      </c>
      <c r="H69">
        <v>0</v>
      </c>
      <c r="I69">
        <v>2560.1584313725489</v>
      </c>
      <c r="J69">
        <v>2560.1584313725489</v>
      </c>
      <c r="K69" t="s">
        <v>240</v>
      </c>
      <c r="L69" t="s">
        <v>1534</v>
      </c>
      <c r="M69">
        <v>367638.36000000004</v>
      </c>
      <c r="N69">
        <v>135031.64000000001</v>
      </c>
      <c r="O69">
        <v>502670.00000000006</v>
      </c>
      <c r="P69" t="s">
        <v>2994</v>
      </c>
      <c r="Q69">
        <v>7502.8236734693883</v>
      </c>
      <c r="R69">
        <v>2755.7477551020411</v>
      </c>
      <c r="S69">
        <v>10258.571428571429</v>
      </c>
      <c r="T69" t="s">
        <v>2994</v>
      </c>
      <c r="U69" t="s">
        <v>2991</v>
      </c>
      <c r="V69" t="str">
        <f t="shared" si="2"/>
        <v>Glendale SD 77</v>
      </c>
      <c r="W69" t="s">
        <v>2992</v>
      </c>
      <c r="X69" t="str">
        <f t="shared" si="3"/>
        <v>Glendale SD 77</v>
      </c>
    </row>
    <row r="70" spans="1:24" x14ac:dyDescent="0.35">
      <c r="A70" t="s">
        <v>90</v>
      </c>
      <c r="B70">
        <v>1992</v>
      </c>
      <c r="C70" t="s">
        <v>1777</v>
      </c>
      <c r="D70">
        <v>973885.85</v>
      </c>
      <c r="E70">
        <v>173523.00000000003</v>
      </c>
      <c r="F70">
        <v>1147408.8500000001</v>
      </c>
      <c r="G70" t="s">
        <v>2994</v>
      </c>
      <c r="H70">
        <v>9937.6107142857145</v>
      </c>
      <c r="I70">
        <v>1770.6428571428573</v>
      </c>
      <c r="J70">
        <v>11708.253571428573</v>
      </c>
      <c r="K70" t="s">
        <v>241</v>
      </c>
      <c r="L70" t="s">
        <v>1534</v>
      </c>
      <c r="M70">
        <v>857727.2300000001</v>
      </c>
      <c r="N70">
        <v>200157.54</v>
      </c>
      <c r="O70">
        <v>1057884.77</v>
      </c>
      <c r="P70" t="s">
        <v>241</v>
      </c>
      <c r="Q70">
        <v>8492.3488118811892</v>
      </c>
      <c r="R70">
        <v>1981.7578217821783</v>
      </c>
      <c r="S70">
        <v>10474.106633663367</v>
      </c>
      <c r="T70" t="s">
        <v>241</v>
      </c>
      <c r="U70" t="s">
        <v>2991</v>
      </c>
      <c r="V70" t="str">
        <f t="shared" si="2"/>
        <v>Glide SD 12</v>
      </c>
      <c r="W70" t="s">
        <v>2992</v>
      </c>
      <c r="X70" t="str">
        <f t="shared" si="3"/>
        <v>Glide SD 12</v>
      </c>
    </row>
    <row r="71" spans="1:24" x14ac:dyDescent="0.35">
      <c r="A71" t="s">
        <v>91</v>
      </c>
      <c r="B71">
        <v>2054</v>
      </c>
      <c r="C71" t="s">
        <v>1777</v>
      </c>
      <c r="D71">
        <v>7563410.4800000004</v>
      </c>
      <c r="E71">
        <v>430901.52</v>
      </c>
      <c r="F71">
        <v>7994312</v>
      </c>
      <c r="G71" t="s">
        <v>241</v>
      </c>
      <c r="H71">
        <v>10318.43175989086</v>
      </c>
      <c r="I71">
        <v>587.86019099590726</v>
      </c>
      <c r="J71">
        <v>10906.291950886767</v>
      </c>
      <c r="K71" t="s">
        <v>241</v>
      </c>
      <c r="L71" t="s">
        <v>1534</v>
      </c>
      <c r="M71">
        <v>7679587.4900000021</v>
      </c>
      <c r="N71">
        <v>400328.18</v>
      </c>
      <c r="O71">
        <v>8079915.6700000018</v>
      </c>
      <c r="P71" t="s">
        <v>2994</v>
      </c>
      <c r="Q71">
        <v>10266.828195187169</v>
      </c>
      <c r="R71">
        <v>535.19810160427812</v>
      </c>
      <c r="S71">
        <v>10802.026296791446</v>
      </c>
      <c r="T71" t="s">
        <v>241</v>
      </c>
      <c r="U71" t="s">
        <v>2991</v>
      </c>
      <c r="V71" t="str">
        <f t="shared" si="2"/>
        <v>Grants Pass SD 7</v>
      </c>
      <c r="W71" t="s">
        <v>2992</v>
      </c>
      <c r="X71" t="str">
        <f t="shared" si="3"/>
        <v>Grants Pass SD 7</v>
      </c>
    </row>
    <row r="72" spans="1:24" x14ac:dyDescent="0.35">
      <c r="A72" t="s">
        <v>92</v>
      </c>
      <c r="B72">
        <v>2100</v>
      </c>
      <c r="C72" t="s">
        <v>1777</v>
      </c>
      <c r="D72">
        <v>15758386.590000005</v>
      </c>
      <c r="E72">
        <v>1565041</v>
      </c>
      <c r="F72">
        <v>17323427.590000004</v>
      </c>
      <c r="G72" t="s">
        <v>241</v>
      </c>
      <c r="H72">
        <v>11911.100975056694</v>
      </c>
      <c r="I72">
        <v>1182.9486016628873</v>
      </c>
      <c r="J72">
        <v>13094.049576719579</v>
      </c>
      <c r="K72" t="s">
        <v>240</v>
      </c>
      <c r="L72" t="s">
        <v>1534</v>
      </c>
      <c r="M72">
        <v>15488051.599999998</v>
      </c>
      <c r="N72">
        <v>1552723</v>
      </c>
      <c r="O72">
        <v>17040774.599999998</v>
      </c>
      <c r="P72" t="s">
        <v>241</v>
      </c>
      <c r="Q72">
        <v>11923.057428791377</v>
      </c>
      <c r="R72">
        <v>1195.3217859892225</v>
      </c>
      <c r="S72">
        <v>13118.379214780598</v>
      </c>
      <c r="T72" t="s">
        <v>241</v>
      </c>
      <c r="U72" t="s">
        <v>2991</v>
      </c>
      <c r="V72" t="str">
        <f t="shared" si="2"/>
        <v>Greater Albany Public SD 8J</v>
      </c>
      <c r="W72" t="s">
        <v>2992</v>
      </c>
      <c r="X72" t="str">
        <f t="shared" si="3"/>
        <v>Greater Albany Public SD 8J</v>
      </c>
    </row>
    <row r="73" spans="1:24" x14ac:dyDescent="0.35">
      <c r="A73" t="s">
        <v>93</v>
      </c>
      <c r="B73">
        <v>2183</v>
      </c>
      <c r="C73" t="s">
        <v>1777</v>
      </c>
      <c r="D73">
        <v>18700454.680000015</v>
      </c>
      <c r="E73">
        <v>1533868.4800000002</v>
      </c>
      <c r="F73">
        <v>20234323.160000015</v>
      </c>
      <c r="G73" t="s">
        <v>2994</v>
      </c>
      <c r="H73">
        <v>12064.809470967752</v>
      </c>
      <c r="I73">
        <v>989.59256774193557</v>
      </c>
      <c r="J73">
        <v>13054.402038709688</v>
      </c>
      <c r="K73" t="s">
        <v>241</v>
      </c>
      <c r="L73" t="s">
        <v>1534</v>
      </c>
      <c r="M73">
        <v>18236461.250000004</v>
      </c>
      <c r="N73">
        <v>1326932.3500000001</v>
      </c>
      <c r="O73">
        <v>19563393.600000005</v>
      </c>
      <c r="P73" t="s">
        <v>241</v>
      </c>
      <c r="Q73">
        <v>12077.126655629141</v>
      </c>
      <c r="R73">
        <v>878.7631456953643</v>
      </c>
      <c r="S73">
        <v>12955.889801324507</v>
      </c>
      <c r="T73" t="s">
        <v>240</v>
      </c>
      <c r="U73" t="s">
        <v>2991</v>
      </c>
      <c r="V73" t="str">
        <f t="shared" si="2"/>
        <v>Gresham-Barlow SD 10J</v>
      </c>
      <c r="W73" t="s">
        <v>2992</v>
      </c>
      <c r="X73" t="str">
        <f t="shared" si="3"/>
        <v>Gresham-Barlow SD 10J</v>
      </c>
    </row>
    <row r="74" spans="1:24" x14ac:dyDescent="0.35">
      <c r="A74" t="s">
        <v>94</v>
      </c>
      <c r="B74">
        <v>2014</v>
      </c>
      <c r="C74" t="s">
        <v>1777</v>
      </c>
      <c r="D74">
        <v>1171283.8300000003</v>
      </c>
      <c r="E74">
        <v>0</v>
      </c>
      <c r="F74">
        <v>1171283.8300000003</v>
      </c>
      <c r="G74" t="s">
        <v>241</v>
      </c>
      <c r="H74">
        <v>10745.723211009177</v>
      </c>
      <c r="I74">
        <v>0</v>
      </c>
      <c r="J74">
        <v>10745.723211009177</v>
      </c>
      <c r="K74" t="s">
        <v>240</v>
      </c>
      <c r="L74" t="s">
        <v>1534</v>
      </c>
      <c r="M74">
        <v>1178669.6700000002</v>
      </c>
      <c r="N74">
        <v>0</v>
      </c>
      <c r="O74">
        <v>1178669.6700000002</v>
      </c>
      <c r="P74" t="s">
        <v>240</v>
      </c>
      <c r="Q74">
        <v>11119.525188679247</v>
      </c>
      <c r="R74">
        <v>0</v>
      </c>
      <c r="S74">
        <v>11119.525188679247</v>
      </c>
      <c r="T74" t="s">
        <v>2994</v>
      </c>
      <c r="U74" t="s">
        <v>2991</v>
      </c>
      <c r="V74" t="str">
        <f t="shared" si="2"/>
        <v>Harney County SD 3</v>
      </c>
      <c r="W74" t="s">
        <v>2992</v>
      </c>
      <c r="X74" t="str">
        <f t="shared" si="3"/>
        <v>Harney County SD 3</v>
      </c>
    </row>
    <row r="75" spans="1:24" x14ac:dyDescent="0.35">
      <c r="A75" t="s">
        <v>95</v>
      </c>
      <c r="B75">
        <v>2015</v>
      </c>
      <c r="C75" t="s">
        <v>1777</v>
      </c>
      <c r="D75">
        <v>360618.35</v>
      </c>
      <c r="E75">
        <v>176646.02</v>
      </c>
      <c r="F75">
        <v>537264.37</v>
      </c>
      <c r="G75" t="s">
        <v>241</v>
      </c>
      <c r="H75">
        <v>3679.7790816326528</v>
      </c>
      <c r="I75">
        <v>1802.5104081632653</v>
      </c>
      <c r="J75">
        <v>5482.2894897959186</v>
      </c>
      <c r="K75" t="s">
        <v>240</v>
      </c>
      <c r="L75" t="s">
        <v>1534</v>
      </c>
      <c r="M75">
        <v>336096.03999999992</v>
      </c>
      <c r="N75">
        <v>40652.92</v>
      </c>
      <c r="O75">
        <v>376748.9599999999</v>
      </c>
      <c r="P75" t="s">
        <v>240</v>
      </c>
      <c r="Q75">
        <v>5016.3588059701478</v>
      </c>
      <c r="R75">
        <v>606.76</v>
      </c>
      <c r="S75">
        <v>5623.1188059701481</v>
      </c>
      <c r="T75" t="s">
        <v>241</v>
      </c>
      <c r="U75" t="s">
        <v>2991</v>
      </c>
      <c r="V75" t="str">
        <f t="shared" si="2"/>
        <v>Harney County SD 4</v>
      </c>
      <c r="W75" t="s">
        <v>2992</v>
      </c>
      <c r="X75" t="str">
        <f t="shared" si="3"/>
        <v>Harney County SD 4</v>
      </c>
    </row>
    <row r="76" spans="1:24" x14ac:dyDescent="0.35">
      <c r="A76" t="s">
        <v>96</v>
      </c>
      <c r="B76">
        <v>2023</v>
      </c>
      <c r="C76" t="s">
        <v>1777</v>
      </c>
      <c r="D76">
        <v>563980.02</v>
      </c>
      <c r="E76">
        <v>179809.81</v>
      </c>
      <c r="F76">
        <v>743789.83000000007</v>
      </c>
      <c r="G76" t="s">
        <v>241</v>
      </c>
      <c r="H76">
        <v>6794.9400000000005</v>
      </c>
      <c r="I76">
        <v>2166.383253012048</v>
      </c>
      <c r="J76">
        <v>8961.3232530120495</v>
      </c>
      <c r="K76" t="s">
        <v>241</v>
      </c>
      <c r="L76" t="s">
        <v>1534</v>
      </c>
      <c r="M76">
        <v>265965.02</v>
      </c>
      <c r="N76">
        <v>55923.74</v>
      </c>
      <c r="O76">
        <v>321888.76</v>
      </c>
      <c r="P76" t="s">
        <v>241</v>
      </c>
      <c r="Q76">
        <v>3454.0911688311689</v>
      </c>
      <c r="R76">
        <v>726.28233766233768</v>
      </c>
      <c r="S76">
        <v>4180.3735064935063</v>
      </c>
      <c r="T76" t="s">
        <v>241</v>
      </c>
      <c r="U76" t="s">
        <v>2991</v>
      </c>
      <c r="V76" t="str">
        <f t="shared" si="2"/>
        <v>Harney County Union High SD 1J</v>
      </c>
      <c r="W76" t="s">
        <v>2992</v>
      </c>
      <c r="X76" t="str">
        <f t="shared" si="3"/>
        <v>Harney County Union High SD 1J</v>
      </c>
    </row>
    <row r="77" spans="1:24" x14ac:dyDescent="0.35">
      <c r="A77" t="s">
        <v>97</v>
      </c>
      <c r="B77">
        <v>2114</v>
      </c>
      <c r="C77" t="s">
        <v>1777</v>
      </c>
      <c r="D77">
        <v>109022.51999999999</v>
      </c>
      <c r="E77">
        <v>57143.35</v>
      </c>
      <c r="F77">
        <v>166165.87</v>
      </c>
      <c r="G77" t="s">
        <v>241</v>
      </c>
      <c r="H77">
        <v>4193.1738461538462</v>
      </c>
      <c r="I77">
        <v>2197.8211538461537</v>
      </c>
      <c r="J77">
        <v>6390.9949999999999</v>
      </c>
      <c r="K77" t="s">
        <v>240</v>
      </c>
      <c r="L77" t="s">
        <v>1534</v>
      </c>
      <c r="M77">
        <v>81896.790000000008</v>
      </c>
      <c r="N77">
        <v>73681.64</v>
      </c>
      <c r="O77">
        <v>155578.43</v>
      </c>
      <c r="P77" t="s">
        <v>241</v>
      </c>
      <c r="Q77">
        <v>3722.5813636363641</v>
      </c>
      <c r="R77">
        <v>3349.1654545454544</v>
      </c>
      <c r="S77">
        <v>7071.7468181818176</v>
      </c>
      <c r="T77" t="s">
        <v>240</v>
      </c>
      <c r="U77" t="s">
        <v>2991</v>
      </c>
      <c r="V77" t="str">
        <f t="shared" si="2"/>
        <v>Harper SD 66</v>
      </c>
      <c r="W77" t="s">
        <v>2992</v>
      </c>
      <c r="X77" t="str">
        <f t="shared" si="3"/>
        <v>Harper SD 66</v>
      </c>
    </row>
    <row r="78" spans="1:24" x14ac:dyDescent="0.35">
      <c r="A78" t="s">
        <v>98</v>
      </c>
      <c r="B78">
        <v>2099</v>
      </c>
      <c r="C78" t="s">
        <v>1777</v>
      </c>
      <c r="D78">
        <v>1169314</v>
      </c>
      <c r="E78">
        <v>156897</v>
      </c>
      <c r="F78">
        <v>1326211</v>
      </c>
      <c r="G78" t="s">
        <v>241</v>
      </c>
      <c r="H78">
        <v>11577.366336633664</v>
      </c>
      <c r="I78">
        <v>1553.4356435643565</v>
      </c>
      <c r="J78">
        <v>13130.801980198019</v>
      </c>
      <c r="K78" t="s">
        <v>241</v>
      </c>
      <c r="L78" t="s">
        <v>1534</v>
      </c>
      <c r="M78">
        <v>1182113.6300000004</v>
      </c>
      <c r="N78">
        <v>128350</v>
      </c>
      <c r="O78">
        <v>1310463.6300000004</v>
      </c>
      <c r="P78" t="s">
        <v>2994</v>
      </c>
      <c r="Q78">
        <v>11047.790934579443</v>
      </c>
      <c r="R78">
        <v>1199.5327102803737</v>
      </c>
      <c r="S78">
        <v>12247.323644859816</v>
      </c>
      <c r="T78" t="s">
        <v>241</v>
      </c>
      <c r="U78" t="s">
        <v>2991</v>
      </c>
      <c r="V78" t="str">
        <f t="shared" si="2"/>
        <v>Harrisburg SD 7J</v>
      </c>
      <c r="W78" t="s">
        <v>2992</v>
      </c>
      <c r="X78" t="str">
        <f t="shared" si="3"/>
        <v>Harrisburg SD 7J</v>
      </c>
    </row>
    <row r="79" spans="1:24" x14ac:dyDescent="0.35">
      <c r="A79" t="s">
        <v>99</v>
      </c>
      <c r="B79">
        <v>2201</v>
      </c>
      <c r="C79" t="s">
        <v>1777</v>
      </c>
      <c r="D79">
        <v>129816.32000000001</v>
      </c>
      <c r="E79">
        <v>40398.93</v>
      </c>
      <c r="F79">
        <v>170215.25</v>
      </c>
      <c r="G79" t="s">
        <v>241</v>
      </c>
      <c r="H79">
        <v>7212.0177777777781</v>
      </c>
      <c r="I79">
        <v>2244.3850000000002</v>
      </c>
      <c r="J79">
        <v>9456.4027777777774</v>
      </c>
      <c r="K79" t="s">
        <v>240</v>
      </c>
      <c r="L79" t="s">
        <v>1534</v>
      </c>
      <c r="M79">
        <v>121162.05</v>
      </c>
      <c r="N79">
        <v>39825.380000000005</v>
      </c>
      <c r="O79">
        <v>160987.43</v>
      </c>
      <c r="P79" t="s">
        <v>241</v>
      </c>
      <c r="Q79">
        <v>7127.1794117647059</v>
      </c>
      <c r="R79">
        <v>2342.6694117647062</v>
      </c>
      <c r="S79">
        <v>9469.8488235294117</v>
      </c>
      <c r="T79" t="s">
        <v>241</v>
      </c>
      <c r="U79" t="s">
        <v>2991</v>
      </c>
      <c r="V79" t="str">
        <f t="shared" si="2"/>
        <v>Helix SD 1</v>
      </c>
      <c r="W79" t="s">
        <v>2992</v>
      </c>
      <c r="X79" t="str">
        <f t="shared" si="3"/>
        <v>Helix SD 1</v>
      </c>
    </row>
    <row r="80" spans="1:24" x14ac:dyDescent="0.35">
      <c r="A80" t="s">
        <v>100</v>
      </c>
      <c r="B80">
        <v>2206</v>
      </c>
      <c r="C80" t="s">
        <v>1777</v>
      </c>
      <c r="D80">
        <v>7237056.0799999991</v>
      </c>
      <c r="E80">
        <v>0</v>
      </c>
      <c r="F80">
        <v>7237056.0799999991</v>
      </c>
      <c r="G80" t="s">
        <v>241</v>
      </c>
      <c r="H80">
        <v>10689.890812407679</v>
      </c>
      <c r="I80">
        <v>0</v>
      </c>
      <c r="J80">
        <v>10689.890812407679</v>
      </c>
      <c r="K80" t="s">
        <v>241</v>
      </c>
      <c r="L80" t="s">
        <v>1534</v>
      </c>
      <c r="M80">
        <v>6080255.8299999973</v>
      </c>
      <c r="N80">
        <v>0</v>
      </c>
      <c r="O80">
        <v>6080255.8299999973</v>
      </c>
      <c r="P80" t="s">
        <v>2994</v>
      </c>
      <c r="Q80">
        <v>9157.0117921686706</v>
      </c>
      <c r="R80">
        <v>0</v>
      </c>
      <c r="S80">
        <v>9157.0117921686706</v>
      </c>
      <c r="T80" t="s">
        <v>241</v>
      </c>
      <c r="U80" t="s">
        <v>2991</v>
      </c>
      <c r="V80" t="str">
        <f t="shared" si="2"/>
        <v>Hermiston SD 8</v>
      </c>
      <c r="W80" t="s">
        <v>2992</v>
      </c>
      <c r="X80" t="str">
        <f t="shared" si="3"/>
        <v>Hermiston SD 8</v>
      </c>
    </row>
    <row r="81" spans="1:24" x14ac:dyDescent="0.35">
      <c r="A81" t="s">
        <v>101</v>
      </c>
      <c r="B81">
        <v>2239</v>
      </c>
      <c r="C81" t="s">
        <v>1777</v>
      </c>
      <c r="D81">
        <v>36913977.699999966</v>
      </c>
      <c r="E81">
        <v>4379732</v>
      </c>
      <c r="F81">
        <v>41293709.699999966</v>
      </c>
      <c r="G81" t="s">
        <v>2994</v>
      </c>
      <c r="H81">
        <v>12857.533159177974</v>
      </c>
      <c r="I81">
        <v>1525.5074886799025</v>
      </c>
      <c r="J81">
        <v>14383.040647857877</v>
      </c>
      <c r="K81" t="s">
        <v>241</v>
      </c>
      <c r="L81" t="s">
        <v>1534</v>
      </c>
      <c r="M81">
        <v>36072105.600000031</v>
      </c>
      <c r="N81">
        <v>4314218</v>
      </c>
      <c r="O81">
        <v>40386323.600000031</v>
      </c>
      <c r="P81" t="s">
        <v>2994</v>
      </c>
      <c r="Q81">
        <v>11885.372520593091</v>
      </c>
      <c r="R81">
        <v>1421.4886326194398</v>
      </c>
      <c r="S81">
        <v>13306.861153212531</v>
      </c>
      <c r="T81" t="s">
        <v>241</v>
      </c>
      <c r="U81" t="s">
        <v>2991</v>
      </c>
      <c r="V81" t="str">
        <f t="shared" si="2"/>
        <v>Hillsboro SD 1J</v>
      </c>
      <c r="W81" t="s">
        <v>2992</v>
      </c>
      <c r="X81" t="str">
        <f t="shared" si="3"/>
        <v>Hillsboro SD 1J</v>
      </c>
    </row>
    <row r="82" spans="1:24" x14ac:dyDescent="0.35">
      <c r="A82" t="s">
        <v>102</v>
      </c>
      <c r="B82">
        <v>2024</v>
      </c>
      <c r="C82" t="s">
        <v>1777</v>
      </c>
      <c r="D82">
        <v>4954275.5100000016</v>
      </c>
      <c r="E82">
        <v>0</v>
      </c>
      <c r="F82">
        <v>4954275.5100000016</v>
      </c>
      <c r="G82" t="s">
        <v>241</v>
      </c>
      <c r="H82">
        <v>9928.4078356713453</v>
      </c>
      <c r="I82">
        <v>0</v>
      </c>
      <c r="J82">
        <v>9928.4078356713453</v>
      </c>
      <c r="K82" t="s">
        <v>240</v>
      </c>
      <c r="L82" t="s">
        <v>1534</v>
      </c>
      <c r="M82">
        <v>4967999.2899999954</v>
      </c>
      <c r="N82">
        <v>0</v>
      </c>
      <c r="O82">
        <v>4967999.2899999954</v>
      </c>
      <c r="P82" t="s">
        <v>241</v>
      </c>
      <c r="Q82">
        <v>11039.998422222212</v>
      </c>
      <c r="R82">
        <v>0</v>
      </c>
      <c r="S82">
        <v>11039.998422222212</v>
      </c>
      <c r="T82" t="s">
        <v>241</v>
      </c>
      <c r="U82" t="s">
        <v>2991</v>
      </c>
      <c r="V82" t="str">
        <f t="shared" si="2"/>
        <v>Hood River County SD</v>
      </c>
      <c r="W82" t="s">
        <v>2992</v>
      </c>
      <c r="X82" t="str">
        <f t="shared" si="3"/>
        <v>Hood River County SD</v>
      </c>
    </row>
    <row r="83" spans="1:24" x14ac:dyDescent="0.35">
      <c r="A83" t="s">
        <v>103</v>
      </c>
      <c r="B83">
        <v>1895</v>
      </c>
      <c r="C83" t="s">
        <v>1777</v>
      </c>
      <c r="D83">
        <v>82006.350000000006</v>
      </c>
      <c r="E83">
        <v>51900.090000000004</v>
      </c>
      <c r="F83">
        <v>133906.44</v>
      </c>
      <c r="G83" t="s">
        <v>241</v>
      </c>
      <c r="H83">
        <v>8200.6350000000002</v>
      </c>
      <c r="I83">
        <v>5190.009</v>
      </c>
      <c r="J83">
        <v>13390.644</v>
      </c>
      <c r="K83" t="s">
        <v>240</v>
      </c>
      <c r="L83" t="s">
        <v>1534</v>
      </c>
      <c r="M83">
        <v>75116.609999999986</v>
      </c>
      <c r="N83">
        <v>54354.400000000001</v>
      </c>
      <c r="O83">
        <v>129471.00999999998</v>
      </c>
      <c r="P83" t="s">
        <v>241</v>
      </c>
      <c r="Q83">
        <v>18779.152499999997</v>
      </c>
      <c r="R83">
        <v>13588.6</v>
      </c>
      <c r="S83">
        <v>32367.752499999995</v>
      </c>
      <c r="T83" t="s">
        <v>241</v>
      </c>
      <c r="U83" t="s">
        <v>2991</v>
      </c>
      <c r="V83" t="str">
        <f t="shared" si="2"/>
        <v>Huntington SD 16J</v>
      </c>
      <c r="W83" t="s">
        <v>2992</v>
      </c>
      <c r="X83" t="str">
        <f t="shared" si="3"/>
        <v>Huntington SD 16J</v>
      </c>
    </row>
    <row r="84" spans="1:24" x14ac:dyDescent="0.35">
      <c r="A84" t="s">
        <v>104</v>
      </c>
      <c r="B84">
        <v>2215</v>
      </c>
      <c r="C84" t="s">
        <v>1777</v>
      </c>
      <c r="D84">
        <v>142881.78</v>
      </c>
      <c r="E84">
        <v>74622.61</v>
      </c>
      <c r="F84">
        <v>217504.39</v>
      </c>
      <c r="G84" t="s">
        <v>241</v>
      </c>
      <c r="H84">
        <v>4926.9579310344825</v>
      </c>
      <c r="I84">
        <v>2573.193448275862</v>
      </c>
      <c r="J84">
        <v>7500.151379310345</v>
      </c>
      <c r="K84" t="s">
        <v>241</v>
      </c>
      <c r="L84" t="s">
        <v>1534</v>
      </c>
      <c r="M84">
        <v>179952.71000000002</v>
      </c>
      <c r="N84">
        <v>74457.119999999995</v>
      </c>
      <c r="O84">
        <v>254409.83000000002</v>
      </c>
      <c r="P84" t="s">
        <v>2994</v>
      </c>
      <c r="Q84">
        <v>5292.7267647058834</v>
      </c>
      <c r="R84">
        <v>2189.9152941176471</v>
      </c>
      <c r="S84">
        <v>7482.6420588235296</v>
      </c>
      <c r="T84" t="s">
        <v>241</v>
      </c>
      <c r="U84" t="s">
        <v>2991</v>
      </c>
      <c r="V84" t="str">
        <f t="shared" si="2"/>
        <v>Imbler SD 11</v>
      </c>
      <c r="W84" t="s">
        <v>2992</v>
      </c>
      <c r="X84" t="str">
        <f t="shared" si="3"/>
        <v>Imbler SD 11</v>
      </c>
    </row>
    <row r="85" spans="1:24" x14ac:dyDescent="0.35">
      <c r="A85" t="s">
        <v>105</v>
      </c>
      <c r="B85">
        <v>3997</v>
      </c>
      <c r="C85" t="s">
        <v>1777</v>
      </c>
      <c r="D85">
        <v>203695.97000000003</v>
      </c>
      <c r="E85">
        <v>54158.95</v>
      </c>
      <c r="F85">
        <v>257854.92000000004</v>
      </c>
      <c r="G85" t="s">
        <v>241</v>
      </c>
      <c r="H85">
        <v>9258.9077272727282</v>
      </c>
      <c r="I85">
        <v>2461.7704545454544</v>
      </c>
      <c r="J85">
        <v>11720.678181818184</v>
      </c>
      <c r="K85" t="s">
        <v>241</v>
      </c>
      <c r="L85" t="s">
        <v>1534</v>
      </c>
      <c r="M85">
        <v>188501.08</v>
      </c>
      <c r="N85">
        <v>53904.38</v>
      </c>
      <c r="O85">
        <v>242405.46</v>
      </c>
      <c r="P85" t="s">
        <v>241</v>
      </c>
      <c r="Q85">
        <v>6732.1814285714281</v>
      </c>
      <c r="R85">
        <v>1925.1564285714285</v>
      </c>
      <c r="S85">
        <v>8657.3378571428566</v>
      </c>
      <c r="T85" t="s">
        <v>241</v>
      </c>
      <c r="U85" t="s">
        <v>2991</v>
      </c>
      <c r="V85" t="str">
        <f t="shared" si="2"/>
        <v>Ione SD R2</v>
      </c>
      <c r="W85" t="s">
        <v>2992</v>
      </c>
      <c r="X85" t="str">
        <f t="shared" si="3"/>
        <v>Ione SD R2</v>
      </c>
    </row>
    <row r="86" spans="1:24" x14ac:dyDescent="0.35">
      <c r="A86" t="s">
        <v>106</v>
      </c>
      <c r="B86">
        <v>2053</v>
      </c>
      <c r="C86" t="s">
        <v>1777</v>
      </c>
      <c r="D86">
        <v>4946689.6099999994</v>
      </c>
      <c r="E86">
        <v>1000126.17</v>
      </c>
      <c r="F86">
        <v>5946815.7799999993</v>
      </c>
      <c r="G86" t="s">
        <v>241</v>
      </c>
      <c r="H86">
        <v>9913.2056312625245</v>
      </c>
      <c r="I86">
        <v>2004.2608617234471</v>
      </c>
      <c r="J86">
        <v>11917.46649298597</v>
      </c>
      <c r="K86" t="s">
        <v>240</v>
      </c>
      <c r="L86" t="s">
        <v>1534</v>
      </c>
      <c r="M86">
        <v>4664367</v>
      </c>
      <c r="N86">
        <v>1249268.28</v>
      </c>
      <c r="O86">
        <v>5913635.2800000003</v>
      </c>
      <c r="P86" t="s">
        <v>2994</v>
      </c>
      <c r="Q86">
        <v>9480.4207317073178</v>
      </c>
      <c r="R86">
        <v>2539.1631707317074</v>
      </c>
      <c r="S86">
        <v>12019.583902439024</v>
      </c>
      <c r="T86" t="s">
        <v>241</v>
      </c>
      <c r="U86" t="s">
        <v>2991</v>
      </c>
      <c r="V86" t="str">
        <f t="shared" si="2"/>
        <v>Jefferson County SD 509J</v>
      </c>
      <c r="W86" t="s">
        <v>2992</v>
      </c>
      <c r="X86" t="str">
        <f t="shared" si="3"/>
        <v>Jefferson County SD 509J</v>
      </c>
    </row>
    <row r="87" spans="1:24" x14ac:dyDescent="0.35">
      <c r="A87" t="s">
        <v>107</v>
      </c>
      <c r="B87">
        <v>2140</v>
      </c>
      <c r="C87" t="s">
        <v>1777</v>
      </c>
      <c r="D87">
        <v>1263781.5699999998</v>
      </c>
      <c r="E87">
        <v>216521.44</v>
      </c>
      <c r="F87">
        <v>1480303.0099999998</v>
      </c>
      <c r="G87" t="s">
        <v>241</v>
      </c>
      <c r="H87">
        <v>11701.681203703702</v>
      </c>
      <c r="I87">
        <v>2004.8281481481481</v>
      </c>
      <c r="J87">
        <v>13706.50935185185</v>
      </c>
      <c r="K87" t="s">
        <v>241</v>
      </c>
      <c r="L87" t="s">
        <v>1534</v>
      </c>
      <c r="M87">
        <v>1215932.8200000005</v>
      </c>
      <c r="N87">
        <v>176718.16</v>
      </c>
      <c r="O87">
        <v>1392650.9800000004</v>
      </c>
      <c r="P87" t="s">
        <v>241</v>
      </c>
      <c r="Q87">
        <v>9966.6624590163974</v>
      </c>
      <c r="R87">
        <v>1448.5095081967213</v>
      </c>
      <c r="S87">
        <v>11415.171967213118</v>
      </c>
      <c r="T87" t="s">
        <v>241</v>
      </c>
      <c r="U87" t="s">
        <v>2991</v>
      </c>
      <c r="V87" t="str">
        <f t="shared" si="2"/>
        <v>Jefferson SD 14J</v>
      </c>
      <c r="W87" t="s">
        <v>2992</v>
      </c>
      <c r="X87" t="str">
        <f t="shared" si="3"/>
        <v>Jefferson SD 14J</v>
      </c>
    </row>
    <row r="88" spans="1:24" x14ac:dyDescent="0.35">
      <c r="A88" t="s">
        <v>108</v>
      </c>
      <c r="B88">
        <v>1934</v>
      </c>
      <c r="C88" t="s">
        <v>1777</v>
      </c>
      <c r="D88">
        <v>368678.34000000008</v>
      </c>
      <c r="E88">
        <v>69643</v>
      </c>
      <c r="F88">
        <v>438321.34000000008</v>
      </c>
      <c r="G88" t="s">
        <v>241</v>
      </c>
      <c r="H88">
        <v>14747.133600000003</v>
      </c>
      <c r="I88">
        <v>2785.72</v>
      </c>
      <c r="J88">
        <v>17532.853600000002</v>
      </c>
      <c r="K88" t="s">
        <v>240</v>
      </c>
      <c r="L88" t="s">
        <v>1534</v>
      </c>
      <c r="M88">
        <v>372541.18000000005</v>
      </c>
      <c r="N88">
        <v>63591</v>
      </c>
      <c r="O88">
        <v>436132.18000000005</v>
      </c>
      <c r="P88" t="s">
        <v>241</v>
      </c>
      <c r="Q88">
        <v>17740.056190476193</v>
      </c>
      <c r="R88">
        <v>3028.1428571428573</v>
      </c>
      <c r="S88">
        <v>20768.199047619051</v>
      </c>
      <c r="T88" t="s">
        <v>241</v>
      </c>
      <c r="U88" t="s">
        <v>2991</v>
      </c>
      <c r="V88" t="str">
        <f t="shared" si="2"/>
        <v>Jewell SD 8</v>
      </c>
      <c r="W88" t="s">
        <v>2992</v>
      </c>
      <c r="X88" t="str">
        <f t="shared" si="3"/>
        <v>Jewell SD 8</v>
      </c>
    </row>
    <row r="89" spans="1:24" x14ac:dyDescent="0.35">
      <c r="A89" t="s">
        <v>109</v>
      </c>
      <c r="B89">
        <v>2008</v>
      </c>
      <c r="C89" t="s">
        <v>1777</v>
      </c>
      <c r="D89">
        <v>990441.18999999971</v>
      </c>
      <c r="E89">
        <v>214826.5</v>
      </c>
      <c r="F89">
        <v>1205267.6899999997</v>
      </c>
      <c r="G89" t="s">
        <v>241</v>
      </c>
      <c r="H89">
        <v>11933.026385542165</v>
      </c>
      <c r="I89">
        <v>2588.2710843373493</v>
      </c>
      <c r="J89">
        <v>14521.297469879515</v>
      </c>
      <c r="K89" t="s">
        <v>241</v>
      </c>
      <c r="L89" t="s">
        <v>1534</v>
      </c>
      <c r="M89">
        <v>934341.21999999974</v>
      </c>
      <c r="N89">
        <v>185535.03</v>
      </c>
      <c r="O89">
        <v>1119876.2499999998</v>
      </c>
      <c r="P89" t="s">
        <v>241</v>
      </c>
      <c r="Q89">
        <v>10498.215955056177</v>
      </c>
      <c r="R89">
        <v>2084.6632584269664</v>
      </c>
      <c r="S89">
        <v>12582.879213483144</v>
      </c>
      <c r="T89" t="s">
        <v>240</v>
      </c>
      <c r="U89" t="s">
        <v>2991</v>
      </c>
      <c r="V89" t="str">
        <f t="shared" si="2"/>
        <v>John Day SD 3</v>
      </c>
      <c r="W89" t="s">
        <v>2992</v>
      </c>
      <c r="X89" t="str">
        <f t="shared" si="3"/>
        <v>John Day SD 3</v>
      </c>
    </row>
    <row r="90" spans="1:24" x14ac:dyDescent="0.35">
      <c r="A90" t="s">
        <v>110</v>
      </c>
      <c r="B90">
        <v>2107</v>
      </c>
      <c r="C90" t="s">
        <v>1777</v>
      </c>
      <c r="D90">
        <v>39772.729999999996</v>
      </c>
      <c r="E90">
        <v>76608.13</v>
      </c>
      <c r="F90">
        <v>116380.86</v>
      </c>
      <c r="G90" t="s">
        <v>241</v>
      </c>
      <c r="H90">
        <v>9943.182499999999</v>
      </c>
      <c r="I90">
        <v>19152.032500000001</v>
      </c>
      <c r="J90">
        <v>29095.215</v>
      </c>
      <c r="K90" t="s">
        <v>241</v>
      </c>
      <c r="L90" t="s">
        <v>1534</v>
      </c>
      <c r="M90">
        <v>36825.4</v>
      </c>
      <c r="N90">
        <v>79504.890000000014</v>
      </c>
      <c r="O90">
        <v>116330.29000000001</v>
      </c>
      <c r="P90" t="s">
        <v>241</v>
      </c>
      <c r="Q90">
        <v>9206.35</v>
      </c>
      <c r="R90">
        <v>19876.222500000003</v>
      </c>
      <c r="S90">
        <v>29082.572500000002</v>
      </c>
      <c r="T90" t="s">
        <v>240</v>
      </c>
      <c r="U90" t="s">
        <v>2991</v>
      </c>
      <c r="V90" t="str">
        <f t="shared" si="2"/>
        <v>Jordan Valley SD 3</v>
      </c>
      <c r="W90" t="s">
        <v>2992</v>
      </c>
      <c r="X90" t="str">
        <f t="shared" si="3"/>
        <v>Jordan Valley SD 3</v>
      </c>
    </row>
    <row r="91" spans="1:24" x14ac:dyDescent="0.35">
      <c r="A91" t="s">
        <v>111</v>
      </c>
      <c r="B91">
        <v>2219</v>
      </c>
      <c r="C91" t="s">
        <v>1777</v>
      </c>
      <c r="D91">
        <v>104585.54000000001</v>
      </c>
      <c r="E91">
        <v>199142.52</v>
      </c>
      <c r="F91">
        <v>303728.06</v>
      </c>
      <c r="G91" t="s">
        <v>241</v>
      </c>
      <c r="H91">
        <v>2988.1582857142857</v>
      </c>
      <c r="I91">
        <v>5689.7862857142854</v>
      </c>
      <c r="J91">
        <v>8677.9445714285721</v>
      </c>
      <c r="K91" t="s">
        <v>240</v>
      </c>
      <c r="L91" t="s">
        <v>1534</v>
      </c>
      <c r="M91">
        <v>103902.25</v>
      </c>
      <c r="N91">
        <v>166173.84</v>
      </c>
      <c r="O91">
        <v>270076.08999999997</v>
      </c>
      <c r="P91" t="s">
        <v>2994</v>
      </c>
      <c r="Q91">
        <v>3351.6854838709678</v>
      </c>
      <c r="R91">
        <v>5360.4464516129028</v>
      </c>
      <c r="S91">
        <v>8712.1319354838706</v>
      </c>
      <c r="T91" t="s">
        <v>2994</v>
      </c>
      <c r="U91" t="s">
        <v>2991</v>
      </c>
      <c r="V91" t="str">
        <f t="shared" si="2"/>
        <v>Joseph SD 6</v>
      </c>
      <c r="W91" t="s">
        <v>2992</v>
      </c>
      <c r="X91" t="str">
        <f t="shared" si="3"/>
        <v>Joseph SD 6</v>
      </c>
    </row>
    <row r="92" spans="1:24" x14ac:dyDescent="0.35">
      <c r="A92" t="s">
        <v>112</v>
      </c>
      <c r="B92">
        <v>2091</v>
      </c>
      <c r="C92" t="s">
        <v>1777</v>
      </c>
      <c r="D92">
        <v>2015267.5699999998</v>
      </c>
      <c r="E92">
        <v>645153</v>
      </c>
      <c r="F92">
        <v>2660420.5699999998</v>
      </c>
      <c r="G92" t="s">
        <v>241</v>
      </c>
      <c r="H92">
        <v>8192.1445934959338</v>
      </c>
      <c r="I92">
        <v>2622.5731707317073</v>
      </c>
      <c r="J92">
        <v>10814.717764227642</v>
      </c>
      <c r="K92" t="s">
        <v>241</v>
      </c>
      <c r="L92" t="s">
        <v>1534</v>
      </c>
      <c r="M92">
        <v>1601513.6899999997</v>
      </c>
      <c r="N92">
        <v>600741</v>
      </c>
      <c r="O92">
        <v>2202254.6899999995</v>
      </c>
      <c r="P92" t="s">
        <v>2994</v>
      </c>
      <c r="Q92">
        <v>6510.2182520325196</v>
      </c>
      <c r="R92">
        <v>2442.0365853658536</v>
      </c>
      <c r="S92">
        <v>8952.2548373983718</v>
      </c>
      <c r="T92" t="s">
        <v>240</v>
      </c>
      <c r="U92" t="s">
        <v>2991</v>
      </c>
      <c r="V92" t="str">
        <f t="shared" si="2"/>
        <v>Junction City SD 69</v>
      </c>
      <c r="W92" t="s">
        <v>2992</v>
      </c>
      <c r="X92" t="str">
        <f t="shared" si="3"/>
        <v>Junction City SD 69</v>
      </c>
    </row>
    <row r="93" spans="1:24" x14ac:dyDescent="0.35">
      <c r="A93" t="s">
        <v>113</v>
      </c>
      <c r="B93">
        <v>2109</v>
      </c>
      <c r="C93" t="s">
        <v>1777</v>
      </c>
      <c r="D93">
        <v>0</v>
      </c>
      <c r="E93">
        <v>11002.85</v>
      </c>
      <c r="F93">
        <v>11002.85</v>
      </c>
      <c r="G93" t="s">
        <v>241</v>
      </c>
      <c r="H93">
        <v>0</v>
      </c>
      <c r="I93">
        <v>0</v>
      </c>
      <c r="J93">
        <v>0</v>
      </c>
      <c r="K93" t="s">
        <v>240</v>
      </c>
      <c r="L93" t="s">
        <v>1534</v>
      </c>
      <c r="M93">
        <v>0</v>
      </c>
      <c r="N93">
        <v>10982</v>
      </c>
      <c r="O93">
        <v>10982</v>
      </c>
      <c r="P93" t="s">
        <v>241</v>
      </c>
      <c r="Q93">
        <v>0</v>
      </c>
      <c r="R93">
        <v>5491</v>
      </c>
      <c r="S93">
        <v>5491</v>
      </c>
      <c r="T93" t="s">
        <v>240</v>
      </c>
      <c r="U93" t="s">
        <v>2991</v>
      </c>
      <c r="V93" t="str">
        <f t="shared" si="2"/>
        <v>Juntura SD 12</v>
      </c>
      <c r="W93" t="s">
        <v>2992</v>
      </c>
      <c r="X93" t="str">
        <f t="shared" si="3"/>
        <v>Juntura SD 12</v>
      </c>
    </row>
    <row r="94" spans="1:24" x14ac:dyDescent="0.35">
      <c r="A94" t="s">
        <v>114</v>
      </c>
      <c r="B94">
        <v>2057</v>
      </c>
      <c r="C94" t="s">
        <v>1777</v>
      </c>
      <c r="D94">
        <v>8516572.8100000042</v>
      </c>
      <c r="E94">
        <v>424592.41</v>
      </c>
      <c r="F94">
        <v>8941165.2200000044</v>
      </c>
      <c r="G94" t="s">
        <v>241</v>
      </c>
      <c r="H94">
        <v>7951.9820821662033</v>
      </c>
      <c r="I94">
        <v>396.444827264239</v>
      </c>
      <c r="J94">
        <v>8348.4269094304436</v>
      </c>
      <c r="K94" t="s">
        <v>240</v>
      </c>
      <c r="L94" t="s">
        <v>1534</v>
      </c>
      <c r="M94">
        <v>8568087.209999999</v>
      </c>
      <c r="N94">
        <v>253298.42</v>
      </c>
      <c r="O94">
        <v>8821385.629999999</v>
      </c>
      <c r="P94" t="s">
        <v>241</v>
      </c>
      <c r="Q94">
        <v>8842.1952631578934</v>
      </c>
      <c r="R94">
        <v>261.40187822497421</v>
      </c>
      <c r="S94">
        <v>9103.5971413828684</v>
      </c>
      <c r="T94" t="s">
        <v>241</v>
      </c>
      <c r="U94" t="s">
        <v>2991</v>
      </c>
      <c r="V94" t="str">
        <f t="shared" si="2"/>
        <v>Klamath County SD</v>
      </c>
      <c r="W94" t="s">
        <v>2992</v>
      </c>
      <c r="X94" t="str">
        <f t="shared" si="3"/>
        <v>Klamath County SD</v>
      </c>
    </row>
    <row r="95" spans="1:24" x14ac:dyDescent="0.35">
      <c r="A95" t="s">
        <v>115</v>
      </c>
      <c r="B95">
        <v>2056</v>
      </c>
      <c r="C95" t="s">
        <v>1777</v>
      </c>
      <c r="D95">
        <v>3575910.8000000007</v>
      </c>
      <c r="E95">
        <v>244829.65000000002</v>
      </c>
      <c r="F95">
        <v>3820740.4500000007</v>
      </c>
      <c r="G95" t="s">
        <v>241</v>
      </c>
      <c r="H95">
        <v>8374.4983606557398</v>
      </c>
      <c r="I95">
        <v>573.37154566744732</v>
      </c>
      <c r="J95">
        <v>8947.869906323187</v>
      </c>
      <c r="K95" t="s">
        <v>241</v>
      </c>
      <c r="L95" t="s">
        <v>1534</v>
      </c>
      <c r="M95">
        <v>3361796.1</v>
      </c>
      <c r="N95">
        <v>232617.83</v>
      </c>
      <c r="O95">
        <v>3594413.93</v>
      </c>
      <c r="P95" t="s">
        <v>241</v>
      </c>
      <c r="Q95">
        <v>7554.5979775280903</v>
      </c>
      <c r="R95">
        <v>522.7366966292135</v>
      </c>
      <c r="S95">
        <v>8077.3346741573041</v>
      </c>
      <c r="T95" t="s">
        <v>241</v>
      </c>
      <c r="U95" t="s">
        <v>2991</v>
      </c>
      <c r="V95" t="str">
        <f t="shared" si="2"/>
        <v>Klamath Falls City Schools</v>
      </c>
      <c r="W95" t="s">
        <v>2992</v>
      </c>
      <c r="X95" t="str">
        <f t="shared" si="3"/>
        <v>Klamath Falls City Schools</v>
      </c>
    </row>
    <row r="96" spans="1:24" x14ac:dyDescent="0.35">
      <c r="A96" t="s">
        <v>116</v>
      </c>
      <c r="B96">
        <v>2262</v>
      </c>
      <c r="C96" t="s">
        <v>1777</v>
      </c>
      <c r="D96">
        <v>1043011.9900000002</v>
      </c>
      <c r="E96">
        <v>58658</v>
      </c>
      <c r="F96">
        <v>1101669.9900000002</v>
      </c>
      <c r="G96" t="s">
        <v>241</v>
      </c>
      <c r="H96">
        <v>10326.851386138616</v>
      </c>
      <c r="I96">
        <v>580.77227722772273</v>
      </c>
      <c r="J96">
        <v>10907.623663366339</v>
      </c>
      <c r="K96" t="s">
        <v>241</v>
      </c>
      <c r="L96" t="s">
        <v>1534</v>
      </c>
      <c r="M96">
        <v>846464.69</v>
      </c>
      <c r="N96">
        <v>69159</v>
      </c>
      <c r="O96">
        <v>915623.69</v>
      </c>
      <c r="P96" t="s">
        <v>241</v>
      </c>
      <c r="Q96">
        <v>9618.9169318181812</v>
      </c>
      <c r="R96">
        <v>785.89772727272725</v>
      </c>
      <c r="S96">
        <v>10404.814659090909</v>
      </c>
      <c r="T96" t="s">
        <v>241</v>
      </c>
      <c r="U96" t="s">
        <v>2991</v>
      </c>
      <c r="V96" t="str">
        <f t="shared" si="2"/>
        <v>Knappa SD 4</v>
      </c>
      <c r="W96" t="s">
        <v>2992</v>
      </c>
      <c r="X96" t="str">
        <f t="shared" si="3"/>
        <v>Knappa SD 4</v>
      </c>
    </row>
    <row r="97" spans="1:24" x14ac:dyDescent="0.35">
      <c r="A97" t="s">
        <v>117</v>
      </c>
      <c r="B97">
        <v>2212</v>
      </c>
      <c r="C97" t="s">
        <v>1777</v>
      </c>
      <c r="D97">
        <v>3459589.85</v>
      </c>
      <c r="E97">
        <v>734880.44000000006</v>
      </c>
      <c r="F97">
        <v>4194470.29</v>
      </c>
      <c r="G97" t="s">
        <v>241</v>
      </c>
      <c r="H97">
        <v>9275.0398123324394</v>
      </c>
      <c r="I97">
        <v>1970.1888471849868</v>
      </c>
      <c r="J97">
        <v>11245.228659517426</v>
      </c>
      <c r="K97" t="s">
        <v>241</v>
      </c>
      <c r="L97" t="s">
        <v>1534</v>
      </c>
      <c r="M97">
        <v>3388490.9500000011</v>
      </c>
      <c r="N97">
        <v>727333.47</v>
      </c>
      <c r="O97">
        <v>4115824.4200000009</v>
      </c>
      <c r="P97" t="s">
        <v>241</v>
      </c>
      <c r="Q97">
        <v>8870.3951570680656</v>
      </c>
      <c r="R97">
        <v>1904.0143193717277</v>
      </c>
      <c r="S97">
        <v>10774.409476439792</v>
      </c>
      <c r="T97" t="s">
        <v>241</v>
      </c>
      <c r="U97" t="s">
        <v>2991</v>
      </c>
      <c r="V97" t="str">
        <f t="shared" si="2"/>
        <v>La Grande SD 1</v>
      </c>
      <c r="W97" t="s">
        <v>2992</v>
      </c>
      <c r="X97" t="str">
        <f t="shared" si="3"/>
        <v>La Grande SD 1</v>
      </c>
    </row>
    <row r="98" spans="1:24" x14ac:dyDescent="0.35">
      <c r="A98" t="s">
        <v>118</v>
      </c>
      <c r="B98">
        <v>2059</v>
      </c>
      <c r="C98" t="s">
        <v>1777</v>
      </c>
      <c r="D98">
        <v>774504.05</v>
      </c>
      <c r="E98">
        <v>313545.45999999996</v>
      </c>
      <c r="F98">
        <v>1088049.51</v>
      </c>
      <c r="G98" t="s">
        <v>241</v>
      </c>
      <c r="H98">
        <v>7306.6419811320757</v>
      </c>
      <c r="I98">
        <v>2957.9760377358489</v>
      </c>
      <c r="J98">
        <v>10264.618018867925</v>
      </c>
      <c r="K98" t="s">
        <v>240</v>
      </c>
      <c r="L98" t="s">
        <v>1534</v>
      </c>
      <c r="M98">
        <v>774044.34000000043</v>
      </c>
      <c r="N98">
        <v>290351.42</v>
      </c>
      <c r="O98">
        <v>1064395.7600000005</v>
      </c>
      <c r="P98" t="s">
        <v>2994</v>
      </c>
      <c r="Q98">
        <v>7740.4434000000047</v>
      </c>
      <c r="R98">
        <v>2903.5141999999996</v>
      </c>
      <c r="S98">
        <v>10643.957600000005</v>
      </c>
      <c r="T98" t="s">
        <v>240</v>
      </c>
      <c r="U98" t="s">
        <v>2991</v>
      </c>
      <c r="V98" t="str">
        <f t="shared" si="2"/>
        <v>Lake County SD 7</v>
      </c>
      <c r="W98" t="s">
        <v>2992</v>
      </c>
      <c r="X98" t="str">
        <f t="shared" si="3"/>
        <v>Lake County SD 7</v>
      </c>
    </row>
    <row r="99" spans="1:24" x14ac:dyDescent="0.35">
      <c r="A99" t="s">
        <v>119</v>
      </c>
      <c r="B99">
        <v>1923</v>
      </c>
      <c r="C99" t="s">
        <v>1777</v>
      </c>
      <c r="D99">
        <v>16226602.989999998</v>
      </c>
      <c r="E99">
        <v>265837</v>
      </c>
      <c r="F99">
        <v>16492439.989999998</v>
      </c>
      <c r="G99" t="s">
        <v>241</v>
      </c>
      <c r="H99">
        <v>22474.519376731299</v>
      </c>
      <c r="I99">
        <v>368.19529085872574</v>
      </c>
      <c r="J99">
        <v>22842.714667590026</v>
      </c>
      <c r="K99" t="s">
        <v>241</v>
      </c>
      <c r="L99" t="s">
        <v>1534</v>
      </c>
      <c r="M99">
        <v>13647680.549999995</v>
      </c>
      <c r="N99">
        <v>214028</v>
      </c>
      <c r="O99">
        <v>13861708.549999995</v>
      </c>
      <c r="P99" t="s">
        <v>2994</v>
      </c>
      <c r="Q99">
        <v>19722.081719653172</v>
      </c>
      <c r="R99">
        <v>309.28901734104045</v>
      </c>
      <c r="S99">
        <v>20031.370736994213</v>
      </c>
      <c r="T99" t="s">
        <v>2994</v>
      </c>
      <c r="U99" t="s">
        <v>2991</v>
      </c>
      <c r="V99" t="str">
        <f t="shared" si="2"/>
        <v>Lake Oswego SD 7J</v>
      </c>
      <c r="W99" t="s">
        <v>2992</v>
      </c>
      <c r="X99" t="str">
        <f t="shared" si="3"/>
        <v>Lake Oswego SD 7J</v>
      </c>
    </row>
    <row r="100" spans="1:24" x14ac:dyDescent="0.35">
      <c r="A100" t="s">
        <v>120</v>
      </c>
      <c r="B100">
        <v>2101</v>
      </c>
      <c r="C100" t="s">
        <v>1777</v>
      </c>
      <c r="D100">
        <v>6506926.0199999968</v>
      </c>
      <c r="E100">
        <v>789485</v>
      </c>
      <c r="F100">
        <v>7296411.0199999968</v>
      </c>
      <c r="G100" t="s">
        <v>241</v>
      </c>
      <c r="H100">
        <v>10010.65541538461</v>
      </c>
      <c r="I100">
        <v>1214.5923076923077</v>
      </c>
      <c r="J100">
        <v>11225.247723076918</v>
      </c>
      <c r="K100" t="s">
        <v>240</v>
      </c>
      <c r="L100" t="s">
        <v>1534</v>
      </c>
      <c r="M100">
        <v>6279791.2799999984</v>
      </c>
      <c r="N100">
        <v>824246</v>
      </c>
      <c r="O100">
        <v>7104037.2799999984</v>
      </c>
      <c r="P100" t="s">
        <v>2994</v>
      </c>
      <c r="Q100">
        <v>10625.70436548223</v>
      </c>
      <c r="R100">
        <v>1394.6632825719121</v>
      </c>
      <c r="S100">
        <v>12020.367648054144</v>
      </c>
      <c r="T100" t="s">
        <v>241</v>
      </c>
      <c r="U100" t="s">
        <v>2991</v>
      </c>
      <c r="V100" t="str">
        <f t="shared" si="2"/>
        <v>Lebanon Community SD 9</v>
      </c>
      <c r="W100" t="s">
        <v>2992</v>
      </c>
      <c r="X100" t="str">
        <f t="shared" si="3"/>
        <v>Lebanon Community SD 9</v>
      </c>
    </row>
    <row r="101" spans="1:24" x14ac:dyDescent="0.35">
      <c r="A101" t="s">
        <v>121</v>
      </c>
      <c r="B101">
        <v>2097</v>
      </c>
      <c r="C101" t="s">
        <v>1777</v>
      </c>
      <c r="D101">
        <v>8046538.1499999994</v>
      </c>
      <c r="E101">
        <v>1095975</v>
      </c>
      <c r="F101">
        <v>9142513.1499999985</v>
      </c>
      <c r="G101" t="s">
        <v>241</v>
      </c>
      <c r="H101">
        <v>10992.538456284152</v>
      </c>
      <c r="I101">
        <v>1497.233606557377</v>
      </c>
      <c r="J101">
        <v>12489.772062841528</v>
      </c>
      <c r="K101" t="s">
        <v>241</v>
      </c>
      <c r="L101" t="s">
        <v>1534</v>
      </c>
      <c r="M101">
        <v>7711711.2800000031</v>
      </c>
      <c r="N101">
        <v>1102723</v>
      </c>
      <c r="O101">
        <v>8814434.2800000031</v>
      </c>
      <c r="P101" t="s">
        <v>241</v>
      </c>
      <c r="Q101">
        <v>10254.935212765962</v>
      </c>
      <c r="R101">
        <v>1466.3869680851064</v>
      </c>
      <c r="S101">
        <v>11721.322180851068</v>
      </c>
      <c r="T101" t="s">
        <v>241</v>
      </c>
      <c r="U101" t="s">
        <v>2991</v>
      </c>
      <c r="V101" t="str">
        <f t="shared" si="2"/>
        <v>Lincoln County SD</v>
      </c>
      <c r="W101" t="s">
        <v>2992</v>
      </c>
      <c r="X101" t="str">
        <f t="shared" si="3"/>
        <v>Lincoln County SD</v>
      </c>
    </row>
    <row r="102" spans="1:24" x14ac:dyDescent="0.35">
      <c r="A102" t="s">
        <v>122</v>
      </c>
      <c r="B102">
        <v>2012</v>
      </c>
      <c r="C102" t="s">
        <v>1777</v>
      </c>
      <c r="D102">
        <v>10596.440000000002</v>
      </c>
      <c r="E102">
        <v>65773.399999999994</v>
      </c>
      <c r="F102">
        <v>76369.84</v>
      </c>
      <c r="G102" t="s">
        <v>241</v>
      </c>
      <c r="H102">
        <v>10596.440000000002</v>
      </c>
      <c r="I102">
        <v>65773.399999999994</v>
      </c>
      <c r="J102">
        <v>76369.84</v>
      </c>
      <c r="K102" t="s">
        <v>241</v>
      </c>
      <c r="L102" t="s">
        <v>1534</v>
      </c>
      <c r="M102">
        <v>11240.8</v>
      </c>
      <c r="N102">
        <v>63887.8</v>
      </c>
      <c r="O102">
        <v>75128.600000000006</v>
      </c>
      <c r="P102" t="s">
        <v>241</v>
      </c>
      <c r="Q102">
        <v>3746.9333333333329</v>
      </c>
      <c r="R102">
        <v>21295.933333333334</v>
      </c>
      <c r="S102">
        <v>25042.866666666669</v>
      </c>
      <c r="T102" t="s">
        <v>241</v>
      </c>
      <c r="U102" t="s">
        <v>2991</v>
      </c>
      <c r="V102" t="str">
        <f t="shared" si="2"/>
        <v>Long Creek SD 17</v>
      </c>
      <c r="W102" t="s">
        <v>2992</v>
      </c>
      <c r="X102" t="str">
        <f t="shared" si="3"/>
        <v>Long Creek SD 17</v>
      </c>
    </row>
    <row r="103" spans="1:24" x14ac:dyDescent="0.35">
      <c r="A103" t="s">
        <v>123</v>
      </c>
      <c r="B103">
        <v>2092</v>
      </c>
      <c r="C103" t="s">
        <v>1777</v>
      </c>
      <c r="D103">
        <v>417742.66000000009</v>
      </c>
      <c r="E103">
        <v>304314</v>
      </c>
      <c r="F103">
        <v>722056.66000000015</v>
      </c>
      <c r="G103" t="s">
        <v>241</v>
      </c>
      <c r="H103">
        <v>3368.8924193548396</v>
      </c>
      <c r="I103">
        <v>2454.1451612903224</v>
      </c>
      <c r="J103">
        <v>5823.0375806451621</v>
      </c>
      <c r="K103" t="s">
        <v>241</v>
      </c>
      <c r="L103" t="s">
        <v>1534</v>
      </c>
      <c r="M103">
        <v>503662.16999999993</v>
      </c>
      <c r="N103">
        <v>215100</v>
      </c>
      <c r="O103">
        <v>718762.16999999993</v>
      </c>
      <c r="P103" t="s">
        <v>2994</v>
      </c>
      <c r="Q103">
        <v>3874.3243846153841</v>
      </c>
      <c r="R103">
        <v>1654.6153846153845</v>
      </c>
      <c r="S103">
        <v>5528.9397692307684</v>
      </c>
      <c r="T103" t="s">
        <v>240</v>
      </c>
      <c r="U103" t="s">
        <v>2991</v>
      </c>
      <c r="V103" t="str">
        <f t="shared" si="2"/>
        <v>Lowell SD 71</v>
      </c>
      <c r="W103" t="s">
        <v>2992</v>
      </c>
      <c r="X103" t="str">
        <f t="shared" si="3"/>
        <v>Lowell SD 71</v>
      </c>
    </row>
    <row r="104" spans="1:24" x14ac:dyDescent="0.35">
      <c r="A104" t="s">
        <v>124</v>
      </c>
      <c r="B104">
        <v>2112</v>
      </c>
      <c r="C104" t="s">
        <v>1777</v>
      </c>
      <c r="D104">
        <v>0</v>
      </c>
      <c r="E104">
        <v>942.93999999999994</v>
      </c>
      <c r="F104">
        <v>942.93999999999994</v>
      </c>
      <c r="G104" t="s">
        <v>241</v>
      </c>
      <c r="H104">
        <v>0</v>
      </c>
      <c r="I104">
        <v>0</v>
      </c>
      <c r="J104">
        <v>0</v>
      </c>
      <c r="K104" t="s">
        <v>241</v>
      </c>
      <c r="L104" t="s">
        <v>1534</v>
      </c>
      <c r="M104">
        <v>0</v>
      </c>
      <c r="N104">
        <v>936.01</v>
      </c>
      <c r="O104">
        <v>936.01</v>
      </c>
      <c r="P104" t="s">
        <v>241</v>
      </c>
      <c r="Q104">
        <v>0</v>
      </c>
      <c r="R104">
        <v>0</v>
      </c>
      <c r="S104">
        <v>0</v>
      </c>
      <c r="T104" t="s">
        <v>241</v>
      </c>
      <c r="U104" t="s">
        <v>2991</v>
      </c>
      <c r="V104" t="str">
        <f t="shared" si="2"/>
        <v>Malheur County SD 51</v>
      </c>
      <c r="W104" t="s">
        <v>2992</v>
      </c>
      <c r="X104" t="str">
        <f t="shared" si="3"/>
        <v>Malheur County SD 51</v>
      </c>
    </row>
    <row r="105" spans="1:24" x14ac:dyDescent="0.35">
      <c r="A105" t="s">
        <v>125</v>
      </c>
      <c r="B105">
        <v>2085</v>
      </c>
      <c r="C105" t="s">
        <v>1777</v>
      </c>
      <c r="D105">
        <v>272329.63000000006</v>
      </c>
      <c r="E105">
        <v>45393</v>
      </c>
      <c r="F105">
        <v>317722.63000000006</v>
      </c>
      <c r="G105" t="s">
        <v>241</v>
      </c>
      <c r="H105">
        <v>15129.423888888892</v>
      </c>
      <c r="I105">
        <v>2521.8333333333335</v>
      </c>
      <c r="J105">
        <v>17651.257222222226</v>
      </c>
      <c r="K105" t="s">
        <v>241</v>
      </c>
      <c r="L105" t="s">
        <v>1534</v>
      </c>
      <c r="M105">
        <v>263412.2</v>
      </c>
      <c r="N105">
        <v>46587</v>
      </c>
      <c r="O105">
        <v>309999.2</v>
      </c>
      <c r="P105" t="s">
        <v>241</v>
      </c>
      <c r="Q105">
        <v>10131.238461538462</v>
      </c>
      <c r="R105">
        <v>1791.8076923076924</v>
      </c>
      <c r="S105">
        <v>11923.046153846155</v>
      </c>
      <c r="T105" t="s">
        <v>241</v>
      </c>
      <c r="U105" t="s">
        <v>2991</v>
      </c>
      <c r="V105" t="str">
        <f t="shared" si="2"/>
        <v>Mapleton SD 32</v>
      </c>
      <c r="W105" t="s">
        <v>2992</v>
      </c>
      <c r="X105" t="str">
        <f t="shared" si="3"/>
        <v>Mapleton SD 32</v>
      </c>
    </row>
    <row r="106" spans="1:24" x14ac:dyDescent="0.35">
      <c r="A106" t="s">
        <v>126</v>
      </c>
      <c r="B106">
        <v>2094</v>
      </c>
      <c r="C106" t="s">
        <v>1777</v>
      </c>
      <c r="D106">
        <v>475516.04999999993</v>
      </c>
      <c r="E106">
        <v>185101</v>
      </c>
      <c r="F106">
        <v>660617.04999999993</v>
      </c>
      <c r="G106" t="s">
        <v>2994</v>
      </c>
      <c r="H106">
        <v>5870.5685185185175</v>
      </c>
      <c r="I106">
        <v>2285.1975308641977</v>
      </c>
      <c r="J106">
        <v>8155.7660493827152</v>
      </c>
      <c r="K106" t="s">
        <v>240</v>
      </c>
      <c r="L106" t="s">
        <v>1534</v>
      </c>
      <c r="M106">
        <v>479919.23999999993</v>
      </c>
      <c r="N106">
        <v>180488</v>
      </c>
      <c r="O106">
        <v>660407.24</v>
      </c>
      <c r="P106" t="s">
        <v>241</v>
      </c>
      <c r="Q106">
        <v>6855.9891428571418</v>
      </c>
      <c r="R106">
        <v>2578.4</v>
      </c>
      <c r="S106">
        <v>9434.3891428571424</v>
      </c>
      <c r="T106" t="s">
        <v>240</v>
      </c>
      <c r="U106" t="s">
        <v>2991</v>
      </c>
      <c r="V106" t="str">
        <f t="shared" si="2"/>
        <v>Marcola SD 79J</v>
      </c>
      <c r="W106" t="s">
        <v>2992</v>
      </c>
      <c r="X106" t="str">
        <f t="shared" si="3"/>
        <v>Marcola SD 79J</v>
      </c>
    </row>
    <row r="107" spans="1:24" x14ac:dyDescent="0.35">
      <c r="A107" t="s">
        <v>127</v>
      </c>
      <c r="B107">
        <v>2090</v>
      </c>
      <c r="C107" t="s">
        <v>1777</v>
      </c>
      <c r="D107">
        <v>440737.58999999991</v>
      </c>
      <c r="E107">
        <v>50708</v>
      </c>
      <c r="F107">
        <v>491445.58999999991</v>
      </c>
      <c r="G107" t="s">
        <v>241</v>
      </c>
      <c r="H107">
        <v>16951.445769230766</v>
      </c>
      <c r="I107">
        <v>1950.3076923076924</v>
      </c>
      <c r="J107">
        <v>18901.753461538457</v>
      </c>
      <c r="K107" t="s">
        <v>241</v>
      </c>
      <c r="L107" t="s">
        <v>1534</v>
      </c>
      <c r="M107">
        <v>422573.44</v>
      </c>
      <c r="N107">
        <v>84331</v>
      </c>
      <c r="O107">
        <v>506904.44</v>
      </c>
      <c r="P107" t="s">
        <v>2994</v>
      </c>
      <c r="Q107">
        <v>12428.630588235294</v>
      </c>
      <c r="R107">
        <v>2480.3235294117649</v>
      </c>
      <c r="S107">
        <v>14908.954117647059</v>
      </c>
      <c r="T107" t="s">
        <v>2994</v>
      </c>
      <c r="U107" t="s">
        <v>2991</v>
      </c>
      <c r="V107" t="str">
        <f t="shared" si="2"/>
        <v>McKenzie SD 68</v>
      </c>
      <c r="W107" t="s">
        <v>2992</v>
      </c>
      <c r="X107" t="str">
        <f t="shared" si="3"/>
        <v>McKenzie SD 68</v>
      </c>
    </row>
    <row r="108" spans="1:24" x14ac:dyDescent="0.35">
      <c r="A108" t="s">
        <v>128</v>
      </c>
      <c r="B108">
        <v>2256</v>
      </c>
      <c r="C108" t="s">
        <v>1777</v>
      </c>
      <c r="D108">
        <v>8461902.2799999975</v>
      </c>
      <c r="E108">
        <v>486311.97</v>
      </c>
      <c r="F108">
        <v>8948214.2499999981</v>
      </c>
      <c r="G108" t="s">
        <v>241</v>
      </c>
      <c r="H108">
        <v>9748.7353456221172</v>
      </c>
      <c r="I108">
        <v>560.26724654377881</v>
      </c>
      <c r="J108">
        <v>10309.002592165896</v>
      </c>
      <c r="K108" t="s">
        <v>241</v>
      </c>
      <c r="L108" t="s">
        <v>1534</v>
      </c>
      <c r="M108">
        <v>8017492.3299999973</v>
      </c>
      <c r="N108">
        <v>475524.6</v>
      </c>
      <c r="O108">
        <v>8493016.9299999978</v>
      </c>
      <c r="P108" t="s">
        <v>241</v>
      </c>
      <c r="Q108">
        <v>9454.5900117924502</v>
      </c>
      <c r="R108">
        <v>560.76014150943388</v>
      </c>
      <c r="S108">
        <v>10015.350153301884</v>
      </c>
      <c r="T108" t="s">
        <v>241</v>
      </c>
      <c r="U108" t="s">
        <v>2991</v>
      </c>
      <c r="V108" t="str">
        <f t="shared" si="2"/>
        <v>McMinnville SD 40</v>
      </c>
      <c r="W108" t="s">
        <v>2992</v>
      </c>
      <c r="X108" t="str">
        <f t="shared" si="3"/>
        <v>McMinnville SD 40</v>
      </c>
    </row>
    <row r="109" spans="1:24" x14ac:dyDescent="0.35">
      <c r="A109" t="s">
        <v>129</v>
      </c>
      <c r="B109">
        <v>2048</v>
      </c>
      <c r="C109" t="s">
        <v>1777</v>
      </c>
      <c r="D109">
        <v>20239174.839999996</v>
      </c>
      <c r="E109">
        <v>1612809.17</v>
      </c>
      <c r="F109">
        <v>21851984.009999998</v>
      </c>
      <c r="G109" t="s">
        <v>241</v>
      </c>
      <c r="H109">
        <v>9426.7232603632965</v>
      </c>
      <c r="I109">
        <v>751.19197484862593</v>
      </c>
      <c r="J109">
        <v>10177.915235211922</v>
      </c>
      <c r="K109" t="s">
        <v>241</v>
      </c>
      <c r="L109" t="s">
        <v>1534</v>
      </c>
      <c r="M109">
        <v>18166878.530000001</v>
      </c>
      <c r="N109">
        <v>1470041.33</v>
      </c>
      <c r="O109">
        <v>19636919.859999999</v>
      </c>
      <c r="P109" t="s">
        <v>241</v>
      </c>
      <c r="Q109">
        <v>8585.4813468809079</v>
      </c>
      <c r="R109">
        <v>694.72652646502843</v>
      </c>
      <c r="S109">
        <v>9280.2078733459348</v>
      </c>
      <c r="T109" t="s">
        <v>241</v>
      </c>
      <c r="U109" t="s">
        <v>2991</v>
      </c>
      <c r="V109" t="str">
        <f t="shared" si="2"/>
        <v>Medford SD 549C</v>
      </c>
      <c r="W109" t="s">
        <v>2992</v>
      </c>
      <c r="X109" t="str">
        <f t="shared" si="3"/>
        <v>Medford SD 549C</v>
      </c>
    </row>
    <row r="110" spans="1:24" x14ac:dyDescent="0.35">
      <c r="A110" t="s">
        <v>130</v>
      </c>
      <c r="B110">
        <v>2205</v>
      </c>
      <c r="C110" t="s">
        <v>1777</v>
      </c>
      <c r="D110">
        <v>2066849.2799999998</v>
      </c>
      <c r="E110">
        <v>429900.69</v>
      </c>
      <c r="F110">
        <v>2496749.9699999997</v>
      </c>
      <c r="G110" t="s">
        <v>241</v>
      </c>
      <c r="H110">
        <v>8870.5977682403427</v>
      </c>
      <c r="I110">
        <v>1845.067339055794</v>
      </c>
      <c r="J110">
        <v>10715.665107296136</v>
      </c>
      <c r="K110" t="s">
        <v>240</v>
      </c>
      <c r="L110" t="s">
        <v>1534</v>
      </c>
      <c r="M110">
        <v>2081749.8500000003</v>
      </c>
      <c r="N110">
        <v>417418.35</v>
      </c>
      <c r="O110">
        <v>2499168.2000000002</v>
      </c>
      <c r="P110" t="s">
        <v>241</v>
      </c>
      <c r="Q110">
        <v>9593.3172811059922</v>
      </c>
      <c r="R110">
        <v>1923.586866359447</v>
      </c>
      <c r="S110">
        <v>11516.904147465439</v>
      </c>
      <c r="T110" t="s">
        <v>241</v>
      </c>
      <c r="U110" t="s">
        <v>2991</v>
      </c>
      <c r="V110" t="str">
        <f t="shared" si="2"/>
        <v>Milton-Freewater Unified SD 7</v>
      </c>
      <c r="W110" t="s">
        <v>2992</v>
      </c>
      <c r="X110" t="str">
        <f t="shared" si="3"/>
        <v>Milton-Freewater Unified SD 7</v>
      </c>
    </row>
    <row r="111" spans="1:24" x14ac:dyDescent="0.35">
      <c r="A111" t="s">
        <v>131</v>
      </c>
      <c r="B111">
        <v>2249</v>
      </c>
      <c r="C111" t="s">
        <v>1777</v>
      </c>
      <c r="D111">
        <v>23641.35</v>
      </c>
      <c r="E111">
        <v>71067</v>
      </c>
      <c r="F111">
        <v>94708.35</v>
      </c>
      <c r="G111" t="s">
        <v>241</v>
      </c>
      <c r="H111">
        <v>135.09342857142857</v>
      </c>
      <c r="I111">
        <v>406.09714285714284</v>
      </c>
      <c r="J111">
        <v>541.1905714285715</v>
      </c>
      <c r="K111" t="s">
        <v>241</v>
      </c>
      <c r="L111" t="s">
        <v>1534</v>
      </c>
      <c r="M111">
        <v>42366.46</v>
      </c>
      <c r="N111">
        <v>52022</v>
      </c>
      <c r="O111">
        <v>94388.459999999992</v>
      </c>
      <c r="P111" t="s">
        <v>241</v>
      </c>
      <c r="Q111">
        <v>203.68490384615384</v>
      </c>
      <c r="R111">
        <v>250.10576923076923</v>
      </c>
      <c r="S111">
        <v>453.79067307692304</v>
      </c>
      <c r="T111" t="s">
        <v>240</v>
      </c>
      <c r="U111" t="s">
        <v>2991</v>
      </c>
      <c r="V111" t="str">
        <f t="shared" si="2"/>
        <v>Mitchell SD 55</v>
      </c>
      <c r="W111" t="s">
        <v>2992</v>
      </c>
      <c r="X111" t="str">
        <f t="shared" si="3"/>
        <v>Mitchell SD 55</v>
      </c>
    </row>
    <row r="112" spans="1:24" x14ac:dyDescent="0.35">
      <c r="A112" t="s">
        <v>132</v>
      </c>
      <c r="B112">
        <v>1925</v>
      </c>
      <c r="C112" t="s">
        <v>1777</v>
      </c>
      <c r="D112">
        <v>4745928</v>
      </c>
      <c r="E112">
        <v>503132</v>
      </c>
      <c r="F112">
        <v>5249060</v>
      </c>
      <c r="G112" t="s">
        <v>241</v>
      </c>
      <c r="H112">
        <v>11864.82</v>
      </c>
      <c r="I112">
        <v>1257.83</v>
      </c>
      <c r="J112">
        <v>13122.65</v>
      </c>
      <c r="K112" t="s">
        <v>241</v>
      </c>
      <c r="L112" t="s">
        <v>1534</v>
      </c>
      <c r="M112">
        <v>3946221.2400000007</v>
      </c>
      <c r="N112">
        <v>387748</v>
      </c>
      <c r="O112">
        <v>4333969.24</v>
      </c>
      <c r="P112" t="s">
        <v>2994</v>
      </c>
      <c r="Q112">
        <v>10196.954108527134</v>
      </c>
      <c r="R112">
        <v>1001.9328165374677</v>
      </c>
      <c r="S112">
        <v>11198.8869250646</v>
      </c>
      <c r="T112" t="s">
        <v>241</v>
      </c>
      <c r="U112" t="s">
        <v>2991</v>
      </c>
      <c r="V112" t="str">
        <f t="shared" si="2"/>
        <v>Molalla River SD 35</v>
      </c>
      <c r="W112" t="s">
        <v>2992</v>
      </c>
      <c r="X112" t="str">
        <f t="shared" si="3"/>
        <v>Molalla River SD 35</v>
      </c>
    </row>
    <row r="113" spans="1:24" x14ac:dyDescent="0.35">
      <c r="A113" t="s">
        <v>133</v>
      </c>
      <c r="B113">
        <v>1898</v>
      </c>
      <c r="C113" t="s">
        <v>1777</v>
      </c>
      <c r="D113">
        <v>592865.2999999997</v>
      </c>
      <c r="E113">
        <v>58422</v>
      </c>
      <c r="F113">
        <v>651287.2999999997</v>
      </c>
      <c r="G113" t="s">
        <v>241</v>
      </c>
      <c r="H113">
        <v>14460.129268292676</v>
      </c>
      <c r="I113">
        <v>1424.9268292682927</v>
      </c>
      <c r="J113">
        <v>15885.056097560968</v>
      </c>
      <c r="K113" t="s">
        <v>241</v>
      </c>
      <c r="L113" t="s">
        <v>1534</v>
      </c>
      <c r="M113">
        <v>547479.36</v>
      </c>
      <c r="N113">
        <v>66984</v>
      </c>
      <c r="O113">
        <v>614463.36</v>
      </c>
      <c r="P113" t="s">
        <v>2994</v>
      </c>
      <c r="Q113">
        <v>11648.497021276595</v>
      </c>
      <c r="R113">
        <v>1425.1914893617022</v>
      </c>
      <c r="S113">
        <v>13073.688510638298</v>
      </c>
      <c r="T113" t="s">
        <v>2994</v>
      </c>
      <c r="U113" t="s">
        <v>2991</v>
      </c>
      <c r="V113" t="str">
        <f t="shared" si="2"/>
        <v>Monroe SD 1J</v>
      </c>
      <c r="W113" t="s">
        <v>2992</v>
      </c>
      <c r="X113" t="str">
        <f t="shared" si="3"/>
        <v>Monroe SD 1J</v>
      </c>
    </row>
    <row r="114" spans="1:24" x14ac:dyDescent="0.35">
      <c r="A114" t="s">
        <v>134</v>
      </c>
      <c r="B114">
        <v>2010</v>
      </c>
      <c r="C114" t="s">
        <v>1777</v>
      </c>
      <c r="D114">
        <v>850</v>
      </c>
      <c r="E114">
        <v>66840.399999999994</v>
      </c>
      <c r="F114">
        <v>67690.399999999994</v>
      </c>
      <c r="G114" t="s">
        <v>2994</v>
      </c>
      <c r="H114">
        <v>94.444444444444443</v>
      </c>
      <c r="I114">
        <v>7426.7111111111108</v>
      </c>
      <c r="J114">
        <v>7521.1555555555551</v>
      </c>
      <c r="K114" t="s">
        <v>240</v>
      </c>
      <c r="L114" t="s">
        <v>1534</v>
      </c>
      <c r="M114">
        <v>0</v>
      </c>
      <c r="N114">
        <v>64390.759999999995</v>
      </c>
      <c r="O114">
        <v>64390.759999999995</v>
      </c>
      <c r="P114" t="s">
        <v>241</v>
      </c>
      <c r="Q114">
        <v>0</v>
      </c>
      <c r="R114">
        <v>9198.6799999999985</v>
      </c>
      <c r="S114">
        <v>9198.6799999999985</v>
      </c>
      <c r="T114" t="s">
        <v>241</v>
      </c>
      <c r="U114" t="s">
        <v>2991</v>
      </c>
      <c r="V114" t="str">
        <f t="shared" si="2"/>
        <v>Monument SD 8</v>
      </c>
      <c r="W114" t="s">
        <v>2992</v>
      </c>
      <c r="X114" t="str">
        <f t="shared" si="3"/>
        <v>Monument SD 8</v>
      </c>
    </row>
    <row r="115" spans="1:24" x14ac:dyDescent="0.35">
      <c r="A115" t="s">
        <v>135</v>
      </c>
      <c r="B115">
        <v>2147</v>
      </c>
      <c r="C115" t="s">
        <v>1777</v>
      </c>
      <c r="D115">
        <v>1753609.8199999996</v>
      </c>
      <c r="E115">
        <v>668837.49</v>
      </c>
      <c r="F115">
        <v>2422447.3099999996</v>
      </c>
      <c r="G115" t="s">
        <v>241</v>
      </c>
      <c r="H115">
        <v>4898.3514525139653</v>
      </c>
      <c r="I115">
        <v>1868.2611452513966</v>
      </c>
      <c r="J115">
        <v>6766.6125977653619</v>
      </c>
      <c r="K115" t="s">
        <v>240</v>
      </c>
      <c r="L115" t="s">
        <v>1534</v>
      </c>
      <c r="M115">
        <v>1808507.0700000005</v>
      </c>
      <c r="N115">
        <v>642857.5</v>
      </c>
      <c r="O115">
        <v>2451364.5700000003</v>
      </c>
      <c r="P115" t="s">
        <v>2994</v>
      </c>
      <c r="Q115">
        <v>5242.0494782608712</v>
      </c>
      <c r="R115">
        <v>1863.355072463768</v>
      </c>
      <c r="S115">
        <v>7105.4045507246383</v>
      </c>
      <c r="T115" t="s">
        <v>240</v>
      </c>
      <c r="U115" t="s">
        <v>2991</v>
      </c>
      <c r="V115" t="str">
        <f t="shared" si="2"/>
        <v>Morrow SD 1</v>
      </c>
      <c r="W115" t="s">
        <v>2992</v>
      </c>
      <c r="X115" t="str">
        <f t="shared" si="3"/>
        <v>Morrow SD 1</v>
      </c>
    </row>
    <row r="116" spans="1:24" x14ac:dyDescent="0.35">
      <c r="A116" t="s">
        <v>136</v>
      </c>
      <c r="B116">
        <v>2145</v>
      </c>
      <c r="C116" t="s">
        <v>1777</v>
      </c>
      <c r="D116">
        <v>524206.08000000013</v>
      </c>
      <c r="E116">
        <v>159506.88</v>
      </c>
      <c r="F116">
        <v>683712.9600000002</v>
      </c>
      <c r="G116" t="s">
        <v>241</v>
      </c>
      <c r="H116">
        <v>6392.7570731707337</v>
      </c>
      <c r="I116">
        <v>1945.2058536585366</v>
      </c>
      <c r="J116">
        <v>8337.9629268292701</v>
      </c>
      <c r="K116" t="s">
        <v>241</v>
      </c>
      <c r="L116" t="s">
        <v>1534</v>
      </c>
      <c r="M116">
        <v>516488.62000000005</v>
      </c>
      <c r="N116">
        <v>132234.79</v>
      </c>
      <c r="O116">
        <v>648723.41</v>
      </c>
      <c r="P116" t="s">
        <v>241</v>
      </c>
      <c r="Q116">
        <v>5270.2920408163272</v>
      </c>
      <c r="R116">
        <v>1349.3345918367347</v>
      </c>
      <c r="S116">
        <v>6619.6266326530613</v>
      </c>
      <c r="T116" t="s">
        <v>240</v>
      </c>
      <c r="U116" t="s">
        <v>2991</v>
      </c>
      <c r="V116" t="str">
        <f t="shared" si="2"/>
        <v>Mt Angel SD 91</v>
      </c>
      <c r="W116" t="s">
        <v>2992</v>
      </c>
      <c r="X116" t="str">
        <f t="shared" si="3"/>
        <v>Mt Angel SD 91</v>
      </c>
    </row>
    <row r="117" spans="1:24" x14ac:dyDescent="0.35">
      <c r="A117" t="s">
        <v>137</v>
      </c>
      <c r="B117">
        <v>1968</v>
      </c>
      <c r="C117" t="s">
        <v>1777</v>
      </c>
      <c r="D117">
        <v>570197.77</v>
      </c>
      <c r="E117">
        <v>196917</v>
      </c>
      <c r="F117">
        <v>767114.77</v>
      </c>
      <c r="G117" t="s">
        <v>2994</v>
      </c>
      <c r="H117">
        <v>8263.7357971014499</v>
      </c>
      <c r="I117">
        <v>2853.8695652173915</v>
      </c>
      <c r="J117">
        <v>11117.60536231884</v>
      </c>
      <c r="K117" t="s">
        <v>241</v>
      </c>
      <c r="L117" t="s">
        <v>1534</v>
      </c>
      <c r="M117">
        <v>536516.1399999999</v>
      </c>
      <c r="N117">
        <v>218923.17000000004</v>
      </c>
      <c r="O117">
        <v>755439.30999999994</v>
      </c>
      <c r="P117" t="s">
        <v>241</v>
      </c>
      <c r="Q117">
        <v>7556.5653521126742</v>
      </c>
      <c r="R117">
        <v>3083.4249295774653</v>
      </c>
      <c r="S117">
        <v>10639.990281690139</v>
      </c>
      <c r="T117" t="s">
        <v>241</v>
      </c>
      <c r="U117" t="s">
        <v>2991</v>
      </c>
      <c r="V117" t="str">
        <f t="shared" si="2"/>
        <v>Myrtle Point SD 41</v>
      </c>
      <c r="W117" t="s">
        <v>2992</v>
      </c>
      <c r="X117" t="str">
        <f t="shared" si="3"/>
        <v>Myrtle Point SD 41</v>
      </c>
    </row>
    <row r="118" spans="1:24" x14ac:dyDescent="0.35">
      <c r="A118" t="s">
        <v>138</v>
      </c>
      <c r="B118">
        <v>2198</v>
      </c>
      <c r="C118" t="s">
        <v>1777</v>
      </c>
      <c r="D118">
        <v>1789189</v>
      </c>
      <c r="E118">
        <v>279020</v>
      </c>
      <c r="F118">
        <v>2068209</v>
      </c>
      <c r="G118" t="s">
        <v>241</v>
      </c>
      <c r="H118">
        <v>17891.89</v>
      </c>
      <c r="I118">
        <v>2790.2</v>
      </c>
      <c r="J118">
        <v>20682.09</v>
      </c>
      <c r="K118" t="s">
        <v>241</v>
      </c>
      <c r="L118" t="s">
        <v>1534</v>
      </c>
      <c r="M118">
        <v>1779992.2600000005</v>
      </c>
      <c r="N118">
        <v>313377</v>
      </c>
      <c r="O118">
        <v>2093369.2600000005</v>
      </c>
      <c r="P118" t="s">
        <v>2994</v>
      </c>
      <c r="Q118">
        <v>17450.904509803928</v>
      </c>
      <c r="R118">
        <v>3072.3235294117649</v>
      </c>
      <c r="S118">
        <v>20523.22803921569</v>
      </c>
      <c r="T118" t="s">
        <v>241</v>
      </c>
      <c r="U118" t="s">
        <v>2991</v>
      </c>
      <c r="V118" t="str">
        <f t="shared" si="2"/>
        <v>Neah-Kah-Nie SD 56</v>
      </c>
      <c r="W118" t="s">
        <v>2992</v>
      </c>
      <c r="X118" t="str">
        <f t="shared" si="3"/>
        <v>Neah-Kah-Nie SD 56</v>
      </c>
    </row>
    <row r="119" spans="1:24" x14ac:dyDescent="0.35">
      <c r="A119" t="s">
        <v>139</v>
      </c>
      <c r="B119">
        <v>2199</v>
      </c>
      <c r="C119" t="s">
        <v>1777</v>
      </c>
      <c r="D119">
        <v>858134.88000000012</v>
      </c>
      <c r="E119">
        <v>178051</v>
      </c>
      <c r="F119">
        <v>1036185.8800000001</v>
      </c>
      <c r="G119" t="s">
        <v>241</v>
      </c>
      <c r="H119">
        <v>12259.069714285715</v>
      </c>
      <c r="I119">
        <v>2543.5857142857144</v>
      </c>
      <c r="J119">
        <v>14802.65542857143</v>
      </c>
      <c r="K119" t="s">
        <v>241</v>
      </c>
      <c r="L119" t="s">
        <v>1534</v>
      </c>
      <c r="M119">
        <v>837100.92</v>
      </c>
      <c r="N119">
        <v>198813</v>
      </c>
      <c r="O119">
        <v>1035913.92</v>
      </c>
      <c r="P119" t="s">
        <v>241</v>
      </c>
      <c r="Q119">
        <v>9965.4871428571441</v>
      </c>
      <c r="R119">
        <v>2366.8214285714284</v>
      </c>
      <c r="S119">
        <v>12332.308571428572</v>
      </c>
      <c r="T119" t="s">
        <v>240</v>
      </c>
      <c r="U119" t="s">
        <v>2991</v>
      </c>
      <c r="V119" t="str">
        <f t="shared" si="2"/>
        <v>Nestucca Valley SD 101J</v>
      </c>
      <c r="W119" t="s">
        <v>2992</v>
      </c>
      <c r="X119" t="str">
        <f t="shared" si="3"/>
        <v>Nestucca Valley SD 101J</v>
      </c>
    </row>
    <row r="120" spans="1:24" x14ac:dyDescent="0.35">
      <c r="A120" t="s">
        <v>140</v>
      </c>
      <c r="B120">
        <v>2254</v>
      </c>
      <c r="C120" t="s">
        <v>1777</v>
      </c>
      <c r="D120">
        <v>8016907.2999999961</v>
      </c>
      <c r="E120">
        <v>0</v>
      </c>
      <c r="F120">
        <v>8016907.2999999961</v>
      </c>
      <c r="G120" t="s">
        <v>241</v>
      </c>
      <c r="H120">
        <v>12352.707704160241</v>
      </c>
      <c r="I120">
        <v>0</v>
      </c>
      <c r="J120">
        <v>12352.707704160241</v>
      </c>
      <c r="K120" t="s">
        <v>241</v>
      </c>
      <c r="L120" t="s">
        <v>1534</v>
      </c>
      <c r="M120">
        <v>7784024.3800000018</v>
      </c>
      <c r="N120">
        <v>194055</v>
      </c>
      <c r="O120">
        <v>7978079.3800000018</v>
      </c>
      <c r="P120" t="s">
        <v>2994</v>
      </c>
      <c r="Q120">
        <v>11938.687699386506</v>
      </c>
      <c r="R120">
        <v>297.63036809815952</v>
      </c>
      <c r="S120">
        <v>12236.318067484664</v>
      </c>
      <c r="T120" t="s">
        <v>241</v>
      </c>
      <c r="U120" t="s">
        <v>2991</v>
      </c>
      <c r="V120" t="str">
        <f t="shared" si="2"/>
        <v>Newberg SD 29J</v>
      </c>
      <c r="W120" t="s">
        <v>2992</v>
      </c>
      <c r="X120" t="str">
        <f t="shared" si="3"/>
        <v>Newberg SD 29J</v>
      </c>
    </row>
    <row r="121" spans="1:24" x14ac:dyDescent="0.35">
      <c r="A121" t="s">
        <v>141</v>
      </c>
      <c r="B121">
        <v>1966</v>
      </c>
      <c r="C121" t="s">
        <v>1777</v>
      </c>
      <c r="D121">
        <v>5179425.1799999988</v>
      </c>
      <c r="E121">
        <v>1077933</v>
      </c>
      <c r="F121">
        <v>6257358.1799999988</v>
      </c>
      <c r="G121" t="s">
        <v>241</v>
      </c>
      <c r="H121">
        <v>8763.8327918781706</v>
      </c>
      <c r="I121">
        <v>1823.9137055837564</v>
      </c>
      <c r="J121">
        <v>10587.746497461927</v>
      </c>
      <c r="K121" t="s">
        <v>241</v>
      </c>
      <c r="L121" t="s">
        <v>1534</v>
      </c>
      <c r="M121">
        <v>3874358.9100000006</v>
      </c>
      <c r="N121">
        <v>939828.32</v>
      </c>
      <c r="O121">
        <v>4814187.2300000004</v>
      </c>
      <c r="P121" t="s">
        <v>240</v>
      </c>
      <c r="Q121">
        <v>5534.7984428571435</v>
      </c>
      <c r="R121">
        <v>1342.6118857142856</v>
      </c>
      <c r="S121">
        <v>6877.4103285714291</v>
      </c>
      <c r="T121" t="s">
        <v>240</v>
      </c>
      <c r="U121" t="s">
        <v>2991</v>
      </c>
      <c r="V121" t="str">
        <f t="shared" si="2"/>
        <v>North Bend SD 13</v>
      </c>
      <c r="W121" t="s">
        <v>2992</v>
      </c>
      <c r="X121" t="str">
        <f t="shared" si="3"/>
        <v>North Bend SD 13</v>
      </c>
    </row>
    <row r="122" spans="1:24" x14ac:dyDescent="0.35">
      <c r="A122" t="s">
        <v>142</v>
      </c>
      <c r="B122">
        <v>1924</v>
      </c>
      <c r="C122" t="s">
        <v>1777</v>
      </c>
      <c r="D122">
        <v>32392394.170000013</v>
      </c>
      <c r="E122">
        <v>2634358</v>
      </c>
      <c r="F122">
        <v>35026752.170000017</v>
      </c>
      <c r="G122" t="s">
        <v>241</v>
      </c>
      <c r="H122">
        <v>12545.466371030214</v>
      </c>
      <c r="I122">
        <v>1020.2780790085205</v>
      </c>
      <c r="J122">
        <v>13565.744450038736</v>
      </c>
      <c r="K122" t="s">
        <v>241</v>
      </c>
      <c r="L122" t="s">
        <v>1534</v>
      </c>
      <c r="M122">
        <v>26508893.330000013</v>
      </c>
      <c r="N122">
        <v>2336734</v>
      </c>
      <c r="O122">
        <v>28845627.330000013</v>
      </c>
      <c r="P122" t="s">
        <v>240</v>
      </c>
      <c r="Q122">
        <v>9821.7463245646577</v>
      </c>
      <c r="R122">
        <v>865.77769544275657</v>
      </c>
      <c r="S122">
        <v>10687.524020007415</v>
      </c>
      <c r="T122" t="s">
        <v>2994</v>
      </c>
      <c r="U122" t="s">
        <v>2991</v>
      </c>
      <c r="V122" t="str">
        <f t="shared" si="2"/>
        <v>North Clackamas SD 12</v>
      </c>
      <c r="W122" t="s">
        <v>2992</v>
      </c>
      <c r="X122" t="str">
        <f t="shared" si="3"/>
        <v>North Clackamas SD 12</v>
      </c>
    </row>
    <row r="123" spans="1:24" x14ac:dyDescent="0.35">
      <c r="A123" t="s">
        <v>143</v>
      </c>
      <c r="B123">
        <v>1996</v>
      </c>
      <c r="C123" t="s">
        <v>1777</v>
      </c>
      <c r="D123">
        <v>434423.78</v>
      </c>
      <c r="E123">
        <v>74504.209999999992</v>
      </c>
      <c r="F123">
        <v>508927.99</v>
      </c>
      <c r="G123" t="s">
        <v>241</v>
      </c>
      <c r="H123">
        <v>7898.6141818181823</v>
      </c>
      <c r="I123">
        <v>1354.6219999999998</v>
      </c>
      <c r="J123">
        <v>9253.2361818181816</v>
      </c>
      <c r="K123" t="s">
        <v>240</v>
      </c>
      <c r="L123" t="s">
        <v>1534</v>
      </c>
      <c r="M123">
        <v>394576.95999999996</v>
      </c>
      <c r="N123">
        <v>58301.760000000002</v>
      </c>
      <c r="O123">
        <v>452878.72</v>
      </c>
      <c r="P123" t="s">
        <v>240</v>
      </c>
      <c r="Q123">
        <v>10117.357948717949</v>
      </c>
      <c r="R123">
        <v>1494.9169230769232</v>
      </c>
      <c r="S123">
        <v>11612.274871794871</v>
      </c>
      <c r="T123" t="s">
        <v>2994</v>
      </c>
      <c r="U123" t="s">
        <v>2991</v>
      </c>
      <c r="V123" t="str">
        <f t="shared" si="2"/>
        <v>North Douglas SD 22</v>
      </c>
      <c r="W123" t="s">
        <v>2992</v>
      </c>
      <c r="X123" t="str">
        <f t="shared" si="3"/>
        <v>North Douglas SD 22</v>
      </c>
    </row>
    <row r="124" spans="1:24" x14ac:dyDescent="0.35">
      <c r="A124" t="s">
        <v>144</v>
      </c>
      <c r="B124">
        <v>2061</v>
      </c>
      <c r="C124" t="s">
        <v>1777</v>
      </c>
      <c r="D124">
        <v>341622.70999999996</v>
      </c>
      <c r="E124">
        <v>230618.86</v>
      </c>
      <c r="F124">
        <v>572241.56999999995</v>
      </c>
      <c r="G124" t="s">
        <v>241</v>
      </c>
      <c r="H124">
        <v>5337.8548437499994</v>
      </c>
      <c r="I124">
        <v>3603.4196874999998</v>
      </c>
      <c r="J124">
        <v>8941.2745312499992</v>
      </c>
      <c r="K124" t="s">
        <v>241</v>
      </c>
      <c r="L124" t="s">
        <v>1534</v>
      </c>
      <c r="M124">
        <v>284731.45000000007</v>
      </c>
      <c r="N124">
        <v>130610.31999999999</v>
      </c>
      <c r="O124">
        <v>415341.77000000008</v>
      </c>
      <c r="P124" t="s">
        <v>241</v>
      </c>
      <c r="Q124">
        <v>5372.2915094339633</v>
      </c>
      <c r="R124">
        <v>2464.3456603773584</v>
      </c>
      <c r="S124">
        <v>7836.6371698113226</v>
      </c>
      <c r="T124" t="s">
        <v>241</v>
      </c>
      <c r="U124" t="s">
        <v>2991</v>
      </c>
      <c r="V124" t="str">
        <f t="shared" si="2"/>
        <v>North Lake SD 14</v>
      </c>
      <c r="W124" t="s">
        <v>2992</v>
      </c>
      <c r="X124" t="str">
        <f t="shared" si="3"/>
        <v>North Lake SD 14</v>
      </c>
    </row>
    <row r="125" spans="1:24" x14ac:dyDescent="0.35">
      <c r="A125" t="s">
        <v>145</v>
      </c>
      <c r="B125">
        <v>2141</v>
      </c>
      <c r="C125" t="s">
        <v>1777</v>
      </c>
      <c r="D125">
        <v>2823001.7800000003</v>
      </c>
      <c r="E125">
        <v>564413.5</v>
      </c>
      <c r="F125">
        <v>3387415.2800000003</v>
      </c>
      <c r="G125" t="s">
        <v>241</v>
      </c>
      <c r="H125">
        <v>9286.1900657894748</v>
      </c>
      <c r="I125">
        <v>1856.6233552631579</v>
      </c>
      <c r="J125">
        <v>11142.813421052633</v>
      </c>
      <c r="K125" t="s">
        <v>240</v>
      </c>
      <c r="L125" t="s">
        <v>1534</v>
      </c>
      <c r="M125">
        <v>2806249.3300000005</v>
      </c>
      <c r="N125">
        <v>504839.51</v>
      </c>
      <c r="O125">
        <v>3311088.8400000008</v>
      </c>
      <c r="P125" t="s">
        <v>241</v>
      </c>
      <c r="Q125">
        <v>9710.2052941176498</v>
      </c>
      <c r="R125">
        <v>1746.8495155709343</v>
      </c>
      <c r="S125">
        <v>11457.054809688583</v>
      </c>
      <c r="T125" t="s">
        <v>241</v>
      </c>
      <c r="U125" t="s">
        <v>2991</v>
      </c>
      <c r="V125" t="str">
        <f t="shared" si="2"/>
        <v>North Marion SD 15</v>
      </c>
      <c r="W125" t="s">
        <v>2992</v>
      </c>
      <c r="X125" t="str">
        <f t="shared" si="3"/>
        <v>North Marion SD 15</v>
      </c>
    </row>
    <row r="126" spans="1:24" x14ac:dyDescent="0.35">
      <c r="A126" t="s">
        <v>146</v>
      </c>
      <c r="B126">
        <v>2214</v>
      </c>
      <c r="C126" t="s">
        <v>1777</v>
      </c>
      <c r="D126">
        <v>284705.89</v>
      </c>
      <c r="E126">
        <v>78969.58</v>
      </c>
      <c r="F126">
        <v>363675.47000000003</v>
      </c>
      <c r="G126" t="s">
        <v>241</v>
      </c>
      <c r="H126">
        <v>7908.496944444445</v>
      </c>
      <c r="I126">
        <v>2193.5994444444445</v>
      </c>
      <c r="J126">
        <v>10102.096388888889</v>
      </c>
      <c r="K126" t="s">
        <v>241</v>
      </c>
      <c r="L126" t="s">
        <v>1534</v>
      </c>
      <c r="M126">
        <v>182901.96999999997</v>
      </c>
      <c r="N126">
        <v>78655.33</v>
      </c>
      <c r="O126">
        <v>261557.3</v>
      </c>
      <c r="P126" t="s">
        <v>2994</v>
      </c>
      <c r="Q126">
        <v>5715.6865624999991</v>
      </c>
      <c r="R126">
        <v>2457.9790625000001</v>
      </c>
      <c r="S126">
        <v>8173.6656249999996</v>
      </c>
      <c r="T126" t="s">
        <v>241</v>
      </c>
      <c r="U126" t="s">
        <v>2991</v>
      </c>
      <c r="V126" t="str">
        <f t="shared" si="2"/>
        <v>North Powder SD 8J</v>
      </c>
      <c r="W126" t="s">
        <v>2992</v>
      </c>
      <c r="X126" t="str">
        <f t="shared" si="3"/>
        <v>North Powder SD 8J</v>
      </c>
    </row>
    <row r="127" spans="1:24" x14ac:dyDescent="0.35">
      <c r="A127" t="s">
        <v>147</v>
      </c>
      <c r="B127">
        <v>2143</v>
      </c>
      <c r="C127" t="s">
        <v>1777</v>
      </c>
      <c r="D127">
        <v>2922543.9499999997</v>
      </c>
      <c r="E127">
        <v>188290.30000000002</v>
      </c>
      <c r="F127">
        <v>3110834.2499999995</v>
      </c>
      <c r="G127" t="s">
        <v>2994</v>
      </c>
      <c r="H127">
        <v>8856.1937878787867</v>
      </c>
      <c r="I127">
        <v>570.57666666666671</v>
      </c>
      <c r="J127">
        <v>9426.7704545454526</v>
      </c>
      <c r="K127" t="s">
        <v>241</v>
      </c>
      <c r="L127" t="s">
        <v>1534</v>
      </c>
      <c r="M127">
        <v>2911033.6399999992</v>
      </c>
      <c r="N127">
        <v>164295.79999999999</v>
      </c>
      <c r="O127">
        <v>3075329.439999999</v>
      </c>
      <c r="P127" t="s">
        <v>2994</v>
      </c>
      <c r="Q127">
        <v>8511.7942690058462</v>
      </c>
      <c r="R127">
        <v>480.39707602339178</v>
      </c>
      <c r="S127">
        <v>8992.1913450292377</v>
      </c>
      <c r="T127" t="s">
        <v>241</v>
      </c>
      <c r="U127" t="s">
        <v>2991</v>
      </c>
      <c r="V127" t="str">
        <f t="shared" si="2"/>
        <v>North Santiam SD 29J</v>
      </c>
      <c r="W127" t="s">
        <v>2992</v>
      </c>
      <c r="X127" t="str">
        <f t="shared" si="3"/>
        <v>North Santiam SD 29J</v>
      </c>
    </row>
    <row r="128" spans="1:24" x14ac:dyDescent="0.35">
      <c r="A128" t="s">
        <v>148</v>
      </c>
      <c r="B128">
        <v>4131</v>
      </c>
      <c r="C128" t="s">
        <v>1777</v>
      </c>
      <c r="D128">
        <v>4739845.6999999993</v>
      </c>
      <c r="E128">
        <v>0</v>
      </c>
      <c r="F128">
        <v>4739845.6999999993</v>
      </c>
      <c r="G128" t="s">
        <v>241</v>
      </c>
      <c r="H128">
        <v>11285.346904761904</v>
      </c>
      <c r="I128">
        <v>0</v>
      </c>
      <c r="J128">
        <v>11285.346904761904</v>
      </c>
      <c r="K128" t="s">
        <v>241</v>
      </c>
      <c r="L128" t="s">
        <v>1534</v>
      </c>
      <c r="M128">
        <v>4760602.5799999991</v>
      </c>
      <c r="N128">
        <v>0</v>
      </c>
      <c r="O128">
        <v>4760602.5799999991</v>
      </c>
      <c r="P128" t="s">
        <v>240</v>
      </c>
      <c r="Q128">
        <v>10602.678351893093</v>
      </c>
      <c r="R128">
        <v>0</v>
      </c>
      <c r="S128">
        <v>10602.678351893093</v>
      </c>
      <c r="T128" t="s">
        <v>2994</v>
      </c>
      <c r="U128" t="s">
        <v>2991</v>
      </c>
      <c r="V128" t="str">
        <f t="shared" si="2"/>
        <v>North Wasco County SD 21</v>
      </c>
      <c r="W128" t="s">
        <v>2992</v>
      </c>
      <c r="X128" t="str">
        <f t="shared" si="3"/>
        <v>North Wasco County SD 21</v>
      </c>
    </row>
    <row r="129" spans="1:24" x14ac:dyDescent="0.35">
      <c r="A129" t="s">
        <v>149</v>
      </c>
      <c r="B129">
        <v>2110</v>
      </c>
      <c r="C129" t="s">
        <v>1777</v>
      </c>
      <c r="D129">
        <v>1019557.23</v>
      </c>
      <c r="E129">
        <v>452780.38</v>
      </c>
      <c r="F129">
        <v>1472337.6099999999</v>
      </c>
      <c r="G129" t="s">
        <v>241</v>
      </c>
      <c r="H129">
        <v>6888.9002027027027</v>
      </c>
      <c r="I129">
        <v>3059.326891891892</v>
      </c>
      <c r="J129">
        <v>9948.2270945945929</v>
      </c>
      <c r="K129" t="s">
        <v>241</v>
      </c>
      <c r="L129" t="s">
        <v>1534</v>
      </c>
      <c r="M129">
        <v>979818.39999999991</v>
      </c>
      <c r="N129">
        <v>427172.16000000003</v>
      </c>
      <c r="O129">
        <v>1406990.56</v>
      </c>
      <c r="P129" t="s">
        <v>241</v>
      </c>
      <c r="Q129">
        <v>6201.3822784810118</v>
      </c>
      <c r="R129">
        <v>2703.6212658227851</v>
      </c>
      <c r="S129">
        <v>8905.0035443037978</v>
      </c>
      <c r="T129" t="s">
        <v>241</v>
      </c>
      <c r="U129" t="s">
        <v>2991</v>
      </c>
      <c r="V129" t="str">
        <f t="shared" si="2"/>
        <v>Nyssa SD 26</v>
      </c>
      <c r="W129" t="s">
        <v>2992</v>
      </c>
      <c r="X129" t="str">
        <f t="shared" si="3"/>
        <v>Nyssa SD 26</v>
      </c>
    </row>
    <row r="130" spans="1:24" x14ac:dyDescent="0.35">
      <c r="A130" t="s">
        <v>150</v>
      </c>
      <c r="B130">
        <v>1990</v>
      </c>
      <c r="C130" t="s">
        <v>1777</v>
      </c>
      <c r="D130">
        <v>460300.24000000005</v>
      </c>
      <c r="E130">
        <v>113363.98</v>
      </c>
      <c r="F130">
        <v>573664.22000000009</v>
      </c>
      <c r="G130" t="s">
        <v>241</v>
      </c>
      <c r="H130">
        <v>4896.8110638297876</v>
      </c>
      <c r="I130">
        <v>1205.9997872340425</v>
      </c>
      <c r="J130">
        <v>6102.8108510638303</v>
      </c>
      <c r="K130" t="s">
        <v>240</v>
      </c>
      <c r="L130" t="s">
        <v>1534</v>
      </c>
      <c r="M130">
        <v>418752.07</v>
      </c>
      <c r="N130">
        <v>99083.04</v>
      </c>
      <c r="O130">
        <v>517835.11</v>
      </c>
      <c r="P130" t="s">
        <v>2994</v>
      </c>
      <c r="Q130">
        <v>5509.8956578947373</v>
      </c>
      <c r="R130">
        <v>1303.7242105263158</v>
      </c>
      <c r="S130">
        <v>6813.6198684210522</v>
      </c>
      <c r="T130" t="s">
        <v>241</v>
      </c>
      <c r="U130" t="s">
        <v>2991</v>
      </c>
      <c r="V130" t="str">
        <f t="shared" si="2"/>
        <v>Oakland SD 1</v>
      </c>
      <c r="W130" t="s">
        <v>2992</v>
      </c>
      <c r="X130" t="str">
        <f t="shared" si="3"/>
        <v>Oakland SD 1</v>
      </c>
    </row>
    <row r="131" spans="1:24" x14ac:dyDescent="0.35">
      <c r="A131" t="s">
        <v>151</v>
      </c>
      <c r="B131">
        <v>2093</v>
      </c>
      <c r="C131" t="s">
        <v>1777</v>
      </c>
      <c r="D131">
        <v>367122.00000000017</v>
      </c>
      <c r="E131">
        <v>253908</v>
      </c>
      <c r="F131">
        <v>621030.00000000023</v>
      </c>
      <c r="G131" t="s">
        <v>241</v>
      </c>
      <c r="H131">
        <v>3947.548387096776</v>
      </c>
      <c r="I131">
        <v>2730.1935483870966</v>
      </c>
      <c r="J131">
        <v>6677.741935483873</v>
      </c>
      <c r="K131" t="s">
        <v>241</v>
      </c>
      <c r="L131" t="s">
        <v>1534</v>
      </c>
      <c r="M131">
        <v>371214.71999999991</v>
      </c>
      <c r="N131">
        <v>249404</v>
      </c>
      <c r="O131">
        <v>620618.72</v>
      </c>
      <c r="P131" t="s">
        <v>241</v>
      </c>
      <c r="Q131">
        <v>3604.0264077669895</v>
      </c>
      <c r="R131">
        <v>2421.3980582524273</v>
      </c>
      <c r="S131">
        <v>6025.4244660194172</v>
      </c>
      <c r="T131" t="s">
        <v>241</v>
      </c>
      <c r="U131" t="s">
        <v>2991</v>
      </c>
      <c r="V131" t="str">
        <f t="shared" ref="V131:V194" si="4">A131</f>
        <v>Oakridge SD 76</v>
      </c>
      <c r="W131" t="s">
        <v>2992</v>
      </c>
      <c r="X131" t="str">
        <f t="shared" ref="X131:X194" si="5">A131</f>
        <v>Oakridge SD 76</v>
      </c>
    </row>
    <row r="132" spans="1:24" x14ac:dyDescent="0.35">
      <c r="A132" t="s">
        <v>152</v>
      </c>
      <c r="B132">
        <v>2108</v>
      </c>
      <c r="C132" t="s">
        <v>1777</v>
      </c>
      <c r="D132">
        <v>3702780.0799999996</v>
      </c>
      <c r="E132">
        <v>70061.919999999998</v>
      </c>
      <c r="F132">
        <v>3772841.9999999995</v>
      </c>
      <c r="G132" t="s">
        <v>2994</v>
      </c>
      <c r="H132">
        <v>11680.694258675077</v>
      </c>
      <c r="I132">
        <v>221.01552050473185</v>
      </c>
      <c r="J132">
        <v>11901.70977917981</v>
      </c>
      <c r="K132" t="s">
        <v>241</v>
      </c>
      <c r="L132" t="s">
        <v>1534</v>
      </c>
      <c r="M132">
        <v>3600748.3699999987</v>
      </c>
      <c r="N132">
        <v>71328.899999999994</v>
      </c>
      <c r="O132">
        <v>3672077.2699999986</v>
      </c>
      <c r="P132" t="s">
        <v>241</v>
      </c>
      <c r="Q132">
        <v>11503.988402555906</v>
      </c>
      <c r="R132">
        <v>227.88785942492012</v>
      </c>
      <c r="S132">
        <v>11731.876261980826</v>
      </c>
      <c r="T132" t="s">
        <v>241</v>
      </c>
      <c r="U132" t="s">
        <v>2991</v>
      </c>
      <c r="V132" t="str">
        <f t="shared" si="4"/>
        <v>Ontario SD 8C</v>
      </c>
      <c r="W132" t="s">
        <v>2992</v>
      </c>
      <c r="X132" t="str">
        <f t="shared" si="5"/>
        <v>Ontario SD 8C</v>
      </c>
    </row>
    <row r="133" spans="1:24" x14ac:dyDescent="0.35">
      <c r="A133" t="s">
        <v>153</v>
      </c>
      <c r="B133">
        <v>1928</v>
      </c>
      <c r="C133" t="s">
        <v>1777</v>
      </c>
      <c r="D133">
        <v>15751445.369999997</v>
      </c>
      <c r="E133">
        <v>1425395</v>
      </c>
      <c r="F133">
        <v>17176840.369999997</v>
      </c>
      <c r="G133" t="s">
        <v>241</v>
      </c>
      <c r="H133">
        <v>14398.030502742227</v>
      </c>
      <c r="I133">
        <v>1302.9204753199269</v>
      </c>
      <c r="J133">
        <v>15700.950978062156</v>
      </c>
      <c r="K133" t="s">
        <v>241</v>
      </c>
      <c r="L133" t="s">
        <v>1534</v>
      </c>
      <c r="M133">
        <v>16477011.539999994</v>
      </c>
      <c r="N133">
        <v>1392969</v>
      </c>
      <c r="O133">
        <v>17869980.539999992</v>
      </c>
      <c r="P133" t="s">
        <v>2994</v>
      </c>
      <c r="Q133">
        <v>13963.569101694909</v>
      </c>
      <c r="R133">
        <v>1180.4822033898306</v>
      </c>
      <c r="S133">
        <v>15144.051305084738</v>
      </c>
      <c r="T133" t="s">
        <v>241</v>
      </c>
      <c r="U133" t="s">
        <v>2991</v>
      </c>
      <c r="V133" t="str">
        <f t="shared" si="4"/>
        <v>Oregon City SD 62</v>
      </c>
      <c r="W133" t="s">
        <v>2992</v>
      </c>
      <c r="X133" t="str">
        <f t="shared" si="5"/>
        <v>Oregon City SD 62</v>
      </c>
    </row>
    <row r="134" spans="1:24" x14ac:dyDescent="0.35">
      <c r="A134" t="s">
        <v>154</v>
      </c>
      <c r="B134">
        <v>1926</v>
      </c>
      <c r="C134" t="s">
        <v>1777</v>
      </c>
      <c r="D134">
        <v>7579961.7400000012</v>
      </c>
      <c r="E134">
        <v>922577</v>
      </c>
      <c r="F134">
        <v>8502538.7400000021</v>
      </c>
      <c r="G134" t="s">
        <v>241</v>
      </c>
      <c r="H134">
        <v>13368.539223985892</v>
      </c>
      <c r="I134">
        <v>1627.1199294532628</v>
      </c>
      <c r="J134">
        <v>14995.659153439157</v>
      </c>
      <c r="K134" t="s">
        <v>241</v>
      </c>
      <c r="L134" t="s">
        <v>1534</v>
      </c>
      <c r="M134">
        <v>6365430.3600000013</v>
      </c>
      <c r="N134">
        <v>708226</v>
      </c>
      <c r="O134">
        <v>7073656.3600000013</v>
      </c>
      <c r="P134" t="s">
        <v>2994</v>
      </c>
      <c r="Q134">
        <v>10770.609746192895</v>
      </c>
      <c r="R134">
        <v>1198.351945854484</v>
      </c>
      <c r="S134">
        <v>11968.96169204738</v>
      </c>
      <c r="T134" t="s">
        <v>240</v>
      </c>
      <c r="U134" t="s">
        <v>2991</v>
      </c>
      <c r="V134" t="str">
        <f t="shared" si="4"/>
        <v>Oregon Trail SD 46</v>
      </c>
      <c r="W134" t="s">
        <v>2992</v>
      </c>
      <c r="X134" t="str">
        <f t="shared" si="5"/>
        <v>Oregon Trail SD 46</v>
      </c>
    </row>
    <row r="135" spans="1:24" x14ac:dyDescent="0.35">
      <c r="A135" t="s">
        <v>155</v>
      </c>
      <c r="B135">
        <v>2060</v>
      </c>
      <c r="C135" t="s">
        <v>1777</v>
      </c>
      <c r="D135">
        <v>246418.9</v>
      </c>
      <c r="E135">
        <v>56750.6</v>
      </c>
      <c r="F135">
        <v>303169.5</v>
      </c>
      <c r="G135" t="s">
        <v>241</v>
      </c>
      <c r="H135">
        <v>7040.54</v>
      </c>
      <c r="I135">
        <v>1621.4457142857143</v>
      </c>
      <c r="J135">
        <v>8661.9857142857145</v>
      </c>
      <c r="K135" t="s">
        <v>240</v>
      </c>
      <c r="L135" t="s">
        <v>1534</v>
      </c>
      <c r="M135">
        <v>199670.5</v>
      </c>
      <c r="N135">
        <v>101832.86</v>
      </c>
      <c r="O135">
        <v>301503.35999999999</v>
      </c>
      <c r="P135" t="s">
        <v>2994</v>
      </c>
      <c r="Q135">
        <v>7131.0892857142853</v>
      </c>
      <c r="R135">
        <v>3636.8878571428572</v>
      </c>
      <c r="S135">
        <v>10767.977142857142</v>
      </c>
      <c r="T135" t="s">
        <v>2994</v>
      </c>
      <c r="U135" t="s">
        <v>2991</v>
      </c>
      <c r="V135" t="str">
        <f t="shared" si="4"/>
        <v>Paisley SD 11</v>
      </c>
      <c r="W135" t="s">
        <v>2992</v>
      </c>
      <c r="X135" t="str">
        <f t="shared" si="5"/>
        <v>Paisley SD 11</v>
      </c>
    </row>
    <row r="136" spans="1:24" x14ac:dyDescent="0.35">
      <c r="A136" t="s">
        <v>156</v>
      </c>
      <c r="B136">
        <v>2181</v>
      </c>
      <c r="C136" t="s">
        <v>1777</v>
      </c>
      <c r="D136">
        <v>6200352.71</v>
      </c>
      <c r="E136">
        <v>811033.98</v>
      </c>
      <c r="F136">
        <v>7011386.6899999995</v>
      </c>
      <c r="G136" t="s">
        <v>241</v>
      </c>
      <c r="H136">
        <v>14352.668310185185</v>
      </c>
      <c r="I136">
        <v>1877.3934722222223</v>
      </c>
      <c r="J136">
        <v>16230.061782407407</v>
      </c>
      <c r="K136" t="s">
        <v>241</v>
      </c>
      <c r="L136" t="s">
        <v>1534</v>
      </c>
      <c r="M136">
        <v>6202906.9100000029</v>
      </c>
      <c r="N136">
        <v>734598.05</v>
      </c>
      <c r="O136">
        <v>6937504.9600000028</v>
      </c>
      <c r="P136" t="s">
        <v>240</v>
      </c>
      <c r="Q136">
        <v>12633.211629327909</v>
      </c>
      <c r="R136">
        <v>1496.1263747454177</v>
      </c>
      <c r="S136">
        <v>14129.338004073325</v>
      </c>
      <c r="T136" t="s">
        <v>240</v>
      </c>
      <c r="U136" t="s">
        <v>2991</v>
      </c>
      <c r="V136" t="str">
        <f t="shared" si="4"/>
        <v>Parkrose SD 3</v>
      </c>
      <c r="W136" t="s">
        <v>2992</v>
      </c>
      <c r="X136" t="str">
        <f t="shared" si="5"/>
        <v>Parkrose SD 3</v>
      </c>
    </row>
    <row r="137" spans="1:24" x14ac:dyDescent="0.35">
      <c r="A137" t="s">
        <v>157</v>
      </c>
      <c r="B137">
        <v>2207</v>
      </c>
      <c r="C137" t="s">
        <v>1777</v>
      </c>
      <c r="D137">
        <v>5449765.7700000005</v>
      </c>
      <c r="E137">
        <v>906538.49</v>
      </c>
      <c r="F137">
        <v>6356304.2600000007</v>
      </c>
      <c r="G137" t="s">
        <v>241</v>
      </c>
      <c r="H137">
        <v>11669.73398286938</v>
      </c>
      <c r="I137">
        <v>1941.1959100642398</v>
      </c>
      <c r="J137">
        <v>13610.92989293362</v>
      </c>
      <c r="K137" t="s">
        <v>241</v>
      </c>
      <c r="L137" t="s">
        <v>1534</v>
      </c>
      <c r="M137">
        <v>4914968.7500000019</v>
      </c>
      <c r="N137">
        <v>878447.62</v>
      </c>
      <c r="O137">
        <v>5793416.370000002</v>
      </c>
      <c r="P137" t="s">
        <v>241</v>
      </c>
      <c r="Q137">
        <v>10661.537418655102</v>
      </c>
      <c r="R137">
        <v>1905.5262906724513</v>
      </c>
      <c r="S137">
        <v>12567.063709327553</v>
      </c>
      <c r="T137" t="s">
        <v>241</v>
      </c>
      <c r="U137" t="s">
        <v>2991</v>
      </c>
      <c r="V137" t="str">
        <f t="shared" si="4"/>
        <v>Pendleton SD 16</v>
      </c>
      <c r="W137" t="s">
        <v>2992</v>
      </c>
      <c r="X137" t="str">
        <f t="shared" si="5"/>
        <v>Pendleton SD 16</v>
      </c>
    </row>
    <row r="138" spans="1:24" x14ac:dyDescent="0.35">
      <c r="A138" t="s">
        <v>158</v>
      </c>
      <c r="B138">
        <v>2192</v>
      </c>
      <c r="C138" t="s">
        <v>1777</v>
      </c>
      <c r="D138">
        <v>524933.7300000001</v>
      </c>
      <c r="E138">
        <v>69431.5</v>
      </c>
      <c r="F138">
        <v>594365.2300000001</v>
      </c>
      <c r="G138" t="s">
        <v>2994</v>
      </c>
      <c r="H138">
        <v>20997.349200000004</v>
      </c>
      <c r="I138">
        <v>2777.26</v>
      </c>
      <c r="J138">
        <v>23774.609200000003</v>
      </c>
      <c r="K138" t="s">
        <v>241</v>
      </c>
      <c r="L138" t="s">
        <v>1534</v>
      </c>
      <c r="M138">
        <v>475720.73</v>
      </c>
      <c r="N138">
        <v>68342.2</v>
      </c>
      <c r="O138">
        <v>544062.92999999993</v>
      </c>
      <c r="P138" t="s">
        <v>2994</v>
      </c>
      <c r="Q138">
        <v>13592.020857142857</v>
      </c>
      <c r="R138">
        <v>1952.6342857142856</v>
      </c>
      <c r="S138">
        <v>15544.65514285714</v>
      </c>
      <c r="T138" t="s">
        <v>241</v>
      </c>
      <c r="U138" t="s">
        <v>2991</v>
      </c>
      <c r="V138" t="str">
        <f t="shared" si="4"/>
        <v>Perrydale SD 21</v>
      </c>
      <c r="W138" t="s">
        <v>2992</v>
      </c>
      <c r="X138" t="str">
        <f t="shared" si="5"/>
        <v>Perrydale SD 21</v>
      </c>
    </row>
    <row r="139" spans="1:24" x14ac:dyDescent="0.35">
      <c r="A139" t="s">
        <v>160</v>
      </c>
      <c r="B139">
        <v>1900</v>
      </c>
      <c r="C139" t="s">
        <v>1777</v>
      </c>
      <c r="D139">
        <v>2084857.86</v>
      </c>
      <c r="E139">
        <v>172453</v>
      </c>
      <c r="F139">
        <v>2257310.8600000003</v>
      </c>
      <c r="G139" t="s">
        <v>241</v>
      </c>
      <c r="H139">
        <v>13279.349426751593</v>
      </c>
      <c r="I139">
        <v>1098.4267515923566</v>
      </c>
      <c r="J139">
        <v>14377.776178343951</v>
      </c>
      <c r="K139" t="s">
        <v>240</v>
      </c>
      <c r="L139" t="s">
        <v>1534</v>
      </c>
      <c r="M139">
        <v>2220158.4999999991</v>
      </c>
      <c r="N139">
        <v>179979</v>
      </c>
      <c r="O139">
        <v>2400137.4999999991</v>
      </c>
      <c r="P139" t="s">
        <v>2994</v>
      </c>
      <c r="Q139">
        <v>14900.392617449657</v>
      </c>
      <c r="R139">
        <v>1207.9127516778524</v>
      </c>
      <c r="S139">
        <v>16108.305369127511</v>
      </c>
      <c r="T139" t="s">
        <v>241</v>
      </c>
      <c r="U139" t="s">
        <v>2991</v>
      </c>
      <c r="V139" t="str">
        <f t="shared" si="4"/>
        <v>Philomath SD 17J</v>
      </c>
      <c r="W139" t="s">
        <v>2992</v>
      </c>
      <c r="X139" t="str">
        <f t="shared" si="5"/>
        <v>Philomath SD 17J</v>
      </c>
    </row>
    <row r="140" spans="1:24" x14ac:dyDescent="0.35">
      <c r="A140" t="s">
        <v>161</v>
      </c>
      <c r="B140">
        <v>2039</v>
      </c>
      <c r="C140" t="s">
        <v>1777</v>
      </c>
      <c r="D140">
        <v>4090767.3599999994</v>
      </c>
      <c r="E140">
        <v>380845.62</v>
      </c>
      <c r="F140">
        <v>4471612.9799999995</v>
      </c>
      <c r="G140" t="s">
        <v>241</v>
      </c>
      <c r="H140">
        <v>10937.880641711228</v>
      </c>
      <c r="I140">
        <v>1018.3037967914438</v>
      </c>
      <c r="J140">
        <v>11956.184438502672</v>
      </c>
      <c r="K140" t="s">
        <v>241</v>
      </c>
      <c r="L140" t="s">
        <v>1534</v>
      </c>
      <c r="M140">
        <v>3902661.0099999988</v>
      </c>
      <c r="N140">
        <v>416685.1</v>
      </c>
      <c r="O140">
        <v>4319346.1099999985</v>
      </c>
      <c r="P140" t="s">
        <v>2994</v>
      </c>
      <c r="Q140">
        <v>10576.317100270999</v>
      </c>
      <c r="R140">
        <v>1129.2279132791327</v>
      </c>
      <c r="S140">
        <v>11705.545013550131</v>
      </c>
      <c r="T140" t="s">
        <v>241</v>
      </c>
      <c r="U140" t="s">
        <v>2991</v>
      </c>
      <c r="V140" t="str">
        <f t="shared" si="4"/>
        <v>Phoenix-Talent SD 4</v>
      </c>
      <c r="W140" t="s">
        <v>2992</v>
      </c>
      <c r="X140" t="str">
        <f t="shared" si="5"/>
        <v>Phoenix-Talent SD 4</v>
      </c>
    </row>
    <row r="141" spans="1:24" x14ac:dyDescent="0.35">
      <c r="A141" t="s">
        <v>162</v>
      </c>
      <c r="B141">
        <v>2202</v>
      </c>
      <c r="C141" t="s">
        <v>1777</v>
      </c>
      <c r="D141">
        <v>379568.76000000007</v>
      </c>
      <c r="E141">
        <v>80345.11</v>
      </c>
      <c r="F141">
        <v>459913.87000000005</v>
      </c>
      <c r="G141" t="s">
        <v>241</v>
      </c>
      <c r="H141">
        <v>9037.35142857143</v>
      </c>
      <c r="I141">
        <v>1912.9788095238096</v>
      </c>
      <c r="J141">
        <v>10950.330238095239</v>
      </c>
      <c r="K141" t="s">
        <v>240</v>
      </c>
      <c r="L141" t="s">
        <v>1534</v>
      </c>
      <c r="M141">
        <v>333045.57000000007</v>
      </c>
      <c r="N141">
        <v>66751.28</v>
      </c>
      <c r="O141">
        <v>399796.85000000009</v>
      </c>
      <c r="P141" t="s">
        <v>241</v>
      </c>
      <c r="Q141">
        <v>9795.4579411764716</v>
      </c>
      <c r="R141">
        <v>1963.2729411764706</v>
      </c>
      <c r="S141">
        <v>11758.730882352944</v>
      </c>
      <c r="T141" t="s">
        <v>241</v>
      </c>
      <c r="U141" t="s">
        <v>2991</v>
      </c>
      <c r="V141" t="str">
        <f t="shared" si="4"/>
        <v>Pilot Rock SD 2</v>
      </c>
      <c r="W141" t="s">
        <v>2992</v>
      </c>
      <c r="X141" t="str">
        <f t="shared" si="5"/>
        <v>Pilot Rock SD 2</v>
      </c>
    </row>
    <row r="142" spans="1:24" x14ac:dyDescent="0.35">
      <c r="A142" t="s">
        <v>163</v>
      </c>
      <c r="B142">
        <v>2016</v>
      </c>
      <c r="C142" t="s">
        <v>1777</v>
      </c>
      <c r="D142">
        <v>0</v>
      </c>
      <c r="E142">
        <v>16313.730000000001</v>
      </c>
      <c r="F142">
        <v>16313.730000000001</v>
      </c>
      <c r="G142" t="s">
        <v>241</v>
      </c>
      <c r="H142">
        <v>0</v>
      </c>
      <c r="I142">
        <v>0</v>
      </c>
      <c r="J142">
        <v>0</v>
      </c>
      <c r="K142" t="s">
        <v>241</v>
      </c>
      <c r="L142" t="s">
        <v>1534</v>
      </c>
      <c r="M142">
        <v>0</v>
      </c>
      <c r="N142">
        <v>17096.25</v>
      </c>
      <c r="O142">
        <v>17096.25</v>
      </c>
      <c r="P142" t="s">
        <v>241</v>
      </c>
      <c r="Q142">
        <v>0</v>
      </c>
      <c r="R142">
        <v>0</v>
      </c>
      <c r="S142">
        <v>0</v>
      </c>
      <c r="T142" t="s">
        <v>241</v>
      </c>
      <c r="U142" t="s">
        <v>2991</v>
      </c>
      <c r="V142" t="str">
        <f t="shared" si="4"/>
        <v>Pine Creek SD 5</v>
      </c>
      <c r="W142" t="s">
        <v>2992</v>
      </c>
      <c r="X142" t="str">
        <f t="shared" si="5"/>
        <v>Pine Creek SD 5</v>
      </c>
    </row>
    <row r="143" spans="1:24" x14ac:dyDescent="0.35">
      <c r="A143" t="s">
        <v>164</v>
      </c>
      <c r="B143">
        <v>1897</v>
      </c>
      <c r="C143" t="s">
        <v>1777</v>
      </c>
      <c r="D143">
        <v>253000.58</v>
      </c>
      <c r="E143">
        <v>0</v>
      </c>
      <c r="F143">
        <v>253000.58</v>
      </c>
      <c r="G143" t="s">
        <v>241</v>
      </c>
      <c r="H143">
        <v>7228.5879999999997</v>
      </c>
      <c r="I143">
        <v>0</v>
      </c>
      <c r="J143">
        <v>7228.5879999999997</v>
      </c>
      <c r="K143" t="s">
        <v>240</v>
      </c>
      <c r="L143" t="s">
        <v>1534</v>
      </c>
      <c r="M143">
        <v>252270.99</v>
      </c>
      <c r="N143">
        <v>0</v>
      </c>
      <c r="O143">
        <v>252270.99</v>
      </c>
      <c r="P143" t="s">
        <v>241</v>
      </c>
      <c r="Q143">
        <v>9343.369999999999</v>
      </c>
      <c r="R143">
        <v>0</v>
      </c>
      <c r="S143">
        <v>9343.369999999999</v>
      </c>
      <c r="T143" t="s">
        <v>241</v>
      </c>
      <c r="U143" t="s">
        <v>2991</v>
      </c>
      <c r="V143" t="str">
        <f t="shared" si="4"/>
        <v>Pine Eagle SD 61</v>
      </c>
      <c r="W143" t="s">
        <v>2992</v>
      </c>
      <c r="X143" t="str">
        <f t="shared" si="5"/>
        <v>Pine Eagle SD 61</v>
      </c>
    </row>
    <row r="144" spans="1:24" x14ac:dyDescent="0.35">
      <c r="A144" t="s">
        <v>165</v>
      </c>
      <c r="B144">
        <v>2047</v>
      </c>
      <c r="C144" t="s">
        <v>1777</v>
      </c>
      <c r="D144">
        <v>20125</v>
      </c>
      <c r="E144">
        <v>4079.8700000000003</v>
      </c>
      <c r="F144">
        <v>24204.87</v>
      </c>
      <c r="G144" t="s">
        <v>2994</v>
      </c>
      <c r="H144">
        <v>6708.333333333333</v>
      </c>
      <c r="I144">
        <v>1359.9566666666667</v>
      </c>
      <c r="J144">
        <v>8068.29</v>
      </c>
      <c r="K144" t="s">
        <v>241</v>
      </c>
      <c r="L144" t="s">
        <v>1534</v>
      </c>
      <c r="M144">
        <v>13806</v>
      </c>
      <c r="N144">
        <v>10098.870000000001</v>
      </c>
      <c r="O144">
        <v>23904.870000000003</v>
      </c>
      <c r="P144" t="s">
        <v>241</v>
      </c>
      <c r="Q144">
        <v>2301</v>
      </c>
      <c r="R144">
        <v>1683.1450000000002</v>
      </c>
      <c r="S144">
        <v>3984.1450000000004</v>
      </c>
      <c r="T144" t="s">
        <v>2994</v>
      </c>
      <c r="U144" t="s">
        <v>2991</v>
      </c>
      <c r="V144" t="str">
        <f t="shared" si="4"/>
        <v>Pinehurst SD 94</v>
      </c>
      <c r="W144" t="s">
        <v>2992</v>
      </c>
      <c r="X144" t="str">
        <f t="shared" si="5"/>
        <v>Pinehurst SD 94</v>
      </c>
    </row>
    <row r="145" spans="1:24" x14ac:dyDescent="0.35">
      <c r="A145" t="s">
        <v>166</v>
      </c>
      <c r="B145">
        <v>2081</v>
      </c>
      <c r="C145" t="s">
        <v>1777</v>
      </c>
      <c r="D145">
        <v>1092190.68</v>
      </c>
      <c r="E145">
        <v>269087</v>
      </c>
      <c r="F145">
        <v>1361277.68</v>
      </c>
      <c r="G145" t="s">
        <v>240</v>
      </c>
      <c r="H145">
        <v>7857.48690647482</v>
      </c>
      <c r="I145">
        <v>1935.8776978417266</v>
      </c>
      <c r="J145">
        <v>9793.3646043165463</v>
      </c>
      <c r="K145" t="s">
        <v>240</v>
      </c>
      <c r="L145" t="s">
        <v>1534</v>
      </c>
      <c r="M145">
        <v>1412536.3399999999</v>
      </c>
      <c r="N145">
        <v>222620</v>
      </c>
      <c r="O145">
        <v>1635156.3399999999</v>
      </c>
      <c r="P145" t="s">
        <v>2139</v>
      </c>
      <c r="Q145">
        <v>9113.1376774193541</v>
      </c>
      <c r="R145">
        <v>1436.258064516129</v>
      </c>
      <c r="S145">
        <v>10549.395741935483</v>
      </c>
      <c r="T145" t="s">
        <v>241</v>
      </c>
      <c r="U145" t="s">
        <v>2991</v>
      </c>
      <c r="V145" t="str">
        <f t="shared" si="4"/>
        <v>Pleasant Hill SD 1</v>
      </c>
      <c r="W145" t="s">
        <v>2992</v>
      </c>
      <c r="X145" t="str">
        <f t="shared" si="5"/>
        <v>Pleasant Hill SD 1</v>
      </c>
    </row>
    <row r="146" spans="1:24" x14ac:dyDescent="0.35">
      <c r="A146" t="s">
        <v>167</v>
      </c>
      <c r="B146">
        <v>2062</v>
      </c>
      <c r="C146" t="s">
        <v>1777</v>
      </c>
      <c r="D146">
        <v>0</v>
      </c>
      <c r="E146">
        <v>31205.81</v>
      </c>
      <c r="F146">
        <v>31205.81</v>
      </c>
      <c r="G146" t="s">
        <v>241</v>
      </c>
      <c r="H146">
        <v>0</v>
      </c>
      <c r="I146">
        <v>7801.4525000000003</v>
      </c>
      <c r="J146">
        <v>7801.4525000000003</v>
      </c>
      <c r="K146" t="s">
        <v>241</v>
      </c>
      <c r="L146" t="s">
        <v>1534</v>
      </c>
      <c r="M146">
        <v>0</v>
      </c>
      <c r="N146">
        <v>30885.46</v>
      </c>
      <c r="O146">
        <v>30885.46</v>
      </c>
      <c r="P146" t="s">
        <v>241</v>
      </c>
      <c r="Q146">
        <v>0</v>
      </c>
      <c r="R146">
        <v>7721.3649999999998</v>
      </c>
      <c r="S146">
        <v>7721.3649999999998</v>
      </c>
      <c r="T146" t="s">
        <v>241</v>
      </c>
      <c r="U146" t="s">
        <v>2991</v>
      </c>
      <c r="V146" t="str">
        <f t="shared" si="4"/>
        <v>Plush SD 18</v>
      </c>
      <c r="W146" t="s">
        <v>2992</v>
      </c>
      <c r="X146" t="str">
        <f t="shared" si="5"/>
        <v>Plush SD 18</v>
      </c>
    </row>
    <row r="147" spans="1:24" x14ac:dyDescent="0.35">
      <c r="A147" t="s">
        <v>168</v>
      </c>
      <c r="B147">
        <v>1973</v>
      </c>
      <c r="C147" t="s">
        <v>1777</v>
      </c>
      <c r="D147">
        <v>250133</v>
      </c>
      <c r="E147">
        <v>133249</v>
      </c>
      <c r="F147">
        <v>383382</v>
      </c>
      <c r="G147" t="s">
        <v>241</v>
      </c>
      <c r="H147">
        <v>10875.347826086956</v>
      </c>
      <c r="I147">
        <v>5793.434782608696</v>
      </c>
      <c r="J147">
        <v>16668.782608695652</v>
      </c>
      <c r="K147" t="s">
        <v>241</v>
      </c>
      <c r="L147" t="s">
        <v>1534</v>
      </c>
      <c r="M147">
        <v>182820.76</v>
      </c>
      <c r="N147">
        <v>135496.74</v>
      </c>
      <c r="O147">
        <v>318317.5</v>
      </c>
      <c r="P147" t="s">
        <v>241</v>
      </c>
      <c r="Q147">
        <v>8705.7504761904765</v>
      </c>
      <c r="R147">
        <v>6452.2257142857143</v>
      </c>
      <c r="S147">
        <v>15157.976190476191</v>
      </c>
      <c r="T147" t="s">
        <v>241</v>
      </c>
      <c r="U147" t="s">
        <v>2991</v>
      </c>
      <c r="V147" t="str">
        <f t="shared" si="4"/>
        <v>Port Orford-Langlois SD 2CJ</v>
      </c>
      <c r="W147" t="s">
        <v>2992</v>
      </c>
      <c r="X147" t="str">
        <f t="shared" si="5"/>
        <v>Port Orford-Langlois SD 2CJ</v>
      </c>
    </row>
    <row r="148" spans="1:24" x14ac:dyDescent="0.35">
      <c r="A148" t="s">
        <v>169</v>
      </c>
      <c r="B148">
        <v>2180</v>
      </c>
      <c r="C148" t="s">
        <v>1777</v>
      </c>
      <c r="D148">
        <v>110327921.15999991</v>
      </c>
      <c r="E148">
        <v>3507981.2100000004</v>
      </c>
      <c r="F148">
        <v>113835902.3699999</v>
      </c>
      <c r="G148" t="s">
        <v>241</v>
      </c>
      <c r="H148">
        <v>16101.564676006992</v>
      </c>
      <c r="I148">
        <v>511.96456654991249</v>
      </c>
      <c r="J148">
        <v>16613.529242556902</v>
      </c>
      <c r="K148" t="s">
        <v>241</v>
      </c>
      <c r="L148" t="s">
        <v>1534</v>
      </c>
      <c r="M148">
        <v>105415082.29999994</v>
      </c>
      <c r="N148">
        <v>3420079.63</v>
      </c>
      <c r="O148">
        <v>108835161.92999993</v>
      </c>
      <c r="P148" t="s">
        <v>241</v>
      </c>
      <c r="Q148">
        <v>15050.697073101077</v>
      </c>
      <c r="R148">
        <v>488.30377355796685</v>
      </c>
      <c r="S148">
        <v>15539.000846659043</v>
      </c>
      <c r="T148" t="s">
        <v>241</v>
      </c>
      <c r="U148" t="s">
        <v>2991</v>
      </c>
      <c r="V148" t="str">
        <f t="shared" si="4"/>
        <v>Portland SD 1J</v>
      </c>
      <c r="W148" t="s">
        <v>2992</v>
      </c>
      <c r="X148" t="str">
        <f t="shared" si="5"/>
        <v>Portland SD 1J</v>
      </c>
    </row>
    <row r="149" spans="1:24" x14ac:dyDescent="0.35">
      <c r="A149" t="s">
        <v>170</v>
      </c>
      <c r="B149">
        <v>1967</v>
      </c>
      <c r="C149" t="s">
        <v>1777</v>
      </c>
      <c r="D149">
        <v>75443.33</v>
      </c>
      <c r="E149">
        <v>41936</v>
      </c>
      <c r="F149">
        <v>117379.33</v>
      </c>
      <c r="G149" t="s">
        <v>241</v>
      </c>
      <c r="H149">
        <v>3772.1665000000003</v>
      </c>
      <c r="I149">
        <v>2096.8000000000002</v>
      </c>
      <c r="J149">
        <v>5868.9665000000005</v>
      </c>
      <c r="K149" t="s">
        <v>241</v>
      </c>
      <c r="L149" t="s">
        <v>1534</v>
      </c>
      <c r="M149">
        <v>66329.81</v>
      </c>
      <c r="N149">
        <v>35611.4</v>
      </c>
      <c r="O149">
        <v>101941.20999999999</v>
      </c>
      <c r="P149" t="s">
        <v>241</v>
      </c>
      <c r="Q149">
        <v>3158.5623809523809</v>
      </c>
      <c r="R149">
        <v>1695.7809523809524</v>
      </c>
      <c r="S149">
        <v>4854.3433333333332</v>
      </c>
      <c r="T149" t="s">
        <v>241</v>
      </c>
      <c r="U149" t="s">
        <v>2991</v>
      </c>
      <c r="V149" t="str">
        <f t="shared" si="4"/>
        <v>Powers SD 31</v>
      </c>
      <c r="W149" t="s">
        <v>2992</v>
      </c>
      <c r="X149" t="str">
        <f t="shared" si="5"/>
        <v>Powers SD 31</v>
      </c>
    </row>
    <row r="150" spans="1:24" x14ac:dyDescent="0.35">
      <c r="A150" t="s">
        <v>171</v>
      </c>
      <c r="B150">
        <v>2009</v>
      </c>
      <c r="C150" t="s">
        <v>1777</v>
      </c>
      <c r="D150">
        <v>252138.56000000003</v>
      </c>
      <c r="E150">
        <v>40540.549999999996</v>
      </c>
      <c r="F150">
        <v>292679.11000000004</v>
      </c>
      <c r="G150" t="s">
        <v>241</v>
      </c>
      <c r="H150">
        <v>2313.197798165138</v>
      </c>
      <c r="I150">
        <v>371.93165137614676</v>
      </c>
      <c r="J150">
        <v>2685.1294495412849</v>
      </c>
      <c r="K150" t="s">
        <v>240</v>
      </c>
      <c r="L150" t="s">
        <v>1534</v>
      </c>
      <c r="M150">
        <v>164810.21</v>
      </c>
      <c r="N150">
        <v>74188.239999999991</v>
      </c>
      <c r="O150">
        <v>238998.44999999998</v>
      </c>
      <c r="P150" t="s">
        <v>2994</v>
      </c>
      <c r="Q150">
        <v>5316.4583870967735</v>
      </c>
      <c r="R150">
        <v>2393.1690322580644</v>
      </c>
      <c r="S150">
        <v>7709.6274193548379</v>
      </c>
      <c r="T150" t="s">
        <v>240</v>
      </c>
      <c r="U150" t="s">
        <v>2991</v>
      </c>
      <c r="V150" t="str">
        <f t="shared" si="4"/>
        <v>Prairie City SD 4</v>
      </c>
      <c r="W150" t="s">
        <v>2992</v>
      </c>
      <c r="X150" t="str">
        <f t="shared" si="5"/>
        <v>Prairie City SD 4</v>
      </c>
    </row>
    <row r="151" spans="1:24" x14ac:dyDescent="0.35">
      <c r="A151" t="s">
        <v>172</v>
      </c>
      <c r="B151">
        <v>2045</v>
      </c>
      <c r="C151" t="s">
        <v>1777</v>
      </c>
      <c r="D151">
        <v>197694.47999999995</v>
      </c>
      <c r="E151">
        <v>118072.68</v>
      </c>
      <c r="F151">
        <v>315767.15999999992</v>
      </c>
      <c r="G151" t="s">
        <v>241</v>
      </c>
      <c r="H151">
        <v>7060.5171428571412</v>
      </c>
      <c r="I151">
        <v>4216.8814285714279</v>
      </c>
      <c r="J151">
        <v>11277.398571428568</v>
      </c>
      <c r="K151" t="s">
        <v>241</v>
      </c>
      <c r="L151" t="s">
        <v>1534</v>
      </c>
      <c r="M151">
        <v>170609.75999999998</v>
      </c>
      <c r="N151">
        <v>88642.639999999985</v>
      </c>
      <c r="O151">
        <v>259252.39999999997</v>
      </c>
      <c r="P151" t="s">
        <v>2994</v>
      </c>
      <c r="Q151">
        <v>5883.0951724137922</v>
      </c>
      <c r="R151">
        <v>3056.6427586206892</v>
      </c>
      <c r="S151">
        <v>8939.7379310344822</v>
      </c>
      <c r="T151" t="s">
        <v>2994</v>
      </c>
      <c r="U151" t="s">
        <v>2991</v>
      </c>
      <c r="V151" t="str">
        <f t="shared" si="4"/>
        <v>Prospect SD 59</v>
      </c>
      <c r="W151" t="s">
        <v>2992</v>
      </c>
      <c r="X151" t="str">
        <f t="shared" si="5"/>
        <v>Prospect SD 59</v>
      </c>
    </row>
    <row r="152" spans="1:24" x14ac:dyDescent="0.35">
      <c r="A152" t="s">
        <v>173</v>
      </c>
      <c r="B152">
        <v>1946</v>
      </c>
      <c r="C152" t="s">
        <v>1777</v>
      </c>
      <c r="D152">
        <v>1710664.7000000004</v>
      </c>
      <c r="E152">
        <v>167356</v>
      </c>
      <c r="F152">
        <v>1878020.7000000004</v>
      </c>
      <c r="G152" t="s">
        <v>241</v>
      </c>
      <c r="H152">
        <v>11036.546451612907</v>
      </c>
      <c r="I152">
        <v>1079.7161290322581</v>
      </c>
      <c r="J152">
        <v>12116.262580645163</v>
      </c>
      <c r="K152" t="s">
        <v>240</v>
      </c>
      <c r="L152" t="s">
        <v>1534</v>
      </c>
      <c r="M152">
        <v>1601449.2299999997</v>
      </c>
      <c r="N152">
        <v>136644</v>
      </c>
      <c r="O152">
        <v>1738093.2299999997</v>
      </c>
      <c r="P152" t="s">
        <v>241</v>
      </c>
      <c r="Q152">
        <v>11198.945664335663</v>
      </c>
      <c r="R152">
        <v>955.55244755244757</v>
      </c>
      <c r="S152">
        <v>12154.49811188811</v>
      </c>
      <c r="T152" t="s">
        <v>241</v>
      </c>
      <c r="U152" t="s">
        <v>2991</v>
      </c>
      <c r="V152" t="str">
        <f t="shared" si="4"/>
        <v>Rainier SD 13</v>
      </c>
      <c r="W152" t="s">
        <v>2992</v>
      </c>
      <c r="X152" t="str">
        <f t="shared" si="5"/>
        <v>Rainier SD 13</v>
      </c>
    </row>
    <row r="153" spans="1:24" x14ac:dyDescent="0.35">
      <c r="A153" t="s">
        <v>174</v>
      </c>
      <c r="B153">
        <v>1977</v>
      </c>
      <c r="C153" t="s">
        <v>1777</v>
      </c>
      <c r="D153">
        <v>12078121.860000011</v>
      </c>
      <c r="E153">
        <v>1329550.8199999998</v>
      </c>
      <c r="F153">
        <v>13407672.680000011</v>
      </c>
      <c r="G153" t="s">
        <v>241</v>
      </c>
      <c r="H153">
        <v>13756.403029612768</v>
      </c>
      <c r="I153">
        <v>1514.2947835990888</v>
      </c>
      <c r="J153">
        <v>15270.697813211858</v>
      </c>
      <c r="K153" t="s">
        <v>241</v>
      </c>
      <c r="L153" t="s">
        <v>1534</v>
      </c>
      <c r="M153">
        <v>11162510.069999991</v>
      </c>
      <c r="N153">
        <v>1288446.8899999999</v>
      </c>
      <c r="O153">
        <v>12450956.959999992</v>
      </c>
      <c r="P153" t="s">
        <v>240</v>
      </c>
      <c r="Q153">
        <v>12444.269866220726</v>
      </c>
      <c r="R153">
        <v>1436.395641025641</v>
      </c>
      <c r="S153">
        <v>13880.665507246367</v>
      </c>
      <c r="T153" t="s">
        <v>240</v>
      </c>
      <c r="U153" t="s">
        <v>2991</v>
      </c>
      <c r="V153" t="str">
        <f t="shared" si="4"/>
        <v>Redmond SD 2J</v>
      </c>
      <c r="W153" t="s">
        <v>2992</v>
      </c>
      <c r="X153" t="str">
        <f t="shared" si="5"/>
        <v>Redmond SD 2J</v>
      </c>
    </row>
    <row r="154" spans="1:24" x14ac:dyDescent="0.35">
      <c r="A154" t="s">
        <v>175</v>
      </c>
      <c r="B154">
        <v>2001</v>
      </c>
      <c r="C154" t="s">
        <v>1777</v>
      </c>
      <c r="D154">
        <v>1419541.34</v>
      </c>
      <c r="E154">
        <v>328634</v>
      </c>
      <c r="F154">
        <v>1748175.34</v>
      </c>
      <c r="G154" t="s">
        <v>241</v>
      </c>
      <c r="H154">
        <v>13519.441333333334</v>
      </c>
      <c r="I154">
        <v>3129.847619047619</v>
      </c>
      <c r="J154">
        <v>16649.288952380954</v>
      </c>
      <c r="K154" t="s">
        <v>240</v>
      </c>
      <c r="L154" t="s">
        <v>1534</v>
      </c>
      <c r="M154">
        <v>1641713.1800000002</v>
      </c>
      <c r="N154">
        <v>216710.56</v>
      </c>
      <c r="O154">
        <v>1858423.7400000002</v>
      </c>
      <c r="P154" t="s">
        <v>2994</v>
      </c>
      <c r="Q154">
        <v>15938.96291262136</v>
      </c>
      <c r="R154">
        <v>2103.9860194174757</v>
      </c>
      <c r="S154">
        <v>18042.948932038838</v>
      </c>
      <c r="T154" t="s">
        <v>241</v>
      </c>
      <c r="U154" t="s">
        <v>2991</v>
      </c>
      <c r="V154" t="str">
        <f t="shared" si="4"/>
        <v>Reedsport SD 105</v>
      </c>
      <c r="W154" t="s">
        <v>2992</v>
      </c>
      <c r="X154" t="str">
        <f t="shared" si="5"/>
        <v>Reedsport SD 105</v>
      </c>
    </row>
    <row r="155" spans="1:24" x14ac:dyDescent="0.35">
      <c r="A155" t="s">
        <v>176</v>
      </c>
      <c r="B155">
        <v>2182</v>
      </c>
      <c r="C155" t="s">
        <v>1777</v>
      </c>
      <c r="D155">
        <v>22314499.090000015</v>
      </c>
      <c r="E155">
        <v>1816128.4500000002</v>
      </c>
      <c r="F155">
        <v>24130627.540000014</v>
      </c>
      <c r="G155" t="s">
        <v>2994</v>
      </c>
      <c r="H155">
        <v>14267.58253836318</v>
      </c>
      <c r="I155">
        <v>1161.207448849105</v>
      </c>
      <c r="J155">
        <v>15428.789987212285</v>
      </c>
      <c r="K155" t="s">
        <v>241</v>
      </c>
      <c r="L155" t="s">
        <v>1534</v>
      </c>
      <c r="M155">
        <v>21590093.610000007</v>
      </c>
      <c r="N155">
        <v>2518733.0099999998</v>
      </c>
      <c r="O155">
        <v>24108826.620000005</v>
      </c>
      <c r="P155" t="s">
        <v>241</v>
      </c>
      <c r="Q155">
        <v>13673.270177327428</v>
      </c>
      <c r="R155">
        <v>1595.1444015199493</v>
      </c>
      <c r="S155">
        <v>15268.414578847374</v>
      </c>
      <c r="T155" t="s">
        <v>241</v>
      </c>
      <c r="U155" t="s">
        <v>2991</v>
      </c>
      <c r="V155" t="str">
        <f t="shared" si="4"/>
        <v>Reynolds SD 7</v>
      </c>
      <c r="W155" t="s">
        <v>2992</v>
      </c>
      <c r="X155" t="str">
        <f t="shared" si="5"/>
        <v>Reynolds SD 7</v>
      </c>
    </row>
    <row r="156" spans="1:24" x14ac:dyDescent="0.35">
      <c r="A156" t="s">
        <v>177</v>
      </c>
      <c r="B156">
        <v>1999</v>
      </c>
      <c r="C156" t="s">
        <v>1777</v>
      </c>
      <c r="D156">
        <v>502598.88000000006</v>
      </c>
      <c r="E156">
        <v>136378.24999999997</v>
      </c>
      <c r="F156">
        <v>638977.13</v>
      </c>
      <c r="G156" t="s">
        <v>241</v>
      </c>
      <c r="H156">
        <v>7615.1345454545462</v>
      </c>
      <c r="I156">
        <v>2066.3371212121206</v>
      </c>
      <c r="J156">
        <v>9681.4716666666664</v>
      </c>
      <c r="K156" t="s">
        <v>241</v>
      </c>
      <c r="L156" t="s">
        <v>1534</v>
      </c>
      <c r="M156">
        <v>480478.08000000007</v>
      </c>
      <c r="N156">
        <v>141308.65</v>
      </c>
      <c r="O156">
        <v>621786.7300000001</v>
      </c>
      <c r="P156" t="s">
        <v>241</v>
      </c>
      <c r="Q156">
        <v>6767.296901408452</v>
      </c>
      <c r="R156">
        <v>1990.262676056338</v>
      </c>
      <c r="S156">
        <v>8757.55957746479</v>
      </c>
      <c r="T156" t="s">
        <v>240</v>
      </c>
      <c r="U156" t="s">
        <v>2991</v>
      </c>
      <c r="V156" t="str">
        <f t="shared" si="4"/>
        <v>Riddle SD 70</v>
      </c>
      <c r="W156" t="s">
        <v>2992</v>
      </c>
      <c r="X156" t="str">
        <f t="shared" si="5"/>
        <v>Riddle SD 70</v>
      </c>
    </row>
    <row r="157" spans="1:24" x14ac:dyDescent="0.35">
      <c r="A157" t="s">
        <v>178</v>
      </c>
      <c r="B157">
        <v>2188</v>
      </c>
      <c r="C157" t="s">
        <v>1777</v>
      </c>
      <c r="D157">
        <v>423715.5</v>
      </c>
      <c r="E157">
        <v>358574.44999999995</v>
      </c>
      <c r="F157">
        <v>782289.95</v>
      </c>
      <c r="G157" t="s">
        <v>241</v>
      </c>
      <c r="H157">
        <v>7061.9250000000002</v>
      </c>
      <c r="I157">
        <v>5976.2408333333324</v>
      </c>
      <c r="J157">
        <v>13038.165833333333</v>
      </c>
      <c r="K157" t="s">
        <v>240</v>
      </c>
      <c r="L157" t="s">
        <v>1534</v>
      </c>
      <c r="M157">
        <v>460402.98000000004</v>
      </c>
      <c r="N157">
        <v>309729</v>
      </c>
      <c r="O157">
        <v>770131.98</v>
      </c>
      <c r="P157" t="s">
        <v>241</v>
      </c>
      <c r="Q157">
        <v>8077.2452631578954</v>
      </c>
      <c r="R157">
        <v>5433.8421052631575</v>
      </c>
      <c r="S157">
        <v>13511.087368421053</v>
      </c>
      <c r="T157" t="s">
        <v>240</v>
      </c>
      <c r="U157" t="s">
        <v>2991</v>
      </c>
      <c r="V157" t="str">
        <f t="shared" si="4"/>
        <v>Riverdale SD 51J</v>
      </c>
      <c r="W157" t="s">
        <v>2992</v>
      </c>
      <c r="X157" t="str">
        <f t="shared" si="5"/>
        <v>Riverdale SD 51J</v>
      </c>
    </row>
    <row r="158" spans="1:24" x14ac:dyDescent="0.35">
      <c r="A158" t="s">
        <v>179</v>
      </c>
      <c r="B158">
        <v>2044</v>
      </c>
      <c r="C158" t="s">
        <v>1777</v>
      </c>
      <c r="D158">
        <v>1300935.3499999999</v>
      </c>
      <c r="E158">
        <v>406509.01</v>
      </c>
      <c r="F158">
        <v>1707444.3599999999</v>
      </c>
      <c r="G158" t="s">
        <v>241</v>
      </c>
      <c r="H158">
        <v>8790.1037162162156</v>
      </c>
      <c r="I158">
        <v>2746.6824999999999</v>
      </c>
      <c r="J158">
        <v>11536.786216216215</v>
      </c>
      <c r="K158" t="s">
        <v>241</v>
      </c>
      <c r="L158" t="s">
        <v>1534</v>
      </c>
      <c r="M158">
        <v>1214031.0399999998</v>
      </c>
      <c r="N158">
        <v>379065.87999999995</v>
      </c>
      <c r="O158">
        <v>1593096.9199999997</v>
      </c>
      <c r="P158" t="s">
        <v>2994</v>
      </c>
      <c r="Q158">
        <v>7934.8433986928094</v>
      </c>
      <c r="R158">
        <v>2477.5547712418297</v>
      </c>
      <c r="S158">
        <v>10412.398169934639</v>
      </c>
      <c r="T158" t="s">
        <v>241</v>
      </c>
      <c r="U158" t="s">
        <v>2991</v>
      </c>
      <c r="V158" t="str">
        <f t="shared" si="4"/>
        <v>Rogue River SD 35</v>
      </c>
      <c r="W158" t="s">
        <v>2992</v>
      </c>
      <c r="X158" t="str">
        <f t="shared" si="5"/>
        <v>Rogue River SD 35</v>
      </c>
    </row>
    <row r="159" spans="1:24" x14ac:dyDescent="0.35">
      <c r="A159" t="s">
        <v>180</v>
      </c>
      <c r="B159">
        <v>2142</v>
      </c>
      <c r="C159" t="s">
        <v>1777</v>
      </c>
      <c r="D159">
        <v>89425419.949999869</v>
      </c>
      <c r="E159">
        <v>0</v>
      </c>
      <c r="F159">
        <v>89425419.949999869</v>
      </c>
      <c r="G159" t="s">
        <v>2994</v>
      </c>
      <c r="H159">
        <v>13650.651801251697</v>
      </c>
      <c r="I159">
        <v>0</v>
      </c>
      <c r="J159">
        <v>13650.651801251697</v>
      </c>
      <c r="K159" t="s">
        <v>241</v>
      </c>
      <c r="L159" t="s">
        <v>1534</v>
      </c>
      <c r="M159">
        <v>88924096.170000032</v>
      </c>
      <c r="N159">
        <v>0</v>
      </c>
      <c r="O159">
        <v>88924096.170000032</v>
      </c>
      <c r="P159" t="s">
        <v>241</v>
      </c>
      <c r="Q159">
        <v>13455.000177031327</v>
      </c>
      <c r="R159">
        <v>0</v>
      </c>
      <c r="S159">
        <v>13455.000177031327</v>
      </c>
      <c r="T159" t="s">
        <v>241</v>
      </c>
      <c r="U159" t="s">
        <v>2991</v>
      </c>
      <c r="V159" t="str">
        <f t="shared" si="4"/>
        <v>Salem-Keizer SD 24J</v>
      </c>
      <c r="W159" t="s">
        <v>2992</v>
      </c>
      <c r="X159" t="str">
        <f t="shared" si="5"/>
        <v>Salem-Keizer SD 24J</v>
      </c>
    </row>
    <row r="160" spans="1:24" x14ac:dyDescent="0.35">
      <c r="A160" t="s">
        <v>181</v>
      </c>
      <c r="B160">
        <v>2104</v>
      </c>
      <c r="C160" t="s">
        <v>1777</v>
      </c>
      <c r="D160">
        <v>3540229.2699999986</v>
      </c>
      <c r="E160">
        <v>850558</v>
      </c>
      <c r="F160">
        <v>4390787.2699999986</v>
      </c>
      <c r="G160" t="s">
        <v>241</v>
      </c>
      <c r="H160">
        <v>6448.5050455373384</v>
      </c>
      <c r="I160">
        <v>1549.2859744990892</v>
      </c>
      <c r="J160">
        <v>7997.7910200364277</v>
      </c>
      <c r="K160" t="s">
        <v>241</v>
      </c>
      <c r="L160" t="s">
        <v>1534</v>
      </c>
      <c r="M160">
        <v>5019500.5700000012</v>
      </c>
      <c r="N160">
        <v>904965</v>
      </c>
      <c r="O160">
        <v>5924465.5700000012</v>
      </c>
      <c r="P160" t="s">
        <v>241</v>
      </c>
      <c r="Q160">
        <v>6773.9548852901498</v>
      </c>
      <c r="R160">
        <v>1221.2753036437248</v>
      </c>
      <c r="S160">
        <v>7995.2301889338751</v>
      </c>
      <c r="T160" t="s">
        <v>240</v>
      </c>
      <c r="U160" t="s">
        <v>2991</v>
      </c>
      <c r="V160" t="str">
        <f t="shared" si="4"/>
        <v>Santiam Canyon SD 129J</v>
      </c>
      <c r="W160" t="s">
        <v>2992</v>
      </c>
      <c r="X160" t="str">
        <f t="shared" si="5"/>
        <v>Santiam Canyon SD 129J</v>
      </c>
    </row>
    <row r="161" spans="1:24" x14ac:dyDescent="0.35">
      <c r="A161" t="s">
        <v>182</v>
      </c>
      <c r="B161">
        <v>1944</v>
      </c>
      <c r="C161" t="s">
        <v>1777</v>
      </c>
      <c r="D161">
        <v>3566712.7600000007</v>
      </c>
      <c r="E161">
        <v>1081977</v>
      </c>
      <c r="F161">
        <v>4648689.7600000007</v>
      </c>
      <c r="G161" t="s">
        <v>241</v>
      </c>
      <c r="H161">
        <v>10743.110722891568</v>
      </c>
      <c r="I161">
        <v>3258.9668674698796</v>
      </c>
      <c r="J161">
        <v>14002.077590361449</v>
      </c>
      <c r="K161" t="s">
        <v>241</v>
      </c>
      <c r="L161" t="s">
        <v>1534</v>
      </c>
      <c r="M161">
        <v>2871007.9500000007</v>
      </c>
      <c r="N161">
        <v>901437</v>
      </c>
      <c r="O161">
        <v>3772444.9500000007</v>
      </c>
      <c r="P161" t="s">
        <v>2994</v>
      </c>
      <c r="Q161">
        <v>9351.8174267101003</v>
      </c>
      <c r="R161">
        <v>2936.2768729641693</v>
      </c>
      <c r="S161">
        <v>12288.094299674269</v>
      </c>
      <c r="T161" t="s">
        <v>2994</v>
      </c>
      <c r="U161" t="s">
        <v>2991</v>
      </c>
      <c r="V161" t="str">
        <f t="shared" si="4"/>
        <v>Scappoose SD 1J</v>
      </c>
      <c r="W161" t="s">
        <v>2992</v>
      </c>
      <c r="X161" t="str">
        <f t="shared" si="5"/>
        <v>Scappoose SD 1J</v>
      </c>
    </row>
    <row r="162" spans="1:24" x14ac:dyDescent="0.35">
      <c r="A162" t="s">
        <v>183</v>
      </c>
      <c r="B162">
        <v>2103</v>
      </c>
      <c r="C162" t="s">
        <v>1777</v>
      </c>
      <c r="D162">
        <v>1577760.51</v>
      </c>
      <c r="E162">
        <v>386231</v>
      </c>
      <c r="F162">
        <v>1963991.51</v>
      </c>
      <c r="G162" t="s">
        <v>241</v>
      </c>
      <c r="H162">
        <v>5737.3109454545456</v>
      </c>
      <c r="I162">
        <v>1404.4763636363637</v>
      </c>
      <c r="J162">
        <v>7141.7873090909088</v>
      </c>
      <c r="K162" t="s">
        <v>240</v>
      </c>
      <c r="L162" t="s">
        <v>1534</v>
      </c>
      <c r="M162">
        <v>1659072</v>
      </c>
      <c r="N162">
        <v>292129</v>
      </c>
      <c r="O162">
        <v>1951201</v>
      </c>
      <c r="P162" t="s">
        <v>241</v>
      </c>
      <c r="Q162">
        <v>6213.7528089887637</v>
      </c>
      <c r="R162">
        <v>1094.1161048689139</v>
      </c>
      <c r="S162">
        <v>7307.8689138576783</v>
      </c>
      <c r="T162" t="s">
        <v>241</v>
      </c>
      <c r="U162" t="s">
        <v>2991</v>
      </c>
      <c r="V162" t="str">
        <f t="shared" si="4"/>
        <v>Scio SD 95</v>
      </c>
      <c r="W162" t="s">
        <v>2992</v>
      </c>
      <c r="X162" t="str">
        <f t="shared" si="5"/>
        <v>Scio SD 95</v>
      </c>
    </row>
    <row r="163" spans="1:24" x14ac:dyDescent="0.35">
      <c r="A163" t="s">
        <v>184</v>
      </c>
      <c r="B163">
        <v>1935</v>
      </c>
      <c r="C163" t="s">
        <v>1777</v>
      </c>
      <c r="D163">
        <v>2870870.4100000006</v>
      </c>
      <c r="E163">
        <v>465952</v>
      </c>
      <c r="F163">
        <v>3336822.4100000006</v>
      </c>
      <c r="G163" t="s">
        <v>240</v>
      </c>
      <c r="H163">
        <v>13415.282289719629</v>
      </c>
      <c r="I163">
        <v>2177.3457943925232</v>
      </c>
      <c r="J163">
        <v>15592.628084112152</v>
      </c>
      <c r="K163" t="s">
        <v>241</v>
      </c>
      <c r="L163" t="s">
        <v>1534</v>
      </c>
      <c r="M163">
        <v>2727533.25</v>
      </c>
      <c r="N163">
        <v>506509</v>
      </c>
      <c r="O163">
        <v>3234042.25</v>
      </c>
      <c r="P163" t="s">
        <v>241</v>
      </c>
      <c r="Q163">
        <v>11656.125</v>
      </c>
      <c r="R163">
        <v>2164.568376068376</v>
      </c>
      <c r="S163">
        <v>13820.693376068377</v>
      </c>
      <c r="T163" t="s">
        <v>241</v>
      </c>
      <c r="U163" t="s">
        <v>2991</v>
      </c>
      <c r="V163" t="str">
        <f t="shared" si="4"/>
        <v>Seaside SD 10</v>
      </c>
      <c r="W163" t="s">
        <v>2992</v>
      </c>
      <c r="X163" t="str">
        <f t="shared" si="5"/>
        <v>Seaside SD 10</v>
      </c>
    </row>
    <row r="164" spans="1:24" x14ac:dyDescent="0.35">
      <c r="A164" t="s">
        <v>185</v>
      </c>
      <c r="B164">
        <v>2257</v>
      </c>
      <c r="C164" t="s">
        <v>1777</v>
      </c>
      <c r="D164">
        <v>947545.66000000027</v>
      </c>
      <c r="E164">
        <v>192453.36</v>
      </c>
      <c r="F164">
        <v>1139999.0200000003</v>
      </c>
      <c r="G164" t="s">
        <v>241</v>
      </c>
      <c r="H164">
        <v>7018.8567407407427</v>
      </c>
      <c r="I164">
        <v>1425.5804444444443</v>
      </c>
      <c r="J164">
        <v>8444.4371851851865</v>
      </c>
      <c r="K164" t="s">
        <v>240</v>
      </c>
      <c r="L164" t="s">
        <v>1534</v>
      </c>
      <c r="M164">
        <v>941460.19000000018</v>
      </c>
      <c r="N164">
        <v>198087.05</v>
      </c>
      <c r="O164">
        <v>1139547.2400000002</v>
      </c>
      <c r="P164" t="s">
        <v>241</v>
      </c>
      <c r="Q164">
        <v>7355.1577343750014</v>
      </c>
      <c r="R164">
        <v>1547.5550781249999</v>
      </c>
      <c r="S164">
        <v>8902.7128125000017</v>
      </c>
      <c r="T164" t="s">
        <v>240</v>
      </c>
      <c r="U164" t="s">
        <v>2991</v>
      </c>
      <c r="V164" t="str">
        <f t="shared" si="4"/>
        <v>Sheridan SD 48J</v>
      </c>
      <c r="W164" t="s">
        <v>2992</v>
      </c>
      <c r="X164" t="str">
        <f t="shared" si="5"/>
        <v>Sheridan SD 48J</v>
      </c>
    </row>
    <row r="165" spans="1:24" x14ac:dyDescent="0.35">
      <c r="A165" t="s">
        <v>186</v>
      </c>
      <c r="B165">
        <v>2195</v>
      </c>
      <c r="C165" t="s">
        <v>1777</v>
      </c>
      <c r="D165">
        <v>52606.049999999996</v>
      </c>
      <c r="E165">
        <v>246777</v>
      </c>
      <c r="F165">
        <v>299383.05</v>
      </c>
      <c r="G165" t="s">
        <v>241</v>
      </c>
      <c r="H165">
        <v>1283.0743902439024</v>
      </c>
      <c r="I165">
        <v>6018.9512195121952</v>
      </c>
      <c r="J165">
        <v>7302.0256097560969</v>
      </c>
      <c r="K165" t="s">
        <v>241</v>
      </c>
      <c r="L165" t="s">
        <v>1534</v>
      </c>
      <c r="M165">
        <v>80688.059999999983</v>
      </c>
      <c r="N165">
        <v>218242</v>
      </c>
      <c r="O165">
        <v>298930.06</v>
      </c>
      <c r="P165" t="s">
        <v>241</v>
      </c>
      <c r="Q165">
        <v>1921.1442857142854</v>
      </c>
      <c r="R165">
        <v>5196.2380952380954</v>
      </c>
      <c r="S165">
        <v>7117.382380952381</v>
      </c>
      <c r="T165" t="s">
        <v>240</v>
      </c>
      <c r="U165" t="s">
        <v>2991</v>
      </c>
      <c r="V165" t="str">
        <f t="shared" si="4"/>
        <v>Sherman County SD</v>
      </c>
      <c r="W165" t="s">
        <v>2992</v>
      </c>
      <c r="X165" t="str">
        <f t="shared" si="5"/>
        <v>Sherman County SD</v>
      </c>
    </row>
    <row r="166" spans="1:24" x14ac:dyDescent="0.35">
      <c r="A166" t="s">
        <v>187</v>
      </c>
      <c r="B166">
        <v>2244</v>
      </c>
      <c r="C166" t="s">
        <v>1777</v>
      </c>
      <c r="D166">
        <v>6465052.0499999998</v>
      </c>
      <c r="E166">
        <v>1199319</v>
      </c>
      <c r="F166">
        <v>7664371.0499999998</v>
      </c>
      <c r="G166" t="s">
        <v>2994</v>
      </c>
      <c r="H166">
        <v>12267.650948766603</v>
      </c>
      <c r="I166">
        <v>2275.7476280834912</v>
      </c>
      <c r="J166">
        <v>14543.398576850095</v>
      </c>
      <c r="K166" t="s">
        <v>241</v>
      </c>
      <c r="L166" t="s">
        <v>1534</v>
      </c>
      <c r="M166">
        <v>6172288.8899999997</v>
      </c>
      <c r="N166">
        <v>1280190</v>
      </c>
      <c r="O166">
        <v>7452478.8899999997</v>
      </c>
      <c r="P166" t="s">
        <v>241</v>
      </c>
      <c r="Q166">
        <v>12031.752222222221</v>
      </c>
      <c r="R166">
        <v>2495.4970760233919</v>
      </c>
      <c r="S166">
        <v>14527.249298245613</v>
      </c>
      <c r="T166" t="s">
        <v>241</v>
      </c>
      <c r="U166" t="s">
        <v>2991</v>
      </c>
      <c r="V166" t="str">
        <f t="shared" si="4"/>
        <v>Sherwood SD 88J</v>
      </c>
      <c r="W166" t="s">
        <v>2992</v>
      </c>
      <c r="X166" t="str">
        <f t="shared" si="5"/>
        <v>Sherwood SD 88J</v>
      </c>
    </row>
    <row r="167" spans="1:24" x14ac:dyDescent="0.35">
      <c r="A167" t="s">
        <v>188</v>
      </c>
      <c r="B167">
        <v>2138</v>
      </c>
      <c r="C167" t="s">
        <v>1777</v>
      </c>
      <c r="D167">
        <v>6099034.7099999962</v>
      </c>
      <c r="E167">
        <v>344999.74</v>
      </c>
      <c r="F167">
        <v>6444034.4499999965</v>
      </c>
      <c r="G167" t="s">
        <v>241</v>
      </c>
      <c r="H167">
        <v>13375.076118421044</v>
      </c>
      <c r="I167">
        <v>756.57837719298243</v>
      </c>
      <c r="J167">
        <v>14131.654495614028</v>
      </c>
      <c r="K167" t="s">
        <v>240</v>
      </c>
      <c r="L167" t="s">
        <v>1534</v>
      </c>
      <c r="M167">
        <v>6537476.0499999933</v>
      </c>
      <c r="N167">
        <v>358075.4</v>
      </c>
      <c r="O167">
        <v>6895551.4499999937</v>
      </c>
      <c r="P167" t="s">
        <v>241</v>
      </c>
      <c r="Q167">
        <v>13792.143565400829</v>
      </c>
      <c r="R167">
        <v>755.43333333333339</v>
      </c>
      <c r="S167">
        <v>14547.576898734163</v>
      </c>
      <c r="T167" t="s">
        <v>241</v>
      </c>
      <c r="U167" t="s">
        <v>2991</v>
      </c>
      <c r="V167" t="str">
        <f t="shared" si="4"/>
        <v>Silver Falls SD 4J</v>
      </c>
      <c r="W167" t="s">
        <v>2992</v>
      </c>
      <c r="X167" t="str">
        <f t="shared" si="5"/>
        <v>Silver Falls SD 4J</v>
      </c>
    </row>
    <row r="168" spans="1:24" x14ac:dyDescent="0.35">
      <c r="A168" t="s">
        <v>189</v>
      </c>
      <c r="B168">
        <v>1978</v>
      </c>
      <c r="C168" t="s">
        <v>1777</v>
      </c>
      <c r="D168">
        <v>1437892.5900000005</v>
      </c>
      <c r="E168">
        <v>92465.11</v>
      </c>
      <c r="F168">
        <v>1530357.7000000007</v>
      </c>
      <c r="G168" t="s">
        <v>241</v>
      </c>
      <c r="H168">
        <v>11321.988897637799</v>
      </c>
      <c r="I168">
        <v>728.0717322834646</v>
      </c>
      <c r="J168">
        <v>12050.060629921265</v>
      </c>
      <c r="K168" t="s">
        <v>241</v>
      </c>
      <c r="L168" t="s">
        <v>1534</v>
      </c>
      <c r="M168">
        <v>1028447.7299999999</v>
      </c>
      <c r="N168">
        <v>158621.6</v>
      </c>
      <c r="O168">
        <v>1187069.3299999998</v>
      </c>
      <c r="P168" t="s">
        <v>241</v>
      </c>
      <c r="Q168">
        <v>8943.0237391304345</v>
      </c>
      <c r="R168">
        <v>1379.3182608695652</v>
      </c>
      <c r="S168">
        <v>10322.341999999999</v>
      </c>
      <c r="T168" t="s">
        <v>241</v>
      </c>
      <c r="U168" t="s">
        <v>2991</v>
      </c>
      <c r="V168" t="str">
        <f t="shared" si="4"/>
        <v>Sisters SD 6</v>
      </c>
      <c r="W168" t="s">
        <v>2992</v>
      </c>
      <c r="X168" t="str">
        <f t="shared" si="5"/>
        <v>Sisters SD 6</v>
      </c>
    </row>
    <row r="169" spans="1:24" x14ac:dyDescent="0.35">
      <c r="A169" t="s">
        <v>190</v>
      </c>
      <c r="B169">
        <v>2096</v>
      </c>
      <c r="C169" t="s">
        <v>1777</v>
      </c>
      <c r="D169">
        <v>2064569.91</v>
      </c>
      <c r="E169">
        <v>250839</v>
      </c>
      <c r="F169">
        <v>2315408.91</v>
      </c>
      <c r="G169" t="s">
        <v>241</v>
      </c>
      <c r="H169">
        <v>12003.313430232558</v>
      </c>
      <c r="I169">
        <v>1458.3662790697674</v>
      </c>
      <c r="J169">
        <v>13461.679709302327</v>
      </c>
      <c r="K169" t="s">
        <v>241</v>
      </c>
      <c r="L169" t="s">
        <v>1534</v>
      </c>
      <c r="M169">
        <v>1775955.0099999995</v>
      </c>
      <c r="N169">
        <v>215842</v>
      </c>
      <c r="O169">
        <v>1991797.0099999995</v>
      </c>
      <c r="P169" t="s">
        <v>2994</v>
      </c>
      <c r="Q169">
        <v>9497.085614973259</v>
      </c>
      <c r="R169">
        <v>1154.2352941176471</v>
      </c>
      <c r="S169">
        <v>10651.320909090906</v>
      </c>
      <c r="T169" t="s">
        <v>2994</v>
      </c>
      <c r="U169" t="s">
        <v>2991</v>
      </c>
      <c r="V169" t="str">
        <f t="shared" si="4"/>
        <v>Siuslaw SD 97J</v>
      </c>
      <c r="W169" t="s">
        <v>2992</v>
      </c>
      <c r="X169" t="str">
        <f t="shared" si="5"/>
        <v>Siuslaw SD 97J</v>
      </c>
    </row>
    <row r="170" spans="1:24" x14ac:dyDescent="0.35">
      <c r="A170" t="s">
        <v>191</v>
      </c>
      <c r="B170">
        <v>2022</v>
      </c>
      <c r="C170" t="s">
        <v>1777</v>
      </c>
      <c r="D170">
        <v>0</v>
      </c>
      <c r="E170">
        <v>22498.2</v>
      </c>
      <c r="F170">
        <v>22498.2</v>
      </c>
      <c r="G170" t="s">
        <v>241</v>
      </c>
      <c r="H170">
        <v>0</v>
      </c>
      <c r="I170">
        <v>11249.1</v>
      </c>
      <c r="J170">
        <v>11249.1</v>
      </c>
      <c r="K170" t="s">
        <v>241</v>
      </c>
      <c r="L170" t="s">
        <v>1534</v>
      </c>
      <c r="M170">
        <v>0</v>
      </c>
      <c r="N170">
        <v>23713.200000000001</v>
      </c>
      <c r="O170">
        <v>23713.200000000001</v>
      </c>
      <c r="P170" t="s">
        <v>241</v>
      </c>
      <c r="Q170">
        <v>0</v>
      </c>
      <c r="R170">
        <v>7904.4000000000005</v>
      </c>
      <c r="S170">
        <v>7904.4000000000005</v>
      </c>
      <c r="T170" t="s">
        <v>241</v>
      </c>
      <c r="U170" t="s">
        <v>2991</v>
      </c>
      <c r="V170" t="str">
        <f t="shared" si="4"/>
        <v>South Harney SD 33</v>
      </c>
      <c r="W170" t="s">
        <v>2992</v>
      </c>
      <c r="X170" t="str">
        <f t="shared" si="5"/>
        <v>South Harney SD 33</v>
      </c>
    </row>
    <row r="171" spans="1:24" x14ac:dyDescent="0.35">
      <c r="A171" t="s">
        <v>192</v>
      </c>
      <c r="B171">
        <v>2087</v>
      </c>
      <c r="C171" t="s">
        <v>1777</v>
      </c>
      <c r="D171">
        <v>5557949.7399999993</v>
      </c>
      <c r="E171">
        <v>1093893</v>
      </c>
      <c r="F171">
        <v>6651842.7399999993</v>
      </c>
      <c r="G171" t="s">
        <v>241</v>
      </c>
      <c r="H171">
        <v>11319.653238289204</v>
      </c>
      <c r="I171">
        <v>2227.8879837067211</v>
      </c>
      <c r="J171">
        <v>13547.541221995925</v>
      </c>
      <c r="K171" t="s">
        <v>241</v>
      </c>
      <c r="L171" t="s">
        <v>1534</v>
      </c>
      <c r="M171">
        <v>4723265.8</v>
      </c>
      <c r="N171">
        <v>1079189</v>
      </c>
      <c r="O171">
        <v>5802454.7999999998</v>
      </c>
      <c r="P171" t="s">
        <v>2994</v>
      </c>
      <c r="Q171">
        <v>9446.5316000000003</v>
      </c>
      <c r="R171">
        <v>2158.3780000000002</v>
      </c>
      <c r="S171">
        <v>11604.909599999999</v>
      </c>
      <c r="T171" t="s">
        <v>2994</v>
      </c>
      <c r="U171" t="s">
        <v>2991</v>
      </c>
      <c r="V171" t="str">
        <f t="shared" si="4"/>
        <v>South Lane SD 45J3</v>
      </c>
      <c r="W171" t="s">
        <v>2992</v>
      </c>
      <c r="X171" t="str">
        <f t="shared" si="5"/>
        <v>South Lane SD 45J3</v>
      </c>
    </row>
    <row r="172" spans="1:24" x14ac:dyDescent="0.35">
      <c r="A172" t="s">
        <v>193</v>
      </c>
      <c r="B172">
        <v>1994</v>
      </c>
      <c r="C172" t="s">
        <v>1777</v>
      </c>
      <c r="D172">
        <v>2170740.6899999995</v>
      </c>
      <c r="E172">
        <v>373191.81</v>
      </c>
      <c r="F172">
        <v>2543932.4999999995</v>
      </c>
      <c r="G172" t="s">
        <v>241</v>
      </c>
      <c r="H172">
        <v>9120.7592016806702</v>
      </c>
      <c r="I172">
        <v>1568.0328151260503</v>
      </c>
      <c r="J172">
        <v>10688.792016806721</v>
      </c>
      <c r="K172" t="s">
        <v>241</v>
      </c>
      <c r="L172" t="s">
        <v>1534</v>
      </c>
      <c r="M172">
        <v>1954014.19</v>
      </c>
      <c r="N172">
        <v>376074.51</v>
      </c>
      <c r="O172">
        <v>2330088.7000000002</v>
      </c>
      <c r="P172" t="s">
        <v>2994</v>
      </c>
      <c r="Q172">
        <v>7754.024563492063</v>
      </c>
      <c r="R172">
        <v>1492.3591666666666</v>
      </c>
      <c r="S172">
        <v>9246.38373015873</v>
      </c>
      <c r="T172" t="s">
        <v>241</v>
      </c>
      <c r="U172" t="s">
        <v>2991</v>
      </c>
      <c r="V172" t="str">
        <f t="shared" si="4"/>
        <v>South Umpqua SD 19</v>
      </c>
      <c r="W172" t="s">
        <v>2992</v>
      </c>
      <c r="X172" t="str">
        <f t="shared" si="5"/>
        <v>South Umpqua SD 19</v>
      </c>
    </row>
    <row r="173" spans="1:24" x14ac:dyDescent="0.35">
      <c r="A173" t="s">
        <v>194</v>
      </c>
      <c r="B173">
        <v>2225</v>
      </c>
      <c r="C173" t="s">
        <v>1777</v>
      </c>
      <c r="D173">
        <v>299810.9200000001</v>
      </c>
      <c r="E173">
        <v>0</v>
      </c>
      <c r="F173">
        <v>299810.9200000001</v>
      </c>
      <c r="G173" t="s">
        <v>241</v>
      </c>
      <c r="H173">
        <v>9085.1793939393974</v>
      </c>
      <c r="I173">
        <v>0</v>
      </c>
      <c r="J173">
        <v>9085.1793939393974</v>
      </c>
      <c r="K173" t="s">
        <v>241</v>
      </c>
      <c r="L173" t="s">
        <v>1534</v>
      </c>
      <c r="M173">
        <v>232040.06999999998</v>
      </c>
      <c r="N173">
        <v>0</v>
      </c>
      <c r="O173">
        <v>232040.06999999998</v>
      </c>
      <c r="P173" t="s">
        <v>2994</v>
      </c>
      <c r="Q173">
        <v>6106.3176315789469</v>
      </c>
      <c r="R173">
        <v>0</v>
      </c>
      <c r="S173">
        <v>6106.3176315789469</v>
      </c>
      <c r="T173" t="s">
        <v>240</v>
      </c>
      <c r="U173" t="s">
        <v>2991</v>
      </c>
      <c r="V173" t="str">
        <f t="shared" si="4"/>
        <v>South Wasco County SD 1</v>
      </c>
      <c r="W173" t="s">
        <v>2992</v>
      </c>
      <c r="X173" t="str">
        <f t="shared" si="5"/>
        <v>South Wasco County SD 1</v>
      </c>
    </row>
    <row r="174" spans="1:24" x14ac:dyDescent="0.35">
      <c r="A174" t="s">
        <v>195</v>
      </c>
      <c r="B174">
        <v>2247</v>
      </c>
      <c r="C174" t="s">
        <v>1777</v>
      </c>
      <c r="D174">
        <v>14166.189999999999</v>
      </c>
      <c r="E174">
        <v>56234</v>
      </c>
      <c r="F174">
        <v>70400.19</v>
      </c>
      <c r="G174" t="s">
        <v>241</v>
      </c>
      <c r="H174">
        <v>4722.0633333333326</v>
      </c>
      <c r="I174">
        <v>18744.666666666668</v>
      </c>
      <c r="J174">
        <v>23466.73</v>
      </c>
      <c r="K174" t="s">
        <v>241</v>
      </c>
      <c r="L174" t="s">
        <v>1534</v>
      </c>
      <c r="M174">
        <v>19888.77</v>
      </c>
      <c r="N174">
        <v>49806</v>
      </c>
      <c r="O174">
        <v>69694.77</v>
      </c>
      <c r="P174" t="s">
        <v>241</v>
      </c>
      <c r="Q174">
        <v>3314.7950000000001</v>
      </c>
      <c r="R174">
        <v>8301</v>
      </c>
      <c r="S174">
        <v>11615.795</v>
      </c>
      <c r="T174" t="s">
        <v>240</v>
      </c>
      <c r="U174" t="s">
        <v>2991</v>
      </c>
      <c r="V174" t="str">
        <f t="shared" si="4"/>
        <v>Spray SD 1</v>
      </c>
      <c r="W174" t="s">
        <v>2992</v>
      </c>
      <c r="X174" t="str">
        <f t="shared" si="5"/>
        <v>Spray SD 1</v>
      </c>
    </row>
    <row r="175" spans="1:24" x14ac:dyDescent="0.35">
      <c r="A175" t="s">
        <v>196</v>
      </c>
      <c r="B175">
        <v>2083</v>
      </c>
      <c r="C175" t="s">
        <v>1777</v>
      </c>
      <c r="D175">
        <v>19952681.539999999</v>
      </c>
      <c r="E175">
        <v>2623379</v>
      </c>
      <c r="F175">
        <v>22576060.539999999</v>
      </c>
      <c r="G175" t="s">
        <v>241</v>
      </c>
      <c r="H175">
        <v>12210.943414932681</v>
      </c>
      <c r="I175">
        <v>1605.4951040391677</v>
      </c>
      <c r="J175">
        <v>13816.438518971847</v>
      </c>
      <c r="K175" t="s">
        <v>241</v>
      </c>
      <c r="L175" t="s">
        <v>1534</v>
      </c>
      <c r="M175">
        <v>19139621.330000013</v>
      </c>
      <c r="N175">
        <v>2069326</v>
      </c>
      <c r="O175">
        <v>21208947.330000013</v>
      </c>
      <c r="P175" t="s">
        <v>240</v>
      </c>
      <c r="Q175">
        <v>11742.098975460131</v>
      </c>
      <c r="R175">
        <v>1269.5251533742332</v>
      </c>
      <c r="S175">
        <v>13011.624128834364</v>
      </c>
      <c r="T175" t="s">
        <v>2994</v>
      </c>
      <c r="U175" t="s">
        <v>2991</v>
      </c>
      <c r="V175" t="str">
        <f t="shared" si="4"/>
        <v>Springfield SD 19</v>
      </c>
      <c r="W175" t="s">
        <v>2992</v>
      </c>
      <c r="X175" t="str">
        <f t="shared" si="5"/>
        <v>Springfield SD 19</v>
      </c>
    </row>
    <row r="176" spans="1:24" x14ac:dyDescent="0.35">
      <c r="A176" t="s">
        <v>197</v>
      </c>
      <c r="B176">
        <v>1948</v>
      </c>
      <c r="C176" t="s">
        <v>1777</v>
      </c>
      <c r="D176">
        <v>4452772.2299999986</v>
      </c>
      <c r="E176">
        <v>803149</v>
      </c>
      <c r="F176">
        <v>5255921.2299999986</v>
      </c>
      <c r="G176" t="s">
        <v>2994</v>
      </c>
      <c r="H176">
        <v>9851.2659955752188</v>
      </c>
      <c r="I176">
        <v>1776.8783185840707</v>
      </c>
      <c r="J176">
        <v>11628.144314159288</v>
      </c>
      <c r="K176" t="s">
        <v>240</v>
      </c>
      <c r="L176" t="s">
        <v>1534</v>
      </c>
      <c r="M176">
        <v>4213940.57</v>
      </c>
      <c r="N176">
        <v>961783</v>
      </c>
      <c r="O176">
        <v>5175723.57</v>
      </c>
      <c r="P176" t="s">
        <v>2994</v>
      </c>
      <c r="Q176">
        <v>9777.1242923433874</v>
      </c>
      <c r="R176">
        <v>2231.5150812064967</v>
      </c>
      <c r="S176">
        <v>12008.639373549884</v>
      </c>
      <c r="T176" t="s">
        <v>2994</v>
      </c>
      <c r="U176" t="s">
        <v>2991</v>
      </c>
      <c r="V176" t="str">
        <f t="shared" si="4"/>
        <v>St Helens SD 502</v>
      </c>
      <c r="W176" t="s">
        <v>2992</v>
      </c>
      <c r="X176" t="str">
        <f t="shared" si="5"/>
        <v>St Helens SD 502</v>
      </c>
    </row>
    <row r="177" spans="1:24" x14ac:dyDescent="0.35">
      <c r="A177" t="s">
        <v>198</v>
      </c>
      <c r="B177">
        <v>2144</v>
      </c>
      <c r="C177" t="s">
        <v>1777</v>
      </c>
      <c r="D177">
        <v>129528.70999999999</v>
      </c>
      <c r="E177">
        <v>27688.91</v>
      </c>
      <c r="F177">
        <v>157217.62</v>
      </c>
      <c r="G177" t="s">
        <v>241</v>
      </c>
      <c r="H177">
        <v>8635.2473333333328</v>
      </c>
      <c r="I177">
        <v>1845.9273333333333</v>
      </c>
      <c r="J177">
        <v>10481.174666666666</v>
      </c>
      <c r="K177" t="s">
        <v>240</v>
      </c>
      <c r="L177" t="s">
        <v>1534</v>
      </c>
      <c r="M177">
        <v>229413.69</v>
      </c>
      <c r="N177">
        <v>24489.899999999998</v>
      </c>
      <c r="O177">
        <v>253903.59</v>
      </c>
      <c r="P177" t="s">
        <v>241</v>
      </c>
      <c r="Q177">
        <v>16386.692142857144</v>
      </c>
      <c r="R177">
        <v>1749.2785714285712</v>
      </c>
      <c r="S177">
        <v>18135.970714285715</v>
      </c>
      <c r="T177" t="s">
        <v>241</v>
      </c>
      <c r="U177" t="s">
        <v>2991</v>
      </c>
      <c r="V177" t="str">
        <f t="shared" si="4"/>
        <v>St Paul SD 45</v>
      </c>
      <c r="W177" t="s">
        <v>2992</v>
      </c>
      <c r="X177" t="str">
        <f t="shared" si="5"/>
        <v>St Paul SD 45</v>
      </c>
    </row>
    <row r="178" spans="1:24" x14ac:dyDescent="0.35">
      <c r="A178" t="s">
        <v>199</v>
      </c>
      <c r="B178">
        <v>2209</v>
      </c>
      <c r="C178" t="s">
        <v>1777</v>
      </c>
      <c r="D178">
        <v>638970.99</v>
      </c>
      <c r="E178">
        <v>143031.63</v>
      </c>
      <c r="F178">
        <v>782002.62</v>
      </c>
      <c r="G178" t="s">
        <v>2994</v>
      </c>
      <c r="H178">
        <v>8519.6131999999998</v>
      </c>
      <c r="I178">
        <v>1907.0884000000001</v>
      </c>
      <c r="J178">
        <v>10426.7016</v>
      </c>
      <c r="K178" t="s">
        <v>241</v>
      </c>
      <c r="L178" t="s">
        <v>1534</v>
      </c>
      <c r="M178">
        <v>410376.25</v>
      </c>
      <c r="N178">
        <v>136673.37</v>
      </c>
      <c r="O178">
        <v>547049.62</v>
      </c>
      <c r="P178" t="s">
        <v>2994</v>
      </c>
      <c r="Q178">
        <v>5779.9471830985913</v>
      </c>
      <c r="R178">
        <v>1924.9770422535209</v>
      </c>
      <c r="S178">
        <v>7704.9242253521124</v>
      </c>
      <c r="T178" t="s">
        <v>2994</v>
      </c>
      <c r="U178" t="s">
        <v>2991</v>
      </c>
      <c r="V178" t="str">
        <f t="shared" si="4"/>
        <v>Stanfield SD 61</v>
      </c>
      <c r="W178" t="s">
        <v>2992</v>
      </c>
      <c r="X178" t="str">
        <f t="shared" si="5"/>
        <v>Stanfield SD 61</v>
      </c>
    </row>
    <row r="179" spans="1:24" x14ac:dyDescent="0.35">
      <c r="A179" t="s">
        <v>200</v>
      </c>
      <c r="B179">
        <v>2018</v>
      </c>
      <c r="C179" t="s">
        <v>1777</v>
      </c>
      <c r="D179">
        <v>0</v>
      </c>
      <c r="E179">
        <v>16233</v>
      </c>
      <c r="F179">
        <v>16233</v>
      </c>
      <c r="G179" t="s">
        <v>240</v>
      </c>
      <c r="H179">
        <v>0</v>
      </c>
      <c r="I179">
        <v>0</v>
      </c>
      <c r="J179">
        <v>0</v>
      </c>
      <c r="K179" t="s">
        <v>240</v>
      </c>
      <c r="L179" t="s">
        <v>1534</v>
      </c>
      <c r="M179">
        <v>0</v>
      </c>
      <c r="N179">
        <v>16863.350000000002</v>
      </c>
      <c r="O179">
        <v>16863.350000000002</v>
      </c>
      <c r="P179" t="s">
        <v>240</v>
      </c>
      <c r="Q179">
        <v>0</v>
      </c>
      <c r="R179">
        <v>16863.350000000002</v>
      </c>
      <c r="S179">
        <v>16863.350000000002</v>
      </c>
      <c r="T179" t="s">
        <v>240</v>
      </c>
      <c r="U179" t="s">
        <v>2991</v>
      </c>
      <c r="V179" t="str">
        <f t="shared" si="4"/>
        <v>Suntex SD 10</v>
      </c>
      <c r="W179" t="s">
        <v>2992</v>
      </c>
      <c r="X179" t="str">
        <f t="shared" si="5"/>
        <v>Suntex SD 10</v>
      </c>
    </row>
    <row r="180" spans="1:24" x14ac:dyDescent="0.35">
      <c r="A180" t="s">
        <v>201</v>
      </c>
      <c r="B180">
        <v>2003</v>
      </c>
      <c r="C180" t="s">
        <v>1777</v>
      </c>
      <c r="D180">
        <v>1394651</v>
      </c>
      <c r="E180">
        <v>299165.27</v>
      </c>
      <c r="F180">
        <v>1693816.27</v>
      </c>
      <c r="G180" t="s">
        <v>241</v>
      </c>
      <c r="H180">
        <v>6578.5424528301883</v>
      </c>
      <c r="I180">
        <v>1411.1569339622642</v>
      </c>
      <c r="J180">
        <v>7989.699386792453</v>
      </c>
      <c r="K180" t="s">
        <v>240</v>
      </c>
      <c r="L180" t="s">
        <v>1534</v>
      </c>
      <c r="M180">
        <v>1264007</v>
      </c>
      <c r="N180">
        <v>314791.50000000006</v>
      </c>
      <c r="O180">
        <v>1578798.5</v>
      </c>
      <c r="P180" t="s">
        <v>2994</v>
      </c>
      <c r="Q180">
        <v>7061.4916201117321</v>
      </c>
      <c r="R180">
        <v>1758.6117318435759</v>
      </c>
      <c r="S180">
        <v>8820.1033519553075</v>
      </c>
      <c r="T180" t="s">
        <v>241</v>
      </c>
      <c r="U180" t="s">
        <v>2991</v>
      </c>
      <c r="V180" t="str">
        <f t="shared" si="4"/>
        <v>Sutherlin SD 130</v>
      </c>
      <c r="W180" t="s">
        <v>2992</v>
      </c>
      <c r="X180" t="str">
        <f t="shared" si="5"/>
        <v>Sutherlin SD 130</v>
      </c>
    </row>
    <row r="181" spans="1:24" x14ac:dyDescent="0.35">
      <c r="A181" t="s">
        <v>202</v>
      </c>
      <c r="B181">
        <v>2102</v>
      </c>
      <c r="C181" t="s">
        <v>1777</v>
      </c>
      <c r="D181">
        <v>3193917.6399999978</v>
      </c>
      <c r="E181">
        <v>531309</v>
      </c>
      <c r="F181">
        <v>3725226.6399999978</v>
      </c>
      <c r="G181" t="s">
        <v>241</v>
      </c>
      <c r="H181">
        <v>7847.4634889434838</v>
      </c>
      <c r="I181">
        <v>1305.4275184275184</v>
      </c>
      <c r="J181">
        <v>9152.8910073710013</v>
      </c>
      <c r="K181" t="s">
        <v>240</v>
      </c>
      <c r="L181" t="s">
        <v>1534</v>
      </c>
      <c r="M181">
        <v>3104789.1900000013</v>
      </c>
      <c r="N181">
        <v>499489</v>
      </c>
      <c r="O181">
        <v>3604278.1900000013</v>
      </c>
      <c r="P181" t="s">
        <v>2994</v>
      </c>
      <c r="Q181">
        <v>8085.3885156250035</v>
      </c>
      <c r="R181">
        <v>1300.7526041666667</v>
      </c>
      <c r="S181">
        <v>9386.1411197916696</v>
      </c>
      <c r="T181" t="s">
        <v>241</v>
      </c>
      <c r="U181" t="s">
        <v>2991</v>
      </c>
      <c r="V181" t="str">
        <f t="shared" si="4"/>
        <v>Sweet Home SD 55</v>
      </c>
      <c r="W181" t="s">
        <v>2992</v>
      </c>
      <c r="X181" t="str">
        <f t="shared" si="5"/>
        <v>Sweet Home SD 55</v>
      </c>
    </row>
    <row r="182" spans="1:24" x14ac:dyDescent="0.35">
      <c r="A182" t="s">
        <v>2993</v>
      </c>
      <c r="B182">
        <v>2055</v>
      </c>
      <c r="C182" t="s">
        <v>1777</v>
      </c>
      <c r="D182">
        <v>8243797.4100000039</v>
      </c>
      <c r="E182">
        <v>239451.53</v>
      </c>
      <c r="F182">
        <v>8483248.9400000032</v>
      </c>
      <c r="G182" t="s">
        <v>241</v>
      </c>
      <c r="H182">
        <v>13558.877319078954</v>
      </c>
      <c r="I182">
        <v>393.83475328947367</v>
      </c>
      <c r="J182">
        <v>13952.712072368426</v>
      </c>
      <c r="K182" t="s">
        <v>240</v>
      </c>
      <c r="L182" t="s">
        <v>1534</v>
      </c>
      <c r="M182">
        <v>8167346.480000006</v>
      </c>
      <c r="N182">
        <v>147178.18</v>
      </c>
      <c r="O182">
        <v>8314524.6600000057</v>
      </c>
      <c r="P182" t="s">
        <v>2994</v>
      </c>
      <c r="Q182">
        <v>15152.776400742126</v>
      </c>
      <c r="R182">
        <v>273.05784786641931</v>
      </c>
      <c r="S182">
        <v>15425.834248608546</v>
      </c>
      <c r="T182" t="s">
        <v>241</v>
      </c>
      <c r="U182" t="s">
        <v>2991</v>
      </c>
      <c r="V182" t="str">
        <f t="shared" si="4"/>
        <v>Three Rivers-Josephine County SD</v>
      </c>
      <c r="W182" t="s">
        <v>2992</v>
      </c>
      <c r="X182" t="str">
        <f t="shared" si="5"/>
        <v>Three Rivers-Josephine County SD</v>
      </c>
    </row>
    <row r="183" spans="1:24" x14ac:dyDescent="0.35">
      <c r="A183" t="s">
        <v>204</v>
      </c>
      <c r="B183">
        <v>2242</v>
      </c>
      <c r="C183" t="s">
        <v>1777</v>
      </c>
      <c r="D183">
        <v>13009743.749999998</v>
      </c>
      <c r="E183">
        <v>3629408</v>
      </c>
      <c r="F183">
        <v>16639151.749999998</v>
      </c>
      <c r="G183" t="s">
        <v>241</v>
      </c>
      <c r="H183">
        <v>9687.0765078183158</v>
      </c>
      <c r="I183">
        <v>2702.4631422189127</v>
      </c>
      <c r="J183">
        <v>12389.539650037228</v>
      </c>
      <c r="K183" t="s">
        <v>241</v>
      </c>
      <c r="L183" t="s">
        <v>1534</v>
      </c>
      <c r="M183">
        <v>12913076.150000002</v>
      </c>
      <c r="N183">
        <v>3349744</v>
      </c>
      <c r="O183">
        <v>16262820.150000002</v>
      </c>
      <c r="P183" t="s">
        <v>2994</v>
      </c>
      <c r="Q183">
        <v>9177.7371357498232</v>
      </c>
      <c r="R183">
        <v>2380.7704335465528</v>
      </c>
      <c r="S183">
        <v>11558.507569296376</v>
      </c>
      <c r="T183" t="s">
        <v>2994</v>
      </c>
      <c r="U183" t="s">
        <v>2991</v>
      </c>
      <c r="V183" t="str">
        <f t="shared" si="4"/>
        <v>Tigard-Tualatin SD 23J</v>
      </c>
      <c r="W183" t="s">
        <v>2992</v>
      </c>
      <c r="X183" t="str">
        <f t="shared" si="5"/>
        <v>Tigard-Tualatin SD 23J</v>
      </c>
    </row>
    <row r="184" spans="1:24" x14ac:dyDescent="0.35">
      <c r="A184" t="s">
        <v>205</v>
      </c>
      <c r="B184">
        <v>2197</v>
      </c>
      <c r="C184" t="s">
        <v>1777</v>
      </c>
      <c r="D184">
        <v>3889420.1400000006</v>
      </c>
      <c r="E184">
        <v>593778</v>
      </c>
      <c r="F184">
        <v>4483198.1400000006</v>
      </c>
      <c r="G184" t="s">
        <v>241</v>
      </c>
      <c r="H184">
        <v>11049.489034090911</v>
      </c>
      <c r="I184">
        <v>1686.8693181818182</v>
      </c>
      <c r="J184">
        <v>12736.358352272729</v>
      </c>
      <c r="K184" t="s">
        <v>240</v>
      </c>
      <c r="L184" t="s">
        <v>1534</v>
      </c>
      <c r="M184">
        <v>3798625.44</v>
      </c>
      <c r="N184">
        <v>635192</v>
      </c>
      <c r="O184">
        <v>4433817.4399999995</v>
      </c>
      <c r="P184" t="s">
        <v>241</v>
      </c>
      <c r="Q184">
        <v>11010.50852173913</v>
      </c>
      <c r="R184">
        <v>1841.1362318840579</v>
      </c>
      <c r="S184">
        <v>12851.644753623186</v>
      </c>
      <c r="T184" t="s">
        <v>241</v>
      </c>
      <c r="U184" t="s">
        <v>2991</v>
      </c>
      <c r="V184" t="str">
        <f t="shared" si="4"/>
        <v>Tillamook SD 9</v>
      </c>
      <c r="W184" t="s">
        <v>2992</v>
      </c>
      <c r="X184" t="str">
        <f t="shared" si="5"/>
        <v>Tillamook SD 9</v>
      </c>
    </row>
    <row r="185" spans="1:24" x14ac:dyDescent="0.35">
      <c r="A185" t="s">
        <v>206</v>
      </c>
      <c r="B185">
        <v>2222</v>
      </c>
      <c r="C185" t="s">
        <v>1777</v>
      </c>
      <c r="D185">
        <v>0</v>
      </c>
      <c r="E185">
        <v>3700</v>
      </c>
      <c r="F185">
        <v>3700</v>
      </c>
      <c r="G185" t="s">
        <v>241</v>
      </c>
      <c r="H185">
        <v>0</v>
      </c>
      <c r="I185">
        <v>0</v>
      </c>
      <c r="J185">
        <v>0</v>
      </c>
      <c r="K185" t="s">
        <v>241</v>
      </c>
      <c r="L185" t="s">
        <v>1534</v>
      </c>
      <c r="M185">
        <v>0</v>
      </c>
      <c r="N185">
        <v>3700</v>
      </c>
      <c r="O185">
        <v>3700</v>
      </c>
      <c r="P185" t="s">
        <v>241</v>
      </c>
      <c r="Q185">
        <v>0</v>
      </c>
      <c r="R185">
        <v>0</v>
      </c>
      <c r="S185">
        <v>0</v>
      </c>
      <c r="T185" t="s">
        <v>240</v>
      </c>
      <c r="U185" t="s">
        <v>2991</v>
      </c>
      <c r="V185" t="str">
        <f t="shared" si="4"/>
        <v>Troy SD 54</v>
      </c>
      <c r="W185" t="s">
        <v>2992</v>
      </c>
      <c r="X185" t="str">
        <f t="shared" si="5"/>
        <v>Troy SD 54</v>
      </c>
    </row>
    <row r="186" spans="1:24" x14ac:dyDescent="0.35">
      <c r="A186" t="s">
        <v>207</v>
      </c>
      <c r="B186">
        <v>2210</v>
      </c>
      <c r="C186" t="s">
        <v>1777</v>
      </c>
      <c r="D186">
        <v>10700.55</v>
      </c>
      <c r="E186">
        <v>8168.12</v>
      </c>
      <c r="F186">
        <v>18868.669999999998</v>
      </c>
      <c r="G186" t="s">
        <v>241</v>
      </c>
      <c r="H186">
        <v>3566.85</v>
      </c>
      <c r="I186">
        <v>2722.7066666666665</v>
      </c>
      <c r="J186">
        <v>6289.5566666666664</v>
      </c>
      <c r="K186" t="s">
        <v>241</v>
      </c>
      <c r="L186" t="s">
        <v>1534</v>
      </c>
      <c r="M186">
        <v>5642.24</v>
      </c>
      <c r="N186">
        <v>7897.66</v>
      </c>
      <c r="O186">
        <v>13539.9</v>
      </c>
      <c r="P186" t="s">
        <v>241</v>
      </c>
      <c r="Q186">
        <v>1128.4479999999999</v>
      </c>
      <c r="R186">
        <v>1579.5319999999999</v>
      </c>
      <c r="S186">
        <v>2707.98</v>
      </c>
      <c r="T186" t="s">
        <v>240</v>
      </c>
      <c r="U186" t="s">
        <v>2991</v>
      </c>
      <c r="V186" t="str">
        <f t="shared" si="4"/>
        <v>Ukiah SD 80R</v>
      </c>
      <c r="W186" t="s">
        <v>2992</v>
      </c>
      <c r="X186" t="str">
        <f t="shared" si="5"/>
        <v>Ukiah SD 80R</v>
      </c>
    </row>
    <row r="187" spans="1:24" x14ac:dyDescent="0.35">
      <c r="A187" t="s">
        <v>208</v>
      </c>
      <c r="B187">
        <v>2204</v>
      </c>
      <c r="C187" t="s">
        <v>1777</v>
      </c>
      <c r="D187">
        <v>1504119.5699999998</v>
      </c>
      <c r="E187">
        <v>282110.95</v>
      </c>
      <c r="F187">
        <v>1786230.5199999998</v>
      </c>
      <c r="G187" t="s">
        <v>241</v>
      </c>
      <c r="H187">
        <v>9830.8468627450966</v>
      </c>
      <c r="I187">
        <v>1843.8624183006536</v>
      </c>
      <c r="J187">
        <v>11674.709281045751</v>
      </c>
      <c r="K187" t="s">
        <v>240</v>
      </c>
      <c r="L187" t="s">
        <v>1534</v>
      </c>
      <c r="M187">
        <v>1523356.0999999994</v>
      </c>
      <c r="N187">
        <v>255901.25999999998</v>
      </c>
      <c r="O187">
        <v>1779257.3599999994</v>
      </c>
      <c r="P187" t="s">
        <v>2994</v>
      </c>
      <c r="Q187">
        <v>11453.80526315789</v>
      </c>
      <c r="R187">
        <v>1924.0696240601503</v>
      </c>
      <c r="S187">
        <v>13377.87488721804</v>
      </c>
      <c r="T187" t="s">
        <v>241</v>
      </c>
      <c r="U187" t="s">
        <v>2991</v>
      </c>
      <c r="V187" t="str">
        <f t="shared" si="4"/>
        <v>Umatilla SD 6R</v>
      </c>
      <c r="W187" t="s">
        <v>2992</v>
      </c>
      <c r="X187" t="str">
        <f t="shared" si="5"/>
        <v>Umatilla SD 6R</v>
      </c>
    </row>
    <row r="188" spans="1:24" x14ac:dyDescent="0.35">
      <c r="A188" t="s">
        <v>209</v>
      </c>
      <c r="B188">
        <v>2213</v>
      </c>
      <c r="C188" t="s">
        <v>1777</v>
      </c>
      <c r="D188">
        <v>393606.41000000003</v>
      </c>
      <c r="E188">
        <v>81042.11</v>
      </c>
      <c r="F188">
        <v>474648.52</v>
      </c>
      <c r="G188" t="s">
        <v>241</v>
      </c>
      <c r="H188">
        <v>7289.007592592593</v>
      </c>
      <c r="I188">
        <v>1500.7798148148149</v>
      </c>
      <c r="J188">
        <v>8789.787407407408</v>
      </c>
      <c r="K188" t="s">
        <v>240</v>
      </c>
      <c r="L188" t="s">
        <v>1534</v>
      </c>
      <c r="M188">
        <v>397252.07</v>
      </c>
      <c r="N188">
        <v>75987.650000000009</v>
      </c>
      <c r="O188">
        <v>473239.72000000003</v>
      </c>
      <c r="P188" t="s">
        <v>241</v>
      </c>
      <c r="Q188">
        <v>9028.4561363636367</v>
      </c>
      <c r="R188">
        <v>1726.9920454545456</v>
      </c>
      <c r="S188">
        <v>10755.448181818183</v>
      </c>
      <c r="T188" t="s">
        <v>240</v>
      </c>
      <c r="U188" t="s">
        <v>2991</v>
      </c>
      <c r="V188" t="str">
        <f t="shared" si="4"/>
        <v>Union SD 5</v>
      </c>
      <c r="W188" t="s">
        <v>2992</v>
      </c>
      <c r="X188" t="str">
        <f t="shared" si="5"/>
        <v>Union SD 5</v>
      </c>
    </row>
    <row r="189" spans="1:24" x14ac:dyDescent="0.35">
      <c r="A189" t="s">
        <v>210</v>
      </c>
      <c r="B189">
        <v>2116</v>
      </c>
      <c r="C189" t="s">
        <v>1777</v>
      </c>
      <c r="D189">
        <v>907179.99</v>
      </c>
      <c r="E189">
        <v>308411.40999999997</v>
      </c>
      <c r="F189">
        <v>1215591.3999999999</v>
      </c>
      <c r="G189" t="s">
        <v>241</v>
      </c>
      <c r="H189">
        <v>9449.7915625000005</v>
      </c>
      <c r="I189">
        <v>3212.6188541666666</v>
      </c>
      <c r="J189">
        <v>12662.410416666666</v>
      </c>
      <c r="K189" t="s">
        <v>241</v>
      </c>
      <c r="L189" t="s">
        <v>1534</v>
      </c>
      <c r="M189">
        <v>814101.42</v>
      </c>
      <c r="N189">
        <v>389715.73</v>
      </c>
      <c r="O189">
        <v>1203817.1499999999</v>
      </c>
      <c r="P189" t="s">
        <v>2994</v>
      </c>
      <c r="Q189">
        <v>7753.3468571428575</v>
      </c>
      <c r="R189">
        <v>3711.5783809523809</v>
      </c>
      <c r="S189">
        <v>11464.925238095237</v>
      </c>
      <c r="T189" t="s">
        <v>241</v>
      </c>
      <c r="U189" t="s">
        <v>2991</v>
      </c>
      <c r="V189" t="str">
        <f t="shared" si="4"/>
        <v>Vale SD 84</v>
      </c>
      <c r="W189" t="s">
        <v>2992</v>
      </c>
      <c r="X189" t="str">
        <f t="shared" si="5"/>
        <v>Vale SD 84</v>
      </c>
    </row>
    <row r="190" spans="1:24" x14ac:dyDescent="0.35">
      <c r="A190" t="s">
        <v>211</v>
      </c>
      <c r="B190">
        <v>1947</v>
      </c>
      <c r="C190" t="s">
        <v>1777</v>
      </c>
      <c r="D190">
        <v>1230943.6400000004</v>
      </c>
      <c r="E190">
        <v>84411</v>
      </c>
      <c r="F190">
        <v>1315354.6400000004</v>
      </c>
      <c r="G190" t="s">
        <v>2994</v>
      </c>
      <c r="H190">
        <v>13095.145106382983</v>
      </c>
      <c r="I190">
        <v>897.98936170212767</v>
      </c>
      <c r="J190">
        <v>13993.134468085111</v>
      </c>
      <c r="K190" t="s">
        <v>240</v>
      </c>
      <c r="L190" t="s">
        <v>1534</v>
      </c>
      <c r="M190">
        <v>1112683.48</v>
      </c>
      <c r="N190">
        <v>196640</v>
      </c>
      <c r="O190">
        <v>1309323.48</v>
      </c>
      <c r="P190" t="s">
        <v>241</v>
      </c>
      <c r="Q190">
        <v>13569.310731707317</v>
      </c>
      <c r="R190">
        <v>2398.0487804878048</v>
      </c>
      <c r="S190">
        <v>15967.359512195122</v>
      </c>
      <c r="T190" t="s">
        <v>241</v>
      </c>
      <c r="U190" t="s">
        <v>2991</v>
      </c>
      <c r="V190" t="str">
        <f t="shared" si="4"/>
        <v>Vernonia SD 47J</v>
      </c>
      <c r="W190" t="s">
        <v>2992</v>
      </c>
      <c r="X190" t="str">
        <f t="shared" si="5"/>
        <v>Vernonia SD 47J</v>
      </c>
    </row>
    <row r="191" spans="1:24" x14ac:dyDescent="0.35">
      <c r="A191" t="s">
        <v>212</v>
      </c>
      <c r="B191">
        <v>2220</v>
      </c>
      <c r="C191" t="s">
        <v>1777</v>
      </c>
      <c r="D191">
        <v>147377.24000000002</v>
      </c>
      <c r="E191">
        <v>162548.58000000002</v>
      </c>
      <c r="F191">
        <v>309925.82000000007</v>
      </c>
      <c r="G191" t="s">
        <v>2994</v>
      </c>
      <c r="H191">
        <v>5081.9737931034488</v>
      </c>
      <c r="I191">
        <v>5605.1234482758628</v>
      </c>
      <c r="J191">
        <v>10687.097241379313</v>
      </c>
      <c r="K191" t="s">
        <v>240</v>
      </c>
      <c r="L191" t="s">
        <v>1534</v>
      </c>
      <c r="M191">
        <v>160416.35999999999</v>
      </c>
      <c r="N191">
        <v>158170.59000000003</v>
      </c>
      <c r="O191">
        <v>318586.95</v>
      </c>
      <c r="P191" t="s">
        <v>2994</v>
      </c>
      <c r="Q191">
        <v>5531.598620689655</v>
      </c>
      <c r="R191">
        <v>5454.1582758620698</v>
      </c>
      <c r="S191">
        <v>10985.756896551724</v>
      </c>
      <c r="T191" t="s">
        <v>241</v>
      </c>
      <c r="U191" t="s">
        <v>2991</v>
      </c>
      <c r="V191" t="str">
        <f t="shared" si="4"/>
        <v>Wallowa SD 12</v>
      </c>
      <c r="W191" t="s">
        <v>2992</v>
      </c>
      <c r="X191" t="str">
        <f t="shared" si="5"/>
        <v>Wallowa SD 12</v>
      </c>
    </row>
    <row r="192" spans="1:24" x14ac:dyDescent="0.35">
      <c r="A192" t="s">
        <v>213</v>
      </c>
      <c r="B192">
        <v>1936</v>
      </c>
      <c r="C192" t="s">
        <v>1777</v>
      </c>
      <c r="D192">
        <v>1555305.0699999998</v>
      </c>
      <c r="E192">
        <v>329359</v>
      </c>
      <c r="F192">
        <v>1884664.0699999998</v>
      </c>
      <c r="G192" t="s">
        <v>241</v>
      </c>
      <c r="H192">
        <v>10508.81804054054</v>
      </c>
      <c r="I192">
        <v>2225.3986486486488</v>
      </c>
      <c r="J192">
        <v>12734.216689189188</v>
      </c>
      <c r="K192" t="s">
        <v>240</v>
      </c>
      <c r="L192" t="s">
        <v>1534</v>
      </c>
      <c r="M192">
        <v>1589956.4399999995</v>
      </c>
      <c r="N192">
        <v>304213</v>
      </c>
      <c r="O192">
        <v>1894169.4399999995</v>
      </c>
      <c r="P192" t="s">
        <v>241</v>
      </c>
      <c r="Q192">
        <v>11196.876338028165</v>
      </c>
      <c r="R192">
        <v>2142.3450704225352</v>
      </c>
      <c r="S192">
        <v>13339.221408450701</v>
      </c>
      <c r="T192" t="s">
        <v>241</v>
      </c>
      <c r="U192" t="s">
        <v>2991</v>
      </c>
      <c r="V192" t="str">
        <f t="shared" si="4"/>
        <v>Warrenton-Hammond SD 30</v>
      </c>
      <c r="W192" t="s">
        <v>2992</v>
      </c>
      <c r="X192" t="str">
        <f t="shared" si="5"/>
        <v>Warrenton-Hammond SD 30</v>
      </c>
    </row>
    <row r="193" spans="1:24" x14ac:dyDescent="0.35">
      <c r="A193" t="s">
        <v>214</v>
      </c>
      <c r="B193">
        <v>1922</v>
      </c>
      <c r="C193" t="s">
        <v>1777</v>
      </c>
      <c r="D193">
        <v>13198498.540000001</v>
      </c>
      <c r="E193">
        <v>0</v>
      </c>
      <c r="F193">
        <v>13198498.540000001</v>
      </c>
      <c r="G193" t="s">
        <v>241</v>
      </c>
      <c r="H193">
        <v>12703.078479307027</v>
      </c>
      <c r="I193">
        <v>0</v>
      </c>
      <c r="J193">
        <v>12703.078479307027</v>
      </c>
      <c r="K193" t="s">
        <v>241</v>
      </c>
      <c r="L193" t="s">
        <v>1534</v>
      </c>
      <c r="M193">
        <v>11716165.240000002</v>
      </c>
      <c r="N193">
        <v>0</v>
      </c>
      <c r="O193">
        <v>11716165.240000002</v>
      </c>
      <c r="P193" t="s">
        <v>240</v>
      </c>
      <c r="Q193">
        <v>11222.380498084292</v>
      </c>
      <c r="R193">
        <v>0</v>
      </c>
      <c r="S193">
        <v>11222.380498084292</v>
      </c>
      <c r="T193" t="s">
        <v>2994</v>
      </c>
      <c r="U193" t="s">
        <v>2991</v>
      </c>
      <c r="V193" t="str">
        <f t="shared" si="4"/>
        <v>West Linn-Wilsonville SD 3J</v>
      </c>
      <c r="W193" t="s">
        <v>2992</v>
      </c>
      <c r="X193" t="str">
        <f t="shared" si="5"/>
        <v>West Linn-Wilsonville SD 3J</v>
      </c>
    </row>
    <row r="194" spans="1:24" x14ac:dyDescent="0.35">
      <c r="A194" t="s">
        <v>215</v>
      </c>
      <c r="B194">
        <v>2255</v>
      </c>
      <c r="C194" t="s">
        <v>1777</v>
      </c>
      <c r="D194">
        <v>1089081.3600000001</v>
      </c>
      <c r="E194">
        <v>54332.32</v>
      </c>
      <c r="F194">
        <v>1143413.6800000002</v>
      </c>
      <c r="G194" t="s">
        <v>241</v>
      </c>
      <c r="H194">
        <v>8643.5028571428575</v>
      </c>
      <c r="I194">
        <v>431.20888888888891</v>
      </c>
      <c r="J194">
        <v>9074.7117460317477</v>
      </c>
      <c r="K194" t="s">
        <v>241</v>
      </c>
      <c r="L194" t="s">
        <v>1534</v>
      </c>
      <c r="M194">
        <v>1022403.36</v>
      </c>
      <c r="N194">
        <v>42494.100000000006</v>
      </c>
      <c r="O194">
        <v>1064897.46</v>
      </c>
      <c r="P194" t="s">
        <v>2994</v>
      </c>
      <c r="Q194">
        <v>7355.4198561151079</v>
      </c>
      <c r="R194">
        <v>305.71294964028783</v>
      </c>
      <c r="S194">
        <v>7661.1328057553956</v>
      </c>
      <c r="T194" t="s">
        <v>2994</v>
      </c>
      <c r="U194" t="s">
        <v>2991</v>
      </c>
      <c r="V194" t="str">
        <f t="shared" si="4"/>
        <v>Willamina SD 30J</v>
      </c>
      <c r="W194" t="s">
        <v>2992</v>
      </c>
      <c r="X194" t="str">
        <f t="shared" si="5"/>
        <v>Willamina SD 30J</v>
      </c>
    </row>
    <row r="195" spans="1:24" x14ac:dyDescent="0.35">
      <c r="A195" t="s">
        <v>216</v>
      </c>
      <c r="B195">
        <v>2002</v>
      </c>
      <c r="C195" t="s">
        <v>1777</v>
      </c>
      <c r="D195">
        <v>1830619.8899999997</v>
      </c>
      <c r="E195">
        <v>409099.69999999995</v>
      </c>
      <c r="F195">
        <v>2239719.59</v>
      </c>
      <c r="G195" t="s">
        <v>241</v>
      </c>
      <c r="H195">
        <v>8397.3389449541264</v>
      </c>
      <c r="I195">
        <v>1876.6041284403668</v>
      </c>
      <c r="J195">
        <v>10273.943073394496</v>
      </c>
      <c r="K195" t="s">
        <v>240</v>
      </c>
      <c r="L195" t="s">
        <v>1534</v>
      </c>
      <c r="M195">
        <v>1732393.5099999993</v>
      </c>
      <c r="N195">
        <v>375789.32000000007</v>
      </c>
      <c r="O195">
        <v>2108182.8299999991</v>
      </c>
      <c r="P195" t="s">
        <v>241</v>
      </c>
      <c r="Q195">
        <v>9022.8828645833291</v>
      </c>
      <c r="R195">
        <v>1957.236041666667</v>
      </c>
      <c r="S195">
        <v>10980.118906249996</v>
      </c>
      <c r="T195" t="s">
        <v>241</v>
      </c>
      <c r="U195" t="s">
        <v>2991</v>
      </c>
      <c r="V195" t="str">
        <f t="shared" ref="V195:V198" si="6">A195</f>
        <v>Winston-Dillard SD 116</v>
      </c>
      <c r="W195" t="s">
        <v>2992</v>
      </c>
      <c r="X195" t="str">
        <f t="shared" ref="X195:X198" si="7">A195</f>
        <v>Winston-Dillard SD 116</v>
      </c>
    </row>
    <row r="196" spans="1:24" x14ac:dyDescent="0.35">
      <c r="A196" t="s">
        <v>217</v>
      </c>
      <c r="B196">
        <v>2146</v>
      </c>
      <c r="C196" t="s">
        <v>1777</v>
      </c>
      <c r="D196">
        <v>9532208.6200000029</v>
      </c>
      <c r="E196">
        <v>410243.48</v>
      </c>
      <c r="F196">
        <v>9942452.1000000034</v>
      </c>
      <c r="G196" t="s">
        <v>241</v>
      </c>
      <c r="H196">
        <v>12509.4601312336</v>
      </c>
      <c r="I196">
        <v>538.37727034120735</v>
      </c>
      <c r="J196">
        <v>13047.837401574807</v>
      </c>
      <c r="K196" t="s">
        <v>241</v>
      </c>
      <c r="L196" t="s">
        <v>1534</v>
      </c>
      <c r="M196">
        <v>8587536.9899999965</v>
      </c>
      <c r="N196">
        <v>516912.33</v>
      </c>
      <c r="O196">
        <v>9104449.3199999966</v>
      </c>
      <c r="P196" t="s">
        <v>2994</v>
      </c>
      <c r="Q196">
        <v>10667.747813664591</v>
      </c>
      <c r="R196">
        <v>642.12711801242233</v>
      </c>
      <c r="S196">
        <v>11309.874931677014</v>
      </c>
      <c r="T196" t="s">
        <v>241</v>
      </c>
      <c r="U196" t="s">
        <v>2991</v>
      </c>
      <c r="V196" t="str">
        <f t="shared" si="6"/>
        <v>Woodburn SD 103</v>
      </c>
      <c r="W196" t="s">
        <v>2992</v>
      </c>
      <c r="X196" t="str">
        <f t="shared" si="7"/>
        <v>Woodburn SD 103</v>
      </c>
    </row>
    <row r="197" spans="1:24" x14ac:dyDescent="0.35">
      <c r="A197" t="s">
        <v>218</v>
      </c>
      <c r="B197">
        <v>2251</v>
      </c>
      <c r="C197" t="s">
        <v>1777</v>
      </c>
      <c r="D197">
        <v>1580492.76</v>
      </c>
      <c r="E197">
        <v>142458.36000000002</v>
      </c>
      <c r="F197">
        <v>1722951.12</v>
      </c>
      <c r="G197" t="s">
        <v>241</v>
      </c>
      <c r="H197">
        <v>13986.661592920354</v>
      </c>
      <c r="I197">
        <v>1260.6934513274336</v>
      </c>
      <c r="J197">
        <v>15247.355044247788</v>
      </c>
      <c r="K197" t="s">
        <v>241</v>
      </c>
      <c r="L197" t="s">
        <v>1534</v>
      </c>
      <c r="M197">
        <v>1500089.6800000002</v>
      </c>
      <c r="N197">
        <v>222049.84</v>
      </c>
      <c r="O197">
        <v>1722139.5200000003</v>
      </c>
      <c r="P197" t="s">
        <v>241</v>
      </c>
      <c r="Q197">
        <v>13158.681403508774</v>
      </c>
      <c r="R197">
        <v>1947.8056140350877</v>
      </c>
      <c r="S197">
        <v>15106.487017543863</v>
      </c>
      <c r="T197" t="s">
        <v>241</v>
      </c>
      <c r="U197" t="s">
        <v>2991</v>
      </c>
      <c r="V197" t="str">
        <f t="shared" si="6"/>
        <v>Yamhill Carlton SD 1</v>
      </c>
      <c r="W197" t="s">
        <v>2992</v>
      </c>
      <c r="X197" t="str">
        <f t="shared" si="7"/>
        <v>Yamhill Carlton SD 1</v>
      </c>
    </row>
    <row r="198" spans="1:24" x14ac:dyDescent="0.35">
      <c r="A198" t="s">
        <v>219</v>
      </c>
      <c r="B198">
        <v>1997</v>
      </c>
      <c r="C198" t="s">
        <v>1777</v>
      </c>
      <c r="D198">
        <v>277138.14</v>
      </c>
      <c r="E198">
        <v>61935.14</v>
      </c>
      <c r="F198">
        <v>339073.28000000003</v>
      </c>
      <c r="G198" t="s">
        <v>240</v>
      </c>
      <c r="H198">
        <v>7293.1089473684215</v>
      </c>
      <c r="I198">
        <v>1629.8721052631579</v>
      </c>
      <c r="J198">
        <v>8922.9810526315796</v>
      </c>
      <c r="K198" t="s">
        <v>240</v>
      </c>
      <c r="L198" t="s">
        <v>1534</v>
      </c>
      <c r="M198">
        <v>280412.93</v>
      </c>
      <c r="N198">
        <v>74260.97</v>
      </c>
      <c r="O198">
        <v>354673.9</v>
      </c>
      <c r="P198" t="s">
        <v>2994</v>
      </c>
      <c r="Q198">
        <v>8011.7979999999998</v>
      </c>
      <c r="R198">
        <v>2121.7420000000002</v>
      </c>
      <c r="S198">
        <v>10133.540000000001</v>
      </c>
      <c r="T198" t="s">
        <v>241</v>
      </c>
      <c r="U198" t="s">
        <v>2991</v>
      </c>
      <c r="V198" t="str">
        <f t="shared" si="6"/>
        <v>Yoncalla SD 32</v>
      </c>
      <c r="W198" t="s">
        <v>2992</v>
      </c>
      <c r="X198" t="str">
        <f t="shared" si="7"/>
        <v>Yoncalla SD 32</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L15"/>
  <sheetViews>
    <sheetView showGridLines="0" workbookViewId="0">
      <selection activeCell="E5" sqref="E5:J5"/>
    </sheetView>
  </sheetViews>
  <sheetFormatPr defaultColWidth="0" defaultRowHeight="14.5" zeroHeight="1" x14ac:dyDescent="0.35"/>
  <cols>
    <col min="1" max="2" width="3.26953125" customWidth="1"/>
    <col min="3" max="3" width="18.7265625" customWidth="1"/>
    <col min="4" max="5" width="14.26953125" customWidth="1"/>
    <col min="6" max="6" width="15.26953125" customWidth="1"/>
    <col min="7" max="7" width="18.7265625" customWidth="1"/>
    <col min="8" max="9" width="14.26953125" customWidth="1"/>
    <col min="10" max="10" width="15.26953125" customWidth="1"/>
    <col min="11" max="11" width="3.26953125" customWidth="1"/>
    <col min="12" max="12" width="3.26953125" hidden="1" customWidth="1"/>
    <col min="13" max="16384" width="9.1796875" hidden="1"/>
  </cols>
  <sheetData>
    <row r="1" spans="1:11" ht="20" thickBot="1" x14ac:dyDescent="0.5">
      <c r="A1" s="3"/>
      <c r="B1" s="31" t="s">
        <v>1707</v>
      </c>
      <c r="C1" s="39"/>
      <c r="D1" s="31"/>
      <c r="E1" s="31"/>
      <c r="F1" s="31"/>
      <c r="G1" s="31"/>
      <c r="H1" s="31"/>
      <c r="I1" s="32" t="s">
        <v>1587</v>
      </c>
      <c r="J1" s="33" t="str">
        <f>CurrSchlYr</f>
        <v>2024-2025</v>
      </c>
      <c r="K1" s="3"/>
    </row>
    <row r="2" spans="1:11" ht="16" thickTop="1" x14ac:dyDescent="0.35">
      <c r="A2" s="3"/>
      <c r="B2" s="50" t="s">
        <v>1708</v>
      </c>
      <c r="C2" s="51"/>
      <c r="D2" s="50"/>
      <c r="E2" s="50"/>
      <c r="F2" s="50"/>
      <c r="G2" s="50"/>
      <c r="H2" s="50"/>
      <c r="I2" s="50"/>
      <c r="J2" s="50"/>
      <c r="K2" s="3"/>
    </row>
    <row r="3" spans="1:11" ht="80.25" customHeight="1" x14ac:dyDescent="0.35">
      <c r="A3" s="3"/>
      <c r="B3" s="426" t="s">
        <v>1709</v>
      </c>
      <c r="C3" s="426"/>
      <c r="D3" s="426"/>
      <c r="E3" s="426"/>
      <c r="F3" s="426"/>
      <c r="G3" s="426"/>
      <c r="H3" s="426"/>
      <c r="I3" s="426"/>
      <c r="J3" s="426"/>
      <c r="K3" s="3"/>
    </row>
    <row r="4" spans="1:11" ht="6.65" customHeight="1" x14ac:dyDescent="0.35">
      <c r="A4" s="3"/>
      <c r="B4" s="3"/>
      <c r="C4" s="3"/>
      <c r="D4" s="3"/>
      <c r="E4" s="3"/>
      <c r="F4" s="3"/>
      <c r="G4" s="3"/>
      <c r="H4" s="3"/>
      <c r="I4" s="3"/>
      <c r="J4" s="3"/>
      <c r="K4" s="3"/>
    </row>
    <row r="5" spans="1:11" x14ac:dyDescent="0.35">
      <c r="A5" s="3"/>
      <c r="B5" s="3"/>
      <c r="C5" s="38"/>
      <c r="D5" s="38" t="s">
        <v>1887</v>
      </c>
      <c r="E5" s="315"/>
      <c r="F5" s="315"/>
      <c r="G5" s="315"/>
      <c r="H5" s="315"/>
      <c r="I5" s="315"/>
      <c r="J5" s="315"/>
      <c r="K5" s="3"/>
    </row>
    <row r="6" spans="1:11" ht="6.65" customHeight="1" x14ac:dyDescent="0.35">
      <c r="A6" s="3"/>
      <c r="B6" s="3"/>
      <c r="C6" s="3"/>
      <c r="D6" s="3"/>
      <c r="E6" s="3"/>
      <c r="F6" s="3"/>
      <c r="G6" s="3"/>
      <c r="H6" s="3"/>
      <c r="I6" s="3"/>
      <c r="J6" s="3"/>
      <c r="K6" s="3"/>
    </row>
    <row r="7" spans="1:11" ht="15.5" x14ac:dyDescent="0.35">
      <c r="A7" s="3"/>
      <c r="B7" s="20" t="s">
        <v>1710</v>
      </c>
      <c r="C7" s="48"/>
      <c r="D7" s="49"/>
      <c r="E7" s="49"/>
      <c r="F7" s="49"/>
      <c r="G7" s="49"/>
      <c r="H7" s="49"/>
      <c r="I7" s="49"/>
      <c r="J7" s="49"/>
      <c r="K7" s="3"/>
    </row>
    <row r="8" spans="1:11" ht="116.25" customHeight="1" x14ac:dyDescent="0.35">
      <c r="A8" s="3"/>
      <c r="B8" s="443" t="s">
        <v>1711</v>
      </c>
      <c r="C8" s="443"/>
      <c r="D8" s="443"/>
      <c r="E8" s="443"/>
      <c r="F8" s="443"/>
      <c r="G8" s="443"/>
      <c r="H8" s="443"/>
      <c r="I8" s="443"/>
      <c r="J8" s="443"/>
      <c r="K8" s="3"/>
    </row>
    <row r="9" spans="1:11" ht="5.9" customHeight="1" x14ac:dyDescent="0.35">
      <c r="A9" s="3"/>
      <c r="B9" s="3"/>
      <c r="C9" s="3"/>
      <c r="D9" s="3"/>
      <c r="E9" s="3"/>
      <c r="F9" s="3"/>
      <c r="G9" s="3"/>
      <c r="H9" s="3"/>
      <c r="I9" s="3"/>
      <c r="J9" s="3"/>
      <c r="K9" s="3"/>
    </row>
    <row r="10" spans="1:11" ht="81" customHeight="1" x14ac:dyDescent="0.35">
      <c r="A10" s="3"/>
      <c r="B10" s="443" t="str">
        <f>CONCATENATE("3. The LEA assures that it identifies, and consults with, private school representatives and parents regarding the following summarized topics: ","a) Available proportionate share funds and how those were calculated; ","b) How services will be provided, including the types of services, and how those decisions will be made; ","c) How funds will be apportioned if insufficient; d) Meaningful consultation process and how it operates throughout the year; ","and e) The LEA assures it will request letters of affirmation from participant private schools regarding the consultation process and will forward information regarding its consultation process to ODE upon request.")</f>
        <v>3. The LEA assures that it identifies, and consults with, private school representatives and parents regarding the following summarized topics: a) Available proportionate share funds and how those were calculated; b) How services will be provided, including the types of services, and how those decisions will be made; c) How funds will be apportioned if insufficient; d) Meaningful consultation process and how it operates throughout the year; and e) The LEA assures it will request letters of affirmation from participant private schools regarding the consultation process and will forward information regarding its consultation process to ODE upon request.</v>
      </c>
      <c r="C10" s="443"/>
      <c r="D10" s="443"/>
      <c r="E10" s="443"/>
      <c r="F10" s="443"/>
      <c r="G10" s="443"/>
      <c r="H10" s="443"/>
      <c r="I10" s="443"/>
      <c r="J10" s="443"/>
      <c r="K10" s="3"/>
    </row>
    <row r="11" spans="1:11" ht="5.9" customHeight="1" x14ac:dyDescent="0.35">
      <c r="A11" s="3"/>
      <c r="B11" s="3"/>
      <c r="C11" s="3"/>
      <c r="D11" s="3"/>
      <c r="E11" s="3"/>
      <c r="F11" s="3"/>
      <c r="G11" s="3"/>
      <c r="H11" s="3"/>
      <c r="I11" s="3"/>
      <c r="J11" s="3"/>
      <c r="K11" s="3"/>
    </row>
    <row r="12" spans="1:11" x14ac:dyDescent="0.35">
      <c r="A12" s="3"/>
      <c r="B12" s="3"/>
      <c r="C12" s="3"/>
      <c r="D12" s="38" t="s">
        <v>1888</v>
      </c>
      <c r="E12" s="315"/>
      <c r="F12" s="315"/>
      <c r="G12" s="315"/>
      <c r="H12" s="315"/>
      <c r="I12" s="315"/>
      <c r="J12" s="315"/>
      <c r="K12" s="3"/>
    </row>
    <row r="13" spans="1:11" ht="5.9" customHeight="1" x14ac:dyDescent="0.35">
      <c r="A13" s="3"/>
      <c r="B13" s="3"/>
      <c r="C13" s="3"/>
      <c r="D13" s="3"/>
      <c r="E13" s="3"/>
      <c r="F13" s="3"/>
      <c r="G13" s="3"/>
      <c r="H13" s="3"/>
      <c r="I13" s="3"/>
      <c r="J13" s="3"/>
      <c r="K13" s="3"/>
    </row>
    <row r="14" spans="1:11" ht="15" customHeight="1" x14ac:dyDescent="0.35">
      <c r="A14" s="3"/>
      <c r="B14" s="3"/>
      <c r="C14" s="3"/>
      <c r="D14" s="3"/>
      <c r="E14" s="3"/>
      <c r="F14" s="3"/>
      <c r="G14" s="3"/>
      <c r="H14" s="3"/>
      <c r="I14" s="3"/>
      <c r="J14" s="3"/>
      <c r="K14" s="3"/>
    </row>
    <row r="15" spans="1:11" ht="15" hidden="1" customHeight="1" x14ac:dyDescent="0.35"/>
  </sheetData>
  <sheetProtection algorithmName="SHA-512" hashValue="t8rP9pSucRu2HfMzf4E4SUeKk2ln39FnOdCC+ABHEoOae2BjBraJ43FufKPYncFwiP2NfR11MWF3PWjUjHdYzg==" saltValue="68TcdI9XLc2arHW2aNFFtQ==" spinCount="100000" sheet="1" selectLockedCells="1"/>
  <mergeCells count="5">
    <mergeCell ref="B3:J3"/>
    <mergeCell ref="B8:J8"/>
    <mergeCell ref="E5:J5"/>
    <mergeCell ref="B10:J10"/>
    <mergeCell ref="E12:J12"/>
  </mergeCells>
  <dataValidations count="2">
    <dataValidation type="list" allowBlank="1" showInputMessage="1" showErrorMessage="1" sqref="E5:J5" xr:uid="{00000000-0002-0000-1200-000000000000}">
      <formula1>pvtschl_dist_choices</formula1>
    </dataValidation>
    <dataValidation type="list" allowBlank="1" showInputMessage="1" showErrorMessage="1" sqref="E12:J12" xr:uid="{00000000-0002-0000-1200-000001000000}">
      <formula1>pvtschl_prnt_choices</formula1>
    </dataValidation>
  </dataValidations>
  <pageMargins left="0.25" right="0.25" top="0.75" bottom="0.75" header="0.3" footer="0.3"/>
  <pageSetup scale="99" orientation="landscape"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 id="{25C075CC-313A-43F7-964E-6A69BCF5566D}">
            <xm:f>AND(LeaName&lt;&gt;"",Output!$C$23)</xm:f>
            <x14:dxf>
              <fill>
                <patternFill>
                  <bgColor rgb="FF00B050"/>
                </patternFill>
              </fill>
              <border>
                <left style="thin">
                  <color rgb="FF00B050"/>
                </left>
                <right style="thin">
                  <color rgb="FF00B050"/>
                </right>
                <top style="thin">
                  <color rgb="FF00B050"/>
                </top>
                <bottom style="thin">
                  <color rgb="FF00B050"/>
                </bottom>
                <vertical/>
                <horizontal/>
              </border>
            </x14:dxf>
          </x14:cfRule>
          <x14:cfRule type="expression" priority="2" id="{F0E973EF-79B1-4B6F-B1FE-5382E5DAB167}">
            <xm:f>AND(LeaName&lt;&gt;"",NOT(Output!$C$23))</xm:f>
            <x14:dxf>
              <fill>
                <patternFill>
                  <bgColor rgb="FFFF0000"/>
                </patternFill>
              </fill>
              <border>
                <left style="thin">
                  <color rgb="FFFF0000"/>
                </left>
                <right style="thin">
                  <color rgb="FFFF0000"/>
                </right>
                <top style="thin">
                  <color rgb="FFFF0000"/>
                </top>
                <bottom style="thin">
                  <color rgb="FFFF0000"/>
                </bottom>
                <vertical/>
                <horizontal/>
              </border>
            </x14:dxf>
          </x14:cfRule>
          <xm:sqref>A1:A14</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dimension ref="A1:P51"/>
  <sheetViews>
    <sheetView showGridLines="0" topLeftCell="A4" zoomScale="110" zoomScaleNormal="110" workbookViewId="0">
      <selection activeCell="G7" sqref="G7"/>
    </sheetView>
  </sheetViews>
  <sheetFormatPr defaultColWidth="0" defaultRowHeight="14.5" zeroHeight="1" x14ac:dyDescent="0.35"/>
  <cols>
    <col min="1" max="1" width="3.26953125" customWidth="1"/>
    <col min="2" max="2" width="35.1796875" customWidth="1"/>
    <col min="3" max="3" width="20.7265625" customWidth="1"/>
    <col min="4" max="6" width="20.26953125" customWidth="1"/>
    <col min="7" max="7" width="7.7265625" bestFit="1" customWidth="1"/>
    <col min="8" max="8" width="6.7265625" customWidth="1"/>
    <col min="9" max="9" width="3.26953125" customWidth="1"/>
    <col min="10" max="15" width="9.1796875" customWidth="1"/>
    <col min="16" max="16" width="0" hidden="1" customWidth="1"/>
    <col min="17" max="16384" width="9.1796875" hidden="1"/>
  </cols>
  <sheetData>
    <row r="1" spans="1:15" ht="20" thickBot="1" x14ac:dyDescent="0.5">
      <c r="A1" s="3"/>
      <c r="B1" s="2" t="str">
        <f>"Subrecipient Fiscal Risk Self-Assessment for Fiscal Year "&amp;PrevSchlYr</f>
        <v>Subrecipient Fiscal Risk Self-Assessment for Fiscal Year 2023-2024</v>
      </c>
      <c r="C1" s="2"/>
      <c r="D1" s="2"/>
      <c r="E1" s="2"/>
      <c r="F1" s="2"/>
      <c r="G1" s="3"/>
      <c r="H1" s="2"/>
      <c r="I1" s="3"/>
      <c r="J1" s="3"/>
      <c r="K1" s="3"/>
      <c r="L1" s="3"/>
      <c r="M1" s="3"/>
      <c r="N1" s="3"/>
      <c r="O1" s="3"/>
    </row>
    <row r="2" spans="1:15" ht="30" customHeight="1" thickTop="1" x14ac:dyDescent="0.35">
      <c r="A2" s="3"/>
      <c r="B2" s="444" t="s">
        <v>1901</v>
      </c>
      <c r="C2" s="444"/>
      <c r="D2" s="444"/>
      <c r="E2" s="444"/>
      <c r="F2" s="444"/>
      <c r="G2" s="444"/>
      <c r="H2" s="444"/>
      <c r="I2" s="3"/>
      <c r="J2" s="3"/>
      <c r="K2" s="3"/>
      <c r="L2" s="3"/>
      <c r="M2" s="3"/>
      <c r="N2" s="3"/>
      <c r="O2" s="3"/>
    </row>
    <row r="3" spans="1:15" ht="72.75" customHeight="1" x14ac:dyDescent="0.35">
      <c r="A3" s="3"/>
      <c r="B3" s="445" t="s">
        <v>1716</v>
      </c>
      <c r="C3" s="445"/>
      <c r="D3" s="445"/>
      <c r="E3" s="445"/>
      <c r="F3" s="445"/>
      <c r="G3" s="445"/>
      <c r="H3" s="445"/>
      <c r="I3" s="3"/>
      <c r="J3" s="3"/>
      <c r="K3" s="3"/>
      <c r="L3" s="3"/>
      <c r="M3" s="3"/>
      <c r="N3" s="3"/>
      <c r="O3" s="3"/>
    </row>
    <row r="4" spans="1:15" x14ac:dyDescent="0.35">
      <c r="A4" s="3"/>
      <c r="B4" s="90" t="s">
        <v>1936</v>
      </c>
      <c r="C4" s="3"/>
      <c r="D4" s="3"/>
      <c r="E4" s="3"/>
      <c r="F4" s="3"/>
      <c r="G4" s="3"/>
      <c r="H4" s="3"/>
      <c r="I4" s="3"/>
      <c r="J4" s="3"/>
      <c r="K4" s="3"/>
      <c r="L4" s="3"/>
      <c r="M4" s="3"/>
      <c r="N4" s="3"/>
      <c r="O4" s="3"/>
    </row>
    <row r="5" spans="1:15" x14ac:dyDescent="0.35">
      <c r="A5" s="3"/>
      <c r="B5" s="3"/>
      <c r="C5" s="78" t="s">
        <v>1712</v>
      </c>
      <c r="D5" s="78" t="s">
        <v>1713</v>
      </c>
      <c r="E5" s="78" t="s">
        <v>1714</v>
      </c>
      <c r="F5" s="78" t="s">
        <v>1715</v>
      </c>
      <c r="G5" s="3"/>
      <c r="H5" s="3"/>
      <c r="I5" s="3"/>
      <c r="J5" s="3"/>
      <c r="K5" s="3"/>
      <c r="L5" s="3"/>
      <c r="M5" s="3"/>
      <c r="N5" s="3"/>
      <c r="O5" s="3"/>
    </row>
    <row r="6" spans="1:15" x14ac:dyDescent="0.35">
      <c r="A6" s="3"/>
      <c r="B6" s="83" t="s">
        <v>2041</v>
      </c>
      <c r="C6" s="84" t="s">
        <v>1925</v>
      </c>
      <c r="D6" s="84" t="s">
        <v>3001</v>
      </c>
      <c r="E6" s="84" t="s">
        <v>3002</v>
      </c>
      <c r="F6" s="84" t="s">
        <v>3000</v>
      </c>
      <c r="G6" s="84" t="s">
        <v>1717</v>
      </c>
      <c r="H6" s="84" t="s">
        <v>1902</v>
      </c>
      <c r="I6" s="3"/>
      <c r="J6" s="3"/>
      <c r="K6" s="3"/>
      <c r="L6" s="3"/>
      <c r="M6" s="3"/>
      <c r="N6" s="3"/>
      <c r="O6" s="3"/>
    </row>
    <row r="7" spans="1:15" ht="39" x14ac:dyDescent="0.35">
      <c r="A7" s="3"/>
      <c r="B7" s="82" t="str">
        <f>CONCATENATE("Turnover in key fiscal personnel (as of November 1, ",RptYr-1,")")</f>
        <v>Turnover in key fiscal personnel (as of November 1, 2023)</v>
      </c>
      <c r="C7" s="216" t="s">
        <v>2036</v>
      </c>
      <c r="D7" s="216" t="s">
        <v>2037</v>
      </c>
      <c r="E7" s="216" t="s">
        <v>2035</v>
      </c>
      <c r="F7" s="216" t="s">
        <v>2038</v>
      </c>
      <c r="G7" s="91"/>
      <c r="H7" s="93" t="str">
        <f>IF(LeaName="","",_xlfn.IFNA(INDEX(tblFRv2Choices[ScoreA],MATCH(G7,tblFRv2Choices[Choices],0)),""))</f>
        <v/>
      </c>
      <c r="I7" s="3"/>
      <c r="J7" s="3"/>
      <c r="K7" s="3"/>
      <c r="L7" s="3"/>
      <c r="M7" s="3"/>
      <c r="N7" s="3"/>
      <c r="O7" s="3"/>
    </row>
    <row r="8" spans="1:15" ht="78" x14ac:dyDescent="0.35">
      <c r="A8" s="3"/>
      <c r="B8" s="82" t="s">
        <v>2034</v>
      </c>
      <c r="C8" s="216" t="s">
        <v>3067</v>
      </c>
      <c r="D8" s="216" t="s">
        <v>3068</v>
      </c>
      <c r="E8" s="216" t="s">
        <v>3069</v>
      </c>
      <c r="F8" s="216" t="s">
        <v>3070</v>
      </c>
      <c r="G8" s="91"/>
      <c r="H8" s="93" t="str">
        <f>IF(LeaName="","",_xlfn.IFNA(INDEX(tblFRv2Choices[ScoreA],MATCH(G8,tblFRv2Choices[Choices],0)),""))</f>
        <v/>
      </c>
      <c r="I8" s="3"/>
      <c r="J8" s="3"/>
      <c r="K8" s="3"/>
      <c r="L8" s="3"/>
      <c r="M8" s="3"/>
      <c r="N8" s="3"/>
      <c r="O8" s="3"/>
    </row>
    <row r="9" spans="1:15" ht="78" x14ac:dyDescent="0.35">
      <c r="A9" s="3"/>
      <c r="B9" s="82" t="s">
        <v>1958</v>
      </c>
      <c r="C9" s="216" t="s">
        <v>1909</v>
      </c>
      <c r="D9" s="216" t="s">
        <v>1912</v>
      </c>
      <c r="E9" s="216" t="s">
        <v>1915</v>
      </c>
      <c r="F9" s="216" t="s">
        <v>1918</v>
      </c>
      <c r="G9" s="97"/>
      <c r="H9" s="93" t="str">
        <f>IF(LeaName="","",_xlfn.IFNA(INDEX(tblFRv2Choices[ScoreA],MATCH(G9,tblFRv2Choices[Choices],0)),""))</f>
        <v/>
      </c>
      <c r="I9" s="3"/>
      <c r="J9" s="3"/>
      <c r="K9" s="3"/>
      <c r="L9" s="3"/>
      <c r="M9" s="3"/>
      <c r="N9" s="3"/>
      <c r="O9" s="3"/>
    </row>
    <row r="10" spans="1:15" ht="26" x14ac:dyDescent="0.35">
      <c r="A10" s="3"/>
      <c r="B10" s="82" t="s">
        <v>3114</v>
      </c>
      <c r="C10" s="220"/>
      <c r="D10" s="216" t="s">
        <v>3118</v>
      </c>
      <c r="E10" s="216" t="s">
        <v>3117</v>
      </c>
      <c r="F10" s="216" t="s">
        <v>3116</v>
      </c>
      <c r="G10" s="242" t="str">
        <f>_xlfn.IFNA(INDEX(tblInsts[[#All],[Claims Score]],MATCH(LEA_ID,tblInsts[[#All],[LeaID]],0)), "-")</f>
        <v>-</v>
      </c>
      <c r="H10" s="93" t="str">
        <f>IF(LeaName="","",_xlfn.IFNA(INDEX(tblFRv2Choices[ScoreA],MATCH(G10,tblFRv2Choices[Choices],0)),""))</f>
        <v/>
      </c>
      <c r="I10" s="3"/>
      <c r="J10" s="3"/>
      <c r="K10" s="3"/>
      <c r="L10" s="3"/>
      <c r="M10" s="3"/>
      <c r="N10" s="3"/>
      <c r="O10" s="3"/>
    </row>
    <row r="11" spans="1:15" ht="39" x14ac:dyDescent="0.35">
      <c r="A11" s="3"/>
      <c r="B11" s="82" t="s">
        <v>2995</v>
      </c>
      <c r="C11" s="216" t="s">
        <v>2997</v>
      </c>
      <c r="D11" s="216" t="s">
        <v>2999</v>
      </c>
      <c r="E11" s="216" t="s">
        <v>2996</v>
      </c>
      <c r="F11" s="216" t="s">
        <v>2998</v>
      </c>
      <c r="G11" s="242" t="str">
        <f>_xlfn.IFNA(INDEX(tblInsts[[#All],[MOE Letters]],MATCH(LEA_ID,tblInsts[[#All],[LeaID]],0)), "-")</f>
        <v>-</v>
      </c>
      <c r="H11" s="93" t="str">
        <f>IF(LeaName="","",_xlfn.IFNA(INDEX(tblFRv2Choices[ScoreA],MATCH(G11,tblFRv2Choices[Choices],0)),""))</f>
        <v/>
      </c>
      <c r="I11" s="3"/>
      <c r="J11" s="3"/>
      <c r="K11" s="3"/>
      <c r="L11" s="3"/>
      <c r="M11" s="3"/>
      <c r="N11" s="3"/>
      <c r="O11" s="3"/>
    </row>
    <row r="12" spans="1:15" x14ac:dyDescent="0.35">
      <c r="A12" s="3"/>
      <c r="B12" s="85" t="s">
        <v>1919</v>
      </c>
      <c r="C12" s="86" t="s">
        <v>1925</v>
      </c>
      <c r="D12" s="86" t="s">
        <v>1927</v>
      </c>
      <c r="E12" s="86" t="s">
        <v>1928</v>
      </c>
      <c r="F12" s="86" t="s">
        <v>1929</v>
      </c>
      <c r="G12" s="86" t="s">
        <v>1717</v>
      </c>
      <c r="H12" s="86" t="s">
        <v>1902</v>
      </c>
      <c r="I12" s="3"/>
      <c r="J12" s="3"/>
      <c r="K12" s="3"/>
      <c r="L12" s="3"/>
      <c r="M12" s="3"/>
      <c r="N12" s="3"/>
      <c r="O12" s="3"/>
    </row>
    <row r="13" spans="1:15" ht="26" x14ac:dyDescent="0.35">
      <c r="A13" s="3"/>
      <c r="B13" s="82" t="s">
        <v>2970</v>
      </c>
      <c r="C13" s="218"/>
      <c r="D13" s="216" t="s">
        <v>2967</v>
      </c>
      <c r="E13" s="216" t="s">
        <v>2968</v>
      </c>
      <c r="F13" s="216" t="s">
        <v>2969</v>
      </c>
      <c r="G13" s="94"/>
      <c r="H13" s="87" t="str">
        <f>IF(LeaName="","",_xlfn.IFNA(INDEX(tblFRv2Choices[ScoreB],MATCH(G13,tblFRv2Choices[Choices],0)),""))</f>
        <v/>
      </c>
      <c r="I13" s="3"/>
      <c r="J13" s="3"/>
      <c r="K13" s="3"/>
      <c r="L13" s="3"/>
      <c r="M13" s="3"/>
      <c r="N13" s="3"/>
      <c r="O13" s="3"/>
    </row>
    <row r="14" spans="1:15" ht="39" x14ac:dyDescent="0.35">
      <c r="A14" s="3"/>
      <c r="B14" s="82" t="s">
        <v>2029</v>
      </c>
      <c r="C14" s="219"/>
      <c r="D14" s="217" t="s">
        <v>2064</v>
      </c>
      <c r="E14" s="217" t="s">
        <v>2063</v>
      </c>
      <c r="F14" s="217" t="s">
        <v>2062</v>
      </c>
      <c r="G14" s="94"/>
      <c r="H14" s="87" t="str">
        <f>IF(LeaName="","",_xlfn.IFNA(INDEX(tblFRv2Choices[ScoreB],MATCH(G14,tblFRv2Choices[Choices],0)),""))</f>
        <v/>
      </c>
      <c r="I14" s="3"/>
      <c r="J14" s="3"/>
      <c r="K14" s="3"/>
      <c r="L14" s="3"/>
      <c r="M14" s="3"/>
      <c r="N14" s="3"/>
      <c r="O14" s="3"/>
    </row>
    <row r="15" spans="1:15" ht="39" x14ac:dyDescent="0.35">
      <c r="A15" s="3"/>
      <c r="B15" s="82" t="s">
        <v>2061</v>
      </c>
      <c r="C15" s="218"/>
      <c r="D15" s="216" t="s">
        <v>2086</v>
      </c>
      <c r="E15" s="216" t="s">
        <v>2085</v>
      </c>
      <c r="F15" s="216" t="s">
        <v>2084</v>
      </c>
      <c r="G15" s="94"/>
      <c r="H15" s="87" t="str">
        <f>IF(LeaName="","",_xlfn.IFNA(INDEX(tblFRv2Choices[ScoreB],MATCH(G15,tblFRv2Choices[Choices],0)),""))</f>
        <v/>
      </c>
      <c r="I15" s="3"/>
      <c r="J15" s="3"/>
      <c r="K15" s="3"/>
      <c r="L15" s="3"/>
      <c r="M15" s="3"/>
      <c r="N15" s="3"/>
      <c r="O15" s="3"/>
    </row>
    <row r="16" spans="1:15" ht="39" x14ac:dyDescent="0.35">
      <c r="A16" s="3"/>
      <c r="B16" s="82" t="s">
        <v>1937</v>
      </c>
      <c r="C16" s="216" t="s">
        <v>1904</v>
      </c>
      <c r="D16" s="216" t="s">
        <v>1903</v>
      </c>
      <c r="E16" s="216" t="s">
        <v>1905</v>
      </c>
      <c r="F16" s="216" t="s">
        <v>1906</v>
      </c>
      <c r="G16" s="91"/>
      <c r="H16" s="87" t="str">
        <f>IF(LeaName="","",_xlfn.IFNA(INDEX(tblFRv2Choices[ScoreB],MATCH(G16,tblFRv2Choices[Choices],0)),""))</f>
        <v/>
      </c>
      <c r="I16" s="3"/>
      <c r="J16" s="3"/>
      <c r="K16" s="3"/>
      <c r="L16" s="3"/>
      <c r="M16" s="3"/>
      <c r="N16" s="3"/>
      <c r="O16" s="3"/>
    </row>
    <row r="17" spans="1:15" ht="54" customHeight="1" x14ac:dyDescent="0.35">
      <c r="A17" s="3"/>
      <c r="B17" s="82" t="str">
        <f>CONCATENATE("Reverting IDEA funds AND/OR IDEA Carryover for all grants in the ",PrevSchlYr," fiscal year.")</f>
        <v>Reverting IDEA funds AND/OR IDEA Carryover for all grants in the 2023-2024 fiscal year.</v>
      </c>
      <c r="C17" s="216" t="s">
        <v>1907</v>
      </c>
      <c r="D17" s="216" t="s">
        <v>1910</v>
      </c>
      <c r="E17" s="216" t="s">
        <v>1913</v>
      </c>
      <c r="F17" s="216" t="s">
        <v>1916</v>
      </c>
      <c r="G17" s="91"/>
      <c r="H17" s="87" t="str">
        <f>IF(LeaName="","",_xlfn.IFNA(INDEX(tblFRv2Choices[ScoreB],MATCH(G17,tblFRv2Choices[Choices],0)),""))</f>
        <v/>
      </c>
      <c r="I17" s="3"/>
      <c r="J17" s="3"/>
      <c r="K17" s="3"/>
      <c r="L17" s="3"/>
      <c r="M17" s="3"/>
      <c r="N17" s="3"/>
      <c r="O17" s="3"/>
    </row>
    <row r="18" spans="1:15" ht="65.5" customHeight="1" x14ac:dyDescent="0.35">
      <c r="A18" s="3"/>
      <c r="B18" s="82" t="s">
        <v>1955</v>
      </c>
      <c r="C18" s="216" t="s">
        <v>3121</v>
      </c>
      <c r="D18" s="216" t="s">
        <v>3122</v>
      </c>
      <c r="E18" s="216" t="s">
        <v>3123</v>
      </c>
      <c r="F18" s="216" t="s">
        <v>3124</v>
      </c>
      <c r="G18" s="91"/>
      <c r="H18" s="87" t="str">
        <f>IF(LeaName="","",_xlfn.IFNA(INDEX(tblFRv2Choices[ScoreB],MATCH(G18,tblFRv2Choices[Choices],0)),""))</f>
        <v/>
      </c>
      <c r="I18" s="3"/>
      <c r="J18" s="3"/>
      <c r="K18" s="3"/>
      <c r="L18" s="3"/>
      <c r="M18" s="3"/>
      <c r="N18" s="3"/>
      <c r="O18" s="3"/>
    </row>
    <row r="19" spans="1:15" ht="51" customHeight="1" x14ac:dyDescent="0.35">
      <c r="A19" s="3"/>
      <c r="B19" s="82" t="s">
        <v>2135</v>
      </c>
      <c r="C19" s="218"/>
      <c r="D19" s="216" t="s">
        <v>3127</v>
      </c>
      <c r="E19" s="216" t="s">
        <v>3128</v>
      </c>
      <c r="F19" s="216" t="s">
        <v>2136</v>
      </c>
      <c r="G19" s="243" t="str">
        <f>_xlfn.IFNA(INDEX(tblInsts[[#All],[Data submission]],MATCH(LEA_ID,tblInsts[[#All],[LeaID]],0)),"-")</f>
        <v>-</v>
      </c>
      <c r="H19" s="87" t="str">
        <f>IF(LeaName="","",_xlfn.IFNA(INDEX(tblFRv2Choices[ScoreB],MATCH(G19,tblFRv2Choices[Choices],0)),""))</f>
        <v/>
      </c>
      <c r="I19" s="3"/>
      <c r="J19" s="3"/>
      <c r="K19" s="3"/>
      <c r="L19" s="3"/>
      <c r="M19" s="3"/>
      <c r="N19" s="3"/>
      <c r="O19" s="3"/>
    </row>
    <row r="20" spans="1:15" ht="65" x14ac:dyDescent="0.35">
      <c r="A20" s="3"/>
      <c r="B20" s="82" t="s">
        <v>1959</v>
      </c>
      <c r="C20" s="216" t="s">
        <v>1951</v>
      </c>
      <c r="D20" s="216" t="s">
        <v>1952</v>
      </c>
      <c r="E20" s="216" t="s">
        <v>1953</v>
      </c>
      <c r="F20" s="216" t="s">
        <v>1954</v>
      </c>
      <c r="G20" s="91"/>
      <c r="H20" s="87" t="str">
        <f>IF(LeaName="","",_xlfn.IFNA(INDEX(tblFRv2Choices[ScoreB],MATCH(G20,tblFRv2Choices[Choices],0)),""))</f>
        <v/>
      </c>
      <c r="I20" s="3"/>
      <c r="J20" s="3"/>
      <c r="K20" s="3"/>
      <c r="L20" s="3"/>
      <c r="M20" s="3"/>
      <c r="N20" s="3"/>
      <c r="O20" s="3"/>
    </row>
    <row r="21" spans="1:15" ht="52" x14ac:dyDescent="0.35">
      <c r="A21" s="3"/>
      <c r="B21" s="82" t="s">
        <v>1538</v>
      </c>
      <c r="C21" s="216" t="s">
        <v>1908</v>
      </c>
      <c r="D21" s="216" t="s">
        <v>1911</v>
      </c>
      <c r="E21" s="216" t="s">
        <v>1914</v>
      </c>
      <c r="F21" s="216" t="s">
        <v>1917</v>
      </c>
      <c r="G21" s="91"/>
      <c r="H21" s="92" t="str">
        <f>IF(LeaName="","",_xlfn.IFNA(INDEX(tblFRv2Choices[ScoreB],MATCH(G21,tblFRv2Choices[Choices],0)),""))</f>
        <v/>
      </c>
      <c r="I21" s="3"/>
      <c r="J21" s="3"/>
      <c r="K21" s="3"/>
      <c r="L21" s="3"/>
      <c r="M21" s="3"/>
      <c r="N21" s="3"/>
      <c r="O21" s="3"/>
    </row>
    <row r="22" spans="1:15" ht="65" x14ac:dyDescent="0.35">
      <c r="A22" s="3"/>
      <c r="B22" s="82" t="str">
        <f>CONCATENATE("Identified as Significant Disproportionate and budgeted for CEIS in the ",MoeCurrYear," and/or ",PrevSchlYr," school years.")</f>
        <v>Identified as Significant Disproportionate and budgeted for CEIS in the 2022-2023 and/or 2023-2024 school years.</v>
      </c>
      <c r="C22" s="216" t="s">
        <v>1947</v>
      </c>
      <c r="D22" s="216" t="s">
        <v>1948</v>
      </c>
      <c r="E22" s="216" t="s">
        <v>1949</v>
      </c>
      <c r="F22" s="216" t="s">
        <v>1950</v>
      </c>
      <c r="G22" s="91"/>
      <c r="H22" s="92" t="str">
        <f>IF(LeaName="","",_xlfn.IFNA(INDEX(tblFRv2Choices[ScoreB],MATCH(G22,tblFRv2Choices[Choices],0)),""))</f>
        <v/>
      </c>
      <c r="I22" s="3"/>
      <c r="J22" s="3"/>
      <c r="K22" s="3"/>
      <c r="L22" s="3"/>
      <c r="M22" s="3"/>
      <c r="N22" s="3"/>
      <c r="O22" s="3"/>
    </row>
    <row r="23" spans="1:15" ht="52" hidden="1" x14ac:dyDescent="0.35">
      <c r="A23" s="3"/>
      <c r="B23" s="82" t="s">
        <v>1957</v>
      </c>
      <c r="C23" s="82" t="s">
        <v>1973</v>
      </c>
      <c r="D23" s="82" t="s">
        <v>1974</v>
      </c>
      <c r="E23" s="82" t="s">
        <v>1975</v>
      </c>
      <c r="F23" s="82" t="s">
        <v>1976</v>
      </c>
      <c r="G23" s="91"/>
      <c r="H23" s="92" t="str">
        <f>IF(LeaName="","",_xlfn.IFNA(INDEX(tblFRv2Choices[ScoreB],MATCH(G23,tblFRv2Choices[Choices],0)),""))</f>
        <v/>
      </c>
      <c r="I23" s="3"/>
      <c r="J23" s="3"/>
      <c r="K23" s="3"/>
      <c r="L23" s="3"/>
      <c r="M23" s="3"/>
      <c r="N23" s="3"/>
      <c r="O23" s="3"/>
    </row>
    <row r="24" spans="1:15" ht="52" hidden="1" x14ac:dyDescent="0.35">
      <c r="A24" s="3"/>
      <c r="B24" s="95" t="s">
        <v>1942</v>
      </c>
      <c r="C24" s="95" t="s">
        <v>1943</v>
      </c>
      <c r="D24" s="95" t="s">
        <v>1944</v>
      </c>
      <c r="E24" s="95" t="s">
        <v>1945</v>
      </c>
      <c r="F24" s="95" t="s">
        <v>1946</v>
      </c>
      <c r="G24" s="96" t="s">
        <v>1715</v>
      </c>
      <c r="H24" s="87" t="str">
        <f>IF(LeaName="","",_xlfn.IFNA(INDEX(tblFRv2Choices[ScoreB],MATCH(G24,tblFRv2Choices[Choices],0)),""))</f>
        <v/>
      </c>
      <c r="I24" s="3"/>
      <c r="J24" s="3"/>
      <c r="K24" s="3"/>
      <c r="L24" s="3"/>
      <c r="M24" s="3"/>
      <c r="N24" s="3"/>
      <c r="O24" s="3"/>
    </row>
    <row r="25" spans="1:15" ht="52" hidden="1" x14ac:dyDescent="0.35">
      <c r="A25" s="3"/>
      <c r="B25" s="271" t="s">
        <v>1956</v>
      </c>
      <c r="C25" s="271" t="s">
        <v>1938</v>
      </c>
      <c r="D25" s="271" t="s">
        <v>1939</v>
      </c>
      <c r="E25" s="271" t="s">
        <v>1940</v>
      </c>
      <c r="F25" s="271" t="s">
        <v>1941</v>
      </c>
      <c r="G25" s="272" t="s">
        <v>1715</v>
      </c>
      <c r="H25" s="273" t="str">
        <f>IF(LeaName="","",_xlfn.IFNA(INDEX(tblFRv2Choices[ScoreB],MATCH(G25,tblFRv2Choices[Choices],0)),""))</f>
        <v/>
      </c>
      <c r="I25" s="3"/>
      <c r="J25" s="3"/>
      <c r="K25" s="3"/>
      <c r="L25" s="3"/>
      <c r="M25" s="3"/>
      <c r="N25" s="3"/>
      <c r="O25" s="3"/>
    </row>
    <row r="26" spans="1:15" ht="26" x14ac:dyDescent="0.6">
      <c r="A26" s="3"/>
      <c r="B26" s="274" t="s">
        <v>1926</v>
      </c>
      <c r="C26" s="275"/>
      <c r="D26" s="275"/>
      <c r="E26" s="275"/>
      <c r="F26" s="275"/>
      <c r="G26" s="276">
        <f>COUNTA(G7:G11,G13:G22)</f>
        <v>3</v>
      </c>
      <c r="H26" s="277">
        <f>SUM(H7:H11,H13:H22)</f>
        <v>0</v>
      </c>
      <c r="I26" s="3"/>
      <c r="J26" s="3"/>
      <c r="K26" s="3"/>
      <c r="L26" s="3"/>
      <c r="M26" s="3"/>
      <c r="N26" s="3"/>
      <c r="O26" s="3"/>
    </row>
    <row r="27" spans="1:15" ht="26" x14ac:dyDescent="0.35">
      <c r="A27" s="3"/>
      <c r="B27" s="3"/>
      <c r="C27" s="3"/>
      <c r="D27" s="3"/>
      <c r="E27" s="3"/>
      <c r="F27" s="88"/>
      <c r="G27" s="446"/>
      <c r="H27" s="446"/>
      <c r="I27" s="3"/>
      <c r="J27" s="3"/>
      <c r="K27" s="3"/>
      <c r="L27" s="3"/>
      <c r="M27" s="3"/>
      <c r="N27" s="3"/>
      <c r="O27" s="3"/>
    </row>
    <row r="28" spans="1:15" x14ac:dyDescent="0.35">
      <c r="A28" s="3"/>
      <c r="B28" s="89"/>
      <c r="C28" s="3"/>
      <c r="D28" s="3"/>
      <c r="E28" s="3"/>
      <c r="F28" s="3"/>
      <c r="G28" s="3"/>
      <c r="H28" s="3"/>
      <c r="I28" s="3"/>
      <c r="J28" s="3"/>
      <c r="K28" s="3"/>
      <c r="L28" s="3"/>
      <c r="M28" s="3"/>
      <c r="N28" s="3"/>
      <c r="O28" s="3"/>
    </row>
    <row r="29" spans="1:15" x14ac:dyDescent="0.35">
      <c r="A29" s="3"/>
      <c r="B29" s="3"/>
      <c r="C29" s="3"/>
      <c r="D29" s="3"/>
      <c r="E29" s="3"/>
      <c r="F29" s="3"/>
      <c r="G29" s="3"/>
      <c r="H29" s="3"/>
      <c r="I29" s="3"/>
      <c r="J29" s="3"/>
      <c r="K29" s="3"/>
      <c r="L29" s="3"/>
      <c r="M29" s="3"/>
      <c r="N29" s="3"/>
      <c r="O29" s="3"/>
    </row>
    <row r="30" spans="1:15" ht="15.5" x14ac:dyDescent="0.35">
      <c r="A30" s="3"/>
      <c r="B30" s="270"/>
      <c r="C30" s="3"/>
      <c r="D30" s="3"/>
      <c r="E30" s="3"/>
      <c r="F30" s="3"/>
      <c r="G30" s="3"/>
      <c r="H30" s="3"/>
      <c r="I30" s="3"/>
      <c r="J30" s="3"/>
      <c r="K30" s="3"/>
      <c r="L30" s="3"/>
      <c r="M30" s="3"/>
      <c r="N30" s="3"/>
      <c r="O30" s="3"/>
    </row>
    <row r="31" spans="1:15" ht="15.5" x14ac:dyDescent="0.35">
      <c r="A31" s="3"/>
      <c r="B31" s="270"/>
      <c r="C31" s="3"/>
      <c r="D31" s="3"/>
      <c r="E31" s="3"/>
      <c r="F31" s="3"/>
      <c r="G31" s="3"/>
      <c r="H31" s="3"/>
      <c r="I31" s="3"/>
      <c r="J31" s="3"/>
      <c r="K31" s="3"/>
      <c r="L31" s="3"/>
      <c r="M31" s="3"/>
      <c r="N31" s="3"/>
      <c r="O31" s="3"/>
    </row>
    <row r="32" spans="1:15" ht="15.5" x14ac:dyDescent="0.35">
      <c r="A32" s="3"/>
      <c r="B32" s="270"/>
      <c r="C32" s="3"/>
      <c r="D32" s="3"/>
      <c r="E32" s="3"/>
      <c r="F32" s="3"/>
      <c r="G32" s="3"/>
      <c r="H32" s="3"/>
      <c r="I32" s="3"/>
      <c r="J32" s="3"/>
      <c r="K32" s="3"/>
      <c r="L32" s="3"/>
      <c r="M32" s="3"/>
      <c r="N32" s="3"/>
      <c r="O32" s="3"/>
    </row>
    <row r="33" spans="1:15" x14ac:dyDescent="0.35">
      <c r="A33" s="3"/>
      <c r="B33" s="3"/>
      <c r="C33" s="3"/>
      <c r="D33" s="3"/>
      <c r="E33" s="3"/>
      <c r="F33" s="3"/>
      <c r="G33" s="3"/>
      <c r="H33" s="3"/>
      <c r="I33" s="3"/>
      <c r="J33" s="3"/>
      <c r="K33" s="3"/>
      <c r="L33" s="3"/>
      <c r="M33" s="3"/>
      <c r="N33" s="3"/>
      <c r="O33" s="3"/>
    </row>
    <row r="34" spans="1:15" x14ac:dyDescent="0.35"/>
    <row r="49" x14ac:dyDescent="0.35"/>
    <row r="50" x14ac:dyDescent="0.35"/>
    <row r="51" x14ac:dyDescent="0.35"/>
  </sheetData>
  <sheetProtection algorithmName="SHA-512" hashValue="57fCeDNTvnCtEnIYsqvMpNBV0NWb6qebRtcNbaSsuazs0BLHTbPK0ppmZcMgIwx6C2LNuJhaij3G+3RPOQQAlw==" saltValue="r/9DYr4o1ClGRD8asOYYEQ==" spinCount="100000" sheet="1" selectLockedCells="1"/>
  <mergeCells count="3">
    <mergeCell ref="B2:H2"/>
    <mergeCell ref="B3:H3"/>
    <mergeCell ref="G27:H27"/>
  </mergeCells>
  <conditionalFormatting sqref="B3">
    <cfRule type="expression" dxfId="18" priority="56">
      <formula>AND(Sect611App="No",Sect619App="No")</formula>
    </cfRule>
  </conditionalFormatting>
  <conditionalFormatting sqref="C8:C9 D10 C11">
    <cfRule type="expression" dxfId="17" priority="19">
      <formula>$G8="A"</formula>
    </cfRule>
  </conditionalFormatting>
  <conditionalFormatting sqref="C16:C25">
    <cfRule type="expression" dxfId="16" priority="11">
      <formula>$G16="A"</formula>
    </cfRule>
  </conditionalFormatting>
  <conditionalFormatting sqref="D7">
    <cfRule type="expression" dxfId="15" priority="22">
      <formula>$G7="B"</formula>
    </cfRule>
  </conditionalFormatting>
  <conditionalFormatting sqref="D8">
    <cfRule type="expression" dxfId="14" priority="3">
      <formula>$G$8="B"</formula>
    </cfRule>
  </conditionalFormatting>
  <conditionalFormatting sqref="D13:D25">
    <cfRule type="expression" dxfId="13" priority="14">
      <formula>$G13="B"</formula>
    </cfRule>
  </conditionalFormatting>
  <conditionalFormatting sqref="E7 E9:E11">
    <cfRule type="expression" dxfId="12" priority="21">
      <formula>$G7="C"</formula>
    </cfRule>
  </conditionalFormatting>
  <conditionalFormatting sqref="E8">
    <cfRule type="expression" dxfId="11" priority="2">
      <formula>$G$8="C"</formula>
    </cfRule>
  </conditionalFormatting>
  <conditionalFormatting sqref="E13:E25">
    <cfRule type="expression" dxfId="10" priority="13">
      <formula>$G13="C"</formula>
    </cfRule>
  </conditionalFormatting>
  <conditionalFormatting sqref="F7 F9:F11">
    <cfRule type="expression" dxfId="9" priority="20">
      <formula>$G7="D"</formula>
    </cfRule>
  </conditionalFormatting>
  <conditionalFormatting sqref="F8">
    <cfRule type="expression" dxfId="8" priority="1">
      <formula>$G$8="D"</formula>
    </cfRule>
  </conditionalFormatting>
  <conditionalFormatting sqref="F13:F25">
    <cfRule type="expression" dxfId="7" priority="12">
      <formula>$G13="D"</formula>
    </cfRule>
  </conditionalFormatting>
  <conditionalFormatting sqref="G27:H27">
    <cfRule type="expression" dxfId="6" priority="41">
      <formula>$G$27="High"</formula>
    </cfRule>
    <cfRule type="expression" dxfId="5" priority="42">
      <formula>$G$27="Low"</formula>
    </cfRule>
    <cfRule type="expression" dxfId="4" priority="43">
      <formula>$G$27="Medium"</formula>
    </cfRule>
  </conditionalFormatting>
  <dataValidations count="2">
    <dataValidation type="list" allowBlank="1" showInputMessage="1" showErrorMessage="1" sqref="G13:G15" xr:uid="{00000000-0002-0000-1300-000000000000}">
      <formula1>FRv2_NoZero</formula1>
    </dataValidation>
    <dataValidation type="list" allowBlank="1" showInputMessage="1" showErrorMessage="1" sqref="G7:G9 G16:G18 G20:G25" xr:uid="{00000000-0002-0000-1300-000001000000}">
      <formula1>FRv2_Zero</formula1>
    </dataValidation>
  </dataValidations>
  <pageMargins left="0.23622047244094491" right="0.23622047244094491" top="0.74803149606299213" bottom="0.74803149606299213" header="0.31496062992125984" footer="0.31496062992125984"/>
  <pageSetup orientation="landscape" horizontalDpi="1200" verticalDpi="1200" r:id="rId1"/>
  <legacyDrawing r:id="rId2"/>
  <extLst>
    <ext xmlns:x14="http://schemas.microsoft.com/office/spreadsheetml/2009/9/main" uri="{78C0D931-6437-407d-A8EE-F0AAD7539E65}">
      <x14:conditionalFormattings>
        <x14:conditionalFormatting xmlns:xm="http://schemas.microsoft.com/office/excel/2006/main">
          <x14:cfRule type="expression" priority="39" id="{B0F6D6B1-0BAB-47F9-B848-395275E1F1A0}">
            <xm:f>AND(LeaName&lt;&gt;"",Output!$C$24)</xm:f>
            <x14:dxf>
              <fill>
                <patternFill>
                  <bgColor rgb="FF00B050"/>
                </patternFill>
              </fill>
              <border>
                <left style="thin">
                  <color rgb="FF00B050"/>
                </left>
                <right style="thin">
                  <color rgb="FF00B050"/>
                </right>
                <top style="thin">
                  <color rgb="FF00B050"/>
                </top>
                <bottom style="thin">
                  <color rgb="FF00B050"/>
                </bottom>
                <vertical/>
                <horizontal/>
              </border>
            </x14:dxf>
          </x14:cfRule>
          <x14:cfRule type="expression" priority="40" id="{80DD8991-9497-4C05-91CA-5AA7DD6C9418}">
            <xm:f>AND(LeaName&lt;&gt;"",NOT(Output!$C$24))</xm:f>
            <x14:dxf>
              <fill>
                <patternFill>
                  <bgColor rgb="FFFF0000"/>
                </patternFill>
              </fill>
              <border>
                <left style="thin">
                  <color rgb="FFFF0000"/>
                </left>
                <right style="thin">
                  <color rgb="FFFF0000"/>
                </right>
                <top style="thin">
                  <color rgb="FFFF0000"/>
                </top>
                <bottom style="thin">
                  <color rgb="FFFF0000"/>
                </bottom>
                <vertical/>
                <horizontal/>
              </border>
            </x14:dxf>
          </x14:cfRule>
          <xm:sqref>A1:A33</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dimension ref="A1:XFD64"/>
  <sheetViews>
    <sheetView showGridLines="0" topLeftCell="A12" workbookViewId="0">
      <selection activeCell="C29" sqref="C29"/>
    </sheetView>
  </sheetViews>
  <sheetFormatPr defaultColWidth="0" defaultRowHeight="14.5" zeroHeight="1" x14ac:dyDescent="0.35"/>
  <cols>
    <col min="1" max="1" width="3.26953125" customWidth="1"/>
    <col min="2" max="3" width="64.1796875" customWidth="1"/>
    <col min="4" max="4" width="3.26953125" customWidth="1"/>
    <col min="5" max="16383" width="9.1796875" hidden="1"/>
    <col min="16384" max="16384" width="14.453125" style="447" customWidth="1"/>
  </cols>
  <sheetData>
    <row r="1" spans="1:4 16384:16384" s="79" customFormat="1" ht="20" thickBot="1" x14ac:dyDescent="0.5">
      <c r="A1" s="3"/>
      <c r="B1" s="2" t="s">
        <v>1718</v>
      </c>
      <c r="C1" s="17" t="str">
        <f>"Fiscal Year: "&amp;CurrSchlYr</f>
        <v>Fiscal Year: 2024-2025</v>
      </c>
      <c r="D1" s="3"/>
      <c r="XFD1" s="447"/>
    </row>
    <row r="2" spans="1:4 16384:16384" s="79" customFormat="1" ht="16" thickTop="1" x14ac:dyDescent="0.35">
      <c r="A2" s="3"/>
      <c r="B2" s="50" t="s">
        <v>1719</v>
      </c>
      <c r="C2" s="52"/>
      <c r="D2" s="3"/>
      <c r="XFD2" s="447"/>
    </row>
    <row r="3" spans="1:4 16384:16384" s="79" customFormat="1" ht="57" customHeight="1" x14ac:dyDescent="0.35">
      <c r="A3" s="3"/>
      <c r="B3" s="448" t="s">
        <v>1720</v>
      </c>
      <c r="C3" s="448"/>
      <c r="D3" s="3"/>
      <c r="XFD3" s="447"/>
    </row>
    <row r="4" spans="1:4 16384:16384" s="79" customFormat="1" ht="6.65" customHeight="1" x14ac:dyDescent="0.35">
      <c r="A4" s="3"/>
      <c r="B4" s="3"/>
      <c r="C4" s="3"/>
      <c r="D4" s="3"/>
      <c r="XFD4" s="447"/>
    </row>
    <row r="5" spans="1:4 16384:16384" s="79" customFormat="1" ht="15.5" x14ac:dyDescent="0.35">
      <c r="A5" s="3"/>
      <c r="B5" s="20" t="s">
        <v>1721</v>
      </c>
      <c r="C5" s="20"/>
      <c r="D5" s="3"/>
      <c r="XFD5" s="447"/>
    </row>
    <row r="6" spans="1:4 16384:16384" s="79" customFormat="1" ht="15" customHeight="1" x14ac:dyDescent="0.35">
      <c r="A6" s="3"/>
      <c r="B6" s="449" t="s">
        <v>1722</v>
      </c>
      <c r="C6" s="449"/>
      <c r="D6" s="3"/>
      <c r="XFD6" s="447"/>
    </row>
    <row r="7" spans="1:4 16384:16384" s="79" customFormat="1" ht="15" customHeight="1" x14ac:dyDescent="0.35">
      <c r="A7" s="3"/>
      <c r="B7" s="449" t="s">
        <v>1723</v>
      </c>
      <c r="C7" s="449"/>
      <c r="D7" s="3"/>
      <c r="XFD7" s="447"/>
    </row>
    <row r="8" spans="1:4 16384:16384" s="79" customFormat="1" ht="15" customHeight="1" x14ac:dyDescent="0.35">
      <c r="A8" s="3"/>
      <c r="B8" s="449" t="s">
        <v>1724</v>
      </c>
      <c r="C8" s="449"/>
      <c r="D8" s="3"/>
      <c r="XFD8" s="447"/>
    </row>
    <row r="9" spans="1:4 16384:16384" s="79" customFormat="1" ht="15" customHeight="1" x14ac:dyDescent="0.35">
      <c r="A9" s="3"/>
      <c r="B9" s="449" t="s">
        <v>1725</v>
      </c>
      <c r="C9" s="449"/>
      <c r="D9" s="3"/>
      <c r="XFD9" s="447"/>
    </row>
    <row r="10" spans="1:4 16384:16384" s="79" customFormat="1" ht="15" customHeight="1" x14ac:dyDescent="0.35">
      <c r="A10" s="3"/>
      <c r="B10" s="449" t="s">
        <v>1726</v>
      </c>
      <c r="C10" s="449"/>
      <c r="D10" s="3"/>
      <c r="XFD10" s="447"/>
    </row>
    <row r="11" spans="1:4 16384:16384" s="79" customFormat="1" x14ac:dyDescent="0.35">
      <c r="A11" s="3"/>
      <c r="B11" s="449" t="s">
        <v>1727</v>
      </c>
      <c r="C11" s="449"/>
      <c r="D11" s="3"/>
      <c r="XFD11" s="447"/>
    </row>
    <row r="12" spans="1:4 16384:16384" s="79" customFormat="1" x14ac:dyDescent="0.35">
      <c r="A12" s="3"/>
      <c r="B12" s="449" t="s">
        <v>1728</v>
      </c>
      <c r="C12" s="449"/>
      <c r="D12" s="3"/>
      <c r="XFD12" s="447"/>
    </row>
    <row r="13" spans="1:4 16384:16384" s="79" customFormat="1" x14ac:dyDescent="0.35">
      <c r="A13" s="3"/>
      <c r="B13" s="449" t="s">
        <v>1729</v>
      </c>
      <c r="C13" s="449"/>
      <c r="D13" s="3"/>
      <c r="XFD13" s="447"/>
    </row>
    <row r="14" spans="1:4 16384:16384" s="79" customFormat="1" ht="15" customHeight="1" x14ac:dyDescent="0.35">
      <c r="A14" s="3"/>
      <c r="B14" s="449" t="s">
        <v>1730</v>
      </c>
      <c r="C14" s="449"/>
      <c r="D14" s="3"/>
      <c r="XFD14" s="447"/>
    </row>
    <row r="15" spans="1:4 16384:16384" s="79" customFormat="1" x14ac:dyDescent="0.35">
      <c r="A15" s="3"/>
      <c r="B15" s="449" t="s">
        <v>1731</v>
      </c>
      <c r="C15" s="449"/>
      <c r="D15" s="3"/>
      <c r="XFD15" s="447"/>
    </row>
    <row r="16" spans="1:4 16384:16384" s="79" customFormat="1" ht="6.65" customHeight="1" x14ac:dyDescent="0.35">
      <c r="A16" s="3"/>
      <c r="B16" s="3"/>
      <c r="C16" s="3"/>
      <c r="D16" s="3"/>
      <c r="XFD16" s="447"/>
    </row>
    <row r="17" spans="1:4 16384:16384" s="79" customFormat="1" ht="45.75" customHeight="1" x14ac:dyDescent="0.35">
      <c r="A17" s="3"/>
      <c r="B17" s="450" t="s">
        <v>1732</v>
      </c>
      <c r="C17" s="450"/>
      <c r="D17" s="3"/>
      <c r="XFD17" s="447"/>
    </row>
    <row r="18" spans="1:4 16384:16384" s="79" customFormat="1" ht="6.65" customHeight="1" x14ac:dyDescent="0.35">
      <c r="A18" s="3"/>
      <c r="B18" s="3"/>
      <c r="C18" s="3"/>
      <c r="D18" s="3"/>
      <c r="XFD18" s="447"/>
    </row>
    <row r="19" spans="1:4 16384:16384" s="79" customFormat="1" ht="61.5" customHeight="1" x14ac:dyDescent="0.35">
      <c r="A19" s="3"/>
      <c r="B19" s="450" t="s">
        <v>1733</v>
      </c>
      <c r="C19" s="450"/>
      <c r="D19" s="3"/>
      <c r="XFD19" s="447"/>
    </row>
    <row r="20" spans="1:4 16384:16384" s="79" customFormat="1" ht="6.65" customHeight="1" x14ac:dyDescent="0.35">
      <c r="A20" s="3"/>
      <c r="B20" s="3"/>
      <c r="C20" s="3"/>
      <c r="D20" s="3"/>
      <c r="XFD20" s="447"/>
    </row>
    <row r="21" spans="1:4 16384:16384" s="3" customFormat="1" ht="30" customHeight="1" x14ac:dyDescent="0.35">
      <c r="B21" s="448" t="str">
        <f>"The undersigned authorized officials of "&amp;IF(LEN(LeaName)&gt;0,LeaName,"the LEA")&amp;" are designated to submit this application for FFY "&amp;RptYr&amp;" funds under Part B of the Individuals with Disabilities Education Act (IDEA)."</f>
        <v>The undersigned authorized officials of the LEA are designated to submit this application for FFY 2024 funds under Part B of the Individuals with Disabilities Education Act (IDEA).</v>
      </c>
      <c r="C21" s="448"/>
      <c r="XFD21" s="447"/>
    </row>
    <row r="22" spans="1:4 16384:16384" customFormat="1" ht="20.5" customHeight="1" x14ac:dyDescent="0.35">
      <c r="A22" s="3"/>
      <c r="B22" s="100" t="s">
        <v>2012</v>
      </c>
      <c r="C22" s="100"/>
      <c r="D22" s="3"/>
      <c r="XFD22" s="447"/>
    </row>
    <row r="23" spans="1:4 16384:16384" s="3" customFormat="1" ht="17.5" customHeight="1" x14ac:dyDescent="0.35">
      <c r="B23" s="451"/>
      <c r="C23" s="451"/>
      <c r="D23" s="23" t="s">
        <v>1656</v>
      </c>
      <c r="XFD23" s="447"/>
    </row>
    <row r="24" spans="1:4 16384:16384" s="79" customFormat="1" x14ac:dyDescent="0.35">
      <c r="A24" s="3"/>
      <c r="B24" s="453" t="str">
        <f>IF(B23="No, the LEA is meeting the FAPE requirement and will waive the IDEA award", "By selecting No, your LEA and/or Consortia will not receive the LEA's allocated IDEA funds.","-")</f>
        <v>-</v>
      </c>
      <c r="C24" s="453"/>
      <c r="D24" s="3"/>
      <c r="XFD24" s="447"/>
    </row>
    <row r="25" spans="1:4 16384:16384" customFormat="1" ht="20.5" customHeight="1" x14ac:dyDescent="0.35">
      <c r="A25" s="3"/>
      <c r="B25" s="101" t="s">
        <v>2021</v>
      </c>
      <c r="C25" s="101"/>
      <c r="D25" s="3"/>
      <c r="XFD25" s="447"/>
    </row>
    <row r="26" spans="1:4 16384:16384" s="3" customFormat="1" ht="17.5" customHeight="1" x14ac:dyDescent="0.35">
      <c r="B26" s="451"/>
      <c r="C26" s="451"/>
      <c r="D26" s="23" t="s">
        <v>1656</v>
      </c>
    </row>
    <row r="27" spans="1:4 16384:16384" customFormat="1" x14ac:dyDescent="0.35">
      <c r="A27" s="3"/>
      <c r="B27" s="3"/>
      <c r="C27" s="3"/>
      <c r="D27" s="3"/>
    </row>
    <row r="28" spans="1:4 16384:16384" ht="18.5" x14ac:dyDescent="0.45">
      <c r="A28" s="3"/>
      <c r="B28" s="15" t="s">
        <v>1734</v>
      </c>
      <c r="C28" s="16"/>
      <c r="D28" s="3"/>
    </row>
    <row r="29" spans="1:4 16384:16384" x14ac:dyDescent="0.35">
      <c r="A29" s="3"/>
      <c r="B29" s="38" t="s">
        <v>1735</v>
      </c>
      <c r="C29" s="77"/>
      <c r="D29" s="3"/>
    </row>
    <row r="30" spans="1:4 16384:16384" x14ac:dyDescent="0.35">
      <c r="A30" s="3"/>
      <c r="B30" s="53" t="s">
        <v>1736</v>
      </c>
      <c r="C30" s="12" t="s">
        <v>1737</v>
      </c>
      <c r="D30" s="3"/>
    </row>
    <row r="31" spans="1:4 16384:16384" ht="49" customHeight="1" x14ac:dyDescent="0.35">
      <c r="A31" s="3"/>
      <c r="B31" s="42" t="str" cm="1">
        <f t="array" ref="B31">IF(ISBLANK(PrsnApplying),"",PrsnApplying)</f>
        <v/>
      </c>
      <c r="C31" s="228"/>
      <c r="D31" s="3"/>
    </row>
    <row r="32" spans="1:4 16384:16384" ht="6.65" customHeight="1" x14ac:dyDescent="0.35">
      <c r="A32" s="3"/>
      <c r="B32" s="3"/>
      <c r="C32" s="3"/>
      <c r="D32" s="3"/>
    </row>
    <row r="33" spans="1:4 16384:16384" x14ac:dyDescent="0.35">
      <c r="A33" s="3"/>
      <c r="B33" s="12" t="str">
        <f>IF(LEFT(C29,1)="Y","Signature (please type out full name name):","Signature:")</f>
        <v>Signature:</v>
      </c>
      <c r="C33" s="12" t="s">
        <v>1738</v>
      </c>
      <c r="D33" s="3"/>
    </row>
    <row r="34" spans="1:4 16384:16384" ht="90" customHeight="1" x14ac:dyDescent="0.7">
      <c r="A34" s="3"/>
      <c r="B34" s="40"/>
      <c r="C34" s="43"/>
      <c r="D34" s="3"/>
    </row>
    <row r="35" spans="1:4 16384:16384" ht="6.65" customHeight="1" x14ac:dyDescent="0.35">
      <c r="A35" s="3"/>
      <c r="B35" s="3"/>
      <c r="C35" s="3"/>
      <c r="D35" s="3"/>
    </row>
    <row r="36" spans="1:4 16384:16384" s="3" customFormat="1" ht="18.5" x14ac:dyDescent="0.45">
      <c r="B36" s="15" t="s">
        <v>1739</v>
      </c>
      <c r="C36" s="16"/>
      <c r="XFD36" s="447"/>
    </row>
    <row r="37" spans="1:4 16384:16384" x14ac:dyDescent="0.35">
      <c r="A37" s="3"/>
      <c r="B37" s="38" t="s">
        <v>1740</v>
      </c>
      <c r="C37" s="77"/>
      <c r="D37" s="3"/>
    </row>
    <row r="38" spans="1:4 16384:16384" x14ac:dyDescent="0.35">
      <c r="A38" s="3"/>
      <c r="B38" s="54" t="s">
        <v>1736</v>
      </c>
      <c r="C38" s="12" t="s">
        <v>1737</v>
      </c>
      <c r="D38" s="3"/>
    </row>
    <row r="39" spans="1:4 16384:16384" ht="49" customHeight="1" x14ac:dyDescent="0.35">
      <c r="A39" s="3"/>
      <c r="B39" s="287" t="str">
        <f>IF('Contact Information'!C21="",CONCATENATE('Contact Information'!C5," ",'Contact Information'!C6),CONCATENATE('Contact Information'!C21," ",'Contact Information'!C22))</f>
        <v xml:space="preserve"> </v>
      </c>
      <c r="C39" s="287" t="str">
        <f>IF('Contact Information'!C23="",'Contact Information'!C7,'Contact Information'!C23)</f>
        <v/>
      </c>
      <c r="D39" s="3"/>
    </row>
    <row r="40" spans="1:4 16384:16384" ht="6.65" customHeight="1" x14ac:dyDescent="0.35">
      <c r="A40" s="3"/>
      <c r="B40" s="3"/>
      <c r="C40" s="3"/>
      <c r="D40" s="3"/>
    </row>
    <row r="41" spans="1:4 16384:16384" x14ac:dyDescent="0.35">
      <c r="A41" s="3"/>
      <c r="B41" s="53" t="str">
        <f>IF(LEFT(C37,1)="Y","Signature (please type out full name name):","Signature:")</f>
        <v>Signature:</v>
      </c>
      <c r="C41" s="12" t="s">
        <v>1738</v>
      </c>
      <c r="D41" s="3"/>
    </row>
    <row r="42" spans="1:4 16384:16384" ht="90" customHeight="1" x14ac:dyDescent="0.7">
      <c r="A42" s="3"/>
      <c r="B42" s="40"/>
      <c r="C42" s="41"/>
      <c r="D42" s="3"/>
    </row>
    <row r="43" spans="1:4 16384:16384" ht="6.65" customHeight="1" x14ac:dyDescent="0.35">
      <c r="A43" s="3"/>
      <c r="B43" s="3"/>
      <c r="C43" s="3"/>
      <c r="D43" s="3"/>
    </row>
    <row r="44" spans="1:4 16384:16384" ht="18.5" x14ac:dyDescent="0.45">
      <c r="A44" s="3"/>
      <c r="B44" s="15" t="s">
        <v>1741</v>
      </c>
      <c r="C44" s="16"/>
      <c r="D44" s="3"/>
    </row>
    <row r="45" spans="1:4 16384:16384" x14ac:dyDescent="0.35">
      <c r="A45" s="3"/>
      <c r="B45" s="38" t="str">
        <f>IF(C47="","Business Official",C47)&amp;" Consent to Electronic Signature:"</f>
        <v>Business Official Consent to Electronic Signature:</v>
      </c>
      <c r="C45" s="77"/>
      <c r="D45" s="3"/>
    </row>
    <row r="46" spans="1:4 16384:16384" x14ac:dyDescent="0.35">
      <c r="A46" s="3"/>
      <c r="B46" s="54" t="s">
        <v>1736</v>
      </c>
      <c r="C46" s="12" t="s">
        <v>1737</v>
      </c>
      <c r="D46" s="3"/>
    </row>
    <row r="47" spans="1:4 16384:16384" ht="49" customHeight="1" x14ac:dyDescent="0.35">
      <c r="A47" s="3"/>
      <c r="B47" s="287" t="str">
        <f>IF('Contact Information'!D21="",CONCATENATE('Contact Information'!D5," ",'Contact Information'!D6),CONCATENATE('Contact Information'!D21," ",'Contact Information'!D22))</f>
        <v xml:space="preserve"> </v>
      </c>
      <c r="C47" s="287" t="str">
        <f>IF('Contact Information'!D23="",'Contact Information'!D7,'Contact Information'!D23)</f>
        <v/>
      </c>
      <c r="D47" s="3"/>
    </row>
    <row r="48" spans="1:4 16384:16384" ht="6.65" customHeight="1" x14ac:dyDescent="0.35">
      <c r="A48" s="3"/>
      <c r="B48" s="3"/>
      <c r="C48" s="3"/>
      <c r="D48" s="3"/>
    </row>
    <row r="49" spans="1:4 16384:16384" x14ac:dyDescent="0.35">
      <c r="A49" s="3"/>
      <c r="B49" s="12" t="str">
        <f>IF(LEFT(C45,1)="Y","Signature (please type out full name name):","Signature:")</f>
        <v>Signature:</v>
      </c>
      <c r="C49" s="12" t="s">
        <v>1738</v>
      </c>
      <c r="D49" s="3"/>
    </row>
    <row r="50" spans="1:4 16384:16384" ht="90" customHeight="1" x14ac:dyDescent="0.7">
      <c r="A50" s="3"/>
      <c r="B50" s="40"/>
      <c r="C50" s="41"/>
      <c r="D50" s="3"/>
    </row>
    <row r="51" spans="1:4 16384:16384" x14ac:dyDescent="0.35">
      <c r="A51" s="3"/>
      <c r="B51" s="3"/>
      <c r="C51" s="3"/>
      <c r="D51" s="3"/>
    </row>
    <row r="52" spans="1:4 16384:16384" x14ac:dyDescent="0.35">
      <c r="A52" s="3"/>
      <c r="B52" s="334" t="s">
        <v>3025</v>
      </c>
      <c r="C52" s="334"/>
    </row>
    <row r="53" spans="1:4 16384:16384" x14ac:dyDescent="0.35">
      <c r="A53" s="3"/>
      <c r="B53" s="55" t="s">
        <v>1742</v>
      </c>
      <c r="C53" s="3"/>
      <c r="D53" s="3"/>
    </row>
    <row r="54" spans="1:4 16384:16384" ht="26" x14ac:dyDescent="0.6">
      <c r="A54" s="3"/>
      <c r="B54" s="454" t="s">
        <v>3119</v>
      </c>
      <c r="C54" s="454"/>
      <c r="D54" s="3"/>
    </row>
    <row r="55" spans="1:4 16384:16384" x14ac:dyDescent="0.35">
      <c r="A55" s="3"/>
      <c r="B55" s="3"/>
      <c r="C55" s="3"/>
      <c r="D55" s="3"/>
    </row>
    <row r="56" spans="1:4 16384:16384" x14ac:dyDescent="0.35">
      <c r="A56" s="3"/>
      <c r="B56" s="452" t="str">
        <f>IF(LeaName="","",AgencyInfoFields)</f>
        <v/>
      </c>
      <c r="C56" s="452"/>
      <c r="D56" s="3"/>
    </row>
    <row r="57" spans="1:4 16384:16384" x14ac:dyDescent="0.35">
      <c r="A57" s="3"/>
      <c r="B57" s="452" t="str">
        <f>IF(LeaName="","",FiscalFields)</f>
        <v/>
      </c>
      <c r="C57" s="452"/>
      <c r="D57" s="3"/>
    </row>
    <row r="58" spans="1:4 16384:16384" x14ac:dyDescent="0.35">
      <c r="A58" s="3"/>
      <c r="B58" s="452" t="str">
        <f>IF(LeaName="","",DataCollectionProgramFields)</f>
        <v/>
      </c>
      <c r="C58" s="452"/>
      <c r="D58" s="3"/>
    </row>
    <row r="59" spans="1:4 16384:16384" x14ac:dyDescent="0.35">
      <c r="A59" s="3"/>
      <c r="B59" s="452" t="str">
        <f>IF(LeaName="","",CharterSchoolsFields)</f>
        <v/>
      </c>
      <c r="C59" s="452"/>
      <c r="D59" s="3"/>
    </row>
    <row r="60" spans="1:4 16384:16384" x14ac:dyDescent="0.35">
      <c r="A60" s="3"/>
      <c r="B60" s="452" t="str">
        <f>IF(LeaName="","",PrivateSchoolsFields)</f>
        <v/>
      </c>
      <c r="C60" s="452"/>
      <c r="D60" s="3"/>
    </row>
    <row r="61" spans="1:4 16384:16384" x14ac:dyDescent="0.35">
      <c r="A61" s="3"/>
      <c r="B61" s="304" t="str">
        <f>IF(LeaName="","",FiscalRiskFields)</f>
        <v/>
      </c>
      <c r="C61" s="304"/>
      <c r="D61" s="3"/>
    </row>
    <row r="62" spans="1:4 16384:16384" s="3" customFormat="1" x14ac:dyDescent="0.35">
      <c r="XFD62" s="447"/>
    </row>
    <row r="63" spans="1:4 16384:16384" x14ac:dyDescent="0.35"/>
    <row r="64" spans="1:4 16384:16384" x14ac:dyDescent="0.35"/>
  </sheetData>
  <sheetProtection algorithmName="SHA-512" hashValue="EimqTTqA/C/Wp2ahP/kSlUJP6Ok6dX7ZB2Glm+LzLVTcxC745PoY1I2pJYWgES6XiJ0nz8B7W817e/B6KJPq/A==" saltValue="U/alDPRnYsYh5tT/dLbOMA==" spinCount="100000" sheet="1" selectLockedCells="1"/>
  <mergeCells count="27">
    <mergeCell ref="B14:C14"/>
    <mergeCell ref="B23:C23"/>
    <mergeCell ref="B61:C61"/>
    <mergeCell ref="B56:C56"/>
    <mergeCell ref="B57:C57"/>
    <mergeCell ref="B58:C58"/>
    <mergeCell ref="B59:C59"/>
    <mergeCell ref="B60:C60"/>
    <mergeCell ref="B26:C26"/>
    <mergeCell ref="B24:C24"/>
    <mergeCell ref="B54:C54"/>
    <mergeCell ref="XFD1:XFD25"/>
    <mergeCell ref="XFD28:XFD1048576"/>
    <mergeCell ref="B52:C52"/>
    <mergeCell ref="B3:C3"/>
    <mergeCell ref="B6:C6"/>
    <mergeCell ref="B8:C8"/>
    <mergeCell ref="B7:C7"/>
    <mergeCell ref="B9:C9"/>
    <mergeCell ref="B15:C15"/>
    <mergeCell ref="B17:C17"/>
    <mergeCell ref="B19:C19"/>
    <mergeCell ref="B21:C21"/>
    <mergeCell ref="B10:C10"/>
    <mergeCell ref="B11:C11"/>
    <mergeCell ref="B12:C12"/>
    <mergeCell ref="B13:C13"/>
  </mergeCells>
  <conditionalFormatting sqref="B56:B61">
    <cfRule type="containsText" dxfId="1" priority="13" operator="containsText" text="required">
      <formula>NOT(ISERROR(SEARCH("required",B56)))</formula>
    </cfRule>
    <cfRule type="containsText" dxfId="0" priority="14" operator="containsText" text="complete">
      <formula>NOT(ISERROR(SEARCH("complete",B56)))</formula>
    </cfRule>
  </conditionalFormatting>
  <dataValidations count="1">
    <dataValidation type="list" allowBlank="1" showInputMessage="1" showErrorMessage="1" sqref="C29 C37 C45" xr:uid="{00000000-0002-0000-1500-000000000000}">
      <formula1>esig_choices</formula1>
    </dataValidation>
  </dataValidations>
  <hyperlinks>
    <hyperlink ref="B53" r:id="rId1" xr:uid="{00000000-0004-0000-1500-000000000000}"/>
    <hyperlink ref="B54" r:id="rId2" display="Link to the Form here" xr:uid="{E676FD20-ECA9-4094-870A-96436ED8C8CB}"/>
  </hyperlinks>
  <pageMargins left="0.25" right="0.25" top="0.75" bottom="0.75" header="0.3" footer="0.3"/>
  <pageSetup orientation="landscape" horizontalDpi="1200" verticalDpi="1200" r:id="rId3"/>
  <rowBreaks count="2" manualBreakCount="2">
    <brk id="27" max="16383" man="1"/>
    <brk id="43" max="16383" man="1"/>
  </rowBreaks>
  <legacyDrawing r:id="rId4"/>
  <extLst>
    <ext xmlns:x14="http://schemas.microsoft.com/office/spreadsheetml/2009/9/main" uri="{78C0D931-6437-407d-A8EE-F0AAD7539E65}">
      <x14:conditionalFormattings>
        <x14:conditionalFormatting xmlns:xm="http://schemas.microsoft.com/office/excel/2006/main">
          <x14:cfRule type="expression" priority="1" id="{2646A5CA-D40E-4FC0-9374-D20B5CF9ACC8}">
            <xm:f>AND(LeaName&lt;&gt;"",OR(Output!$C$19,Output!$C$20,Output!$C$21,Output!$C$22,Output!$C$23,Output!$C$24))</xm:f>
            <x14:dxf>
              <fill>
                <patternFill>
                  <bgColor theme="8" tint="0.59996337778862885"/>
                </patternFill>
              </fill>
            </x14:dxf>
          </x14:cfRule>
          <x14:cfRule type="expression" priority="2" id="{6BAAD540-3D18-4770-9A1B-3043327B035B}">
            <xm:f>AND(LeaName&lt;&gt;"",NOT(OR(Output!$C$19,Output!$C$20,Output!$C$21,Output!$C$22,Output!$C$23,Output!$C$24)))</xm:f>
            <x14:dxf>
              <fill>
                <patternFill>
                  <bgColor rgb="FFFF0000"/>
                </patternFill>
              </fill>
            </x14:dxf>
          </x14:cfRule>
          <xm:sqref>A1:A62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500-000001000000}">
          <x14:formula1>
            <xm:f>Admin!$AA$2:$AA$4</xm:f>
          </x14:formula1>
          <xm:sqref>B23:C23</xm:sqref>
        </x14:dataValidation>
        <x14:dataValidation type="list" allowBlank="1" showInputMessage="1" showErrorMessage="1" xr:uid="{00000000-0002-0000-1500-000002000000}">
          <x14:formula1>
            <xm:f>Admin!$AB$2:$AB$8</xm:f>
          </x14:formula1>
          <xm:sqref>B26:C26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0000"/>
  </sheetPr>
  <dimension ref="B2:Q29"/>
  <sheetViews>
    <sheetView workbookViewId="0"/>
  </sheetViews>
  <sheetFormatPr defaultRowHeight="14.5" x14ac:dyDescent="0.35"/>
  <cols>
    <col min="1" max="1" width="3.1796875" customWidth="1"/>
    <col min="2" max="2" width="13" customWidth="1"/>
    <col min="3" max="3" width="8.81640625" customWidth="1"/>
    <col min="4" max="4" width="8.7265625" customWidth="1"/>
    <col min="8" max="8" width="8.7265625" customWidth="1"/>
    <col min="9" max="9" width="8.54296875" customWidth="1"/>
    <col min="12" max="12" width="6.1796875" customWidth="1"/>
    <col min="13" max="13" width="13.54296875" customWidth="1"/>
    <col min="14" max="14" width="6.7265625" customWidth="1"/>
  </cols>
  <sheetData>
    <row r="2" spans="2:14" ht="19.5" x14ac:dyDescent="0.35">
      <c r="B2" s="459" t="s">
        <v>2076</v>
      </c>
      <c r="C2" s="460"/>
    </row>
    <row r="3" spans="2:14" ht="6" customHeight="1" x14ac:dyDescent="0.35"/>
    <row r="4" spans="2:14" ht="14.5" customHeight="1" x14ac:dyDescent="0.35">
      <c r="B4" s="461" t="s">
        <v>2077</v>
      </c>
      <c r="C4" s="461"/>
      <c r="D4" s="461"/>
      <c r="E4" s="461"/>
      <c r="F4" s="461"/>
      <c r="G4" s="461"/>
      <c r="H4" s="461"/>
      <c r="I4" s="461"/>
      <c r="J4" s="461"/>
      <c r="K4" s="461"/>
    </row>
    <row r="5" spans="2:14" x14ac:dyDescent="0.35">
      <c r="B5" s="461"/>
      <c r="C5" s="461"/>
      <c r="D5" s="461"/>
      <c r="E5" s="461"/>
      <c r="F5" s="461"/>
      <c r="G5" s="461"/>
      <c r="H5" s="461"/>
      <c r="I5" s="461"/>
      <c r="J5" s="461"/>
      <c r="K5" s="461"/>
    </row>
    <row r="6" spans="2:14" x14ac:dyDescent="0.35">
      <c r="B6" s="461"/>
      <c r="C6" s="461"/>
      <c r="D6" s="461"/>
      <c r="E6" s="461"/>
      <c r="F6" s="461"/>
      <c r="G6" s="461"/>
      <c r="H6" s="461"/>
      <c r="I6" s="461"/>
      <c r="J6" s="461"/>
      <c r="K6" s="461"/>
    </row>
    <row r="7" spans="2:14" ht="40" customHeight="1" x14ac:dyDescent="0.35">
      <c r="B7" s="461"/>
      <c r="C7" s="461"/>
      <c r="D7" s="461"/>
      <c r="E7" s="461"/>
      <c r="F7" s="461"/>
      <c r="G7" s="461"/>
      <c r="H7" s="461"/>
      <c r="I7" s="461"/>
      <c r="J7" s="461"/>
      <c r="K7" s="461"/>
    </row>
    <row r="8" spans="2:14" ht="13.5" customHeight="1" x14ac:dyDescent="0.35">
      <c r="C8" s="136"/>
      <c r="D8" s="136"/>
      <c r="E8" s="136"/>
      <c r="F8" s="136"/>
      <c r="G8" s="136"/>
      <c r="H8" s="136"/>
      <c r="I8" s="136"/>
    </row>
    <row r="9" spans="2:14" x14ac:dyDescent="0.35">
      <c r="C9" s="462" t="s">
        <v>2070</v>
      </c>
      <c r="D9" s="462"/>
      <c r="E9" s="462"/>
    </row>
    <row r="10" spans="2:14" x14ac:dyDescent="0.35">
      <c r="C10" s="131"/>
      <c r="D10" s="464" t="s">
        <v>2965</v>
      </c>
      <c r="E10" s="464"/>
    </row>
    <row r="11" spans="2:14" x14ac:dyDescent="0.35">
      <c r="C11" s="127"/>
      <c r="D11" s="457" t="s">
        <v>2065</v>
      </c>
      <c r="E11" s="457"/>
      <c r="F11" s="457"/>
      <c r="G11" s="457"/>
      <c r="H11" s="457"/>
      <c r="I11" s="114"/>
    </row>
    <row r="12" spans="2:14" x14ac:dyDescent="0.35">
      <c r="C12" s="127"/>
      <c r="E12" s="465" t="s">
        <v>2066</v>
      </c>
      <c r="F12" s="465"/>
      <c r="G12" s="465"/>
      <c r="H12" s="465"/>
      <c r="I12" s="465"/>
      <c r="J12" s="465"/>
      <c r="K12" s="465"/>
      <c r="L12" s="465"/>
      <c r="M12" s="465"/>
      <c r="N12" s="114"/>
    </row>
    <row r="13" spans="2:14" x14ac:dyDescent="0.35">
      <c r="C13" s="126"/>
      <c r="E13" s="457" t="s">
        <v>2067</v>
      </c>
      <c r="F13" s="457"/>
      <c r="G13" s="457"/>
      <c r="H13" s="457"/>
      <c r="I13" s="114"/>
      <c r="J13" s="135"/>
      <c r="K13" s="135"/>
      <c r="L13" s="135"/>
      <c r="M13" s="135"/>
    </row>
    <row r="14" spans="2:14" ht="8.5" customHeight="1" x14ac:dyDescent="0.35">
      <c r="C14" s="126"/>
      <c r="E14" s="134"/>
      <c r="F14" s="134"/>
      <c r="G14" s="134"/>
      <c r="H14" s="134"/>
      <c r="I14" s="134"/>
      <c r="J14" s="134"/>
      <c r="K14" s="134"/>
      <c r="L14" s="134"/>
      <c r="M14" s="134"/>
    </row>
    <row r="15" spans="2:14" x14ac:dyDescent="0.35">
      <c r="C15" s="132"/>
      <c r="D15" s="456" t="s">
        <v>2068</v>
      </c>
      <c r="E15" s="456"/>
    </row>
    <row r="16" spans="2:14" x14ac:dyDescent="0.35">
      <c r="C16" s="127"/>
      <c r="D16" s="458" t="s">
        <v>2065</v>
      </c>
      <c r="E16" s="458"/>
      <c r="F16" s="458"/>
      <c r="G16" s="458"/>
      <c r="H16" s="458"/>
      <c r="I16" s="114"/>
    </row>
    <row r="17" spans="3:17" x14ac:dyDescent="0.35">
      <c r="C17" s="127"/>
      <c r="E17" s="457" t="s">
        <v>2066</v>
      </c>
      <c r="F17" s="457"/>
      <c r="G17" s="457"/>
      <c r="H17" s="457"/>
      <c r="I17" s="457"/>
      <c r="J17" s="457"/>
      <c r="K17" s="457"/>
      <c r="L17" s="457"/>
      <c r="M17" s="457"/>
      <c r="N17" s="114"/>
    </row>
    <row r="18" spans="3:17" x14ac:dyDescent="0.35">
      <c r="C18" s="126"/>
      <c r="E18" s="457" t="s">
        <v>2067</v>
      </c>
      <c r="F18" s="457"/>
      <c r="G18" s="457"/>
      <c r="H18" s="457"/>
      <c r="I18" s="114"/>
      <c r="Q18" s="103"/>
    </row>
    <row r="19" spans="3:17" ht="8.15" customHeight="1" x14ac:dyDescent="0.35">
      <c r="C19" s="126"/>
      <c r="E19" s="134"/>
      <c r="F19" s="134"/>
      <c r="G19" s="134"/>
      <c r="H19" s="134"/>
    </row>
    <row r="20" spans="3:17" x14ac:dyDescent="0.35">
      <c r="C20" s="132"/>
      <c r="D20" s="456" t="s">
        <v>2069</v>
      </c>
      <c r="E20" s="456"/>
    </row>
    <row r="21" spans="3:17" x14ac:dyDescent="0.35">
      <c r="C21" s="127"/>
      <c r="D21" s="457" t="s">
        <v>2065</v>
      </c>
      <c r="E21" s="457"/>
      <c r="F21" s="457"/>
      <c r="G21" s="457"/>
      <c r="H21" s="457"/>
      <c r="I21" s="114"/>
    </row>
    <row r="22" spans="3:17" x14ac:dyDescent="0.35">
      <c r="C22" s="127"/>
      <c r="E22" s="458" t="s">
        <v>2066</v>
      </c>
      <c r="F22" s="458"/>
      <c r="G22" s="458"/>
      <c r="H22" s="458"/>
      <c r="I22" s="458"/>
      <c r="J22" s="458"/>
      <c r="K22" s="458"/>
      <c r="L22" s="458"/>
      <c r="M22" s="458"/>
      <c r="N22" s="114"/>
    </row>
    <row r="23" spans="3:17" x14ac:dyDescent="0.35">
      <c r="C23" s="126"/>
      <c r="E23" s="458" t="s">
        <v>2067</v>
      </c>
      <c r="F23" s="458"/>
      <c r="G23" s="458"/>
      <c r="H23" s="458"/>
      <c r="I23" s="114"/>
    </row>
    <row r="24" spans="3:17" ht="7" customHeight="1" x14ac:dyDescent="0.35">
      <c r="C24" s="126"/>
      <c r="E24" s="129"/>
      <c r="F24" s="129"/>
      <c r="G24" s="129"/>
      <c r="H24" s="129"/>
    </row>
    <row r="25" spans="3:17" ht="16" customHeight="1" x14ac:dyDescent="0.35">
      <c r="C25" s="133"/>
      <c r="D25" s="456" t="s">
        <v>2075</v>
      </c>
      <c r="E25" s="456"/>
      <c r="F25" s="456"/>
      <c r="G25" s="456"/>
      <c r="H25" s="456"/>
      <c r="I25" s="456"/>
      <c r="J25" s="456"/>
      <c r="K25" s="456"/>
      <c r="L25" s="456"/>
      <c r="M25" s="114"/>
    </row>
    <row r="26" spans="3:17" x14ac:dyDescent="0.35">
      <c r="C26" s="128"/>
      <c r="E26" s="458" t="s">
        <v>2071</v>
      </c>
      <c r="F26" s="458"/>
      <c r="G26" s="458"/>
      <c r="H26" s="458"/>
      <c r="I26" s="458"/>
      <c r="J26" s="458"/>
      <c r="K26" s="458"/>
      <c r="L26" s="458"/>
      <c r="M26" s="458"/>
    </row>
    <row r="27" spans="3:17" x14ac:dyDescent="0.35">
      <c r="C27" s="128"/>
      <c r="E27" s="130"/>
      <c r="F27" s="137" t="s">
        <v>2072</v>
      </c>
      <c r="G27" s="455"/>
      <c r="H27" s="455"/>
      <c r="I27" s="455"/>
      <c r="J27" s="455"/>
      <c r="K27" s="455"/>
      <c r="L27" s="455"/>
    </row>
    <row r="28" spans="3:17" x14ac:dyDescent="0.35">
      <c r="C28" s="128"/>
      <c r="D28" s="135"/>
      <c r="E28" s="135"/>
      <c r="F28" s="138" t="s">
        <v>2073</v>
      </c>
      <c r="G28" s="463"/>
      <c r="H28" s="463"/>
      <c r="I28" s="463"/>
      <c r="J28" s="463"/>
      <c r="K28" s="463"/>
      <c r="L28" s="463"/>
    </row>
    <row r="29" spans="3:17" x14ac:dyDescent="0.35">
      <c r="E29" s="130"/>
      <c r="F29" s="137" t="s">
        <v>2074</v>
      </c>
      <c r="G29" s="455"/>
      <c r="H29" s="455"/>
      <c r="I29" s="455"/>
      <c r="J29" s="455"/>
      <c r="K29" s="455"/>
      <c r="L29" s="455"/>
      <c r="M29" s="130"/>
    </row>
  </sheetData>
  <sheetProtection sort="0"/>
  <mergeCells count="20">
    <mergeCell ref="B2:C2"/>
    <mergeCell ref="B4:K7"/>
    <mergeCell ref="C9:E9"/>
    <mergeCell ref="G27:L27"/>
    <mergeCell ref="G28:L28"/>
    <mergeCell ref="D10:E10"/>
    <mergeCell ref="D15:E15"/>
    <mergeCell ref="D20:E20"/>
    <mergeCell ref="E13:H13"/>
    <mergeCell ref="E12:M12"/>
    <mergeCell ref="D11:H11"/>
    <mergeCell ref="D16:H16"/>
    <mergeCell ref="E17:M17"/>
    <mergeCell ref="E18:H18"/>
    <mergeCell ref="G29:L29"/>
    <mergeCell ref="D25:L25"/>
    <mergeCell ref="D21:H21"/>
    <mergeCell ref="E22:M22"/>
    <mergeCell ref="E23:H23"/>
    <mergeCell ref="E26:M26"/>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showInputMessage="1" showErrorMessage="1" xr:uid="{DE95E898-0DFA-4EED-89EC-7B6E826044F6}">
          <x14:formula1>
            <xm:f>Admin!$A$48:$A$51</xm:f>
          </x14:formula1>
          <xm:sqref>I11 N12 I13 I16 N17 N22 I18 I21 I23 M25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ADA06-EFD2-4A9E-A51C-C3E83502DCF5}">
  <sheetPr codeName="Sheet25"/>
  <dimension ref="A1:V2365"/>
  <sheetViews>
    <sheetView workbookViewId="0"/>
  </sheetViews>
  <sheetFormatPr defaultRowHeight="14.5" x14ac:dyDescent="0.35"/>
  <cols>
    <col min="1" max="1" width="23.26953125" bestFit="1" customWidth="1"/>
    <col min="2" max="2" width="8.26953125" customWidth="1"/>
    <col min="3" max="3" width="12.453125" customWidth="1"/>
    <col min="4" max="4" width="13.453125" customWidth="1"/>
    <col min="5" max="5" width="27.453125" customWidth="1"/>
    <col min="6" max="6" width="27.54296875" customWidth="1"/>
    <col min="7" max="7" width="28.7265625" customWidth="1"/>
    <col min="8" max="8" width="27.1796875" customWidth="1"/>
    <col min="9" max="9" width="36.81640625" customWidth="1"/>
    <col min="10" max="10" width="37" style="44" customWidth="1"/>
    <col min="11" max="11" width="38.1796875" customWidth="1"/>
    <col min="12" max="12" width="31.7265625" customWidth="1"/>
    <col min="13" max="14" width="39.54296875" customWidth="1"/>
    <col min="15" max="15" width="23.54296875" customWidth="1"/>
    <col min="16" max="16" width="20.81640625" customWidth="1"/>
    <col min="17" max="17" width="12.453125" customWidth="1"/>
    <col min="21" max="21" width="8.7265625" customWidth="1"/>
    <col min="22" max="22" width="22.54296875" customWidth="1"/>
  </cols>
  <sheetData>
    <row r="1" spans="1:22" x14ac:dyDescent="0.35">
      <c r="A1" s="195" t="s">
        <v>0</v>
      </c>
      <c r="B1" s="196" t="s">
        <v>1</v>
      </c>
      <c r="C1" s="196" t="s">
        <v>220</v>
      </c>
      <c r="D1" s="196" t="s">
        <v>221</v>
      </c>
      <c r="E1" s="196" t="s">
        <v>222</v>
      </c>
      <c r="F1" s="196" t="s">
        <v>223</v>
      </c>
      <c r="G1" s="196" t="s">
        <v>224</v>
      </c>
      <c r="H1" s="196" t="s">
        <v>225</v>
      </c>
      <c r="I1" s="196" t="s">
        <v>226</v>
      </c>
      <c r="J1" s="197" t="s">
        <v>227</v>
      </c>
      <c r="K1" s="196" t="s">
        <v>228</v>
      </c>
      <c r="L1" s="196" t="s">
        <v>229</v>
      </c>
      <c r="M1" s="196" t="s">
        <v>230</v>
      </c>
      <c r="N1" s="196" t="s">
        <v>231</v>
      </c>
      <c r="O1" s="196" t="s">
        <v>232</v>
      </c>
      <c r="P1" s="196" t="s">
        <v>233</v>
      </c>
      <c r="Q1" s="196" t="s">
        <v>234</v>
      </c>
      <c r="R1" s="196" t="s">
        <v>235</v>
      </c>
      <c r="S1" s="196" t="s">
        <v>236</v>
      </c>
      <c r="T1" s="196" t="s">
        <v>237</v>
      </c>
      <c r="U1" s="196" t="s">
        <v>238</v>
      </c>
      <c r="V1" s="196" t="s">
        <v>1920</v>
      </c>
    </row>
    <row r="2" spans="1:22" x14ac:dyDescent="0.35">
      <c r="A2" s="198" t="s">
        <v>14</v>
      </c>
      <c r="B2" s="199">
        <v>2063</v>
      </c>
      <c r="C2" s="199" t="s">
        <v>57</v>
      </c>
      <c r="D2" s="199">
        <v>2</v>
      </c>
      <c r="E2" s="199">
        <v>4603.96</v>
      </c>
      <c r="F2" s="199">
        <v>16991.669999999998</v>
      </c>
      <c r="G2" s="199">
        <f>'Mail Merge'!$E2+'Mail Merge'!$F2</f>
        <v>21595.629999999997</v>
      </c>
      <c r="H2" s="199">
        <v>0</v>
      </c>
      <c r="I2" s="199" t="s">
        <v>239</v>
      </c>
      <c r="J2" s="199">
        <f>IFERROR('Mail Merge'!$E2/'Mail Merge'!$D2,0)</f>
        <v>2301.98</v>
      </c>
      <c r="K2" s="199">
        <f>IFERROR('Mail Merge'!$F2/'Mail Merge'!$D2,0)</f>
        <v>8495.8349999999991</v>
      </c>
      <c r="L2" s="199">
        <f>IFERROR('Mail Merge'!$G2/'Mail Merge'!$D2,0)</f>
        <v>10797.814999999999</v>
      </c>
      <c r="M2" s="199">
        <v>0</v>
      </c>
      <c r="N2" s="199" t="s">
        <v>239</v>
      </c>
      <c r="O2" s="199">
        <v>2346.34</v>
      </c>
      <c r="P2" s="199">
        <v>486.31</v>
      </c>
      <c r="Q2" s="199">
        <f>'Mail Merge'!$O2+'Mail Merge'!$P2</f>
        <v>2832.65</v>
      </c>
      <c r="R2" s="199"/>
      <c r="S2" s="199"/>
      <c r="T2" s="199"/>
      <c r="U2" s="199">
        <f>IF(AND('Mail Merge'!$I2="Did Not Meet",'Mail Merge'!$N2="Did Not Meet"),MIN(ABS('Mail Merge'!$H2),ABS('Mail Merge'!$M2),'Mail Merge'!$Q2),0)</f>
        <v>0</v>
      </c>
      <c r="V2" s="199" t="str">
        <f>IF(OR(IFERROR(SEARCH("Met",'Mail Merge'!$N2),0)&gt;0,IFERROR(SEARCH("Met",'Mail Merge'!$I2),0)&gt;0),"Met","Not Met")</f>
        <v>Met</v>
      </c>
    </row>
    <row r="3" spans="1:22" x14ac:dyDescent="0.35">
      <c r="A3" s="200" t="s">
        <v>17</v>
      </c>
      <c r="B3" s="201">
        <v>2113</v>
      </c>
      <c r="C3" s="201" t="s">
        <v>57</v>
      </c>
      <c r="D3" s="201">
        <v>37</v>
      </c>
      <c r="E3" s="201">
        <v>145024.20000000001</v>
      </c>
      <c r="F3" s="201">
        <v>62780.12</v>
      </c>
      <c r="G3" s="201">
        <f>'Mail Merge'!$E3+'Mail Merge'!$F3</f>
        <v>207804.32</v>
      </c>
      <c r="H3" s="201">
        <v>0</v>
      </c>
      <c r="I3" s="201" t="s">
        <v>239</v>
      </c>
      <c r="J3" s="201">
        <f>IFERROR('Mail Merge'!$E3/'Mail Merge'!$D3,0)</f>
        <v>3919.5729729729733</v>
      </c>
      <c r="K3" s="201">
        <f>IFERROR('Mail Merge'!$F3/'Mail Merge'!$D3,0)</f>
        <v>1696.76</v>
      </c>
      <c r="L3" s="201">
        <f>IFERROR('Mail Merge'!$G3/'Mail Merge'!$D3,0)</f>
        <v>5616.332972972973</v>
      </c>
      <c r="M3" s="201">
        <v>0</v>
      </c>
      <c r="N3" s="201" t="s">
        <v>239</v>
      </c>
      <c r="O3" s="201">
        <v>47003.14</v>
      </c>
      <c r="P3" s="201">
        <v>0</v>
      </c>
      <c r="Q3" s="201">
        <f>'Mail Merge'!$O3+'Mail Merge'!$P3</f>
        <v>47003.14</v>
      </c>
      <c r="R3" s="201"/>
      <c r="S3" s="201"/>
      <c r="T3" s="201"/>
      <c r="U3" s="201">
        <f>IF(AND('Mail Merge'!$I3="Did Not Meet",'Mail Merge'!$N3="Did Not Meet"),MIN(ABS('Mail Merge'!$H3),ABS('Mail Merge'!$M3),'Mail Merge'!$Q3),0)</f>
        <v>0</v>
      </c>
      <c r="V3" s="201" t="str">
        <f>IF(OR(IFERROR(SEARCH("Met",'Mail Merge'!$N3),0)&gt;0,IFERROR(SEARCH("Met",'Mail Merge'!$I3),0)&gt;0),"Met","Not Met")</f>
        <v>Met</v>
      </c>
    </row>
    <row r="4" spans="1:22" x14ac:dyDescent="0.35">
      <c r="A4" s="198" t="s">
        <v>20</v>
      </c>
      <c r="B4" s="199">
        <v>1899</v>
      </c>
      <c r="C4" s="199" t="s">
        <v>57</v>
      </c>
      <c r="D4" s="199">
        <v>18</v>
      </c>
      <c r="E4" s="199">
        <v>96920.25</v>
      </c>
      <c r="F4" s="199">
        <v>9530</v>
      </c>
      <c r="G4" s="199">
        <f>'Mail Merge'!$E4+'Mail Merge'!$F4</f>
        <v>106450.25</v>
      </c>
      <c r="H4" s="199">
        <v>0</v>
      </c>
      <c r="I4" s="199" t="s">
        <v>239</v>
      </c>
      <c r="J4" s="199">
        <f>IFERROR('Mail Merge'!$E4/'Mail Merge'!$D4,0)</f>
        <v>5384.458333333333</v>
      </c>
      <c r="K4" s="199">
        <f>IFERROR('Mail Merge'!$F4/'Mail Merge'!$D4,0)</f>
        <v>529.44444444444446</v>
      </c>
      <c r="L4" s="199">
        <f>IFERROR('Mail Merge'!$G4/'Mail Merge'!$D4,0)</f>
        <v>5913.9027777777774</v>
      </c>
      <c r="M4" s="199">
        <v>0</v>
      </c>
      <c r="N4" s="199" t="s">
        <v>239</v>
      </c>
      <c r="O4" s="199">
        <v>30188.57</v>
      </c>
      <c r="P4" s="199">
        <v>0</v>
      </c>
      <c r="Q4" s="199">
        <f>'Mail Merge'!$O4+'Mail Merge'!$P4</f>
        <v>30188.57</v>
      </c>
      <c r="R4" s="199"/>
      <c r="S4" s="199"/>
      <c r="T4" s="199"/>
      <c r="U4" s="199">
        <f>IF(AND('Mail Merge'!$I4="Did Not Meet",'Mail Merge'!$N4="Did Not Meet"),MIN(ABS('Mail Merge'!$H4),ABS('Mail Merge'!$M4),'Mail Merge'!$Q4),0)</f>
        <v>0</v>
      </c>
      <c r="V4" s="199" t="str">
        <f>IF(OR(IFERROR(SEARCH("Met",'Mail Merge'!$N4),0)&gt;0,IFERROR(SEARCH("Met",'Mail Merge'!$I4),0)&gt;0),"Met","Not Met")</f>
        <v>Met</v>
      </c>
    </row>
    <row r="5" spans="1:22" x14ac:dyDescent="0.35">
      <c r="A5" s="200" t="s">
        <v>21</v>
      </c>
      <c r="B5" s="201">
        <v>2252</v>
      </c>
      <c r="C5" s="201" t="s">
        <v>57</v>
      </c>
      <c r="D5" s="201">
        <v>107</v>
      </c>
      <c r="E5" s="201">
        <v>697979.35</v>
      </c>
      <c r="F5" s="201">
        <v>91486.26</v>
      </c>
      <c r="G5" s="201">
        <f>'Mail Merge'!$E5+'Mail Merge'!$F5</f>
        <v>789465.61</v>
      </c>
      <c r="H5" s="201">
        <v>0</v>
      </c>
      <c r="I5" s="201" t="s">
        <v>239</v>
      </c>
      <c r="J5" s="201">
        <f>IFERROR('Mail Merge'!$E5/'Mail Merge'!$D5,0)</f>
        <v>6523.171495327103</v>
      </c>
      <c r="K5" s="201">
        <f>IFERROR('Mail Merge'!$F5/'Mail Merge'!$D5,0)</f>
        <v>855.01177570093455</v>
      </c>
      <c r="L5" s="201">
        <f>IFERROR('Mail Merge'!$G5/'Mail Merge'!$D5,0)</f>
        <v>7378.1832710280369</v>
      </c>
      <c r="M5" s="201">
        <v>0</v>
      </c>
      <c r="N5" s="201" t="s">
        <v>239</v>
      </c>
      <c r="O5" s="201">
        <v>148416.46</v>
      </c>
      <c r="P5" s="201">
        <v>1123.08</v>
      </c>
      <c r="Q5" s="201">
        <f>'Mail Merge'!$O5+'Mail Merge'!$P5</f>
        <v>149539.53999999998</v>
      </c>
      <c r="R5" s="201"/>
      <c r="S5" s="201"/>
      <c r="T5" s="201"/>
      <c r="U5" s="201">
        <f>IF(AND('Mail Merge'!$I5="Did Not Meet",'Mail Merge'!$N5="Did Not Meet"),MIN(ABS('Mail Merge'!$H5),ABS('Mail Merge'!$M5),'Mail Merge'!$Q5),0)</f>
        <v>0</v>
      </c>
      <c r="V5" s="201" t="str">
        <f>IF(OR(IFERROR(SEARCH("Met",'Mail Merge'!$N5),0)&gt;0,IFERROR(SEARCH("Met",'Mail Merge'!$I5),0)&gt;0),"Met","Not Met")</f>
        <v>Met</v>
      </c>
    </row>
    <row r="6" spans="1:22" x14ac:dyDescent="0.35">
      <c r="A6" s="198" t="s">
        <v>23</v>
      </c>
      <c r="B6" s="199">
        <v>2111</v>
      </c>
      <c r="C6" s="199" t="s">
        <v>57</v>
      </c>
      <c r="D6" s="199">
        <v>4</v>
      </c>
      <c r="E6" s="199">
        <v>0</v>
      </c>
      <c r="F6" s="199">
        <v>18022.900000000001</v>
      </c>
      <c r="G6" s="199">
        <f>'Mail Merge'!$E6+'Mail Merge'!$F6</f>
        <v>18022.900000000001</v>
      </c>
      <c r="H6" s="199">
        <v>0</v>
      </c>
      <c r="I6" s="199" t="s">
        <v>239</v>
      </c>
      <c r="J6" s="199">
        <f>IFERROR('Mail Merge'!$E6/'Mail Merge'!$D6,0)</f>
        <v>0</v>
      </c>
      <c r="K6" s="199">
        <f>IFERROR('Mail Merge'!$F6/'Mail Merge'!$D6,0)</f>
        <v>4505.7250000000004</v>
      </c>
      <c r="L6" s="199">
        <f>IFERROR('Mail Merge'!$G6/'Mail Merge'!$D6,0)</f>
        <v>4505.7250000000004</v>
      </c>
      <c r="M6" s="199">
        <v>0</v>
      </c>
      <c r="N6" s="199" t="s">
        <v>239</v>
      </c>
      <c r="O6" s="199">
        <v>14453.95</v>
      </c>
      <c r="P6" s="199">
        <v>7.73</v>
      </c>
      <c r="Q6" s="199">
        <f>'Mail Merge'!$O6+'Mail Merge'!$P6</f>
        <v>14461.68</v>
      </c>
      <c r="R6" s="199"/>
      <c r="S6" s="199"/>
      <c r="T6" s="199"/>
      <c r="U6" s="199">
        <f>IF(AND('Mail Merge'!$I6="Did Not Meet",'Mail Merge'!$N6="Did Not Meet"),MIN(ABS('Mail Merge'!$H6),ABS('Mail Merge'!$M6),'Mail Merge'!$Q6),0)</f>
        <v>0</v>
      </c>
      <c r="V6" s="199" t="str">
        <f>IF(OR(IFERROR(SEARCH("Met",'Mail Merge'!$N6),0)&gt;0,IFERROR(SEARCH("Met",'Mail Merge'!$I6),0)&gt;0),"Met","Not Met")</f>
        <v>Met</v>
      </c>
    </row>
    <row r="7" spans="1:22" x14ac:dyDescent="0.35">
      <c r="A7" s="200" t="s">
        <v>24</v>
      </c>
      <c r="B7" s="201">
        <v>2005</v>
      </c>
      <c r="C7" s="201" t="s">
        <v>57</v>
      </c>
      <c r="D7" s="201">
        <v>15</v>
      </c>
      <c r="E7" s="201">
        <v>76972.460000000006</v>
      </c>
      <c r="F7" s="201">
        <v>39446</v>
      </c>
      <c r="G7" s="201">
        <f>'Mail Merge'!$E7+'Mail Merge'!$F7</f>
        <v>116418.46</v>
      </c>
      <c r="H7" s="201">
        <v>0</v>
      </c>
      <c r="I7" s="201" t="s">
        <v>239</v>
      </c>
      <c r="J7" s="201">
        <f>IFERROR('Mail Merge'!$E7/'Mail Merge'!$D7,0)</f>
        <v>5131.4973333333337</v>
      </c>
      <c r="K7" s="201">
        <f>IFERROR('Mail Merge'!$F7/'Mail Merge'!$D7,0)</f>
        <v>2629.7333333333331</v>
      </c>
      <c r="L7" s="201">
        <f>IFERROR('Mail Merge'!$G7/'Mail Merge'!$D7,0)</f>
        <v>7761.2306666666673</v>
      </c>
      <c r="M7" s="201">
        <v>0</v>
      </c>
      <c r="N7" s="201" t="s">
        <v>239</v>
      </c>
      <c r="O7" s="201">
        <v>22892.61</v>
      </c>
      <c r="P7" s="201">
        <v>0</v>
      </c>
      <c r="Q7" s="201">
        <f>'Mail Merge'!$O7+'Mail Merge'!$P7</f>
        <v>22892.61</v>
      </c>
      <c r="R7" s="201"/>
      <c r="S7" s="201"/>
      <c r="T7" s="201"/>
      <c r="U7" s="201">
        <f>IF(AND('Mail Merge'!$I7="Did Not Meet",'Mail Merge'!$N7="Did Not Meet"),MIN(ABS('Mail Merge'!$H7),ABS('Mail Merge'!$M7),'Mail Merge'!$Q7),0)</f>
        <v>0</v>
      </c>
      <c r="V7" s="201" t="str">
        <f>IF(OR(IFERROR(SEARCH("Met",'Mail Merge'!$N7),0)&gt;0,IFERROR(SEARCH("Met",'Mail Merge'!$I7),0)&gt;0),"Met","Not Met")</f>
        <v>Met</v>
      </c>
    </row>
    <row r="8" spans="1:22" x14ac:dyDescent="0.35">
      <c r="A8" s="198" t="s">
        <v>25</v>
      </c>
      <c r="B8" s="199">
        <v>2115</v>
      </c>
      <c r="C8" s="199" t="s">
        <v>57</v>
      </c>
      <c r="D8" s="199">
        <v>0</v>
      </c>
      <c r="E8" s="199">
        <v>0</v>
      </c>
      <c r="F8" s="199">
        <v>3115.04</v>
      </c>
      <c r="G8" s="199">
        <f>'Mail Merge'!$E8+'Mail Merge'!$F8</f>
        <v>3115.04</v>
      </c>
      <c r="H8" s="199">
        <v>0</v>
      </c>
      <c r="I8" s="199" t="s">
        <v>239</v>
      </c>
      <c r="J8" s="199">
        <f>IFERROR('Mail Merge'!$E8/'Mail Merge'!$D8,0)</f>
        <v>0</v>
      </c>
      <c r="K8" s="199">
        <f>IFERROR('Mail Merge'!$F8/'Mail Merge'!$D8,0)</f>
        <v>0</v>
      </c>
      <c r="L8" s="199">
        <f>IFERROR('Mail Merge'!$G8/'Mail Merge'!$D8,0)</f>
        <v>0</v>
      </c>
      <c r="M8" s="199">
        <v>0</v>
      </c>
      <c r="N8" s="199" t="s">
        <v>239</v>
      </c>
      <c r="O8" s="199">
        <v>3192.12</v>
      </c>
      <c r="P8" s="199">
        <v>1.57</v>
      </c>
      <c r="Q8" s="199">
        <f>'Mail Merge'!$O8+'Mail Merge'!$P8</f>
        <v>3193.69</v>
      </c>
      <c r="R8" s="199"/>
      <c r="S8" s="199"/>
      <c r="T8" s="199"/>
      <c r="U8" s="199">
        <f>IF(AND('Mail Merge'!$I8="Did Not Meet",'Mail Merge'!$N8="Did Not Meet"),MIN(ABS('Mail Merge'!$H8),ABS('Mail Merge'!$M8),'Mail Merge'!$Q8),0)</f>
        <v>0</v>
      </c>
      <c r="V8" s="199" t="str">
        <f>IF(OR(IFERROR(SEARCH("Met",'Mail Merge'!$N8),0)&gt;0,IFERROR(SEARCH("Met",'Mail Merge'!$I8),0)&gt;0),"Met","Not Met")</f>
        <v>Met</v>
      </c>
    </row>
    <row r="9" spans="1:22" x14ac:dyDescent="0.35">
      <c r="A9" s="200" t="s">
        <v>26</v>
      </c>
      <c r="B9" s="201">
        <v>2041</v>
      </c>
      <c r="C9" s="201" t="s">
        <v>57</v>
      </c>
      <c r="D9" s="201">
        <v>321</v>
      </c>
      <c r="E9" s="201">
        <v>1748170.52</v>
      </c>
      <c r="F9" s="201">
        <v>565364.54</v>
      </c>
      <c r="G9" s="201">
        <f>'Mail Merge'!$E9+'Mail Merge'!$F9</f>
        <v>2313535.06</v>
      </c>
      <c r="H9" s="201">
        <v>0</v>
      </c>
      <c r="I9" s="201" t="s">
        <v>239</v>
      </c>
      <c r="J9" s="201">
        <f>IFERROR('Mail Merge'!$E9/'Mail Merge'!$D9,0)</f>
        <v>5446.0140809968852</v>
      </c>
      <c r="K9" s="201">
        <f>IFERROR('Mail Merge'!$F9/'Mail Merge'!$D9,0)</f>
        <v>1761.2602492211838</v>
      </c>
      <c r="L9" s="201">
        <f>IFERROR('Mail Merge'!$G9/'Mail Merge'!$D9,0)</f>
        <v>7207.2743302180688</v>
      </c>
      <c r="M9" s="201">
        <v>0</v>
      </c>
      <c r="N9" s="201" t="s">
        <v>239</v>
      </c>
      <c r="O9" s="201">
        <v>427196.81</v>
      </c>
      <c r="P9" s="201">
        <v>2234.3200000000002</v>
      </c>
      <c r="Q9" s="201">
        <f>'Mail Merge'!$O9+'Mail Merge'!$P9</f>
        <v>429431.13</v>
      </c>
      <c r="R9" s="201"/>
      <c r="S9" s="201"/>
      <c r="T9" s="201"/>
      <c r="U9" s="201">
        <f>IF(AND('Mail Merge'!$I9="Did Not Meet",'Mail Merge'!$N9="Did Not Meet"),MIN(ABS('Mail Merge'!$H9),ABS('Mail Merge'!$M9),'Mail Merge'!$Q9),0)</f>
        <v>0</v>
      </c>
      <c r="V9" s="201" t="str">
        <f>IF(OR(IFERROR(SEARCH("Met",'Mail Merge'!$N9),0)&gt;0,IFERROR(SEARCH("Met",'Mail Merge'!$I9),0)&gt;0),"Met","Not Met")</f>
        <v>Met</v>
      </c>
    </row>
    <row r="10" spans="1:22" x14ac:dyDescent="0.35">
      <c r="A10" s="198" t="s">
        <v>27</v>
      </c>
      <c r="B10" s="199">
        <v>2051</v>
      </c>
      <c r="C10" s="199" t="s">
        <v>57</v>
      </c>
      <c r="D10" s="199">
        <v>0</v>
      </c>
      <c r="E10" s="199">
        <v>0</v>
      </c>
      <c r="F10" s="199">
        <v>0</v>
      </c>
      <c r="G10" s="199">
        <f>'Mail Merge'!$E10+'Mail Merge'!$F10</f>
        <v>0</v>
      </c>
      <c r="H10" s="199">
        <v>0</v>
      </c>
      <c r="I10" s="199"/>
      <c r="J10" s="199">
        <f>IFERROR('Mail Merge'!$E10/'Mail Merge'!$D10,0)</f>
        <v>0</v>
      </c>
      <c r="K10" s="199">
        <f>IFERROR('Mail Merge'!$F10/'Mail Merge'!$D10,0)</f>
        <v>0</v>
      </c>
      <c r="L10" s="199">
        <f>IFERROR('Mail Merge'!$G10/'Mail Merge'!$D10,0)</f>
        <v>0</v>
      </c>
      <c r="M10" s="199">
        <v>0</v>
      </c>
      <c r="N10" s="199"/>
      <c r="O10" s="199">
        <v>196.46</v>
      </c>
      <c r="P10" s="199">
        <v>0.19</v>
      </c>
      <c r="Q10" s="199">
        <f>'Mail Merge'!$O10+'Mail Merge'!$P10</f>
        <v>196.65</v>
      </c>
      <c r="R10" s="199"/>
      <c r="S10" s="199"/>
      <c r="T10" s="199"/>
      <c r="U10" s="199">
        <f>IF(AND('Mail Merge'!$I10="Did Not Meet",'Mail Merge'!$N10="Did Not Meet"),MIN(ABS('Mail Merge'!$H10),ABS('Mail Merge'!$M10),'Mail Merge'!$Q10),0)</f>
        <v>0</v>
      </c>
      <c r="V10" s="199" t="str">
        <f>IF(OR(IFERROR(SEARCH("Met",'Mail Merge'!$N10),0)&gt;0,IFERROR(SEARCH("Met",'Mail Merge'!$I10),0)&gt;0),"Met","Not Met")</f>
        <v>Not Met</v>
      </c>
    </row>
    <row r="11" spans="1:22" x14ac:dyDescent="0.35">
      <c r="A11" s="200" t="s">
        <v>28</v>
      </c>
      <c r="B11" s="201">
        <v>1933</v>
      </c>
      <c r="C11" s="201" t="s">
        <v>57</v>
      </c>
      <c r="D11" s="201">
        <v>256</v>
      </c>
      <c r="E11" s="201">
        <v>1797915.42</v>
      </c>
      <c r="F11" s="201">
        <v>425776</v>
      </c>
      <c r="G11" s="201">
        <f>'Mail Merge'!$E11+'Mail Merge'!$F11</f>
        <v>2223691.42</v>
      </c>
      <c r="H11" s="201">
        <v>0</v>
      </c>
      <c r="I11" s="201" t="s">
        <v>239</v>
      </c>
      <c r="J11" s="201">
        <f>IFERROR('Mail Merge'!$E11/'Mail Merge'!$D11,0)</f>
        <v>7023.1071093749997</v>
      </c>
      <c r="K11" s="201">
        <f>IFERROR('Mail Merge'!$F11/'Mail Merge'!$D11,0)</f>
        <v>1663.1875</v>
      </c>
      <c r="L11" s="201">
        <f>IFERROR('Mail Merge'!$G11/'Mail Merge'!$D11,0)</f>
        <v>8686.2946093749997</v>
      </c>
      <c r="M11" s="201">
        <v>0</v>
      </c>
      <c r="N11" s="201" t="s">
        <v>239</v>
      </c>
      <c r="O11" s="201">
        <v>267527</v>
      </c>
      <c r="P11" s="201">
        <v>856.81</v>
      </c>
      <c r="Q11" s="201">
        <f>'Mail Merge'!$O11+'Mail Merge'!$P11</f>
        <v>268383.81</v>
      </c>
      <c r="R11" s="201"/>
      <c r="S11" s="201"/>
      <c r="T11" s="201"/>
      <c r="U11" s="201">
        <f>IF(AND('Mail Merge'!$I11="Did Not Meet",'Mail Merge'!$N11="Did Not Meet"),MIN(ABS('Mail Merge'!$H11),ABS('Mail Merge'!$M11),'Mail Merge'!$Q11),0)</f>
        <v>0</v>
      </c>
      <c r="V11" s="201" t="str">
        <f>IF(OR(IFERROR(SEARCH("Met",'Mail Merge'!$N11),0)&gt;0,IFERROR(SEARCH("Met",'Mail Merge'!$I11),0)&gt;0),"Met","Not Met")</f>
        <v>Met</v>
      </c>
    </row>
    <row r="12" spans="1:22" x14ac:dyDescent="0.35">
      <c r="A12" s="198" t="s">
        <v>29</v>
      </c>
      <c r="B12" s="199">
        <v>2208</v>
      </c>
      <c r="C12" s="199" t="s">
        <v>57</v>
      </c>
      <c r="D12" s="199">
        <v>82</v>
      </c>
      <c r="E12" s="199">
        <v>334379.67</v>
      </c>
      <c r="F12" s="199">
        <v>131498.26999999999</v>
      </c>
      <c r="G12" s="199">
        <f>'Mail Merge'!$E12+'Mail Merge'!$F12</f>
        <v>465877.93999999994</v>
      </c>
      <c r="H12" s="199">
        <v>0</v>
      </c>
      <c r="I12" s="199" t="s">
        <v>239</v>
      </c>
      <c r="J12" s="199">
        <f>IFERROR('Mail Merge'!$E12/'Mail Merge'!$D12,0)</f>
        <v>4077.8008536585362</v>
      </c>
      <c r="K12" s="199">
        <f>IFERROR('Mail Merge'!$F12/'Mail Merge'!$D12,0)</f>
        <v>1603.63743902439</v>
      </c>
      <c r="L12" s="199">
        <f>IFERROR('Mail Merge'!$G12/'Mail Merge'!$D12,0)</f>
        <v>5681.4382926829257</v>
      </c>
      <c r="M12" s="199">
        <v>0</v>
      </c>
      <c r="N12" s="199" t="s">
        <v>239</v>
      </c>
      <c r="O12" s="199">
        <v>99109.41</v>
      </c>
      <c r="P12" s="199">
        <v>819.43</v>
      </c>
      <c r="Q12" s="199">
        <f>'Mail Merge'!$O12+'Mail Merge'!$P12</f>
        <v>99928.84</v>
      </c>
      <c r="R12" s="199"/>
      <c r="S12" s="199"/>
      <c r="T12" s="199"/>
      <c r="U12" s="199">
        <f>IF(AND('Mail Merge'!$I12="Did Not Meet",'Mail Merge'!$N12="Did Not Meet"),MIN(ABS('Mail Merge'!$H12),ABS('Mail Merge'!$M12),'Mail Merge'!$Q12),0)</f>
        <v>0</v>
      </c>
      <c r="V12" s="199" t="str">
        <f>IF(OR(IFERROR(SEARCH("Met",'Mail Merge'!$N12),0)&gt;0,IFERROR(SEARCH("Met",'Mail Merge'!$I12),0)&gt;0),"Met","Not Met")</f>
        <v>Met</v>
      </c>
    </row>
    <row r="13" spans="1:22" x14ac:dyDescent="0.35">
      <c r="A13" s="200" t="s">
        <v>30</v>
      </c>
      <c r="B13" s="201">
        <v>1894</v>
      </c>
      <c r="C13" s="201" t="s">
        <v>57</v>
      </c>
      <c r="D13" s="201">
        <v>278</v>
      </c>
      <c r="E13" s="201">
        <v>2073377.42</v>
      </c>
      <c r="F13" s="201">
        <v>0</v>
      </c>
      <c r="G13" s="201">
        <f>'Mail Merge'!$E13+'Mail Merge'!$F13</f>
        <v>2073377.42</v>
      </c>
      <c r="H13" s="201">
        <v>0</v>
      </c>
      <c r="I13" s="201" t="s">
        <v>239</v>
      </c>
      <c r="J13" s="201">
        <f>IFERROR('Mail Merge'!$E13/'Mail Merge'!$D13,0)</f>
        <v>7458.1921582733812</v>
      </c>
      <c r="K13" s="201">
        <f>IFERROR('Mail Merge'!$F13/'Mail Merge'!$D13,0)</f>
        <v>0</v>
      </c>
      <c r="L13" s="201">
        <f>IFERROR('Mail Merge'!$G13/'Mail Merge'!$D13,0)</f>
        <v>7458.1921582733812</v>
      </c>
      <c r="M13" s="201">
        <v>0</v>
      </c>
      <c r="N13" s="201" t="s">
        <v>239</v>
      </c>
      <c r="O13" s="201">
        <v>385116.7</v>
      </c>
      <c r="P13" s="201">
        <v>4148.51</v>
      </c>
      <c r="Q13" s="201">
        <f>'Mail Merge'!$O13+'Mail Merge'!$P13</f>
        <v>389265.21</v>
      </c>
      <c r="R13" s="201"/>
      <c r="S13" s="201"/>
      <c r="T13" s="201"/>
      <c r="U13" s="201">
        <f>IF(AND('Mail Merge'!$I13="Did Not Meet",'Mail Merge'!$N13="Did Not Meet"),MIN(ABS('Mail Merge'!$H13),ABS('Mail Merge'!$M13),'Mail Merge'!$Q13),0)</f>
        <v>0</v>
      </c>
      <c r="V13" s="201" t="str">
        <f>IF(OR(IFERROR(SEARCH("Met",'Mail Merge'!$N13),0)&gt;0,IFERROR(SEARCH("Met",'Mail Merge'!$I13),0)&gt;0),"Met","Not Met")</f>
        <v>Met</v>
      </c>
    </row>
    <row r="14" spans="1:22" x14ac:dyDescent="0.35">
      <c r="A14" s="198" t="s">
        <v>32</v>
      </c>
      <c r="B14" s="199">
        <v>1969</v>
      </c>
      <c r="C14" s="199" t="s">
        <v>57</v>
      </c>
      <c r="D14" s="199">
        <v>98</v>
      </c>
      <c r="E14" s="199">
        <v>783479.95</v>
      </c>
      <c r="F14" s="199">
        <v>338033.19</v>
      </c>
      <c r="G14" s="199">
        <f>'Mail Merge'!$E14+'Mail Merge'!$F14</f>
        <v>1121513.1399999999</v>
      </c>
      <c r="H14" s="199">
        <v>0</v>
      </c>
      <c r="I14" s="199" t="s">
        <v>239</v>
      </c>
      <c r="J14" s="199">
        <f>IFERROR('Mail Merge'!$E14/'Mail Merge'!$D14,0)</f>
        <v>7994.6933673469384</v>
      </c>
      <c r="K14" s="199">
        <f>IFERROR('Mail Merge'!$F14/'Mail Merge'!$D14,0)</f>
        <v>3449.3182653061226</v>
      </c>
      <c r="L14" s="199">
        <f>IFERROR('Mail Merge'!$G14/'Mail Merge'!$D14,0)</f>
        <v>11444.011632653061</v>
      </c>
      <c r="M14" s="199">
        <v>0</v>
      </c>
      <c r="N14" s="199" t="s">
        <v>239</v>
      </c>
      <c r="O14" s="199">
        <v>143793.56</v>
      </c>
      <c r="P14" s="199">
        <v>452.61</v>
      </c>
      <c r="Q14" s="199">
        <f>'Mail Merge'!$O14+'Mail Merge'!$P14</f>
        <v>144246.16999999998</v>
      </c>
      <c r="R14" s="199"/>
      <c r="S14" s="199"/>
      <c r="T14" s="199"/>
      <c r="U14" s="199">
        <f>IF(AND('Mail Merge'!$I14="Did Not Meet",'Mail Merge'!$N14="Did Not Meet"),MIN(ABS('Mail Merge'!$H14),ABS('Mail Merge'!$M14),'Mail Merge'!$Q14),0)</f>
        <v>0</v>
      </c>
      <c r="V14" s="199" t="str">
        <f>IF(OR(IFERROR(SEARCH("Met",'Mail Merge'!$N14),0)&gt;0,IFERROR(SEARCH("Met",'Mail Merge'!$I14),0)&gt;0),"Met","Not Met")</f>
        <v>Met</v>
      </c>
    </row>
    <row r="15" spans="1:22" x14ac:dyDescent="0.35">
      <c r="A15" s="200" t="s">
        <v>33</v>
      </c>
      <c r="B15" s="201">
        <v>2240</v>
      </c>
      <c r="C15" s="201" t="s">
        <v>57</v>
      </c>
      <c r="D15" s="201">
        <v>137</v>
      </c>
      <c r="E15" s="201">
        <v>1378262.77</v>
      </c>
      <c r="F15" s="201">
        <v>252960</v>
      </c>
      <c r="G15" s="201">
        <f>'Mail Merge'!$E15+'Mail Merge'!$F15</f>
        <v>1631222.77</v>
      </c>
      <c r="H15" s="201">
        <v>0</v>
      </c>
      <c r="I15" s="201" t="s">
        <v>239</v>
      </c>
      <c r="J15" s="201">
        <f>IFERROR('Mail Merge'!$E15/'Mail Merge'!$D15,0)</f>
        <v>10060.312189781022</v>
      </c>
      <c r="K15" s="201">
        <f>IFERROR('Mail Merge'!$F15/'Mail Merge'!$D15,0)</f>
        <v>1846.4233576642337</v>
      </c>
      <c r="L15" s="201">
        <f>IFERROR('Mail Merge'!$G15/'Mail Merge'!$D15,0)</f>
        <v>11906.735547445256</v>
      </c>
      <c r="M15" s="201">
        <v>0</v>
      </c>
      <c r="N15" s="201" t="s">
        <v>239</v>
      </c>
      <c r="O15" s="201">
        <v>176641.27</v>
      </c>
      <c r="P15" s="201">
        <v>133.4</v>
      </c>
      <c r="Q15" s="201">
        <f>'Mail Merge'!$O15+'Mail Merge'!$P15</f>
        <v>176774.66999999998</v>
      </c>
      <c r="R15" s="201"/>
      <c r="S15" s="201"/>
      <c r="T15" s="201"/>
      <c r="U15" s="201">
        <f>IF(AND('Mail Merge'!$I15="Did Not Meet",'Mail Merge'!$N15="Did Not Meet"),MIN(ABS('Mail Merge'!$H15),ABS('Mail Merge'!$M15),'Mail Merge'!$Q15),0)</f>
        <v>0</v>
      </c>
      <c r="V15" s="201" t="str">
        <f>IF(OR(IFERROR(SEARCH("Met",'Mail Merge'!$N15),0)&gt;0,IFERROR(SEARCH("Met",'Mail Merge'!$I15),0)&gt;0),"Met","Not Met")</f>
        <v>Met</v>
      </c>
    </row>
    <row r="16" spans="1:22" x14ac:dyDescent="0.35">
      <c r="A16" s="198" t="s">
        <v>34</v>
      </c>
      <c r="B16" s="199">
        <v>2243</v>
      </c>
      <c r="C16" s="199" t="s">
        <v>57</v>
      </c>
      <c r="D16" s="199">
        <v>4662</v>
      </c>
      <c r="E16" s="199">
        <v>36923404.710000001</v>
      </c>
      <c r="F16" s="199">
        <v>3657767</v>
      </c>
      <c r="G16" s="199">
        <f>'Mail Merge'!$E16+'Mail Merge'!$F16</f>
        <v>40581171.710000001</v>
      </c>
      <c r="H16" s="199">
        <v>0</v>
      </c>
      <c r="I16" s="199" t="s">
        <v>239</v>
      </c>
      <c r="J16" s="199">
        <f>IFERROR('Mail Merge'!$E16/'Mail Merge'!$D16,0)</f>
        <v>7920.0782303732303</v>
      </c>
      <c r="K16" s="199">
        <f>IFERROR('Mail Merge'!$F16/'Mail Merge'!$D16,0)</f>
        <v>784.59180609180612</v>
      </c>
      <c r="L16" s="199">
        <f>IFERROR('Mail Merge'!$G16/'Mail Merge'!$D16,0)</f>
        <v>8704.6700364650369</v>
      </c>
      <c r="M16" s="199">
        <v>0</v>
      </c>
      <c r="N16" s="199" t="s">
        <v>239</v>
      </c>
      <c r="O16" s="199">
        <v>5933372.9900000002</v>
      </c>
      <c r="P16" s="199">
        <v>22536.94</v>
      </c>
      <c r="Q16" s="199">
        <f>'Mail Merge'!$O16+'Mail Merge'!$P16</f>
        <v>5955909.9300000006</v>
      </c>
      <c r="R16" s="199"/>
      <c r="S16" s="199"/>
      <c r="T16" s="199"/>
      <c r="U16" s="199">
        <f>IF(AND('Mail Merge'!$I16="Did Not Meet",'Mail Merge'!$N16="Did Not Meet"),MIN(ABS('Mail Merge'!$H16),ABS('Mail Merge'!$M16),'Mail Merge'!$Q16),0)</f>
        <v>0</v>
      </c>
      <c r="V16" s="199" t="str">
        <f>IF(OR(IFERROR(SEARCH("Met",'Mail Merge'!$N16),0)&gt;0,IFERROR(SEARCH("Met",'Mail Merge'!$I16),0)&gt;0),"Met","Not Met")</f>
        <v>Met</v>
      </c>
    </row>
    <row r="17" spans="1:22" x14ac:dyDescent="0.35">
      <c r="A17" s="200" t="s">
        <v>35</v>
      </c>
      <c r="B17" s="201">
        <v>1976</v>
      </c>
      <c r="C17" s="201" t="s">
        <v>57</v>
      </c>
      <c r="D17" s="201">
        <v>2268</v>
      </c>
      <c r="E17" s="201">
        <v>14143404</v>
      </c>
      <c r="F17" s="201">
        <v>2906493</v>
      </c>
      <c r="G17" s="201">
        <f>'Mail Merge'!$E17+'Mail Merge'!$F17</f>
        <v>17049897</v>
      </c>
      <c r="H17" s="201">
        <v>0</v>
      </c>
      <c r="I17" s="201" t="s">
        <v>239</v>
      </c>
      <c r="J17" s="201">
        <f>IFERROR('Mail Merge'!$E17/'Mail Merge'!$D17,0)</f>
        <v>6236.068783068783</v>
      </c>
      <c r="K17" s="201">
        <f>IFERROR('Mail Merge'!$F17/'Mail Merge'!$D17,0)</f>
        <v>1281.5224867724867</v>
      </c>
      <c r="L17" s="201">
        <f>IFERROR('Mail Merge'!$G17/'Mail Merge'!$D17,0)</f>
        <v>7517.5912698412694</v>
      </c>
      <c r="M17" s="201">
        <v>0</v>
      </c>
      <c r="N17" s="201" t="s">
        <v>239</v>
      </c>
      <c r="O17" s="201">
        <v>2585391.33</v>
      </c>
      <c r="P17" s="201">
        <v>17949.55</v>
      </c>
      <c r="Q17" s="201">
        <f>'Mail Merge'!$O17+'Mail Merge'!$P17</f>
        <v>2603340.88</v>
      </c>
      <c r="R17" s="201"/>
      <c r="S17" s="201"/>
      <c r="T17" s="201"/>
      <c r="U17" s="201">
        <f>IF(AND('Mail Merge'!$I17="Did Not Meet",'Mail Merge'!$N17="Did Not Meet"),MIN(ABS('Mail Merge'!$H17),ABS('Mail Merge'!$M17),'Mail Merge'!$Q17),0)</f>
        <v>0</v>
      </c>
      <c r="V17" s="201" t="str">
        <f>IF(OR(IFERROR(SEARCH("Met",'Mail Merge'!$N17),0)&gt;0,IFERROR(SEARCH("Met",'Mail Merge'!$I17),0)&gt;0),"Met","Not Met")</f>
        <v>Met</v>
      </c>
    </row>
    <row r="18" spans="1:22" x14ac:dyDescent="0.35">
      <c r="A18" s="198" t="s">
        <v>36</v>
      </c>
      <c r="B18" s="199">
        <v>2088</v>
      </c>
      <c r="C18" s="199" t="s">
        <v>57</v>
      </c>
      <c r="D18" s="199">
        <v>1003</v>
      </c>
      <c r="E18" s="199">
        <v>7253859.7599999998</v>
      </c>
      <c r="F18" s="199">
        <v>1608177</v>
      </c>
      <c r="G18" s="199">
        <f>'Mail Merge'!$E18+'Mail Merge'!$F18</f>
        <v>8862036.7599999998</v>
      </c>
      <c r="H18" s="199">
        <v>0</v>
      </c>
      <c r="I18" s="199" t="s">
        <v>239</v>
      </c>
      <c r="J18" s="199">
        <f>IFERROR('Mail Merge'!$E18/'Mail Merge'!$D18,0)</f>
        <v>7232.1632701894314</v>
      </c>
      <c r="K18" s="199">
        <f>IFERROR('Mail Merge'!$F18/'Mail Merge'!$D18,0)</f>
        <v>1603.3668993020938</v>
      </c>
      <c r="L18" s="199">
        <f>IFERROR('Mail Merge'!$G18/'Mail Merge'!$D18,0)</f>
        <v>8835.5301694915252</v>
      </c>
      <c r="M18" s="199">
        <v>0</v>
      </c>
      <c r="N18" s="199" t="s">
        <v>239</v>
      </c>
      <c r="O18" s="199">
        <v>1084256.08</v>
      </c>
      <c r="P18" s="199">
        <v>4801.3</v>
      </c>
      <c r="Q18" s="199">
        <f>'Mail Merge'!$O18+'Mail Merge'!$P18</f>
        <v>1089057.3800000001</v>
      </c>
      <c r="R18" s="199"/>
      <c r="S18" s="199"/>
      <c r="T18" s="199"/>
      <c r="U18" s="199">
        <f>IF(AND('Mail Merge'!$I18="Did Not Meet",'Mail Merge'!$N18="Did Not Meet"),MIN(ABS('Mail Merge'!$H18),ABS('Mail Merge'!$M18),'Mail Merge'!$Q18),0)</f>
        <v>0</v>
      </c>
      <c r="V18" s="199" t="str">
        <f>IF(OR(IFERROR(SEARCH("Met",'Mail Merge'!$N18),0)&gt;0,IFERROR(SEARCH("Met",'Mail Merge'!$I18),0)&gt;0),"Met","Not Met")</f>
        <v>Met</v>
      </c>
    </row>
    <row r="19" spans="1:22" x14ac:dyDescent="0.35">
      <c r="A19" s="200" t="s">
        <v>37</v>
      </c>
      <c r="B19" s="201">
        <v>2095</v>
      </c>
      <c r="C19" s="201" t="s">
        <v>57</v>
      </c>
      <c r="D19" s="201">
        <v>22</v>
      </c>
      <c r="E19" s="201">
        <v>255388.87</v>
      </c>
      <c r="F19" s="201">
        <v>29417</v>
      </c>
      <c r="G19" s="201">
        <f>'Mail Merge'!$E19+'Mail Merge'!$F19</f>
        <v>284805.87</v>
      </c>
      <c r="H19" s="201">
        <v>0</v>
      </c>
      <c r="I19" s="201" t="s">
        <v>239</v>
      </c>
      <c r="J19" s="201">
        <f>IFERROR('Mail Merge'!$E19/'Mail Merge'!$D19,0)</f>
        <v>11608.584999999999</v>
      </c>
      <c r="K19" s="201">
        <f>IFERROR('Mail Merge'!$F19/'Mail Merge'!$D19,0)</f>
        <v>1337.1363636363637</v>
      </c>
      <c r="L19" s="201">
        <f>IFERROR('Mail Merge'!$G19/'Mail Merge'!$D19,0)</f>
        <v>12945.721363636363</v>
      </c>
      <c r="M19" s="201">
        <v>0</v>
      </c>
      <c r="N19" s="201" t="s">
        <v>239</v>
      </c>
      <c r="O19" s="201">
        <v>32443.25</v>
      </c>
      <c r="P19" s="201">
        <v>500.77</v>
      </c>
      <c r="Q19" s="201">
        <f>'Mail Merge'!$O19+'Mail Merge'!$P19</f>
        <v>32944.019999999997</v>
      </c>
      <c r="R19" s="201"/>
      <c r="S19" s="201"/>
      <c r="T19" s="201"/>
      <c r="U19" s="201">
        <f>IF(AND('Mail Merge'!$I19="Did Not Meet",'Mail Merge'!$N19="Did Not Meet"),MIN(ABS('Mail Merge'!$H19),ABS('Mail Merge'!$M19),'Mail Merge'!$Q19),0)</f>
        <v>0</v>
      </c>
      <c r="V19" s="201" t="str">
        <f>IF(OR(IFERROR(SEARCH("Met",'Mail Merge'!$N19),0)&gt;0,IFERROR(SEARCH("Met",'Mail Merge'!$I19),0)&gt;0),"Met","Not Met")</f>
        <v>Met</v>
      </c>
    </row>
    <row r="20" spans="1:22" x14ac:dyDescent="0.35">
      <c r="A20" s="198" t="s">
        <v>38</v>
      </c>
      <c r="B20" s="199">
        <v>2052</v>
      </c>
      <c r="C20" s="199" t="s">
        <v>57</v>
      </c>
      <c r="D20" s="199">
        <v>1</v>
      </c>
      <c r="E20" s="199">
        <v>5356.47</v>
      </c>
      <c r="F20" s="199">
        <v>10607.24</v>
      </c>
      <c r="G20" s="199">
        <f>'Mail Merge'!$E20+'Mail Merge'!$F20</f>
        <v>15963.71</v>
      </c>
      <c r="H20" s="199">
        <v>0</v>
      </c>
      <c r="I20" s="199" t="s">
        <v>239</v>
      </c>
      <c r="J20" s="199">
        <f>IFERROR('Mail Merge'!$E20/'Mail Merge'!$D20,0)</f>
        <v>5356.47</v>
      </c>
      <c r="K20" s="199">
        <f>IFERROR('Mail Merge'!$F20/'Mail Merge'!$D20,0)</f>
        <v>10607.24</v>
      </c>
      <c r="L20" s="199">
        <f>IFERROR('Mail Merge'!$G20/'Mail Merge'!$D20,0)</f>
        <v>15963.71</v>
      </c>
      <c r="M20" s="199">
        <v>0</v>
      </c>
      <c r="N20" s="199" t="s">
        <v>239</v>
      </c>
      <c r="O20" s="199">
        <v>4591.71</v>
      </c>
      <c r="P20" s="199">
        <v>4.4000000000000004</v>
      </c>
      <c r="Q20" s="199">
        <f>'Mail Merge'!$O20+'Mail Merge'!$P20</f>
        <v>4596.1099999999997</v>
      </c>
      <c r="R20" s="199"/>
      <c r="S20" s="199"/>
      <c r="T20" s="199"/>
      <c r="U20" s="199">
        <f>IF(AND('Mail Merge'!$I20="Did Not Meet",'Mail Merge'!$N20="Did Not Meet"),MIN(ABS('Mail Merge'!$H20),ABS('Mail Merge'!$M20),'Mail Merge'!$Q20),0)</f>
        <v>0</v>
      </c>
      <c r="V20" s="199" t="str">
        <f>IF(OR(IFERROR(SEARCH("Met",'Mail Merge'!$N20),0)&gt;0,IFERROR(SEARCH("Met",'Mail Merge'!$I20),0)&gt;0),"Met","Not Met")</f>
        <v>Met</v>
      </c>
    </row>
    <row r="21" spans="1:22" x14ac:dyDescent="0.35">
      <c r="A21" s="200" t="s">
        <v>39</v>
      </c>
      <c r="B21" s="201">
        <v>1974</v>
      </c>
      <c r="C21" s="201" t="s">
        <v>57</v>
      </c>
      <c r="D21" s="201">
        <v>0</v>
      </c>
      <c r="E21" s="201">
        <v>1029445.62</v>
      </c>
      <c r="F21" s="201">
        <v>716831.89</v>
      </c>
      <c r="G21" s="201">
        <f>'Mail Merge'!$E21+'Mail Merge'!$F21</f>
        <v>1746277.51</v>
      </c>
      <c r="H21" s="201">
        <v>0</v>
      </c>
      <c r="I21" s="201"/>
      <c r="J21" s="201">
        <f>IFERROR('Mail Merge'!$E21/'Mail Merge'!$D21,0)</f>
        <v>0</v>
      </c>
      <c r="K21" s="201">
        <f>IFERROR('Mail Merge'!$F21/'Mail Merge'!$D21,0)</f>
        <v>0</v>
      </c>
      <c r="L21" s="201">
        <f>IFERROR('Mail Merge'!$G21/'Mail Merge'!$D21,0)</f>
        <v>0</v>
      </c>
      <c r="M21" s="201">
        <v>0</v>
      </c>
      <c r="N21" s="201"/>
      <c r="O21" s="201">
        <v>261425.12</v>
      </c>
      <c r="P21" s="201">
        <v>6344.77</v>
      </c>
      <c r="Q21" s="201">
        <f>'Mail Merge'!$O21+'Mail Merge'!$P21</f>
        <v>267769.89</v>
      </c>
      <c r="R21" s="201"/>
      <c r="S21" s="201"/>
      <c r="T21" s="201"/>
      <c r="U21" s="201">
        <f>IF(AND('Mail Merge'!$I21="Did Not Meet",'Mail Merge'!$N21="Did Not Meet"),MIN(ABS('Mail Merge'!$H21),ABS('Mail Merge'!$M21),'Mail Merge'!$Q21),0)</f>
        <v>0</v>
      </c>
      <c r="V21" s="201" t="str">
        <f>IF(OR(IFERROR(SEARCH("Met",'Mail Merge'!$N21),0)&gt;0,IFERROR(SEARCH("Met",'Mail Merge'!$I21),0)&gt;0),"Met","Not Met")</f>
        <v>Not Met</v>
      </c>
    </row>
    <row r="22" spans="1:22" x14ac:dyDescent="0.35">
      <c r="A22" s="198" t="s">
        <v>40</v>
      </c>
      <c r="B22" s="199">
        <v>1896</v>
      </c>
      <c r="C22" s="199" t="s">
        <v>57</v>
      </c>
      <c r="D22" s="199">
        <v>3</v>
      </c>
      <c r="E22" s="199">
        <v>57951.53</v>
      </c>
      <c r="F22" s="199">
        <v>0</v>
      </c>
      <c r="G22" s="199">
        <f>'Mail Merge'!$E22+'Mail Merge'!$F22</f>
        <v>57951.53</v>
      </c>
      <c r="H22" s="199">
        <v>0</v>
      </c>
      <c r="I22" s="199" t="s">
        <v>239</v>
      </c>
      <c r="J22" s="199">
        <f>IFERROR('Mail Merge'!$E22/'Mail Merge'!$D22,0)</f>
        <v>19317.176666666666</v>
      </c>
      <c r="K22" s="199">
        <f>IFERROR('Mail Merge'!$F22/'Mail Merge'!$D22,0)</f>
        <v>0</v>
      </c>
      <c r="L22" s="199">
        <f>IFERROR('Mail Merge'!$G22/'Mail Merge'!$D22,0)</f>
        <v>19317.176666666666</v>
      </c>
      <c r="M22" s="199">
        <v>0</v>
      </c>
      <c r="N22" s="199" t="s">
        <v>239</v>
      </c>
      <c r="O22" s="199">
        <v>7347.52</v>
      </c>
      <c r="P22" s="199">
        <v>0</v>
      </c>
      <c r="Q22" s="199">
        <f>'Mail Merge'!$O22+'Mail Merge'!$P22</f>
        <v>7347.52</v>
      </c>
      <c r="R22" s="199"/>
      <c r="S22" s="199"/>
      <c r="T22" s="199"/>
      <c r="U22" s="199">
        <f>IF(AND('Mail Merge'!$I22="Did Not Meet",'Mail Merge'!$N22="Did Not Meet"),MIN(ABS('Mail Merge'!$H22),ABS('Mail Merge'!$M22),'Mail Merge'!$Q22),0)</f>
        <v>0</v>
      </c>
      <c r="V22" s="199" t="str">
        <f>IF(OR(IFERROR(SEARCH("Met",'Mail Merge'!$N22),0)&gt;0,IFERROR(SEARCH("Met",'Mail Merge'!$I22),0)&gt;0),"Met","Not Met")</f>
        <v>Met</v>
      </c>
    </row>
    <row r="23" spans="1:22" x14ac:dyDescent="0.35">
      <c r="A23" s="200" t="s">
        <v>42</v>
      </c>
      <c r="B23" s="201">
        <v>2046</v>
      </c>
      <c r="C23" s="201" t="s">
        <v>57</v>
      </c>
      <c r="D23" s="201">
        <v>29</v>
      </c>
      <c r="E23" s="201">
        <v>145483.49</v>
      </c>
      <c r="F23" s="201">
        <v>74512.95</v>
      </c>
      <c r="G23" s="201">
        <f>'Mail Merge'!$E23+'Mail Merge'!$F23</f>
        <v>219996.44</v>
      </c>
      <c r="H23" s="201">
        <v>0</v>
      </c>
      <c r="I23" s="201" t="s">
        <v>239</v>
      </c>
      <c r="J23" s="201">
        <f>IFERROR('Mail Merge'!$E23/'Mail Merge'!$D23,0)</f>
        <v>5016.6720689655167</v>
      </c>
      <c r="K23" s="201">
        <f>IFERROR('Mail Merge'!$F23/'Mail Merge'!$D23,0)</f>
        <v>2569.4120689655169</v>
      </c>
      <c r="L23" s="201">
        <f>IFERROR('Mail Merge'!$G23/'Mail Merge'!$D23,0)</f>
        <v>7586.084137931035</v>
      </c>
      <c r="M23" s="201">
        <v>0</v>
      </c>
      <c r="N23" s="201" t="s">
        <v>239</v>
      </c>
      <c r="O23" s="201">
        <v>31497.71</v>
      </c>
      <c r="P23" s="201">
        <v>506.24</v>
      </c>
      <c r="Q23" s="201">
        <f>'Mail Merge'!$O23+'Mail Merge'!$P23</f>
        <v>32003.95</v>
      </c>
      <c r="R23" s="201"/>
      <c r="S23" s="201"/>
      <c r="T23" s="201"/>
      <c r="U23" s="201">
        <f>IF(AND('Mail Merge'!$I23="Did Not Meet",'Mail Merge'!$N23="Did Not Meet"),MIN(ABS('Mail Merge'!$H23),ABS('Mail Merge'!$M23),'Mail Merge'!$Q23),0)</f>
        <v>0</v>
      </c>
      <c r="V23" s="201" t="str">
        <f>IF(OR(IFERROR(SEARCH("Met",'Mail Merge'!$N23),0)&gt;0,IFERROR(SEARCH("Met",'Mail Merge'!$I23),0)&gt;0),"Met","Not Met")</f>
        <v>Met</v>
      </c>
    </row>
    <row r="24" spans="1:22" x14ac:dyDescent="0.35">
      <c r="A24" s="198" t="s">
        <v>43</v>
      </c>
      <c r="B24" s="199">
        <v>1995</v>
      </c>
      <c r="C24" s="199" t="s">
        <v>57</v>
      </c>
      <c r="D24" s="199">
        <v>23</v>
      </c>
      <c r="E24" s="199">
        <v>155794.97</v>
      </c>
      <c r="F24" s="199">
        <v>33760.620000000003</v>
      </c>
      <c r="G24" s="199">
        <f>'Mail Merge'!$E24+'Mail Merge'!$F24</f>
        <v>189555.59</v>
      </c>
      <c r="H24" s="199">
        <v>0</v>
      </c>
      <c r="I24" s="199" t="s">
        <v>239</v>
      </c>
      <c r="J24" s="199">
        <f>IFERROR('Mail Merge'!$E24/'Mail Merge'!$D24,0)</f>
        <v>6773.6943478260873</v>
      </c>
      <c r="K24" s="199">
        <f>IFERROR('Mail Merge'!$F24/'Mail Merge'!$D24,0)</f>
        <v>1467.853043478261</v>
      </c>
      <c r="L24" s="199">
        <f>IFERROR('Mail Merge'!$G24/'Mail Merge'!$D24,0)</f>
        <v>8241.5473913043479</v>
      </c>
      <c r="M24" s="199">
        <v>0</v>
      </c>
      <c r="N24" s="199" t="s">
        <v>239</v>
      </c>
      <c r="O24" s="199">
        <v>35543.42</v>
      </c>
      <c r="P24" s="199">
        <v>17.670000000000002</v>
      </c>
      <c r="Q24" s="199">
        <f>'Mail Merge'!$O24+'Mail Merge'!$P24</f>
        <v>35561.089999999997</v>
      </c>
      <c r="R24" s="199"/>
      <c r="S24" s="199"/>
      <c r="T24" s="199"/>
      <c r="U24" s="199">
        <f>IF(AND('Mail Merge'!$I24="Did Not Meet",'Mail Merge'!$N24="Did Not Meet"),MIN(ABS('Mail Merge'!$H24),ABS('Mail Merge'!$M24),'Mail Merge'!$Q24),0)</f>
        <v>0</v>
      </c>
      <c r="V24" s="199" t="str">
        <f>IF(OR(IFERROR(SEARCH("Met",'Mail Merge'!$N24),0)&gt;0,IFERROR(SEARCH("Met",'Mail Merge'!$I24),0)&gt;0),"Met","Not Met")</f>
        <v>Met</v>
      </c>
    </row>
    <row r="25" spans="1:22" x14ac:dyDescent="0.35">
      <c r="A25" s="200" t="s">
        <v>44</v>
      </c>
      <c r="B25" s="201">
        <v>1929</v>
      </c>
      <c r="C25" s="201" t="s">
        <v>57</v>
      </c>
      <c r="D25" s="201">
        <v>539</v>
      </c>
      <c r="E25" s="201">
        <v>3868048.19</v>
      </c>
      <c r="F25" s="201">
        <v>678665</v>
      </c>
      <c r="G25" s="201">
        <f>'Mail Merge'!$E25+'Mail Merge'!$F25</f>
        <v>4546713.1899999995</v>
      </c>
      <c r="H25" s="201">
        <v>0</v>
      </c>
      <c r="I25" s="201" t="s">
        <v>239</v>
      </c>
      <c r="J25" s="201">
        <f>IFERROR('Mail Merge'!$E25/'Mail Merge'!$D25,0)</f>
        <v>7176.3417254174392</v>
      </c>
      <c r="K25" s="201">
        <f>IFERROR('Mail Merge'!$F25/'Mail Merge'!$D25,0)</f>
        <v>1259.1187384044526</v>
      </c>
      <c r="L25" s="201">
        <f>IFERROR('Mail Merge'!$G25/'Mail Merge'!$D25,0)</f>
        <v>8435.4604638218916</v>
      </c>
      <c r="M25" s="201">
        <v>0</v>
      </c>
      <c r="N25" s="201" t="s">
        <v>239</v>
      </c>
      <c r="O25" s="201">
        <v>836312.42</v>
      </c>
      <c r="P25" s="201">
        <v>5045.7299999999996</v>
      </c>
      <c r="Q25" s="201">
        <f>'Mail Merge'!$O25+'Mail Merge'!$P25</f>
        <v>841358.15</v>
      </c>
      <c r="R25" s="201"/>
      <c r="S25" s="201"/>
      <c r="T25" s="201"/>
      <c r="U25" s="201">
        <f>IF(AND('Mail Merge'!$I25="Did Not Meet",'Mail Merge'!$N25="Did Not Meet"),MIN(ABS('Mail Merge'!$H25),ABS('Mail Merge'!$M25),'Mail Merge'!$Q25),0)</f>
        <v>0</v>
      </c>
      <c r="V25" s="201" t="str">
        <f>IF(OR(IFERROR(SEARCH("Met",'Mail Merge'!$N25),0)&gt;0,IFERROR(SEARCH("Met",'Mail Merge'!$I25),0)&gt;0),"Met","Not Met")</f>
        <v>Met</v>
      </c>
    </row>
    <row r="26" spans="1:22" x14ac:dyDescent="0.35">
      <c r="A26" s="198" t="s">
        <v>45</v>
      </c>
      <c r="B26" s="199">
        <v>2139</v>
      </c>
      <c r="C26" s="199" t="s">
        <v>57</v>
      </c>
      <c r="D26" s="199">
        <v>282</v>
      </c>
      <c r="E26" s="199">
        <v>1927875.11</v>
      </c>
      <c r="F26" s="199">
        <v>135741.47</v>
      </c>
      <c r="G26" s="199">
        <f>'Mail Merge'!$E26+'Mail Merge'!$F26</f>
        <v>2063616.58</v>
      </c>
      <c r="H26" s="199">
        <v>0</v>
      </c>
      <c r="I26" s="199" t="s">
        <v>239</v>
      </c>
      <c r="J26" s="199">
        <f>IFERROR('Mail Merge'!$E26/'Mail Merge'!$D26,0)</f>
        <v>6836.4365602836879</v>
      </c>
      <c r="K26" s="199">
        <f>IFERROR('Mail Merge'!$F26/'Mail Merge'!$D26,0)</f>
        <v>481.35273049645389</v>
      </c>
      <c r="L26" s="199">
        <f>IFERROR('Mail Merge'!$G26/'Mail Merge'!$D26,0)</f>
        <v>7317.7892907801424</v>
      </c>
      <c r="M26" s="199">
        <v>0</v>
      </c>
      <c r="N26" s="199" t="s">
        <v>239</v>
      </c>
      <c r="O26" s="199">
        <v>394815.41</v>
      </c>
      <c r="P26" s="199">
        <v>2714.56</v>
      </c>
      <c r="Q26" s="199">
        <f>'Mail Merge'!$O26+'Mail Merge'!$P26</f>
        <v>397529.97</v>
      </c>
      <c r="R26" s="199"/>
      <c r="S26" s="199"/>
      <c r="T26" s="199"/>
      <c r="U26" s="199">
        <f>IF(AND('Mail Merge'!$I26="Did Not Meet",'Mail Merge'!$N26="Did Not Meet"),MIN(ABS('Mail Merge'!$H26),ABS('Mail Merge'!$M26),'Mail Merge'!$Q26),0)</f>
        <v>0</v>
      </c>
      <c r="V26" s="199" t="str">
        <f>IF(OR(IFERROR(SEARCH("Met",'Mail Merge'!$N26),0)&gt;0,IFERROR(SEARCH("Met",'Mail Merge'!$I26),0)&gt;0),"Met","Not Met")</f>
        <v>Met</v>
      </c>
    </row>
    <row r="27" spans="1:22" x14ac:dyDescent="0.35">
      <c r="A27" s="200" t="s">
        <v>46</v>
      </c>
      <c r="B27" s="201">
        <v>2185</v>
      </c>
      <c r="C27" s="201" t="s">
        <v>57</v>
      </c>
      <c r="D27" s="201">
        <v>0</v>
      </c>
      <c r="E27" s="201">
        <v>7754841.8300000001</v>
      </c>
      <c r="F27" s="201">
        <v>1046450</v>
      </c>
      <c r="G27" s="201">
        <f>'Mail Merge'!$E27+'Mail Merge'!$F27</f>
        <v>8801291.8300000001</v>
      </c>
      <c r="H27" s="201">
        <v>0</v>
      </c>
      <c r="I27" s="201" t="s">
        <v>239</v>
      </c>
      <c r="J27" s="201">
        <f>IFERROR('Mail Merge'!$E27/'Mail Merge'!$D27,0)</f>
        <v>0</v>
      </c>
      <c r="K27" s="201">
        <f>IFERROR('Mail Merge'!$F27/'Mail Merge'!$D27,0)</f>
        <v>0</v>
      </c>
      <c r="L27" s="201">
        <f>IFERROR('Mail Merge'!$G27/'Mail Merge'!$D27,0)</f>
        <v>0</v>
      </c>
      <c r="M27" s="201">
        <v>0</v>
      </c>
      <c r="N27" s="201" t="s">
        <v>239</v>
      </c>
      <c r="O27" s="201">
        <v>1100035.45</v>
      </c>
      <c r="P27" s="201">
        <v>5788.11</v>
      </c>
      <c r="Q27" s="201">
        <f>'Mail Merge'!$O27+'Mail Merge'!$P27</f>
        <v>1105823.56</v>
      </c>
      <c r="R27" s="201"/>
      <c r="S27" s="201"/>
      <c r="T27" s="201"/>
      <c r="U27" s="201">
        <f>IF(AND('Mail Merge'!$I27="Did Not Meet",'Mail Merge'!$N27="Did Not Meet"),MIN(ABS('Mail Merge'!$H27),ABS('Mail Merge'!$M27),'Mail Merge'!$Q27),0)</f>
        <v>0</v>
      </c>
      <c r="V27" s="201" t="str">
        <f>IF(OR(IFERROR(SEARCH("Met",'Mail Merge'!$N27),0)&gt;0,IFERROR(SEARCH("Met",'Mail Merge'!$I27),0)&gt;0),"Met","Not Met")</f>
        <v>Met</v>
      </c>
    </row>
    <row r="28" spans="1:22" x14ac:dyDescent="0.35">
      <c r="A28" s="198" t="s">
        <v>47</v>
      </c>
      <c r="B28" s="199">
        <v>1972</v>
      </c>
      <c r="C28" s="199" t="s">
        <v>57</v>
      </c>
      <c r="D28" s="199">
        <v>63</v>
      </c>
      <c r="E28" s="199">
        <v>404812.14</v>
      </c>
      <c r="F28" s="199">
        <v>242760.95999999999</v>
      </c>
      <c r="G28" s="199">
        <f>'Mail Merge'!$E28+'Mail Merge'!$F28</f>
        <v>647573.1</v>
      </c>
      <c r="H28" s="199">
        <v>0</v>
      </c>
      <c r="I28" s="199" t="s">
        <v>239</v>
      </c>
      <c r="J28" s="199">
        <f>IFERROR('Mail Merge'!$E28/'Mail Merge'!$D28,0)</f>
        <v>6425.5895238095236</v>
      </c>
      <c r="K28" s="199">
        <f>IFERROR('Mail Merge'!$F28/'Mail Merge'!$D28,0)</f>
        <v>3853.3485714285712</v>
      </c>
      <c r="L28" s="199">
        <f>IFERROR('Mail Merge'!$G28/'Mail Merge'!$D28,0)</f>
        <v>10278.938095238094</v>
      </c>
      <c r="M28" s="199">
        <v>0</v>
      </c>
      <c r="N28" s="199" t="s">
        <v>239</v>
      </c>
      <c r="O28" s="199">
        <v>128257.71</v>
      </c>
      <c r="P28" s="199">
        <v>658.87</v>
      </c>
      <c r="Q28" s="199">
        <f>'Mail Merge'!$O28+'Mail Merge'!$P28</f>
        <v>128916.58</v>
      </c>
      <c r="R28" s="199"/>
      <c r="S28" s="199"/>
      <c r="T28" s="199"/>
      <c r="U28" s="199">
        <f>IF(AND('Mail Merge'!$I28="Did Not Meet",'Mail Merge'!$N28="Did Not Meet"),MIN(ABS('Mail Merge'!$H28),ABS('Mail Merge'!$M28),'Mail Merge'!$Q28),0)</f>
        <v>0</v>
      </c>
      <c r="V28" s="199" t="str">
        <f>IF(OR(IFERROR(SEARCH("Met",'Mail Merge'!$N28),0)&gt;0,IFERROR(SEARCH("Met",'Mail Merge'!$I28),0)&gt;0),"Met","Not Met")</f>
        <v>Met</v>
      </c>
    </row>
    <row r="29" spans="1:22" x14ac:dyDescent="0.35">
      <c r="A29" s="200" t="s">
        <v>48</v>
      </c>
      <c r="B29" s="201">
        <v>2105</v>
      </c>
      <c r="C29" s="201" t="s">
        <v>57</v>
      </c>
      <c r="D29" s="201">
        <v>95</v>
      </c>
      <c r="E29" s="201">
        <v>552200.97</v>
      </c>
      <c r="F29" s="201">
        <v>54926</v>
      </c>
      <c r="G29" s="201">
        <f>'Mail Merge'!$E29+'Mail Merge'!$F29</f>
        <v>607126.97</v>
      </c>
      <c r="H29" s="201">
        <v>0</v>
      </c>
      <c r="I29" s="201" t="s">
        <v>239</v>
      </c>
      <c r="J29" s="201">
        <f>IFERROR('Mail Merge'!$E29/'Mail Merge'!$D29,0)</f>
        <v>5812.6417894736842</v>
      </c>
      <c r="K29" s="201">
        <f>IFERROR('Mail Merge'!$F29/'Mail Merge'!$D29,0)</f>
        <v>578.16842105263163</v>
      </c>
      <c r="L29" s="201">
        <f>IFERROR('Mail Merge'!$G29/'Mail Merge'!$D29,0)</f>
        <v>6390.8102105263151</v>
      </c>
      <c r="M29" s="201">
        <v>0</v>
      </c>
      <c r="N29" s="201" t="s">
        <v>239</v>
      </c>
      <c r="O29" s="201">
        <v>106592.37</v>
      </c>
      <c r="P29" s="201">
        <v>1189.69</v>
      </c>
      <c r="Q29" s="201">
        <f>'Mail Merge'!$O29+'Mail Merge'!$P29</f>
        <v>107782.06</v>
      </c>
      <c r="R29" s="201"/>
      <c r="S29" s="201"/>
      <c r="T29" s="201"/>
      <c r="U29" s="201">
        <f>IF(AND('Mail Merge'!$I29="Did Not Meet",'Mail Merge'!$N29="Did Not Meet"),MIN(ABS('Mail Merge'!$H29),ABS('Mail Merge'!$M29),'Mail Merge'!$Q29),0)</f>
        <v>0</v>
      </c>
      <c r="V29" s="201" t="str">
        <f>IF(OR(IFERROR(SEARCH("Met",'Mail Merge'!$N29),0)&gt;0,IFERROR(SEARCH("Met",'Mail Merge'!$I29),0)&gt;0),"Met","Not Met")</f>
        <v>Met</v>
      </c>
    </row>
    <row r="30" spans="1:22" x14ac:dyDescent="0.35">
      <c r="A30" s="198" t="s">
        <v>49</v>
      </c>
      <c r="B30" s="199">
        <v>2042</v>
      </c>
      <c r="C30" s="199" t="s">
        <v>57</v>
      </c>
      <c r="D30" s="199">
        <v>586</v>
      </c>
      <c r="E30" s="199">
        <v>2662608.16</v>
      </c>
      <c r="F30" s="199">
        <v>1078691.3600000001</v>
      </c>
      <c r="G30" s="199">
        <f>'Mail Merge'!$E30+'Mail Merge'!$F30</f>
        <v>3741299.5200000005</v>
      </c>
      <c r="H30" s="199">
        <v>0</v>
      </c>
      <c r="I30" s="199" t="s">
        <v>239</v>
      </c>
      <c r="J30" s="199">
        <f>IFERROR('Mail Merge'!$E30/'Mail Merge'!$D30,0)</f>
        <v>4543.6999317406144</v>
      </c>
      <c r="K30" s="199">
        <f>IFERROR('Mail Merge'!$F30/'Mail Merge'!$D30,0)</f>
        <v>1840.7702389078499</v>
      </c>
      <c r="L30" s="199">
        <f>IFERROR('Mail Merge'!$G30/'Mail Merge'!$D30,0)</f>
        <v>6384.4701706484648</v>
      </c>
      <c r="M30" s="199">
        <v>0</v>
      </c>
      <c r="N30" s="199" t="s">
        <v>239</v>
      </c>
      <c r="O30" s="199">
        <v>717980.48</v>
      </c>
      <c r="P30" s="199">
        <v>6227.32</v>
      </c>
      <c r="Q30" s="199">
        <f>'Mail Merge'!$O30+'Mail Merge'!$P30</f>
        <v>724207.79999999993</v>
      </c>
      <c r="R30" s="199"/>
      <c r="S30" s="199"/>
      <c r="T30" s="199"/>
      <c r="U30" s="199">
        <f>IF(AND('Mail Merge'!$I30="Did Not Meet",'Mail Merge'!$N30="Did Not Meet"),MIN(ABS('Mail Merge'!$H30),ABS('Mail Merge'!$M30),'Mail Merge'!$Q30),0)</f>
        <v>0</v>
      </c>
      <c r="V30" s="199" t="str">
        <f>IF(OR(IFERROR(SEARCH("Met",'Mail Merge'!$N30),0)&gt;0,IFERROR(SEARCH("Met",'Mail Merge'!$I30),0)&gt;0),"Met","Not Met")</f>
        <v>Met</v>
      </c>
    </row>
    <row r="31" spans="1:22" x14ac:dyDescent="0.35">
      <c r="A31" s="200" t="s">
        <v>50</v>
      </c>
      <c r="B31" s="201">
        <v>2191</v>
      </c>
      <c r="C31" s="201" t="s">
        <v>57</v>
      </c>
      <c r="D31" s="201">
        <v>372</v>
      </c>
      <c r="E31" s="201">
        <v>3838954.3</v>
      </c>
      <c r="F31" s="201">
        <v>400667.25</v>
      </c>
      <c r="G31" s="201">
        <f>'Mail Merge'!$E31+'Mail Merge'!$F31</f>
        <v>4239621.55</v>
      </c>
      <c r="H31" s="201">
        <v>0</v>
      </c>
      <c r="I31" s="201" t="s">
        <v>239</v>
      </c>
      <c r="J31" s="201">
        <f>IFERROR('Mail Merge'!$E31/'Mail Merge'!$D31,0)</f>
        <v>10319.769623655913</v>
      </c>
      <c r="K31" s="201">
        <f>IFERROR('Mail Merge'!$F31/'Mail Merge'!$D31,0)</f>
        <v>1077.0625</v>
      </c>
      <c r="L31" s="201">
        <f>IFERROR('Mail Merge'!$G31/'Mail Merge'!$D31,0)</f>
        <v>11396.832123655913</v>
      </c>
      <c r="M31" s="201">
        <v>0</v>
      </c>
      <c r="N31" s="201" t="s">
        <v>239</v>
      </c>
      <c r="O31" s="201">
        <v>430327.44</v>
      </c>
      <c r="P31" s="201">
        <v>2131.1799999999998</v>
      </c>
      <c r="Q31" s="201">
        <f>'Mail Merge'!$O31+'Mail Merge'!$P31</f>
        <v>432458.62</v>
      </c>
      <c r="R31" s="201"/>
      <c r="S31" s="201"/>
      <c r="T31" s="201"/>
      <c r="U31" s="201">
        <f>IF(AND('Mail Merge'!$I31="Did Not Meet",'Mail Merge'!$N31="Did Not Meet"),MIN(ABS('Mail Merge'!$H31),ABS('Mail Merge'!$M31),'Mail Merge'!$Q31),0)</f>
        <v>0</v>
      </c>
      <c r="V31" s="201" t="str">
        <f>IF(OR(IFERROR(SEARCH("Met",'Mail Merge'!$N31),0)&gt;0,IFERROR(SEARCH("Met",'Mail Merge'!$I31),0)&gt;0),"Met","Not Met")</f>
        <v>Met</v>
      </c>
    </row>
    <row r="32" spans="1:22" x14ac:dyDescent="0.35">
      <c r="A32" s="198" t="s">
        <v>51</v>
      </c>
      <c r="B32" s="199">
        <v>1945</v>
      </c>
      <c r="C32" s="199" t="s">
        <v>57</v>
      </c>
      <c r="D32" s="199">
        <v>112</v>
      </c>
      <c r="E32" s="199">
        <v>1026107.76</v>
      </c>
      <c r="F32" s="199">
        <v>117964</v>
      </c>
      <c r="G32" s="199">
        <f>'Mail Merge'!$E32+'Mail Merge'!$F32</f>
        <v>1144071.76</v>
      </c>
      <c r="H32" s="199">
        <v>0</v>
      </c>
      <c r="I32" s="199" t="s">
        <v>239</v>
      </c>
      <c r="J32" s="199">
        <f>IFERROR('Mail Merge'!$E32/'Mail Merge'!$D32,0)</f>
        <v>9161.6764285714289</v>
      </c>
      <c r="K32" s="199">
        <f>IFERROR('Mail Merge'!$F32/'Mail Merge'!$D32,0)</f>
        <v>1053.25</v>
      </c>
      <c r="L32" s="199">
        <f>IFERROR('Mail Merge'!$G32/'Mail Merge'!$D32,0)</f>
        <v>10214.926428571429</v>
      </c>
      <c r="M32" s="199">
        <v>0</v>
      </c>
      <c r="N32" s="199" t="s">
        <v>239</v>
      </c>
      <c r="O32" s="199">
        <v>147801.76999999999</v>
      </c>
      <c r="P32" s="199">
        <v>3026.38</v>
      </c>
      <c r="Q32" s="199">
        <f>'Mail Merge'!$O32+'Mail Merge'!$P32</f>
        <v>150828.15</v>
      </c>
      <c r="R32" s="199"/>
      <c r="S32" s="199"/>
      <c r="T32" s="199"/>
      <c r="U32" s="199">
        <f>IF(AND('Mail Merge'!$I32="Did Not Meet",'Mail Merge'!$N32="Did Not Meet"),MIN(ABS('Mail Merge'!$H32),ABS('Mail Merge'!$M32),'Mail Merge'!$Q32),0)</f>
        <v>0</v>
      </c>
      <c r="V32" s="199" t="str">
        <f>IF(OR(IFERROR(SEARCH("Met",'Mail Merge'!$N32),0)&gt;0,IFERROR(SEARCH("Met",'Mail Merge'!$I32),0)&gt;0),"Met","Not Met")</f>
        <v>Met</v>
      </c>
    </row>
    <row r="33" spans="1:22" x14ac:dyDescent="0.35">
      <c r="A33" s="200" t="s">
        <v>52</v>
      </c>
      <c r="B33" s="201">
        <v>1927</v>
      </c>
      <c r="C33" s="201" t="s">
        <v>57</v>
      </c>
      <c r="D33" s="201">
        <v>89</v>
      </c>
      <c r="E33" s="201">
        <v>619781.16</v>
      </c>
      <c r="F33" s="201">
        <v>281241</v>
      </c>
      <c r="G33" s="201">
        <f>'Mail Merge'!$E33+'Mail Merge'!$F33</f>
        <v>901022.16</v>
      </c>
      <c r="H33" s="201">
        <v>0</v>
      </c>
      <c r="I33" s="201" t="s">
        <v>239</v>
      </c>
      <c r="J33" s="201">
        <f>IFERROR('Mail Merge'!$E33/'Mail Merge'!$D33,0)</f>
        <v>6963.8332584269665</v>
      </c>
      <c r="K33" s="201">
        <f>IFERROR('Mail Merge'!$F33/'Mail Merge'!$D33,0)</f>
        <v>3160.0112359550562</v>
      </c>
      <c r="L33" s="201">
        <f>IFERROR('Mail Merge'!$G33/'Mail Merge'!$D33,0)</f>
        <v>10123.844494382023</v>
      </c>
      <c r="M33" s="201">
        <v>0</v>
      </c>
      <c r="N33" s="201" t="s">
        <v>239</v>
      </c>
      <c r="O33" s="201">
        <v>126769.29</v>
      </c>
      <c r="P33" s="201">
        <v>1353.42</v>
      </c>
      <c r="Q33" s="201">
        <f>'Mail Merge'!$O33+'Mail Merge'!$P33</f>
        <v>128122.70999999999</v>
      </c>
      <c r="R33" s="201"/>
      <c r="S33" s="201"/>
      <c r="T33" s="201"/>
      <c r="U33" s="201">
        <f>IF(AND('Mail Merge'!$I33="Did Not Meet",'Mail Merge'!$N33="Did Not Meet"),MIN(ABS('Mail Merge'!$H33),ABS('Mail Merge'!$M33),'Mail Merge'!$Q33),0)</f>
        <v>0</v>
      </c>
      <c r="V33" s="201" t="str">
        <f>IF(OR(IFERROR(SEARCH("Met",'Mail Merge'!$N33),0)&gt;0,IFERROR(SEARCH("Met",'Mail Merge'!$I33),0)&gt;0),"Met","Not Met")</f>
        <v>Met</v>
      </c>
    </row>
    <row r="34" spans="1:22" x14ac:dyDescent="0.35">
      <c r="A34" s="198" t="s">
        <v>53</v>
      </c>
      <c r="B34" s="199">
        <v>2006</v>
      </c>
      <c r="C34" s="199" t="s">
        <v>57</v>
      </c>
      <c r="D34" s="199">
        <v>23</v>
      </c>
      <c r="E34" s="199">
        <v>54198.63</v>
      </c>
      <c r="F34" s="199">
        <v>60484</v>
      </c>
      <c r="G34" s="199">
        <f>'Mail Merge'!$E34+'Mail Merge'!$F34</f>
        <v>114682.63</v>
      </c>
      <c r="H34" s="199">
        <v>0</v>
      </c>
      <c r="I34" s="199" t="s">
        <v>239</v>
      </c>
      <c r="J34" s="199">
        <f>IFERROR('Mail Merge'!$E34/'Mail Merge'!$D34,0)</f>
        <v>2356.4621739130434</v>
      </c>
      <c r="K34" s="199">
        <f>IFERROR('Mail Merge'!$F34/'Mail Merge'!$D34,0)</f>
        <v>2629.7391304347825</v>
      </c>
      <c r="L34" s="199">
        <f>IFERROR('Mail Merge'!$G34/'Mail Merge'!$D34,0)</f>
        <v>4986.2013043478264</v>
      </c>
      <c r="M34" s="199">
        <v>0</v>
      </c>
      <c r="N34" s="199" t="s">
        <v>239</v>
      </c>
      <c r="O34" s="199">
        <v>25941.55</v>
      </c>
      <c r="P34" s="199">
        <v>3.8</v>
      </c>
      <c r="Q34" s="199">
        <f>'Mail Merge'!$O34+'Mail Merge'!$P34</f>
        <v>25945.35</v>
      </c>
      <c r="R34" s="199"/>
      <c r="S34" s="199"/>
      <c r="T34" s="199"/>
      <c r="U34" s="199">
        <f>IF(AND('Mail Merge'!$I34="Did Not Meet",'Mail Merge'!$N34="Did Not Meet"),MIN(ABS('Mail Merge'!$H34),ABS('Mail Merge'!$M34),'Mail Merge'!$Q34),0)</f>
        <v>0</v>
      </c>
      <c r="V34" s="199" t="str">
        <f>IF(OR(IFERROR(SEARCH("Met",'Mail Merge'!$N34),0)&gt;0,IFERROR(SEARCH("Met",'Mail Merge'!$I34),0)&gt;0),"Met","Not Met")</f>
        <v>Met</v>
      </c>
    </row>
    <row r="35" spans="1:22" x14ac:dyDescent="0.35">
      <c r="A35" s="200" t="s">
        <v>54</v>
      </c>
      <c r="B35" s="201">
        <v>1965</v>
      </c>
      <c r="C35" s="201" t="s">
        <v>57</v>
      </c>
      <c r="D35" s="201">
        <v>523</v>
      </c>
      <c r="E35" s="201">
        <v>3451558.6</v>
      </c>
      <c r="F35" s="201">
        <v>1506950.1</v>
      </c>
      <c r="G35" s="201">
        <f>'Mail Merge'!$E35+'Mail Merge'!$F35</f>
        <v>4958508.7</v>
      </c>
      <c r="H35" s="201">
        <v>0</v>
      </c>
      <c r="I35" s="201" t="s">
        <v>239</v>
      </c>
      <c r="J35" s="201">
        <f>IFERROR('Mail Merge'!$E35/'Mail Merge'!$D35,0)</f>
        <v>6599.538432122371</v>
      </c>
      <c r="K35" s="201">
        <f>IFERROR('Mail Merge'!$F35/'Mail Merge'!$D35,0)</f>
        <v>2881.3577437858512</v>
      </c>
      <c r="L35" s="201">
        <f>IFERROR('Mail Merge'!$G35/'Mail Merge'!$D35,0)</f>
        <v>9480.8961759082213</v>
      </c>
      <c r="M35" s="201">
        <v>0</v>
      </c>
      <c r="N35" s="201" t="s">
        <v>239</v>
      </c>
      <c r="O35" s="201">
        <v>722167</v>
      </c>
      <c r="P35" s="201">
        <v>5958.09</v>
      </c>
      <c r="Q35" s="201">
        <f>'Mail Merge'!$O35+'Mail Merge'!$P35</f>
        <v>728125.09</v>
      </c>
      <c r="R35" s="201"/>
      <c r="S35" s="201"/>
      <c r="T35" s="201"/>
      <c r="U35" s="201">
        <f>IF(AND('Mail Merge'!$I35="Did Not Meet",'Mail Merge'!$N35="Did Not Meet"),MIN(ABS('Mail Merge'!$H35),ABS('Mail Merge'!$M35),'Mail Merge'!$Q35),0)</f>
        <v>0</v>
      </c>
      <c r="V35" s="201" t="str">
        <f>IF(OR(IFERROR(SEARCH("Met",'Mail Merge'!$N35),0)&gt;0,IFERROR(SEARCH("Met",'Mail Merge'!$I35),0)&gt;0),"Met","Not Met")</f>
        <v>Met</v>
      </c>
    </row>
    <row r="36" spans="1:22" x14ac:dyDescent="0.35">
      <c r="A36" s="198" t="s">
        <v>55</v>
      </c>
      <c r="B36" s="199">
        <v>1964</v>
      </c>
      <c r="C36" s="199" t="s">
        <v>57</v>
      </c>
      <c r="D36" s="199">
        <v>126</v>
      </c>
      <c r="E36" s="199">
        <v>602866.56999999995</v>
      </c>
      <c r="F36" s="199">
        <v>395288.13</v>
      </c>
      <c r="G36" s="199">
        <f>'Mail Merge'!$E36+'Mail Merge'!$F36</f>
        <v>998154.7</v>
      </c>
      <c r="H36" s="199">
        <v>0</v>
      </c>
      <c r="I36" s="199" t="s">
        <v>239</v>
      </c>
      <c r="J36" s="199">
        <f>IFERROR('Mail Merge'!$E36/'Mail Merge'!$D36,0)</f>
        <v>4784.6553174603168</v>
      </c>
      <c r="K36" s="199">
        <f>IFERROR('Mail Merge'!$F36/'Mail Merge'!$D36,0)</f>
        <v>3137.2073809523808</v>
      </c>
      <c r="L36" s="199">
        <f>IFERROR('Mail Merge'!$G36/'Mail Merge'!$D36,0)</f>
        <v>7921.8626984126977</v>
      </c>
      <c r="M36" s="199">
        <v>0</v>
      </c>
      <c r="N36" s="199" t="s">
        <v>239</v>
      </c>
      <c r="O36" s="199">
        <v>164330.6</v>
      </c>
      <c r="P36" s="199">
        <v>2307.33</v>
      </c>
      <c r="Q36" s="199">
        <f>'Mail Merge'!$O36+'Mail Merge'!$P36</f>
        <v>166637.93</v>
      </c>
      <c r="R36" s="199"/>
      <c r="S36" s="199"/>
      <c r="T36" s="199"/>
      <c r="U36" s="199">
        <f>IF(AND('Mail Merge'!$I36="Did Not Meet",'Mail Merge'!$N36="Did Not Meet"),MIN(ABS('Mail Merge'!$H36),ABS('Mail Merge'!$M36),'Mail Merge'!$Q36),0)</f>
        <v>0</v>
      </c>
      <c r="V36" s="199" t="str">
        <f>IF(OR(IFERROR(SEARCH("Met",'Mail Merge'!$N36),0)&gt;0,IFERROR(SEARCH("Met",'Mail Merge'!$I36),0)&gt;0),"Met","Not Met")</f>
        <v>Met</v>
      </c>
    </row>
    <row r="37" spans="1:22" x14ac:dyDescent="0.35">
      <c r="A37" s="200" t="s">
        <v>56</v>
      </c>
      <c r="B37" s="201">
        <v>2186</v>
      </c>
      <c r="C37" s="201" t="s">
        <v>57</v>
      </c>
      <c r="D37" s="201">
        <v>43</v>
      </c>
      <c r="E37" s="201">
        <v>501529.06</v>
      </c>
      <c r="F37" s="201">
        <v>188187</v>
      </c>
      <c r="G37" s="201">
        <f>'Mail Merge'!$E37+'Mail Merge'!$F37</f>
        <v>689716.06</v>
      </c>
      <c r="H37" s="201">
        <v>0</v>
      </c>
      <c r="I37" s="201" t="s">
        <v>239</v>
      </c>
      <c r="J37" s="201">
        <f>IFERROR('Mail Merge'!$E37/'Mail Merge'!$D37,0)</f>
        <v>11663.466511627907</v>
      </c>
      <c r="K37" s="201">
        <f>IFERROR('Mail Merge'!$F37/'Mail Merge'!$D37,0)</f>
        <v>4376.4418604651164</v>
      </c>
      <c r="L37" s="201">
        <f>IFERROR('Mail Merge'!$G37/'Mail Merge'!$D37,0)</f>
        <v>16039.908372093025</v>
      </c>
      <c r="M37" s="201">
        <v>0</v>
      </c>
      <c r="N37" s="201" t="s">
        <v>239</v>
      </c>
      <c r="O37" s="201">
        <v>0</v>
      </c>
      <c r="P37" s="201">
        <v>582.38</v>
      </c>
      <c r="Q37" s="201">
        <f>'Mail Merge'!$O37+'Mail Merge'!$P37</f>
        <v>582.38</v>
      </c>
      <c r="R37" s="201"/>
      <c r="S37" s="201"/>
      <c r="T37" s="201"/>
      <c r="U37" s="201">
        <f>IF(AND('Mail Merge'!$I37="Did Not Meet",'Mail Merge'!$N37="Did Not Meet"),MIN(ABS('Mail Merge'!$H37),ABS('Mail Merge'!$M37),'Mail Merge'!$Q37),0)</f>
        <v>0</v>
      </c>
      <c r="V37" s="201" t="str">
        <f>IF(OR(IFERROR(SEARCH("Met",'Mail Merge'!$N37),0)&gt;0,IFERROR(SEARCH("Met",'Mail Merge'!$I37),0)&gt;0),"Met","Not Met")</f>
        <v>Met</v>
      </c>
    </row>
    <row r="38" spans="1:22" x14ac:dyDescent="0.35">
      <c r="A38" s="198" t="s">
        <v>58</v>
      </c>
      <c r="B38" s="199">
        <v>1901</v>
      </c>
      <c r="C38" s="199" t="s">
        <v>57</v>
      </c>
      <c r="D38" s="199">
        <v>683</v>
      </c>
      <c r="E38" s="199">
        <v>5909506.9900000002</v>
      </c>
      <c r="F38" s="199">
        <v>561522</v>
      </c>
      <c r="G38" s="199">
        <f>'Mail Merge'!$E38+'Mail Merge'!$F38</f>
        <v>6471028.9900000002</v>
      </c>
      <c r="H38" s="199">
        <v>0</v>
      </c>
      <c r="I38" s="199" t="s">
        <v>239</v>
      </c>
      <c r="J38" s="199">
        <f>IFERROR('Mail Merge'!$E38/'Mail Merge'!$D38,0)</f>
        <v>8652.2796339677898</v>
      </c>
      <c r="K38" s="199">
        <f>IFERROR('Mail Merge'!$F38/'Mail Merge'!$D38,0)</f>
        <v>822.14055636896046</v>
      </c>
      <c r="L38" s="199">
        <f>IFERROR('Mail Merge'!$G38/'Mail Merge'!$D38,0)</f>
        <v>9474.4201903367502</v>
      </c>
      <c r="M38" s="199">
        <v>0</v>
      </c>
      <c r="N38" s="199" t="s">
        <v>239</v>
      </c>
      <c r="O38" s="199">
        <v>1012898.75</v>
      </c>
      <c r="P38" s="199">
        <v>6512.43</v>
      </c>
      <c r="Q38" s="199">
        <f>'Mail Merge'!$O38+'Mail Merge'!$P38</f>
        <v>1019411.18</v>
      </c>
      <c r="R38" s="199"/>
      <c r="S38" s="199"/>
      <c r="T38" s="199"/>
      <c r="U38" s="199">
        <f>IF(AND('Mail Merge'!$I38="Did Not Meet",'Mail Merge'!$N38="Did Not Meet"),MIN(ABS('Mail Merge'!$H38),ABS('Mail Merge'!$M38),'Mail Merge'!$Q38),0)</f>
        <v>0</v>
      </c>
      <c r="V38" s="199" t="str">
        <f>IF(OR(IFERROR(SEARCH("Met",'Mail Merge'!$N38),0)&gt;0,IFERROR(SEARCH("Met",'Mail Merge'!$I38),0)&gt;0),"Met","Not Met")</f>
        <v>Met</v>
      </c>
    </row>
    <row r="39" spans="1:22" x14ac:dyDescent="0.35">
      <c r="A39" s="200" t="s">
        <v>59</v>
      </c>
      <c r="B39" s="201">
        <v>2216</v>
      </c>
      <c r="C39" s="201" t="s">
        <v>57</v>
      </c>
      <c r="D39" s="201">
        <v>22</v>
      </c>
      <c r="E39" s="201">
        <v>131919.98000000001</v>
      </c>
      <c r="F39" s="201">
        <v>64680.37</v>
      </c>
      <c r="G39" s="201">
        <f>'Mail Merge'!$E39+'Mail Merge'!$F39</f>
        <v>196600.35</v>
      </c>
      <c r="H39" s="201">
        <v>0</v>
      </c>
      <c r="I39" s="201" t="s">
        <v>239</v>
      </c>
      <c r="J39" s="201">
        <f>IFERROR('Mail Merge'!$E39/'Mail Merge'!$D39,0)</f>
        <v>5996.3627272727281</v>
      </c>
      <c r="K39" s="201">
        <f>IFERROR('Mail Merge'!$F39/'Mail Merge'!$D39,0)</f>
        <v>2940.0168181818185</v>
      </c>
      <c r="L39" s="201">
        <f>IFERROR('Mail Merge'!$G39/'Mail Merge'!$D39,0)</f>
        <v>8936.3795454545452</v>
      </c>
      <c r="M39" s="201">
        <v>0</v>
      </c>
      <c r="N39" s="201" t="s">
        <v>239</v>
      </c>
      <c r="O39" s="201">
        <v>43845.33</v>
      </c>
      <c r="P39" s="201">
        <v>1490.78</v>
      </c>
      <c r="Q39" s="201">
        <f>'Mail Merge'!$O39+'Mail Merge'!$P39</f>
        <v>45336.11</v>
      </c>
      <c r="R39" s="201"/>
      <c r="S39" s="201"/>
      <c r="T39" s="201"/>
      <c r="U39" s="201">
        <f>IF(AND('Mail Merge'!$I39="Did Not Meet",'Mail Merge'!$N39="Did Not Meet"),MIN(ABS('Mail Merge'!$H39),ABS('Mail Merge'!$M39),'Mail Merge'!$Q39),0)</f>
        <v>0</v>
      </c>
      <c r="V39" s="201" t="str">
        <f>IF(OR(IFERROR(SEARCH("Met",'Mail Merge'!$N39),0)&gt;0,IFERROR(SEARCH("Met",'Mail Merge'!$I39),0)&gt;0),"Met","Not Met")</f>
        <v>Met</v>
      </c>
    </row>
    <row r="40" spans="1:22" x14ac:dyDescent="0.35">
      <c r="A40" s="198" t="s">
        <v>60</v>
      </c>
      <c r="B40" s="199">
        <v>2086</v>
      </c>
      <c r="C40" s="199" t="s">
        <v>57</v>
      </c>
      <c r="D40" s="199">
        <v>242</v>
      </c>
      <c r="E40" s="199">
        <v>1821513.17</v>
      </c>
      <c r="F40" s="199">
        <v>580331</v>
      </c>
      <c r="G40" s="199">
        <f>'Mail Merge'!$E40+'Mail Merge'!$F40</f>
        <v>2401844.17</v>
      </c>
      <c r="H40" s="199">
        <v>0</v>
      </c>
      <c r="I40" s="199" t="s">
        <v>239</v>
      </c>
      <c r="J40" s="199">
        <f>IFERROR('Mail Merge'!$E40/'Mail Merge'!$D40,0)</f>
        <v>7526.9139256198341</v>
      </c>
      <c r="K40" s="199">
        <f>IFERROR('Mail Merge'!$F40/'Mail Merge'!$D40,0)</f>
        <v>2398.0619834710742</v>
      </c>
      <c r="L40" s="199">
        <f>IFERROR('Mail Merge'!$G40/'Mail Merge'!$D40,0)</f>
        <v>9924.9759090909083</v>
      </c>
      <c r="M40" s="199">
        <v>0</v>
      </c>
      <c r="N40" s="199" t="s">
        <v>239</v>
      </c>
      <c r="O40" s="199">
        <v>234903.95</v>
      </c>
      <c r="P40" s="199">
        <v>2161.52</v>
      </c>
      <c r="Q40" s="199">
        <f>'Mail Merge'!$O40+'Mail Merge'!$P40</f>
        <v>237065.47</v>
      </c>
      <c r="R40" s="199"/>
      <c r="S40" s="199"/>
      <c r="T40" s="199"/>
      <c r="U40" s="199">
        <f>IF(AND('Mail Merge'!$I40="Did Not Meet",'Mail Merge'!$N40="Did Not Meet"),MIN(ABS('Mail Merge'!$H40),ABS('Mail Merge'!$M40),'Mail Merge'!$Q40),0)</f>
        <v>0</v>
      </c>
      <c r="V40" s="199" t="str">
        <f>IF(OR(IFERROR(SEARCH("Met",'Mail Merge'!$N40),0)&gt;0,IFERROR(SEARCH("Met",'Mail Merge'!$I40),0)&gt;0),"Met","Not Met")</f>
        <v>Met</v>
      </c>
    </row>
    <row r="41" spans="1:22" x14ac:dyDescent="0.35">
      <c r="A41" s="200" t="s">
        <v>61</v>
      </c>
      <c r="B41" s="201">
        <v>1970</v>
      </c>
      <c r="C41" s="201" t="s">
        <v>57</v>
      </c>
      <c r="D41" s="201">
        <v>431</v>
      </c>
      <c r="E41" s="201">
        <v>2990778.63</v>
      </c>
      <c r="F41" s="201">
        <v>141571</v>
      </c>
      <c r="G41" s="201">
        <f>'Mail Merge'!$E41+'Mail Merge'!$F41</f>
        <v>3132349.63</v>
      </c>
      <c r="H41" s="201">
        <v>0</v>
      </c>
      <c r="I41" s="201" t="s">
        <v>239</v>
      </c>
      <c r="J41" s="201">
        <f>IFERROR('Mail Merge'!$E41/'Mail Merge'!$D41,0)</f>
        <v>6939.1615545243612</v>
      </c>
      <c r="K41" s="201">
        <f>IFERROR('Mail Merge'!$F41/'Mail Merge'!$D41,0)</f>
        <v>328.47099767981439</v>
      </c>
      <c r="L41" s="201">
        <f>IFERROR('Mail Merge'!$G41/'Mail Merge'!$D41,0)</f>
        <v>7267.6325522041761</v>
      </c>
      <c r="M41" s="201">
        <v>0</v>
      </c>
      <c r="N41" s="201" t="s">
        <v>239</v>
      </c>
      <c r="O41" s="201">
        <v>578341.76</v>
      </c>
      <c r="P41" s="201">
        <v>9435.2199999999993</v>
      </c>
      <c r="Q41" s="201">
        <f>'Mail Merge'!$O41+'Mail Merge'!$P41</f>
        <v>587776.98</v>
      </c>
      <c r="R41" s="201"/>
      <c r="S41" s="201"/>
      <c r="T41" s="201"/>
      <c r="U41" s="201">
        <f>IF(AND('Mail Merge'!$I41="Did Not Meet",'Mail Merge'!$N41="Did Not Meet"),MIN(ABS('Mail Merge'!$H41),ABS('Mail Merge'!$M41),'Mail Merge'!$Q41),0)</f>
        <v>0</v>
      </c>
      <c r="V41" s="201" t="str">
        <f>IF(OR(IFERROR(SEARCH("Met",'Mail Merge'!$N41),0)&gt;0,IFERROR(SEARCH("Met",'Mail Merge'!$I41),0)&gt;0),"Met","Not Met")</f>
        <v>Met</v>
      </c>
    </row>
    <row r="42" spans="1:22" x14ac:dyDescent="0.35">
      <c r="A42" s="198" t="s">
        <v>62</v>
      </c>
      <c r="B42" s="199">
        <v>2089</v>
      </c>
      <c r="C42" s="199" t="s">
        <v>57</v>
      </c>
      <c r="D42" s="199">
        <v>59</v>
      </c>
      <c r="E42" s="199">
        <v>417323.34</v>
      </c>
      <c r="F42" s="199">
        <v>121345</v>
      </c>
      <c r="G42" s="199">
        <f>'Mail Merge'!$E42+'Mail Merge'!$F42</f>
        <v>538668.34000000008</v>
      </c>
      <c r="H42" s="199">
        <v>0</v>
      </c>
      <c r="I42" s="199" t="s">
        <v>239</v>
      </c>
      <c r="J42" s="199">
        <f>IFERROR('Mail Merge'!$E42/'Mail Merge'!$D42,0)</f>
        <v>7073.2769491525432</v>
      </c>
      <c r="K42" s="199">
        <f>IFERROR('Mail Merge'!$F42/'Mail Merge'!$D42,0)</f>
        <v>2056.6949152542375</v>
      </c>
      <c r="L42" s="199">
        <f>IFERROR('Mail Merge'!$G42/'Mail Merge'!$D42,0)</f>
        <v>9129.9718644067816</v>
      </c>
      <c r="M42" s="199">
        <v>0</v>
      </c>
      <c r="N42" s="199" t="s">
        <v>239</v>
      </c>
      <c r="O42" s="199">
        <v>66756.69</v>
      </c>
      <c r="P42" s="199">
        <v>497.33</v>
      </c>
      <c r="Q42" s="199">
        <f>'Mail Merge'!$O42+'Mail Merge'!$P42</f>
        <v>67254.02</v>
      </c>
      <c r="R42" s="199"/>
      <c r="S42" s="199"/>
      <c r="T42" s="199"/>
      <c r="U42" s="199">
        <f>IF(AND('Mail Merge'!$I42="Did Not Meet",'Mail Merge'!$N42="Did Not Meet"),MIN(ABS('Mail Merge'!$H42),ABS('Mail Merge'!$M42),'Mail Merge'!$Q42),0)</f>
        <v>0</v>
      </c>
      <c r="V42" s="199" t="str">
        <f>IF(OR(IFERROR(SEARCH("Met",'Mail Merge'!$N42),0)&gt;0,IFERROR(SEARCH("Met",'Mail Merge'!$I42),0)&gt;0),"Met","Not Met")</f>
        <v>Met</v>
      </c>
    </row>
    <row r="43" spans="1:22" x14ac:dyDescent="0.35">
      <c r="A43" s="200" t="s">
        <v>63</v>
      </c>
      <c r="B43" s="201">
        <v>2050</v>
      </c>
      <c r="C43" s="201" t="s">
        <v>57</v>
      </c>
      <c r="D43" s="201">
        <v>64</v>
      </c>
      <c r="E43" s="201">
        <v>488498.41</v>
      </c>
      <c r="F43" s="201">
        <v>200645.94</v>
      </c>
      <c r="G43" s="201">
        <f>'Mail Merge'!$E43+'Mail Merge'!$F43</f>
        <v>689144.35</v>
      </c>
      <c r="H43" s="201">
        <v>0</v>
      </c>
      <c r="I43" s="201" t="s">
        <v>239</v>
      </c>
      <c r="J43" s="201">
        <f>IFERROR('Mail Merge'!$E43/'Mail Merge'!$D43,0)</f>
        <v>7632.7876562499996</v>
      </c>
      <c r="K43" s="201">
        <f>IFERROR('Mail Merge'!$F43/'Mail Merge'!$D43,0)</f>
        <v>3135.0928125</v>
      </c>
      <c r="L43" s="201">
        <f>IFERROR('Mail Merge'!$G43/'Mail Merge'!$D43,0)</f>
        <v>10767.88046875</v>
      </c>
      <c r="M43" s="201">
        <v>0</v>
      </c>
      <c r="N43" s="201" t="s">
        <v>239</v>
      </c>
      <c r="O43" s="201">
        <v>106983.23</v>
      </c>
      <c r="P43" s="201">
        <v>0</v>
      </c>
      <c r="Q43" s="201">
        <f>'Mail Merge'!$O43+'Mail Merge'!$P43</f>
        <v>106983.23</v>
      </c>
      <c r="R43" s="201"/>
      <c r="S43" s="201"/>
      <c r="T43" s="201"/>
      <c r="U43" s="201">
        <f>IF(AND('Mail Merge'!$I43="Did Not Meet",'Mail Merge'!$N43="Did Not Meet"),MIN(ABS('Mail Merge'!$H43),ABS('Mail Merge'!$M43),'Mail Merge'!$Q43),0)</f>
        <v>0</v>
      </c>
      <c r="V43" s="201" t="str">
        <f>IF(OR(IFERROR(SEARCH("Met",'Mail Merge'!$N43),0)&gt;0,IFERROR(SEARCH("Met",'Mail Merge'!$I43),0)&gt;0),"Met","Not Met")</f>
        <v>Met</v>
      </c>
    </row>
    <row r="44" spans="1:22" x14ac:dyDescent="0.35">
      <c r="A44" s="198" t="s">
        <v>64</v>
      </c>
      <c r="B44" s="199">
        <v>2190</v>
      </c>
      <c r="C44" s="199" t="s">
        <v>57</v>
      </c>
      <c r="D44" s="199">
        <v>440</v>
      </c>
      <c r="E44" s="199">
        <v>3465320.57</v>
      </c>
      <c r="F44" s="199">
        <v>323564.44</v>
      </c>
      <c r="G44" s="199">
        <f>'Mail Merge'!$E44+'Mail Merge'!$F44</f>
        <v>3788885.01</v>
      </c>
      <c r="H44" s="199">
        <v>0</v>
      </c>
      <c r="I44" s="199" t="s">
        <v>239</v>
      </c>
      <c r="J44" s="199">
        <f>IFERROR('Mail Merge'!$E44/'Mail Merge'!$D44,0)</f>
        <v>7875.7285681818175</v>
      </c>
      <c r="K44" s="199">
        <f>IFERROR('Mail Merge'!$F44/'Mail Merge'!$D44,0)</f>
        <v>735.37372727272725</v>
      </c>
      <c r="L44" s="199">
        <f>IFERROR('Mail Merge'!$G44/'Mail Merge'!$D44,0)</f>
        <v>8611.1022954545442</v>
      </c>
      <c r="M44" s="199">
        <v>0</v>
      </c>
      <c r="N44" s="199" t="s">
        <v>239</v>
      </c>
      <c r="O44" s="199">
        <v>492296.71</v>
      </c>
      <c r="P44" s="199">
        <v>3071.32</v>
      </c>
      <c r="Q44" s="199">
        <f>'Mail Merge'!$O44+'Mail Merge'!$P44</f>
        <v>495368.03</v>
      </c>
      <c r="R44" s="199"/>
      <c r="S44" s="199"/>
      <c r="T44" s="199"/>
      <c r="U44" s="199">
        <f>IF(AND('Mail Merge'!$I44="Did Not Meet",'Mail Merge'!$N44="Did Not Meet"),MIN(ABS('Mail Merge'!$H44),ABS('Mail Merge'!$M44),'Mail Merge'!$Q44),0)</f>
        <v>0</v>
      </c>
      <c r="V44" s="199" t="str">
        <f>IF(OR(IFERROR(SEARCH("Met",'Mail Merge'!$N44),0)&gt;0,IFERROR(SEARCH("Met",'Mail Merge'!$I44),0)&gt;0),"Met","Not Met")</f>
        <v>Met</v>
      </c>
    </row>
    <row r="45" spans="1:22" x14ac:dyDescent="0.35">
      <c r="A45" s="200" t="s">
        <v>65</v>
      </c>
      <c r="B45" s="201">
        <v>2187</v>
      </c>
      <c r="C45" s="201" t="s">
        <v>57</v>
      </c>
      <c r="D45" s="201">
        <v>1409</v>
      </c>
      <c r="E45" s="201">
        <v>10227516.35</v>
      </c>
      <c r="F45" s="201">
        <v>1885469</v>
      </c>
      <c r="G45" s="201">
        <f>'Mail Merge'!$E45+'Mail Merge'!$F45</f>
        <v>12112985.35</v>
      </c>
      <c r="H45" s="201">
        <v>0</v>
      </c>
      <c r="I45" s="201" t="s">
        <v>239</v>
      </c>
      <c r="J45" s="201">
        <f>IFERROR('Mail Merge'!$E45/'Mail Merge'!$D45,0)</f>
        <v>7258.7057132718237</v>
      </c>
      <c r="K45" s="201">
        <f>IFERROR('Mail Merge'!$F45/'Mail Merge'!$D45,0)</f>
        <v>1338.1611071682044</v>
      </c>
      <c r="L45" s="201">
        <f>IFERROR('Mail Merge'!$G45/'Mail Merge'!$D45,0)</f>
        <v>8596.8668204400274</v>
      </c>
      <c r="M45" s="201">
        <v>0</v>
      </c>
      <c r="N45" s="201" t="s">
        <v>239</v>
      </c>
      <c r="O45" s="201">
        <v>1695370.3</v>
      </c>
      <c r="P45" s="201">
        <v>7444.5</v>
      </c>
      <c r="Q45" s="201">
        <f>'Mail Merge'!$O45+'Mail Merge'!$P45</f>
        <v>1702814.8</v>
      </c>
      <c r="R45" s="201"/>
      <c r="S45" s="201"/>
      <c r="T45" s="201"/>
      <c r="U45" s="201">
        <f>IF(AND('Mail Merge'!$I45="Did Not Meet",'Mail Merge'!$N45="Did Not Meet"),MIN(ABS('Mail Merge'!$H45),ABS('Mail Merge'!$M45),'Mail Merge'!$Q45),0)</f>
        <v>0</v>
      </c>
      <c r="V45" s="201" t="str">
        <f>IF(OR(IFERROR(SEARCH("Met",'Mail Merge'!$N45),0)&gt;0,IFERROR(SEARCH("Met",'Mail Merge'!$I45),0)&gt;0),"Met","Not Met")</f>
        <v>Met</v>
      </c>
    </row>
    <row r="46" spans="1:22" x14ac:dyDescent="0.35">
      <c r="A46" s="198" t="s">
        <v>66</v>
      </c>
      <c r="B46" s="199">
        <v>2253</v>
      </c>
      <c r="C46" s="199" t="s">
        <v>57</v>
      </c>
      <c r="D46" s="199">
        <v>123</v>
      </c>
      <c r="E46" s="199">
        <v>811547.82</v>
      </c>
      <c r="F46" s="199">
        <v>68282.149999999994</v>
      </c>
      <c r="G46" s="199">
        <f>'Mail Merge'!$E46+'Mail Merge'!$F46</f>
        <v>879829.97</v>
      </c>
      <c r="H46" s="199">
        <v>0</v>
      </c>
      <c r="I46" s="199" t="s">
        <v>239</v>
      </c>
      <c r="J46" s="199">
        <f>IFERROR('Mail Merge'!$E46/'Mail Merge'!$D46,0)</f>
        <v>6597.9497560975606</v>
      </c>
      <c r="K46" s="199">
        <f>IFERROR('Mail Merge'!$F46/'Mail Merge'!$D46,0)</f>
        <v>555.13943089430893</v>
      </c>
      <c r="L46" s="199">
        <f>IFERROR('Mail Merge'!$G46/'Mail Merge'!$D46,0)</f>
        <v>7153.0891869918696</v>
      </c>
      <c r="M46" s="199">
        <v>0</v>
      </c>
      <c r="N46" s="199" t="s">
        <v>239</v>
      </c>
      <c r="O46" s="199">
        <v>160392.74</v>
      </c>
      <c r="P46" s="199">
        <v>1682.32</v>
      </c>
      <c r="Q46" s="199">
        <f>'Mail Merge'!$O46+'Mail Merge'!$P46</f>
        <v>162075.06</v>
      </c>
      <c r="R46" s="199"/>
      <c r="S46" s="199"/>
      <c r="T46" s="199"/>
      <c r="U46" s="199">
        <f>IF(AND('Mail Merge'!$I46="Did Not Meet",'Mail Merge'!$N46="Did Not Meet"),MIN(ABS('Mail Merge'!$H46),ABS('Mail Merge'!$M46),'Mail Merge'!$Q46),0)</f>
        <v>0</v>
      </c>
      <c r="V46" s="199" t="str">
        <f>IF(OR(IFERROR(SEARCH("Met",'Mail Merge'!$N46),0)&gt;0,IFERROR(SEARCH("Met",'Mail Merge'!$I46),0)&gt;0),"Met","Not Met")</f>
        <v>Met</v>
      </c>
    </row>
    <row r="47" spans="1:22" x14ac:dyDescent="0.35">
      <c r="A47" s="200" t="s">
        <v>67</v>
      </c>
      <c r="B47" s="201">
        <v>2011</v>
      </c>
      <c r="C47" s="201" t="s">
        <v>57</v>
      </c>
      <c r="D47" s="201">
        <v>9</v>
      </c>
      <c r="E47" s="201">
        <v>6240.78</v>
      </c>
      <c r="F47" s="201">
        <v>85066.03</v>
      </c>
      <c r="G47" s="201">
        <f>'Mail Merge'!$E47+'Mail Merge'!$F47</f>
        <v>91306.81</v>
      </c>
      <c r="H47" s="201">
        <v>0</v>
      </c>
      <c r="I47" s="201" t="s">
        <v>239</v>
      </c>
      <c r="J47" s="201">
        <f>IFERROR('Mail Merge'!$E47/'Mail Merge'!$D47,0)</f>
        <v>693.42</v>
      </c>
      <c r="K47" s="201">
        <f>IFERROR('Mail Merge'!$F47/'Mail Merge'!$D47,0)</f>
        <v>9451.7811111111114</v>
      </c>
      <c r="L47" s="201">
        <f>IFERROR('Mail Merge'!$G47/'Mail Merge'!$D47,0)</f>
        <v>10145.201111111111</v>
      </c>
      <c r="M47" s="201">
        <v>0</v>
      </c>
      <c r="N47" s="201" t="s">
        <v>239</v>
      </c>
      <c r="O47" s="201">
        <v>9799.27</v>
      </c>
      <c r="P47" s="201">
        <v>1948.6</v>
      </c>
      <c r="Q47" s="201">
        <f>'Mail Merge'!$O47+'Mail Merge'!$P47</f>
        <v>11747.87</v>
      </c>
      <c r="R47" s="201"/>
      <c r="S47" s="201"/>
      <c r="T47" s="201"/>
      <c r="U47" s="201">
        <f>IF(AND('Mail Merge'!$I47="Did Not Meet",'Mail Merge'!$N47="Did Not Meet"),MIN(ABS('Mail Merge'!$H47),ABS('Mail Merge'!$M47),'Mail Merge'!$Q47),0)</f>
        <v>0</v>
      </c>
      <c r="V47" s="201" t="str">
        <f>IF(OR(IFERROR(SEARCH("Met",'Mail Merge'!$N47),0)&gt;0,IFERROR(SEARCH("Met",'Mail Merge'!$I47),0)&gt;0),"Met","Not Met")</f>
        <v>Met</v>
      </c>
    </row>
    <row r="48" spans="1:22" x14ac:dyDescent="0.35">
      <c r="A48" s="198" t="s">
        <v>68</v>
      </c>
      <c r="B48" s="199">
        <v>2017</v>
      </c>
      <c r="C48" s="199" t="s">
        <v>57</v>
      </c>
      <c r="D48" s="199">
        <v>3</v>
      </c>
      <c r="E48" s="199">
        <v>6670</v>
      </c>
      <c r="F48" s="199">
        <v>2441</v>
      </c>
      <c r="G48" s="199">
        <f>'Mail Merge'!$E48+'Mail Merge'!$F48</f>
        <v>9111</v>
      </c>
      <c r="H48" s="199">
        <v>0</v>
      </c>
      <c r="I48" s="199" t="s">
        <v>239</v>
      </c>
      <c r="J48" s="199">
        <f>IFERROR('Mail Merge'!$E48/'Mail Merge'!$D48,0)</f>
        <v>2223.3333333333335</v>
      </c>
      <c r="K48" s="199">
        <f>IFERROR('Mail Merge'!$F48/'Mail Merge'!$D48,0)</f>
        <v>813.66666666666663</v>
      </c>
      <c r="L48" s="199">
        <f>IFERROR('Mail Merge'!$G48/'Mail Merge'!$D48,0)</f>
        <v>3037</v>
      </c>
      <c r="M48" s="199">
        <v>0</v>
      </c>
      <c r="N48" s="199" t="s">
        <v>239</v>
      </c>
      <c r="O48" s="199">
        <v>1643.32</v>
      </c>
      <c r="P48" s="199">
        <v>1.57</v>
      </c>
      <c r="Q48" s="199">
        <f>'Mail Merge'!$O48+'Mail Merge'!$P48</f>
        <v>1644.8899999999999</v>
      </c>
      <c r="R48" s="199"/>
      <c r="S48" s="199"/>
      <c r="T48" s="199"/>
      <c r="U48" s="199">
        <f>IF(AND('Mail Merge'!$I48="Did Not Meet",'Mail Merge'!$N48="Did Not Meet"),MIN(ABS('Mail Merge'!$H48),ABS('Mail Merge'!$M48),'Mail Merge'!$Q48),0)</f>
        <v>0</v>
      </c>
      <c r="V48" s="199" t="str">
        <f>IF(OR(IFERROR(SEARCH("Met",'Mail Merge'!$N48),0)&gt;0,IFERROR(SEARCH("Met",'Mail Merge'!$I48),0)&gt;0),"Met","Not Met")</f>
        <v>Met</v>
      </c>
    </row>
    <row r="49" spans="1:22" x14ac:dyDescent="0.35">
      <c r="A49" s="200" t="s">
        <v>69</v>
      </c>
      <c r="B49" s="201">
        <v>2021</v>
      </c>
      <c r="C49" s="201" t="s">
        <v>57</v>
      </c>
      <c r="D49" s="201">
        <v>0</v>
      </c>
      <c r="E49" s="201">
        <v>1561.67</v>
      </c>
      <c r="F49" s="201">
        <v>188</v>
      </c>
      <c r="G49" s="201">
        <f>'Mail Merge'!$E49+'Mail Merge'!$F49</f>
        <v>1749.67</v>
      </c>
      <c r="H49" s="201">
        <v>0</v>
      </c>
      <c r="I49" s="201" t="s">
        <v>239</v>
      </c>
      <c r="J49" s="201">
        <f>IFERROR('Mail Merge'!$E49/'Mail Merge'!$D49,0)</f>
        <v>0</v>
      </c>
      <c r="K49" s="201">
        <f>IFERROR('Mail Merge'!$F49/'Mail Merge'!$D49,0)</f>
        <v>0</v>
      </c>
      <c r="L49" s="201">
        <f>IFERROR('Mail Merge'!$G49/'Mail Merge'!$D49,0)</f>
        <v>0</v>
      </c>
      <c r="M49" s="201">
        <v>0</v>
      </c>
      <c r="N49" s="201" t="s">
        <v>239</v>
      </c>
      <c r="O49" s="201">
        <v>920.75</v>
      </c>
      <c r="P49" s="201">
        <v>0.38</v>
      </c>
      <c r="Q49" s="201">
        <f>'Mail Merge'!$O49+'Mail Merge'!$P49</f>
        <v>921.13</v>
      </c>
      <c r="R49" s="201"/>
      <c r="S49" s="201"/>
      <c r="T49" s="201"/>
      <c r="U49" s="201">
        <f>IF(AND('Mail Merge'!$I49="Did Not Meet",'Mail Merge'!$N49="Did Not Meet"),MIN(ABS('Mail Merge'!$H49),ABS('Mail Merge'!$M49),'Mail Merge'!$Q49),0)</f>
        <v>0</v>
      </c>
      <c r="V49" s="201" t="str">
        <f>IF(OR(IFERROR(SEARCH("Met",'Mail Merge'!$N49),0)&gt;0,IFERROR(SEARCH("Met",'Mail Merge'!$I49),0)&gt;0),"Met","Not Met")</f>
        <v>Met</v>
      </c>
    </row>
    <row r="50" spans="1:22" x14ac:dyDescent="0.35">
      <c r="A50" s="198" t="s">
        <v>70</v>
      </c>
      <c r="B50" s="199">
        <v>1993</v>
      </c>
      <c r="C50" s="199" t="s">
        <v>57</v>
      </c>
      <c r="D50" s="199">
        <v>13</v>
      </c>
      <c r="E50" s="199">
        <v>140666.97</v>
      </c>
      <c r="F50" s="199">
        <v>33743.39</v>
      </c>
      <c r="G50" s="199">
        <f>'Mail Merge'!$E50+'Mail Merge'!$F50</f>
        <v>174410.36</v>
      </c>
      <c r="H50" s="199">
        <v>0</v>
      </c>
      <c r="I50" s="199" t="s">
        <v>239</v>
      </c>
      <c r="J50" s="199">
        <f>IFERROR('Mail Merge'!$E50/'Mail Merge'!$D50,0)</f>
        <v>10820.536153846155</v>
      </c>
      <c r="K50" s="199">
        <f>IFERROR('Mail Merge'!$F50/'Mail Merge'!$D50,0)</f>
        <v>2595.6453846153845</v>
      </c>
      <c r="L50" s="199">
        <f>IFERROR('Mail Merge'!$G50/'Mail Merge'!$D50,0)</f>
        <v>13416.181538461537</v>
      </c>
      <c r="M50" s="199">
        <v>0</v>
      </c>
      <c r="N50" s="199" t="s">
        <v>239</v>
      </c>
      <c r="O50" s="199">
        <v>53614.96</v>
      </c>
      <c r="P50" s="199">
        <v>1495.13</v>
      </c>
      <c r="Q50" s="199">
        <f>'Mail Merge'!$O50+'Mail Merge'!$P50</f>
        <v>55110.09</v>
      </c>
      <c r="R50" s="199"/>
      <c r="S50" s="199"/>
      <c r="T50" s="199"/>
      <c r="U50" s="199">
        <f>IF(AND('Mail Merge'!$I50="Did Not Meet",'Mail Merge'!$N50="Did Not Meet"),MIN(ABS('Mail Merge'!$H50),ABS('Mail Merge'!$M50),'Mail Merge'!$Q50),0)</f>
        <v>0</v>
      </c>
      <c r="V50" s="199" t="str">
        <f>IF(OR(IFERROR(SEARCH("Met",'Mail Merge'!$N50),0)&gt;0,IFERROR(SEARCH("Met",'Mail Merge'!$I50),0)&gt;0),"Met","Not Met")</f>
        <v>Met</v>
      </c>
    </row>
    <row r="51" spans="1:22" x14ac:dyDescent="0.35">
      <c r="A51" s="200" t="s">
        <v>71</v>
      </c>
      <c r="B51" s="201">
        <v>1991</v>
      </c>
      <c r="C51" s="201" t="s">
        <v>57</v>
      </c>
      <c r="D51" s="201">
        <v>692</v>
      </c>
      <c r="E51" s="201">
        <v>4199253.49</v>
      </c>
      <c r="F51" s="201">
        <v>1215431.54</v>
      </c>
      <c r="G51" s="201">
        <f>'Mail Merge'!$E51+'Mail Merge'!$F51</f>
        <v>5414685.0300000003</v>
      </c>
      <c r="H51" s="201">
        <v>0</v>
      </c>
      <c r="I51" s="201" t="s">
        <v>239</v>
      </c>
      <c r="J51" s="201">
        <f>IFERROR('Mail Merge'!$E51/'Mail Merge'!$D51,0)</f>
        <v>6068.2853901734106</v>
      </c>
      <c r="K51" s="201">
        <f>IFERROR('Mail Merge'!$F51/'Mail Merge'!$D51,0)</f>
        <v>1756.4039595375723</v>
      </c>
      <c r="L51" s="201">
        <f>IFERROR('Mail Merge'!$G51/'Mail Merge'!$D51,0)</f>
        <v>7824.6893497109832</v>
      </c>
      <c r="M51" s="201">
        <v>0</v>
      </c>
      <c r="N51" s="201" t="s">
        <v>239</v>
      </c>
      <c r="O51" s="201">
        <v>1092832.8700000001</v>
      </c>
      <c r="P51" s="201">
        <v>9619.49</v>
      </c>
      <c r="Q51" s="201">
        <f>'Mail Merge'!$O51+'Mail Merge'!$P51</f>
        <v>1102452.3600000001</v>
      </c>
      <c r="R51" s="201"/>
      <c r="S51" s="201"/>
      <c r="T51" s="201"/>
      <c r="U51" s="201">
        <f>IF(AND('Mail Merge'!$I51="Did Not Meet",'Mail Merge'!$N51="Did Not Meet"),MIN(ABS('Mail Merge'!$H51),ABS('Mail Merge'!$M51),'Mail Merge'!$Q51),0)</f>
        <v>0</v>
      </c>
      <c r="V51" s="201" t="str">
        <f>IF(OR(IFERROR(SEARCH("Met",'Mail Merge'!$N51),0)&gt;0,IFERROR(SEARCH("Met",'Mail Merge'!$I51),0)&gt;0),"Met","Not Met")</f>
        <v>Met</v>
      </c>
    </row>
    <row r="52" spans="1:22" x14ac:dyDescent="0.35">
      <c r="A52" s="198" t="s">
        <v>72</v>
      </c>
      <c r="B52" s="199">
        <v>2019</v>
      </c>
      <c r="C52" s="199" t="s">
        <v>57</v>
      </c>
      <c r="D52" s="199">
        <v>3</v>
      </c>
      <c r="E52" s="199">
        <v>11241.4</v>
      </c>
      <c r="F52" s="199">
        <v>2066</v>
      </c>
      <c r="G52" s="199">
        <f>'Mail Merge'!$E52+'Mail Merge'!$F52</f>
        <v>13307.4</v>
      </c>
      <c r="H52" s="199">
        <v>0</v>
      </c>
      <c r="I52" s="199" t="s">
        <v>239</v>
      </c>
      <c r="J52" s="199">
        <f>IFERROR('Mail Merge'!$E52/'Mail Merge'!$D52,0)</f>
        <v>3747.1333333333332</v>
      </c>
      <c r="K52" s="199">
        <f>IFERROR('Mail Merge'!$F52/'Mail Merge'!$D52,0)</f>
        <v>688.66666666666663</v>
      </c>
      <c r="L52" s="199">
        <f>IFERROR('Mail Merge'!$G52/'Mail Merge'!$D52,0)</f>
        <v>4435.8</v>
      </c>
      <c r="M52" s="199">
        <v>0</v>
      </c>
      <c r="N52" s="199" t="s">
        <v>239</v>
      </c>
      <c r="O52" s="199">
        <v>2438.39</v>
      </c>
      <c r="P52" s="199">
        <v>1.34</v>
      </c>
      <c r="Q52" s="199">
        <f>'Mail Merge'!$O52+'Mail Merge'!$P52</f>
        <v>2439.73</v>
      </c>
      <c r="R52" s="199"/>
      <c r="S52" s="199"/>
      <c r="T52" s="199"/>
      <c r="U52" s="199">
        <f>IF(AND('Mail Merge'!$I52="Did Not Meet",'Mail Merge'!$N52="Did Not Meet"),MIN(ABS('Mail Merge'!$H52),ABS('Mail Merge'!$M52),'Mail Merge'!$Q52),0)</f>
        <v>0</v>
      </c>
      <c r="V52" s="199" t="str">
        <f>IF(OR(IFERROR(SEARCH("Met",'Mail Merge'!$N52),0)&gt;0,IFERROR(SEARCH("Met",'Mail Merge'!$I52),0)&gt;0),"Met","Not Met")</f>
        <v>Met</v>
      </c>
    </row>
    <row r="53" spans="1:22" x14ac:dyDescent="0.35">
      <c r="A53" s="200" t="s">
        <v>73</v>
      </c>
      <c r="B53" s="201">
        <v>2229</v>
      </c>
      <c r="C53" s="201" t="s">
        <v>57</v>
      </c>
      <c r="D53" s="201">
        <v>32</v>
      </c>
      <c r="E53" s="201">
        <v>216146.92</v>
      </c>
      <c r="F53" s="201">
        <v>0</v>
      </c>
      <c r="G53" s="201">
        <f>'Mail Merge'!$E53+'Mail Merge'!$F53</f>
        <v>216146.92</v>
      </c>
      <c r="H53" s="201">
        <v>0</v>
      </c>
      <c r="I53" s="201" t="s">
        <v>239</v>
      </c>
      <c r="J53" s="201">
        <f>IFERROR('Mail Merge'!$E53/'Mail Merge'!$D53,0)</f>
        <v>6754.5912500000004</v>
      </c>
      <c r="K53" s="201">
        <f>IFERROR('Mail Merge'!$F53/'Mail Merge'!$D53,0)</f>
        <v>0</v>
      </c>
      <c r="L53" s="201">
        <f>IFERROR('Mail Merge'!$G53/'Mail Merge'!$D53,0)</f>
        <v>6754.5912500000004</v>
      </c>
      <c r="M53" s="201">
        <v>0</v>
      </c>
      <c r="N53" s="201" t="s">
        <v>239</v>
      </c>
      <c r="O53" s="201">
        <v>38885.9</v>
      </c>
      <c r="P53" s="201">
        <v>0</v>
      </c>
      <c r="Q53" s="201">
        <f>'Mail Merge'!$O53+'Mail Merge'!$P53</f>
        <v>38885.9</v>
      </c>
      <c r="R53" s="201"/>
      <c r="S53" s="201"/>
      <c r="T53" s="201"/>
      <c r="U53" s="201">
        <f>IF(AND('Mail Merge'!$I53="Did Not Meet",'Mail Merge'!$N53="Did Not Meet"),MIN(ABS('Mail Merge'!$H53),ABS('Mail Merge'!$M53),'Mail Merge'!$Q53),0)</f>
        <v>0</v>
      </c>
      <c r="V53" s="201" t="str">
        <f>IF(OR(IFERROR(SEARCH("Met",'Mail Merge'!$N53),0)&gt;0,IFERROR(SEARCH("Met",'Mail Merge'!$I53),0)&gt;0),"Met","Not Met")</f>
        <v>Met</v>
      </c>
    </row>
    <row r="54" spans="1:22" x14ac:dyDescent="0.35">
      <c r="A54" s="198" t="s">
        <v>74</v>
      </c>
      <c r="B54" s="199">
        <v>2043</v>
      </c>
      <c r="C54" s="199" t="s">
        <v>57</v>
      </c>
      <c r="D54" s="199">
        <v>487</v>
      </c>
      <c r="E54" s="199">
        <v>2963745.68</v>
      </c>
      <c r="F54" s="199">
        <v>866368.67</v>
      </c>
      <c r="G54" s="199">
        <f>'Mail Merge'!$E54+'Mail Merge'!$F54</f>
        <v>3830114.35</v>
      </c>
      <c r="H54" s="199">
        <v>0</v>
      </c>
      <c r="I54" s="199" t="s">
        <v>239</v>
      </c>
      <c r="J54" s="199">
        <f>IFERROR('Mail Merge'!$E54/'Mail Merge'!$D54,0)</f>
        <v>6085.7200821355236</v>
      </c>
      <c r="K54" s="199">
        <f>IFERROR('Mail Merge'!$F54/'Mail Merge'!$D54,0)</f>
        <v>1778.9911088295689</v>
      </c>
      <c r="L54" s="199">
        <f>IFERROR('Mail Merge'!$G54/'Mail Merge'!$D54,0)</f>
        <v>7864.711190965093</v>
      </c>
      <c r="M54" s="199">
        <v>0</v>
      </c>
      <c r="N54" s="199" t="s">
        <v>239</v>
      </c>
      <c r="O54" s="199">
        <v>716727.94</v>
      </c>
      <c r="P54" s="199">
        <v>4456.59</v>
      </c>
      <c r="Q54" s="199">
        <f>'Mail Merge'!$O54+'Mail Merge'!$P54</f>
        <v>721184.52999999991</v>
      </c>
      <c r="R54" s="199"/>
      <c r="S54" s="199"/>
      <c r="T54" s="199"/>
      <c r="U54" s="199">
        <f>IF(AND('Mail Merge'!$I54="Did Not Meet",'Mail Merge'!$N54="Did Not Meet"),MIN(ABS('Mail Merge'!$H54),ABS('Mail Merge'!$M54),'Mail Merge'!$Q54),0)</f>
        <v>0</v>
      </c>
      <c r="V54" s="199" t="str">
        <f>IF(OR(IFERROR(SEARCH("Met",'Mail Merge'!$N54),0)&gt;0,IFERROR(SEARCH("Met",'Mail Merge'!$I54),0)&gt;0),"Met","Not Met")</f>
        <v>Met</v>
      </c>
    </row>
    <row r="55" spans="1:22" x14ac:dyDescent="0.35">
      <c r="A55" s="200" t="s">
        <v>75</v>
      </c>
      <c r="B55" s="201">
        <v>2203</v>
      </c>
      <c r="C55" s="201" t="s">
        <v>57</v>
      </c>
      <c r="D55" s="201">
        <v>30</v>
      </c>
      <c r="E55" s="201">
        <v>144676.42000000001</v>
      </c>
      <c r="F55" s="201">
        <v>48196.2</v>
      </c>
      <c r="G55" s="201">
        <f>'Mail Merge'!$E55+'Mail Merge'!$F55</f>
        <v>192872.62</v>
      </c>
      <c r="H55" s="201">
        <v>0</v>
      </c>
      <c r="I55" s="201" t="s">
        <v>239</v>
      </c>
      <c r="J55" s="201">
        <f>IFERROR('Mail Merge'!$E55/'Mail Merge'!$D55,0)</f>
        <v>4822.5473333333339</v>
      </c>
      <c r="K55" s="201">
        <f>IFERROR('Mail Merge'!$F55/'Mail Merge'!$D55,0)</f>
        <v>1606.54</v>
      </c>
      <c r="L55" s="201">
        <f>IFERROR('Mail Merge'!$G55/'Mail Merge'!$D55,0)</f>
        <v>6429.0873333333329</v>
      </c>
      <c r="M55" s="201">
        <v>0</v>
      </c>
      <c r="N55" s="201" t="s">
        <v>239</v>
      </c>
      <c r="O55" s="201">
        <v>39728.11</v>
      </c>
      <c r="P55" s="201">
        <v>103.33</v>
      </c>
      <c r="Q55" s="201">
        <f>'Mail Merge'!$O55+'Mail Merge'!$P55</f>
        <v>39831.440000000002</v>
      </c>
      <c r="R55" s="201"/>
      <c r="S55" s="201"/>
      <c r="T55" s="201"/>
      <c r="U55" s="201">
        <f>IF(AND('Mail Merge'!$I55="Did Not Meet",'Mail Merge'!$N55="Did Not Meet"),MIN(ABS('Mail Merge'!$H55),ABS('Mail Merge'!$M55),'Mail Merge'!$Q55),0)</f>
        <v>0</v>
      </c>
      <c r="V55" s="201" t="str">
        <f>IF(OR(IFERROR(SEARCH("Met",'Mail Merge'!$N55),0)&gt;0,IFERROR(SEARCH("Met",'Mail Merge'!$I55),0)&gt;0),"Met","Not Met")</f>
        <v>Met</v>
      </c>
    </row>
    <row r="56" spans="1:22" x14ac:dyDescent="0.35">
      <c r="A56" s="198" t="s">
        <v>76</v>
      </c>
      <c r="B56" s="199">
        <v>2217</v>
      </c>
      <c r="C56" s="199" t="s">
        <v>57</v>
      </c>
      <c r="D56" s="199">
        <v>89</v>
      </c>
      <c r="E56" s="199">
        <v>392199.67999999999</v>
      </c>
      <c r="F56" s="199">
        <v>117634.37</v>
      </c>
      <c r="G56" s="199">
        <f>'Mail Merge'!$E56+'Mail Merge'!$F56</f>
        <v>509834.05</v>
      </c>
      <c r="H56" s="199">
        <v>0</v>
      </c>
      <c r="I56" s="199" t="s">
        <v>239</v>
      </c>
      <c r="J56" s="199">
        <f>IFERROR('Mail Merge'!$E56/'Mail Merge'!$D56,0)</f>
        <v>4406.7379775280897</v>
      </c>
      <c r="K56" s="199">
        <f>IFERROR('Mail Merge'!$F56/'Mail Merge'!$D56,0)</f>
        <v>1321.7344943820224</v>
      </c>
      <c r="L56" s="199">
        <f>IFERROR('Mail Merge'!$G56/'Mail Merge'!$D56,0)</f>
        <v>5728.4724719101123</v>
      </c>
      <c r="M56" s="199">
        <v>0</v>
      </c>
      <c r="N56" s="199" t="s">
        <v>239</v>
      </c>
      <c r="O56" s="199">
        <v>83664.09</v>
      </c>
      <c r="P56" s="199">
        <v>177.31</v>
      </c>
      <c r="Q56" s="199">
        <f>'Mail Merge'!$O56+'Mail Merge'!$P56</f>
        <v>83841.399999999994</v>
      </c>
      <c r="R56" s="199"/>
      <c r="S56" s="199"/>
      <c r="T56" s="199"/>
      <c r="U56" s="199">
        <f>IF(AND('Mail Merge'!$I56="Did Not Meet",'Mail Merge'!$N56="Did Not Meet"),MIN(ABS('Mail Merge'!$H56),ABS('Mail Merge'!$M56),'Mail Merge'!$Q56),0)</f>
        <v>0</v>
      </c>
      <c r="V56" s="199" t="str">
        <f>IF(OR(IFERROR(SEARCH("Met",'Mail Merge'!$N56),0)&gt;0,IFERROR(SEARCH("Met",'Mail Merge'!$I56),0)&gt;0),"Met","Not Met")</f>
        <v>Met</v>
      </c>
    </row>
    <row r="57" spans="1:22" x14ac:dyDescent="0.35">
      <c r="A57" s="200" t="s">
        <v>77</v>
      </c>
      <c r="B57" s="201">
        <v>1998</v>
      </c>
      <c r="C57" s="201" t="s">
        <v>57</v>
      </c>
      <c r="D57" s="201">
        <v>23</v>
      </c>
      <c r="E57" s="201">
        <v>141792.57999999999</v>
      </c>
      <c r="F57" s="201">
        <v>34579.9</v>
      </c>
      <c r="G57" s="201">
        <f>'Mail Merge'!$E57+'Mail Merge'!$F57</f>
        <v>176372.47999999998</v>
      </c>
      <c r="H57" s="201">
        <v>0</v>
      </c>
      <c r="I57" s="201" t="s">
        <v>239</v>
      </c>
      <c r="J57" s="201">
        <f>IFERROR('Mail Merge'!$E57/'Mail Merge'!$D57,0)</f>
        <v>6164.8947826086951</v>
      </c>
      <c r="K57" s="201">
        <f>IFERROR('Mail Merge'!$F57/'Mail Merge'!$D57,0)</f>
        <v>1503.4739130434784</v>
      </c>
      <c r="L57" s="201">
        <f>IFERROR('Mail Merge'!$G57/'Mail Merge'!$D57,0)</f>
        <v>7668.3686956521733</v>
      </c>
      <c r="M57" s="201">
        <v>0</v>
      </c>
      <c r="N57" s="201" t="s">
        <v>239</v>
      </c>
      <c r="O57" s="201">
        <v>35738.83</v>
      </c>
      <c r="P57" s="201">
        <v>0</v>
      </c>
      <c r="Q57" s="201">
        <f>'Mail Merge'!$O57+'Mail Merge'!$P57</f>
        <v>35738.83</v>
      </c>
      <c r="R57" s="201"/>
      <c r="S57" s="201"/>
      <c r="T57" s="201"/>
      <c r="U57" s="201">
        <f>IF(AND('Mail Merge'!$I57="Did Not Meet",'Mail Merge'!$N57="Did Not Meet"),MIN(ABS('Mail Merge'!$H57),ABS('Mail Merge'!$M57),'Mail Merge'!$Q57),0)</f>
        <v>0</v>
      </c>
      <c r="V57" s="201" t="str">
        <f>IF(OR(IFERROR(SEARCH("Met",'Mail Merge'!$N57),0)&gt;0,IFERROR(SEARCH("Met",'Mail Merge'!$I57),0)&gt;0),"Met","Not Met")</f>
        <v>Met</v>
      </c>
    </row>
    <row r="58" spans="1:22" x14ac:dyDescent="0.35">
      <c r="A58" s="198" t="s">
        <v>78</v>
      </c>
      <c r="B58" s="199">
        <v>2221</v>
      </c>
      <c r="C58" s="199" t="s">
        <v>57</v>
      </c>
      <c r="D58" s="199">
        <v>69</v>
      </c>
      <c r="E58" s="199">
        <v>4443.2299999999996</v>
      </c>
      <c r="F58" s="199">
        <v>363086.94</v>
      </c>
      <c r="G58" s="199">
        <f>'Mail Merge'!$E58+'Mail Merge'!$F58</f>
        <v>367530.17</v>
      </c>
      <c r="H58" s="199">
        <v>0</v>
      </c>
      <c r="I58" s="199" t="s">
        <v>239</v>
      </c>
      <c r="J58" s="199">
        <f>IFERROR('Mail Merge'!$E58/'Mail Merge'!$D58,0)</f>
        <v>64.394637681159409</v>
      </c>
      <c r="K58" s="199">
        <f>IFERROR('Mail Merge'!$F58/'Mail Merge'!$D58,0)</f>
        <v>5262.1295652173912</v>
      </c>
      <c r="L58" s="199">
        <f>IFERROR('Mail Merge'!$G58/'Mail Merge'!$D58,0)</f>
        <v>5326.5242028985504</v>
      </c>
      <c r="M58" s="199">
        <v>0</v>
      </c>
      <c r="N58" s="199" t="s">
        <v>239</v>
      </c>
      <c r="O58" s="199">
        <v>89733.55</v>
      </c>
      <c r="P58" s="199">
        <v>618.57000000000005</v>
      </c>
      <c r="Q58" s="199">
        <f>'Mail Merge'!$O58+'Mail Merge'!$P58</f>
        <v>90352.12000000001</v>
      </c>
      <c r="R58" s="199"/>
      <c r="S58" s="199"/>
      <c r="T58" s="199"/>
      <c r="U58" s="199">
        <f>IF(AND('Mail Merge'!$I58="Did Not Meet",'Mail Merge'!$N58="Did Not Meet"),MIN(ABS('Mail Merge'!$H58),ABS('Mail Merge'!$M58),'Mail Merge'!$Q58),0)</f>
        <v>0</v>
      </c>
      <c r="V58" s="199" t="str">
        <f>IF(OR(IFERROR(SEARCH("Met",'Mail Merge'!$N58),0)&gt;0,IFERROR(SEARCH("Met",'Mail Merge'!$I58),0)&gt;0),"Met","Not Met")</f>
        <v>Met</v>
      </c>
    </row>
    <row r="59" spans="1:22" x14ac:dyDescent="0.35">
      <c r="A59" s="200" t="s">
        <v>79</v>
      </c>
      <c r="B59" s="201">
        <v>1930</v>
      </c>
      <c r="C59" s="201" t="s">
        <v>57</v>
      </c>
      <c r="D59" s="201">
        <v>327</v>
      </c>
      <c r="E59" s="201">
        <v>2668134.2200000002</v>
      </c>
      <c r="F59" s="201">
        <v>533251</v>
      </c>
      <c r="G59" s="201">
        <f>'Mail Merge'!$E59+'Mail Merge'!$F59</f>
        <v>3201385.22</v>
      </c>
      <c r="H59" s="201">
        <v>0</v>
      </c>
      <c r="I59" s="201" t="s">
        <v>239</v>
      </c>
      <c r="J59" s="201">
        <f>IFERROR('Mail Merge'!$E59/'Mail Merge'!$D59,0)</f>
        <v>8159.4318654434255</v>
      </c>
      <c r="K59" s="201">
        <f>IFERROR('Mail Merge'!$F59/'Mail Merge'!$D59,0)</f>
        <v>1630.7370030581039</v>
      </c>
      <c r="L59" s="201">
        <f>IFERROR('Mail Merge'!$G59/'Mail Merge'!$D59,0)</f>
        <v>9790.1688685015288</v>
      </c>
      <c r="M59" s="201">
        <v>0</v>
      </c>
      <c r="N59" s="201" t="s">
        <v>239</v>
      </c>
      <c r="O59" s="201">
        <v>464915.99</v>
      </c>
      <c r="P59" s="201">
        <v>2414.63</v>
      </c>
      <c r="Q59" s="201">
        <f>'Mail Merge'!$O59+'Mail Merge'!$P59</f>
        <v>467330.62</v>
      </c>
      <c r="R59" s="201"/>
      <c r="S59" s="201"/>
      <c r="T59" s="201"/>
      <c r="U59" s="201">
        <f>IF(AND('Mail Merge'!$I59="Did Not Meet",'Mail Merge'!$N59="Did Not Meet"),MIN(ABS('Mail Merge'!$H59),ABS('Mail Merge'!$M59),'Mail Merge'!$Q59),0)</f>
        <v>0</v>
      </c>
      <c r="V59" s="201" t="str">
        <f>IF(OR(IFERROR(SEARCH("Met",'Mail Merge'!$N59),0)&gt;0,IFERROR(SEARCH("Met",'Mail Merge'!$I59),0)&gt;0),"Met","Not Met")</f>
        <v>Met</v>
      </c>
    </row>
    <row r="60" spans="1:22" x14ac:dyDescent="0.35">
      <c r="A60" s="198" t="s">
        <v>80</v>
      </c>
      <c r="B60" s="199">
        <v>2082</v>
      </c>
      <c r="C60" s="199" t="s">
        <v>57</v>
      </c>
      <c r="D60" s="199">
        <v>2419</v>
      </c>
      <c r="E60" s="199">
        <v>18786434.300000001</v>
      </c>
      <c r="F60" s="199">
        <v>3140595</v>
      </c>
      <c r="G60" s="199">
        <f>'Mail Merge'!$E60+'Mail Merge'!$F60</f>
        <v>21927029.300000001</v>
      </c>
      <c r="H60" s="199">
        <v>0</v>
      </c>
      <c r="I60" s="199" t="s">
        <v>239</v>
      </c>
      <c r="J60" s="199">
        <f>IFERROR('Mail Merge'!$E60/'Mail Merge'!$D60,0)</f>
        <v>7766.1985531211249</v>
      </c>
      <c r="K60" s="199">
        <f>IFERROR('Mail Merge'!$F60/'Mail Merge'!$D60,0)</f>
        <v>1298.3030177759404</v>
      </c>
      <c r="L60" s="199">
        <f>IFERROR('Mail Merge'!$G60/'Mail Merge'!$D60,0)</f>
        <v>9064.5015708970659</v>
      </c>
      <c r="M60" s="199">
        <v>0</v>
      </c>
      <c r="N60" s="199" t="s">
        <v>239</v>
      </c>
      <c r="O60" s="199">
        <v>3183937.88</v>
      </c>
      <c r="P60" s="199">
        <v>25191.9</v>
      </c>
      <c r="Q60" s="199">
        <f>'Mail Merge'!$O60+'Mail Merge'!$P60</f>
        <v>3209129.78</v>
      </c>
      <c r="R60" s="199"/>
      <c r="S60" s="199"/>
      <c r="T60" s="199"/>
      <c r="U60" s="199">
        <f>IF(AND('Mail Merge'!$I60="Did Not Meet",'Mail Merge'!$N60="Did Not Meet"),MIN(ABS('Mail Merge'!$H60),ABS('Mail Merge'!$M60),'Mail Merge'!$Q60),0)</f>
        <v>0</v>
      </c>
      <c r="V60" s="199" t="str">
        <f>IF(OR(IFERROR(SEARCH("Met",'Mail Merge'!$N60),0)&gt;0,IFERROR(SEARCH("Met",'Mail Merge'!$I60),0)&gt;0),"Met","Not Met")</f>
        <v>Met</v>
      </c>
    </row>
    <row r="61" spans="1:22" x14ac:dyDescent="0.35">
      <c r="A61" s="200" t="s">
        <v>81</v>
      </c>
      <c r="B61" s="201">
        <v>2193</v>
      </c>
      <c r="C61" s="201" t="s">
        <v>57</v>
      </c>
      <c r="D61" s="201">
        <v>0</v>
      </c>
      <c r="E61" s="201">
        <v>229473.26</v>
      </c>
      <c r="F61" s="201">
        <v>17961.72</v>
      </c>
      <c r="G61" s="201">
        <f>'Mail Merge'!$E61+'Mail Merge'!$F61</f>
        <v>247434.98</v>
      </c>
      <c r="H61" s="201">
        <v>0</v>
      </c>
      <c r="I61" s="201"/>
      <c r="J61" s="201">
        <f>IFERROR('Mail Merge'!$E61/'Mail Merge'!$D61,0)</f>
        <v>0</v>
      </c>
      <c r="K61" s="201">
        <f>IFERROR('Mail Merge'!$F61/'Mail Merge'!$D61,0)</f>
        <v>0</v>
      </c>
      <c r="L61" s="201">
        <f>IFERROR('Mail Merge'!$G61/'Mail Merge'!$D61,0)</f>
        <v>0</v>
      </c>
      <c r="M61" s="201">
        <v>0</v>
      </c>
      <c r="N61" s="201"/>
      <c r="O61" s="201">
        <v>35100.58</v>
      </c>
      <c r="P61" s="201">
        <v>0</v>
      </c>
      <c r="Q61" s="201">
        <f>'Mail Merge'!$O61+'Mail Merge'!$P61</f>
        <v>35100.58</v>
      </c>
      <c r="R61" s="201"/>
      <c r="S61" s="201"/>
      <c r="T61" s="201"/>
      <c r="U61" s="201">
        <f>IF(AND('Mail Merge'!$I61="Did Not Meet",'Mail Merge'!$N61="Did Not Meet"),MIN(ABS('Mail Merge'!$H61),ABS('Mail Merge'!$M61),'Mail Merge'!$Q61),0)</f>
        <v>0</v>
      </c>
      <c r="V61" s="201" t="str">
        <f>IF(OR(IFERROR(SEARCH("Met",'Mail Merge'!$N61),0)&gt;0,IFERROR(SEARCH("Met",'Mail Merge'!$I61),0)&gt;0),"Met","Not Met")</f>
        <v>Not Met</v>
      </c>
    </row>
    <row r="62" spans="1:22" x14ac:dyDescent="0.35">
      <c r="A62" s="198" t="s">
        <v>82</v>
      </c>
      <c r="B62" s="199">
        <v>2084</v>
      </c>
      <c r="C62" s="199" t="s">
        <v>57</v>
      </c>
      <c r="D62" s="199">
        <v>248</v>
      </c>
      <c r="E62" s="199">
        <v>1993347.45</v>
      </c>
      <c r="F62" s="199">
        <v>736907</v>
      </c>
      <c r="G62" s="199">
        <f>'Mail Merge'!$E62+'Mail Merge'!$F62</f>
        <v>2730254.45</v>
      </c>
      <c r="H62" s="199">
        <v>0</v>
      </c>
      <c r="I62" s="199" t="s">
        <v>239</v>
      </c>
      <c r="J62" s="199">
        <f>IFERROR('Mail Merge'!$E62/'Mail Merge'!$D62,0)</f>
        <v>8037.6913306451615</v>
      </c>
      <c r="K62" s="199">
        <f>IFERROR('Mail Merge'!$F62/'Mail Merge'!$D62,0)</f>
        <v>2971.3991935483873</v>
      </c>
      <c r="L62" s="199">
        <f>IFERROR('Mail Merge'!$G62/'Mail Merge'!$D62,0)</f>
        <v>11009.090524193549</v>
      </c>
      <c r="M62" s="199">
        <v>0</v>
      </c>
      <c r="N62" s="199" t="s">
        <v>239</v>
      </c>
      <c r="O62" s="199">
        <v>306120.51</v>
      </c>
      <c r="P62" s="199">
        <v>1460.37</v>
      </c>
      <c r="Q62" s="199">
        <f>'Mail Merge'!$O62+'Mail Merge'!$P62</f>
        <v>307580.88</v>
      </c>
      <c r="R62" s="199"/>
      <c r="S62" s="199"/>
      <c r="T62" s="199"/>
      <c r="U62" s="199">
        <f>IF(AND('Mail Merge'!$I62="Did Not Meet",'Mail Merge'!$N62="Did Not Meet"),MIN(ABS('Mail Merge'!$H62),ABS('Mail Merge'!$M62),'Mail Merge'!$Q62),0)</f>
        <v>0</v>
      </c>
      <c r="V62" s="199" t="str">
        <f>IF(OR(IFERROR(SEARCH("Met",'Mail Merge'!$N62),0)&gt;0,IFERROR(SEARCH("Met",'Mail Merge'!$I62),0)&gt;0),"Met","Not Met")</f>
        <v>Met</v>
      </c>
    </row>
    <row r="63" spans="1:22" x14ac:dyDescent="0.35">
      <c r="A63" s="200" t="s">
        <v>83</v>
      </c>
      <c r="B63" s="201">
        <v>2241</v>
      </c>
      <c r="C63" s="201" t="s">
        <v>57</v>
      </c>
      <c r="D63" s="201">
        <v>874</v>
      </c>
      <c r="E63" s="201">
        <v>8920850.2799999993</v>
      </c>
      <c r="F63" s="201">
        <v>873633</v>
      </c>
      <c r="G63" s="201">
        <f>'Mail Merge'!$E63+'Mail Merge'!$F63</f>
        <v>9794483.2799999993</v>
      </c>
      <c r="H63" s="201">
        <v>0</v>
      </c>
      <c r="I63" s="201" t="s">
        <v>239</v>
      </c>
      <c r="J63" s="201">
        <f>IFERROR('Mail Merge'!$E63/'Mail Merge'!$D63,0)</f>
        <v>10206.922517162471</v>
      </c>
      <c r="K63" s="201">
        <f>IFERROR('Mail Merge'!$F63/'Mail Merge'!$D63,0)</f>
        <v>999.58009153318073</v>
      </c>
      <c r="L63" s="201">
        <f>IFERROR('Mail Merge'!$G63/'Mail Merge'!$D63,0)</f>
        <v>11206.502608695651</v>
      </c>
      <c r="M63" s="201">
        <v>0</v>
      </c>
      <c r="N63" s="201" t="s">
        <v>239</v>
      </c>
      <c r="O63" s="201">
        <v>971502.28</v>
      </c>
      <c r="P63" s="201">
        <v>5163.8500000000004</v>
      </c>
      <c r="Q63" s="201">
        <f>'Mail Merge'!$O63+'Mail Merge'!$P63</f>
        <v>976666.13</v>
      </c>
      <c r="R63" s="201"/>
      <c r="S63" s="201"/>
      <c r="T63" s="201"/>
      <c r="U63" s="201">
        <f>IF(AND('Mail Merge'!$I63="Did Not Meet",'Mail Merge'!$N63="Did Not Meet"),MIN(ABS('Mail Merge'!$H63),ABS('Mail Merge'!$M63),'Mail Merge'!$Q63),0)</f>
        <v>0</v>
      </c>
      <c r="V63" s="201" t="str">
        <f>IF(OR(IFERROR(SEARCH("Met",'Mail Merge'!$N63),0)&gt;0,IFERROR(SEARCH("Met",'Mail Merge'!$I63),0)&gt;0),"Met","Not Met")</f>
        <v>Met</v>
      </c>
    </row>
    <row r="64" spans="1:22" x14ac:dyDescent="0.35">
      <c r="A64" s="198" t="s">
        <v>84</v>
      </c>
      <c r="B64" s="199">
        <v>2248</v>
      </c>
      <c r="C64" s="199" t="s">
        <v>57</v>
      </c>
      <c r="D64" s="199">
        <v>11</v>
      </c>
      <c r="E64" s="199">
        <v>46334.07</v>
      </c>
      <c r="F64" s="199">
        <v>29048</v>
      </c>
      <c r="G64" s="199">
        <f>'Mail Merge'!$E64+'Mail Merge'!$F64</f>
        <v>75382.070000000007</v>
      </c>
      <c r="H64" s="199">
        <v>0</v>
      </c>
      <c r="I64" s="199" t="s">
        <v>239</v>
      </c>
      <c r="J64" s="199">
        <f>IFERROR('Mail Merge'!$E64/'Mail Merge'!$D64,0)</f>
        <v>4212.1881818181819</v>
      </c>
      <c r="K64" s="199">
        <f>IFERROR('Mail Merge'!$F64/'Mail Merge'!$D64,0)</f>
        <v>2640.7272727272725</v>
      </c>
      <c r="L64" s="199">
        <f>IFERROR('Mail Merge'!$G64/'Mail Merge'!$D64,0)</f>
        <v>6852.9154545454548</v>
      </c>
      <c r="M64" s="199">
        <v>0</v>
      </c>
      <c r="N64" s="199" t="s">
        <v>239</v>
      </c>
      <c r="O64" s="199">
        <v>16848.66</v>
      </c>
      <c r="P64" s="199">
        <v>14.23</v>
      </c>
      <c r="Q64" s="199">
        <f>'Mail Merge'!$O64+'Mail Merge'!$P64</f>
        <v>16862.89</v>
      </c>
      <c r="R64" s="199"/>
      <c r="S64" s="199"/>
      <c r="T64" s="199"/>
      <c r="U64" s="199">
        <f>IF(AND('Mail Merge'!$I64="Did Not Meet",'Mail Merge'!$N64="Did Not Meet"),MIN(ABS('Mail Merge'!$H64),ABS('Mail Merge'!$M64),'Mail Merge'!$Q64),0)</f>
        <v>0</v>
      </c>
      <c r="V64" s="199" t="str">
        <f>IF(OR(IFERROR(SEARCH("Met",'Mail Merge'!$N64),0)&gt;0,IFERROR(SEARCH("Met",'Mail Merge'!$I64),0)&gt;0),"Met","Not Met")</f>
        <v>Met</v>
      </c>
    </row>
    <row r="65" spans="1:22" x14ac:dyDescent="0.35">
      <c r="A65" s="200" t="s">
        <v>85</v>
      </c>
      <c r="B65" s="201">
        <v>2020</v>
      </c>
      <c r="C65" s="201" t="s">
        <v>57</v>
      </c>
      <c r="D65" s="201">
        <v>2</v>
      </c>
      <c r="E65" s="201">
        <v>8450</v>
      </c>
      <c r="F65" s="201">
        <v>1878</v>
      </c>
      <c r="G65" s="201">
        <f>'Mail Merge'!$E65+'Mail Merge'!$F65</f>
        <v>10328</v>
      </c>
      <c r="H65" s="201">
        <v>0</v>
      </c>
      <c r="I65" s="201" t="s">
        <v>239</v>
      </c>
      <c r="J65" s="201">
        <f>IFERROR('Mail Merge'!$E65/'Mail Merge'!$D65,0)</f>
        <v>4225</v>
      </c>
      <c r="K65" s="201">
        <f>IFERROR('Mail Merge'!$F65/'Mail Merge'!$D65,0)</f>
        <v>939</v>
      </c>
      <c r="L65" s="201">
        <f>IFERROR('Mail Merge'!$G65/'Mail Merge'!$D65,0)</f>
        <v>5164</v>
      </c>
      <c r="M65" s="201">
        <v>0</v>
      </c>
      <c r="N65" s="201" t="s">
        <v>239</v>
      </c>
      <c r="O65" s="201">
        <v>710.15</v>
      </c>
      <c r="P65" s="201">
        <v>1.36</v>
      </c>
      <c r="Q65" s="201">
        <f>'Mail Merge'!$O65+'Mail Merge'!$P65</f>
        <v>711.51</v>
      </c>
      <c r="R65" s="201"/>
      <c r="S65" s="201"/>
      <c r="T65" s="201"/>
      <c r="U65" s="201">
        <f>IF(AND('Mail Merge'!$I65="Did Not Meet",'Mail Merge'!$N65="Did Not Meet"),MIN(ABS('Mail Merge'!$H65),ABS('Mail Merge'!$M65),'Mail Merge'!$Q65),0)</f>
        <v>0</v>
      </c>
      <c r="V65" s="201" t="str">
        <f>IF(OR(IFERROR(SEARCH("Met",'Mail Merge'!$N65),0)&gt;0,IFERROR(SEARCH("Met",'Mail Merge'!$I65),0)&gt;0),"Met","Not Met")</f>
        <v>Met</v>
      </c>
    </row>
    <row r="66" spans="1:22" x14ac:dyDescent="0.35">
      <c r="A66" s="198" t="s">
        <v>86</v>
      </c>
      <c r="B66" s="199">
        <v>2245</v>
      </c>
      <c r="C66" s="199" t="s">
        <v>57</v>
      </c>
      <c r="D66" s="199">
        <v>71</v>
      </c>
      <c r="E66" s="199">
        <v>758723.72</v>
      </c>
      <c r="F66" s="199">
        <v>102661</v>
      </c>
      <c r="G66" s="199">
        <f>'Mail Merge'!$E66+'Mail Merge'!$F66</f>
        <v>861384.72</v>
      </c>
      <c r="H66" s="199">
        <v>0</v>
      </c>
      <c r="I66" s="199" t="s">
        <v>239</v>
      </c>
      <c r="J66" s="199">
        <f>IFERROR('Mail Merge'!$E66/'Mail Merge'!$D66,0)</f>
        <v>10686.249577464789</v>
      </c>
      <c r="K66" s="199">
        <f>IFERROR('Mail Merge'!$F66/'Mail Merge'!$D66,0)</f>
        <v>1445.9295774647887</v>
      </c>
      <c r="L66" s="199">
        <f>IFERROR('Mail Merge'!$G66/'Mail Merge'!$D66,0)</f>
        <v>12132.179154929578</v>
      </c>
      <c r="M66" s="199">
        <v>0</v>
      </c>
      <c r="N66" s="199" t="s">
        <v>239</v>
      </c>
      <c r="O66" s="199">
        <v>92056.03</v>
      </c>
      <c r="P66" s="199">
        <v>551.48</v>
      </c>
      <c r="Q66" s="199">
        <f>'Mail Merge'!$O66+'Mail Merge'!$P66</f>
        <v>92607.51</v>
      </c>
      <c r="R66" s="199"/>
      <c r="S66" s="199"/>
      <c r="T66" s="199"/>
      <c r="U66" s="199">
        <f>IF(AND('Mail Merge'!$I66="Did Not Meet",'Mail Merge'!$N66="Did Not Meet"),MIN(ABS('Mail Merge'!$H66),ABS('Mail Merge'!$M66),'Mail Merge'!$Q66),0)</f>
        <v>0</v>
      </c>
      <c r="V66" s="199" t="str">
        <f>IF(OR(IFERROR(SEARCH("Met",'Mail Merge'!$N66),0)&gt;0,IFERROR(SEARCH("Met",'Mail Merge'!$I66),0)&gt;0),"Met","Not Met")</f>
        <v>Met</v>
      </c>
    </row>
    <row r="67" spans="1:22" x14ac:dyDescent="0.35">
      <c r="A67" s="200" t="s">
        <v>87</v>
      </c>
      <c r="B67" s="201">
        <v>2137</v>
      </c>
      <c r="C67" s="201" t="s">
        <v>57</v>
      </c>
      <c r="D67" s="201">
        <v>164</v>
      </c>
      <c r="E67" s="201">
        <v>1215408.29</v>
      </c>
      <c r="F67" s="201">
        <v>147137.22</v>
      </c>
      <c r="G67" s="201">
        <f>'Mail Merge'!$E67+'Mail Merge'!$F67</f>
        <v>1362545.51</v>
      </c>
      <c r="H67" s="201">
        <v>0</v>
      </c>
      <c r="I67" s="201" t="s">
        <v>239</v>
      </c>
      <c r="J67" s="201">
        <f>IFERROR('Mail Merge'!$E67/'Mail Merge'!$D67,0)</f>
        <v>7411.0261585365852</v>
      </c>
      <c r="K67" s="201">
        <f>IFERROR('Mail Merge'!$F67/'Mail Merge'!$D67,0)</f>
        <v>897.17817073170727</v>
      </c>
      <c r="L67" s="201">
        <f>IFERROR('Mail Merge'!$G67/'Mail Merge'!$D67,0)</f>
        <v>8308.204329268292</v>
      </c>
      <c r="M67" s="201">
        <v>0</v>
      </c>
      <c r="N67" s="201" t="s">
        <v>239</v>
      </c>
      <c r="O67" s="201">
        <v>224082.92</v>
      </c>
      <c r="P67" s="201">
        <v>973.16</v>
      </c>
      <c r="Q67" s="201">
        <f>'Mail Merge'!$O67+'Mail Merge'!$P67</f>
        <v>225056.08000000002</v>
      </c>
      <c r="R67" s="201"/>
      <c r="S67" s="201"/>
      <c r="T67" s="201"/>
      <c r="U67" s="201">
        <f>IF(AND('Mail Merge'!$I67="Did Not Meet",'Mail Merge'!$N67="Did Not Meet"),MIN(ABS('Mail Merge'!$H67),ABS('Mail Merge'!$M67),'Mail Merge'!$Q67),0)</f>
        <v>0</v>
      </c>
      <c r="V67" s="201" t="str">
        <f>IF(OR(IFERROR(SEARCH("Met",'Mail Merge'!$N67),0)&gt;0,IFERROR(SEARCH("Met",'Mail Merge'!$I67),0)&gt;0),"Met","Not Met")</f>
        <v>Met</v>
      </c>
    </row>
    <row r="68" spans="1:22" x14ac:dyDescent="0.35">
      <c r="A68" s="198" t="s">
        <v>88</v>
      </c>
      <c r="B68" s="199">
        <v>1931</v>
      </c>
      <c r="C68" s="199" t="s">
        <v>57</v>
      </c>
      <c r="D68" s="199">
        <v>281</v>
      </c>
      <c r="E68" s="199">
        <v>2023495.56</v>
      </c>
      <c r="F68" s="199">
        <v>298511</v>
      </c>
      <c r="G68" s="199">
        <f>'Mail Merge'!$E68+'Mail Merge'!$F68</f>
        <v>2322006.56</v>
      </c>
      <c r="H68" s="199">
        <v>0</v>
      </c>
      <c r="I68" s="199" t="s">
        <v>239</v>
      </c>
      <c r="J68" s="199">
        <f>IFERROR('Mail Merge'!$E68/'Mail Merge'!$D68,0)</f>
        <v>7201.0518149466197</v>
      </c>
      <c r="K68" s="199">
        <f>IFERROR('Mail Merge'!$F68/'Mail Merge'!$D68,0)</f>
        <v>1062.3167259786476</v>
      </c>
      <c r="L68" s="199">
        <f>IFERROR('Mail Merge'!$G68/'Mail Merge'!$D68,0)</f>
        <v>8263.3685409252666</v>
      </c>
      <c r="M68" s="199">
        <v>0</v>
      </c>
      <c r="N68" s="199" t="s">
        <v>239</v>
      </c>
      <c r="O68" s="199">
        <v>391705.03</v>
      </c>
      <c r="P68" s="199">
        <v>1404.42</v>
      </c>
      <c r="Q68" s="199">
        <f>'Mail Merge'!$O68+'Mail Merge'!$P68</f>
        <v>393109.45</v>
      </c>
      <c r="R68" s="199"/>
      <c r="S68" s="199"/>
      <c r="T68" s="199"/>
      <c r="U68" s="199">
        <f>IF(AND('Mail Merge'!$I68="Did Not Meet",'Mail Merge'!$N68="Did Not Meet"),MIN(ABS('Mail Merge'!$H68),ABS('Mail Merge'!$M68),'Mail Merge'!$Q68),0)</f>
        <v>0</v>
      </c>
      <c r="V68" s="199" t="str">
        <f>IF(OR(IFERROR(SEARCH("Met",'Mail Merge'!$N68),0)&gt;0,IFERROR(SEARCH("Met",'Mail Merge'!$I68),0)&gt;0),"Met","Not Met")</f>
        <v>Met</v>
      </c>
    </row>
    <row r="69" spans="1:22" x14ac:dyDescent="0.35">
      <c r="A69" s="200" t="s">
        <v>89</v>
      </c>
      <c r="B69" s="201">
        <v>2000</v>
      </c>
      <c r="C69" s="201" t="s">
        <v>57</v>
      </c>
      <c r="D69" s="201">
        <v>52</v>
      </c>
      <c r="E69" s="201">
        <v>406792.8</v>
      </c>
      <c r="F69" s="201">
        <v>91998.88</v>
      </c>
      <c r="G69" s="201">
        <f>'Mail Merge'!$E69+'Mail Merge'!$F69</f>
        <v>498791.67999999999</v>
      </c>
      <c r="H69" s="201">
        <v>0</v>
      </c>
      <c r="I69" s="201" t="s">
        <v>239</v>
      </c>
      <c r="J69" s="201">
        <f>IFERROR('Mail Merge'!$E69/'Mail Merge'!$D69,0)</f>
        <v>7822.9384615384615</v>
      </c>
      <c r="K69" s="201">
        <f>IFERROR('Mail Merge'!$F69/'Mail Merge'!$D69,0)</f>
        <v>1769.2092307692308</v>
      </c>
      <c r="L69" s="201">
        <f>IFERROR('Mail Merge'!$G69/'Mail Merge'!$D69,0)</f>
        <v>9592.1476923076916</v>
      </c>
      <c r="M69" s="201">
        <v>0</v>
      </c>
      <c r="N69" s="201" t="s">
        <v>239</v>
      </c>
      <c r="O69" s="201">
        <v>71813.63</v>
      </c>
      <c r="P69" s="201">
        <v>269.55</v>
      </c>
      <c r="Q69" s="201">
        <f>'Mail Merge'!$O69+'Mail Merge'!$P69</f>
        <v>72083.180000000008</v>
      </c>
      <c r="R69" s="201"/>
      <c r="S69" s="201"/>
      <c r="T69" s="201"/>
      <c r="U69" s="201">
        <f>IF(AND('Mail Merge'!$I69="Did Not Meet",'Mail Merge'!$N69="Did Not Meet"),MIN(ABS('Mail Merge'!$H69),ABS('Mail Merge'!$M69),'Mail Merge'!$Q69),0)</f>
        <v>0</v>
      </c>
      <c r="V69" s="201" t="str">
        <f>IF(OR(IFERROR(SEARCH("Met",'Mail Merge'!$N69),0)&gt;0,IFERROR(SEARCH("Met",'Mail Merge'!$I69),0)&gt;0),"Met","Not Met")</f>
        <v>Met</v>
      </c>
    </row>
    <row r="70" spans="1:22" x14ac:dyDescent="0.35">
      <c r="A70" s="198" t="s">
        <v>90</v>
      </c>
      <c r="B70" s="199">
        <v>1992</v>
      </c>
      <c r="C70" s="199" t="s">
        <v>57</v>
      </c>
      <c r="D70" s="199">
        <v>85</v>
      </c>
      <c r="E70" s="199">
        <v>570670.84</v>
      </c>
      <c r="F70" s="199">
        <v>179444.54</v>
      </c>
      <c r="G70" s="199">
        <f>'Mail Merge'!$E70+'Mail Merge'!$F70</f>
        <v>750115.38</v>
      </c>
      <c r="H70" s="199">
        <v>0</v>
      </c>
      <c r="I70" s="199" t="s">
        <v>239</v>
      </c>
      <c r="J70" s="199">
        <f>IFERROR('Mail Merge'!$E70/'Mail Merge'!$D70,0)</f>
        <v>6713.7745882352938</v>
      </c>
      <c r="K70" s="199">
        <f>IFERROR('Mail Merge'!$F70/'Mail Merge'!$D70,0)</f>
        <v>2111.1122352941179</v>
      </c>
      <c r="L70" s="199">
        <f>IFERROR('Mail Merge'!$G70/'Mail Merge'!$D70,0)</f>
        <v>8824.8868235294121</v>
      </c>
      <c r="M70" s="199">
        <v>0</v>
      </c>
      <c r="N70" s="199" t="s">
        <v>239</v>
      </c>
      <c r="O70" s="199">
        <v>153558.46</v>
      </c>
      <c r="P70" s="199">
        <v>0</v>
      </c>
      <c r="Q70" s="199">
        <f>'Mail Merge'!$O70+'Mail Merge'!$P70</f>
        <v>153558.46</v>
      </c>
      <c r="R70" s="199"/>
      <c r="S70" s="199"/>
      <c r="T70" s="199"/>
      <c r="U70" s="199">
        <f>IF(AND('Mail Merge'!$I70="Did Not Meet",'Mail Merge'!$N70="Did Not Meet"),MIN(ABS('Mail Merge'!$H70),ABS('Mail Merge'!$M70),'Mail Merge'!$Q70),0)</f>
        <v>0</v>
      </c>
      <c r="V70" s="199" t="str">
        <f>IF(OR(IFERROR(SEARCH("Met",'Mail Merge'!$N70),0)&gt;0,IFERROR(SEARCH("Met",'Mail Merge'!$I70),0)&gt;0),"Met","Not Met")</f>
        <v>Met</v>
      </c>
    </row>
    <row r="71" spans="1:22" x14ac:dyDescent="0.35">
      <c r="A71" s="200" t="s">
        <v>91</v>
      </c>
      <c r="B71" s="201">
        <v>2054</v>
      </c>
      <c r="C71" s="201" t="s">
        <v>57</v>
      </c>
      <c r="D71" s="201">
        <v>584</v>
      </c>
      <c r="E71" s="201">
        <v>3406458.05</v>
      </c>
      <c r="F71" s="201">
        <v>158764.81</v>
      </c>
      <c r="G71" s="201">
        <f>'Mail Merge'!$E71+'Mail Merge'!$F71</f>
        <v>3565222.86</v>
      </c>
      <c r="H71" s="201">
        <v>0</v>
      </c>
      <c r="I71" s="201" t="s">
        <v>239</v>
      </c>
      <c r="J71" s="201">
        <f>IFERROR('Mail Merge'!$E71/'Mail Merge'!$D71,0)</f>
        <v>5832.9761130136985</v>
      </c>
      <c r="K71" s="201">
        <f>IFERROR('Mail Merge'!$F71/'Mail Merge'!$D71,0)</f>
        <v>271.85755136986302</v>
      </c>
      <c r="L71" s="201">
        <f>IFERROR('Mail Merge'!$G71/'Mail Merge'!$D71,0)</f>
        <v>6104.833664383561</v>
      </c>
      <c r="M71" s="201">
        <v>0</v>
      </c>
      <c r="N71" s="201" t="s">
        <v>239</v>
      </c>
      <c r="O71" s="201">
        <v>822256.31</v>
      </c>
      <c r="P71" s="201">
        <v>5906.58</v>
      </c>
      <c r="Q71" s="201">
        <f>'Mail Merge'!$O71+'Mail Merge'!$P71</f>
        <v>828162.89</v>
      </c>
      <c r="R71" s="201"/>
      <c r="S71" s="201"/>
      <c r="T71" s="201"/>
      <c r="U71" s="201">
        <f>IF(AND('Mail Merge'!$I71="Did Not Meet",'Mail Merge'!$N71="Did Not Meet"),MIN(ABS('Mail Merge'!$H71),ABS('Mail Merge'!$M71),'Mail Merge'!$Q71),0)</f>
        <v>0</v>
      </c>
      <c r="V71" s="201" t="str">
        <f>IF(OR(IFERROR(SEARCH("Met",'Mail Merge'!$N71),0)&gt;0,IFERROR(SEARCH("Met",'Mail Merge'!$I71),0)&gt;0),"Met","Not Met")</f>
        <v>Met</v>
      </c>
    </row>
    <row r="72" spans="1:22" x14ac:dyDescent="0.35">
      <c r="A72" s="198" t="s">
        <v>92</v>
      </c>
      <c r="B72" s="199">
        <v>2100</v>
      </c>
      <c r="C72" s="199" t="s">
        <v>57</v>
      </c>
      <c r="D72" s="199">
        <v>1135</v>
      </c>
      <c r="E72" s="199">
        <v>10076179.27</v>
      </c>
      <c r="F72" s="199">
        <v>816393</v>
      </c>
      <c r="G72" s="199">
        <f>'Mail Merge'!$E72+'Mail Merge'!$F72</f>
        <v>10892572.27</v>
      </c>
      <c r="H72" s="199">
        <v>0</v>
      </c>
      <c r="I72" s="199" t="s">
        <v>239</v>
      </c>
      <c r="J72" s="199">
        <f>IFERROR('Mail Merge'!$E72/'Mail Merge'!$D72,0)</f>
        <v>8877.6909867841405</v>
      </c>
      <c r="K72" s="199">
        <f>IFERROR('Mail Merge'!$F72/'Mail Merge'!$D72,0)</f>
        <v>719.288986784141</v>
      </c>
      <c r="L72" s="199">
        <f>IFERROR('Mail Merge'!$G72/'Mail Merge'!$D72,0)</f>
        <v>9596.9799735682809</v>
      </c>
      <c r="M72" s="199">
        <v>0</v>
      </c>
      <c r="N72" s="199" t="s">
        <v>239</v>
      </c>
      <c r="O72" s="199">
        <v>1527254.82</v>
      </c>
      <c r="P72" s="199">
        <v>11881.74</v>
      </c>
      <c r="Q72" s="199">
        <f>'Mail Merge'!$O72+'Mail Merge'!$P72</f>
        <v>1539136.56</v>
      </c>
      <c r="R72" s="199"/>
      <c r="S72" s="199"/>
      <c r="T72" s="199"/>
      <c r="U72" s="199">
        <f>IF(AND('Mail Merge'!$I72="Did Not Meet",'Mail Merge'!$N72="Did Not Meet"),MIN(ABS('Mail Merge'!$H72),ABS('Mail Merge'!$M72),'Mail Merge'!$Q72),0)</f>
        <v>0</v>
      </c>
      <c r="V72" s="199" t="str">
        <f>IF(OR(IFERROR(SEARCH("Met",'Mail Merge'!$N72),0)&gt;0,IFERROR(SEARCH("Met",'Mail Merge'!$I72),0)&gt;0),"Met","Not Met")</f>
        <v>Met</v>
      </c>
    </row>
    <row r="73" spans="1:22" x14ac:dyDescent="0.35">
      <c r="A73" s="200" t="s">
        <v>93</v>
      </c>
      <c r="B73" s="201">
        <v>2183</v>
      </c>
      <c r="C73" s="201" t="s">
        <v>57</v>
      </c>
      <c r="D73" s="201">
        <v>1309</v>
      </c>
      <c r="E73" s="201">
        <v>10306258.4</v>
      </c>
      <c r="F73" s="201">
        <v>1658912</v>
      </c>
      <c r="G73" s="201">
        <f>'Mail Merge'!$E73+'Mail Merge'!$F73</f>
        <v>11965170.4</v>
      </c>
      <c r="H73" s="201">
        <v>0</v>
      </c>
      <c r="I73" s="201" t="s">
        <v>239</v>
      </c>
      <c r="J73" s="201">
        <f>IFERROR('Mail Merge'!$E73/'Mail Merge'!$D73,0)</f>
        <v>7873.3830404889231</v>
      </c>
      <c r="K73" s="201">
        <f>IFERROR('Mail Merge'!$F73/'Mail Merge'!$D73,0)</f>
        <v>1267.3124522536286</v>
      </c>
      <c r="L73" s="201">
        <f>IFERROR('Mail Merge'!$G73/'Mail Merge'!$D73,0)</f>
        <v>9140.6954927425522</v>
      </c>
      <c r="M73" s="201">
        <v>0</v>
      </c>
      <c r="N73" s="201" t="s">
        <v>239</v>
      </c>
      <c r="O73" s="201">
        <v>2163160.31</v>
      </c>
      <c r="P73" s="201">
        <v>11157.74</v>
      </c>
      <c r="Q73" s="201">
        <f>'Mail Merge'!$O73+'Mail Merge'!$P73</f>
        <v>2174318.0500000003</v>
      </c>
      <c r="R73" s="201"/>
      <c r="S73" s="201"/>
      <c r="T73" s="201"/>
      <c r="U73" s="201">
        <f>IF(AND('Mail Merge'!$I73="Did Not Meet",'Mail Merge'!$N73="Did Not Meet"),MIN(ABS('Mail Merge'!$H73),ABS('Mail Merge'!$M73),'Mail Merge'!$Q73),0)</f>
        <v>0</v>
      </c>
      <c r="V73" s="201" t="str">
        <f>IF(OR(IFERROR(SEARCH("Met",'Mail Merge'!$N73),0)&gt;0,IFERROR(SEARCH("Met",'Mail Merge'!$I73),0)&gt;0),"Met","Not Met")</f>
        <v>Met</v>
      </c>
    </row>
    <row r="74" spans="1:22" x14ac:dyDescent="0.35">
      <c r="A74" s="198" t="s">
        <v>94</v>
      </c>
      <c r="B74" s="199">
        <v>2014</v>
      </c>
      <c r="C74" s="199" t="s">
        <v>57</v>
      </c>
      <c r="D74" s="199">
        <v>166</v>
      </c>
      <c r="E74" s="199">
        <v>1342830.72</v>
      </c>
      <c r="F74" s="199">
        <v>157348</v>
      </c>
      <c r="G74" s="199">
        <f>'Mail Merge'!$E74+'Mail Merge'!$F74</f>
        <v>1500178.72</v>
      </c>
      <c r="H74" s="199">
        <v>0</v>
      </c>
      <c r="I74" s="199" t="s">
        <v>239</v>
      </c>
      <c r="J74" s="199">
        <f>IFERROR('Mail Merge'!$E74/'Mail Merge'!$D74,0)</f>
        <v>8089.3416867469878</v>
      </c>
      <c r="K74" s="199">
        <f>IFERROR('Mail Merge'!$F74/'Mail Merge'!$D74,0)</f>
        <v>947.8795180722891</v>
      </c>
      <c r="L74" s="199">
        <f>IFERROR('Mail Merge'!$G74/'Mail Merge'!$D74,0)</f>
        <v>9037.2212048192778</v>
      </c>
      <c r="M74" s="199">
        <v>0</v>
      </c>
      <c r="N74" s="199" t="s">
        <v>239</v>
      </c>
      <c r="O74" s="199">
        <v>204559.52</v>
      </c>
      <c r="P74" s="199">
        <v>2725.93</v>
      </c>
      <c r="Q74" s="199">
        <f>'Mail Merge'!$O74+'Mail Merge'!$P74</f>
        <v>207285.44999999998</v>
      </c>
      <c r="R74" s="199"/>
      <c r="S74" s="199"/>
      <c r="T74" s="199"/>
      <c r="U74" s="199">
        <f>IF(AND('Mail Merge'!$I74="Did Not Meet",'Mail Merge'!$N74="Did Not Meet"),MIN(ABS('Mail Merge'!$H74),ABS('Mail Merge'!$M74),'Mail Merge'!$Q74),0)</f>
        <v>0</v>
      </c>
      <c r="V74" s="199" t="str">
        <f>IF(OR(IFERROR(SEARCH("Met",'Mail Merge'!$N74),0)&gt;0,IFERROR(SEARCH("Met",'Mail Merge'!$I74),0)&gt;0),"Met","Not Met")</f>
        <v>Met</v>
      </c>
    </row>
    <row r="75" spans="1:22" x14ac:dyDescent="0.35">
      <c r="A75" s="200" t="s">
        <v>95</v>
      </c>
      <c r="B75" s="201">
        <v>2015</v>
      </c>
      <c r="C75" s="201" t="s">
        <v>57</v>
      </c>
      <c r="D75" s="201">
        <v>10</v>
      </c>
      <c r="E75" s="201">
        <v>38732.949999999997</v>
      </c>
      <c r="F75" s="201">
        <v>4454</v>
      </c>
      <c r="G75" s="201">
        <f>'Mail Merge'!$E75+'Mail Merge'!$F75</f>
        <v>43186.95</v>
      </c>
      <c r="H75" s="201">
        <v>0</v>
      </c>
      <c r="I75" s="201" t="s">
        <v>239</v>
      </c>
      <c r="J75" s="201">
        <f>IFERROR('Mail Merge'!$E75/'Mail Merge'!$D75,0)</f>
        <v>3873.2949999999996</v>
      </c>
      <c r="K75" s="201">
        <f>IFERROR('Mail Merge'!$F75/'Mail Merge'!$D75,0)</f>
        <v>445.4</v>
      </c>
      <c r="L75" s="201">
        <f>IFERROR('Mail Merge'!$G75/'Mail Merge'!$D75,0)</f>
        <v>4318.6949999999997</v>
      </c>
      <c r="M75" s="201">
        <v>0</v>
      </c>
      <c r="N75" s="201" t="s">
        <v>239</v>
      </c>
      <c r="O75" s="201">
        <v>14668.13</v>
      </c>
      <c r="P75" s="201">
        <v>0</v>
      </c>
      <c r="Q75" s="201">
        <f>'Mail Merge'!$O75+'Mail Merge'!$P75</f>
        <v>14668.13</v>
      </c>
      <c r="R75" s="201"/>
      <c r="S75" s="201"/>
      <c r="T75" s="201"/>
      <c r="U75" s="201">
        <f>IF(AND('Mail Merge'!$I75="Did Not Meet",'Mail Merge'!$N75="Did Not Meet"),MIN(ABS('Mail Merge'!$H75),ABS('Mail Merge'!$M75),'Mail Merge'!$Q75),0)</f>
        <v>0</v>
      </c>
      <c r="V75" s="201" t="str">
        <f>IF(OR(IFERROR(SEARCH("Met",'Mail Merge'!$N75),0)&gt;0,IFERROR(SEARCH("Met",'Mail Merge'!$I75),0)&gt;0),"Met","Not Met")</f>
        <v>Met</v>
      </c>
    </row>
    <row r="76" spans="1:22" x14ac:dyDescent="0.35">
      <c r="A76" s="198" t="s">
        <v>96</v>
      </c>
      <c r="B76" s="199">
        <v>2023</v>
      </c>
      <c r="C76" s="199" t="s">
        <v>57</v>
      </c>
      <c r="D76" s="199">
        <v>9</v>
      </c>
      <c r="E76" s="199">
        <v>35680.400000000001</v>
      </c>
      <c r="F76" s="199">
        <v>17417</v>
      </c>
      <c r="G76" s="199">
        <f>'Mail Merge'!$E76+'Mail Merge'!$F76</f>
        <v>53097.4</v>
      </c>
      <c r="H76" s="199">
        <v>0</v>
      </c>
      <c r="I76" s="199" t="s">
        <v>239</v>
      </c>
      <c r="J76" s="199">
        <f>IFERROR('Mail Merge'!$E76/'Mail Merge'!$D76,0)</f>
        <v>3964.4888888888891</v>
      </c>
      <c r="K76" s="199">
        <f>IFERROR('Mail Merge'!$F76/'Mail Merge'!$D76,0)</f>
        <v>1935.2222222222222</v>
      </c>
      <c r="L76" s="199">
        <f>IFERROR('Mail Merge'!$G76/'Mail Merge'!$D76,0)</f>
        <v>5899.7111111111117</v>
      </c>
      <c r="M76" s="199">
        <v>0</v>
      </c>
      <c r="N76" s="199" t="s">
        <v>239</v>
      </c>
      <c r="O76" s="199">
        <v>17783.060000000001</v>
      </c>
      <c r="P76" s="199">
        <v>0</v>
      </c>
      <c r="Q76" s="199">
        <f>'Mail Merge'!$O76+'Mail Merge'!$P76</f>
        <v>17783.060000000001</v>
      </c>
      <c r="R76" s="199"/>
      <c r="S76" s="199"/>
      <c r="T76" s="199"/>
      <c r="U76" s="199">
        <f>IF(AND('Mail Merge'!$I76="Did Not Meet",'Mail Merge'!$N76="Did Not Meet"),MIN(ABS('Mail Merge'!$H76),ABS('Mail Merge'!$M76),'Mail Merge'!$Q76),0)</f>
        <v>0</v>
      </c>
      <c r="V76" s="199" t="str">
        <f>IF(OR(IFERROR(SEARCH("Met",'Mail Merge'!$N76),0)&gt;0,IFERROR(SEARCH("Met",'Mail Merge'!$I76),0)&gt;0),"Met","Not Met")</f>
        <v>Met</v>
      </c>
    </row>
    <row r="77" spans="1:22" x14ac:dyDescent="0.35">
      <c r="A77" s="200" t="s">
        <v>97</v>
      </c>
      <c r="B77" s="201">
        <v>2114</v>
      </c>
      <c r="C77" s="201" t="s">
        <v>57</v>
      </c>
      <c r="D77" s="201">
        <v>4</v>
      </c>
      <c r="E77" s="201">
        <v>18671.87</v>
      </c>
      <c r="F77" s="201">
        <v>17140.59</v>
      </c>
      <c r="G77" s="201">
        <f>'Mail Merge'!$E77+'Mail Merge'!$F77</f>
        <v>35812.46</v>
      </c>
      <c r="H77" s="201">
        <v>0</v>
      </c>
      <c r="I77" s="201" t="s">
        <v>239</v>
      </c>
      <c r="J77" s="201">
        <f>IFERROR('Mail Merge'!$E77/'Mail Merge'!$D77,0)</f>
        <v>4667.9674999999997</v>
      </c>
      <c r="K77" s="201">
        <f>IFERROR('Mail Merge'!$F77/'Mail Merge'!$D77,0)</f>
        <v>4285.1475</v>
      </c>
      <c r="L77" s="201">
        <f>IFERROR('Mail Merge'!$G77/'Mail Merge'!$D77,0)</f>
        <v>8953.1149999999998</v>
      </c>
      <c r="M77" s="201">
        <v>0</v>
      </c>
      <c r="N77" s="201" t="s">
        <v>239</v>
      </c>
      <c r="O77" s="201">
        <v>11944.97</v>
      </c>
      <c r="P77" s="201">
        <v>979.08</v>
      </c>
      <c r="Q77" s="201">
        <f>'Mail Merge'!$O77+'Mail Merge'!$P77</f>
        <v>12924.05</v>
      </c>
      <c r="R77" s="201"/>
      <c r="S77" s="201"/>
      <c r="T77" s="201"/>
      <c r="U77" s="201">
        <f>IF(AND('Mail Merge'!$I77="Did Not Meet",'Mail Merge'!$N77="Did Not Meet"),MIN(ABS('Mail Merge'!$H77),ABS('Mail Merge'!$M77),'Mail Merge'!$Q77),0)</f>
        <v>0</v>
      </c>
      <c r="V77" s="201" t="str">
        <f>IF(OR(IFERROR(SEARCH("Met",'Mail Merge'!$N77),0)&gt;0,IFERROR(SEARCH("Met",'Mail Merge'!$I77),0)&gt;0),"Met","Not Met")</f>
        <v>Met</v>
      </c>
    </row>
    <row r="78" spans="1:22" x14ac:dyDescent="0.35">
      <c r="A78" s="198" t="s">
        <v>98</v>
      </c>
      <c r="B78" s="199">
        <v>2099</v>
      </c>
      <c r="C78" s="199" t="s">
        <v>57</v>
      </c>
      <c r="D78" s="199">
        <v>133</v>
      </c>
      <c r="E78" s="199">
        <v>872960.04</v>
      </c>
      <c r="F78" s="199">
        <v>81685</v>
      </c>
      <c r="G78" s="199">
        <f>'Mail Merge'!$E78+'Mail Merge'!$F78</f>
        <v>954645.04</v>
      </c>
      <c r="H78" s="199">
        <v>0</v>
      </c>
      <c r="I78" s="199" t="s">
        <v>239</v>
      </c>
      <c r="J78" s="199">
        <f>IFERROR('Mail Merge'!$E78/'Mail Merge'!$D78,0)</f>
        <v>6563.6093233082711</v>
      </c>
      <c r="K78" s="199">
        <f>IFERROR('Mail Merge'!$F78/'Mail Merge'!$D78,0)</f>
        <v>614.17293233082705</v>
      </c>
      <c r="L78" s="199">
        <f>IFERROR('Mail Merge'!$G78/'Mail Merge'!$D78,0)</f>
        <v>7177.7822556390984</v>
      </c>
      <c r="M78" s="199">
        <v>0</v>
      </c>
      <c r="N78" s="199" t="s">
        <v>239</v>
      </c>
      <c r="O78" s="199">
        <v>138320.78</v>
      </c>
      <c r="P78" s="199">
        <v>374.41</v>
      </c>
      <c r="Q78" s="199">
        <f>'Mail Merge'!$O78+'Mail Merge'!$P78</f>
        <v>138695.19</v>
      </c>
      <c r="R78" s="199"/>
      <c r="S78" s="199"/>
      <c r="T78" s="199"/>
      <c r="U78" s="199">
        <f>IF(AND('Mail Merge'!$I78="Did Not Meet",'Mail Merge'!$N78="Did Not Meet"),MIN(ABS('Mail Merge'!$H78),ABS('Mail Merge'!$M78),'Mail Merge'!$Q78),0)</f>
        <v>0</v>
      </c>
      <c r="V78" s="199" t="str">
        <f>IF(OR(IFERROR(SEARCH("Met",'Mail Merge'!$N78),0)&gt;0,IFERROR(SEARCH("Met",'Mail Merge'!$I78),0)&gt;0),"Met","Not Met")</f>
        <v>Met</v>
      </c>
    </row>
    <row r="79" spans="1:22" x14ac:dyDescent="0.35">
      <c r="A79" s="200" t="s">
        <v>99</v>
      </c>
      <c r="B79" s="201">
        <v>2201</v>
      </c>
      <c r="C79" s="201" t="s">
        <v>57</v>
      </c>
      <c r="D79" s="201">
        <v>12</v>
      </c>
      <c r="E79" s="201">
        <v>58449.78</v>
      </c>
      <c r="F79" s="201">
        <v>19337.990000000002</v>
      </c>
      <c r="G79" s="201">
        <f>'Mail Merge'!$E79+'Mail Merge'!$F79</f>
        <v>77787.77</v>
      </c>
      <c r="H79" s="201">
        <v>0</v>
      </c>
      <c r="I79" s="201" t="s">
        <v>239</v>
      </c>
      <c r="J79" s="201">
        <f>IFERROR('Mail Merge'!$E79/'Mail Merge'!$D79,0)</f>
        <v>4870.8149999999996</v>
      </c>
      <c r="K79" s="201">
        <f>IFERROR('Mail Merge'!$F79/'Mail Merge'!$D79,0)</f>
        <v>1611.4991666666667</v>
      </c>
      <c r="L79" s="201">
        <f>IFERROR('Mail Merge'!$G79/'Mail Merge'!$D79,0)</f>
        <v>6482.314166666667</v>
      </c>
      <c r="M79" s="201">
        <v>0</v>
      </c>
      <c r="N79" s="201" t="s">
        <v>239</v>
      </c>
      <c r="O79" s="201">
        <v>24533.81</v>
      </c>
      <c r="P79" s="201">
        <v>990.15</v>
      </c>
      <c r="Q79" s="201">
        <f>'Mail Merge'!$O79+'Mail Merge'!$P79</f>
        <v>25523.960000000003</v>
      </c>
      <c r="R79" s="201"/>
      <c r="S79" s="201"/>
      <c r="T79" s="201"/>
      <c r="U79" s="201">
        <f>IF(AND('Mail Merge'!$I79="Did Not Meet",'Mail Merge'!$N79="Did Not Meet"),MIN(ABS('Mail Merge'!$H79),ABS('Mail Merge'!$M79),'Mail Merge'!$Q79),0)</f>
        <v>0</v>
      </c>
      <c r="V79" s="201" t="str">
        <f>IF(OR(IFERROR(SEARCH("Met",'Mail Merge'!$N79),0)&gt;0,IFERROR(SEARCH("Met",'Mail Merge'!$I79),0)&gt;0),"Met","Not Met")</f>
        <v>Met</v>
      </c>
    </row>
    <row r="80" spans="1:22" x14ac:dyDescent="0.35">
      <c r="A80" s="198" t="s">
        <v>100</v>
      </c>
      <c r="B80" s="199">
        <v>2206</v>
      </c>
      <c r="C80" s="199" t="s">
        <v>57</v>
      </c>
      <c r="D80" s="199">
        <v>522</v>
      </c>
      <c r="E80" s="199">
        <v>3577231.27</v>
      </c>
      <c r="F80" s="199">
        <v>836888.32</v>
      </c>
      <c r="G80" s="199">
        <f>'Mail Merge'!$E80+'Mail Merge'!$F80</f>
        <v>4414119.59</v>
      </c>
      <c r="H80" s="199">
        <v>0</v>
      </c>
      <c r="I80" s="199" t="s">
        <v>239</v>
      </c>
      <c r="J80" s="199">
        <f>IFERROR('Mail Merge'!$E80/'Mail Merge'!$D80,0)</f>
        <v>6852.9334674329502</v>
      </c>
      <c r="K80" s="199">
        <f>IFERROR('Mail Merge'!$F80/'Mail Merge'!$D80,0)</f>
        <v>1603.2343295019157</v>
      </c>
      <c r="L80" s="199">
        <f>IFERROR('Mail Merge'!$G80/'Mail Merge'!$D80,0)</f>
        <v>8456.1677969348657</v>
      </c>
      <c r="M80" s="199">
        <v>0</v>
      </c>
      <c r="N80" s="199" t="s">
        <v>239</v>
      </c>
      <c r="O80" s="199">
        <v>793110.45</v>
      </c>
      <c r="P80" s="199">
        <v>5783.32</v>
      </c>
      <c r="Q80" s="199">
        <f>'Mail Merge'!$O80+'Mail Merge'!$P80</f>
        <v>798893.7699999999</v>
      </c>
      <c r="R80" s="199"/>
      <c r="S80" s="199"/>
      <c r="T80" s="199"/>
      <c r="U80" s="199">
        <f>IF(AND('Mail Merge'!$I80="Did Not Meet",'Mail Merge'!$N80="Did Not Meet"),MIN(ABS('Mail Merge'!$H80),ABS('Mail Merge'!$M80),'Mail Merge'!$Q80),0)</f>
        <v>0</v>
      </c>
      <c r="V80" s="199" t="str">
        <f>IF(OR(IFERROR(SEARCH("Met",'Mail Merge'!$N80),0)&gt;0,IFERROR(SEARCH("Met",'Mail Merge'!$I80),0)&gt;0),"Met","Not Met")</f>
        <v>Met</v>
      </c>
    </row>
    <row r="81" spans="1:22" x14ac:dyDescent="0.35">
      <c r="A81" s="200" t="s">
        <v>101</v>
      </c>
      <c r="B81" s="201">
        <v>2239</v>
      </c>
      <c r="C81" s="201" t="s">
        <v>57</v>
      </c>
      <c r="D81" s="201">
        <v>2574</v>
      </c>
      <c r="E81" s="201">
        <v>23337918.809999999</v>
      </c>
      <c r="F81" s="201">
        <v>4141065</v>
      </c>
      <c r="G81" s="201">
        <f>'Mail Merge'!$E81+'Mail Merge'!$F81</f>
        <v>27478983.809999999</v>
      </c>
      <c r="H81" s="201">
        <v>0</v>
      </c>
      <c r="I81" s="201" t="s">
        <v>239</v>
      </c>
      <c r="J81" s="201">
        <f>IFERROR('Mail Merge'!$E81/'Mail Merge'!$D81,0)</f>
        <v>9066.7905244755239</v>
      </c>
      <c r="K81" s="201">
        <f>IFERROR('Mail Merge'!$F81/'Mail Merge'!$D81,0)</f>
        <v>1608.8053613053612</v>
      </c>
      <c r="L81" s="201">
        <f>IFERROR('Mail Merge'!$G81/'Mail Merge'!$D81,0)</f>
        <v>10675.595885780886</v>
      </c>
      <c r="M81" s="201">
        <v>0</v>
      </c>
      <c r="N81" s="201" t="s">
        <v>239</v>
      </c>
      <c r="O81" s="201">
        <v>3099981.26</v>
      </c>
      <c r="P81" s="201">
        <v>17094.490000000002</v>
      </c>
      <c r="Q81" s="201">
        <f>'Mail Merge'!$O81+'Mail Merge'!$P81</f>
        <v>3117075.75</v>
      </c>
      <c r="R81" s="201"/>
      <c r="S81" s="201"/>
      <c r="T81" s="201"/>
      <c r="U81" s="201">
        <f>IF(AND('Mail Merge'!$I81="Did Not Meet",'Mail Merge'!$N81="Did Not Meet"),MIN(ABS('Mail Merge'!$H81),ABS('Mail Merge'!$M81),'Mail Merge'!$Q81),0)</f>
        <v>0</v>
      </c>
      <c r="V81" s="201" t="str">
        <f>IF(OR(IFERROR(SEARCH("Met",'Mail Merge'!$N81),0)&gt;0,IFERROR(SEARCH("Met",'Mail Merge'!$I81),0)&gt;0),"Met","Not Met")</f>
        <v>Met</v>
      </c>
    </row>
    <row r="82" spans="1:22" x14ac:dyDescent="0.35">
      <c r="A82" s="198" t="s">
        <v>102</v>
      </c>
      <c r="B82" s="199">
        <v>2024</v>
      </c>
      <c r="C82" s="199" t="s">
        <v>57</v>
      </c>
      <c r="D82" s="199">
        <v>536</v>
      </c>
      <c r="E82" s="199">
        <v>3430122.63</v>
      </c>
      <c r="F82" s="199">
        <v>0</v>
      </c>
      <c r="G82" s="199">
        <f>'Mail Merge'!$E82+'Mail Merge'!$F82</f>
        <v>3430122.63</v>
      </c>
      <c r="H82" s="199">
        <v>0</v>
      </c>
      <c r="I82" s="199" t="s">
        <v>239</v>
      </c>
      <c r="J82" s="199">
        <f>IFERROR('Mail Merge'!$E82/'Mail Merge'!$D82,0)</f>
        <v>6399.4825186567159</v>
      </c>
      <c r="K82" s="199">
        <f>IFERROR('Mail Merge'!$F82/'Mail Merge'!$D82,0)</f>
        <v>0</v>
      </c>
      <c r="L82" s="199">
        <f>IFERROR('Mail Merge'!$G82/'Mail Merge'!$D82,0)</f>
        <v>6399.4825186567159</v>
      </c>
      <c r="M82" s="199">
        <v>0</v>
      </c>
      <c r="N82" s="199" t="s">
        <v>239</v>
      </c>
      <c r="O82" s="199">
        <v>697773.7</v>
      </c>
      <c r="P82" s="199">
        <v>5390.03</v>
      </c>
      <c r="Q82" s="199">
        <f>'Mail Merge'!$O82+'Mail Merge'!$P82</f>
        <v>703163.73</v>
      </c>
      <c r="R82" s="199"/>
      <c r="S82" s="199"/>
      <c r="T82" s="199"/>
      <c r="U82" s="199">
        <f>IF(AND('Mail Merge'!$I82="Did Not Meet",'Mail Merge'!$N82="Did Not Meet"),MIN(ABS('Mail Merge'!$H82),ABS('Mail Merge'!$M82),'Mail Merge'!$Q82),0)</f>
        <v>0</v>
      </c>
      <c r="V82" s="199" t="str">
        <f>IF(OR(IFERROR(SEARCH("Met",'Mail Merge'!$N82),0)&gt;0,IFERROR(SEARCH("Met",'Mail Merge'!$I82),0)&gt;0),"Met","Not Met")</f>
        <v>Met</v>
      </c>
    </row>
    <row r="83" spans="1:22" x14ac:dyDescent="0.35">
      <c r="A83" s="200" t="s">
        <v>103</v>
      </c>
      <c r="B83" s="201">
        <v>1895</v>
      </c>
      <c r="C83" s="201" t="s">
        <v>57</v>
      </c>
      <c r="D83" s="201">
        <v>15</v>
      </c>
      <c r="E83" s="201">
        <v>65774.77</v>
      </c>
      <c r="F83" s="201">
        <v>19822.900000000001</v>
      </c>
      <c r="G83" s="201">
        <f>'Mail Merge'!$E83+'Mail Merge'!$F83</f>
        <v>85597.670000000013</v>
      </c>
      <c r="H83" s="201">
        <v>0</v>
      </c>
      <c r="I83" s="201" t="s">
        <v>239</v>
      </c>
      <c r="J83" s="201">
        <f>IFERROR('Mail Merge'!$E83/'Mail Merge'!$D83,0)</f>
        <v>4384.9846666666672</v>
      </c>
      <c r="K83" s="201">
        <f>IFERROR('Mail Merge'!$F83/'Mail Merge'!$D83,0)</f>
        <v>1321.5266666666669</v>
      </c>
      <c r="L83" s="201">
        <f>IFERROR('Mail Merge'!$G83/'Mail Merge'!$D83,0)</f>
        <v>5706.5113333333338</v>
      </c>
      <c r="M83" s="201">
        <v>0</v>
      </c>
      <c r="N83" s="201" t="s">
        <v>239</v>
      </c>
      <c r="O83" s="201">
        <v>14916.05</v>
      </c>
      <c r="P83" s="201">
        <v>980.74</v>
      </c>
      <c r="Q83" s="201">
        <f>'Mail Merge'!$O83+'Mail Merge'!$P83</f>
        <v>15896.789999999999</v>
      </c>
      <c r="R83" s="201"/>
      <c r="S83" s="201"/>
      <c r="T83" s="201"/>
      <c r="U83" s="201">
        <f>IF(AND('Mail Merge'!$I83="Did Not Meet",'Mail Merge'!$N83="Did Not Meet"),MIN(ABS('Mail Merge'!$H83),ABS('Mail Merge'!$M83),'Mail Merge'!$Q83),0)</f>
        <v>0</v>
      </c>
      <c r="V83" s="201" t="str">
        <f>IF(OR(IFERROR(SEARCH("Met",'Mail Merge'!$N83),0)&gt;0,IFERROR(SEARCH("Met",'Mail Merge'!$I83),0)&gt;0),"Met","Not Met")</f>
        <v>Met</v>
      </c>
    </row>
    <row r="84" spans="1:22" x14ac:dyDescent="0.35">
      <c r="A84" s="198" t="s">
        <v>104</v>
      </c>
      <c r="B84" s="199">
        <v>2215</v>
      </c>
      <c r="C84" s="199" t="s">
        <v>57</v>
      </c>
      <c r="D84" s="199">
        <v>27</v>
      </c>
      <c r="E84" s="199">
        <v>120450.96</v>
      </c>
      <c r="F84" s="199">
        <v>86443.82</v>
      </c>
      <c r="G84" s="199">
        <f>'Mail Merge'!$E84+'Mail Merge'!$F84</f>
        <v>206894.78000000003</v>
      </c>
      <c r="H84" s="199">
        <v>0</v>
      </c>
      <c r="I84" s="199" t="s">
        <v>239</v>
      </c>
      <c r="J84" s="199">
        <f>IFERROR('Mail Merge'!$E84/'Mail Merge'!$D84,0)</f>
        <v>4461.1466666666665</v>
      </c>
      <c r="K84" s="199">
        <f>IFERROR('Mail Merge'!$F84/'Mail Merge'!$D84,0)</f>
        <v>3201.6229629629634</v>
      </c>
      <c r="L84" s="199">
        <f>IFERROR('Mail Merge'!$G84/'Mail Merge'!$D84,0)</f>
        <v>7662.7696296296308</v>
      </c>
      <c r="M84" s="199">
        <v>0</v>
      </c>
      <c r="N84" s="199" t="s">
        <v>239</v>
      </c>
      <c r="O84" s="199">
        <v>66310.509999999995</v>
      </c>
      <c r="P84" s="199">
        <v>260.13</v>
      </c>
      <c r="Q84" s="199">
        <f>'Mail Merge'!$O84+'Mail Merge'!$P84</f>
        <v>66570.64</v>
      </c>
      <c r="R84" s="199"/>
      <c r="S84" s="199"/>
      <c r="T84" s="199"/>
      <c r="U84" s="199">
        <f>IF(AND('Mail Merge'!$I84="Did Not Meet",'Mail Merge'!$N84="Did Not Meet"),MIN(ABS('Mail Merge'!$H84),ABS('Mail Merge'!$M84),'Mail Merge'!$Q84),0)</f>
        <v>0</v>
      </c>
      <c r="V84" s="199" t="str">
        <f>IF(OR(IFERROR(SEARCH("Met",'Mail Merge'!$N84),0)&gt;0,IFERROR(SEARCH("Met",'Mail Merge'!$I84),0)&gt;0),"Met","Not Met")</f>
        <v>Met</v>
      </c>
    </row>
    <row r="85" spans="1:22" x14ac:dyDescent="0.35">
      <c r="A85" s="200" t="s">
        <v>105</v>
      </c>
      <c r="B85" s="201">
        <v>3997</v>
      </c>
      <c r="C85" s="201" t="s">
        <v>57</v>
      </c>
      <c r="D85" s="201">
        <v>18</v>
      </c>
      <c r="E85" s="201">
        <v>101538.08</v>
      </c>
      <c r="F85" s="201">
        <v>28858.22</v>
      </c>
      <c r="G85" s="201">
        <f>'Mail Merge'!$E85+'Mail Merge'!$F85</f>
        <v>130396.3</v>
      </c>
      <c r="H85" s="201">
        <v>0</v>
      </c>
      <c r="I85" s="201" t="s">
        <v>239</v>
      </c>
      <c r="J85" s="201">
        <f>IFERROR('Mail Merge'!$E85/'Mail Merge'!$D85,0)</f>
        <v>5641.0044444444447</v>
      </c>
      <c r="K85" s="201">
        <f>IFERROR('Mail Merge'!$F85/'Mail Merge'!$D85,0)</f>
        <v>1603.2344444444445</v>
      </c>
      <c r="L85" s="201">
        <f>IFERROR('Mail Merge'!$G85/'Mail Merge'!$D85,0)</f>
        <v>7244.2388888888891</v>
      </c>
      <c r="M85" s="201">
        <v>0</v>
      </c>
      <c r="N85" s="201" t="s">
        <v>239</v>
      </c>
      <c r="O85" s="201">
        <v>26404.05</v>
      </c>
      <c r="P85" s="201">
        <v>505.4</v>
      </c>
      <c r="Q85" s="201">
        <f>'Mail Merge'!$O85+'Mail Merge'!$P85</f>
        <v>26909.45</v>
      </c>
      <c r="R85" s="201"/>
      <c r="S85" s="201"/>
      <c r="T85" s="201"/>
      <c r="U85" s="201">
        <f>IF(AND('Mail Merge'!$I85="Did Not Meet",'Mail Merge'!$N85="Did Not Meet"),MIN(ABS('Mail Merge'!$H85),ABS('Mail Merge'!$M85),'Mail Merge'!$Q85),0)</f>
        <v>0</v>
      </c>
      <c r="V85" s="201" t="str">
        <f>IF(OR(IFERROR(SEARCH("Met",'Mail Merge'!$N85),0)&gt;0,IFERROR(SEARCH("Met",'Mail Merge'!$I85),0)&gt;0),"Met","Not Met")</f>
        <v>Met</v>
      </c>
    </row>
    <row r="86" spans="1:22" x14ac:dyDescent="0.35">
      <c r="A86" s="198" t="s">
        <v>106</v>
      </c>
      <c r="B86" s="199">
        <v>2053</v>
      </c>
      <c r="C86" s="199" t="s">
        <v>57</v>
      </c>
      <c r="D86" s="199">
        <v>360</v>
      </c>
      <c r="E86" s="199">
        <v>2490590.36</v>
      </c>
      <c r="F86" s="199">
        <v>851300.92</v>
      </c>
      <c r="G86" s="199">
        <f>'Mail Merge'!$E86+'Mail Merge'!$F86</f>
        <v>3341891.28</v>
      </c>
      <c r="H86" s="199">
        <v>0</v>
      </c>
      <c r="I86" s="199" t="s">
        <v>239</v>
      </c>
      <c r="J86" s="199">
        <f>IFERROR('Mail Merge'!$E86/'Mail Merge'!$D86,0)</f>
        <v>6918.306555555555</v>
      </c>
      <c r="K86" s="199">
        <f>IFERROR('Mail Merge'!$F86/'Mail Merge'!$D86,0)</f>
        <v>2364.7247777777779</v>
      </c>
      <c r="L86" s="199">
        <f>IFERROR('Mail Merge'!$G86/'Mail Merge'!$D86,0)</f>
        <v>9283.0313333333324</v>
      </c>
      <c r="M86" s="199">
        <v>0</v>
      </c>
      <c r="N86" s="199" t="s">
        <v>239</v>
      </c>
      <c r="O86" s="199">
        <v>525063.93000000005</v>
      </c>
      <c r="P86" s="199">
        <v>8941.41</v>
      </c>
      <c r="Q86" s="199">
        <f>'Mail Merge'!$O86+'Mail Merge'!$P86</f>
        <v>534005.34000000008</v>
      </c>
      <c r="R86" s="199"/>
      <c r="S86" s="199"/>
      <c r="T86" s="199"/>
      <c r="U86" s="199">
        <f>IF(AND('Mail Merge'!$I86="Did Not Meet",'Mail Merge'!$N86="Did Not Meet"),MIN(ABS('Mail Merge'!$H86),ABS('Mail Merge'!$M86),'Mail Merge'!$Q86),0)</f>
        <v>0</v>
      </c>
      <c r="V86" s="199" t="str">
        <f>IF(OR(IFERROR(SEARCH("Met",'Mail Merge'!$N86),0)&gt;0,IFERROR(SEARCH("Met",'Mail Merge'!$I86),0)&gt;0),"Met","Not Met")</f>
        <v>Met</v>
      </c>
    </row>
    <row r="87" spans="1:22" x14ac:dyDescent="0.35">
      <c r="A87" s="200" t="s">
        <v>107</v>
      </c>
      <c r="B87" s="201">
        <v>2140</v>
      </c>
      <c r="C87" s="201" t="s">
        <v>57</v>
      </c>
      <c r="D87" s="201">
        <v>148</v>
      </c>
      <c r="E87" s="201">
        <v>825711.13</v>
      </c>
      <c r="F87" s="201">
        <v>143588.57</v>
      </c>
      <c r="G87" s="201">
        <f>'Mail Merge'!$E87+'Mail Merge'!$F87</f>
        <v>969299.7</v>
      </c>
      <c r="H87" s="201">
        <v>0</v>
      </c>
      <c r="I87" s="201" t="s">
        <v>239</v>
      </c>
      <c r="J87" s="201">
        <f>IFERROR('Mail Merge'!$E87/'Mail Merge'!$D87,0)</f>
        <v>5579.1292567567571</v>
      </c>
      <c r="K87" s="201">
        <f>IFERROR('Mail Merge'!$F87/'Mail Merge'!$D87,0)</f>
        <v>970.19304054054055</v>
      </c>
      <c r="L87" s="201">
        <f>IFERROR('Mail Merge'!$G87/'Mail Merge'!$D87,0)</f>
        <v>6549.3222972972972</v>
      </c>
      <c r="M87" s="201">
        <v>0</v>
      </c>
      <c r="N87" s="201" t="s">
        <v>239</v>
      </c>
      <c r="O87" s="201">
        <v>149666.51999999999</v>
      </c>
      <c r="P87" s="201">
        <v>1452.35</v>
      </c>
      <c r="Q87" s="201">
        <f>'Mail Merge'!$O87+'Mail Merge'!$P87</f>
        <v>151118.87</v>
      </c>
      <c r="R87" s="201"/>
      <c r="S87" s="201"/>
      <c r="T87" s="201"/>
      <c r="U87" s="201">
        <f>IF(AND('Mail Merge'!$I87="Did Not Meet",'Mail Merge'!$N87="Did Not Meet"),MIN(ABS('Mail Merge'!$H87),ABS('Mail Merge'!$M87),'Mail Merge'!$Q87),0)</f>
        <v>0</v>
      </c>
      <c r="V87" s="201" t="str">
        <f>IF(OR(IFERROR(SEARCH("Met",'Mail Merge'!$N87),0)&gt;0,IFERROR(SEARCH("Met",'Mail Merge'!$I87),0)&gt;0),"Met","Not Met")</f>
        <v>Met</v>
      </c>
    </row>
    <row r="88" spans="1:22" x14ac:dyDescent="0.35">
      <c r="A88" s="198" t="s">
        <v>108</v>
      </c>
      <c r="B88" s="199">
        <v>1934</v>
      </c>
      <c r="C88" s="199" t="s">
        <v>57</v>
      </c>
      <c r="D88" s="199">
        <v>21</v>
      </c>
      <c r="E88" s="199">
        <v>197832.84</v>
      </c>
      <c r="F88" s="199">
        <v>55638</v>
      </c>
      <c r="G88" s="199">
        <f>'Mail Merge'!$E88+'Mail Merge'!$F88</f>
        <v>253470.84</v>
      </c>
      <c r="H88" s="199">
        <v>0</v>
      </c>
      <c r="I88" s="199" t="s">
        <v>239</v>
      </c>
      <c r="J88" s="199">
        <f>IFERROR('Mail Merge'!$E88/'Mail Merge'!$D88,0)</f>
        <v>9420.6114285714284</v>
      </c>
      <c r="K88" s="199">
        <f>IFERROR('Mail Merge'!$F88/'Mail Merge'!$D88,0)</f>
        <v>2649.4285714285716</v>
      </c>
      <c r="L88" s="199">
        <f>IFERROR('Mail Merge'!$G88/'Mail Merge'!$D88,0)</f>
        <v>12070.039999999999</v>
      </c>
      <c r="M88" s="199">
        <v>0</v>
      </c>
      <c r="N88" s="199" t="s">
        <v>239</v>
      </c>
      <c r="O88" s="199">
        <v>20493.34</v>
      </c>
      <c r="P88" s="199">
        <v>989.93</v>
      </c>
      <c r="Q88" s="199">
        <f>'Mail Merge'!$O88+'Mail Merge'!$P88</f>
        <v>21483.27</v>
      </c>
      <c r="R88" s="199"/>
      <c r="S88" s="199"/>
      <c r="T88" s="199"/>
      <c r="U88" s="199">
        <f>IF(AND('Mail Merge'!$I88="Did Not Meet",'Mail Merge'!$N88="Did Not Meet"),MIN(ABS('Mail Merge'!$H88),ABS('Mail Merge'!$M88),'Mail Merge'!$Q88),0)</f>
        <v>0</v>
      </c>
      <c r="V88" s="199" t="str">
        <f>IF(OR(IFERROR(SEARCH("Met",'Mail Merge'!$N88),0)&gt;0,IFERROR(SEARCH("Met",'Mail Merge'!$I88),0)&gt;0),"Met","Not Met")</f>
        <v>Met</v>
      </c>
    </row>
    <row r="89" spans="1:22" x14ac:dyDescent="0.35">
      <c r="A89" s="200" t="s">
        <v>109</v>
      </c>
      <c r="B89" s="201">
        <v>2008</v>
      </c>
      <c r="C89" s="201" t="s">
        <v>57</v>
      </c>
      <c r="D89" s="201">
        <v>109</v>
      </c>
      <c r="E89" s="201">
        <v>707943.29</v>
      </c>
      <c r="F89" s="201">
        <v>112677.17</v>
      </c>
      <c r="G89" s="201">
        <f>'Mail Merge'!$E89+'Mail Merge'!$F89</f>
        <v>820620.46000000008</v>
      </c>
      <c r="H89" s="201">
        <v>0</v>
      </c>
      <c r="I89" s="201" t="s">
        <v>239</v>
      </c>
      <c r="J89" s="201">
        <f>IFERROR('Mail Merge'!$E89/'Mail Merge'!$D89,0)</f>
        <v>6494.8925688073396</v>
      </c>
      <c r="K89" s="201">
        <f>IFERROR('Mail Merge'!$F89/'Mail Merge'!$D89,0)</f>
        <v>1033.7355045871559</v>
      </c>
      <c r="L89" s="201">
        <f>IFERROR('Mail Merge'!$G89/'Mail Merge'!$D89,0)</f>
        <v>7528.6280733944959</v>
      </c>
      <c r="M89" s="201">
        <v>0</v>
      </c>
      <c r="N89" s="201" t="s">
        <v>239</v>
      </c>
      <c r="O89" s="201">
        <v>149184.39000000001</v>
      </c>
      <c r="P89" s="201">
        <v>0</v>
      </c>
      <c r="Q89" s="201">
        <f>'Mail Merge'!$O89+'Mail Merge'!$P89</f>
        <v>149184.39000000001</v>
      </c>
      <c r="R89" s="201"/>
      <c r="S89" s="201"/>
      <c r="T89" s="201"/>
      <c r="U89" s="201">
        <f>IF(AND('Mail Merge'!$I89="Did Not Meet",'Mail Merge'!$N89="Did Not Meet"),MIN(ABS('Mail Merge'!$H89),ABS('Mail Merge'!$M89),'Mail Merge'!$Q89),0)</f>
        <v>0</v>
      </c>
      <c r="V89" s="201" t="str">
        <f>IF(OR(IFERROR(SEARCH("Met",'Mail Merge'!$N89),0)&gt;0,IFERROR(SEARCH("Met",'Mail Merge'!$I89),0)&gt;0),"Met","Not Met")</f>
        <v>Met</v>
      </c>
    </row>
    <row r="90" spans="1:22" x14ac:dyDescent="0.35">
      <c r="A90" s="198" t="s">
        <v>110</v>
      </c>
      <c r="B90" s="199">
        <v>2107</v>
      </c>
      <c r="C90" s="199" t="s">
        <v>57</v>
      </c>
      <c r="D90" s="199">
        <v>12</v>
      </c>
      <c r="E90" s="199">
        <v>43417.27</v>
      </c>
      <c r="F90" s="199">
        <v>18972</v>
      </c>
      <c r="G90" s="199">
        <f>'Mail Merge'!$E90+'Mail Merge'!$F90</f>
        <v>62389.27</v>
      </c>
      <c r="H90" s="199">
        <v>0</v>
      </c>
      <c r="I90" s="199" t="s">
        <v>239</v>
      </c>
      <c r="J90" s="199">
        <f>IFERROR('Mail Merge'!$E90/'Mail Merge'!$D90,0)</f>
        <v>3618.1058333333331</v>
      </c>
      <c r="K90" s="199">
        <f>IFERROR('Mail Merge'!$F90/'Mail Merge'!$D90,0)</f>
        <v>1581</v>
      </c>
      <c r="L90" s="199">
        <f>IFERROR('Mail Merge'!$G90/'Mail Merge'!$D90,0)</f>
        <v>5199.1058333333331</v>
      </c>
      <c r="M90" s="199">
        <v>0</v>
      </c>
      <c r="N90" s="199" t="s">
        <v>239</v>
      </c>
      <c r="O90" s="199">
        <v>16671.03</v>
      </c>
      <c r="P90" s="199">
        <v>494.55</v>
      </c>
      <c r="Q90" s="199">
        <f>'Mail Merge'!$O90+'Mail Merge'!$P90</f>
        <v>17165.579999999998</v>
      </c>
      <c r="R90" s="199"/>
      <c r="S90" s="199"/>
      <c r="T90" s="199"/>
      <c r="U90" s="199">
        <f>IF(AND('Mail Merge'!$I90="Did Not Meet",'Mail Merge'!$N90="Did Not Meet"),MIN(ABS('Mail Merge'!$H90),ABS('Mail Merge'!$M90),'Mail Merge'!$Q90),0)</f>
        <v>0</v>
      </c>
      <c r="V90" s="199" t="str">
        <f>IF(OR(IFERROR(SEARCH("Met",'Mail Merge'!$N90),0)&gt;0,IFERROR(SEARCH("Met",'Mail Merge'!$I90),0)&gt;0),"Met","Not Met")</f>
        <v>Met</v>
      </c>
    </row>
    <row r="91" spans="1:22" x14ac:dyDescent="0.35">
      <c r="A91" s="200" t="s">
        <v>111</v>
      </c>
      <c r="B91" s="201">
        <v>2219</v>
      </c>
      <c r="C91" s="201" t="s">
        <v>57</v>
      </c>
      <c r="D91" s="201">
        <v>29</v>
      </c>
      <c r="E91" s="201">
        <v>79525.149999999994</v>
      </c>
      <c r="F91" s="201">
        <v>154577.04</v>
      </c>
      <c r="G91" s="201">
        <f>'Mail Merge'!$E91+'Mail Merge'!$F91</f>
        <v>234102.19</v>
      </c>
      <c r="H91" s="201">
        <v>0</v>
      </c>
      <c r="I91" s="201" t="s">
        <v>239</v>
      </c>
      <c r="J91" s="201">
        <f>IFERROR('Mail Merge'!$E91/'Mail Merge'!$D91,0)</f>
        <v>2742.2465517241376</v>
      </c>
      <c r="K91" s="201">
        <f>IFERROR('Mail Merge'!$F91/'Mail Merge'!$D91,0)</f>
        <v>5330.2427586206895</v>
      </c>
      <c r="L91" s="201">
        <f>IFERROR('Mail Merge'!$G91/'Mail Merge'!$D91,0)</f>
        <v>8072.4893103448276</v>
      </c>
      <c r="M91" s="201">
        <v>0</v>
      </c>
      <c r="N91" s="201" t="s">
        <v>239</v>
      </c>
      <c r="O91" s="201">
        <v>44525.39</v>
      </c>
      <c r="P91" s="201">
        <v>0</v>
      </c>
      <c r="Q91" s="201">
        <f>'Mail Merge'!$O91+'Mail Merge'!$P91</f>
        <v>44525.39</v>
      </c>
      <c r="R91" s="201"/>
      <c r="S91" s="201"/>
      <c r="T91" s="201"/>
      <c r="U91" s="201">
        <f>IF(AND('Mail Merge'!$I91="Did Not Meet",'Mail Merge'!$N91="Did Not Meet"),MIN(ABS('Mail Merge'!$H91),ABS('Mail Merge'!$M91),'Mail Merge'!$Q91),0)</f>
        <v>0</v>
      </c>
      <c r="V91" s="201" t="str">
        <f>IF(OR(IFERROR(SEARCH("Met",'Mail Merge'!$N91),0)&gt;0,IFERROR(SEARCH("Met",'Mail Merge'!$I91),0)&gt;0),"Met","Not Met")</f>
        <v>Met</v>
      </c>
    </row>
    <row r="92" spans="1:22" x14ac:dyDescent="0.35">
      <c r="A92" s="198" t="s">
        <v>112</v>
      </c>
      <c r="B92" s="199">
        <v>2091</v>
      </c>
      <c r="C92" s="199" t="s">
        <v>57</v>
      </c>
      <c r="D92" s="199">
        <v>275</v>
      </c>
      <c r="E92" s="199">
        <v>1435772.59</v>
      </c>
      <c r="F92" s="199">
        <v>464838</v>
      </c>
      <c r="G92" s="199">
        <f>'Mail Merge'!$E92+'Mail Merge'!$F92</f>
        <v>1900610.59</v>
      </c>
      <c r="H92" s="199">
        <v>0</v>
      </c>
      <c r="I92" s="199" t="s">
        <v>239</v>
      </c>
      <c r="J92" s="199">
        <f>IFERROR('Mail Merge'!$E92/'Mail Merge'!$D92,0)</f>
        <v>5220.9912363636367</v>
      </c>
      <c r="K92" s="199">
        <f>IFERROR('Mail Merge'!$F92/'Mail Merge'!$D92,0)</f>
        <v>1690.32</v>
      </c>
      <c r="L92" s="199">
        <f>IFERROR('Mail Merge'!$G92/'Mail Merge'!$D92,0)</f>
        <v>6911.3112363636365</v>
      </c>
      <c r="M92" s="199">
        <v>0</v>
      </c>
      <c r="N92" s="199" t="s">
        <v>239</v>
      </c>
      <c r="O92" s="199">
        <v>315985.01</v>
      </c>
      <c r="P92" s="199">
        <v>1723.75</v>
      </c>
      <c r="Q92" s="199">
        <f>'Mail Merge'!$O92+'Mail Merge'!$P92</f>
        <v>317708.76</v>
      </c>
      <c r="R92" s="199"/>
      <c r="S92" s="199"/>
      <c r="T92" s="199"/>
      <c r="U92" s="199">
        <f>IF(AND('Mail Merge'!$I92="Did Not Meet",'Mail Merge'!$N92="Did Not Meet"),MIN(ABS('Mail Merge'!$H92),ABS('Mail Merge'!$M92),'Mail Merge'!$Q92),0)</f>
        <v>0</v>
      </c>
      <c r="V92" s="199" t="str">
        <f>IF(OR(IFERROR(SEARCH("Met",'Mail Merge'!$N92),0)&gt;0,IFERROR(SEARCH("Met",'Mail Merge'!$I92),0)&gt;0),"Met","Not Met")</f>
        <v>Met</v>
      </c>
    </row>
    <row r="93" spans="1:22" x14ac:dyDescent="0.35">
      <c r="A93" s="200" t="s">
        <v>113</v>
      </c>
      <c r="B93" s="201">
        <v>2109</v>
      </c>
      <c r="C93" s="201" t="s">
        <v>57</v>
      </c>
      <c r="D93" s="201">
        <v>4</v>
      </c>
      <c r="E93" s="201">
        <v>0</v>
      </c>
      <c r="F93" s="201">
        <v>2865.04</v>
      </c>
      <c r="G93" s="201">
        <f>'Mail Merge'!$E93+'Mail Merge'!$F93</f>
        <v>2865.04</v>
      </c>
      <c r="H93" s="201">
        <v>0</v>
      </c>
      <c r="I93" s="201" t="s">
        <v>239</v>
      </c>
      <c r="J93" s="201">
        <f>IFERROR('Mail Merge'!$E93/'Mail Merge'!$D93,0)</f>
        <v>0</v>
      </c>
      <c r="K93" s="201">
        <f>IFERROR('Mail Merge'!$F93/'Mail Merge'!$D93,0)</f>
        <v>716.26</v>
      </c>
      <c r="L93" s="201">
        <f>IFERROR('Mail Merge'!$G93/'Mail Merge'!$D93,0)</f>
        <v>716.26</v>
      </c>
      <c r="M93" s="201">
        <v>0</v>
      </c>
      <c r="N93" s="201" t="s">
        <v>239</v>
      </c>
      <c r="O93" s="201">
        <v>1507.97</v>
      </c>
      <c r="P93" s="201">
        <v>1.45</v>
      </c>
      <c r="Q93" s="201">
        <f>'Mail Merge'!$O93+'Mail Merge'!$P93</f>
        <v>1509.42</v>
      </c>
      <c r="R93" s="201"/>
      <c r="S93" s="201"/>
      <c r="T93" s="201"/>
      <c r="U93" s="201">
        <f>IF(AND('Mail Merge'!$I93="Did Not Meet",'Mail Merge'!$N93="Did Not Meet"),MIN(ABS('Mail Merge'!$H93),ABS('Mail Merge'!$M93),'Mail Merge'!$Q93),0)</f>
        <v>0</v>
      </c>
      <c r="V93" s="201" t="str">
        <f>IF(OR(IFERROR(SEARCH("Met",'Mail Merge'!$N93),0)&gt;0,IFERROR(SEARCH("Met",'Mail Merge'!$I93),0)&gt;0),"Met","Not Met")</f>
        <v>Met</v>
      </c>
    </row>
    <row r="94" spans="1:22" x14ac:dyDescent="0.35">
      <c r="A94" s="198" t="s">
        <v>114</v>
      </c>
      <c r="B94" s="199">
        <v>2057</v>
      </c>
      <c r="C94" s="199" t="s">
        <v>57</v>
      </c>
      <c r="D94" s="199">
        <v>861</v>
      </c>
      <c r="E94" s="199">
        <v>4613720.4800000004</v>
      </c>
      <c r="F94" s="199">
        <v>1312332.1599999999</v>
      </c>
      <c r="G94" s="199">
        <f>'Mail Merge'!$E94+'Mail Merge'!$F94</f>
        <v>5926052.6400000006</v>
      </c>
      <c r="H94" s="199">
        <v>0</v>
      </c>
      <c r="I94" s="199" t="s">
        <v>239</v>
      </c>
      <c r="J94" s="199">
        <f>IFERROR('Mail Merge'!$E94/'Mail Merge'!$D94,0)</f>
        <v>5358.5603716608603</v>
      </c>
      <c r="K94" s="199">
        <f>IFERROR('Mail Merge'!$F94/'Mail Merge'!$D94,0)</f>
        <v>1524.195307781649</v>
      </c>
      <c r="L94" s="199">
        <f>IFERROR('Mail Merge'!$G94/'Mail Merge'!$D94,0)</f>
        <v>6882.7556794425091</v>
      </c>
      <c r="M94" s="199">
        <v>0</v>
      </c>
      <c r="N94" s="199" t="s">
        <v>239</v>
      </c>
      <c r="O94" s="199">
        <v>1280282.1000000001</v>
      </c>
      <c r="P94" s="199">
        <v>7852.37</v>
      </c>
      <c r="Q94" s="199">
        <f>'Mail Merge'!$O94+'Mail Merge'!$P94</f>
        <v>1288134.4700000002</v>
      </c>
      <c r="R94" s="199"/>
      <c r="S94" s="199"/>
      <c r="T94" s="199"/>
      <c r="U94" s="199">
        <f>IF(AND('Mail Merge'!$I94="Did Not Meet",'Mail Merge'!$N94="Did Not Meet"),MIN(ABS('Mail Merge'!$H94),ABS('Mail Merge'!$M94),'Mail Merge'!$Q94),0)</f>
        <v>0</v>
      </c>
      <c r="V94" s="199" t="str">
        <f>IF(OR(IFERROR(SEARCH("Met",'Mail Merge'!$N94),0)&gt;0,IFERROR(SEARCH("Met",'Mail Merge'!$I94),0)&gt;0),"Met","Not Met")</f>
        <v>Met</v>
      </c>
    </row>
    <row r="95" spans="1:22" x14ac:dyDescent="0.35">
      <c r="A95" s="200" t="s">
        <v>115</v>
      </c>
      <c r="B95" s="201">
        <v>2056</v>
      </c>
      <c r="C95" s="201" t="s">
        <v>57</v>
      </c>
      <c r="D95" s="201">
        <v>502</v>
      </c>
      <c r="E95" s="201">
        <v>3085537.63</v>
      </c>
      <c r="F95" s="201">
        <v>114263.94</v>
      </c>
      <c r="G95" s="201">
        <f>'Mail Merge'!$E95+'Mail Merge'!$F95</f>
        <v>3199801.57</v>
      </c>
      <c r="H95" s="201">
        <v>0</v>
      </c>
      <c r="I95" s="201" t="s">
        <v>239</v>
      </c>
      <c r="J95" s="201">
        <f>IFERROR('Mail Merge'!$E95/'Mail Merge'!$D95,0)</f>
        <v>6146.4893027888447</v>
      </c>
      <c r="K95" s="201">
        <f>IFERROR('Mail Merge'!$F95/'Mail Merge'!$D95,0)</f>
        <v>227.61741035856573</v>
      </c>
      <c r="L95" s="201">
        <f>IFERROR('Mail Merge'!$G95/'Mail Merge'!$D95,0)</f>
        <v>6374.1067131474101</v>
      </c>
      <c r="M95" s="201">
        <v>0</v>
      </c>
      <c r="N95" s="201" t="s">
        <v>239</v>
      </c>
      <c r="O95" s="201">
        <v>685879.75</v>
      </c>
      <c r="P95" s="201">
        <v>9076.07</v>
      </c>
      <c r="Q95" s="201">
        <f>'Mail Merge'!$O95+'Mail Merge'!$P95</f>
        <v>694955.82</v>
      </c>
      <c r="R95" s="201"/>
      <c r="S95" s="201"/>
      <c r="T95" s="201"/>
      <c r="U95" s="201">
        <f>IF(AND('Mail Merge'!$I95="Did Not Meet",'Mail Merge'!$N95="Did Not Meet"),MIN(ABS('Mail Merge'!$H95),ABS('Mail Merge'!$M95),'Mail Merge'!$Q95),0)</f>
        <v>0</v>
      </c>
      <c r="V95" s="201" t="str">
        <f>IF(OR(IFERROR(SEARCH("Met",'Mail Merge'!$N95),0)&gt;0,IFERROR(SEARCH("Met",'Mail Merge'!$I95),0)&gt;0),"Met","Not Met")</f>
        <v>Met</v>
      </c>
    </row>
    <row r="96" spans="1:22" x14ac:dyDescent="0.35">
      <c r="A96" s="198" t="s">
        <v>116</v>
      </c>
      <c r="B96" s="199">
        <v>2262</v>
      </c>
      <c r="C96" s="199" t="s">
        <v>57</v>
      </c>
      <c r="D96" s="199">
        <v>76</v>
      </c>
      <c r="E96" s="199">
        <v>405750.8</v>
      </c>
      <c r="F96" s="199">
        <v>134956</v>
      </c>
      <c r="G96" s="199">
        <f>'Mail Merge'!$E96+'Mail Merge'!$F96</f>
        <v>540706.80000000005</v>
      </c>
      <c r="H96" s="199">
        <v>0</v>
      </c>
      <c r="I96" s="199" t="s">
        <v>239</v>
      </c>
      <c r="J96" s="199">
        <f>IFERROR('Mail Merge'!$E96/'Mail Merge'!$D96,0)</f>
        <v>5338.8263157894735</v>
      </c>
      <c r="K96" s="199">
        <f>IFERROR('Mail Merge'!$F96/'Mail Merge'!$D96,0)</f>
        <v>1775.7368421052631</v>
      </c>
      <c r="L96" s="199">
        <f>IFERROR('Mail Merge'!$G96/'Mail Merge'!$D96,0)</f>
        <v>7114.5631578947377</v>
      </c>
      <c r="M96" s="199">
        <v>0</v>
      </c>
      <c r="N96" s="199" t="s">
        <v>239</v>
      </c>
      <c r="O96" s="199">
        <v>73407.039999999994</v>
      </c>
      <c r="P96" s="199">
        <v>0</v>
      </c>
      <c r="Q96" s="199">
        <f>'Mail Merge'!$O96+'Mail Merge'!$P96</f>
        <v>73407.039999999994</v>
      </c>
      <c r="R96" s="199"/>
      <c r="S96" s="199"/>
      <c r="T96" s="199"/>
      <c r="U96" s="199">
        <f>IF(AND('Mail Merge'!$I96="Did Not Meet",'Mail Merge'!$N96="Did Not Meet"),MIN(ABS('Mail Merge'!$H96),ABS('Mail Merge'!$M96),'Mail Merge'!$Q96),0)</f>
        <v>0</v>
      </c>
      <c r="V96" s="199" t="str">
        <f>IF(OR(IFERROR(SEARCH("Met",'Mail Merge'!$N96),0)&gt;0,IFERROR(SEARCH("Met",'Mail Merge'!$I96),0)&gt;0),"Met","Not Met")</f>
        <v>Met</v>
      </c>
    </row>
    <row r="97" spans="1:22" x14ac:dyDescent="0.35">
      <c r="A97" s="200" t="s">
        <v>117</v>
      </c>
      <c r="B97" s="201">
        <v>2212</v>
      </c>
      <c r="C97" s="201" t="s">
        <v>57</v>
      </c>
      <c r="D97" s="201">
        <v>372</v>
      </c>
      <c r="E97" s="201">
        <v>2020316.75</v>
      </c>
      <c r="F97" s="201">
        <v>530368.36</v>
      </c>
      <c r="G97" s="201">
        <f>'Mail Merge'!$E97+'Mail Merge'!$F97</f>
        <v>2550685.11</v>
      </c>
      <c r="H97" s="201">
        <v>0</v>
      </c>
      <c r="I97" s="201" t="s">
        <v>239</v>
      </c>
      <c r="J97" s="201">
        <f>IFERROR('Mail Merge'!$E97/'Mail Merge'!$D97,0)</f>
        <v>5430.9590053763441</v>
      </c>
      <c r="K97" s="201">
        <f>IFERROR('Mail Merge'!$F97/'Mail Merge'!$D97,0)</f>
        <v>1425.7213978494624</v>
      </c>
      <c r="L97" s="201">
        <f>IFERROR('Mail Merge'!$G97/'Mail Merge'!$D97,0)</f>
        <v>6856.680403225806</v>
      </c>
      <c r="M97" s="201">
        <v>0</v>
      </c>
      <c r="N97" s="201" t="s">
        <v>239</v>
      </c>
      <c r="O97" s="201">
        <v>433371.11</v>
      </c>
      <c r="P97" s="201">
        <v>2487.46</v>
      </c>
      <c r="Q97" s="201">
        <f>'Mail Merge'!$O97+'Mail Merge'!$P97</f>
        <v>435858.57</v>
      </c>
      <c r="R97" s="201"/>
      <c r="S97" s="201"/>
      <c r="T97" s="201"/>
      <c r="U97" s="201">
        <f>IF(AND('Mail Merge'!$I97="Did Not Meet",'Mail Merge'!$N97="Did Not Meet"),MIN(ABS('Mail Merge'!$H97),ABS('Mail Merge'!$M97),'Mail Merge'!$Q97),0)</f>
        <v>0</v>
      </c>
      <c r="V97" s="201" t="str">
        <f>IF(OR(IFERROR(SEARCH("Met",'Mail Merge'!$N97),0)&gt;0,IFERROR(SEARCH("Met",'Mail Merge'!$I97),0)&gt;0),"Met","Not Met")</f>
        <v>Met</v>
      </c>
    </row>
    <row r="98" spans="1:22" x14ac:dyDescent="0.35">
      <c r="A98" s="198" t="s">
        <v>118</v>
      </c>
      <c r="B98" s="199">
        <v>2059</v>
      </c>
      <c r="C98" s="199" t="s">
        <v>57</v>
      </c>
      <c r="D98" s="199">
        <v>93</v>
      </c>
      <c r="E98" s="199">
        <v>271064.74</v>
      </c>
      <c r="F98" s="199">
        <v>250068.6</v>
      </c>
      <c r="G98" s="199">
        <f>'Mail Merge'!$E98+'Mail Merge'!$F98</f>
        <v>521133.33999999997</v>
      </c>
      <c r="H98" s="199">
        <v>0</v>
      </c>
      <c r="I98" s="199" t="s">
        <v>239</v>
      </c>
      <c r="J98" s="199">
        <f>IFERROR('Mail Merge'!$E98/'Mail Merge'!$D98,0)</f>
        <v>2914.6746236559138</v>
      </c>
      <c r="K98" s="199">
        <f>IFERROR('Mail Merge'!$F98/'Mail Merge'!$D98,0)</f>
        <v>2688.9096774193549</v>
      </c>
      <c r="L98" s="199">
        <f>IFERROR('Mail Merge'!$G98/'Mail Merge'!$D98,0)</f>
        <v>5603.5843010752687</v>
      </c>
      <c r="M98" s="199">
        <v>0</v>
      </c>
      <c r="N98" s="199" t="s">
        <v>239</v>
      </c>
      <c r="O98" s="199">
        <v>129367.15</v>
      </c>
      <c r="P98" s="199">
        <v>2532.5500000000002</v>
      </c>
      <c r="Q98" s="199">
        <f>'Mail Merge'!$O98+'Mail Merge'!$P98</f>
        <v>131899.69999999998</v>
      </c>
      <c r="R98" s="199"/>
      <c r="S98" s="199"/>
      <c r="T98" s="199"/>
      <c r="U98" s="199">
        <f>IF(AND('Mail Merge'!$I98="Did Not Meet",'Mail Merge'!$N98="Did Not Meet"),MIN(ABS('Mail Merge'!$H98),ABS('Mail Merge'!$M98),'Mail Merge'!$Q98),0)</f>
        <v>0</v>
      </c>
      <c r="V98" s="199" t="str">
        <f>IF(OR(IFERROR(SEARCH("Met",'Mail Merge'!$N98),0)&gt;0,IFERROR(SEARCH("Met",'Mail Merge'!$I98),0)&gt;0),"Met","Not Met")</f>
        <v>Met</v>
      </c>
    </row>
    <row r="99" spans="1:22" x14ac:dyDescent="0.35">
      <c r="A99" s="200" t="s">
        <v>119</v>
      </c>
      <c r="B99" s="201">
        <v>1923</v>
      </c>
      <c r="C99" s="201" t="s">
        <v>57</v>
      </c>
      <c r="D99" s="201">
        <v>569</v>
      </c>
      <c r="E99" s="201">
        <v>7038693.4100000001</v>
      </c>
      <c r="F99" s="201">
        <v>512474</v>
      </c>
      <c r="G99" s="201">
        <f>'Mail Merge'!$E99+'Mail Merge'!$F99</f>
        <v>7551167.4100000001</v>
      </c>
      <c r="H99" s="201">
        <v>0</v>
      </c>
      <c r="I99" s="201" t="s">
        <v>239</v>
      </c>
      <c r="J99" s="201">
        <f>IFERROR('Mail Merge'!$E99/'Mail Merge'!$D99,0)</f>
        <v>12370.287188049209</v>
      </c>
      <c r="K99" s="201">
        <f>IFERROR('Mail Merge'!$F99/'Mail Merge'!$D99,0)</f>
        <v>900.65729349736375</v>
      </c>
      <c r="L99" s="201">
        <f>IFERROR('Mail Merge'!$G99/'Mail Merge'!$D99,0)</f>
        <v>13270.944481546574</v>
      </c>
      <c r="M99" s="201">
        <v>0</v>
      </c>
      <c r="N99" s="201" t="s">
        <v>239</v>
      </c>
      <c r="O99" s="201">
        <v>942966.92</v>
      </c>
      <c r="P99" s="201">
        <v>2697.38</v>
      </c>
      <c r="Q99" s="201">
        <f>'Mail Merge'!$O99+'Mail Merge'!$P99</f>
        <v>945664.3</v>
      </c>
      <c r="R99" s="201"/>
      <c r="S99" s="201"/>
      <c r="T99" s="201"/>
      <c r="U99" s="201">
        <f>IF(AND('Mail Merge'!$I99="Did Not Meet",'Mail Merge'!$N99="Did Not Meet"),MIN(ABS('Mail Merge'!$H99),ABS('Mail Merge'!$M99),'Mail Merge'!$Q99),0)</f>
        <v>0</v>
      </c>
      <c r="V99" s="201" t="str">
        <f>IF(OR(IFERROR(SEARCH("Met",'Mail Merge'!$N99),0)&gt;0,IFERROR(SEARCH("Met",'Mail Merge'!$I99),0)&gt;0),"Met","Not Met")</f>
        <v>Met</v>
      </c>
    </row>
    <row r="100" spans="1:22" x14ac:dyDescent="0.35">
      <c r="A100" s="198" t="s">
        <v>120</v>
      </c>
      <c r="B100" s="199">
        <v>2101</v>
      </c>
      <c r="C100" s="199" t="s">
        <v>57</v>
      </c>
      <c r="D100" s="199">
        <v>595</v>
      </c>
      <c r="E100" s="199">
        <v>3850007.19</v>
      </c>
      <c r="F100" s="199">
        <v>491780</v>
      </c>
      <c r="G100" s="199">
        <f>'Mail Merge'!$E100+'Mail Merge'!$F100</f>
        <v>4341787.1899999995</v>
      </c>
      <c r="H100" s="199">
        <v>0</v>
      </c>
      <c r="I100" s="199" t="s">
        <v>239</v>
      </c>
      <c r="J100" s="199">
        <f>IFERROR('Mail Merge'!$E100/'Mail Merge'!$D100,0)</f>
        <v>6470.6003193277311</v>
      </c>
      <c r="K100" s="199">
        <f>IFERROR('Mail Merge'!$F100/'Mail Merge'!$D100,0)</f>
        <v>826.52100840336129</v>
      </c>
      <c r="L100" s="199">
        <f>IFERROR('Mail Merge'!$G100/'Mail Merge'!$D100,0)</f>
        <v>7297.1213277310917</v>
      </c>
      <c r="M100" s="199">
        <v>0</v>
      </c>
      <c r="N100" s="199" t="s">
        <v>239</v>
      </c>
      <c r="O100" s="199">
        <v>762207.21</v>
      </c>
      <c r="P100" s="199">
        <v>5352.05</v>
      </c>
      <c r="Q100" s="199">
        <f>'Mail Merge'!$O100+'Mail Merge'!$P100</f>
        <v>767559.26</v>
      </c>
      <c r="R100" s="199"/>
      <c r="S100" s="199"/>
      <c r="T100" s="199"/>
      <c r="U100" s="199">
        <f>IF(AND('Mail Merge'!$I100="Did Not Meet",'Mail Merge'!$N100="Did Not Meet"),MIN(ABS('Mail Merge'!$H100),ABS('Mail Merge'!$M100),'Mail Merge'!$Q100),0)</f>
        <v>0</v>
      </c>
      <c r="V100" s="199" t="str">
        <f>IF(OR(IFERROR(SEARCH("Met",'Mail Merge'!$N100),0)&gt;0,IFERROR(SEARCH("Met",'Mail Merge'!$I100),0)&gt;0),"Met","Not Met")</f>
        <v>Met</v>
      </c>
    </row>
    <row r="101" spans="1:22" x14ac:dyDescent="0.35">
      <c r="A101" s="200" t="s">
        <v>121</v>
      </c>
      <c r="B101" s="201">
        <v>2097</v>
      </c>
      <c r="C101" s="201" t="s">
        <v>57</v>
      </c>
      <c r="D101" s="201">
        <v>676</v>
      </c>
      <c r="E101" s="201">
        <v>5491198.3499999996</v>
      </c>
      <c r="F101" s="201">
        <v>492383</v>
      </c>
      <c r="G101" s="201">
        <f>'Mail Merge'!$E101+'Mail Merge'!$F101</f>
        <v>5983581.3499999996</v>
      </c>
      <c r="H101" s="201">
        <v>0</v>
      </c>
      <c r="I101" s="201" t="s">
        <v>239</v>
      </c>
      <c r="J101" s="201">
        <f>IFERROR('Mail Merge'!$E101/'Mail Merge'!$D101,0)</f>
        <v>8123.0744822485203</v>
      </c>
      <c r="K101" s="201">
        <f>IFERROR('Mail Merge'!$F101/'Mail Merge'!$D101,0)</f>
        <v>728.3772189349113</v>
      </c>
      <c r="L101" s="201">
        <f>IFERROR('Mail Merge'!$G101/'Mail Merge'!$D101,0)</f>
        <v>8851.4517011834323</v>
      </c>
      <c r="M101" s="201">
        <v>0</v>
      </c>
      <c r="N101" s="201" t="s">
        <v>239</v>
      </c>
      <c r="O101" s="201">
        <v>995183.28</v>
      </c>
      <c r="P101" s="201">
        <v>8606.3700000000008</v>
      </c>
      <c r="Q101" s="201">
        <f>'Mail Merge'!$O101+'Mail Merge'!$P101</f>
        <v>1003789.65</v>
      </c>
      <c r="R101" s="201"/>
      <c r="S101" s="201"/>
      <c r="T101" s="201"/>
      <c r="U101" s="201">
        <f>IF(AND('Mail Merge'!$I101="Did Not Meet",'Mail Merge'!$N101="Did Not Meet"),MIN(ABS('Mail Merge'!$H101),ABS('Mail Merge'!$M101),'Mail Merge'!$Q101),0)</f>
        <v>0</v>
      </c>
      <c r="V101" s="201" t="str">
        <f>IF(OR(IFERROR(SEARCH("Met",'Mail Merge'!$N101),0)&gt;0,IFERROR(SEARCH("Met",'Mail Merge'!$I101),0)&gt;0),"Met","Not Met")</f>
        <v>Met</v>
      </c>
    </row>
    <row r="102" spans="1:22" x14ac:dyDescent="0.35">
      <c r="A102" s="198" t="s">
        <v>122</v>
      </c>
      <c r="B102" s="199">
        <v>2012</v>
      </c>
      <c r="C102" s="199" t="s">
        <v>57</v>
      </c>
      <c r="D102" s="199">
        <v>5</v>
      </c>
      <c r="E102" s="199">
        <v>33804.239999999998</v>
      </c>
      <c r="F102" s="199">
        <v>84367.25</v>
      </c>
      <c r="G102" s="199">
        <f>'Mail Merge'!$E102+'Mail Merge'!$F102</f>
        <v>118171.48999999999</v>
      </c>
      <c r="H102" s="199">
        <v>0</v>
      </c>
      <c r="I102" s="199" t="s">
        <v>239</v>
      </c>
      <c r="J102" s="199">
        <f>IFERROR('Mail Merge'!$E102/'Mail Merge'!$D102,0)</f>
        <v>6760.848</v>
      </c>
      <c r="K102" s="199">
        <f>IFERROR('Mail Merge'!$F102/'Mail Merge'!$D102,0)</f>
        <v>16873.45</v>
      </c>
      <c r="L102" s="199">
        <f>IFERROR('Mail Merge'!$G102/'Mail Merge'!$D102,0)</f>
        <v>23634.297999999999</v>
      </c>
      <c r="M102" s="199">
        <v>0</v>
      </c>
      <c r="N102" s="199" t="s">
        <v>239</v>
      </c>
      <c r="O102" s="199">
        <v>6085.28</v>
      </c>
      <c r="P102" s="199">
        <v>6.25</v>
      </c>
      <c r="Q102" s="199">
        <f>'Mail Merge'!$O102+'Mail Merge'!$P102</f>
        <v>6091.53</v>
      </c>
      <c r="R102" s="199"/>
      <c r="S102" s="199"/>
      <c r="T102" s="199"/>
      <c r="U102" s="199">
        <f>IF(AND('Mail Merge'!$I102="Did Not Meet",'Mail Merge'!$N102="Did Not Meet"),MIN(ABS('Mail Merge'!$H102),ABS('Mail Merge'!$M102),'Mail Merge'!$Q102),0)</f>
        <v>0</v>
      </c>
      <c r="V102" s="199" t="str">
        <f>IF(OR(IFERROR(SEARCH("Met",'Mail Merge'!$N102),0)&gt;0,IFERROR(SEARCH("Met",'Mail Merge'!$I102),0)&gt;0),"Met","Not Met")</f>
        <v>Met</v>
      </c>
    </row>
    <row r="103" spans="1:22" x14ac:dyDescent="0.35">
      <c r="A103" s="200" t="s">
        <v>123</v>
      </c>
      <c r="B103" s="201">
        <v>2092</v>
      </c>
      <c r="C103" s="201" t="s">
        <v>57</v>
      </c>
      <c r="D103" s="201">
        <v>44</v>
      </c>
      <c r="E103" s="201">
        <v>309529.38</v>
      </c>
      <c r="F103" s="201">
        <v>135930</v>
      </c>
      <c r="G103" s="201">
        <f>'Mail Merge'!$E103+'Mail Merge'!$F103</f>
        <v>445459.38</v>
      </c>
      <c r="H103" s="201">
        <v>0</v>
      </c>
      <c r="I103" s="201" t="s">
        <v>239</v>
      </c>
      <c r="J103" s="201">
        <f>IFERROR('Mail Merge'!$E103/'Mail Merge'!$D103,0)</f>
        <v>7034.7586363636365</v>
      </c>
      <c r="K103" s="201">
        <f>IFERROR('Mail Merge'!$F103/'Mail Merge'!$D103,0)</f>
        <v>3089.318181818182</v>
      </c>
      <c r="L103" s="201">
        <f>IFERROR('Mail Merge'!$G103/'Mail Merge'!$D103,0)</f>
        <v>10124.076818181818</v>
      </c>
      <c r="M103" s="201">
        <v>0</v>
      </c>
      <c r="N103" s="201" t="s">
        <v>239</v>
      </c>
      <c r="O103" s="201">
        <v>58056.13</v>
      </c>
      <c r="P103" s="201">
        <v>297.87</v>
      </c>
      <c r="Q103" s="201">
        <f>'Mail Merge'!$O103+'Mail Merge'!$P103</f>
        <v>58354</v>
      </c>
      <c r="R103" s="201"/>
      <c r="S103" s="201"/>
      <c r="T103" s="201"/>
      <c r="U103" s="201">
        <f>IF(AND('Mail Merge'!$I103="Did Not Meet",'Mail Merge'!$N103="Did Not Meet"),MIN(ABS('Mail Merge'!$H103),ABS('Mail Merge'!$M103),'Mail Merge'!$Q103),0)</f>
        <v>0</v>
      </c>
      <c r="V103" s="201" t="str">
        <f>IF(OR(IFERROR(SEARCH("Met",'Mail Merge'!$N103),0)&gt;0,IFERROR(SEARCH("Met",'Mail Merge'!$I103),0)&gt;0),"Met","Not Met")</f>
        <v>Met</v>
      </c>
    </row>
    <row r="104" spans="1:22" x14ac:dyDescent="0.35">
      <c r="A104" s="198" t="s">
        <v>124</v>
      </c>
      <c r="B104" s="199">
        <v>2112</v>
      </c>
      <c r="C104" s="199" t="s">
        <v>57</v>
      </c>
      <c r="D104" s="199">
        <v>0</v>
      </c>
      <c r="E104" s="199">
        <v>0</v>
      </c>
      <c r="F104" s="199">
        <v>354.69</v>
      </c>
      <c r="G104" s="199">
        <f>'Mail Merge'!$E104+'Mail Merge'!$F104</f>
        <v>354.69</v>
      </c>
      <c r="H104" s="199">
        <v>0</v>
      </c>
      <c r="I104" s="199" t="s">
        <v>239</v>
      </c>
      <c r="J104" s="199">
        <f>IFERROR('Mail Merge'!$E104/'Mail Merge'!$D104,0)</f>
        <v>0</v>
      </c>
      <c r="K104" s="199">
        <f>IFERROR('Mail Merge'!$F104/'Mail Merge'!$D104,0)</f>
        <v>0</v>
      </c>
      <c r="L104" s="199">
        <f>IFERROR('Mail Merge'!$G104/'Mail Merge'!$D104,0)</f>
        <v>0</v>
      </c>
      <c r="M104" s="199">
        <v>0</v>
      </c>
      <c r="N104" s="199" t="s">
        <v>239</v>
      </c>
      <c r="O104" s="199">
        <v>1244.0899999999999</v>
      </c>
      <c r="P104" s="199">
        <v>1.2</v>
      </c>
      <c r="Q104" s="199">
        <f>'Mail Merge'!$O104+'Mail Merge'!$P104</f>
        <v>1245.29</v>
      </c>
      <c r="R104" s="199"/>
      <c r="S104" s="199"/>
      <c r="T104" s="199"/>
      <c r="U104" s="199">
        <f>IF(AND('Mail Merge'!$I104="Did Not Meet",'Mail Merge'!$N104="Did Not Meet"),MIN(ABS('Mail Merge'!$H104),ABS('Mail Merge'!$M104),'Mail Merge'!$Q104),0)</f>
        <v>0</v>
      </c>
      <c r="V104" s="199" t="str">
        <f>IF(OR(IFERROR(SEARCH("Met",'Mail Merge'!$N104),0)&gt;0,IFERROR(SEARCH("Met",'Mail Merge'!$I104),0)&gt;0),"Met","Not Met")</f>
        <v>Met</v>
      </c>
    </row>
    <row r="105" spans="1:22" x14ac:dyDescent="0.35">
      <c r="A105" s="200" t="s">
        <v>125</v>
      </c>
      <c r="B105" s="201">
        <v>2085</v>
      </c>
      <c r="C105" s="201" t="s">
        <v>57</v>
      </c>
      <c r="D105" s="201">
        <v>42</v>
      </c>
      <c r="E105" s="201">
        <v>208804.4</v>
      </c>
      <c r="F105" s="201">
        <v>54585</v>
      </c>
      <c r="G105" s="201">
        <f>'Mail Merge'!$E105+'Mail Merge'!$F105</f>
        <v>263389.40000000002</v>
      </c>
      <c r="H105" s="201">
        <v>0</v>
      </c>
      <c r="I105" s="201" t="s">
        <v>239</v>
      </c>
      <c r="J105" s="201">
        <f>IFERROR('Mail Merge'!$E105/'Mail Merge'!$D105,0)</f>
        <v>4971.5333333333328</v>
      </c>
      <c r="K105" s="201">
        <f>IFERROR('Mail Merge'!$F105/'Mail Merge'!$D105,0)</f>
        <v>1299.6428571428571</v>
      </c>
      <c r="L105" s="201">
        <f>IFERROR('Mail Merge'!$G105/'Mail Merge'!$D105,0)</f>
        <v>6271.1761904761906</v>
      </c>
      <c r="M105" s="201">
        <v>0</v>
      </c>
      <c r="N105" s="201" t="s">
        <v>239</v>
      </c>
      <c r="O105" s="201">
        <v>55370.14</v>
      </c>
      <c r="P105" s="201">
        <v>0</v>
      </c>
      <c r="Q105" s="201">
        <f>'Mail Merge'!$O105+'Mail Merge'!$P105</f>
        <v>55370.14</v>
      </c>
      <c r="R105" s="201"/>
      <c r="S105" s="201"/>
      <c r="T105" s="201"/>
      <c r="U105" s="201">
        <f>IF(AND('Mail Merge'!$I105="Did Not Meet",'Mail Merge'!$N105="Did Not Meet"),MIN(ABS('Mail Merge'!$H105),ABS('Mail Merge'!$M105),'Mail Merge'!$Q105),0)</f>
        <v>0</v>
      </c>
      <c r="V105" s="201" t="str">
        <f>IF(OR(IFERROR(SEARCH("Met",'Mail Merge'!$N105),0)&gt;0,IFERROR(SEARCH("Met",'Mail Merge'!$I105),0)&gt;0),"Met","Not Met")</f>
        <v>Met</v>
      </c>
    </row>
    <row r="106" spans="1:22" x14ac:dyDescent="0.35">
      <c r="A106" s="198" t="s">
        <v>126</v>
      </c>
      <c r="B106" s="199">
        <v>2094</v>
      </c>
      <c r="C106" s="199" t="s">
        <v>57</v>
      </c>
      <c r="D106" s="199">
        <v>32</v>
      </c>
      <c r="E106" s="199">
        <v>231108.34</v>
      </c>
      <c r="F106" s="199">
        <v>30864</v>
      </c>
      <c r="G106" s="199">
        <f>'Mail Merge'!$E106+'Mail Merge'!$F106</f>
        <v>261972.34</v>
      </c>
      <c r="H106" s="199">
        <v>0</v>
      </c>
      <c r="I106" s="199" t="s">
        <v>239</v>
      </c>
      <c r="J106" s="199">
        <f>IFERROR('Mail Merge'!$E106/'Mail Merge'!$D106,0)</f>
        <v>7222.1356249999999</v>
      </c>
      <c r="K106" s="199">
        <f>IFERROR('Mail Merge'!$F106/'Mail Merge'!$D106,0)</f>
        <v>964.5</v>
      </c>
      <c r="L106" s="199">
        <f>IFERROR('Mail Merge'!$G106/'Mail Merge'!$D106,0)</f>
        <v>8186.6356249999999</v>
      </c>
      <c r="M106" s="199">
        <v>0</v>
      </c>
      <c r="N106" s="199" t="s">
        <v>239</v>
      </c>
      <c r="O106" s="199">
        <v>66558.11</v>
      </c>
      <c r="P106" s="199">
        <v>508</v>
      </c>
      <c r="Q106" s="199">
        <f>'Mail Merge'!$O106+'Mail Merge'!$P106</f>
        <v>67066.11</v>
      </c>
      <c r="R106" s="199"/>
      <c r="S106" s="199"/>
      <c r="T106" s="199"/>
      <c r="U106" s="199">
        <f>IF(AND('Mail Merge'!$I106="Did Not Meet",'Mail Merge'!$N106="Did Not Meet"),MIN(ABS('Mail Merge'!$H106),ABS('Mail Merge'!$M106),'Mail Merge'!$Q106),0)</f>
        <v>0</v>
      </c>
      <c r="V106" s="199" t="str">
        <f>IF(OR(IFERROR(SEARCH("Met",'Mail Merge'!$N106),0)&gt;0,IFERROR(SEARCH("Met",'Mail Merge'!$I106),0)&gt;0),"Met","Not Met")</f>
        <v>Met</v>
      </c>
    </row>
    <row r="107" spans="1:22" x14ac:dyDescent="0.35">
      <c r="A107" s="200" t="s">
        <v>127</v>
      </c>
      <c r="B107" s="201">
        <v>2090</v>
      </c>
      <c r="C107" s="201" t="s">
        <v>57</v>
      </c>
      <c r="D107" s="201">
        <v>35</v>
      </c>
      <c r="E107" s="201">
        <v>199125.41</v>
      </c>
      <c r="F107" s="201">
        <v>86162</v>
      </c>
      <c r="G107" s="201">
        <f>'Mail Merge'!$E107+'Mail Merge'!$F107</f>
        <v>285287.41000000003</v>
      </c>
      <c r="H107" s="201">
        <v>0</v>
      </c>
      <c r="I107" s="201" t="s">
        <v>239</v>
      </c>
      <c r="J107" s="201">
        <f>IFERROR('Mail Merge'!$E107/'Mail Merge'!$D107,0)</f>
        <v>5689.297428571429</v>
      </c>
      <c r="K107" s="201">
        <f>IFERROR('Mail Merge'!$F107/'Mail Merge'!$D107,0)</f>
        <v>2461.7714285714287</v>
      </c>
      <c r="L107" s="201">
        <f>IFERROR('Mail Merge'!$G107/'Mail Merge'!$D107,0)</f>
        <v>8151.0688571428582</v>
      </c>
      <c r="M107" s="201">
        <v>0</v>
      </c>
      <c r="N107" s="201" t="s">
        <v>239</v>
      </c>
      <c r="O107" s="201">
        <v>51511.24</v>
      </c>
      <c r="P107" s="201">
        <v>172.23</v>
      </c>
      <c r="Q107" s="201">
        <f>'Mail Merge'!$O107+'Mail Merge'!$P107</f>
        <v>51683.47</v>
      </c>
      <c r="R107" s="201"/>
      <c r="S107" s="201"/>
      <c r="T107" s="201"/>
      <c r="U107" s="201">
        <f>IF(AND('Mail Merge'!$I107="Did Not Meet",'Mail Merge'!$N107="Did Not Meet"),MIN(ABS('Mail Merge'!$H107),ABS('Mail Merge'!$M107),'Mail Merge'!$Q107),0)</f>
        <v>0</v>
      </c>
      <c r="V107" s="201" t="str">
        <f>IF(OR(IFERROR(SEARCH("Met",'Mail Merge'!$N107),0)&gt;0,IFERROR(SEARCH("Met",'Mail Merge'!$I107),0)&gt;0),"Met","Not Met")</f>
        <v>Met</v>
      </c>
    </row>
    <row r="108" spans="1:22" x14ac:dyDescent="0.35">
      <c r="A108" s="198" t="s">
        <v>128</v>
      </c>
      <c r="B108" s="199">
        <v>2256</v>
      </c>
      <c r="C108" s="199" t="s">
        <v>57</v>
      </c>
      <c r="D108" s="199">
        <v>812</v>
      </c>
      <c r="E108" s="199">
        <v>4648553.18</v>
      </c>
      <c r="F108" s="199">
        <v>694031.29</v>
      </c>
      <c r="G108" s="199">
        <f>'Mail Merge'!$E108+'Mail Merge'!$F108</f>
        <v>5342584.47</v>
      </c>
      <c r="H108" s="199">
        <v>0</v>
      </c>
      <c r="I108" s="199" t="s">
        <v>239</v>
      </c>
      <c r="J108" s="199">
        <f>IFERROR('Mail Merge'!$E108/'Mail Merge'!$D108,0)</f>
        <v>5724.8191871921181</v>
      </c>
      <c r="K108" s="199">
        <f>IFERROR('Mail Merge'!$F108/'Mail Merge'!$D108,0)</f>
        <v>854.71833743842365</v>
      </c>
      <c r="L108" s="199">
        <f>IFERROR('Mail Merge'!$G108/'Mail Merge'!$D108,0)</f>
        <v>6579.5375246305412</v>
      </c>
      <c r="M108" s="199">
        <v>0</v>
      </c>
      <c r="N108" s="199" t="s">
        <v>239</v>
      </c>
      <c r="O108" s="199">
        <v>934508.98</v>
      </c>
      <c r="P108" s="199">
        <v>5004.92</v>
      </c>
      <c r="Q108" s="199">
        <f>'Mail Merge'!$O108+'Mail Merge'!$P108</f>
        <v>939513.9</v>
      </c>
      <c r="R108" s="199"/>
      <c r="S108" s="199"/>
      <c r="T108" s="199"/>
      <c r="U108" s="199">
        <f>IF(AND('Mail Merge'!$I108="Did Not Meet",'Mail Merge'!$N108="Did Not Meet"),MIN(ABS('Mail Merge'!$H108),ABS('Mail Merge'!$M108),'Mail Merge'!$Q108),0)</f>
        <v>0</v>
      </c>
      <c r="V108" s="199" t="str">
        <f>IF(OR(IFERROR(SEARCH("Met",'Mail Merge'!$N108),0)&gt;0,IFERROR(SEARCH("Met",'Mail Merge'!$I108),0)&gt;0),"Met","Not Met")</f>
        <v>Met</v>
      </c>
    </row>
    <row r="109" spans="1:22" x14ac:dyDescent="0.35">
      <c r="A109" s="200" t="s">
        <v>129</v>
      </c>
      <c r="B109" s="201">
        <v>2048</v>
      </c>
      <c r="C109" s="201" t="s">
        <v>57</v>
      </c>
      <c r="D109" s="201">
        <v>1337</v>
      </c>
      <c r="E109" s="201">
        <v>8734941</v>
      </c>
      <c r="F109" s="201">
        <v>2803971.18</v>
      </c>
      <c r="G109" s="201">
        <f>'Mail Merge'!$E109+'Mail Merge'!$F109</f>
        <v>11538912.18</v>
      </c>
      <c r="H109" s="201">
        <v>0</v>
      </c>
      <c r="I109" s="201" t="s">
        <v>239</v>
      </c>
      <c r="J109" s="201">
        <f>IFERROR('Mail Merge'!$E109/'Mail Merge'!$D109,0)</f>
        <v>6533.2393418100228</v>
      </c>
      <c r="K109" s="201">
        <f>IFERROR('Mail Merge'!$F109/'Mail Merge'!$D109,0)</f>
        <v>2097.2110545998507</v>
      </c>
      <c r="L109" s="201">
        <f>IFERROR('Mail Merge'!$G109/'Mail Merge'!$D109,0)</f>
        <v>8630.4503964098731</v>
      </c>
      <c r="M109" s="201">
        <v>0</v>
      </c>
      <c r="N109" s="201" t="s">
        <v>239</v>
      </c>
      <c r="O109" s="201">
        <v>2025398.63</v>
      </c>
      <c r="P109" s="201">
        <v>19710.09</v>
      </c>
      <c r="Q109" s="201">
        <f>'Mail Merge'!$O109+'Mail Merge'!$P109</f>
        <v>2045108.72</v>
      </c>
      <c r="R109" s="201"/>
      <c r="S109" s="201"/>
      <c r="T109" s="201"/>
      <c r="U109" s="201">
        <f>IF(AND('Mail Merge'!$I109="Did Not Meet",'Mail Merge'!$N109="Did Not Meet"),MIN(ABS('Mail Merge'!$H109),ABS('Mail Merge'!$M109),'Mail Merge'!$Q109),0)</f>
        <v>0</v>
      </c>
      <c r="V109" s="201" t="str">
        <f>IF(OR(IFERROR(SEARCH("Met",'Mail Merge'!$N109),0)&gt;0,IFERROR(SEARCH("Met",'Mail Merge'!$I109),0)&gt;0),"Met","Not Met")</f>
        <v>Met</v>
      </c>
    </row>
    <row r="110" spans="1:22" x14ac:dyDescent="0.35">
      <c r="A110" s="198" t="s">
        <v>130</v>
      </c>
      <c r="B110" s="199">
        <v>2205</v>
      </c>
      <c r="C110" s="199" t="s">
        <v>57</v>
      </c>
      <c r="D110" s="199">
        <v>215</v>
      </c>
      <c r="E110" s="199">
        <v>2684225.41</v>
      </c>
      <c r="F110" s="199">
        <v>344513.57</v>
      </c>
      <c r="G110" s="199">
        <f>'Mail Merge'!$E110+'Mail Merge'!$F110</f>
        <v>3028738.98</v>
      </c>
      <c r="H110" s="199">
        <v>0</v>
      </c>
      <c r="I110" s="199" t="s">
        <v>239</v>
      </c>
      <c r="J110" s="199">
        <f>IFERROR('Mail Merge'!$E110/'Mail Merge'!$D110,0)</f>
        <v>12484.76934883721</v>
      </c>
      <c r="K110" s="199">
        <f>IFERROR('Mail Merge'!$F110/'Mail Merge'!$D110,0)</f>
        <v>1602.3886976744186</v>
      </c>
      <c r="L110" s="199">
        <f>IFERROR('Mail Merge'!$G110/'Mail Merge'!$D110,0)</f>
        <v>14087.158046511628</v>
      </c>
      <c r="M110" s="199">
        <v>0</v>
      </c>
      <c r="N110" s="199" t="s">
        <v>239</v>
      </c>
      <c r="O110" s="199">
        <v>331971.44</v>
      </c>
      <c r="P110" s="199">
        <v>2841.06</v>
      </c>
      <c r="Q110" s="199">
        <f>'Mail Merge'!$O110+'Mail Merge'!$P110</f>
        <v>334812.5</v>
      </c>
      <c r="R110" s="199"/>
      <c r="S110" s="199"/>
      <c r="T110" s="199"/>
      <c r="U110" s="199">
        <f>IF(AND('Mail Merge'!$I110="Did Not Meet",'Mail Merge'!$N110="Did Not Meet"),MIN(ABS('Mail Merge'!$H110),ABS('Mail Merge'!$M110),'Mail Merge'!$Q110),0)</f>
        <v>0</v>
      </c>
      <c r="V110" s="199" t="str">
        <f>IF(OR(IFERROR(SEARCH("Met",'Mail Merge'!$N110),0)&gt;0,IFERROR(SEARCH("Met",'Mail Merge'!$I110),0)&gt;0),"Met","Not Met")</f>
        <v>Met</v>
      </c>
    </row>
    <row r="111" spans="1:22" x14ac:dyDescent="0.35">
      <c r="A111" s="200" t="s">
        <v>131</v>
      </c>
      <c r="B111" s="201">
        <v>2249</v>
      </c>
      <c r="C111" s="201" t="s">
        <v>57</v>
      </c>
      <c r="D111" s="201">
        <v>9</v>
      </c>
      <c r="E111" s="201">
        <v>54762.33</v>
      </c>
      <c r="F111" s="201">
        <v>23766</v>
      </c>
      <c r="G111" s="201">
        <f>'Mail Merge'!$E111+'Mail Merge'!$F111</f>
        <v>78528.33</v>
      </c>
      <c r="H111" s="201">
        <v>0</v>
      </c>
      <c r="I111" s="201" t="s">
        <v>239</v>
      </c>
      <c r="J111" s="201">
        <f>IFERROR('Mail Merge'!$E111/'Mail Merge'!$D111,0)</f>
        <v>6084.7033333333338</v>
      </c>
      <c r="K111" s="201">
        <f>IFERROR('Mail Merge'!$F111/'Mail Merge'!$D111,0)</f>
        <v>2640.6666666666665</v>
      </c>
      <c r="L111" s="201">
        <f>IFERROR('Mail Merge'!$G111/'Mail Merge'!$D111,0)</f>
        <v>8725.3700000000008</v>
      </c>
      <c r="M111" s="201">
        <v>0</v>
      </c>
      <c r="N111" s="201" t="s">
        <v>239</v>
      </c>
      <c r="O111" s="201">
        <v>13525.67</v>
      </c>
      <c r="P111" s="201">
        <v>0</v>
      </c>
      <c r="Q111" s="201">
        <f>'Mail Merge'!$O111+'Mail Merge'!$P111</f>
        <v>13525.67</v>
      </c>
      <c r="R111" s="201"/>
      <c r="S111" s="201"/>
      <c r="T111" s="201"/>
      <c r="U111" s="201">
        <f>IF(AND('Mail Merge'!$I111="Did Not Meet",'Mail Merge'!$N111="Did Not Meet"),MIN(ABS('Mail Merge'!$H111),ABS('Mail Merge'!$M111),'Mail Merge'!$Q111),0)</f>
        <v>0</v>
      </c>
      <c r="V111" s="201" t="str">
        <f>IF(OR(IFERROR(SEARCH("Met",'Mail Merge'!$N111),0)&gt;0,IFERROR(SEARCH("Met",'Mail Merge'!$I111),0)&gt;0),"Met","Not Met")</f>
        <v>Met</v>
      </c>
    </row>
    <row r="112" spans="1:22" x14ac:dyDescent="0.35">
      <c r="A112" s="198" t="s">
        <v>132</v>
      </c>
      <c r="B112" s="199">
        <v>1925</v>
      </c>
      <c r="C112" s="199" t="s">
        <v>57</v>
      </c>
      <c r="D112" s="199">
        <v>463</v>
      </c>
      <c r="E112" s="199">
        <v>3018681.6</v>
      </c>
      <c r="F112" s="199">
        <v>778858</v>
      </c>
      <c r="G112" s="199">
        <f>'Mail Merge'!$E112+'Mail Merge'!$F112</f>
        <v>3797539.6</v>
      </c>
      <c r="H112" s="199">
        <v>0</v>
      </c>
      <c r="I112" s="199" t="s">
        <v>239</v>
      </c>
      <c r="J112" s="199">
        <f>IFERROR('Mail Merge'!$E112/'Mail Merge'!$D112,0)</f>
        <v>6519.8306695464362</v>
      </c>
      <c r="K112" s="199">
        <f>IFERROR('Mail Merge'!$F112/'Mail Merge'!$D112,0)</f>
        <v>1682.1987041036716</v>
      </c>
      <c r="L112" s="199">
        <f>IFERROR('Mail Merge'!$G112/'Mail Merge'!$D112,0)</f>
        <v>8202.029373650108</v>
      </c>
      <c r="M112" s="199">
        <v>0</v>
      </c>
      <c r="N112" s="199" t="s">
        <v>239</v>
      </c>
      <c r="O112" s="199">
        <v>487905.4</v>
      </c>
      <c r="P112" s="199">
        <v>2543.4699999999998</v>
      </c>
      <c r="Q112" s="199">
        <f>'Mail Merge'!$O112+'Mail Merge'!$P112</f>
        <v>490448.87</v>
      </c>
      <c r="R112" s="199"/>
      <c r="S112" s="199"/>
      <c r="T112" s="199"/>
      <c r="U112" s="199">
        <f>IF(AND('Mail Merge'!$I112="Did Not Meet",'Mail Merge'!$N112="Did Not Meet"),MIN(ABS('Mail Merge'!$H112),ABS('Mail Merge'!$M112),'Mail Merge'!$Q112),0)</f>
        <v>0</v>
      </c>
      <c r="V112" s="199" t="str">
        <f>IF(OR(IFERROR(SEARCH("Met",'Mail Merge'!$N112),0)&gt;0,IFERROR(SEARCH("Met",'Mail Merge'!$I112),0)&gt;0),"Met","Not Met")</f>
        <v>Met</v>
      </c>
    </row>
    <row r="113" spans="1:22" x14ac:dyDescent="0.35">
      <c r="A113" s="200" t="s">
        <v>133</v>
      </c>
      <c r="B113" s="201">
        <v>1898</v>
      </c>
      <c r="C113" s="201" t="s">
        <v>57</v>
      </c>
      <c r="D113" s="201">
        <v>57</v>
      </c>
      <c r="E113" s="201">
        <v>743568.47</v>
      </c>
      <c r="F113" s="201">
        <v>41033</v>
      </c>
      <c r="G113" s="201">
        <f>'Mail Merge'!$E113+'Mail Merge'!$F113</f>
        <v>784601.47</v>
      </c>
      <c r="H113" s="201">
        <v>0</v>
      </c>
      <c r="I113" s="201" t="s">
        <v>239</v>
      </c>
      <c r="J113" s="201">
        <f>IFERROR('Mail Merge'!$E113/'Mail Merge'!$D113,0)</f>
        <v>13045.060877192982</v>
      </c>
      <c r="K113" s="201">
        <f>IFERROR('Mail Merge'!$F113/'Mail Merge'!$D113,0)</f>
        <v>719.87719298245611</v>
      </c>
      <c r="L113" s="201">
        <f>IFERROR('Mail Merge'!$G113/'Mail Merge'!$D113,0)</f>
        <v>13764.938070175438</v>
      </c>
      <c r="M113" s="201">
        <v>0</v>
      </c>
      <c r="N113" s="201" t="s">
        <v>239</v>
      </c>
      <c r="O113" s="201">
        <v>79813.94</v>
      </c>
      <c r="P113" s="201">
        <v>1509.32</v>
      </c>
      <c r="Q113" s="201">
        <f>'Mail Merge'!$O113+'Mail Merge'!$P113</f>
        <v>81323.260000000009</v>
      </c>
      <c r="R113" s="201"/>
      <c r="S113" s="201"/>
      <c r="T113" s="201"/>
      <c r="U113" s="201">
        <f>IF(AND('Mail Merge'!$I113="Did Not Meet",'Mail Merge'!$N113="Did Not Meet"),MIN(ABS('Mail Merge'!$H113),ABS('Mail Merge'!$M113),'Mail Merge'!$Q113),0)</f>
        <v>0</v>
      </c>
      <c r="V113" s="201" t="str">
        <f>IF(OR(IFERROR(SEARCH("Met",'Mail Merge'!$N113),0)&gt;0,IFERROR(SEARCH("Met",'Mail Merge'!$I113),0)&gt;0),"Met","Not Met")</f>
        <v>Met</v>
      </c>
    </row>
    <row r="114" spans="1:22" x14ac:dyDescent="0.35">
      <c r="A114" s="198" t="s">
        <v>134</v>
      </c>
      <c r="B114" s="199">
        <v>2010</v>
      </c>
      <c r="C114" s="199" t="s">
        <v>57</v>
      </c>
      <c r="D114" s="199">
        <v>7</v>
      </c>
      <c r="E114" s="199">
        <v>43</v>
      </c>
      <c r="F114" s="199">
        <v>125046.42</v>
      </c>
      <c r="G114" s="199">
        <f>'Mail Merge'!$E114+'Mail Merge'!$F114</f>
        <v>125089.42</v>
      </c>
      <c r="H114" s="199">
        <v>0</v>
      </c>
      <c r="I114" s="199" t="s">
        <v>239</v>
      </c>
      <c r="J114" s="199">
        <f>IFERROR('Mail Merge'!$E114/'Mail Merge'!$D114,0)</f>
        <v>6.1428571428571432</v>
      </c>
      <c r="K114" s="199">
        <f>IFERROR('Mail Merge'!$F114/'Mail Merge'!$D114,0)</f>
        <v>17863.774285714284</v>
      </c>
      <c r="L114" s="199">
        <f>IFERROR('Mail Merge'!$G114/'Mail Merge'!$D114,0)</f>
        <v>17869.917142857143</v>
      </c>
      <c r="M114" s="199">
        <v>0</v>
      </c>
      <c r="N114" s="199" t="s">
        <v>239</v>
      </c>
      <c r="O114" s="199">
        <v>13303.95</v>
      </c>
      <c r="P114" s="199">
        <v>1463.94</v>
      </c>
      <c r="Q114" s="199">
        <f>'Mail Merge'!$O114+'Mail Merge'!$P114</f>
        <v>14767.890000000001</v>
      </c>
      <c r="R114" s="199"/>
      <c r="S114" s="199"/>
      <c r="T114" s="199"/>
      <c r="U114" s="199">
        <f>IF(AND('Mail Merge'!$I114="Did Not Meet",'Mail Merge'!$N114="Did Not Meet"),MIN(ABS('Mail Merge'!$H114),ABS('Mail Merge'!$M114),'Mail Merge'!$Q114),0)</f>
        <v>0</v>
      </c>
      <c r="V114" s="199" t="str">
        <f>IF(OR(IFERROR(SEARCH("Met",'Mail Merge'!$N114),0)&gt;0,IFERROR(SEARCH("Met",'Mail Merge'!$I114),0)&gt;0),"Met","Not Met")</f>
        <v>Met</v>
      </c>
    </row>
    <row r="115" spans="1:22" x14ac:dyDescent="0.35">
      <c r="A115" s="200" t="s">
        <v>135</v>
      </c>
      <c r="B115" s="201">
        <v>2147</v>
      </c>
      <c r="C115" s="201" t="s">
        <v>57</v>
      </c>
      <c r="D115" s="201">
        <v>269</v>
      </c>
      <c r="E115" s="201">
        <v>1550510.84</v>
      </c>
      <c r="F115" s="201">
        <v>431088.23</v>
      </c>
      <c r="G115" s="201">
        <f>'Mail Merge'!$E115+'Mail Merge'!$F115</f>
        <v>1981599.07</v>
      </c>
      <c r="H115" s="201">
        <v>0</v>
      </c>
      <c r="I115" s="201" t="s">
        <v>239</v>
      </c>
      <c r="J115" s="201">
        <f>IFERROR('Mail Merge'!$E115/'Mail Merge'!$D115,0)</f>
        <v>5763.9808178438661</v>
      </c>
      <c r="K115" s="201">
        <f>IFERROR('Mail Merge'!$F115/'Mail Merge'!$D115,0)</f>
        <v>1602.5584758364312</v>
      </c>
      <c r="L115" s="201">
        <f>IFERROR('Mail Merge'!$G115/'Mail Merge'!$D115,0)</f>
        <v>7366.5392936802973</v>
      </c>
      <c r="M115" s="201">
        <v>0</v>
      </c>
      <c r="N115" s="201" t="s">
        <v>239</v>
      </c>
      <c r="O115" s="201">
        <v>360135.63</v>
      </c>
      <c r="P115" s="201">
        <v>1403.09</v>
      </c>
      <c r="Q115" s="201">
        <f>'Mail Merge'!$O115+'Mail Merge'!$P115</f>
        <v>361538.72000000003</v>
      </c>
      <c r="R115" s="201"/>
      <c r="S115" s="201"/>
      <c r="T115" s="201"/>
      <c r="U115" s="201">
        <f>IF(AND('Mail Merge'!$I115="Did Not Meet",'Mail Merge'!$N115="Did Not Meet"),MIN(ABS('Mail Merge'!$H115),ABS('Mail Merge'!$M115),'Mail Merge'!$Q115),0)</f>
        <v>0</v>
      </c>
      <c r="V115" s="201" t="str">
        <f>IF(OR(IFERROR(SEARCH("Met",'Mail Merge'!$N115),0)&gt;0,IFERROR(SEARCH("Met",'Mail Merge'!$I115),0)&gt;0),"Met","Not Met")</f>
        <v>Met</v>
      </c>
    </row>
    <row r="116" spans="1:22" x14ac:dyDescent="0.35">
      <c r="A116" s="198" t="s">
        <v>136</v>
      </c>
      <c r="B116" s="199">
        <v>2145</v>
      </c>
      <c r="C116" s="199" t="s">
        <v>57</v>
      </c>
      <c r="D116" s="199">
        <v>75</v>
      </c>
      <c r="E116" s="199">
        <v>432786.18</v>
      </c>
      <c r="F116" s="199">
        <v>6554.47</v>
      </c>
      <c r="G116" s="199">
        <f>'Mail Merge'!$E116+'Mail Merge'!$F116</f>
        <v>439340.64999999997</v>
      </c>
      <c r="H116" s="199">
        <v>0</v>
      </c>
      <c r="I116" s="199" t="s">
        <v>239</v>
      </c>
      <c r="J116" s="199">
        <f>IFERROR('Mail Merge'!$E116/'Mail Merge'!$D116,0)</f>
        <v>5770.4823999999999</v>
      </c>
      <c r="K116" s="199">
        <f>IFERROR('Mail Merge'!$F116/'Mail Merge'!$D116,0)</f>
        <v>87.392933333333332</v>
      </c>
      <c r="L116" s="199">
        <f>IFERROR('Mail Merge'!$G116/'Mail Merge'!$D116,0)</f>
        <v>5857.8753333333325</v>
      </c>
      <c r="M116" s="199">
        <v>0</v>
      </c>
      <c r="N116" s="199" t="s">
        <v>239</v>
      </c>
      <c r="O116" s="199">
        <v>114982.47</v>
      </c>
      <c r="P116" s="199">
        <v>0</v>
      </c>
      <c r="Q116" s="199">
        <f>'Mail Merge'!$O116+'Mail Merge'!$P116</f>
        <v>114982.47</v>
      </c>
      <c r="R116" s="199"/>
      <c r="S116" s="199"/>
      <c r="T116" s="199"/>
      <c r="U116" s="199">
        <f>IF(AND('Mail Merge'!$I116="Did Not Meet",'Mail Merge'!$N116="Did Not Meet"),MIN(ABS('Mail Merge'!$H116),ABS('Mail Merge'!$M116),'Mail Merge'!$Q116),0)</f>
        <v>0</v>
      </c>
      <c r="V116" s="199" t="str">
        <f>IF(OR(IFERROR(SEARCH("Met",'Mail Merge'!$N116),0)&gt;0,IFERROR(SEARCH("Met",'Mail Merge'!$I116),0)&gt;0),"Met","Not Met")</f>
        <v>Met</v>
      </c>
    </row>
    <row r="117" spans="1:22" x14ac:dyDescent="0.35">
      <c r="A117" s="200" t="s">
        <v>137</v>
      </c>
      <c r="B117" s="201">
        <v>1968</v>
      </c>
      <c r="C117" s="201" t="s">
        <v>57</v>
      </c>
      <c r="D117" s="201">
        <v>107</v>
      </c>
      <c r="E117" s="201">
        <v>573474.09</v>
      </c>
      <c r="F117" s="201">
        <v>320627.68</v>
      </c>
      <c r="G117" s="201">
        <f>'Mail Merge'!$E117+'Mail Merge'!$F117</f>
        <v>894101.77</v>
      </c>
      <c r="H117" s="201">
        <v>0</v>
      </c>
      <c r="I117" s="201" t="s">
        <v>239</v>
      </c>
      <c r="J117" s="201">
        <f>IFERROR('Mail Merge'!$E117/'Mail Merge'!$D117,0)</f>
        <v>5359.5709345794394</v>
      </c>
      <c r="K117" s="201">
        <f>IFERROR('Mail Merge'!$F117/'Mail Merge'!$D117,0)</f>
        <v>2996.5203738317755</v>
      </c>
      <c r="L117" s="201">
        <f>IFERROR('Mail Merge'!$G117/'Mail Merge'!$D117,0)</f>
        <v>8356.0913084112144</v>
      </c>
      <c r="M117" s="201">
        <v>0</v>
      </c>
      <c r="N117" s="201" t="s">
        <v>239</v>
      </c>
      <c r="O117" s="201">
        <v>150281.49</v>
      </c>
      <c r="P117" s="201">
        <v>0</v>
      </c>
      <c r="Q117" s="201">
        <f>'Mail Merge'!$O117+'Mail Merge'!$P117</f>
        <v>150281.49</v>
      </c>
      <c r="R117" s="201"/>
      <c r="S117" s="201"/>
      <c r="T117" s="201"/>
      <c r="U117" s="201">
        <f>IF(AND('Mail Merge'!$I117="Did Not Meet",'Mail Merge'!$N117="Did Not Meet"),MIN(ABS('Mail Merge'!$H117),ABS('Mail Merge'!$M117),'Mail Merge'!$Q117),0)</f>
        <v>0</v>
      </c>
      <c r="V117" s="201" t="str">
        <f>IF(OR(IFERROR(SEARCH("Met",'Mail Merge'!$N117),0)&gt;0,IFERROR(SEARCH("Met",'Mail Merge'!$I117),0)&gt;0),"Met","Not Met")</f>
        <v>Met</v>
      </c>
    </row>
    <row r="118" spans="1:22" x14ac:dyDescent="0.35">
      <c r="A118" s="198" t="s">
        <v>138</v>
      </c>
      <c r="B118" s="199">
        <v>2198</v>
      </c>
      <c r="C118" s="199" t="s">
        <v>57</v>
      </c>
      <c r="D118" s="199">
        <v>77</v>
      </c>
      <c r="E118" s="199">
        <v>1132853.52</v>
      </c>
      <c r="F118" s="199">
        <v>183190</v>
      </c>
      <c r="G118" s="199">
        <f>'Mail Merge'!$E118+'Mail Merge'!$F118</f>
        <v>1316043.52</v>
      </c>
      <c r="H118" s="199">
        <v>0</v>
      </c>
      <c r="I118" s="199" t="s">
        <v>239</v>
      </c>
      <c r="J118" s="199">
        <f>IFERROR('Mail Merge'!$E118/'Mail Merge'!$D118,0)</f>
        <v>14712.383376623377</v>
      </c>
      <c r="K118" s="199">
        <f>IFERROR('Mail Merge'!$F118/'Mail Merge'!$D118,0)</f>
        <v>2379.090909090909</v>
      </c>
      <c r="L118" s="199">
        <f>IFERROR('Mail Merge'!$G118/'Mail Merge'!$D118,0)</f>
        <v>17091.474285714285</v>
      </c>
      <c r="M118" s="199">
        <v>0</v>
      </c>
      <c r="N118" s="199" t="s">
        <v>239</v>
      </c>
      <c r="O118" s="199">
        <v>112129.5</v>
      </c>
      <c r="P118" s="199">
        <v>1182.74</v>
      </c>
      <c r="Q118" s="199">
        <f>'Mail Merge'!$O118+'Mail Merge'!$P118</f>
        <v>113312.24</v>
      </c>
      <c r="R118" s="199"/>
      <c r="S118" s="199"/>
      <c r="T118" s="199"/>
      <c r="U118" s="199">
        <f>IF(AND('Mail Merge'!$I118="Did Not Meet",'Mail Merge'!$N118="Did Not Meet"),MIN(ABS('Mail Merge'!$H118),ABS('Mail Merge'!$M118),'Mail Merge'!$Q118),0)</f>
        <v>0</v>
      </c>
      <c r="V118" s="199" t="str">
        <f>IF(OR(IFERROR(SEARCH("Met",'Mail Merge'!$N118),0)&gt;0,IFERROR(SEARCH("Met",'Mail Merge'!$I118),0)&gt;0),"Met","Not Met")</f>
        <v>Met</v>
      </c>
    </row>
    <row r="119" spans="1:22" x14ac:dyDescent="0.35">
      <c r="A119" s="200" t="s">
        <v>139</v>
      </c>
      <c r="B119" s="201">
        <v>2199</v>
      </c>
      <c r="C119" s="201" t="s">
        <v>57</v>
      </c>
      <c r="D119" s="201">
        <v>92</v>
      </c>
      <c r="E119" s="201">
        <v>578685.34</v>
      </c>
      <c r="F119" s="201">
        <v>158279</v>
      </c>
      <c r="G119" s="201">
        <f>'Mail Merge'!$E119+'Mail Merge'!$F119</f>
        <v>736964.34</v>
      </c>
      <c r="H119" s="201">
        <v>0</v>
      </c>
      <c r="I119" s="201" t="s">
        <v>239</v>
      </c>
      <c r="J119" s="201">
        <f>IFERROR('Mail Merge'!$E119/'Mail Merge'!$D119,0)</f>
        <v>6290.0580434782605</v>
      </c>
      <c r="K119" s="201">
        <f>IFERROR('Mail Merge'!$F119/'Mail Merge'!$D119,0)</f>
        <v>1720.4239130434783</v>
      </c>
      <c r="L119" s="201">
        <f>IFERROR('Mail Merge'!$G119/'Mail Merge'!$D119,0)</f>
        <v>8010.4819565217385</v>
      </c>
      <c r="M119" s="201">
        <v>0</v>
      </c>
      <c r="N119" s="201" t="s">
        <v>239</v>
      </c>
      <c r="O119" s="201">
        <v>110195.72</v>
      </c>
      <c r="P119" s="201">
        <v>0</v>
      </c>
      <c r="Q119" s="201">
        <f>'Mail Merge'!$O119+'Mail Merge'!$P119</f>
        <v>110195.72</v>
      </c>
      <c r="R119" s="201"/>
      <c r="S119" s="201"/>
      <c r="T119" s="201"/>
      <c r="U119" s="201">
        <f>IF(AND('Mail Merge'!$I119="Did Not Meet",'Mail Merge'!$N119="Did Not Meet"),MIN(ABS('Mail Merge'!$H119),ABS('Mail Merge'!$M119),'Mail Merge'!$Q119),0)</f>
        <v>0</v>
      </c>
      <c r="V119" s="201" t="str">
        <f>IF(OR(IFERROR(SEARCH("Met",'Mail Merge'!$N119),0)&gt;0,IFERROR(SEARCH("Met",'Mail Merge'!$I119),0)&gt;0),"Met","Not Met")</f>
        <v>Met</v>
      </c>
    </row>
    <row r="120" spans="1:22" x14ac:dyDescent="0.35">
      <c r="A120" s="198" t="s">
        <v>140</v>
      </c>
      <c r="B120" s="199">
        <v>2254</v>
      </c>
      <c r="C120" s="199" t="s">
        <v>57</v>
      </c>
      <c r="D120" s="199">
        <v>648</v>
      </c>
      <c r="E120" s="199">
        <v>4433886.16</v>
      </c>
      <c r="F120" s="199">
        <v>369640.48</v>
      </c>
      <c r="G120" s="199">
        <f>'Mail Merge'!$E120+'Mail Merge'!$F120</f>
        <v>4803526.6400000006</v>
      </c>
      <c r="H120" s="199">
        <v>0</v>
      </c>
      <c r="I120" s="199" t="s">
        <v>239</v>
      </c>
      <c r="J120" s="199">
        <f>IFERROR('Mail Merge'!$E120/'Mail Merge'!$D120,0)</f>
        <v>6842.4169135802467</v>
      </c>
      <c r="K120" s="199">
        <f>IFERROR('Mail Merge'!$F120/'Mail Merge'!$D120,0)</f>
        <v>570.43283950617285</v>
      </c>
      <c r="L120" s="199">
        <f>IFERROR('Mail Merge'!$G120/'Mail Merge'!$D120,0)</f>
        <v>7412.8497530864206</v>
      </c>
      <c r="M120" s="199">
        <v>0</v>
      </c>
      <c r="N120" s="199" t="s">
        <v>239</v>
      </c>
      <c r="O120" s="199">
        <v>796814.3</v>
      </c>
      <c r="P120" s="199">
        <v>5504.32</v>
      </c>
      <c r="Q120" s="199">
        <f>'Mail Merge'!$O120+'Mail Merge'!$P120</f>
        <v>802318.62</v>
      </c>
      <c r="R120" s="199"/>
      <c r="S120" s="199"/>
      <c r="T120" s="199"/>
      <c r="U120" s="199">
        <f>IF(AND('Mail Merge'!$I120="Did Not Meet",'Mail Merge'!$N120="Did Not Meet"),MIN(ABS('Mail Merge'!$H120),ABS('Mail Merge'!$M120),'Mail Merge'!$Q120),0)</f>
        <v>0</v>
      </c>
      <c r="V120" s="199" t="str">
        <f>IF(OR(IFERROR(SEARCH("Met",'Mail Merge'!$N120),0)&gt;0,IFERROR(SEARCH("Met",'Mail Merge'!$I120),0)&gt;0),"Met","Not Met")</f>
        <v>Met</v>
      </c>
    </row>
    <row r="121" spans="1:22" x14ac:dyDescent="0.35">
      <c r="A121" s="200" t="s">
        <v>141</v>
      </c>
      <c r="B121" s="201">
        <v>1966</v>
      </c>
      <c r="C121" s="201" t="s">
        <v>57</v>
      </c>
      <c r="D121" s="201">
        <v>263</v>
      </c>
      <c r="E121" s="201">
        <v>1981675.15</v>
      </c>
      <c r="F121" s="201">
        <v>949974.02</v>
      </c>
      <c r="G121" s="201">
        <f>'Mail Merge'!$E121+'Mail Merge'!$F121</f>
        <v>2931649.17</v>
      </c>
      <c r="H121" s="201">
        <v>0</v>
      </c>
      <c r="I121" s="201" t="s">
        <v>239</v>
      </c>
      <c r="J121" s="201">
        <f>IFERROR('Mail Merge'!$E121/'Mail Merge'!$D121,0)</f>
        <v>7534.88650190114</v>
      </c>
      <c r="K121" s="201">
        <f>IFERROR('Mail Merge'!$F121/'Mail Merge'!$D121,0)</f>
        <v>3612.0685171102664</v>
      </c>
      <c r="L121" s="201">
        <f>IFERROR('Mail Merge'!$G121/'Mail Merge'!$D121,0)</f>
        <v>11146.955019011406</v>
      </c>
      <c r="M121" s="201">
        <v>0</v>
      </c>
      <c r="N121" s="201" t="s">
        <v>239</v>
      </c>
      <c r="O121" s="201">
        <v>433136.33</v>
      </c>
      <c r="P121" s="201">
        <v>1887.96</v>
      </c>
      <c r="Q121" s="201">
        <f>'Mail Merge'!$O121+'Mail Merge'!$P121</f>
        <v>435024.29000000004</v>
      </c>
      <c r="R121" s="201"/>
      <c r="S121" s="201"/>
      <c r="T121" s="201"/>
      <c r="U121" s="201">
        <f>IF(AND('Mail Merge'!$I121="Did Not Meet",'Mail Merge'!$N121="Did Not Meet"),MIN(ABS('Mail Merge'!$H121),ABS('Mail Merge'!$M121),'Mail Merge'!$Q121),0)</f>
        <v>0</v>
      </c>
      <c r="V121" s="201" t="str">
        <f>IF(OR(IFERROR(SEARCH("Met",'Mail Merge'!$N121),0)&gt;0,IFERROR(SEARCH("Met",'Mail Merge'!$I121),0)&gt;0),"Met","Not Met")</f>
        <v>Met</v>
      </c>
    </row>
    <row r="122" spans="1:22" x14ac:dyDescent="0.35">
      <c r="A122" s="198" t="s">
        <v>142</v>
      </c>
      <c r="B122" s="199">
        <v>1924</v>
      </c>
      <c r="C122" s="199" t="s">
        <v>57</v>
      </c>
      <c r="D122" s="199">
        <v>2247</v>
      </c>
      <c r="E122" s="199">
        <v>15114186.949999999</v>
      </c>
      <c r="F122" s="199">
        <v>2401202</v>
      </c>
      <c r="G122" s="199">
        <f>'Mail Merge'!$E122+'Mail Merge'!$F122</f>
        <v>17515388.949999999</v>
      </c>
      <c r="H122" s="199">
        <v>0</v>
      </c>
      <c r="I122" s="199" t="s">
        <v>239</v>
      </c>
      <c r="J122" s="199">
        <f>IFERROR('Mail Merge'!$E122/'Mail Merge'!$D122,0)</f>
        <v>6726.3849354695149</v>
      </c>
      <c r="K122" s="199">
        <f>IFERROR('Mail Merge'!$F122/'Mail Merge'!$D122,0)</f>
        <v>1068.6257231864709</v>
      </c>
      <c r="L122" s="199">
        <f>IFERROR('Mail Merge'!$G122/'Mail Merge'!$D122,0)</f>
        <v>7795.010658655985</v>
      </c>
      <c r="M122" s="199">
        <v>0</v>
      </c>
      <c r="N122" s="199" t="s">
        <v>239</v>
      </c>
      <c r="O122" s="199">
        <v>2571847.66</v>
      </c>
      <c r="P122" s="199">
        <v>13283.96</v>
      </c>
      <c r="Q122" s="199">
        <f>'Mail Merge'!$O122+'Mail Merge'!$P122</f>
        <v>2585131.62</v>
      </c>
      <c r="R122" s="199"/>
      <c r="S122" s="199"/>
      <c r="T122" s="199"/>
      <c r="U122" s="199">
        <f>IF(AND('Mail Merge'!$I122="Did Not Meet",'Mail Merge'!$N122="Did Not Meet"),MIN(ABS('Mail Merge'!$H122),ABS('Mail Merge'!$M122),'Mail Merge'!$Q122),0)</f>
        <v>0</v>
      </c>
      <c r="V122" s="199" t="str">
        <f>IF(OR(IFERROR(SEARCH("Met",'Mail Merge'!$N122),0)&gt;0,IFERROR(SEARCH("Met",'Mail Merge'!$I122),0)&gt;0),"Met","Not Met")</f>
        <v>Met</v>
      </c>
    </row>
    <row r="123" spans="1:22" x14ac:dyDescent="0.35">
      <c r="A123" s="200" t="s">
        <v>143</v>
      </c>
      <c r="B123" s="201">
        <v>1996</v>
      </c>
      <c r="C123" s="201" t="s">
        <v>57</v>
      </c>
      <c r="D123" s="201">
        <v>55</v>
      </c>
      <c r="E123" s="201">
        <v>412573.84</v>
      </c>
      <c r="F123" s="201">
        <v>74078.179999999993</v>
      </c>
      <c r="G123" s="201">
        <f>'Mail Merge'!$E123+'Mail Merge'!$F123</f>
        <v>486652.02</v>
      </c>
      <c r="H123" s="201">
        <v>0</v>
      </c>
      <c r="I123" s="201" t="s">
        <v>239</v>
      </c>
      <c r="J123" s="201">
        <f>IFERROR('Mail Merge'!$E123/'Mail Merge'!$D123,0)</f>
        <v>7501.3425454545459</v>
      </c>
      <c r="K123" s="201">
        <f>IFERROR('Mail Merge'!$F123/'Mail Merge'!$D123,0)</f>
        <v>1346.876</v>
      </c>
      <c r="L123" s="201">
        <f>IFERROR('Mail Merge'!$G123/'Mail Merge'!$D123,0)</f>
        <v>8848.2185454545452</v>
      </c>
      <c r="M123" s="201">
        <v>0</v>
      </c>
      <c r="N123" s="201" t="s">
        <v>239</v>
      </c>
      <c r="O123" s="201">
        <v>66639.490000000005</v>
      </c>
      <c r="P123" s="201">
        <v>254.85</v>
      </c>
      <c r="Q123" s="201">
        <f>'Mail Merge'!$O123+'Mail Merge'!$P123</f>
        <v>66894.340000000011</v>
      </c>
      <c r="R123" s="201"/>
      <c r="S123" s="201"/>
      <c r="T123" s="201"/>
      <c r="U123" s="201">
        <f>IF(AND('Mail Merge'!$I123="Did Not Meet",'Mail Merge'!$N123="Did Not Meet"),MIN(ABS('Mail Merge'!$H123),ABS('Mail Merge'!$M123),'Mail Merge'!$Q123),0)</f>
        <v>0</v>
      </c>
      <c r="V123" s="201" t="str">
        <f>IF(OR(IFERROR(SEARCH("Met",'Mail Merge'!$N123),0)&gt;0,IFERROR(SEARCH("Met",'Mail Merge'!$I123),0)&gt;0),"Met","Not Met")</f>
        <v>Met</v>
      </c>
    </row>
    <row r="124" spans="1:22" x14ac:dyDescent="0.35">
      <c r="A124" s="198" t="s">
        <v>144</v>
      </c>
      <c r="B124" s="199">
        <v>2061</v>
      </c>
      <c r="C124" s="199" t="s">
        <v>57</v>
      </c>
      <c r="D124" s="199">
        <v>35</v>
      </c>
      <c r="E124" s="199">
        <v>148510.96</v>
      </c>
      <c r="F124" s="199">
        <v>56000.480000000003</v>
      </c>
      <c r="G124" s="199">
        <f>'Mail Merge'!$E124+'Mail Merge'!$F124</f>
        <v>204511.44</v>
      </c>
      <c r="H124" s="199">
        <v>0</v>
      </c>
      <c r="I124" s="199" t="s">
        <v>239</v>
      </c>
      <c r="J124" s="199">
        <f>IFERROR('Mail Merge'!$E124/'Mail Merge'!$D124,0)</f>
        <v>4243.1702857142855</v>
      </c>
      <c r="K124" s="199">
        <f>IFERROR('Mail Merge'!$F124/'Mail Merge'!$D124,0)</f>
        <v>1600.0137142857143</v>
      </c>
      <c r="L124" s="199">
        <f>IFERROR('Mail Merge'!$G124/'Mail Merge'!$D124,0)</f>
        <v>5843.1840000000002</v>
      </c>
      <c r="M124" s="199">
        <v>0</v>
      </c>
      <c r="N124" s="199" t="s">
        <v>239</v>
      </c>
      <c r="O124" s="199">
        <v>52014.559999999998</v>
      </c>
      <c r="P124" s="199">
        <v>820.49</v>
      </c>
      <c r="Q124" s="199">
        <f>'Mail Merge'!$O124+'Mail Merge'!$P124</f>
        <v>52835.049999999996</v>
      </c>
      <c r="R124" s="199"/>
      <c r="S124" s="199"/>
      <c r="T124" s="199"/>
      <c r="U124" s="199">
        <f>IF(AND('Mail Merge'!$I124="Did Not Meet",'Mail Merge'!$N124="Did Not Meet"),MIN(ABS('Mail Merge'!$H124),ABS('Mail Merge'!$M124),'Mail Merge'!$Q124),0)</f>
        <v>0</v>
      </c>
      <c r="V124" s="199" t="str">
        <f>IF(OR(IFERROR(SEARCH("Met",'Mail Merge'!$N124),0)&gt;0,IFERROR(SEARCH("Met",'Mail Merge'!$I124),0)&gt;0),"Met","Not Met")</f>
        <v>Met</v>
      </c>
    </row>
    <row r="125" spans="1:22" x14ac:dyDescent="0.35">
      <c r="A125" s="200" t="s">
        <v>145</v>
      </c>
      <c r="B125" s="201">
        <v>2141</v>
      </c>
      <c r="C125" s="201" t="s">
        <v>57</v>
      </c>
      <c r="D125" s="201">
        <v>246</v>
      </c>
      <c r="E125" s="201">
        <v>2000199.35</v>
      </c>
      <c r="F125" s="201">
        <v>213369.32</v>
      </c>
      <c r="G125" s="201">
        <f>'Mail Merge'!$E125+'Mail Merge'!$F125</f>
        <v>2213568.67</v>
      </c>
      <c r="H125" s="201">
        <v>0</v>
      </c>
      <c r="I125" s="201" t="s">
        <v>239</v>
      </c>
      <c r="J125" s="201">
        <f>IFERROR('Mail Merge'!$E125/'Mail Merge'!$D125,0)</f>
        <v>8130.8916666666673</v>
      </c>
      <c r="K125" s="201">
        <f>IFERROR('Mail Merge'!$F125/'Mail Merge'!$D125,0)</f>
        <v>867.35495934959351</v>
      </c>
      <c r="L125" s="201">
        <f>IFERROR('Mail Merge'!$G125/'Mail Merge'!$D125,0)</f>
        <v>8998.2466260162601</v>
      </c>
      <c r="M125" s="201">
        <v>0</v>
      </c>
      <c r="N125" s="201" t="s">
        <v>239</v>
      </c>
      <c r="O125" s="201">
        <v>253065.89</v>
      </c>
      <c r="P125" s="201">
        <v>1598.9</v>
      </c>
      <c r="Q125" s="201">
        <f>'Mail Merge'!$O125+'Mail Merge'!$P125</f>
        <v>254664.79</v>
      </c>
      <c r="R125" s="201"/>
      <c r="S125" s="201"/>
      <c r="T125" s="201"/>
      <c r="U125" s="201">
        <f>IF(AND('Mail Merge'!$I125="Did Not Meet",'Mail Merge'!$N125="Did Not Meet"),MIN(ABS('Mail Merge'!$H125),ABS('Mail Merge'!$M125),'Mail Merge'!$Q125),0)</f>
        <v>0</v>
      </c>
      <c r="V125" s="201" t="str">
        <f>IF(OR(IFERROR(SEARCH("Met",'Mail Merge'!$N125),0)&gt;0,IFERROR(SEARCH("Met",'Mail Merge'!$I125),0)&gt;0),"Met","Not Met")</f>
        <v>Met</v>
      </c>
    </row>
    <row r="126" spans="1:22" x14ac:dyDescent="0.35">
      <c r="A126" s="198" t="s">
        <v>146</v>
      </c>
      <c r="B126" s="199">
        <v>2214</v>
      </c>
      <c r="C126" s="199" t="s">
        <v>57</v>
      </c>
      <c r="D126" s="199">
        <v>0</v>
      </c>
      <c r="E126" s="199">
        <v>161611.89000000001</v>
      </c>
      <c r="F126" s="199">
        <v>0</v>
      </c>
      <c r="G126" s="199">
        <f>'Mail Merge'!$E126+'Mail Merge'!$F126</f>
        <v>161611.89000000001</v>
      </c>
      <c r="H126" s="199">
        <v>0</v>
      </c>
      <c r="I126" s="199"/>
      <c r="J126" s="199">
        <f>IFERROR('Mail Merge'!$E126/'Mail Merge'!$D126,0)</f>
        <v>0</v>
      </c>
      <c r="K126" s="199">
        <f>IFERROR('Mail Merge'!$F126/'Mail Merge'!$D126,0)</f>
        <v>0</v>
      </c>
      <c r="L126" s="199">
        <f>IFERROR('Mail Merge'!$G126/'Mail Merge'!$D126,0)</f>
        <v>0</v>
      </c>
      <c r="M126" s="199">
        <v>0</v>
      </c>
      <c r="N126" s="199"/>
      <c r="O126" s="199">
        <v>42121.08</v>
      </c>
      <c r="P126" s="199">
        <v>514.15</v>
      </c>
      <c r="Q126" s="199">
        <f>'Mail Merge'!$O126+'Mail Merge'!$P126</f>
        <v>42635.23</v>
      </c>
      <c r="R126" s="199"/>
      <c r="S126" s="199"/>
      <c r="T126" s="199"/>
      <c r="U126" s="199">
        <f>IF(AND('Mail Merge'!$I126="Did Not Meet",'Mail Merge'!$N126="Did Not Meet"),MIN(ABS('Mail Merge'!$H126),ABS('Mail Merge'!$M126),'Mail Merge'!$Q126),0)</f>
        <v>0</v>
      </c>
      <c r="V126" s="199" t="str">
        <f>IF(OR(IFERROR(SEARCH("Met",'Mail Merge'!$N126),0)&gt;0,IFERROR(SEARCH("Met",'Mail Merge'!$I126),0)&gt;0),"Met","Not Met")</f>
        <v>Not Met</v>
      </c>
    </row>
    <row r="127" spans="1:22" x14ac:dyDescent="0.35">
      <c r="A127" s="200" t="s">
        <v>147</v>
      </c>
      <c r="B127" s="201">
        <v>2143</v>
      </c>
      <c r="C127" s="201" t="s">
        <v>57</v>
      </c>
      <c r="D127" s="201">
        <v>249</v>
      </c>
      <c r="E127" s="201">
        <v>2127104.06</v>
      </c>
      <c r="F127" s="201">
        <v>146369.14000000001</v>
      </c>
      <c r="G127" s="201">
        <f>'Mail Merge'!$E127+'Mail Merge'!$F127</f>
        <v>2273473.2000000002</v>
      </c>
      <c r="H127" s="201">
        <v>0</v>
      </c>
      <c r="I127" s="201" t="s">
        <v>239</v>
      </c>
      <c r="J127" s="201">
        <f>IFERROR('Mail Merge'!$E127/'Mail Merge'!$D127,0)</f>
        <v>8542.5865863453819</v>
      </c>
      <c r="K127" s="201">
        <f>IFERROR('Mail Merge'!$F127/'Mail Merge'!$D127,0)</f>
        <v>587.82787148594389</v>
      </c>
      <c r="L127" s="201">
        <f>IFERROR('Mail Merge'!$G127/'Mail Merge'!$D127,0)</f>
        <v>9130.4144578313262</v>
      </c>
      <c r="M127" s="201">
        <v>0</v>
      </c>
      <c r="N127" s="201" t="s">
        <v>239</v>
      </c>
      <c r="O127" s="201">
        <v>440694.23</v>
      </c>
      <c r="P127" s="201">
        <v>2373.2600000000002</v>
      </c>
      <c r="Q127" s="201">
        <f>'Mail Merge'!$O127+'Mail Merge'!$P127</f>
        <v>443067.49</v>
      </c>
      <c r="R127" s="201"/>
      <c r="S127" s="201"/>
      <c r="T127" s="201"/>
      <c r="U127" s="201">
        <f>IF(AND('Mail Merge'!$I127="Did Not Meet",'Mail Merge'!$N127="Did Not Meet"),MIN(ABS('Mail Merge'!$H127),ABS('Mail Merge'!$M127),'Mail Merge'!$Q127),0)</f>
        <v>0</v>
      </c>
      <c r="V127" s="201" t="str">
        <f>IF(OR(IFERROR(SEARCH("Met",'Mail Merge'!$N127),0)&gt;0,IFERROR(SEARCH("Met",'Mail Merge'!$I127),0)&gt;0),"Met","Not Met")</f>
        <v>Met</v>
      </c>
    </row>
    <row r="128" spans="1:22" x14ac:dyDescent="0.35">
      <c r="A128" s="198" t="s">
        <v>148</v>
      </c>
      <c r="B128" s="199">
        <v>4131</v>
      </c>
      <c r="C128" s="199" t="s">
        <v>57</v>
      </c>
      <c r="D128" s="199">
        <v>430</v>
      </c>
      <c r="E128" s="199">
        <v>3016171.95</v>
      </c>
      <c r="F128" s="199">
        <v>0</v>
      </c>
      <c r="G128" s="199">
        <f>'Mail Merge'!$E128+'Mail Merge'!$F128</f>
        <v>3016171.95</v>
      </c>
      <c r="H128" s="199">
        <v>0</v>
      </c>
      <c r="I128" s="199" t="s">
        <v>239</v>
      </c>
      <c r="J128" s="199">
        <f>IFERROR('Mail Merge'!$E128/'Mail Merge'!$D128,0)</f>
        <v>7014.3533720930236</v>
      </c>
      <c r="K128" s="199">
        <f>IFERROR('Mail Merge'!$F128/'Mail Merge'!$D128,0)</f>
        <v>0</v>
      </c>
      <c r="L128" s="199">
        <f>IFERROR('Mail Merge'!$G128/'Mail Merge'!$D128,0)</f>
        <v>7014.3533720930236</v>
      </c>
      <c r="M128" s="199">
        <v>0</v>
      </c>
      <c r="N128" s="199" t="s">
        <v>239</v>
      </c>
      <c r="O128" s="199">
        <v>538873.92000000004</v>
      </c>
      <c r="P128" s="199">
        <v>7210.62</v>
      </c>
      <c r="Q128" s="199">
        <f>'Mail Merge'!$O128+'Mail Merge'!$P128</f>
        <v>546084.54</v>
      </c>
      <c r="R128" s="199"/>
      <c r="S128" s="199"/>
      <c r="T128" s="199"/>
      <c r="U128" s="199">
        <f>IF(AND('Mail Merge'!$I128="Did Not Meet",'Mail Merge'!$N128="Did Not Meet"),MIN(ABS('Mail Merge'!$H128),ABS('Mail Merge'!$M128),'Mail Merge'!$Q128),0)</f>
        <v>0</v>
      </c>
      <c r="V128" s="199" t="str">
        <f>IF(OR(IFERROR(SEARCH("Met",'Mail Merge'!$N128),0)&gt;0,IFERROR(SEARCH("Met",'Mail Merge'!$I128),0)&gt;0),"Met","Not Met")</f>
        <v>Met</v>
      </c>
    </row>
    <row r="129" spans="1:22" x14ac:dyDescent="0.35">
      <c r="A129" s="200" t="s">
        <v>149</v>
      </c>
      <c r="B129" s="201">
        <v>2110</v>
      </c>
      <c r="C129" s="201" t="s">
        <v>57</v>
      </c>
      <c r="D129" s="201">
        <v>138</v>
      </c>
      <c r="E129" s="201">
        <v>695142</v>
      </c>
      <c r="F129" s="201">
        <v>324977.62</v>
      </c>
      <c r="G129" s="201">
        <f>'Mail Merge'!$E129+'Mail Merge'!$F129</f>
        <v>1020119.62</v>
      </c>
      <c r="H129" s="201">
        <v>0</v>
      </c>
      <c r="I129" s="201" t="s">
        <v>239</v>
      </c>
      <c r="J129" s="201">
        <f>IFERROR('Mail Merge'!$E129/'Mail Merge'!$D129,0)</f>
        <v>5037.260869565217</v>
      </c>
      <c r="K129" s="201">
        <f>IFERROR('Mail Merge'!$F129/'Mail Merge'!$D129,0)</f>
        <v>2354.9102898550723</v>
      </c>
      <c r="L129" s="201">
        <f>IFERROR('Mail Merge'!$G129/'Mail Merge'!$D129,0)</f>
        <v>7392.1711594202898</v>
      </c>
      <c r="M129" s="201">
        <v>0</v>
      </c>
      <c r="N129" s="201" t="s">
        <v>239</v>
      </c>
      <c r="O129" s="201">
        <v>211955.02</v>
      </c>
      <c r="P129" s="201">
        <v>1806.35</v>
      </c>
      <c r="Q129" s="201">
        <f>'Mail Merge'!$O129+'Mail Merge'!$P129</f>
        <v>213761.37</v>
      </c>
      <c r="R129" s="201"/>
      <c r="S129" s="201"/>
      <c r="T129" s="201"/>
      <c r="U129" s="201">
        <f>IF(AND('Mail Merge'!$I129="Did Not Meet",'Mail Merge'!$N129="Did Not Meet"),MIN(ABS('Mail Merge'!$H129),ABS('Mail Merge'!$M129),'Mail Merge'!$Q129),0)</f>
        <v>0</v>
      </c>
      <c r="V129" s="201" t="str">
        <f>IF(OR(IFERROR(SEARCH("Met",'Mail Merge'!$N129),0)&gt;0,IFERROR(SEARCH("Met",'Mail Merge'!$I129),0)&gt;0),"Met","Not Met")</f>
        <v>Met</v>
      </c>
    </row>
    <row r="130" spans="1:22" x14ac:dyDescent="0.35">
      <c r="A130" s="198" t="s">
        <v>150</v>
      </c>
      <c r="B130" s="199">
        <v>1990</v>
      </c>
      <c r="C130" s="199" t="s">
        <v>57</v>
      </c>
      <c r="D130" s="199">
        <v>55</v>
      </c>
      <c r="E130" s="199">
        <v>306498.43</v>
      </c>
      <c r="F130" s="199">
        <v>88844.5</v>
      </c>
      <c r="G130" s="199">
        <f>'Mail Merge'!$E130+'Mail Merge'!$F130</f>
        <v>395342.93</v>
      </c>
      <c r="H130" s="199">
        <v>0</v>
      </c>
      <c r="I130" s="199" t="s">
        <v>239</v>
      </c>
      <c r="J130" s="199">
        <f>IFERROR('Mail Merge'!$E130/'Mail Merge'!$D130,0)</f>
        <v>5572.6987272727274</v>
      </c>
      <c r="K130" s="199">
        <f>IFERROR('Mail Merge'!$F130/'Mail Merge'!$D130,0)</f>
        <v>1615.3545454545454</v>
      </c>
      <c r="L130" s="199">
        <f>IFERROR('Mail Merge'!$G130/'Mail Merge'!$D130,0)</f>
        <v>7188.053272727273</v>
      </c>
      <c r="M130" s="199">
        <v>0</v>
      </c>
      <c r="N130" s="199" t="s">
        <v>239</v>
      </c>
      <c r="O130" s="199">
        <v>96720.41</v>
      </c>
      <c r="P130" s="199">
        <v>1329.58</v>
      </c>
      <c r="Q130" s="199">
        <f>'Mail Merge'!$O130+'Mail Merge'!$P130</f>
        <v>98049.99</v>
      </c>
      <c r="R130" s="199"/>
      <c r="S130" s="199"/>
      <c r="T130" s="199"/>
      <c r="U130" s="199">
        <f>IF(AND('Mail Merge'!$I130="Did Not Meet",'Mail Merge'!$N130="Did Not Meet"),MIN(ABS('Mail Merge'!$H130),ABS('Mail Merge'!$M130),'Mail Merge'!$Q130),0)</f>
        <v>0</v>
      </c>
      <c r="V130" s="199" t="str">
        <f>IF(OR(IFERROR(SEARCH("Met",'Mail Merge'!$N130),0)&gt;0,IFERROR(SEARCH("Met",'Mail Merge'!$I130),0)&gt;0),"Met","Not Met")</f>
        <v>Met</v>
      </c>
    </row>
    <row r="131" spans="1:22" x14ac:dyDescent="0.35">
      <c r="A131" s="200" t="s">
        <v>151</v>
      </c>
      <c r="B131" s="201">
        <v>2093</v>
      </c>
      <c r="C131" s="201" t="s">
        <v>57</v>
      </c>
      <c r="D131" s="201">
        <v>93</v>
      </c>
      <c r="E131" s="201">
        <v>439381.52</v>
      </c>
      <c r="F131" s="201">
        <v>278462</v>
      </c>
      <c r="G131" s="201">
        <f>'Mail Merge'!$E131+'Mail Merge'!$F131</f>
        <v>717843.52</v>
      </c>
      <c r="H131" s="201">
        <v>0</v>
      </c>
      <c r="I131" s="201" t="s">
        <v>239</v>
      </c>
      <c r="J131" s="201">
        <f>IFERROR('Mail Merge'!$E131/'Mail Merge'!$D131,0)</f>
        <v>4724.53247311828</v>
      </c>
      <c r="K131" s="201">
        <f>IFERROR('Mail Merge'!$F131/'Mail Merge'!$D131,0)</f>
        <v>2994.2150537634407</v>
      </c>
      <c r="L131" s="201">
        <f>IFERROR('Mail Merge'!$G131/'Mail Merge'!$D131,0)</f>
        <v>7718.7475268817207</v>
      </c>
      <c r="M131" s="201">
        <v>0</v>
      </c>
      <c r="N131" s="201" t="s">
        <v>239</v>
      </c>
      <c r="O131" s="201">
        <v>134805.72</v>
      </c>
      <c r="P131" s="201">
        <v>1812.36</v>
      </c>
      <c r="Q131" s="201">
        <f>'Mail Merge'!$O131+'Mail Merge'!$P131</f>
        <v>136618.07999999999</v>
      </c>
      <c r="R131" s="201"/>
      <c r="S131" s="201"/>
      <c r="T131" s="201"/>
      <c r="U131" s="201">
        <f>IF(AND('Mail Merge'!$I131="Did Not Meet",'Mail Merge'!$N131="Did Not Meet"),MIN(ABS('Mail Merge'!$H131),ABS('Mail Merge'!$M131),'Mail Merge'!$Q131),0)</f>
        <v>0</v>
      </c>
      <c r="V131" s="201" t="str">
        <f>IF(OR(IFERROR(SEARCH("Met",'Mail Merge'!$N131),0)&gt;0,IFERROR(SEARCH("Met",'Mail Merge'!$I131),0)&gt;0),"Met","Not Met")</f>
        <v>Met</v>
      </c>
    </row>
    <row r="132" spans="1:22" x14ac:dyDescent="0.35">
      <c r="A132" s="198" t="s">
        <v>152</v>
      </c>
      <c r="B132" s="199">
        <v>2108</v>
      </c>
      <c r="C132" s="199" t="s">
        <v>57</v>
      </c>
      <c r="D132" s="199">
        <v>329</v>
      </c>
      <c r="E132" s="199">
        <v>1428666.17</v>
      </c>
      <c r="F132" s="199">
        <v>573514.44999999995</v>
      </c>
      <c r="G132" s="199">
        <f>'Mail Merge'!$E132+'Mail Merge'!$F132</f>
        <v>2002180.6199999999</v>
      </c>
      <c r="H132" s="199">
        <v>0</v>
      </c>
      <c r="I132" s="199" t="s">
        <v>239</v>
      </c>
      <c r="J132" s="199">
        <f>IFERROR('Mail Merge'!$E132/'Mail Merge'!$D132,0)</f>
        <v>4342.4503647416414</v>
      </c>
      <c r="K132" s="199">
        <f>IFERROR('Mail Merge'!$F132/'Mail Merge'!$D132,0)</f>
        <v>1743.2050151975682</v>
      </c>
      <c r="L132" s="199">
        <f>IFERROR('Mail Merge'!$G132/'Mail Merge'!$D132,0)</f>
        <v>6085.6553799392095</v>
      </c>
      <c r="M132" s="199">
        <v>0</v>
      </c>
      <c r="N132" s="199" t="s">
        <v>239</v>
      </c>
      <c r="O132" s="199">
        <v>424869.06</v>
      </c>
      <c r="P132" s="199">
        <v>4259.26</v>
      </c>
      <c r="Q132" s="199">
        <f>'Mail Merge'!$O132+'Mail Merge'!$P132</f>
        <v>429128.32</v>
      </c>
      <c r="R132" s="199"/>
      <c r="S132" s="199"/>
      <c r="T132" s="199"/>
      <c r="U132" s="199">
        <f>IF(AND('Mail Merge'!$I132="Did Not Meet",'Mail Merge'!$N132="Did Not Meet"),MIN(ABS('Mail Merge'!$H132),ABS('Mail Merge'!$M132),'Mail Merge'!$Q132),0)</f>
        <v>0</v>
      </c>
      <c r="V132" s="199" t="str">
        <f>IF(OR(IFERROR(SEARCH("Met",'Mail Merge'!$N132),0)&gt;0,IFERROR(SEARCH("Met",'Mail Merge'!$I132),0)&gt;0),"Met","Not Met")</f>
        <v>Met</v>
      </c>
    </row>
    <row r="133" spans="1:22" x14ac:dyDescent="0.35">
      <c r="A133" s="200" t="s">
        <v>153</v>
      </c>
      <c r="B133" s="201">
        <v>1928</v>
      </c>
      <c r="C133" s="201" t="s">
        <v>57</v>
      </c>
      <c r="D133" s="201">
        <v>1176</v>
      </c>
      <c r="E133" s="201">
        <v>10263859.539999999</v>
      </c>
      <c r="F133" s="201">
        <v>1323778</v>
      </c>
      <c r="G133" s="201">
        <f>'Mail Merge'!$E133+'Mail Merge'!$F133</f>
        <v>11587637.539999999</v>
      </c>
      <c r="H133" s="201">
        <v>0</v>
      </c>
      <c r="I133" s="201" t="s">
        <v>239</v>
      </c>
      <c r="J133" s="201">
        <f>IFERROR('Mail Merge'!$E133/'Mail Merge'!$D133,0)</f>
        <v>8727.7717176870738</v>
      </c>
      <c r="K133" s="201">
        <f>IFERROR('Mail Merge'!$F133/'Mail Merge'!$D133,0)</f>
        <v>1125.6615646258504</v>
      </c>
      <c r="L133" s="201">
        <f>IFERROR('Mail Merge'!$G133/'Mail Merge'!$D133,0)</f>
        <v>9853.4332823129243</v>
      </c>
      <c r="M133" s="201">
        <v>0</v>
      </c>
      <c r="N133" s="201" t="s">
        <v>239</v>
      </c>
      <c r="O133" s="201">
        <v>1331266.08</v>
      </c>
      <c r="P133" s="201">
        <v>9990.19</v>
      </c>
      <c r="Q133" s="201">
        <f>'Mail Merge'!$O133+'Mail Merge'!$P133</f>
        <v>1341256.27</v>
      </c>
      <c r="R133" s="201"/>
      <c r="S133" s="201"/>
      <c r="T133" s="201"/>
      <c r="U133" s="201">
        <f>IF(AND('Mail Merge'!$I133="Did Not Meet",'Mail Merge'!$N133="Did Not Meet"),MIN(ABS('Mail Merge'!$H133),ABS('Mail Merge'!$M133),'Mail Merge'!$Q133),0)</f>
        <v>0</v>
      </c>
      <c r="V133" s="201" t="str">
        <f>IF(OR(IFERROR(SEARCH("Met",'Mail Merge'!$N133),0)&gt;0,IFERROR(SEARCH("Met",'Mail Merge'!$I133),0)&gt;0),"Met","Not Met")</f>
        <v>Met</v>
      </c>
    </row>
    <row r="134" spans="1:22" x14ac:dyDescent="0.35">
      <c r="A134" s="198" t="s">
        <v>154</v>
      </c>
      <c r="B134" s="199">
        <v>1926</v>
      </c>
      <c r="C134" s="199" t="s">
        <v>57</v>
      </c>
      <c r="D134" s="199">
        <v>705</v>
      </c>
      <c r="E134" s="199">
        <v>5005689.24</v>
      </c>
      <c r="F134" s="199">
        <v>699104</v>
      </c>
      <c r="G134" s="199">
        <f>'Mail Merge'!$E134+'Mail Merge'!$F134</f>
        <v>5704793.2400000002</v>
      </c>
      <c r="H134" s="199">
        <v>0</v>
      </c>
      <c r="I134" s="199" t="s">
        <v>239</v>
      </c>
      <c r="J134" s="199">
        <f>IFERROR('Mail Merge'!$E134/'Mail Merge'!$D134,0)</f>
        <v>7100.2684255319155</v>
      </c>
      <c r="K134" s="199">
        <f>IFERROR('Mail Merge'!$F134/'Mail Merge'!$D134,0)</f>
        <v>991.63687943262414</v>
      </c>
      <c r="L134" s="199">
        <f>IFERROR('Mail Merge'!$G134/'Mail Merge'!$D134,0)</f>
        <v>8091.905304964539</v>
      </c>
      <c r="M134" s="199">
        <v>0</v>
      </c>
      <c r="N134" s="199" t="s">
        <v>239</v>
      </c>
      <c r="O134" s="199">
        <v>677056.55</v>
      </c>
      <c r="P134" s="199">
        <v>4276.9799999999996</v>
      </c>
      <c r="Q134" s="199">
        <f>'Mail Merge'!$O134+'Mail Merge'!$P134</f>
        <v>681333.53</v>
      </c>
      <c r="R134" s="199"/>
      <c r="S134" s="199"/>
      <c r="T134" s="199"/>
      <c r="U134" s="199">
        <f>IF(AND('Mail Merge'!$I134="Did Not Meet",'Mail Merge'!$N134="Did Not Meet"),MIN(ABS('Mail Merge'!$H134),ABS('Mail Merge'!$M134),'Mail Merge'!$Q134),0)</f>
        <v>0</v>
      </c>
      <c r="V134" s="199" t="str">
        <f>IF(OR(IFERROR(SEARCH("Met",'Mail Merge'!$N134),0)&gt;0,IFERROR(SEARCH("Met",'Mail Merge'!$I134),0)&gt;0),"Met","Not Met")</f>
        <v>Met</v>
      </c>
    </row>
    <row r="135" spans="1:22" x14ac:dyDescent="0.35">
      <c r="A135" s="200" t="s">
        <v>155</v>
      </c>
      <c r="B135" s="201">
        <v>2060</v>
      </c>
      <c r="C135" s="201" t="s">
        <v>57</v>
      </c>
      <c r="D135" s="201">
        <v>7</v>
      </c>
      <c r="E135" s="201">
        <v>17219.36</v>
      </c>
      <c r="F135" s="201">
        <v>42969.3</v>
      </c>
      <c r="G135" s="201">
        <f>'Mail Merge'!$E135+'Mail Merge'!$F135</f>
        <v>60188.66</v>
      </c>
      <c r="H135" s="201">
        <v>0</v>
      </c>
      <c r="I135" s="201" t="s">
        <v>239</v>
      </c>
      <c r="J135" s="201">
        <f>IFERROR('Mail Merge'!$E135/'Mail Merge'!$D135,0)</f>
        <v>2459.9085714285716</v>
      </c>
      <c r="K135" s="201">
        <f>IFERROR('Mail Merge'!$F135/'Mail Merge'!$D135,0)</f>
        <v>6138.471428571429</v>
      </c>
      <c r="L135" s="201">
        <f>IFERROR('Mail Merge'!$G135/'Mail Merge'!$D135,0)</f>
        <v>8598.380000000001</v>
      </c>
      <c r="M135" s="201">
        <v>0</v>
      </c>
      <c r="N135" s="201" t="s">
        <v>239</v>
      </c>
      <c r="O135" s="201">
        <v>26963.49</v>
      </c>
      <c r="P135" s="201">
        <v>503.46</v>
      </c>
      <c r="Q135" s="201">
        <f>'Mail Merge'!$O135+'Mail Merge'!$P135</f>
        <v>27466.95</v>
      </c>
      <c r="R135" s="201"/>
      <c r="S135" s="201"/>
      <c r="T135" s="201"/>
      <c r="U135" s="201">
        <f>IF(AND('Mail Merge'!$I135="Did Not Meet",'Mail Merge'!$N135="Did Not Meet"),MIN(ABS('Mail Merge'!$H135),ABS('Mail Merge'!$M135),'Mail Merge'!$Q135),0)</f>
        <v>0</v>
      </c>
      <c r="V135" s="201" t="str">
        <f>IF(OR(IFERROR(SEARCH("Met",'Mail Merge'!$N135),0)&gt;0,IFERROR(SEARCH("Met",'Mail Merge'!$I135),0)&gt;0),"Met","Not Met")</f>
        <v>Met</v>
      </c>
    </row>
    <row r="136" spans="1:22" x14ac:dyDescent="0.35">
      <c r="A136" s="198" t="s">
        <v>156</v>
      </c>
      <c r="B136" s="199">
        <v>2181</v>
      </c>
      <c r="C136" s="199" t="s">
        <v>57</v>
      </c>
      <c r="D136" s="199">
        <v>457</v>
      </c>
      <c r="E136" s="199">
        <v>4870286.28</v>
      </c>
      <c r="F136" s="199">
        <v>648475</v>
      </c>
      <c r="G136" s="199">
        <f>'Mail Merge'!$E136+'Mail Merge'!$F136</f>
        <v>5518761.2800000003</v>
      </c>
      <c r="H136" s="199">
        <v>0</v>
      </c>
      <c r="I136" s="199" t="s">
        <v>239</v>
      </c>
      <c r="J136" s="199">
        <f>IFERROR('Mail Merge'!$E136/'Mail Merge'!$D136,0)</f>
        <v>10657.081575492342</v>
      </c>
      <c r="K136" s="199">
        <f>IFERROR('Mail Merge'!$F136/'Mail Merge'!$D136,0)</f>
        <v>1418.9824945295404</v>
      </c>
      <c r="L136" s="199">
        <f>IFERROR('Mail Merge'!$G136/'Mail Merge'!$D136,0)</f>
        <v>12076.064070021883</v>
      </c>
      <c r="M136" s="199">
        <v>0</v>
      </c>
      <c r="N136" s="199" t="s">
        <v>239</v>
      </c>
      <c r="O136" s="199">
        <v>644621.74</v>
      </c>
      <c r="P136" s="199">
        <v>2079.4499999999998</v>
      </c>
      <c r="Q136" s="199">
        <f>'Mail Merge'!$O136+'Mail Merge'!$P136</f>
        <v>646701.18999999994</v>
      </c>
      <c r="R136" s="199"/>
      <c r="S136" s="199"/>
      <c r="T136" s="199"/>
      <c r="U136" s="199">
        <f>IF(AND('Mail Merge'!$I136="Did Not Meet",'Mail Merge'!$N136="Did Not Meet"),MIN(ABS('Mail Merge'!$H136),ABS('Mail Merge'!$M136),'Mail Merge'!$Q136),0)</f>
        <v>0</v>
      </c>
      <c r="V136" s="199" t="str">
        <f>IF(OR(IFERROR(SEARCH("Met",'Mail Merge'!$N136),0)&gt;0,IFERROR(SEARCH("Met",'Mail Merge'!$I136),0)&gt;0),"Met","Not Met")</f>
        <v>Met</v>
      </c>
    </row>
    <row r="137" spans="1:22" x14ac:dyDescent="0.35">
      <c r="A137" s="200" t="s">
        <v>157</v>
      </c>
      <c r="B137" s="201">
        <v>2207</v>
      </c>
      <c r="C137" s="201" t="s">
        <v>57</v>
      </c>
      <c r="D137" s="201">
        <v>451</v>
      </c>
      <c r="E137" s="201">
        <v>3099288.82</v>
      </c>
      <c r="F137" s="201">
        <v>722942.98</v>
      </c>
      <c r="G137" s="201">
        <f>'Mail Merge'!$E137+'Mail Merge'!$F137</f>
        <v>3822231.8</v>
      </c>
      <c r="H137" s="201">
        <v>0</v>
      </c>
      <c r="I137" s="201" t="s">
        <v>239</v>
      </c>
      <c r="J137" s="201">
        <f>IFERROR('Mail Merge'!$E137/'Mail Merge'!$D137,0)</f>
        <v>6872.0372949002212</v>
      </c>
      <c r="K137" s="201">
        <f>IFERROR('Mail Merge'!$F137/'Mail Merge'!$D137,0)</f>
        <v>1602.9777827050998</v>
      </c>
      <c r="L137" s="201">
        <f>IFERROR('Mail Merge'!$G137/'Mail Merge'!$D137,0)</f>
        <v>8475.0150776053215</v>
      </c>
      <c r="M137" s="201">
        <v>0</v>
      </c>
      <c r="N137" s="201" t="s">
        <v>239</v>
      </c>
      <c r="O137" s="201">
        <v>555488.79</v>
      </c>
      <c r="P137" s="201">
        <v>4764.1499999999996</v>
      </c>
      <c r="Q137" s="201">
        <f>'Mail Merge'!$O137+'Mail Merge'!$P137</f>
        <v>560252.94000000006</v>
      </c>
      <c r="R137" s="201"/>
      <c r="S137" s="201"/>
      <c r="T137" s="201"/>
      <c r="U137" s="201">
        <f>IF(AND('Mail Merge'!$I137="Did Not Meet",'Mail Merge'!$N137="Did Not Meet"),MIN(ABS('Mail Merge'!$H137),ABS('Mail Merge'!$M137),'Mail Merge'!$Q137),0)</f>
        <v>0</v>
      </c>
      <c r="V137" s="201" t="str">
        <f>IF(OR(IFERROR(SEARCH("Met",'Mail Merge'!$N137),0)&gt;0,IFERROR(SEARCH("Met",'Mail Merge'!$I137),0)&gt;0),"Met","Not Met")</f>
        <v>Met</v>
      </c>
    </row>
    <row r="138" spans="1:22" x14ac:dyDescent="0.35">
      <c r="A138" s="198" t="s">
        <v>158</v>
      </c>
      <c r="B138" s="199">
        <v>2192</v>
      </c>
      <c r="C138" s="199" t="s">
        <v>57</v>
      </c>
      <c r="D138" s="199">
        <v>15</v>
      </c>
      <c r="E138" s="199">
        <v>228928.79</v>
      </c>
      <c r="F138" s="199">
        <v>15088.03</v>
      </c>
      <c r="G138" s="199">
        <f>'Mail Merge'!$E138+'Mail Merge'!$F138</f>
        <v>244016.82</v>
      </c>
      <c r="H138" s="199">
        <v>0</v>
      </c>
      <c r="I138" s="199" t="s">
        <v>239</v>
      </c>
      <c r="J138" s="199">
        <f>IFERROR('Mail Merge'!$E138/'Mail Merge'!$D138,0)</f>
        <v>15261.919333333333</v>
      </c>
      <c r="K138" s="199">
        <f>IFERROR('Mail Merge'!$F138/'Mail Merge'!$D138,0)</f>
        <v>1005.8686666666667</v>
      </c>
      <c r="L138" s="199">
        <f>IFERROR('Mail Merge'!$G138/'Mail Merge'!$D138,0)</f>
        <v>16267.788</v>
      </c>
      <c r="M138" s="199">
        <v>0</v>
      </c>
      <c r="N138" s="199" t="s">
        <v>239</v>
      </c>
      <c r="O138" s="199">
        <v>39555.74</v>
      </c>
      <c r="P138" s="199">
        <v>1006.99</v>
      </c>
      <c r="Q138" s="199">
        <f>'Mail Merge'!$O138+'Mail Merge'!$P138</f>
        <v>40562.729999999996</v>
      </c>
      <c r="R138" s="199"/>
      <c r="S138" s="199"/>
      <c r="T138" s="199"/>
      <c r="U138" s="199">
        <f>IF(AND('Mail Merge'!$I138="Did Not Meet",'Mail Merge'!$N138="Did Not Meet"),MIN(ABS('Mail Merge'!$H138),ABS('Mail Merge'!$M138),'Mail Merge'!$Q138),0)</f>
        <v>0</v>
      </c>
      <c r="V138" s="199" t="str">
        <f>IF(OR(IFERROR(SEARCH("Met",'Mail Merge'!$N138),0)&gt;0,IFERROR(SEARCH("Met",'Mail Merge'!$I138),0)&gt;0),"Met","Not Met")</f>
        <v>Met</v>
      </c>
    </row>
    <row r="139" spans="1:22" x14ac:dyDescent="0.35">
      <c r="A139" s="200" t="s">
        <v>160</v>
      </c>
      <c r="B139" s="201">
        <v>1900</v>
      </c>
      <c r="C139" s="201" t="s">
        <v>57</v>
      </c>
      <c r="D139" s="201">
        <v>184</v>
      </c>
      <c r="E139" s="201">
        <v>1228654.8400000001</v>
      </c>
      <c r="F139" s="201">
        <v>105750</v>
      </c>
      <c r="G139" s="201">
        <f>'Mail Merge'!$E139+'Mail Merge'!$F139</f>
        <v>1334404.8400000001</v>
      </c>
      <c r="H139" s="201">
        <v>0</v>
      </c>
      <c r="I139" s="201" t="s">
        <v>239</v>
      </c>
      <c r="J139" s="201">
        <f>IFERROR('Mail Merge'!$E139/'Mail Merge'!$D139,0)</f>
        <v>6677.4719565217392</v>
      </c>
      <c r="K139" s="201">
        <f>IFERROR('Mail Merge'!$F139/'Mail Merge'!$D139,0)</f>
        <v>574.72826086956525</v>
      </c>
      <c r="L139" s="201">
        <f>IFERROR('Mail Merge'!$G139/'Mail Merge'!$D139,0)</f>
        <v>7252.2002173913052</v>
      </c>
      <c r="M139" s="201">
        <v>0</v>
      </c>
      <c r="N139" s="201" t="s">
        <v>239</v>
      </c>
      <c r="O139" s="201">
        <v>249645.89</v>
      </c>
      <c r="P139" s="201">
        <v>3202.87</v>
      </c>
      <c r="Q139" s="201">
        <f>'Mail Merge'!$O139+'Mail Merge'!$P139</f>
        <v>252848.76</v>
      </c>
      <c r="R139" s="201"/>
      <c r="S139" s="201"/>
      <c r="T139" s="201"/>
      <c r="U139" s="201">
        <f>IF(AND('Mail Merge'!$I139="Did Not Meet",'Mail Merge'!$N139="Did Not Meet"),MIN(ABS('Mail Merge'!$H139),ABS('Mail Merge'!$M139),'Mail Merge'!$Q139),0)</f>
        <v>0</v>
      </c>
      <c r="V139" s="201" t="str">
        <f>IF(OR(IFERROR(SEARCH("Met",'Mail Merge'!$N139),0)&gt;0,IFERROR(SEARCH("Met",'Mail Merge'!$I139),0)&gt;0),"Met","Not Met")</f>
        <v>Met</v>
      </c>
    </row>
    <row r="140" spans="1:22" x14ac:dyDescent="0.35">
      <c r="A140" s="198" t="s">
        <v>161</v>
      </c>
      <c r="B140" s="199">
        <v>2039</v>
      </c>
      <c r="C140" s="199" t="s">
        <v>57</v>
      </c>
      <c r="D140" s="199">
        <v>359</v>
      </c>
      <c r="E140" s="199">
        <v>2259803.13</v>
      </c>
      <c r="F140" s="199">
        <v>650013.66</v>
      </c>
      <c r="G140" s="199">
        <f>'Mail Merge'!$E140+'Mail Merge'!$F140</f>
        <v>2909816.79</v>
      </c>
      <c r="H140" s="199">
        <v>0</v>
      </c>
      <c r="I140" s="199" t="s">
        <v>239</v>
      </c>
      <c r="J140" s="199">
        <f>IFERROR('Mail Merge'!$E140/'Mail Merge'!$D140,0)</f>
        <v>6294.7162395543173</v>
      </c>
      <c r="K140" s="199">
        <f>IFERROR('Mail Merge'!$F140/'Mail Merge'!$D140,0)</f>
        <v>1810.6230083565461</v>
      </c>
      <c r="L140" s="199">
        <f>IFERROR('Mail Merge'!$G140/'Mail Merge'!$D140,0)</f>
        <v>8105.3392479108634</v>
      </c>
      <c r="M140" s="199">
        <v>0</v>
      </c>
      <c r="N140" s="199" t="s">
        <v>239</v>
      </c>
      <c r="O140" s="199">
        <v>469535.32</v>
      </c>
      <c r="P140" s="199">
        <v>5082.5</v>
      </c>
      <c r="Q140" s="199">
        <f>'Mail Merge'!$O140+'Mail Merge'!$P140</f>
        <v>474617.82</v>
      </c>
      <c r="R140" s="199"/>
      <c r="S140" s="199"/>
      <c r="T140" s="199"/>
      <c r="U140" s="199">
        <f>IF(AND('Mail Merge'!$I140="Did Not Meet",'Mail Merge'!$N140="Did Not Meet"),MIN(ABS('Mail Merge'!$H140),ABS('Mail Merge'!$M140),'Mail Merge'!$Q140),0)</f>
        <v>0</v>
      </c>
      <c r="V140" s="199" t="str">
        <f>IF(OR(IFERROR(SEARCH("Met",'Mail Merge'!$N140),0)&gt;0,IFERROR(SEARCH("Met",'Mail Merge'!$I140),0)&gt;0),"Met","Not Met")</f>
        <v>Met</v>
      </c>
    </row>
    <row r="141" spans="1:22" x14ac:dyDescent="0.35">
      <c r="A141" s="200" t="s">
        <v>162</v>
      </c>
      <c r="B141" s="201">
        <v>2202</v>
      </c>
      <c r="C141" s="201" t="s">
        <v>57</v>
      </c>
      <c r="D141" s="201">
        <v>42</v>
      </c>
      <c r="E141" s="201">
        <v>232122.97</v>
      </c>
      <c r="F141" s="201">
        <v>67236.67</v>
      </c>
      <c r="G141" s="201">
        <f>'Mail Merge'!$E141+'Mail Merge'!$F141</f>
        <v>299359.64</v>
      </c>
      <c r="H141" s="201">
        <v>0</v>
      </c>
      <c r="I141" s="201" t="s">
        <v>239</v>
      </c>
      <c r="J141" s="201">
        <f>IFERROR('Mail Merge'!$E141/'Mail Merge'!$D141,0)</f>
        <v>5526.7373809523806</v>
      </c>
      <c r="K141" s="201">
        <f>IFERROR('Mail Merge'!$F141/'Mail Merge'!$D141,0)</f>
        <v>1600.8730952380952</v>
      </c>
      <c r="L141" s="201">
        <f>IFERROR('Mail Merge'!$G141/'Mail Merge'!$D141,0)</f>
        <v>7127.6104761904762</v>
      </c>
      <c r="M141" s="201">
        <v>0</v>
      </c>
      <c r="N141" s="201" t="s">
        <v>239</v>
      </c>
      <c r="O141" s="201">
        <v>81205.86</v>
      </c>
      <c r="P141" s="201">
        <v>249.87</v>
      </c>
      <c r="Q141" s="201">
        <f>'Mail Merge'!$O141+'Mail Merge'!$P141</f>
        <v>81455.73</v>
      </c>
      <c r="R141" s="201"/>
      <c r="S141" s="201"/>
      <c r="T141" s="201"/>
      <c r="U141" s="201">
        <f>IF(AND('Mail Merge'!$I141="Did Not Meet",'Mail Merge'!$N141="Did Not Meet"),MIN(ABS('Mail Merge'!$H141),ABS('Mail Merge'!$M141),'Mail Merge'!$Q141),0)</f>
        <v>0</v>
      </c>
      <c r="V141" s="201" t="str">
        <f>IF(OR(IFERROR(SEARCH("Met",'Mail Merge'!$N141),0)&gt;0,IFERROR(SEARCH("Met",'Mail Merge'!$I141),0)&gt;0),"Met","Not Met")</f>
        <v>Met</v>
      </c>
    </row>
    <row r="142" spans="1:22" x14ac:dyDescent="0.35">
      <c r="A142" s="198" t="s">
        <v>163</v>
      </c>
      <c r="B142" s="199">
        <v>2016</v>
      </c>
      <c r="C142" s="199" t="s">
        <v>57</v>
      </c>
      <c r="D142" s="199">
        <v>2</v>
      </c>
      <c r="E142" s="199">
        <v>26563</v>
      </c>
      <c r="F142" s="199">
        <v>365</v>
      </c>
      <c r="G142" s="199">
        <f>'Mail Merge'!$E142+'Mail Merge'!$F142</f>
        <v>26928</v>
      </c>
      <c r="H142" s="199">
        <v>0</v>
      </c>
      <c r="I142" s="199" t="s">
        <v>239</v>
      </c>
      <c r="J142" s="199">
        <f>IFERROR('Mail Merge'!$E142/'Mail Merge'!$D142,0)</f>
        <v>13281.5</v>
      </c>
      <c r="K142" s="199">
        <f>IFERROR('Mail Merge'!$F142/'Mail Merge'!$D142,0)</f>
        <v>182.5</v>
      </c>
      <c r="L142" s="199">
        <f>IFERROR('Mail Merge'!$G142/'Mail Merge'!$D142,0)</f>
        <v>13464</v>
      </c>
      <c r="M142" s="199">
        <v>0</v>
      </c>
      <c r="N142" s="199" t="s">
        <v>239</v>
      </c>
      <c r="O142" s="199">
        <v>306.8</v>
      </c>
      <c r="P142" s="199">
        <v>0.44</v>
      </c>
      <c r="Q142" s="199">
        <f>'Mail Merge'!$O142+'Mail Merge'!$P142</f>
        <v>307.24</v>
      </c>
      <c r="R142" s="199"/>
      <c r="S142" s="199"/>
      <c r="T142" s="199"/>
      <c r="U142" s="199">
        <f>IF(AND('Mail Merge'!$I142="Did Not Meet",'Mail Merge'!$N142="Did Not Meet"),MIN(ABS('Mail Merge'!$H142),ABS('Mail Merge'!$M142),'Mail Merge'!$Q142),0)</f>
        <v>0</v>
      </c>
      <c r="V142" s="199" t="str">
        <f>IF(OR(IFERROR(SEARCH("Met",'Mail Merge'!$N142),0)&gt;0,IFERROR(SEARCH("Met",'Mail Merge'!$I142),0)&gt;0),"Met","Not Met")</f>
        <v>Met</v>
      </c>
    </row>
    <row r="143" spans="1:22" x14ac:dyDescent="0.35">
      <c r="A143" s="200" t="s">
        <v>164</v>
      </c>
      <c r="B143" s="201">
        <v>1897</v>
      </c>
      <c r="C143" s="201" t="s">
        <v>57</v>
      </c>
      <c r="D143" s="201">
        <v>23</v>
      </c>
      <c r="E143" s="201">
        <v>157928.10999999999</v>
      </c>
      <c r="F143" s="201">
        <v>0</v>
      </c>
      <c r="G143" s="201">
        <f>'Mail Merge'!$E143+'Mail Merge'!$F143</f>
        <v>157928.10999999999</v>
      </c>
      <c r="H143" s="201">
        <v>0</v>
      </c>
      <c r="I143" s="201" t="s">
        <v>239</v>
      </c>
      <c r="J143" s="201">
        <f>IFERROR('Mail Merge'!$E143/'Mail Merge'!$D143,0)</f>
        <v>6866.4395652173907</v>
      </c>
      <c r="K143" s="201">
        <f>IFERROR('Mail Merge'!$F143/'Mail Merge'!$D143,0)</f>
        <v>0</v>
      </c>
      <c r="L143" s="201">
        <f>IFERROR('Mail Merge'!$G143/'Mail Merge'!$D143,0)</f>
        <v>6866.4395652173907</v>
      </c>
      <c r="M143" s="201">
        <v>0</v>
      </c>
      <c r="N143" s="201" t="s">
        <v>239</v>
      </c>
      <c r="O143" s="201">
        <v>28063.72</v>
      </c>
      <c r="P143" s="201">
        <v>0</v>
      </c>
      <c r="Q143" s="201">
        <f>'Mail Merge'!$O143+'Mail Merge'!$P143</f>
        <v>28063.72</v>
      </c>
      <c r="R143" s="201"/>
      <c r="S143" s="201"/>
      <c r="T143" s="201"/>
      <c r="U143" s="201">
        <f>IF(AND('Mail Merge'!$I143="Did Not Meet",'Mail Merge'!$N143="Did Not Meet"),MIN(ABS('Mail Merge'!$H143),ABS('Mail Merge'!$M143),'Mail Merge'!$Q143),0)</f>
        <v>0</v>
      </c>
      <c r="V143" s="201" t="str">
        <f>IF(OR(IFERROR(SEARCH("Met",'Mail Merge'!$N143),0)&gt;0,IFERROR(SEARCH("Met",'Mail Merge'!$I143),0)&gt;0),"Met","Not Met")</f>
        <v>Met</v>
      </c>
    </row>
    <row r="144" spans="1:22" x14ac:dyDescent="0.35">
      <c r="A144" s="198" t="s">
        <v>165</v>
      </c>
      <c r="B144" s="199">
        <v>2047</v>
      </c>
      <c r="C144" s="199" t="s">
        <v>57</v>
      </c>
      <c r="D144" s="199">
        <v>7</v>
      </c>
      <c r="E144" s="199">
        <v>23863</v>
      </c>
      <c r="F144" s="199">
        <v>7980.94</v>
      </c>
      <c r="G144" s="199">
        <f>'Mail Merge'!$E144+'Mail Merge'!$F144</f>
        <v>31843.94</v>
      </c>
      <c r="H144" s="199">
        <v>0</v>
      </c>
      <c r="I144" s="199" t="s">
        <v>239</v>
      </c>
      <c r="J144" s="199">
        <f>IFERROR('Mail Merge'!$E144/'Mail Merge'!$D144,0)</f>
        <v>3409</v>
      </c>
      <c r="K144" s="199">
        <f>IFERROR('Mail Merge'!$F144/'Mail Merge'!$D144,0)</f>
        <v>1140.1342857142856</v>
      </c>
      <c r="L144" s="199">
        <f>IFERROR('Mail Merge'!$G144/'Mail Merge'!$D144,0)</f>
        <v>4549.1342857142854</v>
      </c>
      <c r="M144" s="199">
        <v>0</v>
      </c>
      <c r="N144" s="199" t="s">
        <v>239</v>
      </c>
      <c r="O144" s="199">
        <v>8388.27</v>
      </c>
      <c r="P144" s="199">
        <v>975.16</v>
      </c>
      <c r="Q144" s="199">
        <f>'Mail Merge'!$O144+'Mail Merge'!$P144</f>
        <v>9363.43</v>
      </c>
      <c r="R144" s="199"/>
      <c r="S144" s="199"/>
      <c r="T144" s="199"/>
      <c r="U144" s="199">
        <f>IF(AND('Mail Merge'!$I144="Did Not Meet",'Mail Merge'!$N144="Did Not Meet"),MIN(ABS('Mail Merge'!$H144),ABS('Mail Merge'!$M144),'Mail Merge'!$Q144),0)</f>
        <v>0</v>
      </c>
      <c r="V144" s="199" t="str">
        <f>IF(OR(IFERROR(SEARCH("Met",'Mail Merge'!$N144),0)&gt;0,IFERROR(SEARCH("Met",'Mail Merge'!$I144),0)&gt;0),"Met","Not Met")</f>
        <v>Met</v>
      </c>
    </row>
    <row r="145" spans="1:22" x14ac:dyDescent="0.35">
      <c r="A145" s="200" t="s">
        <v>166</v>
      </c>
      <c r="B145" s="201">
        <v>2081</v>
      </c>
      <c r="C145" s="201" t="s">
        <v>57</v>
      </c>
      <c r="D145" s="201">
        <v>108</v>
      </c>
      <c r="E145" s="201">
        <v>978615.76</v>
      </c>
      <c r="F145" s="201">
        <v>284100</v>
      </c>
      <c r="G145" s="201">
        <f>'Mail Merge'!$E145+'Mail Merge'!$F145</f>
        <v>1262715.76</v>
      </c>
      <c r="H145" s="201">
        <v>0</v>
      </c>
      <c r="I145" s="201" t="s">
        <v>239</v>
      </c>
      <c r="J145" s="201">
        <f>IFERROR('Mail Merge'!$E145/'Mail Merge'!$D145,0)</f>
        <v>9061.2570370370377</v>
      </c>
      <c r="K145" s="201">
        <f>IFERROR('Mail Merge'!$F145/'Mail Merge'!$D145,0)</f>
        <v>2630.5555555555557</v>
      </c>
      <c r="L145" s="201">
        <f>IFERROR('Mail Merge'!$G145/'Mail Merge'!$D145,0)</f>
        <v>11691.812592592592</v>
      </c>
      <c r="M145" s="201">
        <v>0</v>
      </c>
      <c r="N145" s="201" t="s">
        <v>239</v>
      </c>
      <c r="O145" s="201">
        <v>153059.92000000001</v>
      </c>
      <c r="P145" s="201">
        <v>602.66999999999996</v>
      </c>
      <c r="Q145" s="201">
        <f>'Mail Merge'!$O145+'Mail Merge'!$P145</f>
        <v>153662.59000000003</v>
      </c>
      <c r="R145" s="201"/>
      <c r="S145" s="201"/>
      <c r="T145" s="201"/>
      <c r="U145" s="201">
        <f>IF(AND('Mail Merge'!$I145="Did Not Meet",'Mail Merge'!$N145="Did Not Meet"),MIN(ABS('Mail Merge'!$H145),ABS('Mail Merge'!$M145),'Mail Merge'!$Q145),0)</f>
        <v>0</v>
      </c>
      <c r="V145" s="201" t="str">
        <f>IF(OR(IFERROR(SEARCH("Met",'Mail Merge'!$N145),0)&gt;0,IFERROR(SEARCH("Met",'Mail Merge'!$I145),0)&gt;0),"Met","Not Met")</f>
        <v>Met</v>
      </c>
    </row>
    <row r="146" spans="1:22" x14ac:dyDescent="0.35">
      <c r="A146" s="198" t="s">
        <v>167</v>
      </c>
      <c r="B146" s="199">
        <v>2062</v>
      </c>
      <c r="C146" s="199" t="s">
        <v>57</v>
      </c>
      <c r="D146" s="199">
        <v>1</v>
      </c>
      <c r="E146" s="199">
        <v>0</v>
      </c>
      <c r="F146" s="199">
        <v>3666.14</v>
      </c>
      <c r="G146" s="199">
        <f>'Mail Merge'!$E146+'Mail Merge'!$F146</f>
        <v>3666.14</v>
      </c>
      <c r="H146" s="199">
        <v>0</v>
      </c>
      <c r="I146" s="199" t="s">
        <v>239</v>
      </c>
      <c r="J146" s="199">
        <f>IFERROR('Mail Merge'!$E146/'Mail Merge'!$D146,0)</f>
        <v>0</v>
      </c>
      <c r="K146" s="199">
        <f>IFERROR('Mail Merge'!$F146/'Mail Merge'!$D146,0)</f>
        <v>3666.14</v>
      </c>
      <c r="L146" s="199">
        <f>IFERROR('Mail Merge'!$G146/'Mail Merge'!$D146,0)</f>
        <v>3666.14</v>
      </c>
      <c r="M146" s="199">
        <v>0</v>
      </c>
      <c r="N146" s="199" t="s">
        <v>239</v>
      </c>
      <c r="O146" s="199">
        <v>2950.64</v>
      </c>
      <c r="P146" s="199">
        <v>0.84</v>
      </c>
      <c r="Q146" s="199">
        <f>'Mail Merge'!$O146+'Mail Merge'!$P146</f>
        <v>2951.48</v>
      </c>
      <c r="R146" s="199"/>
      <c r="S146" s="199"/>
      <c r="T146" s="199"/>
      <c r="U146" s="199">
        <f>IF(AND('Mail Merge'!$I146="Did Not Meet",'Mail Merge'!$N146="Did Not Meet"),MIN(ABS('Mail Merge'!$H146),ABS('Mail Merge'!$M146),'Mail Merge'!$Q146),0)</f>
        <v>0</v>
      </c>
      <c r="V146" s="199" t="str">
        <f>IF(OR(IFERROR(SEARCH("Met",'Mail Merge'!$N146),0)&gt;0,IFERROR(SEARCH("Met",'Mail Merge'!$I146),0)&gt;0),"Met","Not Met")</f>
        <v>Met</v>
      </c>
    </row>
    <row r="147" spans="1:22" x14ac:dyDescent="0.35">
      <c r="A147" s="200" t="s">
        <v>168</v>
      </c>
      <c r="B147" s="201">
        <v>1973</v>
      </c>
      <c r="C147" s="201" t="s">
        <v>57</v>
      </c>
      <c r="D147" s="201">
        <v>40</v>
      </c>
      <c r="E147" s="201">
        <v>332732.40000000002</v>
      </c>
      <c r="F147" s="201">
        <v>129625.19</v>
      </c>
      <c r="G147" s="201">
        <f>'Mail Merge'!$E147+'Mail Merge'!$F147</f>
        <v>462357.59</v>
      </c>
      <c r="H147" s="201">
        <v>0</v>
      </c>
      <c r="I147" s="201" t="s">
        <v>239</v>
      </c>
      <c r="J147" s="201">
        <f>IFERROR('Mail Merge'!$E147/'Mail Merge'!$D147,0)</f>
        <v>8318.3100000000013</v>
      </c>
      <c r="K147" s="201">
        <f>IFERROR('Mail Merge'!$F147/'Mail Merge'!$D147,0)</f>
        <v>3240.6297500000001</v>
      </c>
      <c r="L147" s="201">
        <f>IFERROR('Mail Merge'!$G147/'Mail Merge'!$D147,0)</f>
        <v>11558.939750000001</v>
      </c>
      <c r="M147" s="201">
        <v>0</v>
      </c>
      <c r="N147" s="201" t="s">
        <v>239</v>
      </c>
      <c r="O147" s="201">
        <v>75676.98</v>
      </c>
      <c r="P147" s="201">
        <v>307.88</v>
      </c>
      <c r="Q147" s="201">
        <f>'Mail Merge'!$O147+'Mail Merge'!$P147</f>
        <v>75984.86</v>
      </c>
      <c r="R147" s="201"/>
      <c r="S147" s="201"/>
      <c r="T147" s="201"/>
      <c r="U147" s="201">
        <f>IF(AND('Mail Merge'!$I147="Did Not Meet",'Mail Merge'!$N147="Did Not Meet"),MIN(ABS('Mail Merge'!$H147),ABS('Mail Merge'!$M147),'Mail Merge'!$Q147),0)</f>
        <v>0</v>
      </c>
      <c r="V147" s="201" t="str">
        <f>IF(OR(IFERROR(SEARCH("Met",'Mail Merge'!$N147),0)&gt;0,IFERROR(SEARCH("Met",'Mail Merge'!$I147),0)&gt;0),"Met","Not Met")</f>
        <v>Met</v>
      </c>
    </row>
    <row r="148" spans="1:22" x14ac:dyDescent="0.35">
      <c r="A148" s="198" t="s">
        <v>169</v>
      </c>
      <c r="B148" s="199">
        <v>2180</v>
      </c>
      <c r="C148" s="199" t="s">
        <v>57</v>
      </c>
      <c r="D148" s="199">
        <v>6491</v>
      </c>
      <c r="E148" s="199">
        <v>71312677.709999993</v>
      </c>
      <c r="F148" s="199">
        <v>1108588</v>
      </c>
      <c r="G148" s="199">
        <f>'Mail Merge'!$E148+'Mail Merge'!$F148</f>
        <v>72421265.709999993</v>
      </c>
      <c r="H148" s="199">
        <v>0</v>
      </c>
      <c r="I148" s="199" t="s">
        <v>239</v>
      </c>
      <c r="J148" s="199">
        <f>IFERROR('Mail Merge'!$E148/'Mail Merge'!$D148,0)</f>
        <v>10986.393115082421</v>
      </c>
      <c r="K148" s="199">
        <f>IFERROR('Mail Merge'!$F148/'Mail Merge'!$D148,0)</f>
        <v>170.78847635187182</v>
      </c>
      <c r="L148" s="199">
        <f>IFERROR('Mail Merge'!$G148/'Mail Merge'!$D148,0)</f>
        <v>11157.181591434293</v>
      </c>
      <c r="M148" s="199">
        <v>0</v>
      </c>
      <c r="N148" s="199" t="s">
        <v>239</v>
      </c>
      <c r="O148" s="199">
        <v>7774144.6399999997</v>
      </c>
      <c r="P148" s="199">
        <v>76396.02</v>
      </c>
      <c r="Q148" s="199">
        <f>'Mail Merge'!$O148+'Mail Merge'!$P148</f>
        <v>7850540.6599999992</v>
      </c>
      <c r="R148" s="199"/>
      <c r="S148" s="199"/>
      <c r="T148" s="199"/>
      <c r="U148" s="199">
        <f>IF(AND('Mail Merge'!$I148="Did Not Meet",'Mail Merge'!$N148="Did Not Meet"),MIN(ABS('Mail Merge'!$H148),ABS('Mail Merge'!$M148),'Mail Merge'!$Q148),0)</f>
        <v>0</v>
      </c>
      <c r="V148" s="199" t="str">
        <f>IF(OR(IFERROR(SEARCH("Met",'Mail Merge'!$N148),0)&gt;0,IFERROR(SEARCH("Met",'Mail Merge'!$I148),0)&gt;0),"Met","Not Met")</f>
        <v>Met</v>
      </c>
    </row>
    <row r="149" spans="1:22" x14ac:dyDescent="0.35">
      <c r="A149" s="200" t="s">
        <v>170</v>
      </c>
      <c r="B149" s="201">
        <v>1967</v>
      </c>
      <c r="C149" s="201" t="s">
        <v>57</v>
      </c>
      <c r="D149" s="201">
        <v>13</v>
      </c>
      <c r="E149" s="201">
        <v>114765.31</v>
      </c>
      <c r="F149" s="201">
        <v>42139.64</v>
      </c>
      <c r="G149" s="201">
        <f>'Mail Merge'!$E149+'Mail Merge'!$F149</f>
        <v>156904.95000000001</v>
      </c>
      <c r="H149" s="201">
        <v>0</v>
      </c>
      <c r="I149" s="201" t="s">
        <v>239</v>
      </c>
      <c r="J149" s="201">
        <f>IFERROR('Mail Merge'!$E149/'Mail Merge'!$D149,0)</f>
        <v>8828.1007692307685</v>
      </c>
      <c r="K149" s="201">
        <f>IFERROR('Mail Merge'!$F149/'Mail Merge'!$D149,0)</f>
        <v>3241.5107692307693</v>
      </c>
      <c r="L149" s="201">
        <f>IFERROR('Mail Merge'!$G149/'Mail Merge'!$D149,0)</f>
        <v>12069.611538461539</v>
      </c>
      <c r="M149" s="201">
        <v>0</v>
      </c>
      <c r="N149" s="201" t="s">
        <v>239</v>
      </c>
      <c r="O149" s="201">
        <v>21628.82</v>
      </c>
      <c r="P149" s="201">
        <v>12.27</v>
      </c>
      <c r="Q149" s="201">
        <f>'Mail Merge'!$O149+'Mail Merge'!$P149</f>
        <v>21641.09</v>
      </c>
      <c r="R149" s="201"/>
      <c r="S149" s="201"/>
      <c r="T149" s="201"/>
      <c r="U149" s="201">
        <f>IF(AND('Mail Merge'!$I149="Did Not Meet",'Mail Merge'!$N149="Did Not Meet"),MIN(ABS('Mail Merge'!$H149),ABS('Mail Merge'!$M149),'Mail Merge'!$Q149),0)</f>
        <v>0</v>
      </c>
      <c r="V149" s="201" t="str">
        <f>IF(OR(IFERROR(SEARCH("Met",'Mail Merge'!$N149),0)&gt;0,IFERROR(SEARCH("Met",'Mail Merge'!$I149),0)&gt;0),"Met","Not Met")</f>
        <v>Met</v>
      </c>
    </row>
    <row r="150" spans="1:22" x14ac:dyDescent="0.35">
      <c r="A150" s="198" t="s">
        <v>171</v>
      </c>
      <c r="B150" s="199">
        <v>2009</v>
      </c>
      <c r="C150" s="199" t="s">
        <v>57</v>
      </c>
      <c r="D150" s="199">
        <v>109</v>
      </c>
      <c r="E150" s="199">
        <v>62338.09</v>
      </c>
      <c r="F150" s="199">
        <v>112638.53</v>
      </c>
      <c r="G150" s="199">
        <f>'Mail Merge'!$E150+'Mail Merge'!$F150</f>
        <v>174976.62</v>
      </c>
      <c r="H150" s="199">
        <v>0</v>
      </c>
      <c r="I150" s="199" t="s">
        <v>239</v>
      </c>
      <c r="J150" s="199">
        <f>IFERROR('Mail Merge'!$E150/'Mail Merge'!$D150,0)</f>
        <v>571.90908256880732</v>
      </c>
      <c r="K150" s="199">
        <f>IFERROR('Mail Merge'!$F150/'Mail Merge'!$D150,0)</f>
        <v>1033.3810091743119</v>
      </c>
      <c r="L150" s="199">
        <f>IFERROR('Mail Merge'!$G150/'Mail Merge'!$D150,0)</f>
        <v>1605.2900917431193</v>
      </c>
      <c r="M150" s="199">
        <v>0</v>
      </c>
      <c r="N150" s="199" t="s">
        <v>239</v>
      </c>
      <c r="O150" s="199">
        <v>30857.55</v>
      </c>
      <c r="P150" s="199">
        <v>783.95</v>
      </c>
      <c r="Q150" s="199">
        <f>'Mail Merge'!$O150+'Mail Merge'!$P150</f>
        <v>31641.5</v>
      </c>
      <c r="R150" s="199"/>
      <c r="S150" s="199"/>
      <c r="T150" s="199"/>
      <c r="U150" s="199">
        <f>IF(AND('Mail Merge'!$I150="Did Not Meet",'Mail Merge'!$N150="Did Not Meet"),MIN(ABS('Mail Merge'!$H150),ABS('Mail Merge'!$M150),'Mail Merge'!$Q150),0)</f>
        <v>0</v>
      </c>
      <c r="V150" s="199" t="str">
        <f>IF(OR(IFERROR(SEARCH("Met",'Mail Merge'!$N150),0)&gt;0,IFERROR(SEARCH("Met",'Mail Merge'!$I150),0)&gt;0),"Met","Not Met")</f>
        <v>Met</v>
      </c>
    </row>
    <row r="151" spans="1:22" x14ac:dyDescent="0.35">
      <c r="A151" s="200" t="s">
        <v>172</v>
      </c>
      <c r="B151" s="201">
        <v>2045</v>
      </c>
      <c r="C151" s="201" t="s">
        <v>57</v>
      </c>
      <c r="D151" s="201">
        <v>13</v>
      </c>
      <c r="E151" s="201">
        <v>216844.13</v>
      </c>
      <c r="F151" s="201">
        <v>62705.86</v>
      </c>
      <c r="G151" s="201">
        <f>'Mail Merge'!$E151+'Mail Merge'!$F151</f>
        <v>279549.99</v>
      </c>
      <c r="H151" s="201">
        <v>0</v>
      </c>
      <c r="I151" s="201" t="s">
        <v>239</v>
      </c>
      <c r="J151" s="201">
        <f>IFERROR('Mail Merge'!$E151/'Mail Merge'!$D151,0)</f>
        <v>16680.317692307694</v>
      </c>
      <c r="K151" s="201">
        <f>IFERROR('Mail Merge'!$F151/'Mail Merge'!$D151,0)</f>
        <v>4823.5276923076926</v>
      </c>
      <c r="L151" s="201">
        <f>IFERROR('Mail Merge'!$G151/'Mail Merge'!$D151,0)</f>
        <v>21503.845384615382</v>
      </c>
      <c r="M151" s="201">
        <v>0</v>
      </c>
      <c r="N151" s="201" t="s">
        <v>239</v>
      </c>
      <c r="O151" s="201">
        <v>34011.949999999997</v>
      </c>
      <c r="P151" s="201">
        <v>995.28</v>
      </c>
      <c r="Q151" s="201">
        <f>'Mail Merge'!$O151+'Mail Merge'!$P151</f>
        <v>35007.229999999996</v>
      </c>
      <c r="R151" s="201"/>
      <c r="S151" s="201"/>
      <c r="T151" s="201"/>
      <c r="U151" s="201">
        <f>IF(AND('Mail Merge'!$I151="Did Not Meet",'Mail Merge'!$N151="Did Not Meet"),MIN(ABS('Mail Merge'!$H151),ABS('Mail Merge'!$M151),'Mail Merge'!$Q151),0)</f>
        <v>0</v>
      </c>
      <c r="V151" s="201" t="str">
        <f>IF(OR(IFERROR(SEARCH("Met",'Mail Merge'!$N151),0)&gt;0,IFERROR(SEARCH("Met",'Mail Merge'!$I151),0)&gt;0),"Met","Not Met")</f>
        <v>Met</v>
      </c>
    </row>
    <row r="152" spans="1:22" x14ac:dyDescent="0.35">
      <c r="A152" s="198" t="s">
        <v>173</v>
      </c>
      <c r="B152" s="199">
        <v>1946</v>
      </c>
      <c r="C152" s="199" t="s">
        <v>57</v>
      </c>
      <c r="D152" s="199">
        <v>154</v>
      </c>
      <c r="E152" s="199">
        <v>1215703.6000000001</v>
      </c>
      <c r="F152" s="199">
        <v>170657</v>
      </c>
      <c r="G152" s="199">
        <f>'Mail Merge'!$E152+'Mail Merge'!$F152</f>
        <v>1386360.6</v>
      </c>
      <c r="H152" s="199">
        <v>0</v>
      </c>
      <c r="I152" s="199" t="s">
        <v>239</v>
      </c>
      <c r="J152" s="199">
        <f>IFERROR('Mail Merge'!$E152/'Mail Merge'!$D152,0)</f>
        <v>7894.1792207792214</v>
      </c>
      <c r="K152" s="199">
        <f>IFERROR('Mail Merge'!$F152/'Mail Merge'!$D152,0)</f>
        <v>1108.1623376623377</v>
      </c>
      <c r="L152" s="199">
        <f>IFERROR('Mail Merge'!$G152/'Mail Merge'!$D152,0)</f>
        <v>9002.3415584415598</v>
      </c>
      <c r="M152" s="199">
        <v>0</v>
      </c>
      <c r="N152" s="199" t="s">
        <v>239</v>
      </c>
      <c r="O152" s="199">
        <v>204600.94</v>
      </c>
      <c r="P152" s="199">
        <v>553.65</v>
      </c>
      <c r="Q152" s="199">
        <f>'Mail Merge'!$O152+'Mail Merge'!$P152</f>
        <v>205154.59</v>
      </c>
      <c r="R152" s="199"/>
      <c r="S152" s="199"/>
      <c r="T152" s="199"/>
      <c r="U152" s="199">
        <f>IF(AND('Mail Merge'!$I152="Did Not Meet",'Mail Merge'!$N152="Did Not Meet"),MIN(ABS('Mail Merge'!$H152),ABS('Mail Merge'!$M152),'Mail Merge'!$Q152),0)</f>
        <v>0</v>
      </c>
      <c r="V152" s="199" t="str">
        <f>IF(OR(IFERROR(SEARCH("Met",'Mail Merge'!$N152),0)&gt;0,IFERROR(SEARCH("Met",'Mail Merge'!$I152),0)&gt;0),"Met","Not Met")</f>
        <v>Met</v>
      </c>
    </row>
    <row r="153" spans="1:22" x14ac:dyDescent="0.35">
      <c r="A153" s="200" t="s">
        <v>174</v>
      </c>
      <c r="B153" s="201">
        <v>1977</v>
      </c>
      <c r="C153" s="201" t="s">
        <v>57</v>
      </c>
      <c r="D153" s="201">
        <v>934</v>
      </c>
      <c r="E153" s="201">
        <v>6209717.2400000002</v>
      </c>
      <c r="F153" s="201">
        <v>1164154</v>
      </c>
      <c r="G153" s="201">
        <f>'Mail Merge'!$E153+'Mail Merge'!$F153</f>
        <v>7373871.2400000002</v>
      </c>
      <c r="H153" s="201">
        <v>0</v>
      </c>
      <c r="I153" s="201" t="s">
        <v>239</v>
      </c>
      <c r="J153" s="201">
        <f>IFERROR('Mail Merge'!$E153/'Mail Merge'!$D153,0)</f>
        <v>6648.5195289079229</v>
      </c>
      <c r="K153" s="201">
        <f>IFERROR('Mail Merge'!$F153/'Mail Merge'!$D153,0)</f>
        <v>1246.4175588865096</v>
      </c>
      <c r="L153" s="201">
        <f>IFERROR('Mail Merge'!$G153/'Mail Merge'!$D153,0)</f>
        <v>7894.937087794433</v>
      </c>
      <c r="M153" s="201">
        <v>0</v>
      </c>
      <c r="N153" s="201" t="s">
        <v>239</v>
      </c>
      <c r="O153" s="201">
        <v>1049565.8500000001</v>
      </c>
      <c r="P153" s="201">
        <v>5474.46</v>
      </c>
      <c r="Q153" s="201">
        <f>'Mail Merge'!$O153+'Mail Merge'!$P153</f>
        <v>1055040.31</v>
      </c>
      <c r="R153" s="201"/>
      <c r="S153" s="201"/>
      <c r="T153" s="201"/>
      <c r="U153" s="201">
        <f>IF(AND('Mail Merge'!$I153="Did Not Meet",'Mail Merge'!$N153="Did Not Meet"),MIN(ABS('Mail Merge'!$H153),ABS('Mail Merge'!$M153),'Mail Merge'!$Q153),0)</f>
        <v>0</v>
      </c>
      <c r="V153" s="201" t="str">
        <f>IF(OR(IFERROR(SEARCH("Met",'Mail Merge'!$N153),0)&gt;0,IFERROR(SEARCH("Met",'Mail Merge'!$I153),0)&gt;0),"Met","Not Met")</f>
        <v>Met</v>
      </c>
    </row>
    <row r="154" spans="1:22" x14ac:dyDescent="0.35">
      <c r="A154" s="198" t="s">
        <v>175</v>
      </c>
      <c r="B154" s="199">
        <v>2001</v>
      </c>
      <c r="C154" s="199" t="s">
        <v>57</v>
      </c>
      <c r="D154" s="199">
        <v>104</v>
      </c>
      <c r="E154" s="199">
        <v>631253.6</v>
      </c>
      <c r="F154" s="199">
        <v>295893.55</v>
      </c>
      <c r="G154" s="199">
        <f>'Mail Merge'!$E154+'Mail Merge'!$F154</f>
        <v>927147.14999999991</v>
      </c>
      <c r="H154" s="199">
        <v>0</v>
      </c>
      <c r="I154" s="199" t="s">
        <v>239</v>
      </c>
      <c r="J154" s="199">
        <f>IFERROR('Mail Merge'!$E154/'Mail Merge'!$D154,0)</f>
        <v>6069.7461538461539</v>
      </c>
      <c r="K154" s="199">
        <f>IFERROR('Mail Merge'!$F154/'Mail Merge'!$D154,0)</f>
        <v>2845.1302884615384</v>
      </c>
      <c r="L154" s="199">
        <f>IFERROR('Mail Merge'!$G154/'Mail Merge'!$D154,0)</f>
        <v>8914.8764423076918</v>
      </c>
      <c r="M154" s="199">
        <v>0</v>
      </c>
      <c r="N154" s="199" t="s">
        <v>239</v>
      </c>
      <c r="O154" s="199">
        <v>131666.71</v>
      </c>
      <c r="P154" s="199">
        <v>775.35</v>
      </c>
      <c r="Q154" s="199">
        <f>'Mail Merge'!$O154+'Mail Merge'!$P154</f>
        <v>132442.06</v>
      </c>
      <c r="R154" s="199"/>
      <c r="S154" s="199"/>
      <c r="T154" s="199"/>
      <c r="U154" s="199">
        <f>IF(AND('Mail Merge'!$I154="Did Not Meet",'Mail Merge'!$N154="Did Not Meet"),MIN(ABS('Mail Merge'!$H154),ABS('Mail Merge'!$M154),'Mail Merge'!$Q154),0)</f>
        <v>0</v>
      </c>
      <c r="V154" s="199" t="str">
        <f>IF(OR(IFERROR(SEARCH("Met",'Mail Merge'!$N154),0)&gt;0,IFERROR(SEARCH("Met",'Mail Merge'!$I154),0)&gt;0),"Met","Not Met")</f>
        <v>Met</v>
      </c>
    </row>
    <row r="155" spans="1:22" x14ac:dyDescent="0.35">
      <c r="A155" s="200" t="s">
        <v>176</v>
      </c>
      <c r="B155" s="201">
        <v>2182</v>
      </c>
      <c r="C155" s="201" t="s">
        <v>57</v>
      </c>
      <c r="D155" s="201">
        <v>1739</v>
      </c>
      <c r="E155" s="201">
        <v>14606698.07</v>
      </c>
      <c r="F155" s="201">
        <v>2479536</v>
      </c>
      <c r="G155" s="201">
        <f>'Mail Merge'!$E155+'Mail Merge'!$F155</f>
        <v>17086234.07</v>
      </c>
      <c r="H155" s="201">
        <v>0</v>
      </c>
      <c r="I155" s="201" t="s">
        <v>239</v>
      </c>
      <c r="J155" s="201">
        <f>IFERROR('Mail Merge'!$E155/'Mail Merge'!$D155,0)</f>
        <v>8399.4813513513509</v>
      </c>
      <c r="K155" s="201">
        <f>IFERROR('Mail Merge'!$F155/'Mail Merge'!$D155,0)</f>
        <v>1425.8401380103508</v>
      </c>
      <c r="L155" s="201">
        <f>IFERROR('Mail Merge'!$G155/'Mail Merge'!$D155,0)</f>
        <v>9825.3214893617023</v>
      </c>
      <c r="M155" s="201">
        <v>0</v>
      </c>
      <c r="N155" s="201" t="s">
        <v>239</v>
      </c>
      <c r="O155" s="201">
        <v>1778426.07</v>
      </c>
      <c r="P155" s="201">
        <v>8936.25</v>
      </c>
      <c r="Q155" s="201">
        <f>'Mail Merge'!$O155+'Mail Merge'!$P155</f>
        <v>1787362.32</v>
      </c>
      <c r="R155" s="201"/>
      <c r="S155" s="201"/>
      <c r="T155" s="201"/>
      <c r="U155" s="201">
        <f>IF(AND('Mail Merge'!$I155="Did Not Meet",'Mail Merge'!$N155="Did Not Meet"),MIN(ABS('Mail Merge'!$H155),ABS('Mail Merge'!$M155),'Mail Merge'!$Q155),0)</f>
        <v>0</v>
      </c>
      <c r="V155" s="201" t="str">
        <f>IF(OR(IFERROR(SEARCH("Met",'Mail Merge'!$N155),0)&gt;0,IFERROR(SEARCH("Met",'Mail Merge'!$I155),0)&gt;0),"Met","Not Met")</f>
        <v>Met</v>
      </c>
    </row>
    <row r="156" spans="1:22" x14ac:dyDescent="0.35">
      <c r="A156" s="198" t="s">
        <v>177</v>
      </c>
      <c r="B156" s="199">
        <v>1999</v>
      </c>
      <c r="C156" s="199" t="s">
        <v>57</v>
      </c>
      <c r="D156" s="199">
        <v>63</v>
      </c>
      <c r="E156" s="199">
        <v>286881.7</v>
      </c>
      <c r="F156" s="199">
        <v>86095.29</v>
      </c>
      <c r="G156" s="199">
        <f>'Mail Merge'!$E156+'Mail Merge'!$F156</f>
        <v>372976.99</v>
      </c>
      <c r="H156" s="199">
        <v>0</v>
      </c>
      <c r="I156" s="199" t="s">
        <v>239</v>
      </c>
      <c r="J156" s="199">
        <f>IFERROR('Mail Merge'!$E156/'Mail Merge'!$D156,0)</f>
        <v>4553.6777777777779</v>
      </c>
      <c r="K156" s="199">
        <f>IFERROR('Mail Merge'!$F156/'Mail Merge'!$D156,0)</f>
        <v>1366.5919047619047</v>
      </c>
      <c r="L156" s="199">
        <f>IFERROR('Mail Merge'!$G156/'Mail Merge'!$D156,0)</f>
        <v>5920.2696825396824</v>
      </c>
      <c r="M156" s="199">
        <v>0</v>
      </c>
      <c r="N156" s="199" t="s">
        <v>239</v>
      </c>
      <c r="O156" s="199">
        <v>76306.399999999994</v>
      </c>
      <c r="P156" s="199">
        <v>214.61</v>
      </c>
      <c r="Q156" s="199">
        <f>'Mail Merge'!$O156+'Mail Merge'!$P156</f>
        <v>76521.009999999995</v>
      </c>
      <c r="R156" s="199"/>
      <c r="S156" s="199"/>
      <c r="T156" s="199"/>
      <c r="U156" s="199">
        <f>IF(AND('Mail Merge'!$I156="Did Not Meet",'Mail Merge'!$N156="Did Not Meet"),MIN(ABS('Mail Merge'!$H156),ABS('Mail Merge'!$M156),'Mail Merge'!$Q156),0)</f>
        <v>0</v>
      </c>
      <c r="V156" s="199" t="str">
        <f>IF(OR(IFERROR(SEARCH("Met",'Mail Merge'!$N156),0)&gt;0,IFERROR(SEARCH("Met",'Mail Merge'!$I156),0)&gt;0),"Met","Not Met")</f>
        <v>Met</v>
      </c>
    </row>
    <row r="157" spans="1:22" x14ac:dyDescent="0.35">
      <c r="A157" s="200" t="s">
        <v>178</v>
      </c>
      <c r="B157" s="201">
        <v>2188</v>
      </c>
      <c r="C157" s="201" t="s">
        <v>57</v>
      </c>
      <c r="D157" s="201">
        <v>40</v>
      </c>
      <c r="E157" s="201">
        <v>310697.13</v>
      </c>
      <c r="F157" s="201">
        <v>114140</v>
      </c>
      <c r="G157" s="201">
        <f>'Mail Merge'!$E157+'Mail Merge'!$F157</f>
        <v>424837.13</v>
      </c>
      <c r="H157" s="201">
        <v>0</v>
      </c>
      <c r="I157" s="201" t="s">
        <v>239</v>
      </c>
      <c r="J157" s="201">
        <f>IFERROR('Mail Merge'!$E157/'Mail Merge'!$D157,0)</f>
        <v>7767.4282499999999</v>
      </c>
      <c r="K157" s="201">
        <f>IFERROR('Mail Merge'!$F157/'Mail Merge'!$D157,0)</f>
        <v>2853.5</v>
      </c>
      <c r="L157" s="201">
        <f>IFERROR('Mail Merge'!$G157/'Mail Merge'!$D157,0)</f>
        <v>10620.928250000001</v>
      </c>
      <c r="M157" s="201">
        <v>0</v>
      </c>
      <c r="N157" s="201" t="s">
        <v>239</v>
      </c>
      <c r="O157" s="201">
        <v>75599.759999999995</v>
      </c>
      <c r="P157" s="201">
        <v>538.66999999999996</v>
      </c>
      <c r="Q157" s="201">
        <f>'Mail Merge'!$O157+'Mail Merge'!$P157</f>
        <v>76138.429999999993</v>
      </c>
      <c r="R157" s="201"/>
      <c r="S157" s="201"/>
      <c r="T157" s="201"/>
      <c r="U157" s="201">
        <f>IF(AND('Mail Merge'!$I157="Did Not Meet",'Mail Merge'!$N157="Did Not Meet"),MIN(ABS('Mail Merge'!$H157),ABS('Mail Merge'!$M157),'Mail Merge'!$Q157),0)</f>
        <v>0</v>
      </c>
      <c r="V157" s="201" t="str">
        <f>IF(OR(IFERROR(SEARCH("Met",'Mail Merge'!$N157),0)&gt;0,IFERROR(SEARCH("Met",'Mail Merge'!$I157),0)&gt;0),"Met","Not Met")</f>
        <v>Met</v>
      </c>
    </row>
    <row r="158" spans="1:22" x14ac:dyDescent="0.35">
      <c r="A158" s="198" t="s">
        <v>179</v>
      </c>
      <c r="B158" s="199">
        <v>2044</v>
      </c>
      <c r="C158" s="199" t="s">
        <v>57</v>
      </c>
      <c r="D158" s="199">
        <v>156</v>
      </c>
      <c r="E158" s="199">
        <v>941953.09</v>
      </c>
      <c r="F158" s="199">
        <v>449470.78</v>
      </c>
      <c r="G158" s="199">
        <f>'Mail Merge'!$E158+'Mail Merge'!$F158</f>
        <v>1391423.87</v>
      </c>
      <c r="H158" s="199">
        <v>0</v>
      </c>
      <c r="I158" s="199" t="s">
        <v>239</v>
      </c>
      <c r="J158" s="199">
        <f>IFERROR('Mail Merge'!$E158/'Mail Merge'!$D158,0)</f>
        <v>6038.1608333333334</v>
      </c>
      <c r="K158" s="199">
        <f>IFERROR('Mail Merge'!$F158/'Mail Merge'!$D158,0)</f>
        <v>2881.2229487179488</v>
      </c>
      <c r="L158" s="199">
        <f>IFERROR('Mail Merge'!$G158/'Mail Merge'!$D158,0)</f>
        <v>8919.3837820512836</v>
      </c>
      <c r="M158" s="199">
        <v>0</v>
      </c>
      <c r="N158" s="199" t="s">
        <v>239</v>
      </c>
      <c r="O158" s="199">
        <v>177412.32</v>
      </c>
      <c r="P158" s="199">
        <v>2630.08</v>
      </c>
      <c r="Q158" s="199">
        <f>'Mail Merge'!$O158+'Mail Merge'!$P158</f>
        <v>180042.4</v>
      </c>
      <c r="R158" s="199"/>
      <c r="S158" s="199"/>
      <c r="T158" s="199"/>
      <c r="U158" s="199">
        <f>IF(AND('Mail Merge'!$I158="Did Not Meet",'Mail Merge'!$N158="Did Not Meet"),MIN(ABS('Mail Merge'!$H158),ABS('Mail Merge'!$M158),'Mail Merge'!$Q158),0)</f>
        <v>0</v>
      </c>
      <c r="V158" s="199" t="str">
        <f>IF(OR(IFERROR(SEARCH("Met",'Mail Merge'!$N158),0)&gt;0,IFERROR(SEARCH("Met",'Mail Merge'!$I158),0)&gt;0),"Met","Not Met")</f>
        <v>Met</v>
      </c>
    </row>
    <row r="159" spans="1:22" x14ac:dyDescent="0.35">
      <c r="A159" s="200" t="s">
        <v>180</v>
      </c>
      <c r="B159" s="201">
        <v>2142</v>
      </c>
      <c r="C159" s="201" t="s">
        <v>57</v>
      </c>
      <c r="D159" s="201">
        <v>0</v>
      </c>
      <c r="E159" s="201">
        <v>53310806.789999999</v>
      </c>
      <c r="F159" s="201">
        <v>314708.83</v>
      </c>
      <c r="G159" s="201">
        <f>'Mail Merge'!$E159+'Mail Merge'!$F159</f>
        <v>53625515.619999997</v>
      </c>
      <c r="H159" s="201">
        <v>0</v>
      </c>
      <c r="I159" s="201"/>
      <c r="J159" s="201">
        <f>IFERROR('Mail Merge'!$E159/'Mail Merge'!$D159,0)</f>
        <v>0</v>
      </c>
      <c r="K159" s="201">
        <f>IFERROR('Mail Merge'!$F159/'Mail Merge'!$D159,0)</f>
        <v>0</v>
      </c>
      <c r="L159" s="201">
        <f>IFERROR('Mail Merge'!$G159/'Mail Merge'!$D159,0)</f>
        <v>0</v>
      </c>
      <c r="M159" s="201">
        <v>0</v>
      </c>
      <c r="N159" s="201"/>
      <c r="O159" s="201">
        <v>6423843.7400000002</v>
      </c>
      <c r="P159" s="201">
        <v>37389.06</v>
      </c>
      <c r="Q159" s="201">
        <f>'Mail Merge'!$O159+'Mail Merge'!$P159</f>
        <v>6461232.7999999998</v>
      </c>
      <c r="R159" s="201"/>
      <c r="S159" s="201"/>
      <c r="T159" s="201"/>
      <c r="U159" s="201">
        <f>IF(AND('Mail Merge'!$I159="Did Not Meet",'Mail Merge'!$N159="Did Not Meet"),MIN(ABS('Mail Merge'!$H159),ABS('Mail Merge'!$M159),'Mail Merge'!$Q159),0)</f>
        <v>0</v>
      </c>
      <c r="V159" s="201" t="str">
        <f>IF(OR(IFERROR(SEARCH("Met",'Mail Merge'!$N159),0)&gt;0,IFERROR(SEARCH("Met",'Mail Merge'!$I159),0)&gt;0),"Met","Not Met")</f>
        <v>Not Met</v>
      </c>
    </row>
    <row r="160" spans="1:22" x14ac:dyDescent="0.35">
      <c r="A160" s="198" t="s">
        <v>181</v>
      </c>
      <c r="B160" s="199">
        <v>2104</v>
      </c>
      <c r="C160" s="199" t="s">
        <v>57</v>
      </c>
      <c r="D160" s="199">
        <v>86</v>
      </c>
      <c r="E160" s="199">
        <v>567147.69999999995</v>
      </c>
      <c r="F160" s="199">
        <v>76324</v>
      </c>
      <c r="G160" s="199">
        <f>'Mail Merge'!$E160+'Mail Merge'!$F160</f>
        <v>643471.69999999995</v>
      </c>
      <c r="H160" s="199">
        <v>0</v>
      </c>
      <c r="I160" s="199" t="s">
        <v>239</v>
      </c>
      <c r="J160" s="199">
        <f>IFERROR('Mail Merge'!$E160/'Mail Merge'!$D160,0)</f>
        <v>6594.7406976744178</v>
      </c>
      <c r="K160" s="199">
        <f>IFERROR('Mail Merge'!$F160/'Mail Merge'!$D160,0)</f>
        <v>887.48837209302326</v>
      </c>
      <c r="L160" s="199">
        <f>IFERROR('Mail Merge'!$G160/'Mail Merge'!$D160,0)</f>
        <v>7482.2290697674416</v>
      </c>
      <c r="M160" s="199">
        <v>0</v>
      </c>
      <c r="N160" s="199" t="s">
        <v>239</v>
      </c>
      <c r="O160" s="199">
        <v>130633.47</v>
      </c>
      <c r="P160" s="199">
        <v>749.19</v>
      </c>
      <c r="Q160" s="199">
        <f>'Mail Merge'!$O160+'Mail Merge'!$P160</f>
        <v>131382.66</v>
      </c>
      <c r="R160" s="199"/>
      <c r="S160" s="199"/>
      <c r="T160" s="199"/>
      <c r="U160" s="199">
        <f>IF(AND('Mail Merge'!$I160="Did Not Meet",'Mail Merge'!$N160="Did Not Meet"),MIN(ABS('Mail Merge'!$H160),ABS('Mail Merge'!$M160),'Mail Merge'!$Q160),0)</f>
        <v>0</v>
      </c>
      <c r="V160" s="199" t="str">
        <f>IF(OR(IFERROR(SEARCH("Met",'Mail Merge'!$N160),0)&gt;0,IFERROR(SEARCH("Met",'Mail Merge'!$I160),0)&gt;0),"Met","Not Met")</f>
        <v>Met</v>
      </c>
    </row>
    <row r="161" spans="1:22" x14ac:dyDescent="0.35">
      <c r="A161" s="200" t="s">
        <v>182</v>
      </c>
      <c r="B161" s="201">
        <v>1944</v>
      </c>
      <c r="C161" s="201" t="s">
        <v>57</v>
      </c>
      <c r="D161" s="201">
        <v>257</v>
      </c>
      <c r="E161" s="201">
        <v>1974116.09</v>
      </c>
      <c r="F161" s="201">
        <v>243896</v>
      </c>
      <c r="G161" s="201">
        <f>'Mail Merge'!$E161+'Mail Merge'!$F161</f>
        <v>2218012.09</v>
      </c>
      <c r="H161" s="201">
        <v>0</v>
      </c>
      <c r="I161" s="201" t="s">
        <v>239</v>
      </c>
      <c r="J161" s="201">
        <f>IFERROR('Mail Merge'!$E161/'Mail Merge'!$D161,0)</f>
        <v>7681.3855642023345</v>
      </c>
      <c r="K161" s="201">
        <f>IFERROR('Mail Merge'!$F161/'Mail Merge'!$D161,0)</f>
        <v>949.01167315175098</v>
      </c>
      <c r="L161" s="201">
        <f>IFERROR('Mail Merge'!$G161/'Mail Merge'!$D161,0)</f>
        <v>8630.3972373540855</v>
      </c>
      <c r="M161" s="201">
        <v>0</v>
      </c>
      <c r="N161" s="201" t="s">
        <v>239</v>
      </c>
      <c r="O161" s="201">
        <v>317091.83</v>
      </c>
      <c r="P161" s="201">
        <v>1456.91</v>
      </c>
      <c r="Q161" s="201">
        <f>'Mail Merge'!$O161+'Mail Merge'!$P161</f>
        <v>318548.74</v>
      </c>
      <c r="R161" s="201"/>
      <c r="S161" s="201"/>
      <c r="T161" s="201"/>
      <c r="U161" s="201">
        <f>IF(AND('Mail Merge'!$I161="Did Not Meet",'Mail Merge'!$N161="Did Not Meet"),MIN(ABS('Mail Merge'!$H161),ABS('Mail Merge'!$M161),'Mail Merge'!$Q161),0)</f>
        <v>0</v>
      </c>
      <c r="V161" s="201" t="str">
        <f>IF(OR(IFERROR(SEARCH("Met",'Mail Merge'!$N161),0)&gt;0,IFERROR(SEARCH("Met",'Mail Merge'!$I161),0)&gt;0),"Met","Not Met")</f>
        <v>Met</v>
      </c>
    </row>
    <row r="162" spans="1:22" x14ac:dyDescent="0.35">
      <c r="A162" s="198" t="s">
        <v>183</v>
      </c>
      <c r="B162" s="199">
        <v>2103</v>
      </c>
      <c r="C162" s="199" t="s">
        <v>57</v>
      </c>
      <c r="D162" s="199">
        <v>79</v>
      </c>
      <c r="E162" s="199">
        <v>303722.14</v>
      </c>
      <c r="F162" s="199">
        <v>113218</v>
      </c>
      <c r="G162" s="199">
        <f>'Mail Merge'!$E162+'Mail Merge'!$F162</f>
        <v>416940.14</v>
      </c>
      <c r="H162" s="199">
        <v>0</v>
      </c>
      <c r="I162" s="199" t="s">
        <v>239</v>
      </c>
      <c r="J162" s="199">
        <f>IFERROR('Mail Merge'!$E162/'Mail Merge'!$D162,0)</f>
        <v>3844.5840506329114</v>
      </c>
      <c r="K162" s="199">
        <f>IFERROR('Mail Merge'!$F162/'Mail Merge'!$D162,0)</f>
        <v>1433.1392405063291</v>
      </c>
      <c r="L162" s="199">
        <f>IFERROR('Mail Merge'!$G162/'Mail Merge'!$D162,0)</f>
        <v>5277.7232911392402</v>
      </c>
      <c r="M162" s="199">
        <v>0</v>
      </c>
      <c r="N162" s="199" t="s">
        <v>239</v>
      </c>
      <c r="O162" s="199">
        <v>297548.69</v>
      </c>
      <c r="P162" s="199">
        <v>322.72000000000003</v>
      </c>
      <c r="Q162" s="199">
        <f>'Mail Merge'!$O162+'Mail Merge'!$P162</f>
        <v>297871.40999999997</v>
      </c>
      <c r="R162" s="199"/>
      <c r="S162" s="199"/>
      <c r="T162" s="199"/>
      <c r="U162" s="199">
        <f>IF(AND('Mail Merge'!$I162="Did Not Meet",'Mail Merge'!$N162="Did Not Meet"),MIN(ABS('Mail Merge'!$H162),ABS('Mail Merge'!$M162),'Mail Merge'!$Q162),0)</f>
        <v>0</v>
      </c>
      <c r="V162" s="199" t="str">
        <f>IF(OR(IFERROR(SEARCH("Met",'Mail Merge'!$N162),0)&gt;0,IFERROR(SEARCH("Met",'Mail Merge'!$I162),0)&gt;0),"Met","Not Met")</f>
        <v>Met</v>
      </c>
    </row>
    <row r="163" spans="1:22" x14ac:dyDescent="0.35">
      <c r="A163" s="200" t="s">
        <v>184</v>
      </c>
      <c r="B163" s="201">
        <v>1935</v>
      </c>
      <c r="C163" s="201" t="s">
        <v>57</v>
      </c>
      <c r="D163" s="201">
        <v>237</v>
      </c>
      <c r="E163" s="201">
        <v>1901885.72</v>
      </c>
      <c r="F163" s="201">
        <v>382146</v>
      </c>
      <c r="G163" s="201">
        <f>'Mail Merge'!$E163+'Mail Merge'!$F163</f>
        <v>2284031.7199999997</v>
      </c>
      <c r="H163" s="201">
        <v>0</v>
      </c>
      <c r="I163" s="201" t="s">
        <v>239</v>
      </c>
      <c r="J163" s="201">
        <f>IFERROR('Mail Merge'!$E163/'Mail Merge'!$D163,0)</f>
        <v>8024.8342616033751</v>
      </c>
      <c r="K163" s="201">
        <f>IFERROR('Mail Merge'!$F163/'Mail Merge'!$D163,0)</f>
        <v>1612.4303797468353</v>
      </c>
      <c r="L163" s="201">
        <f>IFERROR('Mail Merge'!$G163/'Mail Merge'!$D163,0)</f>
        <v>9637.2646413502098</v>
      </c>
      <c r="M163" s="201">
        <v>0</v>
      </c>
      <c r="N163" s="201" t="s">
        <v>239</v>
      </c>
      <c r="O163" s="201">
        <v>230119.22</v>
      </c>
      <c r="P163" s="201">
        <v>2281.2800000000002</v>
      </c>
      <c r="Q163" s="201">
        <f>'Mail Merge'!$O163+'Mail Merge'!$P163</f>
        <v>232400.5</v>
      </c>
      <c r="R163" s="201"/>
      <c r="S163" s="201"/>
      <c r="T163" s="201"/>
      <c r="U163" s="201">
        <f>IF(AND('Mail Merge'!$I163="Did Not Meet",'Mail Merge'!$N163="Did Not Meet"),MIN(ABS('Mail Merge'!$H163),ABS('Mail Merge'!$M163),'Mail Merge'!$Q163),0)</f>
        <v>0</v>
      </c>
      <c r="V163" s="201" t="str">
        <f>IF(OR(IFERROR(SEARCH("Met",'Mail Merge'!$N163),0)&gt;0,IFERROR(SEARCH("Met",'Mail Merge'!$I163),0)&gt;0),"Met","Not Met")</f>
        <v>Met</v>
      </c>
    </row>
    <row r="164" spans="1:22" x14ac:dyDescent="0.35">
      <c r="A164" s="198" t="s">
        <v>185</v>
      </c>
      <c r="B164" s="199">
        <v>2257</v>
      </c>
      <c r="C164" s="199" t="s">
        <v>57</v>
      </c>
      <c r="D164" s="199">
        <v>116</v>
      </c>
      <c r="E164" s="199">
        <v>913410.74</v>
      </c>
      <c r="F164" s="199">
        <v>49116.74</v>
      </c>
      <c r="G164" s="199">
        <f>'Mail Merge'!$E164+'Mail Merge'!$F164</f>
        <v>962527.48</v>
      </c>
      <c r="H164" s="199">
        <v>0</v>
      </c>
      <c r="I164" s="199" t="s">
        <v>239</v>
      </c>
      <c r="J164" s="199">
        <f>IFERROR('Mail Merge'!$E164/'Mail Merge'!$D164,0)</f>
        <v>7874.2305172413789</v>
      </c>
      <c r="K164" s="199">
        <f>IFERROR('Mail Merge'!$F164/'Mail Merge'!$D164,0)</f>
        <v>423.42017241379307</v>
      </c>
      <c r="L164" s="199">
        <f>IFERROR('Mail Merge'!$G164/'Mail Merge'!$D164,0)</f>
        <v>8297.6506896551728</v>
      </c>
      <c r="M164" s="199">
        <v>0</v>
      </c>
      <c r="N164" s="199" t="s">
        <v>239</v>
      </c>
      <c r="O164" s="199">
        <v>189770.57</v>
      </c>
      <c r="P164" s="199">
        <v>1628.16</v>
      </c>
      <c r="Q164" s="199">
        <f>'Mail Merge'!$O164+'Mail Merge'!$P164</f>
        <v>191398.73</v>
      </c>
      <c r="R164" s="199"/>
      <c r="S164" s="199"/>
      <c r="T164" s="199"/>
      <c r="U164" s="199">
        <f>IF(AND('Mail Merge'!$I164="Did Not Meet",'Mail Merge'!$N164="Did Not Meet"),MIN(ABS('Mail Merge'!$H164),ABS('Mail Merge'!$M164),'Mail Merge'!$Q164),0)</f>
        <v>0</v>
      </c>
      <c r="V164" s="199" t="str">
        <f>IF(OR(IFERROR(SEARCH("Met",'Mail Merge'!$N164),0)&gt;0,IFERROR(SEARCH("Met",'Mail Merge'!$I164),0)&gt;0),"Met","Not Met")</f>
        <v>Met</v>
      </c>
    </row>
    <row r="165" spans="1:22" x14ac:dyDescent="0.35">
      <c r="A165" s="200" t="s">
        <v>186</v>
      </c>
      <c r="B165" s="201">
        <v>2195</v>
      </c>
      <c r="C165" s="201" t="s">
        <v>57</v>
      </c>
      <c r="D165" s="201">
        <v>49</v>
      </c>
      <c r="E165" s="201">
        <v>218767.24</v>
      </c>
      <c r="F165" s="201">
        <v>215044</v>
      </c>
      <c r="G165" s="201">
        <f>'Mail Merge'!$E165+'Mail Merge'!$F165</f>
        <v>433811.24</v>
      </c>
      <c r="H165" s="201">
        <v>0</v>
      </c>
      <c r="I165" s="201" t="s">
        <v>239</v>
      </c>
      <c r="J165" s="201">
        <f>IFERROR('Mail Merge'!$E165/'Mail Merge'!$D165,0)</f>
        <v>4464.637551020408</v>
      </c>
      <c r="K165" s="201">
        <f>IFERROR('Mail Merge'!$F165/'Mail Merge'!$D165,0)</f>
        <v>4388.6530612244896</v>
      </c>
      <c r="L165" s="201">
        <f>IFERROR('Mail Merge'!$G165/'Mail Merge'!$D165,0)</f>
        <v>8853.2906122448985</v>
      </c>
      <c r="M165" s="201">
        <v>0</v>
      </c>
      <c r="N165" s="201" t="s">
        <v>239</v>
      </c>
      <c r="O165" s="201">
        <v>54247.69</v>
      </c>
      <c r="P165" s="201">
        <v>128.71</v>
      </c>
      <c r="Q165" s="201">
        <f>'Mail Merge'!$O165+'Mail Merge'!$P165</f>
        <v>54376.4</v>
      </c>
      <c r="R165" s="201"/>
      <c r="S165" s="201"/>
      <c r="T165" s="201"/>
      <c r="U165" s="201">
        <f>IF(AND('Mail Merge'!$I165="Did Not Meet",'Mail Merge'!$N165="Did Not Meet"),MIN(ABS('Mail Merge'!$H165),ABS('Mail Merge'!$M165),'Mail Merge'!$Q165),0)</f>
        <v>0</v>
      </c>
      <c r="V165" s="201" t="str">
        <f>IF(OR(IFERROR(SEARCH("Met",'Mail Merge'!$N165),0)&gt;0,IFERROR(SEARCH("Met",'Mail Merge'!$I165),0)&gt;0),"Met","Not Met")</f>
        <v>Met</v>
      </c>
    </row>
    <row r="166" spans="1:22" x14ac:dyDescent="0.35">
      <c r="A166" s="198" t="s">
        <v>187</v>
      </c>
      <c r="B166" s="199">
        <v>2244</v>
      </c>
      <c r="C166" s="199" t="s">
        <v>57</v>
      </c>
      <c r="D166" s="199">
        <v>502</v>
      </c>
      <c r="E166" s="199">
        <v>3422327.07</v>
      </c>
      <c r="F166" s="199">
        <v>679474</v>
      </c>
      <c r="G166" s="199">
        <f>'Mail Merge'!$E166+'Mail Merge'!$F166</f>
        <v>4101801.07</v>
      </c>
      <c r="H166" s="199">
        <v>0</v>
      </c>
      <c r="I166" s="199" t="s">
        <v>239</v>
      </c>
      <c r="J166" s="199">
        <f>IFERROR('Mail Merge'!$E166/'Mail Merge'!$D166,0)</f>
        <v>6817.3846015936251</v>
      </c>
      <c r="K166" s="199">
        <f>IFERROR('Mail Merge'!$F166/'Mail Merge'!$D166,0)</f>
        <v>1353.5338645418326</v>
      </c>
      <c r="L166" s="199">
        <f>IFERROR('Mail Merge'!$G166/'Mail Merge'!$D166,0)</f>
        <v>8170.9184661354575</v>
      </c>
      <c r="M166" s="199">
        <v>0</v>
      </c>
      <c r="N166" s="199" t="s">
        <v>239</v>
      </c>
      <c r="O166" s="199">
        <v>624848.61</v>
      </c>
      <c r="P166" s="199">
        <v>1185.8399999999999</v>
      </c>
      <c r="Q166" s="199">
        <f>'Mail Merge'!$O166+'Mail Merge'!$P166</f>
        <v>626034.44999999995</v>
      </c>
      <c r="R166" s="199"/>
      <c r="S166" s="199"/>
      <c r="T166" s="199"/>
      <c r="U166" s="199">
        <f>IF(AND('Mail Merge'!$I166="Did Not Meet",'Mail Merge'!$N166="Did Not Meet"),MIN(ABS('Mail Merge'!$H166),ABS('Mail Merge'!$M166),'Mail Merge'!$Q166),0)</f>
        <v>0</v>
      </c>
      <c r="V166" s="199" t="str">
        <f>IF(OR(IFERROR(SEARCH("Met",'Mail Merge'!$N166),0)&gt;0,IFERROR(SEARCH("Met",'Mail Merge'!$I166),0)&gt;0),"Met","Not Met")</f>
        <v>Met</v>
      </c>
    </row>
    <row r="167" spans="1:22" x14ac:dyDescent="0.35">
      <c r="A167" s="200" t="s">
        <v>188</v>
      </c>
      <c r="B167" s="201">
        <v>2138</v>
      </c>
      <c r="C167" s="201" t="s">
        <v>57</v>
      </c>
      <c r="D167" s="201">
        <v>486</v>
      </c>
      <c r="E167" s="201">
        <v>2999010.56</v>
      </c>
      <c r="F167" s="201">
        <v>367260.01</v>
      </c>
      <c r="G167" s="201">
        <f>'Mail Merge'!$E167+'Mail Merge'!$F167</f>
        <v>3366270.5700000003</v>
      </c>
      <c r="H167" s="201">
        <v>0</v>
      </c>
      <c r="I167" s="201" t="s">
        <v>239</v>
      </c>
      <c r="J167" s="201">
        <f>IFERROR('Mail Merge'!$E167/'Mail Merge'!$D167,0)</f>
        <v>6170.8036213991772</v>
      </c>
      <c r="K167" s="201">
        <f>IFERROR('Mail Merge'!$F167/'Mail Merge'!$D167,0)</f>
        <v>755.67903292181074</v>
      </c>
      <c r="L167" s="201">
        <f>IFERROR('Mail Merge'!$G167/'Mail Merge'!$D167,0)</f>
        <v>6926.4826543209883</v>
      </c>
      <c r="M167" s="201">
        <v>0</v>
      </c>
      <c r="N167" s="201" t="s">
        <v>239</v>
      </c>
      <c r="O167" s="201">
        <v>515498.76</v>
      </c>
      <c r="P167" s="201">
        <v>3594.59</v>
      </c>
      <c r="Q167" s="201">
        <f>'Mail Merge'!$O167+'Mail Merge'!$P167</f>
        <v>519093.35000000003</v>
      </c>
      <c r="R167" s="201"/>
      <c r="S167" s="201"/>
      <c r="T167" s="201"/>
      <c r="U167" s="201">
        <f>IF(AND('Mail Merge'!$I167="Did Not Meet",'Mail Merge'!$N167="Did Not Meet"),MIN(ABS('Mail Merge'!$H167),ABS('Mail Merge'!$M167),'Mail Merge'!$Q167),0)</f>
        <v>0</v>
      </c>
      <c r="V167" s="201" t="str">
        <f>IF(OR(IFERROR(SEARCH("Met",'Mail Merge'!$N167),0)&gt;0,IFERROR(SEARCH("Met",'Mail Merge'!$I167),0)&gt;0),"Met","Not Met")</f>
        <v>Met</v>
      </c>
    </row>
    <row r="168" spans="1:22" x14ac:dyDescent="0.35">
      <c r="A168" s="198" t="s">
        <v>189</v>
      </c>
      <c r="B168" s="199">
        <v>1978</v>
      </c>
      <c r="C168" s="199" t="s">
        <v>57</v>
      </c>
      <c r="D168" s="199">
        <v>145</v>
      </c>
      <c r="E168" s="199">
        <v>760931.44</v>
      </c>
      <c r="F168" s="199">
        <v>90550</v>
      </c>
      <c r="G168" s="199">
        <f>'Mail Merge'!$E168+'Mail Merge'!$F168</f>
        <v>851481.44</v>
      </c>
      <c r="H168" s="199">
        <v>0</v>
      </c>
      <c r="I168" s="199" t="s">
        <v>239</v>
      </c>
      <c r="J168" s="199">
        <f>IFERROR('Mail Merge'!$E168/'Mail Merge'!$D168,0)</f>
        <v>5247.8030344827584</v>
      </c>
      <c r="K168" s="199">
        <f>IFERROR('Mail Merge'!$F168/'Mail Merge'!$D168,0)</f>
        <v>624.48275862068965</v>
      </c>
      <c r="L168" s="199">
        <f>IFERROR('Mail Merge'!$G168/'Mail Merge'!$D168,0)</f>
        <v>5872.2857931034478</v>
      </c>
      <c r="M168" s="199">
        <v>0</v>
      </c>
      <c r="N168" s="199" t="s">
        <v>239</v>
      </c>
      <c r="O168" s="199">
        <v>208863.47</v>
      </c>
      <c r="P168" s="199">
        <v>286.68</v>
      </c>
      <c r="Q168" s="199">
        <f>'Mail Merge'!$O168+'Mail Merge'!$P168</f>
        <v>209150.15</v>
      </c>
      <c r="R168" s="199"/>
      <c r="S168" s="199"/>
      <c r="T168" s="199"/>
      <c r="U168" s="199">
        <f>IF(AND('Mail Merge'!$I168="Did Not Meet",'Mail Merge'!$N168="Did Not Meet"),MIN(ABS('Mail Merge'!$H168),ABS('Mail Merge'!$M168),'Mail Merge'!$Q168),0)</f>
        <v>0</v>
      </c>
      <c r="V168" s="199" t="str">
        <f>IF(OR(IFERROR(SEARCH("Met",'Mail Merge'!$N168),0)&gt;0,IFERROR(SEARCH("Met",'Mail Merge'!$I168),0)&gt;0),"Met","Not Met")</f>
        <v>Met</v>
      </c>
    </row>
    <row r="169" spans="1:22" x14ac:dyDescent="0.35">
      <c r="A169" s="200" t="s">
        <v>190</v>
      </c>
      <c r="B169" s="201">
        <v>2096</v>
      </c>
      <c r="C169" s="201" t="s">
        <v>57</v>
      </c>
      <c r="D169" s="201">
        <v>175</v>
      </c>
      <c r="E169" s="201">
        <v>701585.86</v>
      </c>
      <c r="F169" s="201">
        <v>389368</v>
      </c>
      <c r="G169" s="201">
        <f>'Mail Merge'!$E169+'Mail Merge'!$F169</f>
        <v>1090953.8599999999</v>
      </c>
      <c r="H169" s="201">
        <v>0</v>
      </c>
      <c r="I169" s="201" t="s">
        <v>239</v>
      </c>
      <c r="J169" s="201">
        <f>IFERROR('Mail Merge'!$E169/'Mail Merge'!$D169,0)</f>
        <v>4009.0620571428572</v>
      </c>
      <c r="K169" s="201">
        <f>IFERROR('Mail Merge'!$F169/'Mail Merge'!$D169,0)</f>
        <v>2224.96</v>
      </c>
      <c r="L169" s="201">
        <f>IFERROR('Mail Merge'!$G169/'Mail Merge'!$D169,0)</f>
        <v>6234.0220571428563</v>
      </c>
      <c r="M169" s="201">
        <v>0</v>
      </c>
      <c r="N169" s="201" t="s">
        <v>239</v>
      </c>
      <c r="O169" s="201">
        <v>206828.73</v>
      </c>
      <c r="P169" s="201">
        <v>2060.81</v>
      </c>
      <c r="Q169" s="201">
        <f>'Mail Merge'!$O169+'Mail Merge'!$P169</f>
        <v>208889.54</v>
      </c>
      <c r="R169" s="201"/>
      <c r="S169" s="201"/>
      <c r="T169" s="201"/>
      <c r="U169" s="201">
        <f>IF(AND('Mail Merge'!$I169="Did Not Meet",'Mail Merge'!$N169="Did Not Meet"),MIN(ABS('Mail Merge'!$H169),ABS('Mail Merge'!$M169),'Mail Merge'!$Q169),0)</f>
        <v>0</v>
      </c>
      <c r="V169" s="201" t="str">
        <f>IF(OR(IFERROR(SEARCH("Met",'Mail Merge'!$N169),0)&gt;0,IFERROR(SEARCH("Met",'Mail Merge'!$I169),0)&gt;0),"Met","Not Met")</f>
        <v>Met</v>
      </c>
    </row>
    <row r="170" spans="1:22" x14ac:dyDescent="0.35">
      <c r="A170" s="198" t="s">
        <v>191</v>
      </c>
      <c r="B170" s="199">
        <v>2022</v>
      </c>
      <c r="C170" s="199" t="s">
        <v>57</v>
      </c>
      <c r="D170" s="199">
        <v>1</v>
      </c>
      <c r="E170" s="199">
        <v>4933.55</v>
      </c>
      <c r="F170" s="199">
        <v>2066</v>
      </c>
      <c r="G170" s="199">
        <f>'Mail Merge'!$E170+'Mail Merge'!$F170</f>
        <v>6999.55</v>
      </c>
      <c r="H170" s="199">
        <v>0</v>
      </c>
      <c r="I170" s="199" t="s">
        <v>239</v>
      </c>
      <c r="J170" s="199">
        <f>IFERROR('Mail Merge'!$E170/'Mail Merge'!$D170,0)</f>
        <v>4933.55</v>
      </c>
      <c r="K170" s="199">
        <f>IFERROR('Mail Merge'!$F170/'Mail Merge'!$D170,0)</f>
        <v>2066</v>
      </c>
      <c r="L170" s="199">
        <f>IFERROR('Mail Merge'!$G170/'Mail Merge'!$D170,0)</f>
        <v>6999.55</v>
      </c>
      <c r="M170" s="199">
        <v>0</v>
      </c>
      <c r="N170" s="199" t="s">
        <v>239</v>
      </c>
      <c r="O170" s="199">
        <v>3103.4</v>
      </c>
      <c r="P170" s="199">
        <v>1.48</v>
      </c>
      <c r="Q170" s="199">
        <f>'Mail Merge'!$O170+'Mail Merge'!$P170</f>
        <v>3104.88</v>
      </c>
      <c r="R170" s="199"/>
      <c r="S170" s="199"/>
      <c r="T170" s="199"/>
      <c r="U170" s="199">
        <f>IF(AND('Mail Merge'!$I170="Did Not Meet",'Mail Merge'!$N170="Did Not Meet"),MIN(ABS('Mail Merge'!$H170),ABS('Mail Merge'!$M170),'Mail Merge'!$Q170),0)</f>
        <v>0</v>
      </c>
      <c r="V170" s="199" t="str">
        <f>IF(OR(IFERROR(SEARCH("Met",'Mail Merge'!$N170),0)&gt;0,IFERROR(SEARCH("Met",'Mail Merge'!$I170),0)&gt;0),"Met","Not Met")</f>
        <v>Met</v>
      </c>
    </row>
    <row r="171" spans="1:22" x14ac:dyDescent="0.35">
      <c r="A171" s="200" t="s">
        <v>192</v>
      </c>
      <c r="B171" s="201">
        <v>2087</v>
      </c>
      <c r="C171" s="201" t="s">
        <v>57</v>
      </c>
      <c r="D171" s="201">
        <v>446</v>
      </c>
      <c r="E171" s="201">
        <v>2936863.55</v>
      </c>
      <c r="F171" s="201">
        <v>916553</v>
      </c>
      <c r="G171" s="201">
        <f>'Mail Merge'!$E171+'Mail Merge'!$F171</f>
        <v>3853416.55</v>
      </c>
      <c r="H171" s="201">
        <v>0</v>
      </c>
      <c r="I171" s="201" t="s">
        <v>239</v>
      </c>
      <c r="J171" s="201">
        <f>IFERROR('Mail Merge'!$E171/'Mail Merge'!$D171,0)</f>
        <v>6584.8958520179367</v>
      </c>
      <c r="K171" s="201">
        <f>IFERROR('Mail Merge'!$F171/'Mail Merge'!$D171,0)</f>
        <v>2055.0515695067265</v>
      </c>
      <c r="L171" s="201">
        <f>IFERROR('Mail Merge'!$G171/'Mail Merge'!$D171,0)</f>
        <v>8639.9474215246628</v>
      </c>
      <c r="M171" s="201">
        <v>0</v>
      </c>
      <c r="N171" s="201" t="s">
        <v>239</v>
      </c>
      <c r="O171" s="201">
        <v>553787.38</v>
      </c>
      <c r="P171" s="201">
        <v>2925.27</v>
      </c>
      <c r="Q171" s="201">
        <f>'Mail Merge'!$O171+'Mail Merge'!$P171</f>
        <v>556712.65</v>
      </c>
      <c r="R171" s="201"/>
      <c r="S171" s="201"/>
      <c r="T171" s="201"/>
      <c r="U171" s="201">
        <f>IF(AND('Mail Merge'!$I171="Did Not Meet",'Mail Merge'!$N171="Did Not Meet"),MIN(ABS('Mail Merge'!$H171),ABS('Mail Merge'!$M171),'Mail Merge'!$Q171),0)</f>
        <v>0</v>
      </c>
      <c r="V171" s="201" t="str">
        <f>IF(OR(IFERROR(SEARCH("Met",'Mail Merge'!$N171),0)&gt;0,IFERROR(SEARCH("Met",'Mail Merge'!$I171),0)&gt;0),"Met","Not Met")</f>
        <v>Met</v>
      </c>
    </row>
    <row r="172" spans="1:22" x14ac:dyDescent="0.35">
      <c r="A172" s="198" t="s">
        <v>193</v>
      </c>
      <c r="B172" s="199">
        <v>1994</v>
      </c>
      <c r="C172" s="199" t="s">
        <v>57</v>
      </c>
      <c r="D172" s="199">
        <v>234</v>
      </c>
      <c r="E172" s="199">
        <v>1758604.29</v>
      </c>
      <c r="F172" s="199">
        <v>289955.06</v>
      </c>
      <c r="G172" s="199">
        <f>'Mail Merge'!$E172+'Mail Merge'!$F172</f>
        <v>2048559.35</v>
      </c>
      <c r="H172" s="199">
        <v>0</v>
      </c>
      <c r="I172" s="199" t="s">
        <v>239</v>
      </c>
      <c r="J172" s="199">
        <f>IFERROR('Mail Merge'!$E172/'Mail Merge'!$D172,0)</f>
        <v>7515.4029487179487</v>
      </c>
      <c r="K172" s="199">
        <f>IFERROR('Mail Merge'!$F172/'Mail Merge'!$D172,0)</f>
        <v>1239.1241880341881</v>
      </c>
      <c r="L172" s="199">
        <f>IFERROR('Mail Merge'!$G172/'Mail Merge'!$D172,0)</f>
        <v>8754.5271367521364</v>
      </c>
      <c r="M172" s="199">
        <v>0</v>
      </c>
      <c r="N172" s="199" t="s">
        <v>239</v>
      </c>
      <c r="O172" s="199">
        <v>334807.40000000002</v>
      </c>
      <c r="P172" s="199">
        <v>1094.69</v>
      </c>
      <c r="Q172" s="199">
        <f>'Mail Merge'!$O172+'Mail Merge'!$P172</f>
        <v>335902.09</v>
      </c>
      <c r="R172" s="199"/>
      <c r="S172" s="199"/>
      <c r="T172" s="199"/>
      <c r="U172" s="199">
        <f>IF(AND('Mail Merge'!$I172="Did Not Meet",'Mail Merge'!$N172="Did Not Meet"),MIN(ABS('Mail Merge'!$H172),ABS('Mail Merge'!$M172),'Mail Merge'!$Q172),0)</f>
        <v>0</v>
      </c>
      <c r="V172" s="199" t="str">
        <f>IF(OR(IFERROR(SEARCH("Met",'Mail Merge'!$N172),0)&gt;0,IFERROR(SEARCH("Met",'Mail Merge'!$I172),0)&gt;0),"Met","Not Met")</f>
        <v>Met</v>
      </c>
    </row>
    <row r="173" spans="1:22" x14ac:dyDescent="0.35">
      <c r="A173" s="200" t="s">
        <v>194</v>
      </c>
      <c r="B173" s="201">
        <v>2225</v>
      </c>
      <c r="C173" s="201" t="s">
        <v>57</v>
      </c>
      <c r="D173" s="201">
        <v>39</v>
      </c>
      <c r="E173" s="201">
        <v>215697.36</v>
      </c>
      <c r="F173" s="201">
        <v>0</v>
      </c>
      <c r="G173" s="201">
        <f>'Mail Merge'!$E173+'Mail Merge'!$F173</f>
        <v>215697.36</v>
      </c>
      <c r="H173" s="201">
        <v>0</v>
      </c>
      <c r="I173" s="201" t="s">
        <v>239</v>
      </c>
      <c r="J173" s="201">
        <f>IFERROR('Mail Merge'!$E173/'Mail Merge'!$D173,0)</f>
        <v>5530.7015384615379</v>
      </c>
      <c r="K173" s="201">
        <f>IFERROR('Mail Merge'!$F173/'Mail Merge'!$D173,0)</f>
        <v>0</v>
      </c>
      <c r="L173" s="201">
        <f>IFERROR('Mail Merge'!$G173/'Mail Merge'!$D173,0)</f>
        <v>5530.7015384615379</v>
      </c>
      <c r="M173" s="201">
        <v>0</v>
      </c>
      <c r="N173" s="201" t="s">
        <v>239</v>
      </c>
      <c r="O173" s="201">
        <v>56086.89</v>
      </c>
      <c r="P173" s="201">
        <v>2199.12</v>
      </c>
      <c r="Q173" s="201">
        <f>'Mail Merge'!$O173+'Mail Merge'!$P173</f>
        <v>58286.01</v>
      </c>
      <c r="R173" s="201"/>
      <c r="S173" s="201"/>
      <c r="T173" s="201"/>
      <c r="U173" s="201">
        <f>IF(AND('Mail Merge'!$I173="Did Not Meet",'Mail Merge'!$N173="Did Not Meet"),MIN(ABS('Mail Merge'!$H173),ABS('Mail Merge'!$M173),'Mail Merge'!$Q173),0)</f>
        <v>0</v>
      </c>
      <c r="V173" s="201" t="str">
        <f>IF(OR(IFERROR(SEARCH("Met",'Mail Merge'!$N173),0)&gt;0,IFERROR(SEARCH("Met",'Mail Merge'!$I173),0)&gt;0),"Met","Not Met")</f>
        <v>Met</v>
      </c>
    </row>
    <row r="174" spans="1:22" x14ac:dyDescent="0.35">
      <c r="A174" s="198" t="s">
        <v>195</v>
      </c>
      <c r="B174" s="199">
        <v>2247</v>
      </c>
      <c r="C174" s="199" t="s">
        <v>57</v>
      </c>
      <c r="D174" s="199">
        <v>3</v>
      </c>
      <c r="E174" s="199">
        <v>26993.78</v>
      </c>
      <c r="F174" s="199">
        <v>7922</v>
      </c>
      <c r="G174" s="199">
        <f>'Mail Merge'!$E174+'Mail Merge'!$F174</f>
        <v>34915.78</v>
      </c>
      <c r="H174" s="199">
        <v>0</v>
      </c>
      <c r="I174" s="199" t="s">
        <v>239</v>
      </c>
      <c r="J174" s="199">
        <f>IFERROR('Mail Merge'!$E174/'Mail Merge'!$D174,0)</f>
        <v>8997.9266666666663</v>
      </c>
      <c r="K174" s="199">
        <f>IFERROR('Mail Merge'!$F174/'Mail Merge'!$D174,0)</f>
        <v>2640.6666666666665</v>
      </c>
      <c r="L174" s="199">
        <f>IFERROR('Mail Merge'!$G174/'Mail Merge'!$D174,0)</f>
        <v>11638.593333333332</v>
      </c>
      <c r="M174" s="199">
        <v>0</v>
      </c>
      <c r="N174" s="199" t="s">
        <v>239</v>
      </c>
      <c r="O174" s="199">
        <v>6600.87</v>
      </c>
      <c r="P174" s="199">
        <v>0</v>
      </c>
      <c r="Q174" s="199">
        <f>'Mail Merge'!$O174+'Mail Merge'!$P174</f>
        <v>6600.87</v>
      </c>
      <c r="R174" s="199"/>
      <c r="S174" s="199"/>
      <c r="T174" s="199"/>
      <c r="U174" s="199">
        <f>IF(AND('Mail Merge'!$I174="Did Not Meet",'Mail Merge'!$N174="Did Not Meet"),MIN(ABS('Mail Merge'!$H174),ABS('Mail Merge'!$M174),'Mail Merge'!$Q174),0)</f>
        <v>0</v>
      </c>
      <c r="V174" s="199" t="str">
        <f>IF(OR(IFERROR(SEARCH("Met",'Mail Merge'!$N174),0)&gt;0,IFERROR(SEARCH("Met",'Mail Merge'!$I174),0)&gt;0),"Met","Not Met")</f>
        <v>Met</v>
      </c>
    </row>
    <row r="175" spans="1:22" x14ac:dyDescent="0.35">
      <c r="A175" s="200" t="s">
        <v>196</v>
      </c>
      <c r="B175" s="201">
        <v>2083</v>
      </c>
      <c r="C175" s="201" t="s">
        <v>57</v>
      </c>
      <c r="D175" s="201">
        <v>1600</v>
      </c>
      <c r="E175" s="201">
        <v>12110525.210000001</v>
      </c>
      <c r="F175" s="201">
        <v>2636874</v>
      </c>
      <c r="G175" s="201">
        <f>'Mail Merge'!$E175+'Mail Merge'!$F175</f>
        <v>14747399.210000001</v>
      </c>
      <c r="H175" s="201">
        <v>0</v>
      </c>
      <c r="I175" s="201" t="s">
        <v>239</v>
      </c>
      <c r="J175" s="201">
        <f>IFERROR('Mail Merge'!$E175/'Mail Merge'!$D175,0)</f>
        <v>7569.0782562500008</v>
      </c>
      <c r="K175" s="201">
        <f>IFERROR('Mail Merge'!$F175/'Mail Merge'!$D175,0)</f>
        <v>1648.0462500000001</v>
      </c>
      <c r="L175" s="201">
        <f>IFERROR('Mail Merge'!$G175/'Mail Merge'!$D175,0)</f>
        <v>9217.1245062500002</v>
      </c>
      <c r="M175" s="201">
        <v>0</v>
      </c>
      <c r="N175" s="201" t="s">
        <v>239</v>
      </c>
      <c r="O175" s="201">
        <v>1988625.01</v>
      </c>
      <c r="P175" s="201">
        <v>19879.849999999999</v>
      </c>
      <c r="Q175" s="201">
        <f>'Mail Merge'!$O175+'Mail Merge'!$P175</f>
        <v>2008504.86</v>
      </c>
      <c r="R175" s="201"/>
      <c r="S175" s="201"/>
      <c r="T175" s="201"/>
      <c r="U175" s="201">
        <f>IF(AND('Mail Merge'!$I175="Did Not Meet",'Mail Merge'!$N175="Did Not Meet"),MIN(ABS('Mail Merge'!$H175),ABS('Mail Merge'!$M175),'Mail Merge'!$Q175),0)</f>
        <v>0</v>
      </c>
      <c r="V175" s="201" t="str">
        <f>IF(OR(IFERROR(SEARCH("Met",'Mail Merge'!$N175),0)&gt;0,IFERROR(SEARCH("Met",'Mail Merge'!$I175),0)&gt;0),"Met","Not Met")</f>
        <v>Met</v>
      </c>
    </row>
    <row r="176" spans="1:22" x14ac:dyDescent="0.35">
      <c r="A176" s="198" t="s">
        <v>197</v>
      </c>
      <c r="B176" s="199">
        <v>1948</v>
      </c>
      <c r="C176" s="199" t="s">
        <v>57</v>
      </c>
      <c r="D176" s="199">
        <v>478</v>
      </c>
      <c r="E176" s="199">
        <v>3301984.22</v>
      </c>
      <c r="F176" s="199">
        <v>716758</v>
      </c>
      <c r="G176" s="199">
        <f>'Mail Merge'!$E176+'Mail Merge'!$F176</f>
        <v>4018742.22</v>
      </c>
      <c r="H176" s="199">
        <v>0</v>
      </c>
      <c r="I176" s="199" t="s">
        <v>239</v>
      </c>
      <c r="J176" s="199">
        <f>IFERROR('Mail Merge'!$E176/'Mail Merge'!$D176,0)</f>
        <v>6907.9167782426784</v>
      </c>
      <c r="K176" s="199">
        <f>IFERROR('Mail Merge'!$F176/'Mail Merge'!$D176,0)</f>
        <v>1499.4937238493724</v>
      </c>
      <c r="L176" s="199">
        <f>IFERROR('Mail Merge'!$G176/'Mail Merge'!$D176,0)</f>
        <v>8407.4105020920506</v>
      </c>
      <c r="M176" s="199">
        <v>0</v>
      </c>
      <c r="N176" s="199" t="s">
        <v>239</v>
      </c>
      <c r="O176" s="199">
        <v>580333.23</v>
      </c>
      <c r="P176" s="199">
        <v>3731.98</v>
      </c>
      <c r="Q176" s="199">
        <f>'Mail Merge'!$O176+'Mail Merge'!$P176</f>
        <v>584065.21</v>
      </c>
      <c r="R176" s="199"/>
      <c r="S176" s="199"/>
      <c r="T176" s="199"/>
      <c r="U176" s="199">
        <f>IF(AND('Mail Merge'!$I176="Did Not Meet",'Mail Merge'!$N176="Did Not Meet"),MIN(ABS('Mail Merge'!$H176),ABS('Mail Merge'!$M176),'Mail Merge'!$Q176),0)</f>
        <v>0</v>
      </c>
      <c r="V176" s="199" t="str">
        <f>IF(OR(IFERROR(SEARCH("Met",'Mail Merge'!$N176),0)&gt;0,IFERROR(SEARCH("Met",'Mail Merge'!$I176),0)&gt;0),"Met","Not Met")</f>
        <v>Met</v>
      </c>
    </row>
    <row r="177" spans="1:22" x14ac:dyDescent="0.35">
      <c r="A177" s="200" t="s">
        <v>198</v>
      </c>
      <c r="B177" s="201">
        <v>2144</v>
      </c>
      <c r="C177" s="201" t="s">
        <v>57</v>
      </c>
      <c r="D177" s="201">
        <v>35</v>
      </c>
      <c r="E177" s="201">
        <v>231979.13</v>
      </c>
      <c r="F177" s="201">
        <v>13210.09</v>
      </c>
      <c r="G177" s="201">
        <f>'Mail Merge'!$E177+'Mail Merge'!$F177</f>
        <v>245189.22</v>
      </c>
      <c r="H177" s="201">
        <v>0</v>
      </c>
      <c r="I177" s="201" t="s">
        <v>239</v>
      </c>
      <c r="J177" s="201">
        <f>IFERROR('Mail Merge'!$E177/'Mail Merge'!$D177,0)</f>
        <v>6627.9751428571426</v>
      </c>
      <c r="K177" s="201">
        <f>IFERROR('Mail Merge'!$F177/'Mail Merge'!$D177,0)</f>
        <v>377.43114285714285</v>
      </c>
      <c r="L177" s="201">
        <f>IFERROR('Mail Merge'!$G177/'Mail Merge'!$D177,0)</f>
        <v>7005.4062857142853</v>
      </c>
      <c r="M177" s="201">
        <v>0</v>
      </c>
      <c r="N177" s="201" t="s">
        <v>239</v>
      </c>
      <c r="O177" s="201">
        <v>42555.14</v>
      </c>
      <c r="P177" s="201">
        <v>1495.95</v>
      </c>
      <c r="Q177" s="201">
        <f>'Mail Merge'!$O177+'Mail Merge'!$P177</f>
        <v>44051.09</v>
      </c>
      <c r="R177" s="201"/>
      <c r="S177" s="201"/>
      <c r="T177" s="201"/>
      <c r="U177" s="201">
        <f>IF(AND('Mail Merge'!$I177="Did Not Meet",'Mail Merge'!$N177="Did Not Meet"),MIN(ABS('Mail Merge'!$H177),ABS('Mail Merge'!$M177),'Mail Merge'!$Q177),0)</f>
        <v>0</v>
      </c>
      <c r="V177" s="201" t="str">
        <f>IF(OR(IFERROR(SEARCH("Met",'Mail Merge'!$N177),0)&gt;0,IFERROR(SEARCH("Met",'Mail Merge'!$I177),0)&gt;0),"Met","Not Met")</f>
        <v>Met</v>
      </c>
    </row>
    <row r="178" spans="1:22" x14ac:dyDescent="0.35">
      <c r="A178" s="198" t="s">
        <v>199</v>
      </c>
      <c r="B178" s="199">
        <v>2209</v>
      </c>
      <c r="C178" s="199" t="s">
        <v>57</v>
      </c>
      <c r="D178" s="199">
        <v>72</v>
      </c>
      <c r="E178" s="199">
        <v>655352.31999999995</v>
      </c>
      <c r="F178" s="199">
        <v>115432.86</v>
      </c>
      <c r="G178" s="199">
        <f>'Mail Merge'!$E178+'Mail Merge'!$F178</f>
        <v>770785.17999999993</v>
      </c>
      <c r="H178" s="199">
        <v>0</v>
      </c>
      <c r="I178" s="199" t="s">
        <v>239</v>
      </c>
      <c r="J178" s="199">
        <f>IFERROR('Mail Merge'!$E178/'Mail Merge'!$D178,0)</f>
        <v>9102.1155555555542</v>
      </c>
      <c r="K178" s="199">
        <f>IFERROR('Mail Merge'!$F178/'Mail Merge'!$D178,0)</f>
        <v>1603.2341666666666</v>
      </c>
      <c r="L178" s="199">
        <f>IFERROR('Mail Merge'!$G178/'Mail Merge'!$D178,0)</f>
        <v>10705.349722222221</v>
      </c>
      <c r="M178" s="199">
        <v>0</v>
      </c>
      <c r="N178" s="199" t="s">
        <v>239</v>
      </c>
      <c r="O178" s="199">
        <v>107309.39</v>
      </c>
      <c r="P178" s="199">
        <v>213.22</v>
      </c>
      <c r="Q178" s="199">
        <f>'Mail Merge'!$O178+'Mail Merge'!$P178</f>
        <v>107522.61</v>
      </c>
      <c r="R178" s="199"/>
      <c r="S178" s="199"/>
      <c r="T178" s="199"/>
      <c r="U178" s="199">
        <f>IF(AND('Mail Merge'!$I178="Did Not Meet",'Mail Merge'!$N178="Did Not Meet"),MIN(ABS('Mail Merge'!$H178),ABS('Mail Merge'!$M178),'Mail Merge'!$Q178),0)</f>
        <v>0</v>
      </c>
      <c r="V178" s="199" t="str">
        <f>IF(OR(IFERROR(SEARCH("Met",'Mail Merge'!$N178),0)&gt;0,IFERROR(SEARCH("Met",'Mail Merge'!$I178),0)&gt;0),"Met","Not Met")</f>
        <v>Met</v>
      </c>
    </row>
    <row r="179" spans="1:22" x14ac:dyDescent="0.35">
      <c r="A179" s="200" t="s">
        <v>200</v>
      </c>
      <c r="B179" s="201">
        <v>2018</v>
      </c>
      <c r="C179" s="201" t="s">
        <v>57</v>
      </c>
      <c r="D179" s="201">
        <v>2</v>
      </c>
      <c r="E179" s="201">
        <v>12350</v>
      </c>
      <c r="F179" s="201">
        <v>1878</v>
      </c>
      <c r="G179" s="201">
        <f>'Mail Merge'!$E179+'Mail Merge'!$F179</f>
        <v>14228</v>
      </c>
      <c r="H179" s="201">
        <v>0</v>
      </c>
      <c r="I179" s="201" t="s">
        <v>239</v>
      </c>
      <c r="J179" s="201">
        <f>IFERROR('Mail Merge'!$E179/'Mail Merge'!$D179,0)</f>
        <v>6175</v>
      </c>
      <c r="K179" s="201">
        <f>IFERROR('Mail Merge'!$F179/'Mail Merge'!$D179,0)</f>
        <v>939</v>
      </c>
      <c r="L179" s="201">
        <f>IFERROR('Mail Merge'!$G179/'Mail Merge'!$D179,0)</f>
        <v>7114</v>
      </c>
      <c r="M179" s="201">
        <v>0</v>
      </c>
      <c r="N179" s="201" t="s">
        <v>239</v>
      </c>
      <c r="O179" s="201">
        <v>2294.4899999999998</v>
      </c>
      <c r="P179" s="201">
        <v>1.21</v>
      </c>
      <c r="Q179" s="201">
        <f>'Mail Merge'!$O179+'Mail Merge'!$P179</f>
        <v>2295.6999999999998</v>
      </c>
      <c r="R179" s="201"/>
      <c r="S179" s="201"/>
      <c r="T179" s="201"/>
      <c r="U179" s="201">
        <f>IF(AND('Mail Merge'!$I179="Did Not Meet",'Mail Merge'!$N179="Did Not Meet"),MIN(ABS('Mail Merge'!$H179),ABS('Mail Merge'!$M179),'Mail Merge'!$Q179),0)</f>
        <v>0</v>
      </c>
      <c r="V179" s="201" t="str">
        <f>IF(OR(IFERROR(SEARCH("Met",'Mail Merge'!$N179),0)&gt;0,IFERROR(SEARCH("Met",'Mail Merge'!$I179),0)&gt;0),"Met","Not Met")</f>
        <v>Met</v>
      </c>
    </row>
    <row r="180" spans="1:22" x14ac:dyDescent="0.35">
      <c r="A180" s="198" t="s">
        <v>201</v>
      </c>
      <c r="B180" s="199">
        <v>2003</v>
      </c>
      <c r="C180" s="199" t="s">
        <v>57</v>
      </c>
      <c r="D180" s="199">
        <v>172</v>
      </c>
      <c r="E180" s="199">
        <v>992164.69</v>
      </c>
      <c r="F180" s="199">
        <v>282744.52</v>
      </c>
      <c r="G180" s="199">
        <f>'Mail Merge'!$E180+'Mail Merge'!$F180</f>
        <v>1274909.21</v>
      </c>
      <c r="H180" s="199">
        <v>0</v>
      </c>
      <c r="I180" s="199" t="s">
        <v>239</v>
      </c>
      <c r="J180" s="199">
        <f>IFERROR('Mail Merge'!$E180/'Mail Merge'!$D180,0)</f>
        <v>5768.3993604651159</v>
      </c>
      <c r="K180" s="199">
        <f>IFERROR('Mail Merge'!$F180/'Mail Merge'!$D180,0)</f>
        <v>1643.8634883720931</v>
      </c>
      <c r="L180" s="199">
        <f>IFERROR('Mail Merge'!$G180/'Mail Merge'!$D180,0)</f>
        <v>7412.2628488372093</v>
      </c>
      <c r="M180" s="199">
        <v>0</v>
      </c>
      <c r="N180" s="199" t="s">
        <v>239</v>
      </c>
      <c r="O180" s="199">
        <v>240454.69</v>
      </c>
      <c r="P180" s="199">
        <v>1586.67</v>
      </c>
      <c r="Q180" s="199">
        <f>'Mail Merge'!$O180+'Mail Merge'!$P180</f>
        <v>242041.36000000002</v>
      </c>
      <c r="R180" s="199"/>
      <c r="S180" s="199"/>
      <c r="T180" s="199"/>
      <c r="U180" s="199">
        <f>IF(AND('Mail Merge'!$I180="Did Not Meet",'Mail Merge'!$N180="Did Not Meet"),MIN(ABS('Mail Merge'!$H180),ABS('Mail Merge'!$M180),'Mail Merge'!$Q180),0)</f>
        <v>0</v>
      </c>
      <c r="V180" s="199" t="str">
        <f>IF(OR(IFERROR(SEARCH("Met",'Mail Merge'!$N180),0)&gt;0,IFERROR(SEARCH("Met",'Mail Merge'!$I180),0)&gt;0),"Met","Not Met")</f>
        <v>Met</v>
      </c>
    </row>
    <row r="181" spans="1:22" x14ac:dyDescent="0.35">
      <c r="A181" s="200" t="s">
        <v>202</v>
      </c>
      <c r="B181" s="201">
        <v>2102</v>
      </c>
      <c r="C181" s="201" t="s">
        <v>57</v>
      </c>
      <c r="D181" s="201">
        <v>367</v>
      </c>
      <c r="E181" s="201">
        <v>1950431.19</v>
      </c>
      <c r="F181" s="201">
        <v>344333</v>
      </c>
      <c r="G181" s="201">
        <f>'Mail Merge'!$E181+'Mail Merge'!$F181</f>
        <v>2294764.19</v>
      </c>
      <c r="H181" s="201">
        <v>0</v>
      </c>
      <c r="I181" s="201" t="s">
        <v>239</v>
      </c>
      <c r="J181" s="201">
        <f>IFERROR('Mail Merge'!$E181/'Mail Merge'!$D181,0)</f>
        <v>5314.5264032697551</v>
      </c>
      <c r="K181" s="201">
        <f>IFERROR('Mail Merge'!$F181/'Mail Merge'!$D181,0)</f>
        <v>938.23705722070849</v>
      </c>
      <c r="L181" s="201">
        <f>IFERROR('Mail Merge'!$G181/'Mail Merge'!$D181,0)</f>
        <v>6252.7634604904633</v>
      </c>
      <c r="M181" s="201">
        <v>0</v>
      </c>
      <c r="N181" s="201" t="s">
        <v>239</v>
      </c>
      <c r="O181" s="201">
        <v>401166.31</v>
      </c>
      <c r="P181" s="201">
        <v>2861.74</v>
      </c>
      <c r="Q181" s="201">
        <f>'Mail Merge'!$O181+'Mail Merge'!$P181</f>
        <v>404028.05</v>
      </c>
      <c r="R181" s="201"/>
      <c r="S181" s="201"/>
      <c r="T181" s="201"/>
      <c r="U181" s="201">
        <f>IF(AND('Mail Merge'!$I181="Did Not Meet",'Mail Merge'!$N181="Did Not Meet"),MIN(ABS('Mail Merge'!$H181),ABS('Mail Merge'!$M181),'Mail Merge'!$Q181),0)</f>
        <v>0</v>
      </c>
      <c r="V181" s="201" t="str">
        <f>IF(OR(IFERROR(SEARCH("Met",'Mail Merge'!$N181),0)&gt;0,IFERROR(SEARCH("Met",'Mail Merge'!$I181),0)&gt;0),"Met","Not Met")</f>
        <v>Met</v>
      </c>
    </row>
    <row r="182" spans="1:22" x14ac:dyDescent="0.35">
      <c r="A182" s="198" t="s">
        <v>203</v>
      </c>
      <c r="B182" s="199">
        <v>2055</v>
      </c>
      <c r="C182" s="199" t="s">
        <v>57</v>
      </c>
      <c r="D182" s="199">
        <v>579</v>
      </c>
      <c r="E182" s="199">
        <v>5698730.6600000001</v>
      </c>
      <c r="F182" s="199">
        <v>161355.18</v>
      </c>
      <c r="G182" s="199">
        <f>'Mail Merge'!$E182+'Mail Merge'!$F182</f>
        <v>5860085.8399999999</v>
      </c>
      <c r="H182" s="199">
        <v>0</v>
      </c>
      <c r="I182" s="199" t="s">
        <v>239</v>
      </c>
      <c r="J182" s="199">
        <f>IFERROR('Mail Merge'!$E182/'Mail Merge'!$D182,0)</f>
        <v>9842.3672884283242</v>
      </c>
      <c r="K182" s="199">
        <f>IFERROR('Mail Merge'!$F182/'Mail Merge'!$D182,0)</f>
        <v>278.67906735751296</v>
      </c>
      <c r="L182" s="199">
        <f>IFERROR('Mail Merge'!$G182/'Mail Merge'!$D182,0)</f>
        <v>10121.046355785837</v>
      </c>
      <c r="M182" s="199">
        <v>0</v>
      </c>
      <c r="N182" s="199" t="s">
        <v>239</v>
      </c>
      <c r="O182" s="199">
        <v>917702.71</v>
      </c>
      <c r="P182" s="199">
        <v>4730.21</v>
      </c>
      <c r="Q182" s="199">
        <f>'Mail Merge'!$O182+'Mail Merge'!$P182</f>
        <v>922432.91999999993</v>
      </c>
      <c r="R182" s="199"/>
      <c r="S182" s="199"/>
      <c r="T182" s="199"/>
      <c r="U182" s="199">
        <f>IF(AND('Mail Merge'!$I182="Did Not Meet",'Mail Merge'!$N182="Did Not Meet"),MIN(ABS('Mail Merge'!$H182),ABS('Mail Merge'!$M182),'Mail Merge'!$Q182),0)</f>
        <v>0</v>
      </c>
      <c r="V182" s="199" t="str">
        <f>IF(OR(IFERROR(SEARCH("Met",'Mail Merge'!$N182),0)&gt;0,IFERROR(SEARCH("Met",'Mail Merge'!$I182),0)&gt;0),"Met","Not Met")</f>
        <v>Met</v>
      </c>
    </row>
    <row r="183" spans="1:22" x14ac:dyDescent="0.35">
      <c r="A183" s="200" t="s">
        <v>204</v>
      </c>
      <c r="B183" s="201">
        <v>2242</v>
      </c>
      <c r="C183" s="201" t="s">
        <v>57</v>
      </c>
      <c r="D183" s="201">
        <v>1371</v>
      </c>
      <c r="E183" s="201">
        <v>9635025.6500000004</v>
      </c>
      <c r="F183" s="201">
        <v>1440020</v>
      </c>
      <c r="G183" s="201">
        <f>'Mail Merge'!$E183+'Mail Merge'!$F183</f>
        <v>11075045.65</v>
      </c>
      <c r="H183" s="201">
        <v>0</v>
      </c>
      <c r="I183" s="201" t="s">
        <v>239</v>
      </c>
      <c r="J183" s="201">
        <f>IFERROR('Mail Merge'!$E183/'Mail Merge'!$D183,0)</f>
        <v>7027.7357038657919</v>
      </c>
      <c r="K183" s="201">
        <f>IFERROR('Mail Merge'!$F183/'Mail Merge'!$D183,0)</f>
        <v>1050.3428154631656</v>
      </c>
      <c r="L183" s="201">
        <f>IFERROR('Mail Merge'!$G183/'Mail Merge'!$D183,0)</f>
        <v>8078.0785193289576</v>
      </c>
      <c r="M183" s="201">
        <v>0</v>
      </c>
      <c r="N183" s="201" t="s">
        <v>239</v>
      </c>
      <c r="O183" s="201">
        <v>1950577.61</v>
      </c>
      <c r="P183" s="201">
        <v>9136.02</v>
      </c>
      <c r="Q183" s="201">
        <f>'Mail Merge'!$O183+'Mail Merge'!$P183</f>
        <v>1959713.6300000001</v>
      </c>
      <c r="R183" s="201"/>
      <c r="S183" s="201"/>
      <c r="T183" s="201"/>
      <c r="U183" s="201">
        <f>IF(AND('Mail Merge'!$I183="Did Not Meet",'Mail Merge'!$N183="Did Not Meet"),MIN(ABS('Mail Merge'!$H183),ABS('Mail Merge'!$M183),'Mail Merge'!$Q183),0)</f>
        <v>0</v>
      </c>
      <c r="V183" s="201" t="str">
        <f>IF(OR(IFERROR(SEARCH("Met",'Mail Merge'!$N183),0)&gt;0,IFERROR(SEARCH("Met",'Mail Merge'!$I183),0)&gt;0),"Met","Not Met")</f>
        <v>Met</v>
      </c>
    </row>
    <row r="184" spans="1:22" x14ac:dyDescent="0.35">
      <c r="A184" s="198" t="s">
        <v>205</v>
      </c>
      <c r="B184" s="199">
        <v>2197</v>
      </c>
      <c r="C184" s="199" t="s">
        <v>57</v>
      </c>
      <c r="D184" s="199">
        <v>231</v>
      </c>
      <c r="E184" s="199">
        <v>2049671.22</v>
      </c>
      <c r="F184" s="199">
        <v>380926</v>
      </c>
      <c r="G184" s="199">
        <f>'Mail Merge'!$E184+'Mail Merge'!$F184</f>
        <v>2430597.2199999997</v>
      </c>
      <c r="H184" s="199">
        <v>0</v>
      </c>
      <c r="I184" s="199" t="s">
        <v>239</v>
      </c>
      <c r="J184" s="199">
        <f>IFERROR('Mail Merge'!$E184/'Mail Merge'!$D184,0)</f>
        <v>8873.0355844155838</v>
      </c>
      <c r="K184" s="199">
        <f>IFERROR('Mail Merge'!$F184/'Mail Merge'!$D184,0)</f>
        <v>1649.030303030303</v>
      </c>
      <c r="L184" s="199">
        <f>IFERROR('Mail Merge'!$G184/'Mail Merge'!$D184,0)</f>
        <v>10522.065887445886</v>
      </c>
      <c r="M184" s="199">
        <v>0</v>
      </c>
      <c r="N184" s="199" t="s">
        <v>239</v>
      </c>
      <c r="O184" s="199">
        <v>358689.83</v>
      </c>
      <c r="P184" s="199">
        <v>3363.51</v>
      </c>
      <c r="Q184" s="199">
        <f>'Mail Merge'!$O184+'Mail Merge'!$P184</f>
        <v>362053.34</v>
      </c>
      <c r="R184" s="199"/>
      <c r="S184" s="199"/>
      <c r="T184" s="199"/>
      <c r="U184" s="199">
        <f>IF(AND('Mail Merge'!$I184="Did Not Meet",'Mail Merge'!$N184="Did Not Meet"),MIN(ABS('Mail Merge'!$H184),ABS('Mail Merge'!$M184),'Mail Merge'!$Q184),0)</f>
        <v>0</v>
      </c>
      <c r="V184" s="199" t="str">
        <f>IF(OR(IFERROR(SEARCH("Met",'Mail Merge'!$N184),0)&gt;0,IFERROR(SEARCH("Met",'Mail Merge'!$I184),0)&gt;0),"Met","Not Met")</f>
        <v>Met</v>
      </c>
    </row>
    <row r="185" spans="1:22" x14ac:dyDescent="0.35">
      <c r="A185" s="200" t="s">
        <v>206</v>
      </c>
      <c r="B185" s="201">
        <v>2222</v>
      </c>
      <c r="C185" s="201" t="s">
        <v>57</v>
      </c>
      <c r="D185" s="201">
        <v>0</v>
      </c>
      <c r="E185" s="201">
        <v>0</v>
      </c>
      <c r="F185" s="201">
        <v>3700</v>
      </c>
      <c r="G185" s="201">
        <f>'Mail Merge'!$E185+'Mail Merge'!$F185</f>
        <v>3700</v>
      </c>
      <c r="H185" s="201">
        <v>0</v>
      </c>
      <c r="I185" s="201" t="s">
        <v>239</v>
      </c>
      <c r="J185" s="201">
        <f>IFERROR('Mail Merge'!$E185/'Mail Merge'!$D185,0)</f>
        <v>0</v>
      </c>
      <c r="K185" s="201">
        <f>IFERROR('Mail Merge'!$F185/'Mail Merge'!$D185,0)</f>
        <v>0</v>
      </c>
      <c r="L185" s="201">
        <f>IFERROR('Mail Merge'!$G185/'Mail Merge'!$D185,0)</f>
        <v>0</v>
      </c>
      <c r="M185" s="201">
        <v>0</v>
      </c>
      <c r="N185" s="201" t="s">
        <v>239</v>
      </c>
      <c r="O185" s="201">
        <v>2873.12</v>
      </c>
      <c r="P185" s="201">
        <v>0.76</v>
      </c>
      <c r="Q185" s="201">
        <f>'Mail Merge'!$O185+'Mail Merge'!$P185</f>
        <v>2873.88</v>
      </c>
      <c r="R185" s="201"/>
      <c r="S185" s="201"/>
      <c r="T185" s="201"/>
      <c r="U185" s="201">
        <f>IF(AND('Mail Merge'!$I185="Did Not Meet",'Mail Merge'!$N185="Did Not Meet"),MIN(ABS('Mail Merge'!$H185),ABS('Mail Merge'!$M185),'Mail Merge'!$Q185),0)</f>
        <v>0</v>
      </c>
      <c r="V185" s="201" t="str">
        <f>IF(OR(IFERROR(SEARCH("Met",'Mail Merge'!$N185),0)&gt;0,IFERROR(SEARCH("Met",'Mail Merge'!$I185),0)&gt;0),"Met","Not Met")</f>
        <v>Met</v>
      </c>
    </row>
    <row r="186" spans="1:22" x14ac:dyDescent="0.35">
      <c r="A186" s="198" t="s">
        <v>207</v>
      </c>
      <c r="B186" s="199">
        <v>2210</v>
      </c>
      <c r="C186" s="199" t="s">
        <v>57</v>
      </c>
      <c r="D186" s="199">
        <v>5</v>
      </c>
      <c r="E186" s="199">
        <v>3968.19</v>
      </c>
      <c r="F186" s="199">
        <v>8032.7</v>
      </c>
      <c r="G186" s="199">
        <f>'Mail Merge'!$E186+'Mail Merge'!$F186</f>
        <v>12000.89</v>
      </c>
      <c r="H186" s="199">
        <v>0</v>
      </c>
      <c r="I186" s="199" t="s">
        <v>239</v>
      </c>
      <c r="J186" s="199">
        <f>IFERROR('Mail Merge'!$E186/'Mail Merge'!$D186,0)</f>
        <v>793.63800000000003</v>
      </c>
      <c r="K186" s="199">
        <f>IFERROR('Mail Merge'!$F186/'Mail Merge'!$D186,0)</f>
        <v>1606.54</v>
      </c>
      <c r="L186" s="199">
        <f>IFERROR('Mail Merge'!$G186/'Mail Merge'!$D186,0)</f>
        <v>2400.1779999999999</v>
      </c>
      <c r="M186" s="199">
        <v>0</v>
      </c>
      <c r="N186" s="199" t="s">
        <v>239</v>
      </c>
      <c r="O186" s="199">
        <v>8676.73</v>
      </c>
      <c r="P186" s="199">
        <v>5.33</v>
      </c>
      <c r="Q186" s="199">
        <f>'Mail Merge'!$O186+'Mail Merge'!$P186</f>
        <v>8682.06</v>
      </c>
      <c r="R186" s="199"/>
      <c r="S186" s="199"/>
      <c r="T186" s="199"/>
      <c r="U186" s="199">
        <f>IF(AND('Mail Merge'!$I186="Did Not Meet",'Mail Merge'!$N186="Did Not Meet"),MIN(ABS('Mail Merge'!$H186),ABS('Mail Merge'!$M186),'Mail Merge'!$Q186),0)</f>
        <v>0</v>
      </c>
      <c r="V186" s="199" t="str">
        <f>IF(OR(IFERROR(SEARCH("Met",'Mail Merge'!$N186),0)&gt;0,IFERROR(SEARCH("Met",'Mail Merge'!$I186),0)&gt;0),"Met","Not Met")</f>
        <v>Met</v>
      </c>
    </row>
    <row r="187" spans="1:22" x14ac:dyDescent="0.35">
      <c r="A187" s="200" t="s">
        <v>208</v>
      </c>
      <c r="B187" s="201">
        <v>2204</v>
      </c>
      <c r="C187" s="201" t="s">
        <v>57</v>
      </c>
      <c r="D187" s="201">
        <v>138</v>
      </c>
      <c r="E187" s="201">
        <v>1016481.52</v>
      </c>
      <c r="F187" s="201">
        <v>221345.51</v>
      </c>
      <c r="G187" s="201">
        <f>'Mail Merge'!$E187+'Mail Merge'!$F187</f>
        <v>1237827.03</v>
      </c>
      <c r="H187" s="201">
        <v>0</v>
      </c>
      <c r="I187" s="201" t="s">
        <v>239</v>
      </c>
      <c r="J187" s="201">
        <f>IFERROR('Mail Merge'!$E187/'Mail Merge'!$D187,0)</f>
        <v>7365.808115942029</v>
      </c>
      <c r="K187" s="201">
        <f>IFERROR('Mail Merge'!$F187/'Mail Merge'!$D187,0)</f>
        <v>1603.9529710144927</v>
      </c>
      <c r="L187" s="201">
        <f>IFERROR('Mail Merge'!$G187/'Mail Merge'!$D187,0)</f>
        <v>8969.7610869565215</v>
      </c>
      <c r="M187" s="201">
        <v>0</v>
      </c>
      <c r="N187" s="201" t="s">
        <v>239</v>
      </c>
      <c r="O187" s="201">
        <v>224759.06</v>
      </c>
      <c r="P187" s="201">
        <v>1499.58</v>
      </c>
      <c r="Q187" s="201">
        <f>'Mail Merge'!$O187+'Mail Merge'!$P187</f>
        <v>226258.63999999998</v>
      </c>
      <c r="R187" s="201"/>
      <c r="S187" s="201"/>
      <c r="T187" s="201"/>
      <c r="U187" s="201">
        <f>IF(AND('Mail Merge'!$I187="Did Not Meet",'Mail Merge'!$N187="Did Not Meet"),MIN(ABS('Mail Merge'!$H187),ABS('Mail Merge'!$M187),'Mail Merge'!$Q187),0)</f>
        <v>0</v>
      </c>
      <c r="V187" s="201" t="str">
        <f>IF(OR(IFERROR(SEARCH("Met",'Mail Merge'!$N187),0)&gt;0,IFERROR(SEARCH("Met",'Mail Merge'!$I187),0)&gt;0),"Met","Not Met")</f>
        <v>Met</v>
      </c>
    </row>
    <row r="188" spans="1:22" x14ac:dyDescent="0.35">
      <c r="A188" s="198" t="s">
        <v>209</v>
      </c>
      <c r="B188" s="199">
        <v>2213</v>
      </c>
      <c r="C188" s="199" t="s">
        <v>57</v>
      </c>
      <c r="D188" s="199">
        <v>50</v>
      </c>
      <c r="E188" s="199">
        <v>365789.91</v>
      </c>
      <c r="F188" s="199">
        <v>126787.58</v>
      </c>
      <c r="G188" s="199">
        <f>'Mail Merge'!$E188+'Mail Merge'!$F188</f>
        <v>492577.49</v>
      </c>
      <c r="H188" s="199">
        <v>0</v>
      </c>
      <c r="I188" s="199" t="s">
        <v>239</v>
      </c>
      <c r="J188" s="199">
        <f>IFERROR('Mail Merge'!$E188/'Mail Merge'!$D188,0)</f>
        <v>7315.7981999999993</v>
      </c>
      <c r="K188" s="199">
        <f>IFERROR('Mail Merge'!$F188/'Mail Merge'!$D188,0)</f>
        <v>2535.7516000000001</v>
      </c>
      <c r="L188" s="199">
        <f>IFERROR('Mail Merge'!$G188/'Mail Merge'!$D188,0)</f>
        <v>9851.5498000000007</v>
      </c>
      <c r="M188" s="199">
        <v>0</v>
      </c>
      <c r="N188" s="199" t="s">
        <v>239</v>
      </c>
      <c r="O188" s="199">
        <v>72305.600000000006</v>
      </c>
      <c r="P188" s="199">
        <v>59.16</v>
      </c>
      <c r="Q188" s="199">
        <f>'Mail Merge'!$O188+'Mail Merge'!$P188</f>
        <v>72364.760000000009</v>
      </c>
      <c r="R188" s="199"/>
      <c r="S188" s="199"/>
      <c r="T188" s="199"/>
      <c r="U188" s="199">
        <f>IF(AND('Mail Merge'!$I188="Did Not Meet",'Mail Merge'!$N188="Did Not Meet"),MIN(ABS('Mail Merge'!$H188),ABS('Mail Merge'!$M188),'Mail Merge'!$Q188),0)</f>
        <v>0</v>
      </c>
      <c r="V188" s="199" t="str">
        <f>IF(OR(IFERROR(SEARCH("Met",'Mail Merge'!$N188),0)&gt;0,IFERROR(SEARCH("Met",'Mail Merge'!$I188),0)&gt;0),"Met","Not Met")</f>
        <v>Met</v>
      </c>
    </row>
    <row r="189" spans="1:22" x14ac:dyDescent="0.35">
      <c r="A189" s="200" t="s">
        <v>210</v>
      </c>
      <c r="B189" s="201">
        <v>2116</v>
      </c>
      <c r="C189" s="201" t="s">
        <v>57</v>
      </c>
      <c r="D189" s="201">
        <v>118</v>
      </c>
      <c r="E189" s="201">
        <v>623071.53</v>
      </c>
      <c r="F189" s="201">
        <v>254909.11</v>
      </c>
      <c r="G189" s="201">
        <f>'Mail Merge'!$E189+'Mail Merge'!$F189</f>
        <v>877980.64</v>
      </c>
      <c r="H189" s="201">
        <v>0</v>
      </c>
      <c r="I189" s="201" t="s">
        <v>239</v>
      </c>
      <c r="J189" s="201">
        <f>IFERROR('Mail Merge'!$E189/'Mail Merge'!$D189,0)</f>
        <v>5280.2672033898307</v>
      </c>
      <c r="K189" s="201">
        <f>IFERROR('Mail Merge'!$F189/'Mail Merge'!$D189,0)</f>
        <v>2160.246694915254</v>
      </c>
      <c r="L189" s="201">
        <f>IFERROR('Mail Merge'!$G189/'Mail Merge'!$D189,0)</f>
        <v>7440.5138983050847</v>
      </c>
      <c r="M189" s="201">
        <v>0</v>
      </c>
      <c r="N189" s="201" t="s">
        <v>239</v>
      </c>
      <c r="O189" s="201">
        <v>158444.75</v>
      </c>
      <c r="P189" s="201">
        <v>1195.96</v>
      </c>
      <c r="Q189" s="201">
        <f>'Mail Merge'!$O189+'Mail Merge'!$P189</f>
        <v>159640.71</v>
      </c>
      <c r="R189" s="201"/>
      <c r="S189" s="201"/>
      <c r="T189" s="201"/>
      <c r="U189" s="201">
        <f>IF(AND('Mail Merge'!$I189="Did Not Meet",'Mail Merge'!$N189="Did Not Meet"),MIN(ABS('Mail Merge'!$H189),ABS('Mail Merge'!$M189),'Mail Merge'!$Q189),0)</f>
        <v>0</v>
      </c>
      <c r="V189" s="201" t="str">
        <f>IF(OR(IFERROR(SEARCH("Met",'Mail Merge'!$N189),0)&gt;0,IFERROR(SEARCH("Met",'Mail Merge'!$I189),0)&gt;0),"Met","Not Met")</f>
        <v>Met</v>
      </c>
    </row>
    <row r="190" spans="1:22" x14ac:dyDescent="0.35">
      <c r="A190" s="198" t="s">
        <v>211</v>
      </c>
      <c r="B190" s="199">
        <v>1947</v>
      </c>
      <c r="C190" s="199" t="s">
        <v>57</v>
      </c>
      <c r="D190" s="199">
        <v>104</v>
      </c>
      <c r="E190" s="199">
        <v>644657.61</v>
      </c>
      <c r="F190" s="199">
        <v>110872</v>
      </c>
      <c r="G190" s="199">
        <f>'Mail Merge'!$E190+'Mail Merge'!$F190</f>
        <v>755529.61</v>
      </c>
      <c r="H190" s="199">
        <v>0</v>
      </c>
      <c r="I190" s="199" t="s">
        <v>239</v>
      </c>
      <c r="J190" s="199">
        <f>IFERROR('Mail Merge'!$E190/'Mail Merge'!$D190,0)</f>
        <v>6198.6308653846154</v>
      </c>
      <c r="K190" s="199">
        <f>IFERROR('Mail Merge'!$F190/'Mail Merge'!$D190,0)</f>
        <v>1066.0769230769231</v>
      </c>
      <c r="L190" s="199">
        <f>IFERROR('Mail Merge'!$G190/'Mail Merge'!$D190,0)</f>
        <v>7264.7077884615383</v>
      </c>
      <c r="M190" s="199">
        <v>0</v>
      </c>
      <c r="N190" s="199" t="s">
        <v>239</v>
      </c>
      <c r="O190" s="199">
        <v>116597.69</v>
      </c>
      <c r="P190" s="199">
        <v>901.65</v>
      </c>
      <c r="Q190" s="199">
        <f>'Mail Merge'!$O190+'Mail Merge'!$P190</f>
        <v>117499.34</v>
      </c>
      <c r="R190" s="199"/>
      <c r="S190" s="199"/>
      <c r="T190" s="199"/>
      <c r="U190" s="199">
        <f>IF(AND('Mail Merge'!$I190="Did Not Meet",'Mail Merge'!$N190="Did Not Meet"),MIN(ABS('Mail Merge'!$H190),ABS('Mail Merge'!$M190),'Mail Merge'!$Q190),0)</f>
        <v>0</v>
      </c>
      <c r="V190" s="199" t="str">
        <f>IF(OR(IFERROR(SEARCH("Met",'Mail Merge'!$N190),0)&gt;0,IFERROR(SEARCH("Met",'Mail Merge'!$I190),0)&gt;0),"Met","Not Met")</f>
        <v>Met</v>
      </c>
    </row>
    <row r="191" spans="1:22" x14ac:dyDescent="0.35">
      <c r="A191" s="200" t="s">
        <v>212</v>
      </c>
      <c r="B191" s="201">
        <v>2220</v>
      </c>
      <c r="C191" s="201" t="s">
        <v>57</v>
      </c>
      <c r="D191" s="201">
        <v>37</v>
      </c>
      <c r="E191" s="201">
        <v>77334.33</v>
      </c>
      <c r="F191" s="201">
        <v>196011.93</v>
      </c>
      <c r="G191" s="201">
        <f>'Mail Merge'!$E191+'Mail Merge'!$F191</f>
        <v>273346.26</v>
      </c>
      <c r="H191" s="201">
        <v>0</v>
      </c>
      <c r="I191" s="201" t="s">
        <v>239</v>
      </c>
      <c r="J191" s="201">
        <f>IFERROR('Mail Merge'!$E191/'Mail Merge'!$D191,0)</f>
        <v>2090.1170270270272</v>
      </c>
      <c r="K191" s="201">
        <f>IFERROR('Mail Merge'!$F191/'Mail Merge'!$D191,0)</f>
        <v>5297.6197297297294</v>
      </c>
      <c r="L191" s="201">
        <f>IFERROR('Mail Merge'!$G191/'Mail Merge'!$D191,0)</f>
        <v>7387.7367567567571</v>
      </c>
      <c r="M191" s="201">
        <v>0</v>
      </c>
      <c r="N191" s="201" t="s">
        <v>239</v>
      </c>
      <c r="O191" s="201">
        <v>61936.7</v>
      </c>
      <c r="P191" s="201">
        <v>394.22</v>
      </c>
      <c r="Q191" s="201">
        <f>'Mail Merge'!$O191+'Mail Merge'!$P191</f>
        <v>62330.92</v>
      </c>
      <c r="R191" s="201"/>
      <c r="S191" s="201"/>
      <c r="T191" s="201"/>
      <c r="U191" s="201">
        <f>IF(AND('Mail Merge'!$I191="Did Not Meet",'Mail Merge'!$N191="Did Not Meet"),MIN(ABS('Mail Merge'!$H191),ABS('Mail Merge'!$M191),'Mail Merge'!$Q191),0)</f>
        <v>0</v>
      </c>
      <c r="V191" s="201" t="str">
        <f>IF(OR(IFERROR(SEARCH("Met",'Mail Merge'!$N191),0)&gt;0,IFERROR(SEARCH("Met",'Mail Merge'!$I191),0)&gt;0),"Met","Not Met")</f>
        <v>Met</v>
      </c>
    </row>
    <row r="192" spans="1:22" x14ac:dyDescent="0.35">
      <c r="A192" s="198" t="s">
        <v>213</v>
      </c>
      <c r="B192" s="199">
        <v>1936</v>
      </c>
      <c r="C192" s="199" t="s">
        <v>57</v>
      </c>
      <c r="D192" s="199">
        <v>149</v>
      </c>
      <c r="E192" s="199">
        <v>900509.74</v>
      </c>
      <c r="F192" s="199">
        <v>274768</v>
      </c>
      <c r="G192" s="199">
        <f>'Mail Merge'!$E192+'Mail Merge'!$F192</f>
        <v>1175277.74</v>
      </c>
      <c r="H192" s="199">
        <v>0</v>
      </c>
      <c r="I192" s="199" t="s">
        <v>239</v>
      </c>
      <c r="J192" s="199">
        <f>IFERROR('Mail Merge'!$E192/'Mail Merge'!$D192,0)</f>
        <v>6043.6895302013418</v>
      </c>
      <c r="K192" s="199">
        <f>IFERROR('Mail Merge'!$F192/'Mail Merge'!$D192,0)</f>
        <v>1844.0805369127518</v>
      </c>
      <c r="L192" s="199">
        <f>IFERROR('Mail Merge'!$G192/'Mail Merge'!$D192,0)</f>
        <v>7887.7700671140938</v>
      </c>
      <c r="M192" s="199">
        <v>0</v>
      </c>
      <c r="N192" s="199" t="s">
        <v>239</v>
      </c>
      <c r="O192" s="199">
        <v>144154.84</v>
      </c>
      <c r="P192" s="199">
        <v>1579.82</v>
      </c>
      <c r="Q192" s="199">
        <f>'Mail Merge'!$O192+'Mail Merge'!$P192</f>
        <v>145734.66</v>
      </c>
      <c r="R192" s="199"/>
      <c r="S192" s="199"/>
      <c r="T192" s="199"/>
      <c r="U192" s="199">
        <f>IF(AND('Mail Merge'!$I192="Did Not Meet",'Mail Merge'!$N192="Did Not Meet"),MIN(ABS('Mail Merge'!$H192),ABS('Mail Merge'!$M192),'Mail Merge'!$Q192),0)</f>
        <v>0</v>
      </c>
      <c r="V192" s="199" t="str">
        <f>IF(OR(IFERROR(SEARCH("Met",'Mail Merge'!$N192),0)&gt;0,IFERROR(SEARCH("Met",'Mail Merge'!$I192),0)&gt;0),"Met","Not Met")</f>
        <v>Met</v>
      </c>
    </row>
    <row r="193" spans="1:22" x14ac:dyDescent="0.35">
      <c r="A193" s="200" t="s">
        <v>214</v>
      </c>
      <c r="B193" s="201">
        <v>1922</v>
      </c>
      <c r="C193" s="201" t="s">
        <v>57</v>
      </c>
      <c r="D193" s="201">
        <v>914</v>
      </c>
      <c r="E193" s="201">
        <v>6564442.0199999996</v>
      </c>
      <c r="F193" s="201">
        <v>264116</v>
      </c>
      <c r="G193" s="201">
        <f>'Mail Merge'!$E193+'Mail Merge'!$F193</f>
        <v>6828558.0199999996</v>
      </c>
      <c r="H193" s="201">
        <v>0</v>
      </c>
      <c r="I193" s="201" t="s">
        <v>239</v>
      </c>
      <c r="J193" s="201">
        <f>IFERROR('Mail Merge'!$E193/'Mail Merge'!$D193,0)</f>
        <v>7182.1028665207868</v>
      </c>
      <c r="K193" s="201">
        <f>IFERROR('Mail Merge'!$F193/'Mail Merge'!$D193,0)</f>
        <v>288.9671772428884</v>
      </c>
      <c r="L193" s="201">
        <f>IFERROR('Mail Merge'!$G193/'Mail Merge'!$D193,0)</f>
        <v>7471.070043763676</v>
      </c>
      <c r="M193" s="201">
        <v>0</v>
      </c>
      <c r="N193" s="201" t="s">
        <v>239</v>
      </c>
      <c r="O193" s="201">
        <v>1183857.99</v>
      </c>
      <c r="P193" s="201">
        <v>5723.98</v>
      </c>
      <c r="Q193" s="201">
        <f>'Mail Merge'!$O193+'Mail Merge'!$P193</f>
        <v>1189581.97</v>
      </c>
      <c r="R193" s="201"/>
      <c r="S193" s="201"/>
      <c r="T193" s="201"/>
      <c r="U193" s="201">
        <f>IF(AND('Mail Merge'!$I193="Did Not Meet",'Mail Merge'!$N193="Did Not Meet"),MIN(ABS('Mail Merge'!$H193),ABS('Mail Merge'!$M193),'Mail Merge'!$Q193),0)</f>
        <v>0</v>
      </c>
      <c r="V193" s="201" t="str">
        <f>IF(OR(IFERROR(SEARCH("Met",'Mail Merge'!$N193),0)&gt;0,IFERROR(SEARCH("Met",'Mail Merge'!$I193),0)&gt;0),"Met","Not Met")</f>
        <v>Met</v>
      </c>
    </row>
    <row r="194" spans="1:22" x14ac:dyDescent="0.35">
      <c r="A194" s="198" t="s">
        <v>215</v>
      </c>
      <c r="B194" s="199">
        <v>2255</v>
      </c>
      <c r="C194" s="199" t="s">
        <v>57</v>
      </c>
      <c r="D194" s="199">
        <v>143</v>
      </c>
      <c r="E194" s="199">
        <v>883015.52</v>
      </c>
      <c r="F194" s="199">
        <v>150269.42000000001</v>
      </c>
      <c r="G194" s="199">
        <f>'Mail Merge'!$E194+'Mail Merge'!$F194</f>
        <v>1033284.9400000001</v>
      </c>
      <c r="H194" s="199">
        <v>0</v>
      </c>
      <c r="I194" s="199" t="s">
        <v>239</v>
      </c>
      <c r="J194" s="199">
        <f>IFERROR('Mail Merge'!$E194/'Mail Merge'!$D194,0)</f>
        <v>6174.9337062937066</v>
      </c>
      <c r="K194" s="199">
        <f>IFERROR('Mail Merge'!$F194/'Mail Merge'!$D194,0)</f>
        <v>1050.8351048951049</v>
      </c>
      <c r="L194" s="199">
        <f>IFERROR('Mail Merge'!$G194/'Mail Merge'!$D194,0)</f>
        <v>7225.7688111888119</v>
      </c>
      <c r="M194" s="199">
        <v>0</v>
      </c>
      <c r="N194" s="199" t="s">
        <v>239</v>
      </c>
      <c r="O194" s="199">
        <v>201005.65</v>
      </c>
      <c r="P194" s="199">
        <v>2958.93</v>
      </c>
      <c r="Q194" s="199">
        <f>'Mail Merge'!$O194+'Mail Merge'!$P194</f>
        <v>203964.58</v>
      </c>
      <c r="R194" s="199"/>
      <c r="S194" s="199"/>
      <c r="T194" s="199"/>
      <c r="U194" s="199">
        <f>IF(AND('Mail Merge'!$I194="Did Not Meet",'Mail Merge'!$N194="Did Not Meet"),MIN(ABS('Mail Merge'!$H194),ABS('Mail Merge'!$M194),'Mail Merge'!$Q194),0)</f>
        <v>0</v>
      </c>
      <c r="V194" s="199" t="str">
        <f>IF(OR(IFERROR(SEARCH("Met",'Mail Merge'!$N194),0)&gt;0,IFERROR(SEARCH("Met",'Mail Merge'!$I194),0)&gt;0),"Met","Not Met")</f>
        <v>Met</v>
      </c>
    </row>
    <row r="195" spans="1:22" x14ac:dyDescent="0.35">
      <c r="A195" s="200" t="s">
        <v>216</v>
      </c>
      <c r="B195" s="201">
        <v>2002</v>
      </c>
      <c r="C195" s="201" t="s">
        <v>57</v>
      </c>
      <c r="D195" s="201">
        <v>215</v>
      </c>
      <c r="E195" s="201">
        <v>1429996.48</v>
      </c>
      <c r="F195" s="201">
        <v>255815.8</v>
      </c>
      <c r="G195" s="201">
        <f>'Mail Merge'!$E195+'Mail Merge'!$F195</f>
        <v>1685812.28</v>
      </c>
      <c r="H195" s="201">
        <v>0</v>
      </c>
      <c r="I195" s="201" t="s">
        <v>239</v>
      </c>
      <c r="J195" s="201">
        <f>IFERROR('Mail Merge'!$E195/'Mail Merge'!$D195,0)</f>
        <v>6651.1464186046514</v>
      </c>
      <c r="K195" s="201">
        <f>IFERROR('Mail Merge'!$F195/'Mail Merge'!$D195,0)</f>
        <v>1189.8409302325581</v>
      </c>
      <c r="L195" s="201">
        <f>IFERROR('Mail Merge'!$G195/'Mail Merge'!$D195,0)</f>
        <v>7840.9873488372095</v>
      </c>
      <c r="M195" s="201">
        <v>0</v>
      </c>
      <c r="N195" s="201" t="s">
        <v>239</v>
      </c>
      <c r="O195" s="201">
        <v>285160.14</v>
      </c>
      <c r="P195" s="201">
        <v>3935.21</v>
      </c>
      <c r="Q195" s="201">
        <f>'Mail Merge'!$O195+'Mail Merge'!$P195</f>
        <v>289095.35000000003</v>
      </c>
      <c r="R195" s="201"/>
      <c r="S195" s="201"/>
      <c r="T195" s="201"/>
      <c r="U195" s="201">
        <f>IF(AND('Mail Merge'!$I195="Did Not Meet",'Mail Merge'!$N195="Did Not Meet"),MIN(ABS('Mail Merge'!$H195),ABS('Mail Merge'!$M195),'Mail Merge'!$Q195),0)</f>
        <v>0</v>
      </c>
      <c r="V195" s="201" t="str">
        <f>IF(OR(IFERROR(SEARCH("Met",'Mail Merge'!$N195),0)&gt;0,IFERROR(SEARCH("Met",'Mail Merge'!$I195),0)&gt;0),"Met","Not Met")</f>
        <v>Met</v>
      </c>
    </row>
    <row r="196" spans="1:22" x14ac:dyDescent="0.35">
      <c r="A196" s="198" t="s">
        <v>217</v>
      </c>
      <c r="B196" s="199">
        <v>2146</v>
      </c>
      <c r="C196" s="199" t="s">
        <v>57</v>
      </c>
      <c r="D196" s="199">
        <v>658</v>
      </c>
      <c r="E196" s="199">
        <v>4500103.08</v>
      </c>
      <c r="F196" s="199">
        <v>440211.12</v>
      </c>
      <c r="G196" s="199">
        <f>'Mail Merge'!$E196+'Mail Merge'!$F196</f>
        <v>4940314.2</v>
      </c>
      <c r="H196" s="199">
        <v>0</v>
      </c>
      <c r="I196" s="199" t="s">
        <v>239</v>
      </c>
      <c r="J196" s="199">
        <f>IFERROR('Mail Merge'!$E196/'Mail Merge'!$D196,0)</f>
        <v>6839.0624316109424</v>
      </c>
      <c r="K196" s="199">
        <f>IFERROR('Mail Merge'!$F196/'Mail Merge'!$D196,0)</f>
        <v>669.01386018237076</v>
      </c>
      <c r="L196" s="199">
        <f>IFERROR('Mail Merge'!$G196/'Mail Merge'!$D196,0)</f>
        <v>7508.0762917933134</v>
      </c>
      <c r="M196" s="199">
        <v>0</v>
      </c>
      <c r="N196" s="199" t="s">
        <v>239</v>
      </c>
      <c r="O196" s="199">
        <v>771406.87</v>
      </c>
      <c r="P196" s="199">
        <v>2715.35</v>
      </c>
      <c r="Q196" s="199">
        <f>'Mail Merge'!$O196+'Mail Merge'!$P196</f>
        <v>774122.22</v>
      </c>
      <c r="R196" s="199"/>
      <c r="S196" s="199"/>
      <c r="T196" s="199"/>
      <c r="U196" s="199">
        <f>IF(AND('Mail Merge'!$I196="Did Not Meet",'Mail Merge'!$N196="Did Not Meet"),MIN(ABS('Mail Merge'!$H196),ABS('Mail Merge'!$M196),'Mail Merge'!$Q196),0)</f>
        <v>0</v>
      </c>
      <c r="V196" s="199" t="str">
        <f>IF(OR(IFERROR(SEARCH("Met",'Mail Merge'!$N196),0)&gt;0,IFERROR(SEARCH("Met",'Mail Merge'!$I196),0)&gt;0),"Met","Not Met")</f>
        <v>Met</v>
      </c>
    </row>
    <row r="197" spans="1:22" x14ac:dyDescent="0.35">
      <c r="A197" s="200" t="s">
        <v>218</v>
      </c>
      <c r="B197" s="201">
        <v>2251</v>
      </c>
      <c r="C197" s="201" t="s">
        <v>57</v>
      </c>
      <c r="D197" s="201">
        <v>152</v>
      </c>
      <c r="E197" s="201">
        <v>1034474.66</v>
      </c>
      <c r="F197" s="201">
        <v>26285.3</v>
      </c>
      <c r="G197" s="201">
        <f>'Mail Merge'!$E197+'Mail Merge'!$F197</f>
        <v>1060759.96</v>
      </c>
      <c r="H197" s="201">
        <v>0</v>
      </c>
      <c r="I197" s="201" t="s">
        <v>239</v>
      </c>
      <c r="J197" s="201">
        <f>IFERROR('Mail Merge'!$E197/'Mail Merge'!$D197,0)</f>
        <v>6805.7543421052633</v>
      </c>
      <c r="K197" s="201">
        <f>IFERROR('Mail Merge'!$F197/'Mail Merge'!$D197,0)</f>
        <v>172.9296052631579</v>
      </c>
      <c r="L197" s="201">
        <f>IFERROR('Mail Merge'!$G197/'Mail Merge'!$D197,0)</f>
        <v>6978.6839473684204</v>
      </c>
      <c r="M197" s="201">
        <v>0</v>
      </c>
      <c r="N197" s="201" t="s">
        <v>239</v>
      </c>
      <c r="O197" s="201">
        <v>211079.23</v>
      </c>
      <c r="P197" s="201">
        <v>1117.45</v>
      </c>
      <c r="Q197" s="201">
        <f>'Mail Merge'!$O197+'Mail Merge'!$P197</f>
        <v>212196.68000000002</v>
      </c>
      <c r="R197" s="201"/>
      <c r="S197" s="201"/>
      <c r="T197" s="201"/>
      <c r="U197" s="201">
        <f>IF(AND('Mail Merge'!$I197="Did Not Meet",'Mail Merge'!$N197="Did Not Meet"),MIN(ABS('Mail Merge'!$H197),ABS('Mail Merge'!$M197),'Mail Merge'!$Q197),0)</f>
        <v>0</v>
      </c>
      <c r="V197" s="201" t="str">
        <f>IF(OR(IFERROR(SEARCH("Met",'Mail Merge'!$N197),0)&gt;0,IFERROR(SEARCH("Met",'Mail Merge'!$I197),0)&gt;0),"Met","Not Met")</f>
        <v>Met</v>
      </c>
    </row>
    <row r="198" spans="1:22" x14ac:dyDescent="0.35">
      <c r="A198" s="198" t="s">
        <v>219</v>
      </c>
      <c r="B198" s="199">
        <v>1997</v>
      </c>
      <c r="C198" s="199" t="s">
        <v>57</v>
      </c>
      <c r="D198" s="199">
        <v>51</v>
      </c>
      <c r="E198" s="199">
        <v>204228.01</v>
      </c>
      <c r="F198" s="199">
        <v>48369.05</v>
      </c>
      <c r="G198" s="199">
        <f>'Mail Merge'!$E198+'Mail Merge'!$F198</f>
        <v>252597.06</v>
      </c>
      <c r="H198" s="199">
        <v>0</v>
      </c>
      <c r="I198" s="199" t="s">
        <v>239</v>
      </c>
      <c r="J198" s="199">
        <f>IFERROR('Mail Merge'!$E198/'Mail Merge'!$D198,0)</f>
        <v>4004.4707843137257</v>
      </c>
      <c r="K198" s="199">
        <f>IFERROR('Mail Merge'!$F198/'Mail Merge'!$D198,0)</f>
        <v>948.4127450980393</v>
      </c>
      <c r="L198" s="199">
        <f>IFERROR('Mail Merge'!$G198/'Mail Merge'!$D198,0)</f>
        <v>4952.8835294117644</v>
      </c>
      <c r="M198" s="199">
        <v>0</v>
      </c>
      <c r="N198" s="199" t="s">
        <v>239</v>
      </c>
      <c r="O198" s="199">
        <v>63253.52</v>
      </c>
      <c r="P198" s="199">
        <v>0</v>
      </c>
      <c r="Q198" s="199">
        <f>'Mail Merge'!$O198+'Mail Merge'!$P198</f>
        <v>63253.52</v>
      </c>
      <c r="R198" s="199"/>
      <c r="S198" s="199"/>
      <c r="T198" s="199"/>
      <c r="U198" s="199">
        <f>IF(AND('Mail Merge'!$I198="Did Not Meet",'Mail Merge'!$N198="Did Not Meet"),MIN(ABS('Mail Merge'!$H198),ABS('Mail Merge'!$M198),'Mail Merge'!$Q198),0)</f>
        <v>0</v>
      </c>
      <c r="V198" s="199" t="str">
        <f>IF(OR(IFERROR(SEARCH("Met",'Mail Merge'!$N198),0)&gt;0,IFERROR(SEARCH("Met",'Mail Merge'!$I198),0)&gt;0),"Met","Not Met")</f>
        <v>Met</v>
      </c>
    </row>
    <row r="199" spans="1:22" x14ac:dyDescent="0.35">
      <c r="A199" s="200" t="s">
        <v>14</v>
      </c>
      <c r="B199" s="201">
        <v>2063</v>
      </c>
      <c r="C199" s="201" t="s">
        <v>159</v>
      </c>
      <c r="D199" s="201">
        <v>2</v>
      </c>
      <c r="E199" s="201">
        <v>4619</v>
      </c>
      <c r="F199" s="201">
        <v>11220.08</v>
      </c>
      <c r="G199" s="201">
        <f>'Mail Merge'!$E199+'Mail Merge'!$F199</f>
        <v>15839.08</v>
      </c>
      <c r="H199" s="201">
        <v>0</v>
      </c>
      <c r="I199" s="201" t="s">
        <v>240</v>
      </c>
      <c r="J199" s="201">
        <f>IFERROR('Mail Merge'!$E199/'Mail Merge'!$D199,0)</f>
        <v>2309.5</v>
      </c>
      <c r="K199" s="201">
        <f>IFERROR('Mail Merge'!$F199/'Mail Merge'!$D199,0)</f>
        <v>5610.04</v>
      </c>
      <c r="L199" s="201">
        <f>IFERROR('Mail Merge'!$G199/'Mail Merge'!$D199,0)</f>
        <v>7919.54</v>
      </c>
      <c r="M199" s="201">
        <v>0</v>
      </c>
      <c r="N199" s="201" t="s">
        <v>240</v>
      </c>
      <c r="O199" s="201">
        <v>2217.4299999999998</v>
      </c>
      <c r="P199" s="201">
        <v>0</v>
      </c>
      <c r="Q199" s="201">
        <f>'Mail Merge'!$O199+'Mail Merge'!$P199</f>
        <v>2217.4299999999998</v>
      </c>
      <c r="R199" s="201"/>
      <c r="S199" s="201"/>
      <c r="T199" s="201"/>
      <c r="U199" s="201">
        <f>IF(AND('Mail Merge'!$I199="Did Not Meet",'Mail Merge'!$N199="Did Not Meet"),MIN(ABS('Mail Merge'!$H199),ABS('Mail Merge'!$M199),'Mail Merge'!$Q199),0)</f>
        <v>0</v>
      </c>
      <c r="V199" s="201" t="str">
        <f>IF(OR(IFERROR(SEARCH("Met",'Mail Merge'!$N199),0)&gt;0,IFERROR(SEARCH("Met",'Mail Merge'!$I199),0)&gt;0),"Met","Not Met")</f>
        <v>Not Met</v>
      </c>
    </row>
    <row r="200" spans="1:22" x14ac:dyDescent="0.35">
      <c r="A200" s="198" t="s">
        <v>17</v>
      </c>
      <c r="B200" s="199">
        <v>2113</v>
      </c>
      <c r="C200" s="199" t="s">
        <v>159</v>
      </c>
      <c r="D200" s="199">
        <v>34</v>
      </c>
      <c r="E200" s="199">
        <v>175617.64</v>
      </c>
      <c r="F200" s="199">
        <v>72276.070000000007</v>
      </c>
      <c r="G200" s="199">
        <f>'Mail Merge'!$E200+'Mail Merge'!$F200</f>
        <v>247893.71000000002</v>
      </c>
      <c r="H200" s="199">
        <v>0</v>
      </c>
      <c r="I200" s="199" t="s">
        <v>241</v>
      </c>
      <c r="J200" s="199">
        <f>IFERROR('Mail Merge'!$E200/'Mail Merge'!$D200,0)</f>
        <v>5165.2247058823532</v>
      </c>
      <c r="K200" s="199">
        <f>IFERROR('Mail Merge'!$F200/'Mail Merge'!$D200,0)</f>
        <v>2125.7667647058825</v>
      </c>
      <c r="L200" s="199">
        <f>IFERROR('Mail Merge'!$G200/'Mail Merge'!$D200,0)</f>
        <v>7290.9914705882356</v>
      </c>
      <c r="M200" s="199">
        <v>0</v>
      </c>
      <c r="N200" s="199" t="s">
        <v>241</v>
      </c>
      <c r="O200" s="199">
        <v>44335.22</v>
      </c>
      <c r="P200" s="199">
        <v>12.95</v>
      </c>
      <c r="Q200" s="199">
        <f>'Mail Merge'!$O200+'Mail Merge'!$P200</f>
        <v>44348.17</v>
      </c>
      <c r="R200" s="199"/>
      <c r="S200" s="199"/>
      <c r="T200" s="199"/>
      <c r="U200" s="199">
        <f>IF(AND('Mail Merge'!$I200="Did Not Meet",'Mail Merge'!$N200="Did Not Meet"),MIN(ABS('Mail Merge'!$H200),ABS('Mail Merge'!$M200),'Mail Merge'!$Q200),0)</f>
        <v>0</v>
      </c>
      <c r="V200" s="199" t="str">
        <f>IF(OR(IFERROR(SEARCH("Met",'Mail Merge'!$N200),0)&gt;0,IFERROR(SEARCH("Met",'Mail Merge'!$I200),0)&gt;0),"Met","Not Met")</f>
        <v>Met</v>
      </c>
    </row>
    <row r="201" spans="1:22" x14ac:dyDescent="0.35">
      <c r="A201" s="200" t="s">
        <v>20</v>
      </c>
      <c r="B201" s="201">
        <v>1899</v>
      </c>
      <c r="C201" s="201" t="s">
        <v>159</v>
      </c>
      <c r="D201" s="201">
        <v>16</v>
      </c>
      <c r="E201" s="201">
        <v>124710</v>
      </c>
      <c r="F201" s="201">
        <v>12166</v>
      </c>
      <c r="G201" s="201">
        <f>'Mail Merge'!$E201+'Mail Merge'!$F201</f>
        <v>136876</v>
      </c>
      <c r="H201" s="201">
        <v>0</v>
      </c>
      <c r="I201" s="201" t="s">
        <v>241</v>
      </c>
      <c r="J201" s="201">
        <f>IFERROR('Mail Merge'!$E201/'Mail Merge'!$D201,0)</f>
        <v>7794.375</v>
      </c>
      <c r="K201" s="201">
        <f>IFERROR('Mail Merge'!$F201/'Mail Merge'!$D201,0)</f>
        <v>760.375</v>
      </c>
      <c r="L201" s="201">
        <f>IFERROR('Mail Merge'!$G201/'Mail Merge'!$D201,0)</f>
        <v>8554.75</v>
      </c>
      <c r="M201" s="201">
        <v>0</v>
      </c>
      <c r="N201" s="201" t="s">
        <v>241</v>
      </c>
      <c r="O201" s="201">
        <v>29673.119999999999</v>
      </c>
      <c r="P201" s="201">
        <v>0</v>
      </c>
      <c r="Q201" s="201">
        <f>'Mail Merge'!$O201+'Mail Merge'!$P201</f>
        <v>29673.119999999999</v>
      </c>
      <c r="R201" s="201"/>
      <c r="S201" s="201"/>
      <c r="T201" s="201"/>
      <c r="U201" s="201">
        <f>IF(AND('Mail Merge'!$I201="Did Not Meet",'Mail Merge'!$N201="Did Not Meet"),MIN(ABS('Mail Merge'!$H201),ABS('Mail Merge'!$M201),'Mail Merge'!$Q201),0)</f>
        <v>0</v>
      </c>
      <c r="V201" s="201" t="str">
        <f>IF(OR(IFERROR(SEARCH("Met",'Mail Merge'!$N201),0)&gt;0,IFERROR(SEARCH("Met",'Mail Merge'!$I201),0)&gt;0),"Met","Not Met")</f>
        <v>Met</v>
      </c>
    </row>
    <row r="202" spans="1:22" x14ac:dyDescent="0.35">
      <c r="A202" s="198" t="s">
        <v>21</v>
      </c>
      <c r="B202" s="199">
        <v>2252</v>
      </c>
      <c r="C202" s="199" t="s">
        <v>159</v>
      </c>
      <c r="D202" s="199">
        <v>105</v>
      </c>
      <c r="E202" s="199">
        <v>661027.79</v>
      </c>
      <c r="F202" s="199">
        <v>127811.04</v>
      </c>
      <c r="G202" s="199">
        <f>'Mail Merge'!$E202+'Mail Merge'!$F202</f>
        <v>788838.83000000007</v>
      </c>
      <c r="H202" s="199">
        <v>0</v>
      </c>
      <c r="I202" s="199" t="s">
        <v>242</v>
      </c>
      <c r="J202" s="199">
        <f>IFERROR('Mail Merge'!$E202/'Mail Merge'!$D202,0)</f>
        <v>6295.5027619047623</v>
      </c>
      <c r="K202" s="199">
        <f>IFERROR('Mail Merge'!$F202/'Mail Merge'!$D202,0)</f>
        <v>1217.248</v>
      </c>
      <c r="L202" s="199">
        <f>IFERROR('Mail Merge'!$G202/'Mail Merge'!$D202,0)</f>
        <v>7512.7507619047628</v>
      </c>
      <c r="M202" s="199">
        <v>0</v>
      </c>
      <c r="N202" s="199" t="s">
        <v>241</v>
      </c>
      <c r="O202" s="199">
        <v>154213.60999999999</v>
      </c>
      <c r="P202" s="199">
        <v>3490.83</v>
      </c>
      <c r="Q202" s="199">
        <f>'Mail Merge'!$O202+'Mail Merge'!$P202</f>
        <v>157704.43999999997</v>
      </c>
      <c r="R202" s="199"/>
      <c r="S202" s="199">
        <v>14756.37</v>
      </c>
      <c r="T202" s="199">
        <v>14756.37</v>
      </c>
      <c r="U202" s="199">
        <f>IF(AND('Mail Merge'!$I202="Did Not Meet",'Mail Merge'!$N202="Did Not Meet"),MIN(ABS('Mail Merge'!$H202),ABS('Mail Merge'!$M202),'Mail Merge'!$Q202),0)</f>
        <v>0</v>
      </c>
      <c r="V202" s="199" t="str">
        <f>IF(OR(IFERROR(SEARCH("Met",'Mail Merge'!$N202),0)&gt;0,IFERROR(SEARCH("Met",'Mail Merge'!$I202),0)&gt;0),"Met","Not Met")</f>
        <v>Met</v>
      </c>
    </row>
    <row r="203" spans="1:22" x14ac:dyDescent="0.35">
      <c r="A203" s="200" t="s">
        <v>23</v>
      </c>
      <c r="B203" s="201">
        <v>2111</v>
      </c>
      <c r="C203" s="201" t="s">
        <v>159</v>
      </c>
      <c r="D203" s="201">
        <v>7</v>
      </c>
      <c r="E203" s="201">
        <v>0</v>
      </c>
      <c r="F203" s="201">
        <v>20613.650000000001</v>
      </c>
      <c r="G203" s="201">
        <f>'Mail Merge'!$E203+'Mail Merge'!$F203</f>
        <v>20613.650000000001</v>
      </c>
      <c r="H203" s="201">
        <v>0</v>
      </c>
      <c r="I203" s="201" t="s">
        <v>241</v>
      </c>
      <c r="J203" s="201">
        <f>IFERROR('Mail Merge'!$E203/'Mail Merge'!$D203,0)</f>
        <v>0</v>
      </c>
      <c r="K203" s="201">
        <f>IFERROR('Mail Merge'!$F203/'Mail Merge'!$D203,0)</f>
        <v>2944.8071428571429</v>
      </c>
      <c r="L203" s="201">
        <f>IFERROR('Mail Merge'!$G203/'Mail Merge'!$D203,0)</f>
        <v>2944.8071428571429</v>
      </c>
      <c r="M203" s="201">
        <v>0</v>
      </c>
      <c r="N203" s="201" t="s">
        <v>240</v>
      </c>
      <c r="O203" s="201">
        <v>18240.63</v>
      </c>
      <c r="P203" s="201">
        <v>7.41</v>
      </c>
      <c r="Q203" s="201">
        <f>'Mail Merge'!$O203+'Mail Merge'!$P203</f>
        <v>18248.04</v>
      </c>
      <c r="R203" s="201"/>
      <c r="S203" s="201"/>
      <c r="T203" s="201"/>
      <c r="U203" s="201">
        <f>IF(AND('Mail Merge'!$I203="Did Not Meet",'Mail Merge'!$N203="Did Not Meet"),MIN(ABS('Mail Merge'!$H203),ABS('Mail Merge'!$M203),'Mail Merge'!$Q203),0)</f>
        <v>0</v>
      </c>
      <c r="V203" s="201" t="str">
        <f>IF(OR(IFERROR(SEARCH("Met",'Mail Merge'!$N203),0)&gt;0,IFERROR(SEARCH("Met",'Mail Merge'!$I203),0)&gt;0),"Met","Not Met")</f>
        <v>Met</v>
      </c>
    </row>
    <row r="204" spans="1:22" x14ac:dyDescent="0.35">
      <c r="A204" s="198" t="s">
        <v>24</v>
      </c>
      <c r="B204" s="199">
        <v>2005</v>
      </c>
      <c r="C204" s="199" t="s">
        <v>159</v>
      </c>
      <c r="D204" s="199">
        <v>16</v>
      </c>
      <c r="E204" s="199">
        <v>80169.259999999995</v>
      </c>
      <c r="F204" s="199">
        <v>40969</v>
      </c>
      <c r="G204" s="199">
        <f>'Mail Merge'!$E204+'Mail Merge'!$F204</f>
        <v>121138.26</v>
      </c>
      <c r="H204" s="199">
        <v>0</v>
      </c>
      <c r="I204" s="199" t="s">
        <v>241</v>
      </c>
      <c r="J204" s="199">
        <f>IFERROR('Mail Merge'!$E204/'Mail Merge'!$D204,0)</f>
        <v>5010.5787499999997</v>
      </c>
      <c r="K204" s="199">
        <f>IFERROR('Mail Merge'!$F204/'Mail Merge'!$D204,0)</f>
        <v>2560.5625</v>
      </c>
      <c r="L204" s="199">
        <f>IFERROR('Mail Merge'!$G204/'Mail Merge'!$D204,0)</f>
        <v>7571.1412499999997</v>
      </c>
      <c r="M204" s="199">
        <v>0</v>
      </c>
      <c r="N204" s="199" t="s">
        <v>240</v>
      </c>
      <c r="O204" s="199">
        <v>21051.73</v>
      </c>
      <c r="P204" s="199">
        <v>8.99</v>
      </c>
      <c r="Q204" s="199">
        <f>'Mail Merge'!$O204+'Mail Merge'!$P204</f>
        <v>21060.720000000001</v>
      </c>
      <c r="R204" s="199"/>
      <c r="S204" s="199"/>
      <c r="T204" s="199"/>
      <c r="U204" s="199">
        <f>IF(AND('Mail Merge'!$I204="Did Not Meet",'Mail Merge'!$N204="Did Not Meet"),MIN(ABS('Mail Merge'!$H204),ABS('Mail Merge'!$M204),'Mail Merge'!$Q204),0)</f>
        <v>0</v>
      </c>
      <c r="V204" s="199" t="str">
        <f>IF(OR(IFERROR(SEARCH("Met",'Mail Merge'!$N204),0)&gt;0,IFERROR(SEARCH("Met",'Mail Merge'!$I204),0)&gt;0),"Met","Not Met")</f>
        <v>Met</v>
      </c>
    </row>
    <row r="205" spans="1:22" x14ac:dyDescent="0.35">
      <c r="A205" s="200" t="s">
        <v>25</v>
      </c>
      <c r="B205" s="201">
        <v>2115</v>
      </c>
      <c r="C205" s="201" t="s">
        <v>159</v>
      </c>
      <c r="D205" s="201">
        <v>0</v>
      </c>
      <c r="E205" s="201">
        <v>0</v>
      </c>
      <c r="F205" s="201">
        <v>1158.93</v>
      </c>
      <c r="G205" s="201">
        <f>'Mail Merge'!$E205+'Mail Merge'!$F205</f>
        <v>1158.93</v>
      </c>
      <c r="H205" s="201">
        <v>0</v>
      </c>
      <c r="I205" s="201" t="s">
        <v>240</v>
      </c>
      <c r="J205" s="201">
        <f>IFERROR('Mail Merge'!$E205/'Mail Merge'!$D205,0)</f>
        <v>0</v>
      </c>
      <c r="K205" s="201">
        <f>IFERROR('Mail Merge'!$F205/'Mail Merge'!$D205,0)</f>
        <v>0</v>
      </c>
      <c r="L205" s="201">
        <f>IFERROR('Mail Merge'!$G205/'Mail Merge'!$D205,0)</f>
        <v>0</v>
      </c>
      <c r="M205" s="201">
        <v>0</v>
      </c>
      <c r="N205" s="201" t="s">
        <v>241</v>
      </c>
      <c r="O205" s="201">
        <v>3056.84</v>
      </c>
      <c r="P205" s="201">
        <v>1.18</v>
      </c>
      <c r="Q205" s="201">
        <f>'Mail Merge'!$O205+'Mail Merge'!$P205</f>
        <v>3058.02</v>
      </c>
      <c r="R205" s="201"/>
      <c r="S205" s="201"/>
      <c r="T205" s="201"/>
      <c r="U205" s="201">
        <f>IF(AND('Mail Merge'!$I205="Did Not Meet",'Mail Merge'!$N205="Did Not Meet"),MIN(ABS('Mail Merge'!$H205),ABS('Mail Merge'!$M205),'Mail Merge'!$Q205),0)</f>
        <v>0</v>
      </c>
      <c r="V205" s="201" t="str">
        <f>IF(OR(IFERROR(SEARCH("Met",'Mail Merge'!$N205),0)&gt;0,IFERROR(SEARCH("Met",'Mail Merge'!$I205),0)&gt;0),"Met","Not Met")</f>
        <v>Met</v>
      </c>
    </row>
    <row r="206" spans="1:22" x14ac:dyDescent="0.35">
      <c r="A206" s="198" t="s">
        <v>26</v>
      </c>
      <c r="B206" s="199">
        <v>2041</v>
      </c>
      <c r="C206" s="199" t="s">
        <v>159</v>
      </c>
      <c r="D206" s="199">
        <v>310</v>
      </c>
      <c r="E206" s="199">
        <v>1852965.65</v>
      </c>
      <c r="F206" s="199">
        <v>456335.2</v>
      </c>
      <c r="G206" s="199">
        <f>'Mail Merge'!$E206+'Mail Merge'!$F206</f>
        <v>2309300.85</v>
      </c>
      <c r="H206" s="199">
        <v>0</v>
      </c>
      <c r="I206" s="199" t="s">
        <v>242</v>
      </c>
      <c r="J206" s="199">
        <f>IFERROR('Mail Merge'!$E206/'Mail Merge'!$D206,0)</f>
        <v>5977.3085483870964</v>
      </c>
      <c r="K206" s="199">
        <f>IFERROR('Mail Merge'!$F206/'Mail Merge'!$D206,0)</f>
        <v>1472.0490322580645</v>
      </c>
      <c r="L206" s="199">
        <f>IFERROR('Mail Merge'!$G206/'Mail Merge'!$D206,0)</f>
        <v>7449.3575806451618</v>
      </c>
      <c r="M206" s="199">
        <v>0</v>
      </c>
      <c r="N206" s="199" t="s">
        <v>241</v>
      </c>
      <c r="O206" s="199">
        <v>436475.1</v>
      </c>
      <c r="P206" s="199">
        <v>5472.15</v>
      </c>
      <c r="Q206" s="199">
        <f>'Mail Merge'!$O206+'Mail Merge'!$P206</f>
        <v>441947.25</v>
      </c>
      <c r="R206" s="199"/>
      <c r="S206" s="199">
        <v>79280.02</v>
      </c>
      <c r="T206" s="199">
        <v>79280.02</v>
      </c>
      <c r="U206" s="199">
        <f>IF(AND('Mail Merge'!$I206="Did Not Meet",'Mail Merge'!$N206="Did Not Meet"),MIN(ABS('Mail Merge'!$H206),ABS('Mail Merge'!$M206),'Mail Merge'!$Q206),0)</f>
        <v>0</v>
      </c>
      <c r="V206" s="199" t="str">
        <f>IF(OR(IFERROR(SEARCH("Met",'Mail Merge'!$N206),0)&gt;0,IFERROR(SEARCH("Met",'Mail Merge'!$I206),0)&gt;0),"Met","Not Met")</f>
        <v>Met</v>
      </c>
    </row>
    <row r="207" spans="1:22" x14ac:dyDescent="0.35">
      <c r="A207" s="200" t="s">
        <v>27</v>
      </c>
      <c r="B207" s="201">
        <v>2051</v>
      </c>
      <c r="C207" s="201" t="s">
        <v>159</v>
      </c>
      <c r="D207" s="201">
        <v>0</v>
      </c>
      <c r="E207" s="201">
        <v>0</v>
      </c>
      <c r="F207" s="201">
        <v>3830.38</v>
      </c>
      <c r="G207" s="201">
        <f>'Mail Merge'!$E207+'Mail Merge'!$F207</f>
        <v>3830.38</v>
      </c>
      <c r="H207" s="201">
        <v>0</v>
      </c>
      <c r="I207" s="201" t="s">
        <v>239</v>
      </c>
      <c r="J207" s="201">
        <f>IFERROR('Mail Merge'!$E207/'Mail Merge'!$D207,0)</f>
        <v>0</v>
      </c>
      <c r="K207" s="201">
        <f>IFERROR('Mail Merge'!$F207/'Mail Merge'!$D207,0)</f>
        <v>0</v>
      </c>
      <c r="L207" s="201">
        <f>IFERROR('Mail Merge'!$G207/'Mail Merge'!$D207,0)</f>
        <v>0</v>
      </c>
      <c r="M207" s="201">
        <v>0</v>
      </c>
      <c r="N207" s="201" t="s">
        <v>239</v>
      </c>
      <c r="O207" s="201">
        <v>1501.76</v>
      </c>
      <c r="P207" s="201">
        <v>1.18</v>
      </c>
      <c r="Q207" s="201">
        <f>'Mail Merge'!$O207+'Mail Merge'!$P207</f>
        <v>1502.94</v>
      </c>
      <c r="R207" s="201"/>
      <c r="S207" s="201"/>
      <c r="T207" s="201"/>
      <c r="U207" s="201">
        <f>IF(AND('Mail Merge'!$I207="Did Not Meet",'Mail Merge'!$N207="Did Not Meet"),MIN(ABS('Mail Merge'!$H207),ABS('Mail Merge'!$M207),'Mail Merge'!$Q207),0)</f>
        <v>0</v>
      </c>
      <c r="V207" s="201" t="str">
        <f>IF(OR(IFERROR(SEARCH("Met",'Mail Merge'!$N207),0)&gt;0,IFERROR(SEARCH("Met",'Mail Merge'!$I207),0)&gt;0),"Met","Not Met")</f>
        <v>Met</v>
      </c>
    </row>
    <row r="208" spans="1:22" x14ac:dyDescent="0.35">
      <c r="A208" s="198" t="s">
        <v>28</v>
      </c>
      <c r="B208" s="199">
        <v>1933</v>
      </c>
      <c r="C208" s="199" t="s">
        <v>159</v>
      </c>
      <c r="D208" s="199">
        <v>256</v>
      </c>
      <c r="E208" s="199">
        <v>1868404.94</v>
      </c>
      <c r="F208" s="199">
        <v>370537</v>
      </c>
      <c r="G208" s="199">
        <f>'Mail Merge'!$E208+'Mail Merge'!$F208</f>
        <v>2238941.94</v>
      </c>
      <c r="H208" s="199">
        <v>0</v>
      </c>
      <c r="I208" s="199" t="s">
        <v>241</v>
      </c>
      <c r="J208" s="199">
        <f>IFERROR('Mail Merge'!$E208/'Mail Merge'!$D208,0)</f>
        <v>7298.4567968749998</v>
      </c>
      <c r="K208" s="199">
        <f>IFERROR('Mail Merge'!$F208/'Mail Merge'!$D208,0)</f>
        <v>1447.41015625</v>
      </c>
      <c r="L208" s="199">
        <f>IFERROR('Mail Merge'!$G208/'Mail Merge'!$D208,0)</f>
        <v>8745.8669531249998</v>
      </c>
      <c r="M208" s="199">
        <v>0</v>
      </c>
      <c r="N208" s="199" t="s">
        <v>241</v>
      </c>
      <c r="O208" s="199">
        <v>256314.64</v>
      </c>
      <c r="P208" s="199">
        <v>1195.8599999999999</v>
      </c>
      <c r="Q208" s="199">
        <f>'Mail Merge'!$O208+'Mail Merge'!$P208</f>
        <v>257510.5</v>
      </c>
      <c r="R208" s="199"/>
      <c r="S208" s="199"/>
      <c r="T208" s="199"/>
      <c r="U208" s="199">
        <f>IF(AND('Mail Merge'!$I208="Did Not Meet",'Mail Merge'!$N208="Did Not Meet"),MIN(ABS('Mail Merge'!$H208),ABS('Mail Merge'!$M208),'Mail Merge'!$Q208),0)</f>
        <v>0</v>
      </c>
      <c r="V208" s="199" t="str">
        <f>IF(OR(IFERROR(SEARCH("Met",'Mail Merge'!$N208),0)&gt;0,IFERROR(SEARCH("Met",'Mail Merge'!$I208),0)&gt;0),"Met","Not Met")</f>
        <v>Met</v>
      </c>
    </row>
    <row r="209" spans="1:22" x14ac:dyDescent="0.35">
      <c r="A209" s="200" t="s">
        <v>29</v>
      </c>
      <c r="B209" s="201">
        <v>2208</v>
      </c>
      <c r="C209" s="201" t="s">
        <v>159</v>
      </c>
      <c r="D209" s="201">
        <v>79</v>
      </c>
      <c r="E209" s="201">
        <v>309221.53999999998</v>
      </c>
      <c r="F209" s="201">
        <v>132692.01</v>
      </c>
      <c r="G209" s="201">
        <f>'Mail Merge'!$E209+'Mail Merge'!$F209</f>
        <v>441913.55</v>
      </c>
      <c r="H209" s="201">
        <v>0</v>
      </c>
      <c r="I209" s="201" t="s">
        <v>240</v>
      </c>
      <c r="J209" s="201">
        <f>IFERROR('Mail Merge'!$E209/'Mail Merge'!$D209,0)</f>
        <v>3914.1967088607594</v>
      </c>
      <c r="K209" s="201">
        <f>IFERROR('Mail Merge'!$F209/'Mail Merge'!$D209,0)</f>
        <v>1679.6456962025318</v>
      </c>
      <c r="L209" s="201">
        <f>IFERROR('Mail Merge'!$G209/'Mail Merge'!$D209,0)</f>
        <v>5593.8424050632912</v>
      </c>
      <c r="M209" s="201">
        <v>0</v>
      </c>
      <c r="N209" s="201" t="s">
        <v>240</v>
      </c>
      <c r="O209" s="201">
        <v>95650.69</v>
      </c>
      <c r="P209" s="201">
        <v>2727.55</v>
      </c>
      <c r="Q209" s="201">
        <f>'Mail Merge'!$O209+'Mail Merge'!$P209</f>
        <v>98378.240000000005</v>
      </c>
      <c r="R209" s="201"/>
      <c r="S209" s="201"/>
      <c r="T209" s="201"/>
      <c r="U209" s="201">
        <f>IF(AND('Mail Merge'!$I209="Did Not Meet",'Mail Merge'!$N209="Did Not Meet"),MIN(ABS('Mail Merge'!$H209),ABS('Mail Merge'!$M209),'Mail Merge'!$Q209),0)</f>
        <v>0</v>
      </c>
      <c r="V209" s="201" t="str">
        <f>IF(OR(IFERROR(SEARCH("Met",'Mail Merge'!$N209),0)&gt;0,IFERROR(SEARCH("Met",'Mail Merge'!$I209),0)&gt;0),"Met","Not Met")</f>
        <v>Not Met</v>
      </c>
    </row>
    <row r="210" spans="1:22" x14ac:dyDescent="0.35">
      <c r="A210" s="198" t="s">
        <v>30</v>
      </c>
      <c r="B210" s="199">
        <v>1894</v>
      </c>
      <c r="C210" s="199" t="s">
        <v>159</v>
      </c>
      <c r="D210" s="199">
        <v>295</v>
      </c>
      <c r="E210" s="199">
        <v>2090991.28</v>
      </c>
      <c r="F210" s="199">
        <v>0</v>
      </c>
      <c r="G210" s="199">
        <f>'Mail Merge'!$E210+'Mail Merge'!$F210</f>
        <v>2090991.28</v>
      </c>
      <c r="H210" s="199">
        <v>0</v>
      </c>
      <c r="I210" s="199" t="s">
        <v>241</v>
      </c>
      <c r="J210" s="199">
        <f>IFERROR('Mail Merge'!$E210/'Mail Merge'!$D210,0)</f>
        <v>7088.1060338983052</v>
      </c>
      <c r="K210" s="199">
        <f>IFERROR('Mail Merge'!$F210/'Mail Merge'!$D210,0)</f>
        <v>0</v>
      </c>
      <c r="L210" s="199">
        <f>IFERROR('Mail Merge'!$G210/'Mail Merge'!$D210,0)</f>
        <v>7088.1060338983052</v>
      </c>
      <c r="M210" s="199">
        <v>0</v>
      </c>
      <c r="N210" s="199" t="s">
        <v>240</v>
      </c>
      <c r="O210" s="199">
        <v>393258.81</v>
      </c>
      <c r="P210" s="199">
        <v>4917.3900000000003</v>
      </c>
      <c r="Q210" s="199">
        <f>'Mail Merge'!$O210+'Mail Merge'!$P210</f>
        <v>398176.2</v>
      </c>
      <c r="R210" s="199"/>
      <c r="S210" s="199"/>
      <c r="T210" s="199"/>
      <c r="U210" s="199">
        <f>IF(AND('Mail Merge'!$I210="Did Not Meet",'Mail Merge'!$N210="Did Not Meet"),MIN(ABS('Mail Merge'!$H210),ABS('Mail Merge'!$M210),'Mail Merge'!$Q210),0)</f>
        <v>0</v>
      </c>
      <c r="V210" s="199" t="str">
        <f>IF(OR(IFERROR(SEARCH("Met",'Mail Merge'!$N210),0)&gt;0,IFERROR(SEARCH("Met",'Mail Merge'!$I210),0)&gt;0),"Met","Not Met")</f>
        <v>Met</v>
      </c>
    </row>
    <row r="211" spans="1:22" x14ac:dyDescent="0.35">
      <c r="A211" s="200" t="s">
        <v>32</v>
      </c>
      <c r="B211" s="201">
        <v>1969</v>
      </c>
      <c r="C211" s="201" t="s">
        <v>159</v>
      </c>
      <c r="D211" s="201">
        <v>90</v>
      </c>
      <c r="E211" s="201">
        <v>706359.57</v>
      </c>
      <c r="F211" s="201">
        <v>333946.71000000002</v>
      </c>
      <c r="G211" s="201">
        <f>'Mail Merge'!$E211+'Mail Merge'!$F211</f>
        <v>1040306.28</v>
      </c>
      <c r="H211" s="201">
        <v>0</v>
      </c>
      <c r="I211" s="201" t="s">
        <v>242</v>
      </c>
      <c r="J211" s="201">
        <f>IFERROR('Mail Merge'!$E211/'Mail Merge'!$D211,0)</f>
        <v>7848.4396666666662</v>
      </c>
      <c r="K211" s="201">
        <f>IFERROR('Mail Merge'!$F211/'Mail Merge'!$D211,0)</f>
        <v>3710.5190000000002</v>
      </c>
      <c r="L211" s="201">
        <f>IFERROR('Mail Merge'!$G211/'Mail Merge'!$D211,0)</f>
        <v>11558.958666666667</v>
      </c>
      <c r="M211" s="201">
        <v>0</v>
      </c>
      <c r="N211" s="201" t="s">
        <v>241</v>
      </c>
      <c r="O211" s="201">
        <v>139182.5</v>
      </c>
      <c r="P211" s="201">
        <v>1694.05</v>
      </c>
      <c r="Q211" s="201">
        <f>'Mail Merge'!$O211+'Mail Merge'!$P211</f>
        <v>140876.54999999999</v>
      </c>
      <c r="R211" s="201"/>
      <c r="S211" s="201">
        <v>91552.09</v>
      </c>
      <c r="T211" s="201">
        <v>91552.09</v>
      </c>
      <c r="U211" s="201">
        <f>IF(AND('Mail Merge'!$I211="Did Not Meet",'Mail Merge'!$N211="Did Not Meet"),MIN(ABS('Mail Merge'!$H211),ABS('Mail Merge'!$M211),'Mail Merge'!$Q211),0)</f>
        <v>0</v>
      </c>
      <c r="V211" s="201" t="str">
        <f>IF(OR(IFERROR(SEARCH("Met",'Mail Merge'!$N211),0)&gt;0,IFERROR(SEARCH("Met",'Mail Merge'!$I211),0)&gt;0),"Met","Not Met")</f>
        <v>Met</v>
      </c>
    </row>
    <row r="212" spans="1:22" x14ac:dyDescent="0.35">
      <c r="A212" s="198" t="s">
        <v>33</v>
      </c>
      <c r="B212" s="199">
        <v>2240</v>
      </c>
      <c r="C212" s="199" t="s">
        <v>159</v>
      </c>
      <c r="D212" s="199">
        <v>150</v>
      </c>
      <c r="E212" s="199">
        <v>1178294.2</v>
      </c>
      <c r="F212" s="199">
        <v>265851</v>
      </c>
      <c r="G212" s="199">
        <f>'Mail Merge'!$E212+'Mail Merge'!$F212</f>
        <v>1444145.2</v>
      </c>
      <c r="H212" s="199">
        <v>0</v>
      </c>
      <c r="I212" s="199" t="s">
        <v>242</v>
      </c>
      <c r="J212" s="199">
        <f>IFERROR('Mail Merge'!$E212/'Mail Merge'!$D212,0)</f>
        <v>7855.2946666666667</v>
      </c>
      <c r="K212" s="199">
        <f>IFERROR('Mail Merge'!$F212/'Mail Merge'!$D212,0)</f>
        <v>1772.34</v>
      </c>
      <c r="L212" s="199">
        <f>IFERROR('Mail Merge'!$G212/'Mail Merge'!$D212,0)</f>
        <v>9627.6346666666668</v>
      </c>
      <c r="M212" s="199">
        <v>0</v>
      </c>
      <c r="N212" s="199" t="s">
        <v>240</v>
      </c>
      <c r="O212" s="199">
        <v>180949.07</v>
      </c>
      <c r="P212" s="199">
        <v>790.67</v>
      </c>
      <c r="Q212" s="199">
        <f>'Mail Merge'!$O212+'Mail Merge'!$P212</f>
        <v>181739.74000000002</v>
      </c>
      <c r="R212" s="199"/>
      <c r="S212" s="199">
        <v>100711.8</v>
      </c>
      <c r="T212" s="199"/>
      <c r="U212" s="199">
        <f>IF(AND('Mail Merge'!$I212="Did Not Meet",'Mail Merge'!$N212="Did Not Meet"),MIN(ABS('Mail Merge'!$H212),ABS('Mail Merge'!$M212),'Mail Merge'!$Q212),0)</f>
        <v>0</v>
      </c>
      <c r="V212" s="199" t="str">
        <f>IF(OR(IFERROR(SEARCH("Met",'Mail Merge'!$N212),0)&gt;0,IFERROR(SEARCH("Met",'Mail Merge'!$I212),0)&gt;0),"Met","Not Met")</f>
        <v>Met</v>
      </c>
    </row>
    <row r="213" spans="1:22" x14ac:dyDescent="0.35">
      <c r="A213" s="200" t="s">
        <v>34</v>
      </c>
      <c r="B213" s="201">
        <v>2243</v>
      </c>
      <c r="C213" s="201" t="s">
        <v>159</v>
      </c>
      <c r="D213" s="201">
        <v>4891</v>
      </c>
      <c r="E213" s="201">
        <v>43001948.68</v>
      </c>
      <c r="F213" s="201">
        <v>3932638</v>
      </c>
      <c r="G213" s="201">
        <f>'Mail Merge'!$E213+'Mail Merge'!$F213</f>
        <v>46934586.68</v>
      </c>
      <c r="H213" s="201">
        <v>0</v>
      </c>
      <c r="I213" s="201" t="s">
        <v>241</v>
      </c>
      <c r="J213" s="201">
        <f>IFERROR('Mail Merge'!$E213/'Mail Merge'!$D213,0)</f>
        <v>8792.0565692087512</v>
      </c>
      <c r="K213" s="201">
        <f>IFERROR('Mail Merge'!$F213/'Mail Merge'!$D213,0)</f>
        <v>804.05602126354529</v>
      </c>
      <c r="L213" s="201">
        <f>IFERROR('Mail Merge'!$G213/'Mail Merge'!$D213,0)</f>
        <v>9596.1125904722958</v>
      </c>
      <c r="M213" s="201">
        <v>0</v>
      </c>
      <c r="N213" s="201" t="s">
        <v>241</v>
      </c>
      <c r="O213" s="201">
        <v>6634650.4000000004</v>
      </c>
      <c r="P213" s="201">
        <v>27246.13</v>
      </c>
      <c r="Q213" s="201">
        <f>'Mail Merge'!$O213+'Mail Merge'!$P213</f>
        <v>6661896.5300000003</v>
      </c>
      <c r="R213" s="201"/>
      <c r="S213" s="201"/>
      <c r="T213" s="201"/>
      <c r="U213" s="201">
        <f>IF(AND('Mail Merge'!$I213="Did Not Meet",'Mail Merge'!$N213="Did Not Meet"),MIN(ABS('Mail Merge'!$H213),ABS('Mail Merge'!$M213),'Mail Merge'!$Q213),0)</f>
        <v>0</v>
      </c>
      <c r="V213" s="201" t="str">
        <f>IF(OR(IFERROR(SEARCH("Met",'Mail Merge'!$N213),0)&gt;0,IFERROR(SEARCH("Met",'Mail Merge'!$I213),0)&gt;0),"Met","Not Met")</f>
        <v>Met</v>
      </c>
    </row>
    <row r="214" spans="1:22" x14ac:dyDescent="0.35">
      <c r="A214" s="198" t="s">
        <v>35</v>
      </c>
      <c r="B214" s="199">
        <v>1976</v>
      </c>
      <c r="C214" s="199" t="s">
        <v>159</v>
      </c>
      <c r="D214" s="199">
        <v>2171</v>
      </c>
      <c r="E214" s="199">
        <v>15377953</v>
      </c>
      <c r="F214" s="199">
        <v>2332178.56</v>
      </c>
      <c r="G214" s="199">
        <f>'Mail Merge'!$E214+'Mail Merge'!$F214</f>
        <v>17710131.559999999</v>
      </c>
      <c r="H214" s="199">
        <v>0</v>
      </c>
      <c r="I214" s="199" t="s">
        <v>241</v>
      </c>
      <c r="J214" s="199">
        <f>IFERROR('Mail Merge'!$E214/'Mail Merge'!$D214,0)</f>
        <v>7083.3500690925839</v>
      </c>
      <c r="K214" s="199">
        <f>IFERROR('Mail Merge'!$F214/'Mail Merge'!$D214,0)</f>
        <v>1074.2416213726394</v>
      </c>
      <c r="L214" s="199">
        <f>IFERROR('Mail Merge'!$G214/'Mail Merge'!$D214,0)</f>
        <v>8157.5916904652231</v>
      </c>
      <c r="M214" s="199">
        <v>0</v>
      </c>
      <c r="N214" s="199" t="s">
        <v>241</v>
      </c>
      <c r="O214" s="199">
        <v>2629198.7400000002</v>
      </c>
      <c r="P214" s="199">
        <v>18110.91</v>
      </c>
      <c r="Q214" s="199">
        <f>'Mail Merge'!$O214+'Mail Merge'!$P214</f>
        <v>2647309.6500000004</v>
      </c>
      <c r="R214" s="199"/>
      <c r="S214" s="199"/>
      <c r="T214" s="199"/>
      <c r="U214" s="199">
        <f>IF(AND('Mail Merge'!$I214="Did Not Meet",'Mail Merge'!$N214="Did Not Meet"),MIN(ABS('Mail Merge'!$H214),ABS('Mail Merge'!$M214),'Mail Merge'!$Q214),0)</f>
        <v>0</v>
      </c>
      <c r="V214" s="199" t="str">
        <f>IF(OR(IFERROR(SEARCH("Met",'Mail Merge'!$N214),0)&gt;0,IFERROR(SEARCH("Met",'Mail Merge'!$I214),0)&gt;0),"Met","Not Met")</f>
        <v>Met</v>
      </c>
    </row>
    <row r="215" spans="1:22" x14ac:dyDescent="0.35">
      <c r="A215" s="200" t="s">
        <v>36</v>
      </c>
      <c r="B215" s="201">
        <v>2088</v>
      </c>
      <c r="C215" s="201" t="s">
        <v>159</v>
      </c>
      <c r="D215" s="201">
        <v>935</v>
      </c>
      <c r="E215" s="201">
        <v>7310197.25</v>
      </c>
      <c r="F215" s="201">
        <v>1393243</v>
      </c>
      <c r="G215" s="201">
        <f>'Mail Merge'!$E215+'Mail Merge'!$F215</f>
        <v>8703440.25</v>
      </c>
      <c r="H215" s="201">
        <v>0</v>
      </c>
      <c r="I215" s="201" t="s">
        <v>242</v>
      </c>
      <c r="J215" s="201">
        <f>IFERROR('Mail Merge'!$E215/'Mail Merge'!$D215,0)</f>
        <v>7818.3927807486634</v>
      </c>
      <c r="K215" s="201">
        <f>IFERROR('Mail Merge'!$F215/'Mail Merge'!$D215,0)</f>
        <v>1490.0994652406416</v>
      </c>
      <c r="L215" s="201">
        <f>IFERROR('Mail Merge'!$G215/'Mail Merge'!$D215,0)</f>
        <v>9308.4922459893041</v>
      </c>
      <c r="M215" s="201">
        <v>0</v>
      </c>
      <c r="N215" s="201" t="s">
        <v>241</v>
      </c>
      <c r="O215" s="201">
        <v>1045665.36</v>
      </c>
      <c r="P215" s="201">
        <v>6966.23</v>
      </c>
      <c r="Q215" s="201">
        <f>'Mail Merge'!$O215+'Mail Merge'!$P215</f>
        <v>1052631.5900000001</v>
      </c>
      <c r="R215" s="201"/>
      <c r="S215" s="201">
        <v>600816.05000000005</v>
      </c>
      <c r="T215" s="201">
        <v>600816.05000000005</v>
      </c>
      <c r="U215" s="201">
        <f>IF(AND('Mail Merge'!$I215="Did Not Meet",'Mail Merge'!$N215="Did Not Meet"),MIN(ABS('Mail Merge'!$H215),ABS('Mail Merge'!$M215),'Mail Merge'!$Q215),0)</f>
        <v>0</v>
      </c>
      <c r="V215" s="201" t="str">
        <f>IF(OR(IFERROR(SEARCH("Met",'Mail Merge'!$N215),0)&gt;0,IFERROR(SEARCH("Met",'Mail Merge'!$I215),0)&gt;0),"Met","Not Met")</f>
        <v>Met</v>
      </c>
    </row>
    <row r="216" spans="1:22" x14ac:dyDescent="0.35">
      <c r="A216" s="198" t="s">
        <v>37</v>
      </c>
      <c r="B216" s="199">
        <v>2095</v>
      </c>
      <c r="C216" s="199" t="s">
        <v>159</v>
      </c>
      <c r="D216" s="199">
        <v>46</v>
      </c>
      <c r="E216" s="199">
        <v>247337.43</v>
      </c>
      <c r="F216" s="199">
        <v>38025</v>
      </c>
      <c r="G216" s="199">
        <f>'Mail Merge'!$E216+'Mail Merge'!$F216</f>
        <v>285362.43</v>
      </c>
      <c r="H216" s="199">
        <v>0</v>
      </c>
      <c r="I216" s="199" t="s">
        <v>241</v>
      </c>
      <c r="J216" s="199">
        <f>IFERROR('Mail Merge'!$E216/'Mail Merge'!$D216,0)</f>
        <v>5376.9006521739129</v>
      </c>
      <c r="K216" s="199">
        <f>IFERROR('Mail Merge'!$F216/'Mail Merge'!$D216,0)</f>
        <v>826.63043478260875</v>
      </c>
      <c r="L216" s="199">
        <f>IFERROR('Mail Merge'!$G216/'Mail Merge'!$D216,0)</f>
        <v>6203.5310869565219</v>
      </c>
      <c r="M216" s="199">
        <v>0</v>
      </c>
      <c r="N216" s="199" t="s">
        <v>240</v>
      </c>
      <c r="O216" s="199">
        <v>38154.17</v>
      </c>
      <c r="P216" s="199">
        <v>501.68</v>
      </c>
      <c r="Q216" s="199">
        <f>'Mail Merge'!$O216+'Mail Merge'!$P216</f>
        <v>38655.85</v>
      </c>
      <c r="R216" s="199"/>
      <c r="S216" s="199"/>
      <c r="T216" s="199"/>
      <c r="U216" s="199">
        <f>IF(AND('Mail Merge'!$I216="Did Not Meet",'Mail Merge'!$N216="Did Not Meet"),MIN(ABS('Mail Merge'!$H216),ABS('Mail Merge'!$M216),'Mail Merge'!$Q216),0)</f>
        <v>0</v>
      </c>
      <c r="V216" s="199" t="str">
        <f>IF(OR(IFERROR(SEARCH("Met",'Mail Merge'!$N216),0)&gt;0,IFERROR(SEARCH("Met",'Mail Merge'!$I216),0)&gt;0),"Met","Not Met")</f>
        <v>Met</v>
      </c>
    </row>
    <row r="217" spans="1:22" x14ac:dyDescent="0.35">
      <c r="A217" s="200" t="s">
        <v>38</v>
      </c>
      <c r="B217" s="201">
        <v>2052</v>
      </c>
      <c r="C217" s="201" t="s">
        <v>159</v>
      </c>
      <c r="D217" s="201">
        <v>1</v>
      </c>
      <c r="E217" s="201">
        <v>16713.09</v>
      </c>
      <c r="F217" s="201">
        <v>7610.97</v>
      </c>
      <c r="G217" s="201">
        <f>'Mail Merge'!$E217+'Mail Merge'!$F217</f>
        <v>24324.06</v>
      </c>
      <c r="H217" s="201">
        <v>0</v>
      </c>
      <c r="I217" s="201" t="s">
        <v>241</v>
      </c>
      <c r="J217" s="201">
        <f>IFERROR('Mail Merge'!$E217/'Mail Merge'!$D217,0)</f>
        <v>16713.09</v>
      </c>
      <c r="K217" s="201">
        <f>IFERROR('Mail Merge'!$F217/'Mail Merge'!$D217,0)</f>
        <v>7610.97</v>
      </c>
      <c r="L217" s="201">
        <f>IFERROR('Mail Merge'!$G217/'Mail Merge'!$D217,0)</f>
        <v>24324.06</v>
      </c>
      <c r="M217" s="201">
        <v>0</v>
      </c>
      <c r="N217" s="201" t="s">
        <v>241</v>
      </c>
      <c r="O217" s="201">
        <v>5471.8</v>
      </c>
      <c r="P217" s="201">
        <v>4.3</v>
      </c>
      <c r="Q217" s="201">
        <f>'Mail Merge'!$O217+'Mail Merge'!$P217</f>
        <v>5476.1</v>
      </c>
      <c r="R217" s="201"/>
      <c r="S217" s="201"/>
      <c r="T217" s="201"/>
      <c r="U217" s="201">
        <f>IF(AND('Mail Merge'!$I217="Did Not Meet",'Mail Merge'!$N217="Did Not Meet"),MIN(ABS('Mail Merge'!$H217),ABS('Mail Merge'!$M217),'Mail Merge'!$Q217),0)</f>
        <v>0</v>
      </c>
      <c r="V217" s="201" t="str">
        <f>IF(OR(IFERROR(SEARCH("Met",'Mail Merge'!$N217),0)&gt;0,IFERROR(SEARCH("Met",'Mail Merge'!$I217),0)&gt;0),"Met","Not Met")</f>
        <v>Met</v>
      </c>
    </row>
    <row r="218" spans="1:22" x14ac:dyDescent="0.35">
      <c r="A218" s="198" t="s">
        <v>39</v>
      </c>
      <c r="B218" s="199">
        <v>1974</v>
      </c>
      <c r="C218" s="199" t="s">
        <v>159</v>
      </c>
      <c r="D218" s="199">
        <v>172</v>
      </c>
      <c r="E218" s="199">
        <v>807412.6</v>
      </c>
      <c r="F218" s="199">
        <v>721725.06</v>
      </c>
      <c r="G218" s="199">
        <f>'Mail Merge'!$E218+'Mail Merge'!$F218</f>
        <v>1529137.6600000001</v>
      </c>
      <c r="H218" s="199">
        <v>0</v>
      </c>
      <c r="I218" s="199" t="s">
        <v>239</v>
      </c>
      <c r="J218" s="199">
        <f>IFERROR('Mail Merge'!$E218/'Mail Merge'!$D218,0)</f>
        <v>4694.2593023255813</v>
      </c>
      <c r="K218" s="199">
        <f>IFERROR('Mail Merge'!$F218/'Mail Merge'!$D218,0)</f>
        <v>4196.0759302325587</v>
      </c>
      <c r="L218" s="199">
        <f>IFERROR('Mail Merge'!$G218/'Mail Merge'!$D218,0)</f>
        <v>8890.33523255814</v>
      </c>
      <c r="M218" s="199">
        <v>0</v>
      </c>
      <c r="N218" s="199" t="s">
        <v>239</v>
      </c>
      <c r="O218" s="199">
        <v>275956.17</v>
      </c>
      <c r="P218" s="199">
        <v>1782.09</v>
      </c>
      <c r="Q218" s="199">
        <f>'Mail Merge'!$O218+'Mail Merge'!$P218</f>
        <v>277738.26</v>
      </c>
      <c r="R218" s="199"/>
      <c r="S218" s="199"/>
      <c r="T218" s="199"/>
      <c r="U218" s="199">
        <f>IF(AND('Mail Merge'!$I218="Did Not Meet",'Mail Merge'!$N218="Did Not Meet"),MIN(ABS('Mail Merge'!$H218),ABS('Mail Merge'!$M218),'Mail Merge'!$Q218),0)</f>
        <v>0</v>
      </c>
      <c r="V218" s="199" t="str">
        <f>IF(OR(IFERROR(SEARCH("Met",'Mail Merge'!$N218),0)&gt;0,IFERROR(SEARCH("Met",'Mail Merge'!$I218),0)&gt;0),"Met","Not Met")</f>
        <v>Met</v>
      </c>
    </row>
    <row r="219" spans="1:22" x14ac:dyDescent="0.35">
      <c r="A219" s="200" t="s">
        <v>40</v>
      </c>
      <c r="B219" s="201">
        <v>1896</v>
      </c>
      <c r="C219" s="201" t="s">
        <v>159</v>
      </c>
      <c r="D219" s="201">
        <v>3</v>
      </c>
      <c r="E219" s="201">
        <v>44135</v>
      </c>
      <c r="F219" s="201">
        <v>13863.34</v>
      </c>
      <c r="G219" s="201">
        <f>'Mail Merge'!$E219+'Mail Merge'!$F219</f>
        <v>57998.34</v>
      </c>
      <c r="H219" s="201">
        <v>0</v>
      </c>
      <c r="I219" s="201" t="s">
        <v>241</v>
      </c>
      <c r="J219" s="201">
        <f>IFERROR('Mail Merge'!$E219/'Mail Merge'!$D219,0)</f>
        <v>14711.666666666666</v>
      </c>
      <c r="K219" s="201">
        <f>IFERROR('Mail Merge'!$F219/'Mail Merge'!$D219,0)</f>
        <v>4621.1133333333337</v>
      </c>
      <c r="L219" s="201">
        <f>IFERROR('Mail Merge'!$G219/'Mail Merge'!$D219,0)</f>
        <v>19332.78</v>
      </c>
      <c r="M219" s="201">
        <v>0</v>
      </c>
      <c r="N219" s="201" t="s">
        <v>241</v>
      </c>
      <c r="O219" s="201">
        <v>14324.36</v>
      </c>
      <c r="P219" s="201">
        <v>3.52</v>
      </c>
      <c r="Q219" s="201">
        <f>'Mail Merge'!$O219+'Mail Merge'!$P219</f>
        <v>14327.880000000001</v>
      </c>
      <c r="R219" s="201"/>
      <c r="S219" s="201"/>
      <c r="T219" s="201"/>
      <c r="U219" s="201">
        <f>IF(AND('Mail Merge'!$I219="Did Not Meet",'Mail Merge'!$N219="Did Not Meet"),MIN(ABS('Mail Merge'!$H219),ABS('Mail Merge'!$M219),'Mail Merge'!$Q219),0)</f>
        <v>0</v>
      </c>
      <c r="V219" s="201" t="str">
        <f>IF(OR(IFERROR(SEARCH("Met",'Mail Merge'!$N219),0)&gt;0,IFERROR(SEARCH("Met",'Mail Merge'!$I219),0)&gt;0),"Met","Not Met")</f>
        <v>Met</v>
      </c>
    </row>
    <row r="220" spans="1:22" x14ac:dyDescent="0.35">
      <c r="A220" s="198" t="s">
        <v>42</v>
      </c>
      <c r="B220" s="199">
        <v>2046</v>
      </c>
      <c r="C220" s="199" t="s">
        <v>159</v>
      </c>
      <c r="D220" s="199">
        <v>26</v>
      </c>
      <c r="E220" s="199">
        <v>158244.25</v>
      </c>
      <c r="F220" s="199">
        <v>62128.69</v>
      </c>
      <c r="G220" s="199">
        <f>'Mail Merge'!$E220+'Mail Merge'!$F220</f>
        <v>220372.94</v>
      </c>
      <c r="H220" s="199">
        <v>0</v>
      </c>
      <c r="I220" s="199" t="s">
        <v>241</v>
      </c>
      <c r="J220" s="199">
        <f>IFERROR('Mail Merge'!$E220/'Mail Merge'!$D220,0)</f>
        <v>6086.3173076923076</v>
      </c>
      <c r="K220" s="199">
        <f>IFERROR('Mail Merge'!$F220/'Mail Merge'!$D220,0)</f>
        <v>2389.5650000000001</v>
      </c>
      <c r="L220" s="199">
        <f>IFERROR('Mail Merge'!$G220/'Mail Merge'!$D220,0)</f>
        <v>8475.8823076923072</v>
      </c>
      <c r="M220" s="199">
        <v>0</v>
      </c>
      <c r="N220" s="199" t="s">
        <v>241</v>
      </c>
      <c r="O220" s="199">
        <v>29502.16</v>
      </c>
      <c r="P220" s="199">
        <v>0</v>
      </c>
      <c r="Q220" s="199">
        <f>'Mail Merge'!$O220+'Mail Merge'!$P220</f>
        <v>29502.16</v>
      </c>
      <c r="R220" s="199"/>
      <c r="S220" s="199"/>
      <c r="T220" s="199"/>
      <c r="U220" s="199">
        <f>IF(AND('Mail Merge'!$I220="Did Not Meet",'Mail Merge'!$N220="Did Not Meet"),MIN(ABS('Mail Merge'!$H220),ABS('Mail Merge'!$M220),'Mail Merge'!$Q220),0)</f>
        <v>0</v>
      </c>
      <c r="V220" s="199" t="str">
        <f>IF(OR(IFERROR(SEARCH("Met",'Mail Merge'!$N220),0)&gt;0,IFERROR(SEARCH("Met",'Mail Merge'!$I220),0)&gt;0),"Met","Not Met")</f>
        <v>Met</v>
      </c>
    </row>
    <row r="221" spans="1:22" x14ac:dyDescent="0.35">
      <c r="A221" s="200" t="s">
        <v>43</v>
      </c>
      <c r="B221" s="201">
        <v>1995</v>
      </c>
      <c r="C221" s="201" t="s">
        <v>159</v>
      </c>
      <c r="D221" s="201">
        <v>25</v>
      </c>
      <c r="E221" s="201">
        <v>155859.72</v>
      </c>
      <c r="F221" s="201">
        <v>40494.050000000003</v>
      </c>
      <c r="G221" s="201">
        <f>'Mail Merge'!$E221+'Mail Merge'!$F221</f>
        <v>196353.77000000002</v>
      </c>
      <c r="H221" s="201">
        <v>0</v>
      </c>
      <c r="I221" s="201" t="s">
        <v>241</v>
      </c>
      <c r="J221" s="201">
        <f>IFERROR('Mail Merge'!$E221/'Mail Merge'!$D221,0)</f>
        <v>6234.3887999999997</v>
      </c>
      <c r="K221" s="201">
        <f>IFERROR('Mail Merge'!$F221/'Mail Merge'!$D221,0)</f>
        <v>1619.7620000000002</v>
      </c>
      <c r="L221" s="201">
        <f>IFERROR('Mail Merge'!$G221/'Mail Merge'!$D221,0)</f>
        <v>7854.1508000000003</v>
      </c>
      <c r="M221" s="201">
        <v>0</v>
      </c>
      <c r="N221" s="201" t="s">
        <v>240</v>
      </c>
      <c r="O221" s="201">
        <v>39619.910000000003</v>
      </c>
      <c r="P221" s="201">
        <v>15.25</v>
      </c>
      <c r="Q221" s="201">
        <f>'Mail Merge'!$O221+'Mail Merge'!$P221</f>
        <v>39635.160000000003</v>
      </c>
      <c r="R221" s="201"/>
      <c r="S221" s="201"/>
      <c r="T221" s="201"/>
      <c r="U221" s="201">
        <f>IF(AND('Mail Merge'!$I221="Did Not Meet",'Mail Merge'!$N221="Did Not Meet"),MIN(ABS('Mail Merge'!$H221),ABS('Mail Merge'!$M221),'Mail Merge'!$Q221),0)</f>
        <v>0</v>
      </c>
      <c r="V221" s="201" t="str">
        <f>IF(OR(IFERROR(SEARCH("Met",'Mail Merge'!$N221),0)&gt;0,IFERROR(SEARCH("Met",'Mail Merge'!$I221),0)&gt;0),"Met","Not Met")</f>
        <v>Met</v>
      </c>
    </row>
    <row r="222" spans="1:22" x14ac:dyDescent="0.35">
      <c r="A222" s="198" t="s">
        <v>44</v>
      </c>
      <c r="B222" s="199">
        <v>1929</v>
      </c>
      <c r="C222" s="199" t="s">
        <v>159</v>
      </c>
      <c r="D222" s="199">
        <v>536</v>
      </c>
      <c r="E222" s="199">
        <v>4099642.94</v>
      </c>
      <c r="F222" s="199">
        <v>765973</v>
      </c>
      <c r="G222" s="199">
        <f>'Mail Merge'!$E222+'Mail Merge'!$F222</f>
        <v>4865615.9399999995</v>
      </c>
      <c r="H222" s="199">
        <v>0</v>
      </c>
      <c r="I222" s="199" t="s">
        <v>241</v>
      </c>
      <c r="J222" s="199">
        <f>IFERROR('Mail Merge'!$E222/'Mail Merge'!$D222,0)</f>
        <v>7648.5875746268657</v>
      </c>
      <c r="K222" s="199">
        <f>IFERROR('Mail Merge'!$F222/'Mail Merge'!$D222,0)</f>
        <v>1429.0541044776119</v>
      </c>
      <c r="L222" s="199">
        <f>IFERROR('Mail Merge'!$G222/'Mail Merge'!$D222,0)</f>
        <v>9077.6416791044758</v>
      </c>
      <c r="M222" s="199">
        <v>0</v>
      </c>
      <c r="N222" s="199" t="s">
        <v>241</v>
      </c>
      <c r="O222" s="199">
        <v>812579.71</v>
      </c>
      <c r="P222" s="199">
        <v>3587.71</v>
      </c>
      <c r="Q222" s="199">
        <f>'Mail Merge'!$O222+'Mail Merge'!$P222</f>
        <v>816167.41999999993</v>
      </c>
      <c r="R222" s="199"/>
      <c r="S222" s="199"/>
      <c r="T222" s="199"/>
      <c r="U222" s="199">
        <f>IF(AND('Mail Merge'!$I222="Did Not Meet",'Mail Merge'!$N222="Did Not Meet"),MIN(ABS('Mail Merge'!$H222),ABS('Mail Merge'!$M222),'Mail Merge'!$Q222),0)</f>
        <v>0</v>
      </c>
      <c r="V222" s="199" t="str">
        <f>IF(OR(IFERROR(SEARCH("Met",'Mail Merge'!$N222),0)&gt;0,IFERROR(SEARCH("Met",'Mail Merge'!$I222),0)&gt;0),"Met","Not Met")</f>
        <v>Met</v>
      </c>
    </row>
    <row r="223" spans="1:22" x14ac:dyDescent="0.35">
      <c r="A223" s="200" t="s">
        <v>45</v>
      </c>
      <c r="B223" s="201">
        <v>2139</v>
      </c>
      <c r="C223" s="201" t="s">
        <v>159</v>
      </c>
      <c r="D223" s="201">
        <v>294</v>
      </c>
      <c r="E223" s="201">
        <v>1946280.84</v>
      </c>
      <c r="F223" s="201">
        <v>128929.73</v>
      </c>
      <c r="G223" s="201">
        <f>'Mail Merge'!$E223+'Mail Merge'!$F223</f>
        <v>2075210.57</v>
      </c>
      <c r="H223" s="201">
        <v>0</v>
      </c>
      <c r="I223" s="201" t="s">
        <v>241</v>
      </c>
      <c r="J223" s="201">
        <f>IFERROR('Mail Merge'!$E223/'Mail Merge'!$D223,0)</f>
        <v>6620.0028571428575</v>
      </c>
      <c r="K223" s="201">
        <f>IFERROR('Mail Merge'!$F223/'Mail Merge'!$D223,0)</f>
        <v>438.53649659863942</v>
      </c>
      <c r="L223" s="201">
        <f>IFERROR('Mail Merge'!$G223/'Mail Merge'!$D223,0)</f>
        <v>7058.5393537414966</v>
      </c>
      <c r="M223" s="201">
        <v>0</v>
      </c>
      <c r="N223" s="201" t="s">
        <v>240</v>
      </c>
      <c r="O223" s="201">
        <v>379042.15</v>
      </c>
      <c r="P223" s="201">
        <v>3840.72</v>
      </c>
      <c r="Q223" s="201">
        <f>'Mail Merge'!$O223+'Mail Merge'!$P223</f>
        <v>382882.87</v>
      </c>
      <c r="R223" s="201"/>
      <c r="S223" s="201"/>
      <c r="T223" s="201"/>
      <c r="U223" s="201">
        <f>IF(AND('Mail Merge'!$I223="Did Not Meet",'Mail Merge'!$N223="Did Not Meet"),MIN(ABS('Mail Merge'!$H223),ABS('Mail Merge'!$M223),'Mail Merge'!$Q223),0)</f>
        <v>0</v>
      </c>
      <c r="V223" s="201" t="str">
        <f>IF(OR(IFERROR(SEARCH("Met",'Mail Merge'!$N223),0)&gt;0,IFERROR(SEARCH("Met",'Mail Merge'!$I223),0)&gt;0),"Met","Not Met")</f>
        <v>Met</v>
      </c>
    </row>
    <row r="224" spans="1:22" x14ac:dyDescent="0.35">
      <c r="A224" s="198" t="s">
        <v>46</v>
      </c>
      <c r="B224" s="199">
        <v>2185</v>
      </c>
      <c r="C224" s="199" t="s">
        <v>159</v>
      </c>
      <c r="D224" s="199">
        <v>861</v>
      </c>
      <c r="E224" s="199">
        <v>7406241.7699999996</v>
      </c>
      <c r="F224" s="199">
        <v>1516260</v>
      </c>
      <c r="G224" s="199">
        <f>'Mail Merge'!$E224+'Mail Merge'!$F224</f>
        <v>8922501.7699999996</v>
      </c>
      <c r="H224" s="199">
        <v>0</v>
      </c>
      <c r="I224" s="199" t="s">
        <v>241</v>
      </c>
      <c r="J224" s="199">
        <f>IFERROR('Mail Merge'!$E224/'Mail Merge'!$D224,0)</f>
        <v>8601.9068176538894</v>
      </c>
      <c r="K224" s="199">
        <f>IFERROR('Mail Merge'!$F224/'Mail Merge'!$D224,0)</f>
        <v>1761.0452961672474</v>
      </c>
      <c r="L224" s="199">
        <f>IFERROR('Mail Merge'!$G224/'Mail Merge'!$D224,0)</f>
        <v>10362.952113821138</v>
      </c>
      <c r="M224" s="199">
        <v>0</v>
      </c>
      <c r="N224" s="199" t="s">
        <v>241</v>
      </c>
      <c r="O224" s="199">
        <v>1061240.8899999999</v>
      </c>
      <c r="P224" s="199">
        <v>8010.26</v>
      </c>
      <c r="Q224" s="199">
        <f>'Mail Merge'!$O224+'Mail Merge'!$P224</f>
        <v>1069251.1499999999</v>
      </c>
      <c r="R224" s="199"/>
      <c r="S224" s="199"/>
      <c r="T224" s="199"/>
      <c r="U224" s="199">
        <f>IF(AND('Mail Merge'!$I224="Did Not Meet",'Mail Merge'!$N224="Did Not Meet"),MIN(ABS('Mail Merge'!$H224),ABS('Mail Merge'!$M224),'Mail Merge'!$Q224),0)</f>
        <v>0</v>
      </c>
      <c r="V224" s="199" t="str">
        <f>IF(OR(IFERROR(SEARCH("Met",'Mail Merge'!$N224),0)&gt;0,IFERROR(SEARCH("Met",'Mail Merge'!$I224),0)&gt;0),"Met","Not Met")</f>
        <v>Met</v>
      </c>
    </row>
    <row r="225" spans="1:22" x14ac:dyDescent="0.35">
      <c r="A225" s="200" t="s">
        <v>47</v>
      </c>
      <c r="B225" s="201">
        <v>1972</v>
      </c>
      <c r="C225" s="201" t="s">
        <v>159</v>
      </c>
      <c r="D225" s="201">
        <v>56</v>
      </c>
      <c r="E225" s="201">
        <v>335713.02</v>
      </c>
      <c r="F225" s="201">
        <v>252484.67</v>
      </c>
      <c r="G225" s="201">
        <f>'Mail Merge'!$E225+'Mail Merge'!$F225</f>
        <v>588197.69000000006</v>
      </c>
      <c r="H225" s="201">
        <v>0</v>
      </c>
      <c r="I225" s="201" t="s">
        <v>242</v>
      </c>
      <c r="J225" s="201">
        <f>IFERROR('Mail Merge'!$E225/'Mail Merge'!$D225,0)</f>
        <v>5994.8753571428579</v>
      </c>
      <c r="K225" s="201">
        <f>IFERROR('Mail Merge'!$F225/'Mail Merge'!$D225,0)</f>
        <v>4508.6548214285713</v>
      </c>
      <c r="L225" s="201">
        <f>IFERROR('Mail Merge'!$G225/'Mail Merge'!$D225,0)</f>
        <v>10503.530178571429</v>
      </c>
      <c r="M225" s="201">
        <v>0</v>
      </c>
      <c r="N225" s="201" t="s">
        <v>241</v>
      </c>
      <c r="O225" s="201">
        <v>120947.02</v>
      </c>
      <c r="P225" s="201">
        <v>1126.69</v>
      </c>
      <c r="Q225" s="201">
        <f>'Mail Merge'!$O225+'Mail Merge'!$P225</f>
        <v>122073.71</v>
      </c>
      <c r="R225" s="201"/>
      <c r="S225" s="201">
        <v>71952.570000000007</v>
      </c>
      <c r="T225" s="201">
        <v>71952.570000000007</v>
      </c>
      <c r="U225" s="201">
        <f>IF(AND('Mail Merge'!$I225="Did Not Meet",'Mail Merge'!$N225="Did Not Meet"),MIN(ABS('Mail Merge'!$H225),ABS('Mail Merge'!$M225),'Mail Merge'!$Q225),0)</f>
        <v>0</v>
      </c>
      <c r="V225" s="201" t="str">
        <f>IF(OR(IFERROR(SEARCH("Met",'Mail Merge'!$N225),0)&gt;0,IFERROR(SEARCH("Met",'Mail Merge'!$I225),0)&gt;0),"Met","Not Met")</f>
        <v>Met</v>
      </c>
    </row>
    <row r="226" spans="1:22" x14ac:dyDescent="0.35">
      <c r="A226" s="198" t="s">
        <v>48</v>
      </c>
      <c r="B226" s="199">
        <v>2105</v>
      </c>
      <c r="C226" s="199" t="s">
        <v>159</v>
      </c>
      <c r="D226" s="199">
        <v>96</v>
      </c>
      <c r="E226" s="199">
        <v>552092.9</v>
      </c>
      <c r="F226" s="199">
        <v>64501</v>
      </c>
      <c r="G226" s="199">
        <f>'Mail Merge'!$E226+'Mail Merge'!$F226</f>
        <v>616593.9</v>
      </c>
      <c r="H226" s="199">
        <v>0</v>
      </c>
      <c r="I226" s="199" t="s">
        <v>241</v>
      </c>
      <c r="J226" s="199">
        <f>IFERROR('Mail Merge'!$E226/'Mail Merge'!$D226,0)</f>
        <v>5750.9677083333336</v>
      </c>
      <c r="K226" s="199">
        <f>IFERROR('Mail Merge'!$F226/'Mail Merge'!$D226,0)</f>
        <v>671.88541666666663</v>
      </c>
      <c r="L226" s="199">
        <f>IFERROR('Mail Merge'!$G226/'Mail Merge'!$D226,0)</f>
        <v>6422.8531250000005</v>
      </c>
      <c r="M226" s="199">
        <v>0</v>
      </c>
      <c r="N226" s="199" t="s">
        <v>241</v>
      </c>
      <c r="O226" s="199">
        <v>113771.78</v>
      </c>
      <c r="P226" s="199">
        <v>396.29</v>
      </c>
      <c r="Q226" s="199">
        <f>'Mail Merge'!$O226+'Mail Merge'!$P226</f>
        <v>114168.06999999999</v>
      </c>
      <c r="R226" s="199"/>
      <c r="S226" s="199"/>
      <c r="T226" s="199"/>
      <c r="U226" s="199">
        <f>IF(AND('Mail Merge'!$I226="Did Not Meet",'Mail Merge'!$N226="Did Not Meet"),MIN(ABS('Mail Merge'!$H226),ABS('Mail Merge'!$M226),'Mail Merge'!$Q226),0)</f>
        <v>0</v>
      </c>
      <c r="V226" s="199" t="str">
        <f>IF(OR(IFERROR(SEARCH("Met",'Mail Merge'!$N226),0)&gt;0,IFERROR(SEARCH("Met",'Mail Merge'!$I226),0)&gt;0),"Met","Not Met")</f>
        <v>Met</v>
      </c>
    </row>
    <row r="227" spans="1:22" x14ac:dyDescent="0.35">
      <c r="A227" s="200" t="s">
        <v>49</v>
      </c>
      <c r="B227" s="201">
        <v>2042</v>
      </c>
      <c r="C227" s="201" t="s">
        <v>159</v>
      </c>
      <c r="D227" s="201">
        <v>571</v>
      </c>
      <c r="E227" s="201">
        <v>3044247.65</v>
      </c>
      <c r="F227" s="201">
        <v>1036672.73</v>
      </c>
      <c r="G227" s="201">
        <f>'Mail Merge'!$E227+'Mail Merge'!$F227</f>
        <v>4080920.38</v>
      </c>
      <c r="H227" s="201">
        <v>0</v>
      </c>
      <c r="I227" s="201" t="s">
        <v>241</v>
      </c>
      <c r="J227" s="201">
        <f>IFERROR('Mail Merge'!$E227/'Mail Merge'!$D227,0)</f>
        <v>5331.431961471103</v>
      </c>
      <c r="K227" s="201">
        <f>IFERROR('Mail Merge'!$F227/'Mail Merge'!$D227,0)</f>
        <v>1815.5389316987741</v>
      </c>
      <c r="L227" s="201">
        <f>IFERROR('Mail Merge'!$G227/'Mail Merge'!$D227,0)</f>
        <v>7146.9708931698769</v>
      </c>
      <c r="M227" s="201">
        <v>0</v>
      </c>
      <c r="N227" s="201" t="s">
        <v>241</v>
      </c>
      <c r="O227" s="201">
        <v>704147.81</v>
      </c>
      <c r="P227" s="201">
        <v>10032.780000000001</v>
      </c>
      <c r="Q227" s="201">
        <f>'Mail Merge'!$O227+'Mail Merge'!$P227</f>
        <v>714180.59000000008</v>
      </c>
      <c r="R227" s="201"/>
      <c r="S227" s="201"/>
      <c r="T227" s="201"/>
      <c r="U227" s="201">
        <f>IF(AND('Mail Merge'!$I227="Did Not Meet",'Mail Merge'!$N227="Did Not Meet"),MIN(ABS('Mail Merge'!$H227),ABS('Mail Merge'!$M227),'Mail Merge'!$Q227),0)</f>
        <v>0</v>
      </c>
      <c r="V227" s="201" t="str">
        <f>IF(OR(IFERROR(SEARCH("Met",'Mail Merge'!$N227),0)&gt;0,IFERROR(SEARCH("Met",'Mail Merge'!$I227),0)&gt;0),"Met","Not Met")</f>
        <v>Met</v>
      </c>
    </row>
    <row r="228" spans="1:22" x14ac:dyDescent="0.35">
      <c r="A228" s="198" t="s">
        <v>50</v>
      </c>
      <c r="B228" s="199">
        <v>2191</v>
      </c>
      <c r="C228" s="199" t="s">
        <v>159</v>
      </c>
      <c r="D228" s="199">
        <v>348</v>
      </c>
      <c r="E228" s="199">
        <v>3904408.61</v>
      </c>
      <c r="F228" s="199">
        <v>380790.96</v>
      </c>
      <c r="G228" s="199">
        <f>'Mail Merge'!$E228+'Mail Merge'!$F228</f>
        <v>4285199.57</v>
      </c>
      <c r="H228" s="199">
        <v>0</v>
      </c>
      <c r="I228" s="199" t="s">
        <v>241</v>
      </c>
      <c r="J228" s="199">
        <f>IFERROR('Mail Merge'!$E228/'Mail Merge'!$D228,0)</f>
        <v>11219.564971264368</v>
      </c>
      <c r="K228" s="199">
        <f>IFERROR('Mail Merge'!$F228/'Mail Merge'!$D228,0)</f>
        <v>1094.2268965517242</v>
      </c>
      <c r="L228" s="199">
        <f>IFERROR('Mail Merge'!$G228/'Mail Merge'!$D228,0)</f>
        <v>12313.791867816093</v>
      </c>
      <c r="M228" s="199">
        <v>0</v>
      </c>
      <c r="N228" s="199" t="s">
        <v>241</v>
      </c>
      <c r="O228" s="199">
        <v>429439.44</v>
      </c>
      <c r="P228" s="199">
        <v>3454.57</v>
      </c>
      <c r="Q228" s="199">
        <f>'Mail Merge'!$O228+'Mail Merge'!$P228</f>
        <v>432894.01</v>
      </c>
      <c r="R228" s="199"/>
      <c r="S228" s="199"/>
      <c r="T228" s="199"/>
      <c r="U228" s="199">
        <f>IF(AND('Mail Merge'!$I228="Did Not Meet",'Mail Merge'!$N228="Did Not Meet"),MIN(ABS('Mail Merge'!$H228),ABS('Mail Merge'!$M228),'Mail Merge'!$Q228),0)</f>
        <v>0</v>
      </c>
      <c r="V228" s="199" t="str">
        <f>IF(OR(IFERROR(SEARCH("Met",'Mail Merge'!$N228),0)&gt;0,IFERROR(SEARCH("Met",'Mail Merge'!$I228),0)&gt;0),"Met","Not Met")</f>
        <v>Met</v>
      </c>
    </row>
    <row r="229" spans="1:22" x14ac:dyDescent="0.35">
      <c r="A229" s="200" t="s">
        <v>51</v>
      </c>
      <c r="B229" s="201">
        <v>1945</v>
      </c>
      <c r="C229" s="201" t="s">
        <v>159</v>
      </c>
      <c r="D229" s="201">
        <v>108</v>
      </c>
      <c r="E229" s="201">
        <v>1022814.98</v>
      </c>
      <c r="F229" s="201">
        <v>126216</v>
      </c>
      <c r="G229" s="201">
        <f>'Mail Merge'!$E229+'Mail Merge'!$F229</f>
        <v>1149030.98</v>
      </c>
      <c r="H229" s="201">
        <v>0</v>
      </c>
      <c r="I229" s="201" t="s">
        <v>241</v>
      </c>
      <c r="J229" s="201">
        <f>IFERROR('Mail Merge'!$E229/'Mail Merge'!$D229,0)</f>
        <v>9470.5090740740743</v>
      </c>
      <c r="K229" s="201">
        <f>IFERROR('Mail Merge'!$F229/'Mail Merge'!$D229,0)</f>
        <v>1168.6666666666667</v>
      </c>
      <c r="L229" s="201">
        <f>IFERROR('Mail Merge'!$G229/'Mail Merge'!$D229,0)</f>
        <v>10639.17574074074</v>
      </c>
      <c r="M229" s="201">
        <v>0</v>
      </c>
      <c r="N229" s="201" t="s">
        <v>241</v>
      </c>
      <c r="O229" s="201">
        <v>141264.06</v>
      </c>
      <c r="P229" s="201">
        <v>3020.6</v>
      </c>
      <c r="Q229" s="201">
        <f>'Mail Merge'!$O229+'Mail Merge'!$P229</f>
        <v>144284.66</v>
      </c>
      <c r="R229" s="201"/>
      <c r="S229" s="201"/>
      <c r="T229" s="201"/>
      <c r="U229" s="201">
        <f>IF(AND('Mail Merge'!$I229="Did Not Meet",'Mail Merge'!$N229="Did Not Meet"),MIN(ABS('Mail Merge'!$H229),ABS('Mail Merge'!$M229),'Mail Merge'!$Q229),0)</f>
        <v>0</v>
      </c>
      <c r="V229" s="201" t="str">
        <f>IF(OR(IFERROR(SEARCH("Met",'Mail Merge'!$N229),0)&gt;0,IFERROR(SEARCH("Met",'Mail Merge'!$I229),0)&gt;0),"Met","Not Met")</f>
        <v>Met</v>
      </c>
    </row>
    <row r="230" spans="1:22" x14ac:dyDescent="0.35">
      <c r="A230" s="198" t="s">
        <v>52</v>
      </c>
      <c r="B230" s="199">
        <v>1927</v>
      </c>
      <c r="C230" s="199" t="s">
        <v>159</v>
      </c>
      <c r="D230" s="199">
        <v>75</v>
      </c>
      <c r="E230" s="199">
        <v>577230.91</v>
      </c>
      <c r="F230" s="199">
        <v>280996</v>
      </c>
      <c r="G230" s="199">
        <f>'Mail Merge'!$E230+'Mail Merge'!$F230</f>
        <v>858226.91</v>
      </c>
      <c r="H230" s="199">
        <v>0</v>
      </c>
      <c r="I230" s="199" t="s">
        <v>242</v>
      </c>
      <c r="J230" s="199">
        <f>IFERROR('Mail Merge'!$E230/'Mail Merge'!$D230,0)</f>
        <v>7696.4121333333342</v>
      </c>
      <c r="K230" s="199">
        <f>IFERROR('Mail Merge'!$F230/'Mail Merge'!$D230,0)</f>
        <v>3746.6133333333332</v>
      </c>
      <c r="L230" s="199">
        <f>IFERROR('Mail Merge'!$G230/'Mail Merge'!$D230,0)</f>
        <v>11443.025466666668</v>
      </c>
      <c r="M230" s="199">
        <v>0</v>
      </c>
      <c r="N230" s="199" t="s">
        <v>241</v>
      </c>
      <c r="O230" s="199">
        <v>118896.73</v>
      </c>
      <c r="P230" s="199">
        <v>600.45000000000005</v>
      </c>
      <c r="Q230" s="199">
        <f>'Mail Merge'!$O230+'Mail Merge'!$P230</f>
        <v>119497.18</v>
      </c>
      <c r="R230" s="199"/>
      <c r="S230" s="199">
        <v>141733.82</v>
      </c>
      <c r="T230" s="199">
        <v>141733.82</v>
      </c>
      <c r="U230" s="199">
        <f>IF(AND('Mail Merge'!$I230="Did Not Meet",'Mail Merge'!$N230="Did Not Meet"),MIN(ABS('Mail Merge'!$H230),ABS('Mail Merge'!$M230),'Mail Merge'!$Q230),0)</f>
        <v>0</v>
      </c>
      <c r="V230" s="199" t="str">
        <f>IF(OR(IFERROR(SEARCH("Met",'Mail Merge'!$N230),0)&gt;0,IFERROR(SEARCH("Met",'Mail Merge'!$I230),0)&gt;0),"Met","Not Met")</f>
        <v>Met</v>
      </c>
    </row>
    <row r="231" spans="1:22" x14ac:dyDescent="0.35">
      <c r="A231" s="200" t="s">
        <v>53</v>
      </c>
      <c r="B231" s="201">
        <v>2006</v>
      </c>
      <c r="C231" s="201" t="s">
        <v>159</v>
      </c>
      <c r="D231" s="201">
        <v>22</v>
      </c>
      <c r="E231" s="201">
        <v>58213</v>
      </c>
      <c r="F231" s="201">
        <v>56332</v>
      </c>
      <c r="G231" s="201">
        <f>'Mail Merge'!$E231+'Mail Merge'!$F231</f>
        <v>114545</v>
      </c>
      <c r="H231" s="201">
        <v>0</v>
      </c>
      <c r="I231" s="201" t="s">
        <v>242</v>
      </c>
      <c r="J231" s="201">
        <f>IFERROR('Mail Merge'!$E231/'Mail Merge'!$D231,0)</f>
        <v>2646.0454545454545</v>
      </c>
      <c r="K231" s="201">
        <f>IFERROR('Mail Merge'!$F231/'Mail Merge'!$D231,0)</f>
        <v>2560.5454545454545</v>
      </c>
      <c r="L231" s="201">
        <f>IFERROR('Mail Merge'!$G231/'Mail Merge'!$D231,0)</f>
        <v>5206.590909090909</v>
      </c>
      <c r="M231" s="201">
        <v>0</v>
      </c>
      <c r="N231" s="201" t="s">
        <v>241</v>
      </c>
      <c r="O231" s="201">
        <v>25370.58</v>
      </c>
      <c r="P231" s="201">
        <v>0</v>
      </c>
      <c r="Q231" s="201">
        <f>'Mail Merge'!$O231+'Mail Merge'!$P231</f>
        <v>25370.58</v>
      </c>
      <c r="R231" s="201"/>
      <c r="S231" s="201">
        <v>4986.2</v>
      </c>
      <c r="T231" s="201">
        <v>4986.2</v>
      </c>
      <c r="U231" s="201">
        <f>IF(AND('Mail Merge'!$I231="Did Not Meet",'Mail Merge'!$N231="Did Not Meet"),MIN(ABS('Mail Merge'!$H231),ABS('Mail Merge'!$M231),'Mail Merge'!$Q231),0)</f>
        <v>0</v>
      </c>
      <c r="V231" s="201" t="str">
        <f>IF(OR(IFERROR(SEARCH("Met",'Mail Merge'!$N231),0)&gt;0,IFERROR(SEARCH("Met",'Mail Merge'!$I231),0)&gt;0),"Met","Not Met")</f>
        <v>Met</v>
      </c>
    </row>
    <row r="232" spans="1:22" x14ac:dyDescent="0.35">
      <c r="A232" s="198" t="s">
        <v>54</v>
      </c>
      <c r="B232" s="199">
        <v>1965</v>
      </c>
      <c r="C232" s="199" t="s">
        <v>159</v>
      </c>
      <c r="D232" s="199">
        <v>504</v>
      </c>
      <c r="E232" s="199">
        <v>3224804.08</v>
      </c>
      <c r="F232" s="199">
        <v>1518242.75</v>
      </c>
      <c r="G232" s="199">
        <f>'Mail Merge'!$E232+'Mail Merge'!$F232</f>
        <v>4743046.83</v>
      </c>
      <c r="H232" s="199">
        <v>0</v>
      </c>
      <c r="I232" s="199" t="s">
        <v>242</v>
      </c>
      <c r="J232" s="199">
        <f>IFERROR('Mail Merge'!$E232/'Mail Merge'!$D232,0)</f>
        <v>6398.4207936507937</v>
      </c>
      <c r="K232" s="199">
        <f>IFERROR('Mail Merge'!$F232/'Mail Merge'!$D232,0)</f>
        <v>3012.3864087301586</v>
      </c>
      <c r="L232" s="199">
        <f>IFERROR('Mail Merge'!$G232/'Mail Merge'!$D232,0)</f>
        <v>9410.8072023809527</v>
      </c>
      <c r="M232" s="199">
        <v>0</v>
      </c>
      <c r="N232" s="199" t="s">
        <v>241</v>
      </c>
      <c r="O232" s="199">
        <v>692316.98</v>
      </c>
      <c r="P232" s="199">
        <v>8766.2800000000007</v>
      </c>
      <c r="Q232" s="199">
        <f>'Mail Merge'!$O232+'Mail Merge'!$P232</f>
        <v>701083.26</v>
      </c>
      <c r="R232" s="199"/>
      <c r="S232" s="199">
        <v>180137.03</v>
      </c>
      <c r="T232" s="199">
        <v>180137.03</v>
      </c>
      <c r="U232" s="199">
        <f>IF(AND('Mail Merge'!$I232="Did Not Meet",'Mail Merge'!$N232="Did Not Meet"),MIN(ABS('Mail Merge'!$H232),ABS('Mail Merge'!$M232),'Mail Merge'!$Q232),0)</f>
        <v>0</v>
      </c>
      <c r="V232" s="199" t="str">
        <f>IF(OR(IFERROR(SEARCH("Met",'Mail Merge'!$N232),0)&gt;0,IFERROR(SEARCH("Met",'Mail Merge'!$I232),0)&gt;0),"Met","Not Met")</f>
        <v>Met</v>
      </c>
    </row>
    <row r="233" spans="1:22" x14ac:dyDescent="0.35">
      <c r="A233" s="200" t="s">
        <v>55</v>
      </c>
      <c r="B233" s="201">
        <v>1964</v>
      </c>
      <c r="C233" s="201" t="s">
        <v>159</v>
      </c>
      <c r="D233" s="201">
        <v>136</v>
      </c>
      <c r="E233" s="201">
        <v>590057.75</v>
      </c>
      <c r="F233" s="201">
        <v>411121.27</v>
      </c>
      <c r="G233" s="201">
        <f>'Mail Merge'!$E233+'Mail Merge'!$F233</f>
        <v>1001179.02</v>
      </c>
      <c r="H233" s="201">
        <v>0</v>
      </c>
      <c r="I233" s="201" t="s">
        <v>241</v>
      </c>
      <c r="J233" s="201">
        <f>IFERROR('Mail Merge'!$E233/'Mail Merge'!$D233,0)</f>
        <v>4338.6599264705883</v>
      </c>
      <c r="K233" s="201">
        <f>IFERROR('Mail Merge'!$F233/'Mail Merge'!$D233,0)</f>
        <v>3022.9505147058826</v>
      </c>
      <c r="L233" s="201">
        <f>IFERROR('Mail Merge'!$G233/'Mail Merge'!$D233,0)</f>
        <v>7361.6104411764709</v>
      </c>
      <c r="M233" s="201">
        <v>0</v>
      </c>
      <c r="N233" s="201" t="s">
        <v>240</v>
      </c>
      <c r="O233" s="201">
        <v>156165.79999999999</v>
      </c>
      <c r="P233" s="201">
        <v>1766.25</v>
      </c>
      <c r="Q233" s="201">
        <f>'Mail Merge'!$O233+'Mail Merge'!$P233</f>
        <v>157932.04999999999</v>
      </c>
      <c r="R233" s="201"/>
      <c r="S233" s="201"/>
      <c r="T233" s="201"/>
      <c r="U233" s="201">
        <f>IF(AND('Mail Merge'!$I233="Did Not Meet",'Mail Merge'!$N233="Did Not Meet"),MIN(ABS('Mail Merge'!$H233),ABS('Mail Merge'!$M233),'Mail Merge'!$Q233),0)</f>
        <v>0</v>
      </c>
      <c r="V233" s="201" t="str">
        <f>IF(OR(IFERROR(SEARCH("Met",'Mail Merge'!$N233),0)&gt;0,IFERROR(SEARCH("Met",'Mail Merge'!$I233),0)&gt;0),"Met","Not Met")</f>
        <v>Met</v>
      </c>
    </row>
    <row r="234" spans="1:22" x14ac:dyDescent="0.35">
      <c r="A234" s="198" t="s">
        <v>56</v>
      </c>
      <c r="B234" s="199">
        <v>2186</v>
      </c>
      <c r="C234" s="199" t="s">
        <v>159</v>
      </c>
      <c r="D234" s="199">
        <v>71</v>
      </c>
      <c r="E234" s="199">
        <v>411035.9</v>
      </c>
      <c r="F234" s="199">
        <v>313221</v>
      </c>
      <c r="G234" s="199">
        <f>'Mail Merge'!$E234+'Mail Merge'!$F234</f>
        <v>724256.9</v>
      </c>
      <c r="H234" s="199">
        <v>0</v>
      </c>
      <c r="I234" s="199" t="s">
        <v>241</v>
      </c>
      <c r="J234" s="199">
        <f>IFERROR('Mail Merge'!$E234/'Mail Merge'!$D234,0)</f>
        <v>5789.2380281690148</v>
      </c>
      <c r="K234" s="199">
        <f>IFERROR('Mail Merge'!$F234/'Mail Merge'!$D234,0)</f>
        <v>4411.5633802816901</v>
      </c>
      <c r="L234" s="199">
        <f>IFERROR('Mail Merge'!$G234/'Mail Merge'!$D234,0)</f>
        <v>10200.801408450705</v>
      </c>
      <c r="M234" s="199">
        <v>0</v>
      </c>
      <c r="N234" s="199" t="s">
        <v>240</v>
      </c>
      <c r="O234" s="199">
        <v>119714.65</v>
      </c>
      <c r="P234" s="199">
        <v>2092.6999999999998</v>
      </c>
      <c r="Q234" s="199">
        <f>'Mail Merge'!$O234+'Mail Merge'!$P234</f>
        <v>121807.34999999999</v>
      </c>
      <c r="R234" s="199"/>
      <c r="S234" s="199"/>
      <c r="T234" s="199"/>
      <c r="U234" s="199">
        <f>IF(AND('Mail Merge'!$I234="Did Not Meet",'Mail Merge'!$N234="Did Not Meet"),MIN(ABS('Mail Merge'!$H234),ABS('Mail Merge'!$M234),'Mail Merge'!$Q234),0)</f>
        <v>0</v>
      </c>
      <c r="V234" s="199" t="str">
        <f>IF(OR(IFERROR(SEARCH("Met",'Mail Merge'!$N234),0)&gt;0,IFERROR(SEARCH("Met",'Mail Merge'!$I234),0)&gt;0),"Met","Not Met")</f>
        <v>Met</v>
      </c>
    </row>
    <row r="235" spans="1:22" x14ac:dyDescent="0.35">
      <c r="A235" s="200" t="s">
        <v>58</v>
      </c>
      <c r="B235" s="201">
        <v>1901</v>
      </c>
      <c r="C235" s="201" t="s">
        <v>159</v>
      </c>
      <c r="D235" s="201">
        <v>638</v>
      </c>
      <c r="E235" s="201">
        <v>5982396</v>
      </c>
      <c r="F235" s="201">
        <v>582184</v>
      </c>
      <c r="G235" s="201">
        <f>'Mail Merge'!$E235+'Mail Merge'!$F235</f>
        <v>6564580</v>
      </c>
      <c r="H235" s="201">
        <v>0</v>
      </c>
      <c r="I235" s="201" t="s">
        <v>241</v>
      </c>
      <c r="J235" s="201">
        <f>IFERROR('Mail Merge'!$E235/'Mail Merge'!$D235,0)</f>
        <v>9376.7962382445148</v>
      </c>
      <c r="K235" s="201">
        <f>IFERROR('Mail Merge'!$F235/'Mail Merge'!$D235,0)</f>
        <v>912.51410658307213</v>
      </c>
      <c r="L235" s="201">
        <f>IFERROR('Mail Merge'!$G235/'Mail Merge'!$D235,0)</f>
        <v>10289.310344827587</v>
      </c>
      <c r="M235" s="201">
        <v>0</v>
      </c>
      <c r="N235" s="201" t="s">
        <v>241</v>
      </c>
      <c r="O235" s="201">
        <v>979305.68</v>
      </c>
      <c r="P235" s="201">
        <v>12222.3</v>
      </c>
      <c r="Q235" s="201">
        <f>'Mail Merge'!$O235+'Mail Merge'!$P235</f>
        <v>991527.9800000001</v>
      </c>
      <c r="R235" s="201"/>
      <c r="S235" s="201"/>
      <c r="T235" s="201"/>
      <c r="U235" s="201">
        <f>IF(AND('Mail Merge'!$I235="Did Not Meet",'Mail Merge'!$N235="Did Not Meet"),MIN(ABS('Mail Merge'!$H235),ABS('Mail Merge'!$M235),'Mail Merge'!$Q235),0)</f>
        <v>0</v>
      </c>
      <c r="V235" s="201" t="str">
        <f>IF(OR(IFERROR(SEARCH("Met",'Mail Merge'!$N235),0)&gt;0,IFERROR(SEARCH("Met",'Mail Merge'!$I235),0)&gt;0),"Met","Not Met")</f>
        <v>Met</v>
      </c>
    </row>
    <row r="236" spans="1:22" x14ac:dyDescent="0.35">
      <c r="A236" s="198" t="s">
        <v>59</v>
      </c>
      <c r="B236" s="199">
        <v>2216</v>
      </c>
      <c r="C236" s="199" t="s">
        <v>159</v>
      </c>
      <c r="D236" s="199">
        <v>31</v>
      </c>
      <c r="E236" s="199">
        <v>136004.04999999999</v>
      </c>
      <c r="F236" s="199">
        <v>64563.58</v>
      </c>
      <c r="G236" s="199">
        <f>'Mail Merge'!$E236+'Mail Merge'!$F236</f>
        <v>200567.63</v>
      </c>
      <c r="H236" s="199">
        <v>0</v>
      </c>
      <c r="I236" s="199" t="s">
        <v>241</v>
      </c>
      <c r="J236" s="199">
        <f>IFERROR('Mail Merge'!$E236/'Mail Merge'!$D236,0)</f>
        <v>4387.2274193548383</v>
      </c>
      <c r="K236" s="199">
        <f>IFERROR('Mail Merge'!$F236/'Mail Merge'!$D236,0)</f>
        <v>2082.6961290322583</v>
      </c>
      <c r="L236" s="199">
        <f>IFERROR('Mail Merge'!$G236/'Mail Merge'!$D236,0)</f>
        <v>6469.9235483870971</v>
      </c>
      <c r="M236" s="199">
        <v>0</v>
      </c>
      <c r="N236" s="199" t="s">
        <v>240</v>
      </c>
      <c r="O236" s="199">
        <v>47808.2</v>
      </c>
      <c r="P236" s="199">
        <v>1487.11</v>
      </c>
      <c r="Q236" s="199">
        <f>'Mail Merge'!$O236+'Mail Merge'!$P236</f>
        <v>49295.31</v>
      </c>
      <c r="R236" s="199"/>
      <c r="S236" s="199"/>
      <c r="T236" s="199"/>
      <c r="U236" s="199">
        <f>IF(AND('Mail Merge'!$I236="Did Not Meet",'Mail Merge'!$N236="Did Not Meet"),MIN(ABS('Mail Merge'!$H236),ABS('Mail Merge'!$M236),'Mail Merge'!$Q236),0)</f>
        <v>0</v>
      </c>
      <c r="V236" s="199" t="str">
        <f>IF(OR(IFERROR(SEARCH("Met",'Mail Merge'!$N236),0)&gt;0,IFERROR(SEARCH("Met",'Mail Merge'!$I236),0)&gt;0),"Met","Not Met")</f>
        <v>Met</v>
      </c>
    </row>
    <row r="237" spans="1:22" x14ac:dyDescent="0.35">
      <c r="A237" s="200" t="s">
        <v>60</v>
      </c>
      <c r="B237" s="201">
        <v>2086</v>
      </c>
      <c r="C237" s="201" t="s">
        <v>159</v>
      </c>
      <c r="D237" s="201">
        <v>238</v>
      </c>
      <c r="E237" s="201">
        <v>1686373.04</v>
      </c>
      <c r="F237" s="201">
        <v>656673</v>
      </c>
      <c r="G237" s="201">
        <f>'Mail Merge'!$E237+'Mail Merge'!$F237</f>
        <v>2343046.04</v>
      </c>
      <c r="H237" s="201">
        <v>0</v>
      </c>
      <c r="I237" s="201" t="s">
        <v>242</v>
      </c>
      <c r="J237" s="201">
        <f>IFERROR('Mail Merge'!$E237/'Mail Merge'!$D237,0)</f>
        <v>7085.6010084033614</v>
      </c>
      <c r="K237" s="201">
        <f>IFERROR('Mail Merge'!$F237/'Mail Merge'!$D237,0)</f>
        <v>2759.1302521008402</v>
      </c>
      <c r="L237" s="201">
        <f>IFERROR('Mail Merge'!$G237/'Mail Merge'!$D237,0)</f>
        <v>9844.7312605042025</v>
      </c>
      <c r="M237" s="201">
        <v>0</v>
      </c>
      <c r="N237" s="201" t="s">
        <v>242</v>
      </c>
      <c r="O237" s="201">
        <v>239572.97</v>
      </c>
      <c r="P237" s="201">
        <v>3051.71</v>
      </c>
      <c r="Q237" s="201">
        <f>'Mail Merge'!$O237+'Mail Merge'!$P237</f>
        <v>242624.68</v>
      </c>
      <c r="R237" s="201"/>
      <c r="S237" s="201">
        <v>81835.59</v>
      </c>
      <c r="T237" s="201">
        <v>81835.59</v>
      </c>
      <c r="U237" s="201">
        <f>IF(AND('Mail Merge'!$I237="Did Not Meet",'Mail Merge'!$N237="Did Not Meet"),MIN(ABS('Mail Merge'!$H237),ABS('Mail Merge'!$M237),'Mail Merge'!$Q237),0)</f>
        <v>0</v>
      </c>
      <c r="V237" s="201" t="str">
        <f>IF(OR(IFERROR(SEARCH("Met",'Mail Merge'!$N237),0)&gt;0,IFERROR(SEARCH("Met",'Mail Merge'!$I237),0)&gt;0),"Met","Not Met")</f>
        <v>Met</v>
      </c>
    </row>
    <row r="238" spans="1:22" x14ac:dyDescent="0.35">
      <c r="A238" s="198" t="s">
        <v>61</v>
      </c>
      <c r="B238" s="199">
        <v>1970</v>
      </c>
      <c r="C238" s="199" t="s">
        <v>159</v>
      </c>
      <c r="D238" s="199">
        <v>385</v>
      </c>
      <c r="E238" s="199">
        <v>2839712.67</v>
      </c>
      <c r="F238" s="199">
        <v>195864.34</v>
      </c>
      <c r="G238" s="199">
        <f>'Mail Merge'!$E238+'Mail Merge'!$F238</f>
        <v>3035577.01</v>
      </c>
      <c r="H238" s="199">
        <v>0</v>
      </c>
      <c r="I238" s="199" t="s">
        <v>242</v>
      </c>
      <c r="J238" s="199">
        <f>IFERROR('Mail Merge'!$E238/'Mail Merge'!$D238,0)</f>
        <v>7375.8770649350645</v>
      </c>
      <c r="K238" s="199">
        <f>IFERROR('Mail Merge'!$F238/'Mail Merge'!$D238,0)</f>
        <v>508.73854545454543</v>
      </c>
      <c r="L238" s="199">
        <f>IFERROR('Mail Merge'!$G238/'Mail Merge'!$D238,0)</f>
        <v>7884.6156103896101</v>
      </c>
      <c r="M238" s="199">
        <v>0</v>
      </c>
      <c r="N238" s="199" t="s">
        <v>241</v>
      </c>
      <c r="O238" s="199">
        <v>572479.82999999996</v>
      </c>
      <c r="P238" s="199">
        <v>4822.55</v>
      </c>
      <c r="Q238" s="199">
        <f>'Mail Merge'!$O238+'Mail Merge'!$P238</f>
        <v>577302.38</v>
      </c>
      <c r="R238" s="199"/>
      <c r="S238" s="199">
        <v>334311.09999999998</v>
      </c>
      <c r="T238" s="199">
        <v>334311.09999999998</v>
      </c>
      <c r="U238" s="199">
        <f>IF(AND('Mail Merge'!$I238="Did Not Meet",'Mail Merge'!$N238="Did Not Meet"),MIN(ABS('Mail Merge'!$H238),ABS('Mail Merge'!$M238),'Mail Merge'!$Q238),0)</f>
        <v>0</v>
      </c>
      <c r="V238" s="199" t="str">
        <f>IF(OR(IFERROR(SEARCH("Met",'Mail Merge'!$N238),0)&gt;0,IFERROR(SEARCH("Met",'Mail Merge'!$I238),0)&gt;0),"Met","Not Met")</f>
        <v>Met</v>
      </c>
    </row>
    <row r="239" spans="1:22" x14ac:dyDescent="0.35">
      <c r="A239" s="200" t="s">
        <v>62</v>
      </c>
      <c r="B239" s="201">
        <v>2089</v>
      </c>
      <c r="C239" s="201" t="s">
        <v>159</v>
      </c>
      <c r="D239" s="201">
        <v>50</v>
      </c>
      <c r="E239" s="201">
        <v>424033.54</v>
      </c>
      <c r="F239" s="201">
        <v>141056</v>
      </c>
      <c r="G239" s="201">
        <f>'Mail Merge'!$E239+'Mail Merge'!$F239</f>
        <v>565089.54</v>
      </c>
      <c r="H239" s="201">
        <v>0</v>
      </c>
      <c r="I239" s="201" t="s">
        <v>241</v>
      </c>
      <c r="J239" s="201">
        <f>IFERROR('Mail Merge'!$E239/'Mail Merge'!$D239,0)</f>
        <v>8480.6707999999999</v>
      </c>
      <c r="K239" s="201">
        <f>IFERROR('Mail Merge'!$F239/'Mail Merge'!$D239,0)</f>
        <v>2821.12</v>
      </c>
      <c r="L239" s="201">
        <f>IFERROR('Mail Merge'!$G239/'Mail Merge'!$D239,0)</f>
        <v>11301.790800000001</v>
      </c>
      <c r="M239" s="201">
        <v>0</v>
      </c>
      <c r="N239" s="201" t="s">
        <v>241</v>
      </c>
      <c r="O239" s="201">
        <v>69448.990000000005</v>
      </c>
      <c r="P239" s="201">
        <v>743.52</v>
      </c>
      <c r="Q239" s="201">
        <f>'Mail Merge'!$O239+'Mail Merge'!$P239</f>
        <v>70192.510000000009</v>
      </c>
      <c r="R239" s="201"/>
      <c r="S239" s="201"/>
      <c r="T239" s="201"/>
      <c r="U239" s="201">
        <f>IF(AND('Mail Merge'!$I239="Did Not Meet",'Mail Merge'!$N239="Did Not Meet"),MIN(ABS('Mail Merge'!$H239),ABS('Mail Merge'!$M239),'Mail Merge'!$Q239),0)</f>
        <v>0</v>
      </c>
      <c r="V239" s="201" t="str">
        <f>IF(OR(IFERROR(SEARCH("Met",'Mail Merge'!$N239),0)&gt;0,IFERROR(SEARCH("Met",'Mail Merge'!$I239),0)&gt;0),"Met","Not Met")</f>
        <v>Met</v>
      </c>
    </row>
    <row r="240" spans="1:22" x14ac:dyDescent="0.35">
      <c r="A240" s="198" t="s">
        <v>63</v>
      </c>
      <c r="B240" s="199">
        <v>2050</v>
      </c>
      <c r="C240" s="199" t="s">
        <v>159</v>
      </c>
      <c r="D240" s="199">
        <v>63</v>
      </c>
      <c r="E240" s="199">
        <v>487393.17</v>
      </c>
      <c r="F240" s="199">
        <v>192144.3</v>
      </c>
      <c r="G240" s="199">
        <f>'Mail Merge'!$E240+'Mail Merge'!$F240</f>
        <v>679537.47</v>
      </c>
      <c r="H240" s="199">
        <v>0</v>
      </c>
      <c r="I240" s="199" t="s">
        <v>242</v>
      </c>
      <c r="J240" s="199">
        <f>IFERROR('Mail Merge'!$E240/'Mail Merge'!$D240,0)</f>
        <v>7736.399523809524</v>
      </c>
      <c r="K240" s="199">
        <f>IFERROR('Mail Merge'!$F240/'Mail Merge'!$D240,0)</f>
        <v>3049.9095238095238</v>
      </c>
      <c r="L240" s="199">
        <f>IFERROR('Mail Merge'!$G240/'Mail Merge'!$D240,0)</f>
        <v>10786.309047619046</v>
      </c>
      <c r="M240" s="199">
        <v>0</v>
      </c>
      <c r="N240" s="199" t="s">
        <v>241</v>
      </c>
      <c r="O240" s="199">
        <v>107486.18</v>
      </c>
      <c r="P240" s="199">
        <v>3952.34</v>
      </c>
      <c r="Q240" s="199">
        <f>'Mail Merge'!$O240+'Mail Merge'!$P240</f>
        <v>111438.51999999999</v>
      </c>
      <c r="R240" s="199"/>
      <c r="S240" s="199">
        <v>10767.88</v>
      </c>
      <c r="T240" s="199">
        <v>10767.88</v>
      </c>
      <c r="U240" s="199">
        <f>IF(AND('Mail Merge'!$I240="Did Not Meet",'Mail Merge'!$N240="Did Not Meet"),MIN(ABS('Mail Merge'!$H240),ABS('Mail Merge'!$M240),'Mail Merge'!$Q240),0)</f>
        <v>0</v>
      </c>
      <c r="V240" s="199" t="str">
        <f>IF(OR(IFERROR(SEARCH("Met",'Mail Merge'!$N240),0)&gt;0,IFERROR(SEARCH("Met",'Mail Merge'!$I240),0)&gt;0),"Met","Not Met")</f>
        <v>Met</v>
      </c>
    </row>
    <row r="241" spans="1:22" x14ac:dyDescent="0.35">
      <c r="A241" s="200" t="s">
        <v>64</v>
      </c>
      <c r="B241" s="201">
        <v>2190</v>
      </c>
      <c r="C241" s="201" t="s">
        <v>159</v>
      </c>
      <c r="D241" s="201">
        <v>432</v>
      </c>
      <c r="E241" s="201">
        <v>3491661.74</v>
      </c>
      <c r="F241" s="201">
        <v>281491.56</v>
      </c>
      <c r="G241" s="201">
        <f>'Mail Merge'!$E241+'Mail Merge'!$F241</f>
        <v>3773153.3000000003</v>
      </c>
      <c r="H241" s="201">
        <v>0</v>
      </c>
      <c r="I241" s="201" t="s">
        <v>242</v>
      </c>
      <c r="J241" s="201">
        <f>IFERROR('Mail Merge'!$E241/'Mail Merge'!$D241,0)</f>
        <v>8082.5503240740745</v>
      </c>
      <c r="K241" s="201">
        <f>IFERROR('Mail Merge'!$F241/'Mail Merge'!$D241,0)</f>
        <v>651.6008333333333</v>
      </c>
      <c r="L241" s="201">
        <f>IFERROR('Mail Merge'!$G241/'Mail Merge'!$D241,0)</f>
        <v>8734.1511574074084</v>
      </c>
      <c r="M241" s="201">
        <v>0</v>
      </c>
      <c r="N241" s="201" t="s">
        <v>241</v>
      </c>
      <c r="O241" s="201">
        <v>482416.95</v>
      </c>
      <c r="P241" s="201">
        <v>6330.3</v>
      </c>
      <c r="Q241" s="201">
        <f>'Mail Merge'!$O241+'Mail Merge'!$P241</f>
        <v>488747.25</v>
      </c>
      <c r="R241" s="201"/>
      <c r="S241" s="201">
        <v>68888.820000000007</v>
      </c>
      <c r="T241" s="201">
        <v>68888.820000000007</v>
      </c>
      <c r="U241" s="201">
        <f>IF(AND('Mail Merge'!$I241="Did Not Meet",'Mail Merge'!$N241="Did Not Meet"),MIN(ABS('Mail Merge'!$H241),ABS('Mail Merge'!$M241),'Mail Merge'!$Q241),0)</f>
        <v>0</v>
      </c>
      <c r="V241" s="201" t="str">
        <f>IF(OR(IFERROR(SEARCH("Met",'Mail Merge'!$N241),0)&gt;0,IFERROR(SEARCH("Met",'Mail Merge'!$I241),0)&gt;0),"Met","Not Met")</f>
        <v>Met</v>
      </c>
    </row>
    <row r="242" spans="1:22" x14ac:dyDescent="0.35">
      <c r="A242" s="198" t="s">
        <v>65</v>
      </c>
      <c r="B242" s="199">
        <v>2187</v>
      </c>
      <c r="C242" s="199" t="s">
        <v>159</v>
      </c>
      <c r="D242" s="199">
        <v>1386</v>
      </c>
      <c r="E242" s="199">
        <v>10400280.01</v>
      </c>
      <c r="F242" s="199">
        <v>2007382</v>
      </c>
      <c r="G242" s="199">
        <f>'Mail Merge'!$E242+'Mail Merge'!$F242</f>
        <v>12407662.01</v>
      </c>
      <c r="H242" s="199">
        <v>0</v>
      </c>
      <c r="I242" s="199" t="s">
        <v>241</v>
      </c>
      <c r="J242" s="199">
        <f>IFERROR('Mail Merge'!$E242/'Mail Merge'!$D242,0)</f>
        <v>7503.8095310245308</v>
      </c>
      <c r="K242" s="199">
        <f>IFERROR('Mail Merge'!$F242/'Mail Merge'!$D242,0)</f>
        <v>1448.3275613275614</v>
      </c>
      <c r="L242" s="199">
        <f>IFERROR('Mail Merge'!$G242/'Mail Merge'!$D242,0)</f>
        <v>8952.1370923520917</v>
      </c>
      <c r="M242" s="199">
        <v>0</v>
      </c>
      <c r="N242" s="199" t="s">
        <v>241</v>
      </c>
      <c r="O242" s="199">
        <v>1704624.25</v>
      </c>
      <c r="P242" s="199">
        <v>11218.41</v>
      </c>
      <c r="Q242" s="199">
        <f>'Mail Merge'!$O242+'Mail Merge'!$P242</f>
        <v>1715842.66</v>
      </c>
      <c r="R242" s="199"/>
      <c r="S242" s="199"/>
      <c r="T242" s="199"/>
      <c r="U242" s="199">
        <f>IF(AND('Mail Merge'!$I242="Did Not Meet",'Mail Merge'!$N242="Did Not Meet"),MIN(ABS('Mail Merge'!$H242),ABS('Mail Merge'!$M242),'Mail Merge'!$Q242),0)</f>
        <v>0</v>
      </c>
      <c r="V242" s="199" t="str">
        <f>IF(OR(IFERROR(SEARCH("Met",'Mail Merge'!$N242),0)&gt;0,IFERROR(SEARCH("Met",'Mail Merge'!$I242),0)&gt;0),"Met","Not Met")</f>
        <v>Met</v>
      </c>
    </row>
    <row r="243" spans="1:22" x14ac:dyDescent="0.35">
      <c r="A243" s="200" t="s">
        <v>66</v>
      </c>
      <c r="B243" s="201">
        <v>2253</v>
      </c>
      <c r="C243" s="201" t="s">
        <v>159</v>
      </c>
      <c r="D243" s="201">
        <v>127</v>
      </c>
      <c r="E243" s="201">
        <v>840441.41</v>
      </c>
      <c r="F243" s="201">
        <v>39915.5</v>
      </c>
      <c r="G243" s="201">
        <f>'Mail Merge'!$E243+'Mail Merge'!$F243</f>
        <v>880356.91</v>
      </c>
      <c r="H243" s="201">
        <v>0</v>
      </c>
      <c r="I243" s="201" t="s">
        <v>241</v>
      </c>
      <c r="J243" s="201">
        <f>IFERROR('Mail Merge'!$E243/'Mail Merge'!$D243,0)</f>
        <v>6617.6488976377959</v>
      </c>
      <c r="K243" s="201">
        <f>IFERROR('Mail Merge'!$F243/'Mail Merge'!$D243,0)</f>
        <v>314.29527559055117</v>
      </c>
      <c r="L243" s="201">
        <f>IFERROR('Mail Merge'!$G243/'Mail Merge'!$D243,0)</f>
        <v>6931.9441732283467</v>
      </c>
      <c r="M243" s="201">
        <v>0</v>
      </c>
      <c r="N243" s="201" t="s">
        <v>240</v>
      </c>
      <c r="O243" s="201">
        <v>152282.32999999999</v>
      </c>
      <c r="P243" s="201">
        <v>2236.25</v>
      </c>
      <c r="Q243" s="201">
        <f>'Mail Merge'!$O243+'Mail Merge'!$P243</f>
        <v>154518.57999999999</v>
      </c>
      <c r="R243" s="201"/>
      <c r="S243" s="201"/>
      <c r="T243" s="201"/>
      <c r="U243" s="201">
        <f>IF(AND('Mail Merge'!$I243="Did Not Meet",'Mail Merge'!$N243="Did Not Meet"),MIN(ABS('Mail Merge'!$H243),ABS('Mail Merge'!$M243),'Mail Merge'!$Q243),0)</f>
        <v>0</v>
      </c>
      <c r="V243" s="201" t="str">
        <f>IF(OR(IFERROR(SEARCH("Met",'Mail Merge'!$N243),0)&gt;0,IFERROR(SEARCH("Met",'Mail Merge'!$I243),0)&gt;0),"Met","Not Met")</f>
        <v>Met</v>
      </c>
    </row>
    <row r="244" spans="1:22" x14ac:dyDescent="0.35">
      <c r="A244" s="198" t="s">
        <v>67</v>
      </c>
      <c r="B244" s="199">
        <v>2011</v>
      </c>
      <c r="C244" s="199" t="s">
        <v>159</v>
      </c>
      <c r="D244" s="199">
        <v>8</v>
      </c>
      <c r="E244" s="199">
        <v>5233.78</v>
      </c>
      <c r="F244" s="199">
        <v>108748.35</v>
      </c>
      <c r="G244" s="199">
        <f>'Mail Merge'!$E244+'Mail Merge'!$F244</f>
        <v>113982.13</v>
      </c>
      <c r="H244" s="199">
        <v>0</v>
      </c>
      <c r="I244" s="199" t="s">
        <v>241</v>
      </c>
      <c r="J244" s="199">
        <f>IFERROR('Mail Merge'!$E244/'Mail Merge'!$D244,0)</f>
        <v>654.22249999999997</v>
      </c>
      <c r="K244" s="199">
        <f>IFERROR('Mail Merge'!$F244/'Mail Merge'!$D244,0)</f>
        <v>13593.543750000001</v>
      </c>
      <c r="L244" s="199">
        <f>IFERROR('Mail Merge'!$G244/'Mail Merge'!$D244,0)</f>
        <v>14247.766250000001</v>
      </c>
      <c r="M244" s="199">
        <v>0</v>
      </c>
      <c r="N244" s="199" t="s">
        <v>241</v>
      </c>
      <c r="O244" s="199">
        <v>10371.370000000001</v>
      </c>
      <c r="P244" s="199">
        <v>1947.9</v>
      </c>
      <c r="Q244" s="199">
        <f>'Mail Merge'!$O244+'Mail Merge'!$P244</f>
        <v>12319.27</v>
      </c>
      <c r="R244" s="199"/>
      <c r="S244" s="199"/>
      <c r="T244" s="199"/>
      <c r="U244" s="199">
        <f>IF(AND('Mail Merge'!$I244="Did Not Meet",'Mail Merge'!$N244="Did Not Meet"),MIN(ABS('Mail Merge'!$H244),ABS('Mail Merge'!$M244),'Mail Merge'!$Q244),0)</f>
        <v>0</v>
      </c>
      <c r="V244" s="199" t="str">
        <f>IF(OR(IFERROR(SEARCH("Met",'Mail Merge'!$N244),0)&gt;0,IFERROR(SEARCH("Met",'Mail Merge'!$I244),0)&gt;0),"Met","Not Met")</f>
        <v>Met</v>
      </c>
    </row>
    <row r="245" spans="1:22" x14ac:dyDescent="0.35">
      <c r="A245" s="200" t="s">
        <v>68</v>
      </c>
      <c r="B245" s="201">
        <v>2017</v>
      </c>
      <c r="C245" s="201" t="s">
        <v>159</v>
      </c>
      <c r="D245" s="201">
        <v>3</v>
      </c>
      <c r="E245" s="201">
        <v>6680</v>
      </c>
      <c r="F245" s="201">
        <v>2450</v>
      </c>
      <c r="G245" s="201">
        <f>'Mail Merge'!$E245+'Mail Merge'!$F245</f>
        <v>9130</v>
      </c>
      <c r="H245" s="201">
        <v>0</v>
      </c>
      <c r="I245" s="201" t="s">
        <v>241</v>
      </c>
      <c r="J245" s="201">
        <f>IFERROR('Mail Merge'!$E245/'Mail Merge'!$D245,0)</f>
        <v>2226.6666666666665</v>
      </c>
      <c r="K245" s="201">
        <f>IFERROR('Mail Merge'!$F245/'Mail Merge'!$D245,0)</f>
        <v>816.66666666666663</v>
      </c>
      <c r="L245" s="201">
        <f>IFERROR('Mail Merge'!$G245/'Mail Merge'!$D245,0)</f>
        <v>3043.3333333333335</v>
      </c>
      <c r="M245" s="201">
        <v>0</v>
      </c>
      <c r="N245" s="201" t="s">
        <v>241</v>
      </c>
      <c r="O245" s="201">
        <v>2532.46</v>
      </c>
      <c r="P245" s="201">
        <v>1.99</v>
      </c>
      <c r="Q245" s="201">
        <f>'Mail Merge'!$O245+'Mail Merge'!$P245</f>
        <v>2534.4499999999998</v>
      </c>
      <c r="R245" s="201"/>
      <c r="S245" s="201"/>
      <c r="T245" s="201"/>
      <c r="U245" s="201">
        <f>IF(AND('Mail Merge'!$I245="Did Not Meet",'Mail Merge'!$N245="Did Not Meet"),MIN(ABS('Mail Merge'!$H245),ABS('Mail Merge'!$M245),'Mail Merge'!$Q245),0)</f>
        <v>0</v>
      </c>
      <c r="V245" s="201" t="str">
        <f>IF(OR(IFERROR(SEARCH("Met",'Mail Merge'!$N245),0)&gt;0,IFERROR(SEARCH("Met",'Mail Merge'!$I245),0)&gt;0),"Met","Not Met")</f>
        <v>Met</v>
      </c>
    </row>
    <row r="246" spans="1:22" x14ac:dyDescent="0.35">
      <c r="A246" s="198" t="s">
        <v>69</v>
      </c>
      <c r="B246" s="199">
        <v>2021</v>
      </c>
      <c r="C246" s="199" t="s">
        <v>159</v>
      </c>
      <c r="D246" s="199">
        <v>0</v>
      </c>
      <c r="E246" s="199">
        <v>2600</v>
      </c>
      <c r="F246" s="199">
        <v>190</v>
      </c>
      <c r="G246" s="199">
        <f>'Mail Merge'!$E246+'Mail Merge'!$F246</f>
        <v>2790</v>
      </c>
      <c r="H246" s="199">
        <v>0</v>
      </c>
      <c r="I246" s="199"/>
      <c r="J246" s="199">
        <f>IFERROR('Mail Merge'!$E246/'Mail Merge'!$D246,0)</f>
        <v>0</v>
      </c>
      <c r="K246" s="199">
        <f>IFERROR('Mail Merge'!$F246/'Mail Merge'!$D246,0)</f>
        <v>0</v>
      </c>
      <c r="L246" s="199">
        <f>IFERROR('Mail Merge'!$G246/'Mail Merge'!$D246,0)</f>
        <v>0</v>
      </c>
      <c r="M246" s="199">
        <v>0</v>
      </c>
      <c r="N246" s="199"/>
      <c r="O246" s="199">
        <v>978.25</v>
      </c>
      <c r="P246" s="199">
        <v>0.36</v>
      </c>
      <c r="Q246" s="199">
        <f>'Mail Merge'!$O246+'Mail Merge'!$P246</f>
        <v>978.61</v>
      </c>
      <c r="R246" s="199"/>
      <c r="S246" s="199"/>
      <c r="T246" s="199"/>
      <c r="U246" s="199">
        <f>IF(AND('Mail Merge'!$I246="Did Not Meet",'Mail Merge'!$N246="Did Not Meet"),MIN(ABS('Mail Merge'!$H246),ABS('Mail Merge'!$M246),'Mail Merge'!$Q246),0)</f>
        <v>0</v>
      </c>
      <c r="V246" s="199" t="str">
        <f>IF(OR(IFERROR(SEARCH("Met",'Mail Merge'!$N246),0)&gt;0,IFERROR(SEARCH("Met",'Mail Merge'!$I246),0)&gt;0),"Met","Not Met")</f>
        <v>Not Met</v>
      </c>
    </row>
    <row r="247" spans="1:22" x14ac:dyDescent="0.35">
      <c r="A247" s="200" t="s">
        <v>70</v>
      </c>
      <c r="B247" s="201">
        <v>1993</v>
      </c>
      <c r="C247" s="201" t="s">
        <v>159</v>
      </c>
      <c r="D247" s="201">
        <v>25</v>
      </c>
      <c r="E247" s="201">
        <v>143786.20000000001</v>
      </c>
      <c r="F247" s="201">
        <v>38666.21</v>
      </c>
      <c r="G247" s="201">
        <f>'Mail Merge'!$E247+'Mail Merge'!$F247</f>
        <v>182452.41</v>
      </c>
      <c r="H247" s="201">
        <v>0</v>
      </c>
      <c r="I247" s="201" t="s">
        <v>241</v>
      </c>
      <c r="J247" s="201">
        <f>IFERROR('Mail Merge'!$E247/'Mail Merge'!$D247,0)</f>
        <v>5751.4480000000003</v>
      </c>
      <c r="K247" s="201">
        <f>IFERROR('Mail Merge'!$F247/'Mail Merge'!$D247,0)</f>
        <v>1546.6484</v>
      </c>
      <c r="L247" s="201">
        <f>IFERROR('Mail Merge'!$G247/'Mail Merge'!$D247,0)</f>
        <v>7298.0964000000004</v>
      </c>
      <c r="M247" s="201">
        <v>0</v>
      </c>
      <c r="N247" s="201" t="s">
        <v>240</v>
      </c>
      <c r="O247" s="201">
        <v>53740.06</v>
      </c>
      <c r="P247" s="201">
        <v>745.45</v>
      </c>
      <c r="Q247" s="201">
        <f>'Mail Merge'!$O247+'Mail Merge'!$P247</f>
        <v>54485.509999999995</v>
      </c>
      <c r="R247" s="201"/>
      <c r="S247" s="201"/>
      <c r="T247" s="201"/>
      <c r="U247" s="201">
        <f>IF(AND('Mail Merge'!$I247="Did Not Meet",'Mail Merge'!$N247="Did Not Meet"),MIN(ABS('Mail Merge'!$H247),ABS('Mail Merge'!$M247),'Mail Merge'!$Q247),0)</f>
        <v>0</v>
      </c>
      <c r="V247" s="201" t="str">
        <f>IF(OR(IFERROR(SEARCH("Met",'Mail Merge'!$N247),0)&gt;0,IFERROR(SEARCH("Met",'Mail Merge'!$I247),0)&gt;0),"Met","Not Met")</f>
        <v>Met</v>
      </c>
    </row>
    <row r="248" spans="1:22" x14ac:dyDescent="0.35">
      <c r="A248" s="198" t="s">
        <v>71</v>
      </c>
      <c r="B248" s="199">
        <v>1991</v>
      </c>
      <c r="C248" s="199" t="s">
        <v>159</v>
      </c>
      <c r="D248" s="199">
        <v>682</v>
      </c>
      <c r="E248" s="199">
        <v>4568161.05</v>
      </c>
      <c r="F248" s="199">
        <v>1297083.9099999999</v>
      </c>
      <c r="G248" s="199">
        <f>'Mail Merge'!$E248+'Mail Merge'!$F248</f>
        <v>5865244.96</v>
      </c>
      <c r="H248" s="199">
        <v>0</v>
      </c>
      <c r="I248" s="199" t="s">
        <v>241</v>
      </c>
      <c r="J248" s="199">
        <f>IFERROR('Mail Merge'!$E248/'Mail Merge'!$D248,0)</f>
        <v>6698.1833577712605</v>
      </c>
      <c r="K248" s="199">
        <f>IFERROR('Mail Merge'!$F248/'Mail Merge'!$D248,0)</f>
        <v>1901.8825659824045</v>
      </c>
      <c r="L248" s="199">
        <f>IFERROR('Mail Merge'!$G248/'Mail Merge'!$D248,0)</f>
        <v>8600.0659237536656</v>
      </c>
      <c r="M248" s="199">
        <v>0</v>
      </c>
      <c r="N248" s="199" t="s">
        <v>241</v>
      </c>
      <c r="O248" s="199">
        <v>1050073.79</v>
      </c>
      <c r="P248" s="199">
        <v>7463.69</v>
      </c>
      <c r="Q248" s="199">
        <f>'Mail Merge'!$O248+'Mail Merge'!$P248</f>
        <v>1057537.48</v>
      </c>
      <c r="R248" s="199"/>
      <c r="S248" s="199"/>
      <c r="T248" s="199"/>
      <c r="U248" s="199">
        <f>IF(AND('Mail Merge'!$I248="Did Not Meet",'Mail Merge'!$N248="Did Not Meet"),MIN(ABS('Mail Merge'!$H248),ABS('Mail Merge'!$M248),'Mail Merge'!$Q248),0)</f>
        <v>0</v>
      </c>
      <c r="V248" s="199" t="str">
        <f>IF(OR(IFERROR(SEARCH("Met",'Mail Merge'!$N248),0)&gt;0,IFERROR(SEARCH("Met",'Mail Merge'!$I248),0)&gt;0),"Met","Not Met")</f>
        <v>Met</v>
      </c>
    </row>
    <row r="249" spans="1:22" x14ac:dyDescent="0.35">
      <c r="A249" s="200" t="s">
        <v>72</v>
      </c>
      <c r="B249" s="201">
        <v>2019</v>
      </c>
      <c r="C249" s="201" t="s">
        <v>159</v>
      </c>
      <c r="D249" s="201">
        <v>2</v>
      </c>
      <c r="E249" s="201">
        <v>9799.61</v>
      </c>
      <c r="F249" s="201">
        <v>2070</v>
      </c>
      <c r="G249" s="201">
        <f>'Mail Merge'!$E249+'Mail Merge'!$F249</f>
        <v>11869.61</v>
      </c>
      <c r="H249" s="201">
        <v>0</v>
      </c>
      <c r="I249" s="201" t="s">
        <v>242</v>
      </c>
      <c r="J249" s="201">
        <f>IFERROR('Mail Merge'!$E249/'Mail Merge'!$D249,0)</f>
        <v>4899.8050000000003</v>
      </c>
      <c r="K249" s="201">
        <f>IFERROR('Mail Merge'!$F249/'Mail Merge'!$D249,0)</f>
        <v>1035</v>
      </c>
      <c r="L249" s="201">
        <f>IFERROR('Mail Merge'!$G249/'Mail Merge'!$D249,0)</f>
        <v>5934.8050000000003</v>
      </c>
      <c r="M249" s="201">
        <v>0</v>
      </c>
      <c r="N249" s="201" t="s">
        <v>241</v>
      </c>
      <c r="O249" s="201">
        <v>2309.1</v>
      </c>
      <c r="P249" s="201">
        <v>1</v>
      </c>
      <c r="Q249" s="201">
        <f>'Mail Merge'!$O249+'Mail Merge'!$P249</f>
        <v>2310.1</v>
      </c>
      <c r="R249" s="201"/>
      <c r="S249" s="201">
        <v>4435.8</v>
      </c>
      <c r="T249" s="201">
        <v>4435.8</v>
      </c>
      <c r="U249" s="201">
        <f>IF(AND('Mail Merge'!$I249="Did Not Meet",'Mail Merge'!$N249="Did Not Meet"),MIN(ABS('Mail Merge'!$H249),ABS('Mail Merge'!$M249),'Mail Merge'!$Q249),0)</f>
        <v>0</v>
      </c>
      <c r="V249" s="201" t="str">
        <f>IF(OR(IFERROR(SEARCH("Met",'Mail Merge'!$N249),0)&gt;0,IFERROR(SEARCH("Met",'Mail Merge'!$I249),0)&gt;0),"Met","Not Met")</f>
        <v>Met</v>
      </c>
    </row>
    <row r="250" spans="1:22" x14ac:dyDescent="0.35">
      <c r="A250" s="198" t="s">
        <v>73</v>
      </c>
      <c r="B250" s="199">
        <v>2229</v>
      </c>
      <c r="C250" s="199" t="s">
        <v>159</v>
      </c>
      <c r="D250" s="199">
        <v>32</v>
      </c>
      <c r="E250" s="199">
        <v>185214.87</v>
      </c>
      <c r="F250" s="199">
        <v>0</v>
      </c>
      <c r="G250" s="199">
        <f>'Mail Merge'!$E250+'Mail Merge'!$F250</f>
        <v>185214.87</v>
      </c>
      <c r="H250" s="199">
        <v>0</v>
      </c>
      <c r="I250" s="199" t="s">
        <v>241</v>
      </c>
      <c r="J250" s="199">
        <f>IFERROR('Mail Merge'!$E250/'Mail Merge'!$D250,0)</f>
        <v>5787.9646874999999</v>
      </c>
      <c r="K250" s="199">
        <f>IFERROR('Mail Merge'!$F250/'Mail Merge'!$D250,0)</f>
        <v>0</v>
      </c>
      <c r="L250" s="199">
        <f>IFERROR('Mail Merge'!$G250/'Mail Merge'!$D250,0)</f>
        <v>5787.9646874999999</v>
      </c>
      <c r="M250" s="199">
        <v>0</v>
      </c>
      <c r="N250" s="199" t="s">
        <v>241</v>
      </c>
      <c r="O250" s="199">
        <v>36261.56</v>
      </c>
      <c r="P250" s="199">
        <v>890.48</v>
      </c>
      <c r="Q250" s="199">
        <f>'Mail Merge'!$O250+'Mail Merge'!$P250</f>
        <v>37152.04</v>
      </c>
      <c r="R250" s="199"/>
      <c r="S250" s="199">
        <v>32449.040000000001</v>
      </c>
      <c r="T250" s="199">
        <v>32449.040000000001</v>
      </c>
      <c r="U250" s="199">
        <f>IF(AND('Mail Merge'!$I250="Did Not Meet",'Mail Merge'!$N250="Did Not Meet"),MIN(ABS('Mail Merge'!$H250),ABS('Mail Merge'!$M250),'Mail Merge'!$Q250),0)</f>
        <v>0</v>
      </c>
      <c r="V250" s="199" t="str">
        <f>IF(OR(IFERROR(SEARCH("Met",'Mail Merge'!$N250),0)&gt;0,IFERROR(SEARCH("Met",'Mail Merge'!$I250),0)&gt;0),"Met","Not Met")</f>
        <v>Met</v>
      </c>
    </row>
    <row r="251" spans="1:22" x14ac:dyDescent="0.35">
      <c r="A251" s="200" t="s">
        <v>74</v>
      </c>
      <c r="B251" s="201">
        <v>2043</v>
      </c>
      <c r="C251" s="201" t="s">
        <v>159</v>
      </c>
      <c r="D251" s="201">
        <v>496</v>
      </c>
      <c r="E251" s="201">
        <v>2959163.93</v>
      </c>
      <c r="F251" s="201">
        <v>872141.67</v>
      </c>
      <c r="G251" s="201">
        <f>'Mail Merge'!$E251+'Mail Merge'!$F251</f>
        <v>3831305.6</v>
      </c>
      <c r="H251" s="201">
        <v>0</v>
      </c>
      <c r="I251" s="201" t="s">
        <v>241</v>
      </c>
      <c r="J251" s="201">
        <f>IFERROR('Mail Merge'!$E251/'Mail Merge'!$D251,0)</f>
        <v>5966.0563104838711</v>
      </c>
      <c r="K251" s="201">
        <f>IFERROR('Mail Merge'!$F251/'Mail Merge'!$D251,0)</f>
        <v>1758.3501411290324</v>
      </c>
      <c r="L251" s="201">
        <f>IFERROR('Mail Merge'!$G251/'Mail Merge'!$D251,0)</f>
        <v>7724.4064516129038</v>
      </c>
      <c r="M251" s="201">
        <v>0</v>
      </c>
      <c r="N251" s="201" t="s">
        <v>240</v>
      </c>
      <c r="O251" s="201">
        <v>681642.29</v>
      </c>
      <c r="P251" s="201">
        <v>5572.1</v>
      </c>
      <c r="Q251" s="201">
        <f>'Mail Merge'!$O251+'Mail Merge'!$P251</f>
        <v>687214.39</v>
      </c>
      <c r="R251" s="201"/>
      <c r="S251" s="201"/>
      <c r="T251" s="201"/>
      <c r="U251" s="201">
        <f>IF(AND('Mail Merge'!$I251="Did Not Meet",'Mail Merge'!$N251="Did Not Meet"),MIN(ABS('Mail Merge'!$H251),ABS('Mail Merge'!$M251),'Mail Merge'!$Q251),0)</f>
        <v>0</v>
      </c>
      <c r="V251" s="201" t="str">
        <f>IF(OR(IFERROR(SEARCH("Met",'Mail Merge'!$N251),0)&gt;0,IFERROR(SEARCH("Met",'Mail Merge'!$I251),0)&gt;0),"Met","Not Met")</f>
        <v>Met</v>
      </c>
    </row>
    <row r="252" spans="1:22" x14ac:dyDescent="0.35">
      <c r="A252" s="198" t="s">
        <v>75</v>
      </c>
      <c r="B252" s="199">
        <v>2203</v>
      </c>
      <c r="C252" s="199" t="s">
        <v>159</v>
      </c>
      <c r="D252" s="199">
        <v>30</v>
      </c>
      <c r="E252" s="199">
        <v>120205.07</v>
      </c>
      <c r="F252" s="199">
        <v>48719.75</v>
      </c>
      <c r="G252" s="199">
        <f>'Mail Merge'!$E252+'Mail Merge'!$F252</f>
        <v>168924.82</v>
      </c>
      <c r="H252" s="199">
        <v>0</v>
      </c>
      <c r="I252" s="199" t="s">
        <v>240</v>
      </c>
      <c r="J252" s="199">
        <f>IFERROR('Mail Merge'!$E252/'Mail Merge'!$D252,0)</f>
        <v>4006.8356666666668</v>
      </c>
      <c r="K252" s="199">
        <f>IFERROR('Mail Merge'!$F252/'Mail Merge'!$D252,0)</f>
        <v>1623.9916666666666</v>
      </c>
      <c r="L252" s="199">
        <f>IFERROR('Mail Merge'!$G252/'Mail Merge'!$D252,0)</f>
        <v>5630.8273333333336</v>
      </c>
      <c r="M252" s="199">
        <v>0</v>
      </c>
      <c r="N252" s="199" t="s">
        <v>240</v>
      </c>
      <c r="O252" s="199">
        <v>41044.69</v>
      </c>
      <c r="P252" s="199">
        <v>256.11</v>
      </c>
      <c r="Q252" s="199">
        <f>'Mail Merge'!$O252+'Mail Merge'!$P252</f>
        <v>41300.800000000003</v>
      </c>
      <c r="R252" s="199"/>
      <c r="S252" s="199"/>
      <c r="T252" s="199"/>
      <c r="U252" s="199">
        <f>IF(AND('Mail Merge'!$I252="Did Not Meet",'Mail Merge'!$N252="Did Not Meet"),MIN(ABS('Mail Merge'!$H252),ABS('Mail Merge'!$M252),'Mail Merge'!$Q252),0)</f>
        <v>0</v>
      </c>
      <c r="V252" s="199" t="str">
        <f>IF(OR(IFERROR(SEARCH("Met",'Mail Merge'!$N252),0)&gt;0,IFERROR(SEARCH("Met",'Mail Merge'!$I252),0)&gt;0),"Met","Not Met")</f>
        <v>Not Met</v>
      </c>
    </row>
    <row r="253" spans="1:22" x14ac:dyDescent="0.35">
      <c r="A253" s="200" t="s">
        <v>76</v>
      </c>
      <c r="B253" s="201">
        <v>2217</v>
      </c>
      <c r="C253" s="201" t="s">
        <v>159</v>
      </c>
      <c r="D253" s="201">
        <v>72</v>
      </c>
      <c r="E253" s="201">
        <v>392193.57</v>
      </c>
      <c r="F253" s="201">
        <v>117640.38</v>
      </c>
      <c r="G253" s="201">
        <f>'Mail Merge'!$E253+'Mail Merge'!$F253</f>
        <v>509833.95</v>
      </c>
      <c r="H253" s="201">
        <v>0</v>
      </c>
      <c r="I253" s="201" t="s">
        <v>242</v>
      </c>
      <c r="J253" s="201">
        <f>IFERROR('Mail Merge'!$E253/'Mail Merge'!$D253,0)</f>
        <v>5447.1329166666665</v>
      </c>
      <c r="K253" s="201">
        <f>IFERROR('Mail Merge'!$F253/'Mail Merge'!$D253,0)</f>
        <v>1633.8941666666667</v>
      </c>
      <c r="L253" s="201">
        <f>IFERROR('Mail Merge'!$G253/'Mail Merge'!$D253,0)</f>
        <v>7081.0270833333334</v>
      </c>
      <c r="M253" s="201">
        <v>0</v>
      </c>
      <c r="N253" s="201" t="s">
        <v>241</v>
      </c>
      <c r="O253" s="201">
        <v>80646.12</v>
      </c>
      <c r="P253" s="201">
        <v>292.44</v>
      </c>
      <c r="Q253" s="201">
        <f>'Mail Merge'!$O253+'Mail Merge'!$P253</f>
        <v>80938.559999999998</v>
      </c>
      <c r="R253" s="201"/>
      <c r="S253" s="201">
        <v>97384.03</v>
      </c>
      <c r="T253" s="201">
        <v>97384.03</v>
      </c>
      <c r="U253" s="201">
        <f>IF(AND('Mail Merge'!$I253="Did Not Meet",'Mail Merge'!$N253="Did Not Meet"),MIN(ABS('Mail Merge'!$H253),ABS('Mail Merge'!$M253),'Mail Merge'!$Q253),0)</f>
        <v>0</v>
      </c>
      <c r="V253" s="201" t="str">
        <f>IF(OR(IFERROR(SEARCH("Met",'Mail Merge'!$N253),0)&gt;0,IFERROR(SEARCH("Met",'Mail Merge'!$I253),0)&gt;0),"Met","Not Met")</f>
        <v>Met</v>
      </c>
    </row>
    <row r="254" spans="1:22" x14ac:dyDescent="0.35">
      <c r="A254" s="198" t="s">
        <v>77</v>
      </c>
      <c r="B254" s="199">
        <v>1998</v>
      </c>
      <c r="C254" s="199" t="s">
        <v>159</v>
      </c>
      <c r="D254" s="199">
        <v>36</v>
      </c>
      <c r="E254" s="199">
        <v>90362.41</v>
      </c>
      <c r="F254" s="199">
        <v>35933.24</v>
      </c>
      <c r="G254" s="199">
        <f>'Mail Merge'!$E254+'Mail Merge'!$F254</f>
        <v>126295.65</v>
      </c>
      <c r="H254" s="199">
        <v>0</v>
      </c>
      <c r="I254" s="199" t="s">
        <v>240</v>
      </c>
      <c r="J254" s="199">
        <f>IFERROR('Mail Merge'!$E254/'Mail Merge'!$D254,0)</f>
        <v>2510.0669444444447</v>
      </c>
      <c r="K254" s="199">
        <f>IFERROR('Mail Merge'!$F254/'Mail Merge'!$D254,0)</f>
        <v>998.14555555555546</v>
      </c>
      <c r="L254" s="199">
        <f>IFERROR('Mail Merge'!$G254/'Mail Merge'!$D254,0)</f>
        <v>3508.2124999999996</v>
      </c>
      <c r="M254" s="199">
        <v>0</v>
      </c>
      <c r="N254" s="199" t="s">
        <v>240</v>
      </c>
      <c r="O254" s="199">
        <v>43803.6</v>
      </c>
      <c r="P254" s="199">
        <v>511.42</v>
      </c>
      <c r="Q254" s="199">
        <f>'Mail Merge'!$O254+'Mail Merge'!$P254</f>
        <v>44315.02</v>
      </c>
      <c r="R254" s="199"/>
      <c r="S254" s="199"/>
      <c r="T254" s="199"/>
      <c r="U254" s="199">
        <f>IF(AND('Mail Merge'!$I254="Did Not Meet",'Mail Merge'!$N254="Did Not Meet"),MIN(ABS('Mail Merge'!$H254),ABS('Mail Merge'!$M254),'Mail Merge'!$Q254),0)</f>
        <v>0</v>
      </c>
      <c r="V254" s="199" t="str">
        <f>IF(OR(IFERROR(SEARCH("Met",'Mail Merge'!$N254),0)&gt;0,IFERROR(SEARCH("Met",'Mail Merge'!$I254),0)&gt;0),"Met","Not Met")</f>
        <v>Not Met</v>
      </c>
    </row>
    <row r="255" spans="1:22" x14ac:dyDescent="0.35">
      <c r="A255" s="200" t="s">
        <v>78</v>
      </c>
      <c r="B255" s="201">
        <v>2221</v>
      </c>
      <c r="C255" s="201" t="s">
        <v>159</v>
      </c>
      <c r="D255" s="201">
        <v>54</v>
      </c>
      <c r="E255" s="201">
        <v>1561</v>
      </c>
      <c r="F255" s="201">
        <v>289324.27</v>
      </c>
      <c r="G255" s="201">
        <f>'Mail Merge'!$E255+'Mail Merge'!$F255</f>
        <v>290885.27</v>
      </c>
      <c r="H255" s="201">
        <v>0</v>
      </c>
      <c r="I255" s="201" t="s">
        <v>242</v>
      </c>
      <c r="J255" s="201">
        <f>IFERROR('Mail Merge'!$E255/'Mail Merge'!$D255,0)</f>
        <v>28.907407407407408</v>
      </c>
      <c r="K255" s="201">
        <f>IFERROR('Mail Merge'!$F255/'Mail Merge'!$D255,0)</f>
        <v>5357.8568518518523</v>
      </c>
      <c r="L255" s="201">
        <f>IFERROR('Mail Merge'!$G255/'Mail Merge'!$D255,0)</f>
        <v>5386.7642592592592</v>
      </c>
      <c r="M255" s="201">
        <v>0</v>
      </c>
      <c r="N255" s="201" t="s">
        <v>241</v>
      </c>
      <c r="O255" s="201">
        <v>87945.14</v>
      </c>
      <c r="P255" s="201">
        <v>352.72</v>
      </c>
      <c r="Q255" s="201">
        <f>'Mail Merge'!$O255+'Mail Merge'!$P255</f>
        <v>88297.86</v>
      </c>
      <c r="R255" s="201"/>
      <c r="S255" s="201">
        <v>79897.86</v>
      </c>
      <c r="T255" s="201">
        <v>79897.86</v>
      </c>
      <c r="U255" s="201">
        <f>IF(AND('Mail Merge'!$I255="Did Not Meet",'Mail Merge'!$N255="Did Not Meet"),MIN(ABS('Mail Merge'!$H255),ABS('Mail Merge'!$M255),'Mail Merge'!$Q255),0)</f>
        <v>0</v>
      </c>
      <c r="V255" s="201" t="str">
        <f>IF(OR(IFERROR(SEARCH("Met",'Mail Merge'!$N255),0)&gt;0,IFERROR(SEARCH("Met",'Mail Merge'!$I255),0)&gt;0),"Met","Not Met")</f>
        <v>Met</v>
      </c>
    </row>
    <row r="256" spans="1:22" x14ac:dyDescent="0.35">
      <c r="A256" s="198" t="s">
        <v>79</v>
      </c>
      <c r="B256" s="199">
        <v>1930</v>
      </c>
      <c r="C256" s="199" t="s">
        <v>159</v>
      </c>
      <c r="D256" s="199">
        <v>365</v>
      </c>
      <c r="E256" s="199">
        <v>2447331.54</v>
      </c>
      <c r="F256" s="199">
        <v>701081</v>
      </c>
      <c r="G256" s="199">
        <f>'Mail Merge'!$E256+'Mail Merge'!$F256</f>
        <v>3148412.54</v>
      </c>
      <c r="H256" s="199">
        <v>0</v>
      </c>
      <c r="I256" s="199" t="s">
        <v>241</v>
      </c>
      <c r="J256" s="199">
        <f>IFERROR('Mail Merge'!$E256/'Mail Merge'!$D256,0)</f>
        <v>6705.017917808219</v>
      </c>
      <c r="K256" s="199">
        <f>IFERROR('Mail Merge'!$F256/'Mail Merge'!$D256,0)</f>
        <v>1920.7698630136986</v>
      </c>
      <c r="L256" s="199">
        <f>IFERROR('Mail Merge'!$G256/'Mail Merge'!$D256,0)</f>
        <v>8625.7877808219182</v>
      </c>
      <c r="M256" s="199">
        <v>0</v>
      </c>
      <c r="N256" s="199" t="s">
        <v>240</v>
      </c>
      <c r="O256" s="199">
        <v>441748.4</v>
      </c>
      <c r="P256" s="199">
        <v>2988.94</v>
      </c>
      <c r="Q256" s="199">
        <f>'Mail Merge'!$O256+'Mail Merge'!$P256</f>
        <v>444737.34</v>
      </c>
      <c r="R256" s="199"/>
      <c r="S256" s="199"/>
      <c r="T256" s="199"/>
      <c r="U256" s="199">
        <f>IF(AND('Mail Merge'!$I256="Did Not Meet",'Mail Merge'!$N256="Did Not Meet"),MIN(ABS('Mail Merge'!$H256),ABS('Mail Merge'!$M256),'Mail Merge'!$Q256),0)</f>
        <v>0</v>
      </c>
      <c r="V256" s="199" t="str">
        <f>IF(OR(IFERROR(SEARCH("Met",'Mail Merge'!$N256),0)&gt;0,IFERROR(SEARCH("Met",'Mail Merge'!$I256),0)&gt;0),"Met","Not Met")</f>
        <v>Met</v>
      </c>
    </row>
    <row r="257" spans="1:22" x14ac:dyDescent="0.35">
      <c r="A257" s="200" t="s">
        <v>80</v>
      </c>
      <c r="B257" s="201">
        <v>2082</v>
      </c>
      <c r="C257" s="201" t="s">
        <v>159</v>
      </c>
      <c r="D257" s="201">
        <v>2367</v>
      </c>
      <c r="E257" s="201">
        <v>18314780.960000001</v>
      </c>
      <c r="F257" s="201">
        <v>3616441</v>
      </c>
      <c r="G257" s="201">
        <f>'Mail Merge'!$E257+'Mail Merge'!$F257</f>
        <v>21931221.960000001</v>
      </c>
      <c r="H257" s="201">
        <v>0</v>
      </c>
      <c r="I257" s="201" t="s">
        <v>241</v>
      </c>
      <c r="J257" s="201">
        <f>IFERROR('Mail Merge'!$E257/'Mail Merge'!$D257,0)</f>
        <v>7737.5500464723282</v>
      </c>
      <c r="K257" s="201">
        <f>IFERROR('Mail Merge'!$F257/'Mail Merge'!$D257,0)</f>
        <v>1527.8584706379384</v>
      </c>
      <c r="L257" s="201">
        <f>IFERROR('Mail Merge'!$G257/'Mail Merge'!$D257,0)</f>
        <v>9265.408517110267</v>
      </c>
      <c r="M257" s="201">
        <v>0</v>
      </c>
      <c r="N257" s="201" t="s">
        <v>241</v>
      </c>
      <c r="O257" s="201">
        <v>3007759.48</v>
      </c>
      <c r="P257" s="201">
        <v>28061.439999999999</v>
      </c>
      <c r="Q257" s="201">
        <f>'Mail Merge'!$O257+'Mail Merge'!$P257</f>
        <v>3035820.92</v>
      </c>
      <c r="R257" s="201"/>
      <c r="S257" s="201"/>
      <c r="T257" s="201"/>
      <c r="U257" s="201">
        <f>IF(AND('Mail Merge'!$I257="Did Not Meet",'Mail Merge'!$N257="Did Not Meet"),MIN(ABS('Mail Merge'!$H257),ABS('Mail Merge'!$M257),'Mail Merge'!$Q257),0)</f>
        <v>0</v>
      </c>
      <c r="V257" s="201" t="str">
        <f>IF(OR(IFERROR(SEARCH("Met",'Mail Merge'!$N257),0)&gt;0,IFERROR(SEARCH("Met",'Mail Merge'!$I257),0)&gt;0),"Met","Not Met")</f>
        <v>Met</v>
      </c>
    </row>
    <row r="258" spans="1:22" x14ac:dyDescent="0.35">
      <c r="A258" s="198" t="s">
        <v>81</v>
      </c>
      <c r="B258" s="199">
        <v>2193</v>
      </c>
      <c r="C258" s="199" t="s">
        <v>159</v>
      </c>
      <c r="D258" s="199">
        <v>39</v>
      </c>
      <c r="E258" s="199">
        <v>252128.49</v>
      </c>
      <c r="F258" s="199">
        <v>21890.97</v>
      </c>
      <c r="G258" s="199">
        <f>'Mail Merge'!$E258+'Mail Merge'!$F258</f>
        <v>274019.45999999996</v>
      </c>
      <c r="H258" s="199">
        <v>0</v>
      </c>
      <c r="I258" s="199" t="s">
        <v>239</v>
      </c>
      <c r="J258" s="199">
        <f>IFERROR('Mail Merge'!$E258/'Mail Merge'!$D258,0)</f>
        <v>6464.833076923077</v>
      </c>
      <c r="K258" s="199">
        <f>IFERROR('Mail Merge'!$F258/'Mail Merge'!$D258,0)</f>
        <v>561.30692307692311</v>
      </c>
      <c r="L258" s="199">
        <f>IFERROR('Mail Merge'!$G258/'Mail Merge'!$D258,0)</f>
        <v>7026.1399999999994</v>
      </c>
      <c r="M258" s="199">
        <v>0</v>
      </c>
      <c r="N258" s="199" t="s">
        <v>239</v>
      </c>
      <c r="O258" s="199">
        <v>37416.51</v>
      </c>
      <c r="P258" s="199">
        <v>0</v>
      </c>
      <c r="Q258" s="199">
        <f>'Mail Merge'!$O258+'Mail Merge'!$P258</f>
        <v>37416.51</v>
      </c>
      <c r="R258" s="199"/>
      <c r="S258" s="199"/>
      <c r="T258" s="199"/>
      <c r="U258" s="199">
        <f>IF(AND('Mail Merge'!$I258="Did Not Meet",'Mail Merge'!$N258="Did Not Meet"),MIN(ABS('Mail Merge'!$H258),ABS('Mail Merge'!$M258),'Mail Merge'!$Q258),0)</f>
        <v>0</v>
      </c>
      <c r="V258" s="199" t="str">
        <f>IF(OR(IFERROR(SEARCH("Met",'Mail Merge'!$N258),0)&gt;0,IFERROR(SEARCH("Met",'Mail Merge'!$I258),0)&gt;0),"Met","Not Met")</f>
        <v>Met</v>
      </c>
    </row>
    <row r="259" spans="1:22" x14ac:dyDescent="0.35">
      <c r="A259" s="200" t="s">
        <v>82</v>
      </c>
      <c r="B259" s="201">
        <v>2084</v>
      </c>
      <c r="C259" s="201" t="s">
        <v>159</v>
      </c>
      <c r="D259" s="201">
        <v>301</v>
      </c>
      <c r="E259" s="201">
        <v>2211640.41</v>
      </c>
      <c r="F259" s="201">
        <v>698480</v>
      </c>
      <c r="G259" s="201">
        <f>'Mail Merge'!$E259+'Mail Merge'!$F259</f>
        <v>2910120.41</v>
      </c>
      <c r="H259" s="201">
        <v>0</v>
      </c>
      <c r="I259" s="201" t="s">
        <v>241</v>
      </c>
      <c r="J259" s="201">
        <f>IFERROR('Mail Merge'!$E259/'Mail Merge'!$D259,0)</f>
        <v>7347.6425581395351</v>
      </c>
      <c r="K259" s="201">
        <f>IFERROR('Mail Merge'!$F259/'Mail Merge'!$D259,0)</f>
        <v>2320.5315614617939</v>
      </c>
      <c r="L259" s="201">
        <f>IFERROR('Mail Merge'!$G259/'Mail Merge'!$D259,0)</f>
        <v>9668.1741196013299</v>
      </c>
      <c r="M259" s="201">
        <v>0</v>
      </c>
      <c r="N259" s="201" t="s">
        <v>240</v>
      </c>
      <c r="O259" s="201">
        <v>282149.7</v>
      </c>
      <c r="P259" s="201">
        <v>1305.78</v>
      </c>
      <c r="Q259" s="201">
        <f>'Mail Merge'!$O259+'Mail Merge'!$P259</f>
        <v>283455.48000000004</v>
      </c>
      <c r="R259" s="201"/>
      <c r="S259" s="201"/>
      <c r="T259" s="201"/>
      <c r="U259" s="201">
        <f>IF(AND('Mail Merge'!$I259="Did Not Meet",'Mail Merge'!$N259="Did Not Meet"),MIN(ABS('Mail Merge'!$H259),ABS('Mail Merge'!$M259),'Mail Merge'!$Q259),0)</f>
        <v>0</v>
      </c>
      <c r="V259" s="201" t="str">
        <f>IF(OR(IFERROR(SEARCH("Met",'Mail Merge'!$N259),0)&gt;0,IFERROR(SEARCH("Met",'Mail Merge'!$I259),0)&gt;0),"Met","Not Met")</f>
        <v>Met</v>
      </c>
    </row>
    <row r="260" spans="1:22" x14ac:dyDescent="0.35">
      <c r="A260" s="198" t="s">
        <v>83</v>
      </c>
      <c r="B260" s="199">
        <v>2241</v>
      </c>
      <c r="C260" s="199" t="s">
        <v>159</v>
      </c>
      <c r="D260" s="199">
        <v>818</v>
      </c>
      <c r="E260" s="199">
        <v>9189295.8399999999</v>
      </c>
      <c r="F260" s="199">
        <v>769614</v>
      </c>
      <c r="G260" s="199">
        <f>'Mail Merge'!$E260+'Mail Merge'!$F260</f>
        <v>9958909.8399999999</v>
      </c>
      <c r="H260" s="199">
        <v>0</v>
      </c>
      <c r="I260" s="199" t="s">
        <v>241</v>
      </c>
      <c r="J260" s="199">
        <f>IFERROR('Mail Merge'!$E260/'Mail Merge'!$D260,0)</f>
        <v>11233.857995110024</v>
      </c>
      <c r="K260" s="199">
        <f>IFERROR('Mail Merge'!$F260/'Mail Merge'!$D260,0)</f>
        <v>940.84841075794623</v>
      </c>
      <c r="L260" s="199">
        <f>IFERROR('Mail Merge'!$G260/'Mail Merge'!$D260,0)</f>
        <v>12174.70640586797</v>
      </c>
      <c r="M260" s="199">
        <v>0</v>
      </c>
      <c r="N260" s="199" t="s">
        <v>241</v>
      </c>
      <c r="O260" s="199">
        <v>958771.21</v>
      </c>
      <c r="P260" s="199">
        <v>8165.55</v>
      </c>
      <c r="Q260" s="199">
        <f>'Mail Merge'!$O260+'Mail Merge'!$P260</f>
        <v>966936.76</v>
      </c>
      <c r="R260" s="199"/>
      <c r="S260" s="199"/>
      <c r="T260" s="199"/>
      <c r="U260" s="199">
        <f>IF(AND('Mail Merge'!$I260="Did Not Meet",'Mail Merge'!$N260="Did Not Meet"),MIN(ABS('Mail Merge'!$H260),ABS('Mail Merge'!$M260),'Mail Merge'!$Q260),0)</f>
        <v>0</v>
      </c>
      <c r="V260" s="199" t="str">
        <f>IF(OR(IFERROR(SEARCH("Met",'Mail Merge'!$N260),0)&gt;0,IFERROR(SEARCH("Met",'Mail Merge'!$I260),0)&gt;0),"Met","Not Met")</f>
        <v>Met</v>
      </c>
    </row>
    <row r="261" spans="1:22" x14ac:dyDescent="0.35">
      <c r="A261" s="200" t="s">
        <v>84</v>
      </c>
      <c r="B261" s="201">
        <v>2248</v>
      </c>
      <c r="C261" s="201" t="s">
        <v>159</v>
      </c>
      <c r="D261" s="201">
        <v>15</v>
      </c>
      <c r="E261" s="201">
        <v>64337.56</v>
      </c>
      <c r="F261" s="201">
        <v>23705</v>
      </c>
      <c r="G261" s="201">
        <f>'Mail Merge'!$E261+'Mail Merge'!$F261</f>
        <v>88042.559999999998</v>
      </c>
      <c r="H261" s="201">
        <v>0</v>
      </c>
      <c r="I261" s="201" t="s">
        <v>241</v>
      </c>
      <c r="J261" s="201">
        <f>IFERROR('Mail Merge'!$E261/'Mail Merge'!$D261,0)</f>
        <v>4289.1706666666669</v>
      </c>
      <c r="K261" s="201">
        <f>IFERROR('Mail Merge'!$F261/'Mail Merge'!$D261,0)</f>
        <v>1580.3333333333333</v>
      </c>
      <c r="L261" s="201">
        <f>IFERROR('Mail Merge'!$G261/'Mail Merge'!$D261,0)</f>
        <v>5869.5039999999999</v>
      </c>
      <c r="M261" s="201">
        <v>0</v>
      </c>
      <c r="N261" s="201" t="s">
        <v>240</v>
      </c>
      <c r="O261" s="201">
        <v>17645.62</v>
      </c>
      <c r="P261" s="201">
        <v>12.06</v>
      </c>
      <c r="Q261" s="201">
        <f>'Mail Merge'!$O261+'Mail Merge'!$P261</f>
        <v>17657.68</v>
      </c>
      <c r="R261" s="201"/>
      <c r="S261" s="201"/>
      <c r="T261" s="201"/>
      <c r="U261" s="201">
        <f>IF(AND('Mail Merge'!$I261="Did Not Meet",'Mail Merge'!$N261="Did Not Meet"),MIN(ABS('Mail Merge'!$H261),ABS('Mail Merge'!$M261),'Mail Merge'!$Q261),0)</f>
        <v>0</v>
      </c>
      <c r="V261" s="201" t="str">
        <f>IF(OR(IFERROR(SEARCH("Met",'Mail Merge'!$N261),0)&gt;0,IFERROR(SEARCH("Met",'Mail Merge'!$I261),0)&gt;0),"Met","Not Met")</f>
        <v>Met</v>
      </c>
    </row>
    <row r="262" spans="1:22" x14ac:dyDescent="0.35">
      <c r="A262" s="198" t="s">
        <v>85</v>
      </c>
      <c r="B262" s="199">
        <v>2020</v>
      </c>
      <c r="C262" s="199" t="s">
        <v>159</v>
      </c>
      <c r="D262" s="199">
        <v>1</v>
      </c>
      <c r="E262" s="199">
        <v>7870</v>
      </c>
      <c r="F262" s="199">
        <v>1880</v>
      </c>
      <c r="G262" s="199">
        <f>'Mail Merge'!$E262+'Mail Merge'!$F262</f>
        <v>9750</v>
      </c>
      <c r="H262" s="199">
        <v>0</v>
      </c>
      <c r="I262" s="199" t="s">
        <v>242</v>
      </c>
      <c r="J262" s="199">
        <f>IFERROR('Mail Merge'!$E262/'Mail Merge'!$D262,0)</f>
        <v>7870</v>
      </c>
      <c r="K262" s="199">
        <f>IFERROR('Mail Merge'!$F262/'Mail Merge'!$D262,0)</f>
        <v>1880</v>
      </c>
      <c r="L262" s="199">
        <f>IFERROR('Mail Merge'!$G262/'Mail Merge'!$D262,0)</f>
        <v>9750</v>
      </c>
      <c r="M262" s="199">
        <v>0</v>
      </c>
      <c r="N262" s="199" t="s">
        <v>241</v>
      </c>
      <c r="O262" s="199">
        <v>1383.06</v>
      </c>
      <c r="P262" s="199">
        <v>1.0900000000000001</v>
      </c>
      <c r="Q262" s="199">
        <f>'Mail Merge'!$O262+'Mail Merge'!$P262</f>
        <v>1384.1499999999999</v>
      </c>
      <c r="R262" s="199"/>
      <c r="S262" s="199">
        <v>5164</v>
      </c>
      <c r="T262" s="199">
        <v>5164</v>
      </c>
      <c r="U262" s="199">
        <f>IF(AND('Mail Merge'!$I262="Did Not Meet",'Mail Merge'!$N262="Did Not Meet"),MIN(ABS('Mail Merge'!$H262),ABS('Mail Merge'!$M262),'Mail Merge'!$Q262),0)</f>
        <v>0</v>
      </c>
      <c r="V262" s="199" t="str">
        <f>IF(OR(IFERROR(SEARCH("Met",'Mail Merge'!$N262),0)&gt;0,IFERROR(SEARCH("Met",'Mail Merge'!$I262),0)&gt;0),"Met","Not Met")</f>
        <v>Met</v>
      </c>
    </row>
    <row r="263" spans="1:22" x14ac:dyDescent="0.35">
      <c r="A263" s="200" t="s">
        <v>86</v>
      </c>
      <c r="B263" s="201">
        <v>2245</v>
      </c>
      <c r="C263" s="201" t="s">
        <v>159</v>
      </c>
      <c r="D263" s="201">
        <v>79</v>
      </c>
      <c r="E263" s="201">
        <v>686742.16</v>
      </c>
      <c r="F263" s="201">
        <v>50904</v>
      </c>
      <c r="G263" s="201">
        <f>'Mail Merge'!$E263+'Mail Merge'!$F263</f>
        <v>737646.16</v>
      </c>
      <c r="H263" s="201">
        <v>0</v>
      </c>
      <c r="I263" s="201" t="s">
        <v>241</v>
      </c>
      <c r="J263" s="201">
        <f>IFERROR('Mail Merge'!$E263/'Mail Merge'!$D263,0)</f>
        <v>8692.9387341772162</v>
      </c>
      <c r="K263" s="201">
        <f>IFERROR('Mail Merge'!$F263/'Mail Merge'!$D263,0)</f>
        <v>644.35443037974687</v>
      </c>
      <c r="L263" s="201">
        <f>IFERROR('Mail Merge'!$G263/'Mail Merge'!$D263,0)</f>
        <v>9337.2931645569624</v>
      </c>
      <c r="M263" s="201">
        <v>0</v>
      </c>
      <c r="N263" s="201" t="s">
        <v>240</v>
      </c>
      <c r="O263" s="201">
        <v>87935.4</v>
      </c>
      <c r="P263" s="201">
        <v>1099.3399999999999</v>
      </c>
      <c r="Q263" s="201">
        <f>'Mail Merge'!$O263+'Mail Merge'!$P263</f>
        <v>89034.739999999991</v>
      </c>
      <c r="R263" s="201"/>
      <c r="S263" s="201"/>
      <c r="T263" s="201"/>
      <c r="U263" s="201">
        <f>IF(AND('Mail Merge'!$I263="Did Not Meet",'Mail Merge'!$N263="Did Not Meet"),MIN(ABS('Mail Merge'!$H263),ABS('Mail Merge'!$M263),'Mail Merge'!$Q263),0)</f>
        <v>0</v>
      </c>
      <c r="V263" s="201" t="str">
        <f>IF(OR(IFERROR(SEARCH("Met",'Mail Merge'!$N263),0)&gt;0,IFERROR(SEARCH("Met",'Mail Merge'!$I263),0)&gt;0),"Met","Not Met")</f>
        <v>Met</v>
      </c>
    </row>
    <row r="264" spans="1:22" x14ac:dyDescent="0.35">
      <c r="A264" s="198" t="s">
        <v>87</v>
      </c>
      <c r="B264" s="199">
        <v>2137</v>
      </c>
      <c r="C264" s="199" t="s">
        <v>159</v>
      </c>
      <c r="D264" s="199">
        <v>160</v>
      </c>
      <c r="E264" s="199">
        <v>1222559.73</v>
      </c>
      <c r="F264" s="199">
        <v>183736.68</v>
      </c>
      <c r="G264" s="199">
        <f>'Mail Merge'!$E264+'Mail Merge'!$F264</f>
        <v>1406296.41</v>
      </c>
      <c r="H264" s="199">
        <v>0</v>
      </c>
      <c r="I264" s="199" t="s">
        <v>241</v>
      </c>
      <c r="J264" s="199">
        <f>IFERROR('Mail Merge'!$E264/'Mail Merge'!$D264,0)</f>
        <v>7640.9983124999999</v>
      </c>
      <c r="K264" s="199">
        <f>IFERROR('Mail Merge'!$F264/'Mail Merge'!$D264,0)</f>
        <v>1148.3542499999999</v>
      </c>
      <c r="L264" s="199">
        <f>IFERROR('Mail Merge'!$G264/'Mail Merge'!$D264,0)</f>
        <v>8789.3525625000002</v>
      </c>
      <c r="M264" s="199">
        <v>0</v>
      </c>
      <c r="N264" s="199" t="s">
        <v>241</v>
      </c>
      <c r="O264" s="199">
        <v>227263.34</v>
      </c>
      <c r="P264" s="199">
        <v>946.26</v>
      </c>
      <c r="Q264" s="199">
        <f>'Mail Merge'!$O264+'Mail Merge'!$P264</f>
        <v>228209.6</v>
      </c>
      <c r="R264" s="199"/>
      <c r="S264" s="199"/>
      <c r="T264" s="199"/>
      <c r="U264" s="199">
        <f>IF(AND('Mail Merge'!$I264="Did Not Meet",'Mail Merge'!$N264="Did Not Meet"),MIN(ABS('Mail Merge'!$H264),ABS('Mail Merge'!$M264),'Mail Merge'!$Q264),0)</f>
        <v>0</v>
      </c>
      <c r="V264" s="199" t="str">
        <f>IF(OR(IFERROR(SEARCH("Met",'Mail Merge'!$N264),0)&gt;0,IFERROR(SEARCH("Met",'Mail Merge'!$I264),0)&gt;0),"Met","Not Met")</f>
        <v>Met</v>
      </c>
    </row>
    <row r="265" spans="1:22" x14ac:dyDescent="0.35">
      <c r="A265" s="200" t="s">
        <v>88</v>
      </c>
      <c r="B265" s="201">
        <v>1931</v>
      </c>
      <c r="C265" s="201" t="s">
        <v>159</v>
      </c>
      <c r="D265" s="201">
        <v>274</v>
      </c>
      <c r="E265" s="201">
        <v>2203833.5299999998</v>
      </c>
      <c r="F265" s="201">
        <v>197729</v>
      </c>
      <c r="G265" s="201">
        <f>'Mail Merge'!$E265+'Mail Merge'!$F265</f>
        <v>2401562.5299999998</v>
      </c>
      <c r="H265" s="201">
        <v>0</v>
      </c>
      <c r="I265" s="201" t="s">
        <v>241</v>
      </c>
      <c r="J265" s="201">
        <f>IFERROR('Mail Merge'!$E265/'Mail Merge'!$D265,0)</f>
        <v>8043.18806569343</v>
      </c>
      <c r="K265" s="201">
        <f>IFERROR('Mail Merge'!$F265/'Mail Merge'!$D265,0)</f>
        <v>721.63868613138686</v>
      </c>
      <c r="L265" s="201">
        <f>IFERROR('Mail Merge'!$G265/'Mail Merge'!$D265,0)</f>
        <v>8764.8267518248176</v>
      </c>
      <c r="M265" s="201">
        <v>0</v>
      </c>
      <c r="N265" s="201" t="s">
        <v>241</v>
      </c>
      <c r="O265" s="201">
        <v>397897.81</v>
      </c>
      <c r="P265" s="201">
        <v>1635.3</v>
      </c>
      <c r="Q265" s="201">
        <f>'Mail Merge'!$O265+'Mail Merge'!$P265</f>
        <v>399533.11</v>
      </c>
      <c r="R265" s="201"/>
      <c r="S265" s="201"/>
      <c r="T265" s="201"/>
      <c r="U265" s="201">
        <f>IF(AND('Mail Merge'!$I265="Did Not Meet",'Mail Merge'!$N265="Did Not Meet"),MIN(ABS('Mail Merge'!$H265),ABS('Mail Merge'!$M265),'Mail Merge'!$Q265),0)</f>
        <v>0</v>
      </c>
      <c r="V265" s="201" t="str">
        <f>IF(OR(IFERROR(SEARCH("Met",'Mail Merge'!$N265),0)&gt;0,IFERROR(SEARCH("Met",'Mail Merge'!$I265),0)&gt;0),"Met","Not Met")</f>
        <v>Met</v>
      </c>
    </row>
    <row r="266" spans="1:22" x14ac:dyDescent="0.35">
      <c r="A266" s="198" t="s">
        <v>89</v>
      </c>
      <c r="B266" s="199">
        <v>2000</v>
      </c>
      <c r="C266" s="199" t="s">
        <v>159</v>
      </c>
      <c r="D266" s="199">
        <v>42</v>
      </c>
      <c r="E266" s="199">
        <v>365994.92</v>
      </c>
      <c r="F266" s="199">
        <v>67855.83</v>
      </c>
      <c r="G266" s="199">
        <f>'Mail Merge'!$E266+'Mail Merge'!$F266</f>
        <v>433850.75</v>
      </c>
      <c r="H266" s="199">
        <v>0</v>
      </c>
      <c r="I266" s="199" t="s">
        <v>242</v>
      </c>
      <c r="J266" s="199">
        <f>IFERROR('Mail Merge'!$E266/'Mail Merge'!$D266,0)</f>
        <v>8714.1647619047617</v>
      </c>
      <c r="K266" s="199">
        <f>IFERROR('Mail Merge'!$F266/'Mail Merge'!$D266,0)</f>
        <v>1615.615</v>
      </c>
      <c r="L266" s="199">
        <f>IFERROR('Mail Merge'!$G266/'Mail Merge'!$D266,0)</f>
        <v>10329.779761904761</v>
      </c>
      <c r="M266" s="199">
        <v>0</v>
      </c>
      <c r="N266" s="199" t="s">
        <v>241</v>
      </c>
      <c r="O266" s="199">
        <v>72311.95</v>
      </c>
      <c r="P266" s="199">
        <v>528.41999999999996</v>
      </c>
      <c r="Q266" s="199">
        <f>'Mail Merge'!$O266+'Mail Merge'!$P266</f>
        <v>72840.37</v>
      </c>
      <c r="R266" s="199"/>
      <c r="S266" s="199">
        <v>95921.48</v>
      </c>
      <c r="T266" s="199">
        <v>95921.48</v>
      </c>
      <c r="U266" s="199">
        <f>IF(AND('Mail Merge'!$I266="Did Not Meet",'Mail Merge'!$N266="Did Not Meet"),MIN(ABS('Mail Merge'!$H266),ABS('Mail Merge'!$M266),'Mail Merge'!$Q266),0)</f>
        <v>0</v>
      </c>
      <c r="V266" s="199" t="str">
        <f>IF(OR(IFERROR(SEARCH("Met",'Mail Merge'!$N266),0)&gt;0,IFERROR(SEARCH("Met",'Mail Merge'!$I266),0)&gt;0),"Met","Not Met")</f>
        <v>Met</v>
      </c>
    </row>
    <row r="267" spans="1:22" x14ac:dyDescent="0.35">
      <c r="A267" s="200" t="s">
        <v>90</v>
      </c>
      <c r="B267" s="201">
        <v>1992</v>
      </c>
      <c r="C267" s="201" t="s">
        <v>159</v>
      </c>
      <c r="D267" s="201">
        <v>82</v>
      </c>
      <c r="E267" s="201">
        <v>501568.58</v>
      </c>
      <c r="F267" s="201">
        <v>112056.18</v>
      </c>
      <c r="G267" s="201">
        <f>'Mail Merge'!$E267+'Mail Merge'!$F267</f>
        <v>613624.76</v>
      </c>
      <c r="H267" s="201">
        <v>0</v>
      </c>
      <c r="I267" s="201" t="s">
        <v>242</v>
      </c>
      <c r="J267" s="201">
        <f>IFERROR('Mail Merge'!$E267/'Mail Merge'!$D267,0)</f>
        <v>6116.6900000000005</v>
      </c>
      <c r="K267" s="201">
        <f>IFERROR('Mail Merge'!$F267/'Mail Merge'!$D267,0)</f>
        <v>1366.5387804878048</v>
      </c>
      <c r="L267" s="201">
        <f>IFERROR('Mail Merge'!$G267/'Mail Merge'!$D267,0)</f>
        <v>7483.2287804878051</v>
      </c>
      <c r="M267" s="201">
        <v>0</v>
      </c>
      <c r="N267" s="201" t="s">
        <v>242</v>
      </c>
      <c r="O267" s="201">
        <v>154114.44</v>
      </c>
      <c r="P267" s="201">
        <v>441.68</v>
      </c>
      <c r="Q267" s="201">
        <f>'Mail Merge'!$O267+'Mail Merge'!$P267</f>
        <v>154556.12</v>
      </c>
      <c r="R267" s="201"/>
      <c r="S267" s="201">
        <v>115334.04</v>
      </c>
      <c r="T267" s="201">
        <v>115334.04</v>
      </c>
      <c r="U267" s="201">
        <f>IF(AND('Mail Merge'!$I267="Did Not Meet",'Mail Merge'!$N267="Did Not Meet"),MIN(ABS('Mail Merge'!$H267),ABS('Mail Merge'!$M267),'Mail Merge'!$Q267),0)</f>
        <v>0</v>
      </c>
      <c r="V267" s="201" t="str">
        <f>IF(OR(IFERROR(SEARCH("Met",'Mail Merge'!$N267),0)&gt;0,IFERROR(SEARCH("Met",'Mail Merge'!$I267),0)&gt;0),"Met","Not Met")</f>
        <v>Met</v>
      </c>
    </row>
    <row r="268" spans="1:22" x14ac:dyDescent="0.35">
      <c r="A268" s="198" t="s">
        <v>91</v>
      </c>
      <c r="B268" s="199">
        <v>2054</v>
      </c>
      <c r="C268" s="199" t="s">
        <v>159</v>
      </c>
      <c r="D268" s="199">
        <v>613</v>
      </c>
      <c r="E268" s="199">
        <v>3779612.13</v>
      </c>
      <c r="F268" s="199">
        <v>161559.28</v>
      </c>
      <c r="G268" s="199">
        <f>'Mail Merge'!$E268+'Mail Merge'!$F268</f>
        <v>3941171.4099999997</v>
      </c>
      <c r="H268" s="199">
        <v>0</v>
      </c>
      <c r="I268" s="199" t="s">
        <v>241</v>
      </c>
      <c r="J268" s="199">
        <f>IFERROR('Mail Merge'!$E268/'Mail Merge'!$D268,0)</f>
        <v>6165.762039151713</v>
      </c>
      <c r="K268" s="199">
        <f>IFERROR('Mail Merge'!$F268/'Mail Merge'!$D268,0)</f>
        <v>263.55510603588908</v>
      </c>
      <c r="L268" s="199">
        <f>IFERROR('Mail Merge'!$G268/'Mail Merge'!$D268,0)</f>
        <v>6429.3171451876015</v>
      </c>
      <c r="M268" s="199">
        <v>0</v>
      </c>
      <c r="N268" s="199" t="s">
        <v>241</v>
      </c>
      <c r="O268" s="199">
        <v>793633.72</v>
      </c>
      <c r="P268" s="199">
        <v>7520.69</v>
      </c>
      <c r="Q268" s="199">
        <f>'Mail Merge'!$O268+'Mail Merge'!$P268</f>
        <v>801154.40999999992</v>
      </c>
      <c r="R268" s="199"/>
      <c r="S268" s="199"/>
      <c r="T268" s="199"/>
      <c r="U268" s="199">
        <f>IF(AND('Mail Merge'!$I268="Did Not Meet",'Mail Merge'!$N268="Did Not Meet"),MIN(ABS('Mail Merge'!$H268),ABS('Mail Merge'!$M268),'Mail Merge'!$Q268),0)</f>
        <v>0</v>
      </c>
      <c r="V268" s="199" t="str">
        <f>IF(OR(IFERROR(SEARCH("Met",'Mail Merge'!$N268),0)&gt;0,IFERROR(SEARCH("Met",'Mail Merge'!$I268),0)&gt;0),"Met","Not Met")</f>
        <v>Met</v>
      </c>
    </row>
    <row r="269" spans="1:22" x14ac:dyDescent="0.35">
      <c r="A269" s="200" t="s">
        <v>92</v>
      </c>
      <c r="B269" s="201">
        <v>2100</v>
      </c>
      <c r="C269" s="201" t="s">
        <v>159</v>
      </c>
      <c r="D269" s="201">
        <v>1200</v>
      </c>
      <c r="E269" s="201">
        <v>10299075.33</v>
      </c>
      <c r="F269" s="201">
        <v>822143</v>
      </c>
      <c r="G269" s="201">
        <f>'Mail Merge'!$E269+'Mail Merge'!$F269</f>
        <v>11121218.33</v>
      </c>
      <c r="H269" s="201">
        <v>0</v>
      </c>
      <c r="I269" s="201" t="s">
        <v>241</v>
      </c>
      <c r="J269" s="201">
        <f>IFERROR('Mail Merge'!$E269/'Mail Merge'!$D269,0)</f>
        <v>8582.5627750000003</v>
      </c>
      <c r="K269" s="201">
        <f>IFERROR('Mail Merge'!$F269/'Mail Merge'!$D269,0)</f>
        <v>685.11916666666662</v>
      </c>
      <c r="L269" s="201">
        <f>IFERROR('Mail Merge'!$G269/'Mail Merge'!$D269,0)</f>
        <v>9267.6819416666676</v>
      </c>
      <c r="M269" s="201">
        <v>0</v>
      </c>
      <c r="N269" s="201" t="s">
        <v>241</v>
      </c>
      <c r="O269" s="201">
        <v>1463409.94</v>
      </c>
      <c r="P269" s="201">
        <v>9736.94</v>
      </c>
      <c r="Q269" s="201">
        <f>'Mail Merge'!$O269+'Mail Merge'!$P269</f>
        <v>1473146.8799999999</v>
      </c>
      <c r="R269" s="201"/>
      <c r="S269" s="201"/>
      <c r="T269" s="201"/>
      <c r="U269" s="201">
        <f>IF(AND('Mail Merge'!$I269="Did Not Meet",'Mail Merge'!$N269="Did Not Meet"),MIN(ABS('Mail Merge'!$H269),ABS('Mail Merge'!$M269),'Mail Merge'!$Q269),0)</f>
        <v>0</v>
      </c>
      <c r="V269" s="201" t="str">
        <f>IF(OR(IFERROR(SEARCH("Met",'Mail Merge'!$N269),0)&gt;0,IFERROR(SEARCH("Met",'Mail Merge'!$I269),0)&gt;0),"Met","Not Met")</f>
        <v>Met</v>
      </c>
    </row>
    <row r="270" spans="1:22" x14ac:dyDescent="0.35">
      <c r="A270" s="198" t="s">
        <v>93</v>
      </c>
      <c r="B270" s="199">
        <v>2183</v>
      </c>
      <c r="C270" s="199" t="s">
        <v>159</v>
      </c>
      <c r="D270" s="199">
        <v>1284</v>
      </c>
      <c r="E270" s="199">
        <v>11519688.17</v>
      </c>
      <c r="F270" s="199">
        <v>1885573</v>
      </c>
      <c r="G270" s="199">
        <f>'Mail Merge'!$E270+'Mail Merge'!$F270</f>
        <v>13405261.17</v>
      </c>
      <c r="H270" s="199">
        <v>0</v>
      </c>
      <c r="I270" s="199" t="s">
        <v>241</v>
      </c>
      <c r="J270" s="199">
        <f>IFERROR('Mail Merge'!$E270/'Mail Merge'!$D270,0)</f>
        <v>8971.7197585669783</v>
      </c>
      <c r="K270" s="199">
        <f>IFERROR('Mail Merge'!$F270/'Mail Merge'!$D270,0)</f>
        <v>1468.5147975077882</v>
      </c>
      <c r="L270" s="199">
        <f>IFERROR('Mail Merge'!$G270/'Mail Merge'!$D270,0)</f>
        <v>10440.234556074767</v>
      </c>
      <c r="M270" s="199">
        <v>0</v>
      </c>
      <c r="N270" s="199" t="s">
        <v>241</v>
      </c>
      <c r="O270" s="199">
        <v>2062635.79</v>
      </c>
      <c r="P270" s="199">
        <v>15850.55</v>
      </c>
      <c r="Q270" s="199">
        <f>'Mail Merge'!$O270+'Mail Merge'!$P270</f>
        <v>2078486.34</v>
      </c>
      <c r="R270" s="199"/>
      <c r="S270" s="199"/>
      <c r="T270" s="199"/>
      <c r="U270" s="199">
        <f>IF(AND('Mail Merge'!$I270="Did Not Meet",'Mail Merge'!$N270="Did Not Meet"),MIN(ABS('Mail Merge'!$H270),ABS('Mail Merge'!$M270),'Mail Merge'!$Q270),0)</f>
        <v>0</v>
      </c>
      <c r="V270" s="199" t="str">
        <f>IF(OR(IFERROR(SEARCH("Met",'Mail Merge'!$N270),0)&gt;0,IFERROR(SEARCH("Met",'Mail Merge'!$I270),0)&gt;0),"Met","Not Met")</f>
        <v>Met</v>
      </c>
    </row>
    <row r="271" spans="1:22" x14ac:dyDescent="0.35">
      <c r="A271" s="200" t="s">
        <v>94</v>
      </c>
      <c r="B271" s="201">
        <v>2014</v>
      </c>
      <c r="C271" s="201" t="s">
        <v>159</v>
      </c>
      <c r="D271" s="201">
        <v>143</v>
      </c>
      <c r="E271" s="201">
        <v>1311847.98</v>
      </c>
      <c r="F271" s="201">
        <v>139957</v>
      </c>
      <c r="G271" s="201">
        <f>'Mail Merge'!$E271+'Mail Merge'!$F271</f>
        <v>1451804.98</v>
      </c>
      <c r="H271" s="201">
        <v>0</v>
      </c>
      <c r="I271" s="201" t="s">
        <v>242</v>
      </c>
      <c r="J271" s="201">
        <f>IFERROR('Mail Merge'!$E271/'Mail Merge'!$D271,0)</f>
        <v>9173.7620979020976</v>
      </c>
      <c r="K271" s="201">
        <f>IFERROR('Mail Merge'!$F271/'Mail Merge'!$D271,0)</f>
        <v>978.72027972027968</v>
      </c>
      <c r="L271" s="201">
        <f>IFERROR('Mail Merge'!$G271/'Mail Merge'!$D271,0)</f>
        <v>10152.482377622377</v>
      </c>
      <c r="M271" s="201">
        <v>0</v>
      </c>
      <c r="N271" s="201" t="s">
        <v>241</v>
      </c>
      <c r="O271" s="201">
        <v>187843.49</v>
      </c>
      <c r="P271" s="201">
        <v>3226.17</v>
      </c>
      <c r="Q271" s="201">
        <f>'Mail Merge'!$O271+'Mail Merge'!$P271</f>
        <v>191069.66</v>
      </c>
      <c r="R271" s="201"/>
      <c r="S271" s="201">
        <v>207856.09</v>
      </c>
      <c r="T271" s="201">
        <v>207856.09</v>
      </c>
      <c r="U271" s="201">
        <f>IF(AND('Mail Merge'!$I271="Did Not Meet",'Mail Merge'!$N271="Did Not Meet"),MIN(ABS('Mail Merge'!$H271),ABS('Mail Merge'!$M271),'Mail Merge'!$Q271),0)</f>
        <v>0</v>
      </c>
      <c r="V271" s="201" t="str">
        <f>IF(OR(IFERROR(SEARCH("Met",'Mail Merge'!$N271),0)&gt;0,IFERROR(SEARCH("Met",'Mail Merge'!$I271),0)&gt;0),"Met","Not Met")</f>
        <v>Met</v>
      </c>
    </row>
    <row r="272" spans="1:22" x14ac:dyDescent="0.35">
      <c r="A272" s="198" t="s">
        <v>95</v>
      </c>
      <c r="B272" s="199">
        <v>2015</v>
      </c>
      <c r="C272" s="199" t="s">
        <v>159</v>
      </c>
      <c r="D272" s="199">
        <v>10</v>
      </c>
      <c r="E272" s="199">
        <v>43096.57</v>
      </c>
      <c r="F272" s="199">
        <v>4460</v>
      </c>
      <c r="G272" s="199">
        <f>'Mail Merge'!$E272+'Mail Merge'!$F272</f>
        <v>47556.57</v>
      </c>
      <c r="H272" s="199">
        <v>0</v>
      </c>
      <c r="I272" s="199" t="s">
        <v>241</v>
      </c>
      <c r="J272" s="199">
        <f>IFERROR('Mail Merge'!$E272/'Mail Merge'!$D272,0)</f>
        <v>4309.6570000000002</v>
      </c>
      <c r="K272" s="199">
        <f>IFERROR('Mail Merge'!$F272/'Mail Merge'!$D272,0)</f>
        <v>446</v>
      </c>
      <c r="L272" s="199">
        <f>IFERROR('Mail Merge'!$G272/'Mail Merge'!$D272,0)</f>
        <v>4755.6570000000002</v>
      </c>
      <c r="M272" s="199">
        <v>0</v>
      </c>
      <c r="N272" s="199" t="s">
        <v>241</v>
      </c>
      <c r="O272" s="199">
        <v>12256.74</v>
      </c>
      <c r="P272" s="199">
        <v>1.95</v>
      </c>
      <c r="Q272" s="199">
        <f>'Mail Merge'!$O272+'Mail Merge'!$P272</f>
        <v>12258.69</v>
      </c>
      <c r="R272" s="199"/>
      <c r="S272" s="199"/>
      <c r="T272" s="199"/>
      <c r="U272" s="199">
        <f>IF(AND('Mail Merge'!$I272="Did Not Meet",'Mail Merge'!$N272="Did Not Meet"),MIN(ABS('Mail Merge'!$H272),ABS('Mail Merge'!$M272),'Mail Merge'!$Q272),0)</f>
        <v>0</v>
      </c>
      <c r="V272" s="199" t="str">
        <f>IF(OR(IFERROR(SEARCH("Met",'Mail Merge'!$N272),0)&gt;0,IFERROR(SEARCH("Met",'Mail Merge'!$I272),0)&gt;0),"Met","Not Met")</f>
        <v>Met</v>
      </c>
    </row>
    <row r="273" spans="1:22" x14ac:dyDescent="0.35">
      <c r="A273" s="200" t="s">
        <v>96</v>
      </c>
      <c r="B273" s="201">
        <v>2023</v>
      </c>
      <c r="C273" s="201" t="s">
        <v>159</v>
      </c>
      <c r="D273" s="201">
        <v>4</v>
      </c>
      <c r="E273" s="201">
        <v>41506.910000000003</v>
      </c>
      <c r="F273" s="201">
        <v>5533</v>
      </c>
      <c r="G273" s="201">
        <f>'Mail Merge'!$E273+'Mail Merge'!$F273</f>
        <v>47039.91</v>
      </c>
      <c r="H273" s="201">
        <v>0</v>
      </c>
      <c r="I273" s="201" t="s">
        <v>242</v>
      </c>
      <c r="J273" s="201">
        <f>IFERROR('Mail Merge'!$E273/'Mail Merge'!$D273,0)</f>
        <v>10376.727500000001</v>
      </c>
      <c r="K273" s="201">
        <f>IFERROR('Mail Merge'!$F273/'Mail Merge'!$D273,0)</f>
        <v>1383.25</v>
      </c>
      <c r="L273" s="201">
        <f>IFERROR('Mail Merge'!$G273/'Mail Merge'!$D273,0)</f>
        <v>11759.977500000001</v>
      </c>
      <c r="M273" s="201">
        <v>0</v>
      </c>
      <c r="N273" s="201" t="s">
        <v>241</v>
      </c>
      <c r="O273" s="201">
        <v>20209.95</v>
      </c>
      <c r="P273" s="201">
        <v>0</v>
      </c>
      <c r="Q273" s="201">
        <f>'Mail Merge'!$O273+'Mail Merge'!$P273</f>
        <v>20209.95</v>
      </c>
      <c r="R273" s="201"/>
      <c r="S273" s="201">
        <v>29498.560000000001</v>
      </c>
      <c r="T273" s="201">
        <v>29498.560000000001</v>
      </c>
      <c r="U273" s="201">
        <f>IF(AND('Mail Merge'!$I273="Did Not Meet",'Mail Merge'!$N273="Did Not Meet"),MIN(ABS('Mail Merge'!$H273),ABS('Mail Merge'!$M273),'Mail Merge'!$Q273),0)</f>
        <v>0</v>
      </c>
      <c r="V273" s="201" t="str">
        <f>IF(OR(IFERROR(SEARCH("Met",'Mail Merge'!$N273),0)&gt;0,IFERROR(SEARCH("Met",'Mail Merge'!$I273),0)&gt;0),"Met","Not Met")</f>
        <v>Met</v>
      </c>
    </row>
    <row r="274" spans="1:22" x14ac:dyDescent="0.35">
      <c r="A274" s="198" t="s">
        <v>97</v>
      </c>
      <c r="B274" s="199">
        <v>2114</v>
      </c>
      <c r="C274" s="199" t="s">
        <v>159</v>
      </c>
      <c r="D274" s="199">
        <v>17</v>
      </c>
      <c r="E274" s="199">
        <v>17679.990000000002</v>
      </c>
      <c r="F274" s="199">
        <v>19085.5</v>
      </c>
      <c r="G274" s="199">
        <f>'Mail Merge'!$E274+'Mail Merge'!$F274</f>
        <v>36765.490000000005</v>
      </c>
      <c r="H274" s="199">
        <v>0</v>
      </c>
      <c r="I274" s="199" t="s">
        <v>241</v>
      </c>
      <c r="J274" s="199">
        <f>IFERROR('Mail Merge'!$E274/'Mail Merge'!$D274,0)</f>
        <v>1039.9994117647059</v>
      </c>
      <c r="K274" s="199">
        <f>IFERROR('Mail Merge'!$F274/'Mail Merge'!$D274,0)</f>
        <v>1122.6764705882354</v>
      </c>
      <c r="L274" s="199">
        <f>IFERROR('Mail Merge'!$G274/'Mail Merge'!$D274,0)</f>
        <v>2162.6758823529417</v>
      </c>
      <c r="M274" s="199">
        <v>0</v>
      </c>
      <c r="N274" s="199" t="s">
        <v>240</v>
      </c>
      <c r="O274" s="199">
        <v>12863.61</v>
      </c>
      <c r="P274" s="199">
        <v>978.36</v>
      </c>
      <c r="Q274" s="199">
        <f>'Mail Merge'!$O274+'Mail Merge'!$P274</f>
        <v>13841.970000000001</v>
      </c>
      <c r="R274" s="199"/>
      <c r="S274" s="199"/>
      <c r="T274" s="199"/>
      <c r="U274" s="199">
        <f>IF(AND('Mail Merge'!$I274="Did Not Meet",'Mail Merge'!$N274="Did Not Meet"),MIN(ABS('Mail Merge'!$H274),ABS('Mail Merge'!$M274),'Mail Merge'!$Q274),0)</f>
        <v>0</v>
      </c>
      <c r="V274" s="199" t="str">
        <f>IF(OR(IFERROR(SEARCH("Met",'Mail Merge'!$N274),0)&gt;0,IFERROR(SEARCH("Met",'Mail Merge'!$I274),0)&gt;0),"Met","Not Met")</f>
        <v>Met</v>
      </c>
    </row>
    <row r="275" spans="1:22" x14ac:dyDescent="0.35">
      <c r="A275" s="200" t="s">
        <v>98</v>
      </c>
      <c r="B275" s="201">
        <v>2099</v>
      </c>
      <c r="C275" s="201" t="s">
        <v>159</v>
      </c>
      <c r="D275" s="201">
        <v>139</v>
      </c>
      <c r="E275" s="201">
        <v>962430.43</v>
      </c>
      <c r="F275" s="201">
        <v>77158</v>
      </c>
      <c r="G275" s="201">
        <f>'Mail Merge'!$E275+'Mail Merge'!$F275</f>
        <v>1039588.43</v>
      </c>
      <c r="H275" s="201">
        <v>0</v>
      </c>
      <c r="I275" s="201" t="s">
        <v>241</v>
      </c>
      <c r="J275" s="201">
        <f>IFERROR('Mail Merge'!$E275/'Mail Merge'!$D275,0)</f>
        <v>6923.959928057554</v>
      </c>
      <c r="K275" s="201">
        <f>IFERROR('Mail Merge'!$F275/'Mail Merge'!$D275,0)</f>
        <v>555.0935251798561</v>
      </c>
      <c r="L275" s="201">
        <f>IFERROR('Mail Merge'!$G275/'Mail Merge'!$D275,0)</f>
        <v>7479.0534532374104</v>
      </c>
      <c r="M275" s="201">
        <v>0</v>
      </c>
      <c r="N275" s="201" t="s">
        <v>241</v>
      </c>
      <c r="O275" s="201">
        <v>135708.38</v>
      </c>
      <c r="P275" s="201">
        <v>432.75</v>
      </c>
      <c r="Q275" s="201">
        <f>'Mail Merge'!$O275+'Mail Merge'!$P275</f>
        <v>136141.13</v>
      </c>
      <c r="R275" s="201"/>
      <c r="S275" s="201"/>
      <c r="T275" s="201"/>
      <c r="U275" s="201">
        <f>IF(AND('Mail Merge'!$I275="Did Not Meet",'Mail Merge'!$N275="Did Not Meet"),MIN(ABS('Mail Merge'!$H275),ABS('Mail Merge'!$M275),'Mail Merge'!$Q275),0)</f>
        <v>0</v>
      </c>
      <c r="V275" s="201" t="str">
        <f>IF(OR(IFERROR(SEARCH("Met",'Mail Merge'!$N275),0)&gt;0,IFERROR(SEARCH("Met",'Mail Merge'!$I275),0)&gt;0),"Met","Not Met")</f>
        <v>Met</v>
      </c>
    </row>
    <row r="276" spans="1:22" x14ac:dyDescent="0.35">
      <c r="A276" s="198" t="s">
        <v>99</v>
      </c>
      <c r="B276" s="199">
        <v>2201</v>
      </c>
      <c r="C276" s="199" t="s">
        <v>159</v>
      </c>
      <c r="D276" s="199">
        <v>16</v>
      </c>
      <c r="E276" s="199">
        <v>63796.13</v>
      </c>
      <c r="F276" s="199">
        <v>19408.68</v>
      </c>
      <c r="G276" s="199">
        <f>'Mail Merge'!$E276+'Mail Merge'!$F276</f>
        <v>83204.81</v>
      </c>
      <c r="H276" s="199">
        <v>0</v>
      </c>
      <c r="I276" s="199" t="s">
        <v>241</v>
      </c>
      <c r="J276" s="199">
        <f>IFERROR('Mail Merge'!$E276/'Mail Merge'!$D276,0)</f>
        <v>3987.2581249999998</v>
      </c>
      <c r="K276" s="199">
        <f>IFERROR('Mail Merge'!$F276/'Mail Merge'!$D276,0)</f>
        <v>1213.0425</v>
      </c>
      <c r="L276" s="199">
        <f>IFERROR('Mail Merge'!$G276/'Mail Merge'!$D276,0)</f>
        <v>5200.3006249999999</v>
      </c>
      <c r="M276" s="199">
        <v>0</v>
      </c>
      <c r="N276" s="199" t="s">
        <v>240</v>
      </c>
      <c r="O276" s="199">
        <v>24275.9</v>
      </c>
      <c r="P276" s="199">
        <v>0</v>
      </c>
      <c r="Q276" s="199">
        <f>'Mail Merge'!$O276+'Mail Merge'!$P276</f>
        <v>24275.9</v>
      </c>
      <c r="R276" s="199"/>
      <c r="S276" s="199"/>
      <c r="T276" s="199"/>
      <c r="U276" s="199">
        <f>IF(AND('Mail Merge'!$I276="Did Not Meet",'Mail Merge'!$N276="Did Not Meet"),MIN(ABS('Mail Merge'!$H276),ABS('Mail Merge'!$M276),'Mail Merge'!$Q276),0)</f>
        <v>0</v>
      </c>
      <c r="V276" s="199" t="str">
        <f>IF(OR(IFERROR(SEARCH("Met",'Mail Merge'!$N276),0)&gt;0,IFERROR(SEARCH("Met",'Mail Merge'!$I276),0)&gt;0),"Met","Not Met")</f>
        <v>Met</v>
      </c>
    </row>
    <row r="277" spans="1:22" x14ac:dyDescent="0.35">
      <c r="A277" s="200" t="s">
        <v>100</v>
      </c>
      <c r="B277" s="201">
        <v>2206</v>
      </c>
      <c r="C277" s="201" t="s">
        <v>159</v>
      </c>
      <c r="D277" s="201">
        <v>555</v>
      </c>
      <c r="E277" s="201">
        <v>3580127.64</v>
      </c>
      <c r="F277" s="201">
        <v>837742.07</v>
      </c>
      <c r="G277" s="201">
        <f>'Mail Merge'!$E277+'Mail Merge'!$F277</f>
        <v>4417869.71</v>
      </c>
      <c r="H277" s="201">
        <v>0</v>
      </c>
      <c r="I277" s="201" t="s">
        <v>241</v>
      </c>
      <c r="J277" s="201">
        <f>IFERROR('Mail Merge'!$E277/'Mail Merge'!$D277,0)</f>
        <v>6450.680432432433</v>
      </c>
      <c r="K277" s="201">
        <f>IFERROR('Mail Merge'!$F277/'Mail Merge'!$D277,0)</f>
        <v>1509.4451711711711</v>
      </c>
      <c r="L277" s="201">
        <f>IFERROR('Mail Merge'!$G277/'Mail Merge'!$D277,0)</f>
        <v>7960.1256036036038</v>
      </c>
      <c r="M277" s="201">
        <v>0</v>
      </c>
      <c r="N277" s="201" t="s">
        <v>240</v>
      </c>
      <c r="O277" s="201">
        <v>757682.72</v>
      </c>
      <c r="P277" s="201">
        <v>6951.5</v>
      </c>
      <c r="Q277" s="201">
        <f>'Mail Merge'!$O277+'Mail Merge'!$P277</f>
        <v>764634.22</v>
      </c>
      <c r="R277" s="201"/>
      <c r="S277" s="201"/>
      <c r="T277" s="201"/>
      <c r="U277" s="201">
        <f>IF(AND('Mail Merge'!$I277="Did Not Meet",'Mail Merge'!$N277="Did Not Meet"),MIN(ABS('Mail Merge'!$H277),ABS('Mail Merge'!$M277),'Mail Merge'!$Q277),0)</f>
        <v>0</v>
      </c>
      <c r="V277" s="201" t="str">
        <f>IF(OR(IFERROR(SEARCH("Met",'Mail Merge'!$N277),0)&gt;0,IFERROR(SEARCH("Met",'Mail Merge'!$I277),0)&gt;0),"Met","Not Met")</f>
        <v>Met</v>
      </c>
    </row>
    <row r="278" spans="1:22" x14ac:dyDescent="0.35">
      <c r="A278" s="198" t="s">
        <v>101</v>
      </c>
      <c r="B278" s="199">
        <v>2239</v>
      </c>
      <c r="C278" s="199" t="s">
        <v>159</v>
      </c>
      <c r="D278" s="199">
        <v>2702</v>
      </c>
      <c r="E278" s="199">
        <v>23330379.559999999</v>
      </c>
      <c r="F278" s="199">
        <v>4600513</v>
      </c>
      <c r="G278" s="199">
        <f>'Mail Merge'!$E278+'Mail Merge'!$F278</f>
        <v>27930892.559999999</v>
      </c>
      <c r="H278" s="199">
        <v>0</v>
      </c>
      <c r="I278" s="199" t="s">
        <v>241</v>
      </c>
      <c r="J278" s="199">
        <f>IFERROR('Mail Merge'!$E278/'Mail Merge'!$D278,0)</f>
        <v>8634.485403404884</v>
      </c>
      <c r="K278" s="199">
        <f>IFERROR('Mail Merge'!$F278/'Mail Merge'!$D278,0)</f>
        <v>1702.6324944485566</v>
      </c>
      <c r="L278" s="199">
        <f>IFERROR('Mail Merge'!$G278/'Mail Merge'!$D278,0)</f>
        <v>10337.117897853441</v>
      </c>
      <c r="M278" s="199">
        <v>0</v>
      </c>
      <c r="N278" s="199" t="s">
        <v>240</v>
      </c>
      <c r="O278" s="199">
        <v>2925635.3</v>
      </c>
      <c r="P278" s="199">
        <v>15037.36</v>
      </c>
      <c r="Q278" s="199">
        <f>'Mail Merge'!$O278+'Mail Merge'!$P278</f>
        <v>2940672.6599999997</v>
      </c>
      <c r="R278" s="199"/>
      <c r="S278" s="199"/>
      <c r="T278" s="199"/>
      <c r="U278" s="199">
        <f>IF(AND('Mail Merge'!$I278="Did Not Meet",'Mail Merge'!$N278="Did Not Meet"),MIN(ABS('Mail Merge'!$H278),ABS('Mail Merge'!$M278),'Mail Merge'!$Q278),0)</f>
        <v>0</v>
      </c>
      <c r="V278" s="199" t="str">
        <f>IF(OR(IFERROR(SEARCH("Met",'Mail Merge'!$N278),0)&gt;0,IFERROR(SEARCH("Met",'Mail Merge'!$I278),0)&gt;0),"Met","Not Met")</f>
        <v>Met</v>
      </c>
    </row>
    <row r="279" spans="1:22" x14ac:dyDescent="0.35">
      <c r="A279" s="200" t="s">
        <v>102</v>
      </c>
      <c r="B279" s="201">
        <v>2024</v>
      </c>
      <c r="C279" s="201" t="s">
        <v>159</v>
      </c>
      <c r="D279" s="201">
        <v>563</v>
      </c>
      <c r="E279" s="201">
        <v>3596025.64</v>
      </c>
      <c r="F279" s="201">
        <v>0</v>
      </c>
      <c r="G279" s="201">
        <f>'Mail Merge'!$E279+'Mail Merge'!$F279</f>
        <v>3596025.64</v>
      </c>
      <c r="H279" s="201">
        <v>0</v>
      </c>
      <c r="I279" s="201" t="s">
        <v>241</v>
      </c>
      <c r="J279" s="201">
        <f>IFERROR('Mail Merge'!$E279/'Mail Merge'!$D279,0)</f>
        <v>6387.2569094138544</v>
      </c>
      <c r="K279" s="201">
        <f>IFERROR('Mail Merge'!$F279/'Mail Merge'!$D279,0)</f>
        <v>0</v>
      </c>
      <c r="L279" s="201">
        <f>IFERROR('Mail Merge'!$G279/'Mail Merge'!$D279,0)</f>
        <v>6387.2569094138544</v>
      </c>
      <c r="M279" s="201">
        <v>0</v>
      </c>
      <c r="N279" s="201" t="s">
        <v>240</v>
      </c>
      <c r="O279" s="201">
        <v>660995.1</v>
      </c>
      <c r="P279" s="201">
        <v>4069.33</v>
      </c>
      <c r="Q279" s="201">
        <f>'Mail Merge'!$O279+'Mail Merge'!$P279</f>
        <v>665064.42999999993</v>
      </c>
      <c r="R279" s="201"/>
      <c r="S279" s="201"/>
      <c r="T279" s="201"/>
      <c r="U279" s="201">
        <f>IF(AND('Mail Merge'!$I279="Did Not Meet",'Mail Merge'!$N279="Did Not Meet"),MIN(ABS('Mail Merge'!$H279),ABS('Mail Merge'!$M279),'Mail Merge'!$Q279),0)</f>
        <v>0</v>
      </c>
      <c r="V279" s="201" t="str">
        <f>IF(OR(IFERROR(SEARCH("Met",'Mail Merge'!$N279),0)&gt;0,IFERROR(SEARCH("Met",'Mail Merge'!$I279),0)&gt;0),"Met","Not Met")</f>
        <v>Met</v>
      </c>
    </row>
    <row r="280" spans="1:22" x14ac:dyDescent="0.35">
      <c r="A280" s="198" t="s">
        <v>103</v>
      </c>
      <c r="B280" s="199">
        <v>1895</v>
      </c>
      <c r="C280" s="199" t="s">
        <v>159</v>
      </c>
      <c r="D280" s="199">
        <v>13</v>
      </c>
      <c r="E280" s="199">
        <v>78536.38</v>
      </c>
      <c r="F280" s="199">
        <v>19449.62</v>
      </c>
      <c r="G280" s="199">
        <f>'Mail Merge'!$E280+'Mail Merge'!$F280</f>
        <v>97986</v>
      </c>
      <c r="H280" s="199">
        <v>0</v>
      </c>
      <c r="I280" s="199" t="s">
        <v>241</v>
      </c>
      <c r="J280" s="199">
        <f>IFERROR('Mail Merge'!$E280/'Mail Merge'!$D280,0)</f>
        <v>6041.26</v>
      </c>
      <c r="K280" s="199">
        <f>IFERROR('Mail Merge'!$F280/'Mail Merge'!$D280,0)</f>
        <v>1496.1246153846153</v>
      </c>
      <c r="L280" s="199">
        <f>IFERROR('Mail Merge'!$G280/'Mail Merge'!$D280,0)</f>
        <v>7537.3846153846152</v>
      </c>
      <c r="M280" s="199">
        <v>0</v>
      </c>
      <c r="N280" s="199" t="s">
        <v>241</v>
      </c>
      <c r="O280" s="199">
        <v>14679.88</v>
      </c>
      <c r="P280" s="199">
        <v>0</v>
      </c>
      <c r="Q280" s="199">
        <f>'Mail Merge'!$O280+'Mail Merge'!$P280</f>
        <v>14679.88</v>
      </c>
      <c r="R280" s="199"/>
      <c r="S280" s="199"/>
      <c r="T280" s="199"/>
      <c r="U280" s="199">
        <f>IF(AND('Mail Merge'!$I280="Did Not Meet",'Mail Merge'!$N280="Did Not Meet"),MIN(ABS('Mail Merge'!$H280),ABS('Mail Merge'!$M280),'Mail Merge'!$Q280),0)</f>
        <v>0</v>
      </c>
      <c r="V280" s="199" t="str">
        <f>IF(OR(IFERROR(SEARCH("Met",'Mail Merge'!$N280),0)&gt;0,IFERROR(SEARCH("Met",'Mail Merge'!$I280),0)&gt;0),"Met","Not Met")</f>
        <v>Met</v>
      </c>
    </row>
    <row r="281" spans="1:22" x14ac:dyDescent="0.35">
      <c r="A281" s="200" t="s">
        <v>104</v>
      </c>
      <c r="B281" s="201">
        <v>2215</v>
      </c>
      <c r="C281" s="201" t="s">
        <v>159</v>
      </c>
      <c r="D281" s="201">
        <v>46</v>
      </c>
      <c r="E281" s="201">
        <v>150306.79</v>
      </c>
      <c r="F281" s="201">
        <v>86348.83</v>
      </c>
      <c r="G281" s="201">
        <f>'Mail Merge'!$E281+'Mail Merge'!$F281</f>
        <v>236655.62</v>
      </c>
      <c r="H281" s="201">
        <v>0</v>
      </c>
      <c r="I281" s="201" t="s">
        <v>241</v>
      </c>
      <c r="J281" s="201">
        <f>IFERROR('Mail Merge'!$E281/'Mail Merge'!$D281,0)</f>
        <v>3267.5389130434783</v>
      </c>
      <c r="K281" s="201">
        <f>IFERROR('Mail Merge'!$F281/'Mail Merge'!$D281,0)</f>
        <v>1877.1484782608695</v>
      </c>
      <c r="L281" s="201">
        <f>IFERROR('Mail Merge'!$G281/'Mail Merge'!$D281,0)</f>
        <v>5144.6873913043473</v>
      </c>
      <c r="M281" s="201">
        <v>0</v>
      </c>
      <c r="N281" s="201" t="s">
        <v>240</v>
      </c>
      <c r="O281" s="201">
        <v>63149.61</v>
      </c>
      <c r="P281" s="201">
        <v>129.29</v>
      </c>
      <c r="Q281" s="201">
        <f>'Mail Merge'!$O281+'Mail Merge'!$P281</f>
        <v>63278.9</v>
      </c>
      <c r="R281" s="201"/>
      <c r="S281" s="201"/>
      <c r="T281" s="201"/>
      <c r="U281" s="201">
        <f>IF(AND('Mail Merge'!$I281="Did Not Meet",'Mail Merge'!$N281="Did Not Meet"),MIN(ABS('Mail Merge'!$H281),ABS('Mail Merge'!$M281),'Mail Merge'!$Q281),0)</f>
        <v>0</v>
      </c>
      <c r="V281" s="201" t="str">
        <f>IF(OR(IFERROR(SEARCH("Met",'Mail Merge'!$N281),0)&gt;0,IFERROR(SEARCH("Met",'Mail Merge'!$I281),0)&gt;0),"Met","Not Met")</f>
        <v>Met</v>
      </c>
    </row>
    <row r="282" spans="1:22" x14ac:dyDescent="0.35">
      <c r="A282" s="198" t="s">
        <v>105</v>
      </c>
      <c r="B282" s="199">
        <v>3997</v>
      </c>
      <c r="C282" s="199" t="s">
        <v>159</v>
      </c>
      <c r="D282" s="199">
        <v>31</v>
      </c>
      <c r="E282" s="199">
        <v>93120.1</v>
      </c>
      <c r="F282" s="199">
        <v>28914.97</v>
      </c>
      <c r="G282" s="199">
        <f>'Mail Merge'!$E282+'Mail Merge'!$F282</f>
        <v>122035.07</v>
      </c>
      <c r="H282" s="199">
        <v>0</v>
      </c>
      <c r="I282" s="199" t="s">
        <v>240</v>
      </c>
      <c r="J282" s="199">
        <f>IFERROR('Mail Merge'!$E282/'Mail Merge'!$D282,0)</f>
        <v>3003.8741935483872</v>
      </c>
      <c r="K282" s="199">
        <f>IFERROR('Mail Merge'!$F282/'Mail Merge'!$D282,0)</f>
        <v>932.74096774193549</v>
      </c>
      <c r="L282" s="199">
        <f>IFERROR('Mail Merge'!$G282/'Mail Merge'!$D282,0)</f>
        <v>3936.6151612903227</v>
      </c>
      <c r="M282" s="199">
        <v>0</v>
      </c>
      <c r="N282" s="199" t="s">
        <v>240</v>
      </c>
      <c r="O282" s="199">
        <v>27892.11</v>
      </c>
      <c r="P282" s="199">
        <v>503.87</v>
      </c>
      <c r="Q282" s="199">
        <f>'Mail Merge'!$O282+'Mail Merge'!$P282</f>
        <v>28395.98</v>
      </c>
      <c r="R282" s="199"/>
      <c r="S282" s="199"/>
      <c r="T282" s="199"/>
      <c r="U282" s="199">
        <f>IF(AND('Mail Merge'!$I282="Did Not Meet",'Mail Merge'!$N282="Did Not Meet"),MIN(ABS('Mail Merge'!$H282),ABS('Mail Merge'!$M282),'Mail Merge'!$Q282),0)</f>
        <v>0</v>
      </c>
      <c r="V282" s="199" t="str">
        <f>IF(OR(IFERROR(SEARCH("Met",'Mail Merge'!$N282),0)&gt;0,IFERROR(SEARCH("Met",'Mail Merge'!$I282),0)&gt;0),"Met","Not Met")</f>
        <v>Not Met</v>
      </c>
    </row>
    <row r="283" spans="1:22" x14ac:dyDescent="0.35">
      <c r="A283" s="200" t="s">
        <v>106</v>
      </c>
      <c r="B283" s="201">
        <v>2053</v>
      </c>
      <c r="C283" s="201" t="s">
        <v>159</v>
      </c>
      <c r="D283" s="201">
        <v>356</v>
      </c>
      <c r="E283" s="201">
        <v>2719645.34</v>
      </c>
      <c r="F283" s="201">
        <v>826045.3</v>
      </c>
      <c r="G283" s="201">
        <f>'Mail Merge'!$E283+'Mail Merge'!$F283</f>
        <v>3545690.6399999997</v>
      </c>
      <c r="H283" s="201">
        <v>0</v>
      </c>
      <c r="I283" s="201" t="s">
        <v>241</v>
      </c>
      <c r="J283" s="201">
        <f>IFERROR('Mail Merge'!$E283/'Mail Merge'!$D283,0)</f>
        <v>7639.4532022471903</v>
      </c>
      <c r="K283" s="201">
        <f>IFERROR('Mail Merge'!$F283/'Mail Merge'!$D283,0)</f>
        <v>2320.3519662921349</v>
      </c>
      <c r="L283" s="201">
        <f>IFERROR('Mail Merge'!$G283/'Mail Merge'!$D283,0)</f>
        <v>9959.8051685393257</v>
      </c>
      <c r="M283" s="201">
        <v>0</v>
      </c>
      <c r="N283" s="201" t="s">
        <v>241</v>
      </c>
      <c r="O283" s="201">
        <v>478981.36</v>
      </c>
      <c r="P283" s="201">
        <v>8048.38</v>
      </c>
      <c r="Q283" s="201">
        <f>'Mail Merge'!$O283+'Mail Merge'!$P283</f>
        <v>487029.74</v>
      </c>
      <c r="R283" s="201"/>
      <c r="S283" s="201"/>
      <c r="T283" s="201"/>
      <c r="U283" s="201">
        <f>IF(AND('Mail Merge'!$I283="Did Not Meet",'Mail Merge'!$N283="Did Not Meet"),MIN(ABS('Mail Merge'!$H283),ABS('Mail Merge'!$M283),'Mail Merge'!$Q283),0)</f>
        <v>0</v>
      </c>
      <c r="V283" s="201" t="str">
        <f>IF(OR(IFERROR(SEARCH("Met",'Mail Merge'!$N283),0)&gt;0,IFERROR(SEARCH("Met",'Mail Merge'!$I283),0)&gt;0),"Met","Not Met")</f>
        <v>Met</v>
      </c>
    </row>
    <row r="284" spans="1:22" x14ac:dyDescent="0.35">
      <c r="A284" s="198" t="s">
        <v>107</v>
      </c>
      <c r="B284" s="199">
        <v>2140</v>
      </c>
      <c r="C284" s="199" t="s">
        <v>159</v>
      </c>
      <c r="D284" s="199">
        <v>165</v>
      </c>
      <c r="E284" s="199">
        <v>879490.14</v>
      </c>
      <c r="F284" s="199">
        <v>92059.92</v>
      </c>
      <c r="G284" s="199">
        <f>'Mail Merge'!$E284+'Mail Merge'!$F284</f>
        <v>971550.06</v>
      </c>
      <c r="H284" s="199">
        <v>0</v>
      </c>
      <c r="I284" s="199" t="s">
        <v>241</v>
      </c>
      <c r="J284" s="199">
        <f>IFERROR('Mail Merge'!$E284/'Mail Merge'!$D284,0)</f>
        <v>5330.2432727272726</v>
      </c>
      <c r="K284" s="199">
        <f>IFERROR('Mail Merge'!$F284/'Mail Merge'!$D284,0)</f>
        <v>557.93890909090908</v>
      </c>
      <c r="L284" s="199">
        <f>IFERROR('Mail Merge'!$G284/'Mail Merge'!$D284,0)</f>
        <v>5888.1821818181825</v>
      </c>
      <c r="M284" s="199">
        <v>0</v>
      </c>
      <c r="N284" s="199" t="s">
        <v>240</v>
      </c>
      <c r="O284" s="199">
        <v>154323.13</v>
      </c>
      <c r="P284" s="199">
        <v>1052.6400000000001</v>
      </c>
      <c r="Q284" s="199">
        <f>'Mail Merge'!$O284+'Mail Merge'!$P284</f>
        <v>155375.77000000002</v>
      </c>
      <c r="R284" s="199"/>
      <c r="S284" s="199"/>
      <c r="T284" s="199"/>
      <c r="U284" s="199">
        <f>IF(AND('Mail Merge'!$I284="Did Not Meet",'Mail Merge'!$N284="Did Not Meet"),MIN(ABS('Mail Merge'!$H284),ABS('Mail Merge'!$M284),'Mail Merge'!$Q284),0)</f>
        <v>0</v>
      </c>
      <c r="V284" s="199" t="str">
        <f>IF(OR(IFERROR(SEARCH("Met",'Mail Merge'!$N284),0)&gt;0,IFERROR(SEARCH("Met",'Mail Merge'!$I284),0)&gt;0),"Met","Not Met")</f>
        <v>Met</v>
      </c>
    </row>
    <row r="285" spans="1:22" x14ac:dyDescent="0.35">
      <c r="A285" s="200" t="s">
        <v>108</v>
      </c>
      <c r="B285" s="201">
        <v>1934</v>
      </c>
      <c r="C285" s="201" t="s">
        <v>159</v>
      </c>
      <c r="D285" s="201">
        <v>23</v>
      </c>
      <c r="E285" s="201">
        <v>165633.22</v>
      </c>
      <c r="F285" s="201">
        <v>56374</v>
      </c>
      <c r="G285" s="201">
        <f>'Mail Merge'!$E285+'Mail Merge'!$F285</f>
        <v>222007.22</v>
      </c>
      <c r="H285" s="201">
        <v>0</v>
      </c>
      <c r="I285" s="201" t="s">
        <v>240</v>
      </c>
      <c r="J285" s="201">
        <f>IFERROR('Mail Merge'!$E285/'Mail Merge'!$D285,0)</f>
        <v>7201.4443478260873</v>
      </c>
      <c r="K285" s="201">
        <f>IFERROR('Mail Merge'!$F285/'Mail Merge'!$D285,0)</f>
        <v>2451.0434782608695</v>
      </c>
      <c r="L285" s="201">
        <f>IFERROR('Mail Merge'!$G285/'Mail Merge'!$D285,0)</f>
        <v>9652.4878260869573</v>
      </c>
      <c r="M285" s="201">
        <v>0</v>
      </c>
      <c r="N285" s="201" t="s">
        <v>240</v>
      </c>
      <c r="O285" s="201">
        <v>19794.02</v>
      </c>
      <c r="P285" s="201">
        <v>0</v>
      </c>
      <c r="Q285" s="201">
        <f>'Mail Merge'!$O285+'Mail Merge'!$P285</f>
        <v>19794.02</v>
      </c>
      <c r="R285" s="201"/>
      <c r="S285" s="201"/>
      <c r="T285" s="201"/>
      <c r="U285" s="201">
        <f>IF(AND('Mail Merge'!$I285="Did Not Meet",'Mail Merge'!$N285="Did Not Meet"),MIN(ABS('Mail Merge'!$H285),ABS('Mail Merge'!$M285),'Mail Merge'!$Q285),0)</f>
        <v>0</v>
      </c>
      <c r="V285" s="201" t="str">
        <f>IF(OR(IFERROR(SEARCH("Met",'Mail Merge'!$N285),0)&gt;0,IFERROR(SEARCH("Met",'Mail Merge'!$I285),0)&gt;0),"Met","Not Met")</f>
        <v>Not Met</v>
      </c>
    </row>
    <row r="286" spans="1:22" x14ac:dyDescent="0.35">
      <c r="A286" s="198" t="s">
        <v>109</v>
      </c>
      <c r="B286" s="199">
        <v>2008</v>
      </c>
      <c r="C286" s="199" t="s">
        <v>159</v>
      </c>
      <c r="D286" s="199">
        <v>99</v>
      </c>
      <c r="E286" s="199">
        <v>748886.14</v>
      </c>
      <c r="F286" s="199">
        <v>154895.71</v>
      </c>
      <c r="G286" s="199">
        <f>'Mail Merge'!$E286+'Mail Merge'!$F286</f>
        <v>903781.85</v>
      </c>
      <c r="H286" s="199">
        <v>0</v>
      </c>
      <c r="I286" s="199" t="s">
        <v>241</v>
      </c>
      <c r="J286" s="199">
        <f>IFERROR('Mail Merge'!$E286/'Mail Merge'!$D286,0)</f>
        <v>7564.5064646464643</v>
      </c>
      <c r="K286" s="199">
        <f>IFERROR('Mail Merge'!$F286/'Mail Merge'!$D286,0)</f>
        <v>1564.6031313131311</v>
      </c>
      <c r="L286" s="199">
        <f>IFERROR('Mail Merge'!$G286/'Mail Merge'!$D286,0)</f>
        <v>9129.109595959595</v>
      </c>
      <c r="M286" s="199">
        <v>0</v>
      </c>
      <c r="N286" s="199" t="s">
        <v>241</v>
      </c>
      <c r="O286" s="199">
        <v>146359.51</v>
      </c>
      <c r="P286" s="199">
        <v>2524.4299999999998</v>
      </c>
      <c r="Q286" s="199">
        <f>'Mail Merge'!$O286+'Mail Merge'!$P286</f>
        <v>148883.94</v>
      </c>
      <c r="R286" s="199"/>
      <c r="S286" s="199"/>
      <c r="T286" s="199"/>
      <c r="U286" s="199">
        <f>IF(AND('Mail Merge'!$I286="Did Not Meet",'Mail Merge'!$N286="Did Not Meet"),MIN(ABS('Mail Merge'!$H286),ABS('Mail Merge'!$M286),'Mail Merge'!$Q286),0)</f>
        <v>0</v>
      </c>
      <c r="V286" s="199" t="str">
        <f>IF(OR(IFERROR(SEARCH("Met",'Mail Merge'!$N286),0)&gt;0,IFERROR(SEARCH("Met",'Mail Merge'!$I286),0)&gt;0),"Met","Not Met")</f>
        <v>Met</v>
      </c>
    </row>
    <row r="287" spans="1:22" x14ac:dyDescent="0.35">
      <c r="A287" s="200" t="s">
        <v>110</v>
      </c>
      <c r="B287" s="201">
        <v>2107</v>
      </c>
      <c r="C287" s="201" t="s">
        <v>159</v>
      </c>
      <c r="D287" s="201">
        <v>12</v>
      </c>
      <c r="E287" s="201">
        <v>50731</v>
      </c>
      <c r="F287" s="201">
        <v>21603.93</v>
      </c>
      <c r="G287" s="201">
        <f>'Mail Merge'!$E287+'Mail Merge'!$F287</f>
        <v>72334.929999999993</v>
      </c>
      <c r="H287" s="201">
        <v>0</v>
      </c>
      <c r="I287" s="201" t="s">
        <v>241</v>
      </c>
      <c r="J287" s="201">
        <f>IFERROR('Mail Merge'!$E287/'Mail Merge'!$D287,0)</f>
        <v>4227.583333333333</v>
      </c>
      <c r="K287" s="201">
        <f>IFERROR('Mail Merge'!$F287/'Mail Merge'!$D287,0)</f>
        <v>1800.3275000000001</v>
      </c>
      <c r="L287" s="201">
        <f>IFERROR('Mail Merge'!$G287/'Mail Merge'!$D287,0)</f>
        <v>6027.9108333333324</v>
      </c>
      <c r="M287" s="201">
        <v>0</v>
      </c>
      <c r="N287" s="201" t="s">
        <v>241</v>
      </c>
      <c r="O287" s="201">
        <v>16551.82</v>
      </c>
      <c r="P287" s="201">
        <v>492.81</v>
      </c>
      <c r="Q287" s="201">
        <f>'Mail Merge'!$O287+'Mail Merge'!$P287</f>
        <v>17044.63</v>
      </c>
      <c r="R287" s="201"/>
      <c r="S287" s="201"/>
      <c r="T287" s="201"/>
      <c r="U287" s="201">
        <f>IF(AND('Mail Merge'!$I287="Did Not Meet",'Mail Merge'!$N287="Did Not Meet"),MIN(ABS('Mail Merge'!$H287),ABS('Mail Merge'!$M287),'Mail Merge'!$Q287),0)</f>
        <v>0</v>
      </c>
      <c r="V287" s="201" t="str">
        <f>IF(OR(IFERROR(SEARCH("Met",'Mail Merge'!$N287),0)&gt;0,IFERROR(SEARCH("Met",'Mail Merge'!$I287),0)&gt;0),"Met","Not Met")</f>
        <v>Met</v>
      </c>
    </row>
    <row r="288" spans="1:22" x14ac:dyDescent="0.35">
      <c r="A288" s="198" t="s">
        <v>111</v>
      </c>
      <c r="B288" s="199">
        <v>2219</v>
      </c>
      <c r="C288" s="199" t="s">
        <v>159</v>
      </c>
      <c r="D288" s="199">
        <v>30</v>
      </c>
      <c r="E288" s="199">
        <v>104920.67</v>
      </c>
      <c r="F288" s="199">
        <v>141183.67000000001</v>
      </c>
      <c r="G288" s="199">
        <f>'Mail Merge'!$E288+'Mail Merge'!$F288</f>
        <v>246104.34000000003</v>
      </c>
      <c r="H288" s="199">
        <v>0</v>
      </c>
      <c r="I288" s="199" t="s">
        <v>241</v>
      </c>
      <c r="J288" s="199">
        <f>IFERROR('Mail Merge'!$E288/'Mail Merge'!$D288,0)</f>
        <v>3497.3556666666668</v>
      </c>
      <c r="K288" s="199">
        <f>IFERROR('Mail Merge'!$F288/'Mail Merge'!$D288,0)</f>
        <v>4706.1223333333337</v>
      </c>
      <c r="L288" s="199">
        <f>IFERROR('Mail Merge'!$G288/'Mail Merge'!$D288,0)</f>
        <v>8203.478000000001</v>
      </c>
      <c r="M288" s="199">
        <v>0</v>
      </c>
      <c r="N288" s="199" t="s">
        <v>241</v>
      </c>
      <c r="O288" s="199">
        <v>48246.17</v>
      </c>
      <c r="P288" s="199">
        <v>1225.1400000000001</v>
      </c>
      <c r="Q288" s="199">
        <f>'Mail Merge'!$O288+'Mail Merge'!$P288</f>
        <v>49471.31</v>
      </c>
      <c r="R288" s="199"/>
      <c r="S288" s="199"/>
      <c r="T288" s="199"/>
      <c r="U288" s="199">
        <f>IF(AND('Mail Merge'!$I288="Did Not Meet",'Mail Merge'!$N288="Did Not Meet"),MIN(ABS('Mail Merge'!$H288),ABS('Mail Merge'!$M288),'Mail Merge'!$Q288),0)</f>
        <v>0</v>
      </c>
      <c r="V288" s="199" t="str">
        <f>IF(OR(IFERROR(SEARCH("Met",'Mail Merge'!$N288),0)&gt;0,IFERROR(SEARCH("Met",'Mail Merge'!$I288),0)&gt;0),"Met","Not Met")</f>
        <v>Met</v>
      </c>
    </row>
    <row r="289" spans="1:22" x14ac:dyDescent="0.35">
      <c r="A289" s="200" t="s">
        <v>112</v>
      </c>
      <c r="B289" s="201">
        <v>2091</v>
      </c>
      <c r="C289" s="201" t="s">
        <v>159</v>
      </c>
      <c r="D289" s="201">
        <v>234</v>
      </c>
      <c r="E289" s="201">
        <v>1325710.57</v>
      </c>
      <c r="F289" s="201">
        <v>462907</v>
      </c>
      <c r="G289" s="201">
        <f>'Mail Merge'!$E289+'Mail Merge'!$F289</f>
        <v>1788617.57</v>
      </c>
      <c r="H289" s="201">
        <v>0</v>
      </c>
      <c r="I289" s="201" t="s">
        <v>242</v>
      </c>
      <c r="J289" s="201">
        <f>IFERROR('Mail Merge'!$E289/'Mail Merge'!$D289,0)</f>
        <v>5665.4297863247866</v>
      </c>
      <c r="K289" s="201">
        <f>IFERROR('Mail Merge'!$F289/'Mail Merge'!$D289,0)</f>
        <v>1978.2350427350427</v>
      </c>
      <c r="L289" s="201">
        <f>IFERROR('Mail Merge'!$G289/'Mail Merge'!$D289,0)</f>
        <v>7643.6648290598296</v>
      </c>
      <c r="M289" s="201">
        <v>0</v>
      </c>
      <c r="N289" s="201" t="s">
        <v>241</v>
      </c>
      <c r="O289" s="201">
        <v>292744.75</v>
      </c>
      <c r="P289" s="201">
        <v>3606.58</v>
      </c>
      <c r="Q289" s="201">
        <f>'Mail Merge'!$O289+'Mail Merge'!$P289</f>
        <v>296351.33</v>
      </c>
      <c r="R289" s="201"/>
      <c r="S289" s="201">
        <v>283363.76</v>
      </c>
      <c r="T289" s="201">
        <v>283363.76</v>
      </c>
      <c r="U289" s="201">
        <f>IF(AND('Mail Merge'!$I289="Did Not Meet",'Mail Merge'!$N289="Did Not Meet"),MIN(ABS('Mail Merge'!$H289),ABS('Mail Merge'!$M289),'Mail Merge'!$Q289),0)</f>
        <v>0</v>
      </c>
      <c r="V289" s="201" t="str">
        <f>IF(OR(IFERROR(SEARCH("Met",'Mail Merge'!$N289),0)&gt;0,IFERROR(SEARCH("Met",'Mail Merge'!$I289),0)&gt;0),"Met","Not Met")</f>
        <v>Met</v>
      </c>
    </row>
    <row r="290" spans="1:22" x14ac:dyDescent="0.35">
      <c r="A290" s="198" t="s">
        <v>113</v>
      </c>
      <c r="B290" s="199">
        <v>2109</v>
      </c>
      <c r="C290" s="199" t="s">
        <v>159</v>
      </c>
      <c r="D290" s="199">
        <v>1</v>
      </c>
      <c r="E290" s="199">
        <v>0</v>
      </c>
      <c r="F290" s="199">
        <v>1456.45</v>
      </c>
      <c r="G290" s="199">
        <f>'Mail Merge'!$E290+'Mail Merge'!$F290</f>
        <v>1456.45</v>
      </c>
      <c r="H290" s="199">
        <v>0</v>
      </c>
      <c r="I290" s="199" t="s">
        <v>242</v>
      </c>
      <c r="J290" s="199">
        <f>IFERROR('Mail Merge'!$E290/'Mail Merge'!$D290,0)</f>
        <v>0</v>
      </c>
      <c r="K290" s="199">
        <f>IFERROR('Mail Merge'!$F290/'Mail Merge'!$D290,0)</f>
        <v>1456.45</v>
      </c>
      <c r="L290" s="199">
        <f>IFERROR('Mail Merge'!$G290/'Mail Merge'!$D290,0)</f>
        <v>1456.45</v>
      </c>
      <c r="M290" s="199">
        <v>0</v>
      </c>
      <c r="N290" s="199" t="s">
        <v>241</v>
      </c>
      <c r="O290" s="199">
        <v>973.99</v>
      </c>
      <c r="P290" s="199">
        <v>0</v>
      </c>
      <c r="Q290" s="199">
        <f>'Mail Merge'!$O290+'Mail Merge'!$P290</f>
        <v>973.99</v>
      </c>
      <c r="R290" s="199"/>
      <c r="S290" s="199">
        <v>2148.7800000000002</v>
      </c>
      <c r="T290" s="199">
        <v>2148.7800000000002</v>
      </c>
      <c r="U290" s="199">
        <f>IF(AND('Mail Merge'!$I290="Did Not Meet",'Mail Merge'!$N290="Did Not Meet"),MIN(ABS('Mail Merge'!$H290),ABS('Mail Merge'!$M290),'Mail Merge'!$Q290),0)</f>
        <v>0</v>
      </c>
      <c r="V290" s="199" t="str">
        <f>IF(OR(IFERROR(SEARCH("Met",'Mail Merge'!$N290),0)&gt;0,IFERROR(SEARCH("Met",'Mail Merge'!$I290),0)&gt;0),"Met","Not Met")</f>
        <v>Met</v>
      </c>
    </row>
    <row r="291" spans="1:22" x14ac:dyDescent="0.35">
      <c r="A291" s="200" t="s">
        <v>114</v>
      </c>
      <c r="B291" s="201">
        <v>2057</v>
      </c>
      <c r="C291" s="201" t="s">
        <v>159</v>
      </c>
      <c r="D291" s="201">
        <v>859</v>
      </c>
      <c r="E291" s="201">
        <v>4741387.92</v>
      </c>
      <c r="F291" s="201">
        <v>976236.7</v>
      </c>
      <c r="G291" s="201">
        <f>'Mail Merge'!$E291+'Mail Merge'!$F291</f>
        <v>5717624.6200000001</v>
      </c>
      <c r="H291" s="201">
        <v>0</v>
      </c>
      <c r="I291" s="201" t="s">
        <v>242</v>
      </c>
      <c r="J291" s="201">
        <f>IFERROR('Mail Merge'!$E291/'Mail Merge'!$D291,0)</f>
        <v>5519.6599767171128</v>
      </c>
      <c r="K291" s="201">
        <f>IFERROR('Mail Merge'!$F291/'Mail Merge'!$D291,0)</f>
        <v>1136.4804423748544</v>
      </c>
      <c r="L291" s="201">
        <f>IFERROR('Mail Merge'!$G291/'Mail Merge'!$D291,0)</f>
        <v>6656.1404190919675</v>
      </c>
      <c r="M291" s="201">
        <v>0</v>
      </c>
      <c r="N291" s="201" t="s">
        <v>242</v>
      </c>
      <c r="O291" s="201">
        <v>1224184.95</v>
      </c>
      <c r="P291" s="201">
        <v>8313.23</v>
      </c>
      <c r="Q291" s="201">
        <f>'Mail Merge'!$O291+'Mail Merge'!$P291</f>
        <v>1232498.18</v>
      </c>
      <c r="R291" s="201"/>
      <c r="S291" s="201">
        <v>107936.09</v>
      </c>
      <c r="T291" s="201">
        <v>107936.09</v>
      </c>
      <c r="U291" s="201">
        <f>IF(AND('Mail Merge'!$I291="Did Not Meet",'Mail Merge'!$N291="Did Not Meet"),MIN(ABS('Mail Merge'!$H291),ABS('Mail Merge'!$M291),'Mail Merge'!$Q291),0)</f>
        <v>0</v>
      </c>
      <c r="V291" s="201" t="str">
        <f>IF(OR(IFERROR(SEARCH("Met",'Mail Merge'!$N291),0)&gt;0,IFERROR(SEARCH("Met",'Mail Merge'!$I291),0)&gt;0),"Met","Not Met")</f>
        <v>Met</v>
      </c>
    </row>
    <row r="292" spans="1:22" x14ac:dyDescent="0.35">
      <c r="A292" s="198" t="s">
        <v>115</v>
      </c>
      <c r="B292" s="199">
        <v>2056</v>
      </c>
      <c r="C292" s="199" t="s">
        <v>159</v>
      </c>
      <c r="D292" s="199">
        <v>513</v>
      </c>
      <c r="E292" s="199">
        <v>3230273.7</v>
      </c>
      <c r="F292" s="199">
        <v>135666.45000000001</v>
      </c>
      <c r="G292" s="199">
        <f>'Mail Merge'!$E292+'Mail Merge'!$F292</f>
        <v>3365940.1500000004</v>
      </c>
      <c r="H292" s="199">
        <v>0</v>
      </c>
      <c r="I292" s="199" t="s">
        <v>241</v>
      </c>
      <c r="J292" s="199">
        <f>IFERROR('Mail Merge'!$E292/'Mail Merge'!$D292,0)</f>
        <v>6296.8298245614042</v>
      </c>
      <c r="K292" s="199">
        <f>IFERROR('Mail Merge'!$F292/'Mail Merge'!$D292,0)</f>
        <v>264.45701754385965</v>
      </c>
      <c r="L292" s="199">
        <f>IFERROR('Mail Merge'!$G292/'Mail Merge'!$D292,0)</f>
        <v>6561.2868421052635</v>
      </c>
      <c r="M292" s="199">
        <v>0</v>
      </c>
      <c r="N292" s="199" t="s">
        <v>241</v>
      </c>
      <c r="O292" s="199">
        <v>673701.66</v>
      </c>
      <c r="P292" s="199">
        <v>8180.73</v>
      </c>
      <c r="Q292" s="199">
        <f>'Mail Merge'!$O292+'Mail Merge'!$P292</f>
        <v>681882.39</v>
      </c>
      <c r="R292" s="199"/>
      <c r="S292" s="199"/>
      <c r="T292" s="199"/>
      <c r="U292" s="199">
        <f>IF(AND('Mail Merge'!$I292="Did Not Meet",'Mail Merge'!$N292="Did Not Meet"),MIN(ABS('Mail Merge'!$H292),ABS('Mail Merge'!$M292),'Mail Merge'!$Q292),0)</f>
        <v>0</v>
      </c>
      <c r="V292" s="199" t="str">
        <f>IF(OR(IFERROR(SEARCH("Met",'Mail Merge'!$N292),0)&gt;0,IFERROR(SEARCH("Met",'Mail Merge'!$I292),0)&gt;0),"Met","Not Met")</f>
        <v>Met</v>
      </c>
    </row>
    <row r="293" spans="1:22" x14ac:dyDescent="0.35">
      <c r="A293" s="200" t="s">
        <v>116</v>
      </c>
      <c r="B293" s="201">
        <v>2262</v>
      </c>
      <c r="C293" s="201" t="s">
        <v>159</v>
      </c>
      <c r="D293" s="201">
        <v>81</v>
      </c>
      <c r="E293" s="201">
        <v>494904.83</v>
      </c>
      <c r="F293" s="201">
        <v>109113</v>
      </c>
      <c r="G293" s="201">
        <f>'Mail Merge'!$E293+'Mail Merge'!$F293</f>
        <v>604017.83000000007</v>
      </c>
      <c r="H293" s="201">
        <v>0</v>
      </c>
      <c r="I293" s="201" t="s">
        <v>241</v>
      </c>
      <c r="J293" s="201">
        <f>IFERROR('Mail Merge'!$E293/'Mail Merge'!$D293,0)</f>
        <v>6109.9361728395061</v>
      </c>
      <c r="K293" s="201">
        <f>IFERROR('Mail Merge'!$F293/'Mail Merge'!$D293,0)</f>
        <v>1347.0740740740741</v>
      </c>
      <c r="L293" s="201">
        <f>IFERROR('Mail Merge'!$G293/'Mail Merge'!$D293,0)</f>
        <v>7457.0102469135809</v>
      </c>
      <c r="M293" s="201">
        <v>0</v>
      </c>
      <c r="N293" s="201" t="s">
        <v>241</v>
      </c>
      <c r="O293" s="201">
        <v>71639.679999999993</v>
      </c>
      <c r="P293" s="201">
        <v>984.78</v>
      </c>
      <c r="Q293" s="201">
        <f>'Mail Merge'!$O293+'Mail Merge'!$P293</f>
        <v>72624.459999999992</v>
      </c>
      <c r="R293" s="201"/>
      <c r="S293" s="201"/>
      <c r="T293" s="201"/>
      <c r="U293" s="201">
        <f>IF(AND('Mail Merge'!$I293="Did Not Meet",'Mail Merge'!$N293="Did Not Meet"),MIN(ABS('Mail Merge'!$H293),ABS('Mail Merge'!$M293),'Mail Merge'!$Q293),0)</f>
        <v>0</v>
      </c>
      <c r="V293" s="201" t="str">
        <f>IF(OR(IFERROR(SEARCH("Met",'Mail Merge'!$N293),0)&gt;0,IFERROR(SEARCH("Met",'Mail Merge'!$I293),0)&gt;0),"Met","Not Met")</f>
        <v>Met</v>
      </c>
    </row>
    <row r="294" spans="1:22" x14ac:dyDescent="0.35">
      <c r="A294" s="198" t="s">
        <v>117</v>
      </c>
      <c r="B294" s="199">
        <v>2212</v>
      </c>
      <c r="C294" s="199" t="s">
        <v>159</v>
      </c>
      <c r="D294" s="199">
        <v>335</v>
      </c>
      <c r="E294" s="199">
        <v>1995361.98</v>
      </c>
      <c r="F294" s="199">
        <v>533540.68999999994</v>
      </c>
      <c r="G294" s="199">
        <f>'Mail Merge'!$E294+'Mail Merge'!$F294</f>
        <v>2528902.67</v>
      </c>
      <c r="H294" s="199">
        <v>0</v>
      </c>
      <c r="I294" s="199" t="s">
        <v>242</v>
      </c>
      <c r="J294" s="199">
        <f>IFERROR('Mail Merge'!$E294/'Mail Merge'!$D294,0)</f>
        <v>5956.3044179104481</v>
      </c>
      <c r="K294" s="199">
        <f>IFERROR('Mail Merge'!$F294/'Mail Merge'!$D294,0)</f>
        <v>1592.6587761194028</v>
      </c>
      <c r="L294" s="199">
        <f>IFERROR('Mail Merge'!$G294/'Mail Merge'!$D294,0)</f>
        <v>7548.9631940298505</v>
      </c>
      <c r="M294" s="199">
        <v>0</v>
      </c>
      <c r="N294" s="199" t="s">
        <v>241</v>
      </c>
      <c r="O294" s="199">
        <v>441684.53</v>
      </c>
      <c r="P294" s="199">
        <v>3423</v>
      </c>
      <c r="Q294" s="199">
        <f>'Mail Merge'!$O294+'Mail Merge'!$P294</f>
        <v>445107.53</v>
      </c>
      <c r="R294" s="199"/>
      <c r="S294" s="199">
        <v>253697.17</v>
      </c>
      <c r="T294" s="199">
        <v>253697.17</v>
      </c>
      <c r="U294" s="199">
        <f>IF(AND('Mail Merge'!$I294="Did Not Meet",'Mail Merge'!$N294="Did Not Meet"),MIN(ABS('Mail Merge'!$H294),ABS('Mail Merge'!$M294),'Mail Merge'!$Q294),0)</f>
        <v>0</v>
      </c>
      <c r="V294" s="199" t="str">
        <f>IF(OR(IFERROR(SEARCH("Met",'Mail Merge'!$N294),0)&gt;0,IFERROR(SEARCH("Met",'Mail Merge'!$I294),0)&gt;0),"Met","Not Met")</f>
        <v>Met</v>
      </c>
    </row>
    <row r="295" spans="1:22" x14ac:dyDescent="0.35">
      <c r="A295" s="200" t="s">
        <v>118</v>
      </c>
      <c r="B295" s="201">
        <v>2059</v>
      </c>
      <c r="C295" s="201" t="s">
        <v>159</v>
      </c>
      <c r="D295" s="201">
        <v>98</v>
      </c>
      <c r="E295" s="201">
        <v>263723.33</v>
      </c>
      <c r="F295" s="201">
        <v>257431.01</v>
      </c>
      <c r="G295" s="201">
        <f>'Mail Merge'!$E295+'Mail Merge'!$F295</f>
        <v>521154.34</v>
      </c>
      <c r="H295" s="201">
        <v>0</v>
      </c>
      <c r="I295" s="201" t="s">
        <v>241</v>
      </c>
      <c r="J295" s="201">
        <f>IFERROR('Mail Merge'!$E295/'Mail Merge'!$D295,0)</f>
        <v>2691.0543877551022</v>
      </c>
      <c r="K295" s="201">
        <f>IFERROR('Mail Merge'!$F295/'Mail Merge'!$D295,0)</f>
        <v>2626.8470408163266</v>
      </c>
      <c r="L295" s="201">
        <f>IFERROR('Mail Merge'!$G295/'Mail Merge'!$D295,0)</f>
        <v>5317.9014285714293</v>
      </c>
      <c r="M295" s="201">
        <v>0</v>
      </c>
      <c r="N295" s="201" t="s">
        <v>240</v>
      </c>
      <c r="O295" s="201">
        <v>121062.37</v>
      </c>
      <c r="P295" s="201">
        <v>1474.29</v>
      </c>
      <c r="Q295" s="201">
        <f>'Mail Merge'!$O295+'Mail Merge'!$P295</f>
        <v>122536.65999999999</v>
      </c>
      <c r="R295" s="201"/>
      <c r="S295" s="201"/>
      <c r="T295" s="201"/>
      <c r="U295" s="201">
        <f>IF(AND('Mail Merge'!$I295="Did Not Meet",'Mail Merge'!$N295="Did Not Meet"),MIN(ABS('Mail Merge'!$H295),ABS('Mail Merge'!$M295),'Mail Merge'!$Q295),0)</f>
        <v>0</v>
      </c>
      <c r="V295" s="201" t="str">
        <f>IF(OR(IFERROR(SEARCH("Met",'Mail Merge'!$N295),0)&gt;0,IFERROR(SEARCH("Met",'Mail Merge'!$I295),0)&gt;0),"Met","Not Met")</f>
        <v>Met</v>
      </c>
    </row>
    <row r="296" spans="1:22" x14ac:dyDescent="0.35">
      <c r="A296" s="198" t="s">
        <v>119</v>
      </c>
      <c r="B296" s="199">
        <v>1923</v>
      </c>
      <c r="C296" s="199" t="s">
        <v>159</v>
      </c>
      <c r="D296" s="199">
        <v>548</v>
      </c>
      <c r="E296" s="199">
        <v>7761565.9199999999</v>
      </c>
      <c r="F296" s="199">
        <v>431552</v>
      </c>
      <c r="G296" s="199">
        <f>'Mail Merge'!$E296+'Mail Merge'!$F296</f>
        <v>8193117.9199999999</v>
      </c>
      <c r="H296" s="199">
        <v>0</v>
      </c>
      <c r="I296" s="199" t="s">
        <v>241</v>
      </c>
      <c r="J296" s="199">
        <f>IFERROR('Mail Merge'!$E296/'Mail Merge'!$D296,0)</f>
        <v>14163.441459854015</v>
      </c>
      <c r="K296" s="199">
        <f>IFERROR('Mail Merge'!$F296/'Mail Merge'!$D296,0)</f>
        <v>787.50364963503648</v>
      </c>
      <c r="L296" s="199">
        <f>IFERROR('Mail Merge'!$G296/'Mail Merge'!$D296,0)</f>
        <v>14950.94510948905</v>
      </c>
      <c r="M296" s="199">
        <v>0</v>
      </c>
      <c r="N296" s="199" t="s">
        <v>241</v>
      </c>
      <c r="O296" s="199">
        <v>938970.88</v>
      </c>
      <c r="P296" s="199">
        <v>3774.17</v>
      </c>
      <c r="Q296" s="199">
        <f>'Mail Merge'!$O296+'Mail Merge'!$P296</f>
        <v>942745.05</v>
      </c>
      <c r="R296" s="199"/>
      <c r="S296" s="199"/>
      <c r="T296" s="199"/>
      <c r="U296" s="199">
        <f>IF(AND('Mail Merge'!$I296="Did Not Meet",'Mail Merge'!$N296="Did Not Meet"),MIN(ABS('Mail Merge'!$H296),ABS('Mail Merge'!$M296),'Mail Merge'!$Q296),0)</f>
        <v>0</v>
      </c>
      <c r="V296" s="199" t="str">
        <f>IF(OR(IFERROR(SEARCH("Met",'Mail Merge'!$N296),0)&gt;0,IFERROR(SEARCH("Met",'Mail Merge'!$I296),0)&gt;0),"Met","Not Met")</f>
        <v>Met</v>
      </c>
    </row>
    <row r="297" spans="1:22" x14ac:dyDescent="0.35">
      <c r="A297" s="200" t="s">
        <v>120</v>
      </c>
      <c r="B297" s="201">
        <v>2101</v>
      </c>
      <c r="C297" s="201" t="s">
        <v>159</v>
      </c>
      <c r="D297" s="201">
        <v>589</v>
      </c>
      <c r="E297" s="201">
        <v>3867268.29</v>
      </c>
      <c r="F297" s="201">
        <v>474805</v>
      </c>
      <c r="G297" s="201">
        <f>'Mail Merge'!$E297+'Mail Merge'!$F297</f>
        <v>4342073.29</v>
      </c>
      <c r="H297" s="201">
        <v>0</v>
      </c>
      <c r="I297" s="201" t="s">
        <v>241</v>
      </c>
      <c r="J297" s="201">
        <f>IFERROR('Mail Merge'!$E297/'Mail Merge'!$D297,0)</f>
        <v>6565.8205263157897</v>
      </c>
      <c r="K297" s="201">
        <f>IFERROR('Mail Merge'!$F297/'Mail Merge'!$D297,0)</f>
        <v>806.12054329371813</v>
      </c>
      <c r="L297" s="201">
        <f>IFERROR('Mail Merge'!$G297/'Mail Merge'!$D297,0)</f>
        <v>7371.9410696095074</v>
      </c>
      <c r="M297" s="201">
        <v>0</v>
      </c>
      <c r="N297" s="201" t="s">
        <v>241</v>
      </c>
      <c r="O297" s="201">
        <v>745794.26</v>
      </c>
      <c r="P297" s="201">
        <v>5082.2700000000004</v>
      </c>
      <c r="Q297" s="201">
        <f>'Mail Merge'!$O297+'Mail Merge'!$P297</f>
        <v>750876.53</v>
      </c>
      <c r="R297" s="201"/>
      <c r="S297" s="201"/>
      <c r="T297" s="201"/>
      <c r="U297" s="201">
        <f>IF(AND('Mail Merge'!$I297="Did Not Meet",'Mail Merge'!$N297="Did Not Meet"),MIN(ABS('Mail Merge'!$H297),ABS('Mail Merge'!$M297),'Mail Merge'!$Q297),0)</f>
        <v>0</v>
      </c>
      <c r="V297" s="201" t="str">
        <f>IF(OR(IFERROR(SEARCH("Met",'Mail Merge'!$N297),0)&gt;0,IFERROR(SEARCH("Met",'Mail Merge'!$I297),0)&gt;0),"Met","Not Met")</f>
        <v>Met</v>
      </c>
    </row>
    <row r="298" spans="1:22" x14ac:dyDescent="0.35">
      <c r="A298" s="198" t="s">
        <v>121</v>
      </c>
      <c r="B298" s="199">
        <v>2097</v>
      </c>
      <c r="C298" s="199" t="s">
        <v>159</v>
      </c>
      <c r="D298" s="199">
        <v>644</v>
      </c>
      <c r="E298" s="199">
        <v>5539028.4100000001</v>
      </c>
      <c r="F298" s="199">
        <v>454843</v>
      </c>
      <c r="G298" s="199">
        <f>'Mail Merge'!$E298+'Mail Merge'!$F298</f>
        <v>5993871.4100000001</v>
      </c>
      <c r="H298" s="199">
        <v>0</v>
      </c>
      <c r="I298" s="199" t="s">
        <v>241</v>
      </c>
      <c r="J298" s="199">
        <f>IFERROR('Mail Merge'!$E298/'Mail Merge'!$D298,0)</f>
        <v>8600.9757919254662</v>
      </c>
      <c r="K298" s="199">
        <f>IFERROR('Mail Merge'!$F298/'Mail Merge'!$D298,0)</f>
        <v>706.27795031055905</v>
      </c>
      <c r="L298" s="199">
        <f>IFERROR('Mail Merge'!$G298/'Mail Merge'!$D298,0)</f>
        <v>9307.2537422360256</v>
      </c>
      <c r="M298" s="199">
        <v>0</v>
      </c>
      <c r="N298" s="199" t="s">
        <v>241</v>
      </c>
      <c r="O298" s="199">
        <v>962296.96</v>
      </c>
      <c r="P298" s="199">
        <v>13364.67</v>
      </c>
      <c r="Q298" s="199">
        <f>'Mail Merge'!$O298+'Mail Merge'!$P298</f>
        <v>975661.63</v>
      </c>
      <c r="R298" s="199"/>
      <c r="S298" s="199"/>
      <c r="T298" s="199"/>
      <c r="U298" s="199">
        <f>IF(AND('Mail Merge'!$I298="Did Not Meet",'Mail Merge'!$N298="Did Not Meet"),MIN(ABS('Mail Merge'!$H298),ABS('Mail Merge'!$M298),'Mail Merge'!$Q298),0)</f>
        <v>0</v>
      </c>
      <c r="V298" s="199" t="str">
        <f>IF(OR(IFERROR(SEARCH("Met",'Mail Merge'!$N298),0)&gt;0,IFERROR(SEARCH("Met",'Mail Merge'!$I298),0)&gt;0),"Met","Not Met")</f>
        <v>Met</v>
      </c>
    </row>
    <row r="299" spans="1:22" x14ac:dyDescent="0.35">
      <c r="A299" s="200" t="s">
        <v>122</v>
      </c>
      <c r="B299" s="201">
        <v>2012</v>
      </c>
      <c r="C299" s="201" t="s">
        <v>159</v>
      </c>
      <c r="D299" s="201">
        <v>4</v>
      </c>
      <c r="E299" s="201">
        <v>20291.400000000001</v>
      </c>
      <c r="F299" s="201">
        <v>98525.82</v>
      </c>
      <c r="G299" s="201">
        <f>'Mail Merge'!$E299+'Mail Merge'!$F299</f>
        <v>118817.22</v>
      </c>
      <c r="H299" s="201">
        <v>0</v>
      </c>
      <c r="I299" s="201" t="s">
        <v>241</v>
      </c>
      <c r="J299" s="201">
        <f>IFERROR('Mail Merge'!$E299/'Mail Merge'!$D299,0)</f>
        <v>5072.8500000000004</v>
      </c>
      <c r="K299" s="201">
        <f>IFERROR('Mail Merge'!$F299/'Mail Merge'!$D299,0)</f>
        <v>24631.455000000002</v>
      </c>
      <c r="L299" s="201">
        <f>IFERROR('Mail Merge'!$G299/'Mail Merge'!$D299,0)</f>
        <v>29704.305</v>
      </c>
      <c r="M299" s="201">
        <v>0</v>
      </c>
      <c r="N299" s="201" t="s">
        <v>241</v>
      </c>
      <c r="O299" s="201">
        <v>5372.79</v>
      </c>
      <c r="P299" s="201">
        <v>4.1900000000000004</v>
      </c>
      <c r="Q299" s="201">
        <f>'Mail Merge'!$O299+'Mail Merge'!$P299</f>
        <v>5376.98</v>
      </c>
      <c r="R299" s="201"/>
      <c r="S299" s="201"/>
      <c r="T299" s="201"/>
      <c r="U299" s="201">
        <f>IF(AND('Mail Merge'!$I299="Did Not Meet",'Mail Merge'!$N299="Did Not Meet"),MIN(ABS('Mail Merge'!$H299),ABS('Mail Merge'!$M299),'Mail Merge'!$Q299),0)</f>
        <v>0</v>
      </c>
      <c r="V299" s="201" t="str">
        <f>IF(OR(IFERROR(SEARCH("Met",'Mail Merge'!$N299),0)&gt;0,IFERROR(SEARCH("Met",'Mail Merge'!$I299),0)&gt;0),"Met","Not Met")</f>
        <v>Met</v>
      </c>
    </row>
    <row r="300" spans="1:22" x14ac:dyDescent="0.35">
      <c r="A300" s="198" t="s">
        <v>123</v>
      </c>
      <c r="B300" s="199">
        <v>2092</v>
      </c>
      <c r="C300" s="199" t="s">
        <v>159</v>
      </c>
      <c r="D300" s="199">
        <v>49</v>
      </c>
      <c r="E300" s="199">
        <v>372418.22</v>
      </c>
      <c r="F300" s="199">
        <v>159833</v>
      </c>
      <c r="G300" s="199">
        <f>'Mail Merge'!$E300+'Mail Merge'!$F300</f>
        <v>532251.22</v>
      </c>
      <c r="H300" s="199">
        <v>0</v>
      </c>
      <c r="I300" s="199" t="s">
        <v>241</v>
      </c>
      <c r="J300" s="199">
        <f>IFERROR('Mail Merge'!$E300/'Mail Merge'!$D300,0)</f>
        <v>7600.3718367346937</v>
      </c>
      <c r="K300" s="199">
        <f>IFERROR('Mail Merge'!$F300/'Mail Merge'!$D300,0)</f>
        <v>3261.8979591836733</v>
      </c>
      <c r="L300" s="199">
        <f>IFERROR('Mail Merge'!$G300/'Mail Merge'!$D300,0)</f>
        <v>10862.269795918366</v>
      </c>
      <c r="M300" s="199">
        <v>0</v>
      </c>
      <c r="N300" s="199" t="s">
        <v>241</v>
      </c>
      <c r="O300" s="199">
        <v>58059.79</v>
      </c>
      <c r="P300" s="199">
        <v>660.75</v>
      </c>
      <c r="Q300" s="199">
        <f>'Mail Merge'!$O300+'Mail Merge'!$P300</f>
        <v>58720.54</v>
      </c>
      <c r="R300" s="199"/>
      <c r="S300" s="199"/>
      <c r="T300" s="199"/>
      <c r="U300" s="199">
        <f>IF(AND('Mail Merge'!$I300="Did Not Meet",'Mail Merge'!$N300="Did Not Meet"),MIN(ABS('Mail Merge'!$H300),ABS('Mail Merge'!$M300),'Mail Merge'!$Q300),0)</f>
        <v>0</v>
      </c>
      <c r="V300" s="199" t="str">
        <f>IF(OR(IFERROR(SEARCH("Met",'Mail Merge'!$N300),0)&gt;0,IFERROR(SEARCH("Met",'Mail Merge'!$I300),0)&gt;0),"Met","Not Met")</f>
        <v>Met</v>
      </c>
    </row>
    <row r="301" spans="1:22" x14ac:dyDescent="0.35">
      <c r="A301" s="200" t="s">
        <v>124</v>
      </c>
      <c r="B301" s="201">
        <v>2112</v>
      </c>
      <c r="C301" s="201" t="s">
        <v>159</v>
      </c>
      <c r="D301" s="201">
        <v>0</v>
      </c>
      <c r="E301" s="201">
        <v>0</v>
      </c>
      <c r="F301" s="201">
        <v>183.96</v>
      </c>
      <c r="G301" s="201">
        <f>'Mail Merge'!$E301+'Mail Merge'!$F301</f>
        <v>183.96</v>
      </c>
      <c r="H301" s="201">
        <v>0</v>
      </c>
      <c r="I301" s="201" t="s">
        <v>240</v>
      </c>
      <c r="J301" s="201">
        <f>IFERROR('Mail Merge'!$E301/'Mail Merge'!$D301,0)</f>
        <v>0</v>
      </c>
      <c r="K301" s="201">
        <f>IFERROR('Mail Merge'!$F301/'Mail Merge'!$D301,0)</f>
        <v>0</v>
      </c>
      <c r="L301" s="201">
        <f>IFERROR('Mail Merge'!$G301/'Mail Merge'!$D301,0)</f>
        <v>0</v>
      </c>
      <c r="M301" s="201">
        <v>0</v>
      </c>
      <c r="N301" s="201" t="s">
        <v>241</v>
      </c>
      <c r="O301" s="201">
        <v>1548.54</v>
      </c>
      <c r="P301" s="201">
        <v>1.22</v>
      </c>
      <c r="Q301" s="201">
        <f>'Mail Merge'!$O301+'Mail Merge'!$P301</f>
        <v>1549.76</v>
      </c>
      <c r="R301" s="201"/>
      <c r="S301" s="201"/>
      <c r="T301" s="201"/>
      <c r="U301" s="201">
        <f>IF(AND('Mail Merge'!$I301="Did Not Meet",'Mail Merge'!$N301="Did Not Meet"),MIN(ABS('Mail Merge'!$H301),ABS('Mail Merge'!$M301),'Mail Merge'!$Q301),0)</f>
        <v>0</v>
      </c>
      <c r="V301" s="201" t="str">
        <f>IF(OR(IFERROR(SEARCH("Met",'Mail Merge'!$N301),0)&gt;0,IFERROR(SEARCH("Met",'Mail Merge'!$I301),0)&gt;0),"Met","Not Met")</f>
        <v>Met</v>
      </c>
    </row>
    <row r="302" spans="1:22" x14ac:dyDescent="0.35">
      <c r="A302" s="198" t="s">
        <v>125</v>
      </c>
      <c r="B302" s="199">
        <v>2085</v>
      </c>
      <c r="C302" s="199" t="s">
        <v>159</v>
      </c>
      <c r="D302" s="199">
        <v>44</v>
      </c>
      <c r="E302" s="199">
        <v>213418.28</v>
      </c>
      <c r="F302" s="199">
        <v>51650</v>
      </c>
      <c r="G302" s="199">
        <f>'Mail Merge'!$E302+'Mail Merge'!$F302</f>
        <v>265068.28000000003</v>
      </c>
      <c r="H302" s="199">
        <v>0</v>
      </c>
      <c r="I302" s="199" t="s">
        <v>241</v>
      </c>
      <c r="J302" s="199">
        <f>IFERROR('Mail Merge'!$E302/'Mail Merge'!$D302,0)</f>
        <v>4850.4154545454548</v>
      </c>
      <c r="K302" s="199">
        <f>IFERROR('Mail Merge'!$F302/'Mail Merge'!$D302,0)</f>
        <v>1173.8636363636363</v>
      </c>
      <c r="L302" s="199">
        <f>IFERROR('Mail Merge'!$G302/'Mail Merge'!$D302,0)</f>
        <v>6024.2790909090918</v>
      </c>
      <c r="M302" s="199">
        <v>0</v>
      </c>
      <c r="N302" s="199" t="s">
        <v>240</v>
      </c>
      <c r="O302" s="199">
        <v>53539.92</v>
      </c>
      <c r="P302" s="199">
        <v>0</v>
      </c>
      <c r="Q302" s="199">
        <f>'Mail Merge'!$O302+'Mail Merge'!$P302</f>
        <v>53539.92</v>
      </c>
      <c r="R302" s="199"/>
      <c r="S302" s="199"/>
      <c r="T302" s="199"/>
      <c r="U302" s="199">
        <f>IF(AND('Mail Merge'!$I302="Did Not Meet",'Mail Merge'!$N302="Did Not Meet"),MIN(ABS('Mail Merge'!$H302),ABS('Mail Merge'!$M302),'Mail Merge'!$Q302),0)</f>
        <v>0</v>
      </c>
      <c r="V302" s="199" t="str">
        <f>IF(OR(IFERROR(SEARCH("Met",'Mail Merge'!$N302),0)&gt;0,IFERROR(SEARCH("Met",'Mail Merge'!$I302),0)&gt;0),"Met","Not Met")</f>
        <v>Met</v>
      </c>
    </row>
    <row r="303" spans="1:22" x14ac:dyDescent="0.35">
      <c r="A303" s="200" t="s">
        <v>126</v>
      </c>
      <c r="B303" s="201">
        <v>2094</v>
      </c>
      <c r="C303" s="201" t="s">
        <v>159</v>
      </c>
      <c r="D303" s="201">
        <v>30</v>
      </c>
      <c r="E303" s="201">
        <v>240250.11</v>
      </c>
      <c r="F303" s="201">
        <v>73235</v>
      </c>
      <c r="G303" s="201">
        <f>'Mail Merge'!$E303+'Mail Merge'!$F303</f>
        <v>313485.11</v>
      </c>
      <c r="H303" s="201">
        <v>0</v>
      </c>
      <c r="I303" s="201" t="s">
        <v>241</v>
      </c>
      <c r="J303" s="201">
        <f>IFERROR('Mail Merge'!$E303/'Mail Merge'!$D303,0)</f>
        <v>8008.3369999999995</v>
      </c>
      <c r="K303" s="201">
        <f>IFERROR('Mail Merge'!$F303/'Mail Merge'!$D303,0)</f>
        <v>2441.1666666666665</v>
      </c>
      <c r="L303" s="201">
        <f>IFERROR('Mail Merge'!$G303/'Mail Merge'!$D303,0)</f>
        <v>10449.503666666666</v>
      </c>
      <c r="M303" s="201">
        <v>0</v>
      </c>
      <c r="N303" s="201" t="s">
        <v>241</v>
      </c>
      <c r="O303" s="201">
        <v>41798.51</v>
      </c>
      <c r="P303" s="201">
        <v>0</v>
      </c>
      <c r="Q303" s="201">
        <f>'Mail Merge'!$O303+'Mail Merge'!$P303</f>
        <v>41798.51</v>
      </c>
      <c r="R303" s="201"/>
      <c r="S303" s="201"/>
      <c r="T303" s="201"/>
      <c r="U303" s="201">
        <f>IF(AND('Mail Merge'!$I303="Did Not Meet",'Mail Merge'!$N303="Did Not Meet"),MIN(ABS('Mail Merge'!$H303),ABS('Mail Merge'!$M303),'Mail Merge'!$Q303),0)</f>
        <v>0</v>
      </c>
      <c r="V303" s="201" t="str">
        <f>IF(OR(IFERROR(SEARCH("Met",'Mail Merge'!$N303),0)&gt;0,IFERROR(SEARCH("Met",'Mail Merge'!$I303),0)&gt;0),"Met","Not Met")</f>
        <v>Met</v>
      </c>
    </row>
    <row r="304" spans="1:22" x14ac:dyDescent="0.35">
      <c r="A304" s="198" t="s">
        <v>127</v>
      </c>
      <c r="B304" s="199">
        <v>2090</v>
      </c>
      <c r="C304" s="199" t="s">
        <v>159</v>
      </c>
      <c r="D304" s="199">
        <v>32</v>
      </c>
      <c r="E304" s="199">
        <v>232045.28</v>
      </c>
      <c r="F304" s="199">
        <v>62834</v>
      </c>
      <c r="G304" s="199">
        <f>'Mail Merge'!$E304+'Mail Merge'!$F304</f>
        <v>294879.28000000003</v>
      </c>
      <c r="H304" s="199">
        <v>0</v>
      </c>
      <c r="I304" s="199" t="s">
        <v>241</v>
      </c>
      <c r="J304" s="199">
        <f>IFERROR('Mail Merge'!$E304/'Mail Merge'!$D304,0)</f>
        <v>7251.415</v>
      </c>
      <c r="K304" s="199">
        <f>IFERROR('Mail Merge'!$F304/'Mail Merge'!$D304,0)</f>
        <v>1963.5625</v>
      </c>
      <c r="L304" s="199">
        <f>IFERROR('Mail Merge'!$G304/'Mail Merge'!$D304,0)</f>
        <v>9214.9775000000009</v>
      </c>
      <c r="M304" s="199">
        <v>0</v>
      </c>
      <c r="N304" s="199" t="s">
        <v>241</v>
      </c>
      <c r="O304" s="199">
        <v>44700.21</v>
      </c>
      <c r="P304" s="199">
        <v>0</v>
      </c>
      <c r="Q304" s="199">
        <f>'Mail Merge'!$O304+'Mail Merge'!$P304</f>
        <v>44700.21</v>
      </c>
      <c r="R304" s="199"/>
      <c r="S304" s="199"/>
      <c r="T304" s="199"/>
      <c r="U304" s="199">
        <f>IF(AND('Mail Merge'!$I304="Did Not Meet",'Mail Merge'!$N304="Did Not Meet"),MIN(ABS('Mail Merge'!$H304),ABS('Mail Merge'!$M304),'Mail Merge'!$Q304),0)</f>
        <v>0</v>
      </c>
      <c r="V304" s="199" t="str">
        <f>IF(OR(IFERROR(SEARCH("Met",'Mail Merge'!$N304),0)&gt;0,IFERROR(SEARCH("Met",'Mail Merge'!$I304),0)&gt;0),"Met","Not Met")</f>
        <v>Met</v>
      </c>
    </row>
    <row r="305" spans="1:22" x14ac:dyDescent="0.35">
      <c r="A305" s="200" t="s">
        <v>128</v>
      </c>
      <c r="B305" s="201">
        <v>2256</v>
      </c>
      <c r="C305" s="201" t="s">
        <v>159</v>
      </c>
      <c r="D305" s="201">
        <v>798</v>
      </c>
      <c r="E305" s="201">
        <v>4907178.3</v>
      </c>
      <c r="F305" s="201">
        <v>552260.31999999995</v>
      </c>
      <c r="G305" s="201">
        <f>'Mail Merge'!$E305+'Mail Merge'!$F305</f>
        <v>5459438.6200000001</v>
      </c>
      <c r="H305" s="201">
        <v>0</v>
      </c>
      <c r="I305" s="201" t="s">
        <v>241</v>
      </c>
      <c r="J305" s="201">
        <f>IFERROR('Mail Merge'!$E305/'Mail Merge'!$D305,0)</f>
        <v>6149.3462406015033</v>
      </c>
      <c r="K305" s="201">
        <f>IFERROR('Mail Merge'!$F305/'Mail Merge'!$D305,0)</f>
        <v>692.05553884711776</v>
      </c>
      <c r="L305" s="201">
        <f>IFERROR('Mail Merge'!$G305/'Mail Merge'!$D305,0)</f>
        <v>6841.4017794486217</v>
      </c>
      <c r="M305" s="201">
        <v>0</v>
      </c>
      <c r="N305" s="201" t="s">
        <v>241</v>
      </c>
      <c r="O305" s="201">
        <v>898870.06</v>
      </c>
      <c r="P305" s="201">
        <v>8744.65</v>
      </c>
      <c r="Q305" s="201">
        <f>'Mail Merge'!$O305+'Mail Merge'!$P305</f>
        <v>907614.71000000008</v>
      </c>
      <c r="R305" s="201"/>
      <c r="S305" s="201"/>
      <c r="T305" s="201"/>
      <c r="U305" s="201">
        <f>IF(AND('Mail Merge'!$I305="Did Not Meet",'Mail Merge'!$N305="Did Not Meet"),MIN(ABS('Mail Merge'!$H305),ABS('Mail Merge'!$M305),'Mail Merge'!$Q305),0)</f>
        <v>0</v>
      </c>
      <c r="V305" s="201" t="str">
        <f>IF(OR(IFERROR(SEARCH("Met",'Mail Merge'!$N305),0)&gt;0,IFERROR(SEARCH("Met",'Mail Merge'!$I305),0)&gt;0),"Met","Not Met")</f>
        <v>Met</v>
      </c>
    </row>
    <row r="306" spans="1:22" x14ac:dyDescent="0.35">
      <c r="A306" s="198" t="s">
        <v>129</v>
      </c>
      <c r="B306" s="199">
        <v>2048</v>
      </c>
      <c r="C306" s="199" t="s">
        <v>159</v>
      </c>
      <c r="D306" s="199">
        <v>1375</v>
      </c>
      <c r="E306" s="199">
        <v>8879185.8599999994</v>
      </c>
      <c r="F306" s="199">
        <v>2663772.62</v>
      </c>
      <c r="G306" s="199">
        <f>'Mail Merge'!$E306+'Mail Merge'!$F306</f>
        <v>11542958.48</v>
      </c>
      <c r="H306" s="199">
        <v>0</v>
      </c>
      <c r="I306" s="199" t="s">
        <v>241</v>
      </c>
      <c r="J306" s="199">
        <f>IFERROR('Mail Merge'!$E306/'Mail Merge'!$D306,0)</f>
        <v>6457.5897163636355</v>
      </c>
      <c r="K306" s="199">
        <f>IFERROR('Mail Merge'!$F306/'Mail Merge'!$D306,0)</f>
        <v>1937.2891781818182</v>
      </c>
      <c r="L306" s="199">
        <f>IFERROR('Mail Merge'!$G306/'Mail Merge'!$D306,0)</f>
        <v>8394.8788945454544</v>
      </c>
      <c r="M306" s="199">
        <v>0</v>
      </c>
      <c r="N306" s="199" t="s">
        <v>240</v>
      </c>
      <c r="O306" s="199">
        <v>1967620.02</v>
      </c>
      <c r="P306" s="199">
        <v>23005.55</v>
      </c>
      <c r="Q306" s="199">
        <f>'Mail Merge'!$O306+'Mail Merge'!$P306</f>
        <v>1990625.57</v>
      </c>
      <c r="R306" s="199"/>
      <c r="S306" s="199"/>
      <c r="T306" s="199"/>
      <c r="U306" s="199">
        <f>IF(AND('Mail Merge'!$I306="Did Not Meet",'Mail Merge'!$N306="Did Not Meet"),MIN(ABS('Mail Merge'!$H306),ABS('Mail Merge'!$M306),'Mail Merge'!$Q306),0)</f>
        <v>0</v>
      </c>
      <c r="V306" s="199" t="str">
        <f>IF(OR(IFERROR(SEARCH("Met",'Mail Merge'!$N306),0)&gt;0,IFERROR(SEARCH("Met",'Mail Merge'!$I306),0)&gt;0),"Met","Not Met")</f>
        <v>Met</v>
      </c>
    </row>
    <row r="307" spans="1:22" x14ac:dyDescent="0.35">
      <c r="A307" s="200" t="s">
        <v>130</v>
      </c>
      <c r="B307" s="201">
        <v>2205</v>
      </c>
      <c r="C307" s="201" t="s">
        <v>159</v>
      </c>
      <c r="D307" s="201">
        <v>210</v>
      </c>
      <c r="E307" s="201">
        <v>2168622.17</v>
      </c>
      <c r="F307" s="201">
        <v>347771.89</v>
      </c>
      <c r="G307" s="201">
        <f>'Mail Merge'!$E307+'Mail Merge'!$F307</f>
        <v>2516394.06</v>
      </c>
      <c r="H307" s="201">
        <v>0</v>
      </c>
      <c r="I307" s="201" t="s">
        <v>240</v>
      </c>
      <c r="J307" s="201">
        <f>IFERROR('Mail Merge'!$E307/'Mail Merge'!$D307,0)</f>
        <v>10326.772238095238</v>
      </c>
      <c r="K307" s="201">
        <f>IFERROR('Mail Merge'!$F307/'Mail Merge'!$D307,0)</f>
        <v>1656.0566190476191</v>
      </c>
      <c r="L307" s="201">
        <f>IFERROR('Mail Merge'!$G307/'Mail Merge'!$D307,0)</f>
        <v>11982.828857142857</v>
      </c>
      <c r="M307" s="201">
        <v>0</v>
      </c>
      <c r="N307" s="201" t="s">
        <v>240</v>
      </c>
      <c r="O307" s="201">
        <v>320580.13</v>
      </c>
      <c r="P307" s="201">
        <v>2764.7</v>
      </c>
      <c r="Q307" s="201">
        <f>'Mail Merge'!$O307+'Mail Merge'!$P307</f>
        <v>323344.83</v>
      </c>
      <c r="R307" s="201"/>
      <c r="S307" s="201"/>
      <c r="T307" s="201"/>
      <c r="U307" s="201">
        <f>IF(AND('Mail Merge'!$I307="Did Not Meet",'Mail Merge'!$N307="Did Not Meet"),MIN(ABS('Mail Merge'!$H307),ABS('Mail Merge'!$M307),'Mail Merge'!$Q307),0)</f>
        <v>0</v>
      </c>
      <c r="V307" s="201" t="str">
        <f>IF(OR(IFERROR(SEARCH("Met",'Mail Merge'!$N307),0)&gt;0,IFERROR(SEARCH("Met",'Mail Merge'!$I307),0)&gt;0),"Met","Not Met")</f>
        <v>Not Met</v>
      </c>
    </row>
    <row r="308" spans="1:22" x14ac:dyDescent="0.35">
      <c r="A308" s="198" t="s">
        <v>131</v>
      </c>
      <c r="B308" s="199">
        <v>2249</v>
      </c>
      <c r="C308" s="199" t="s">
        <v>159</v>
      </c>
      <c r="D308" s="199">
        <v>8</v>
      </c>
      <c r="E308" s="199">
        <v>37900.5</v>
      </c>
      <c r="F308" s="199">
        <v>12642</v>
      </c>
      <c r="G308" s="199">
        <f>'Mail Merge'!$E308+'Mail Merge'!$F308</f>
        <v>50542.5</v>
      </c>
      <c r="H308" s="199">
        <v>0</v>
      </c>
      <c r="I308" s="199" t="s">
        <v>240</v>
      </c>
      <c r="J308" s="199">
        <f>IFERROR('Mail Merge'!$E308/'Mail Merge'!$D308,0)</f>
        <v>4737.5625</v>
      </c>
      <c r="K308" s="199">
        <f>IFERROR('Mail Merge'!$F308/'Mail Merge'!$D308,0)</f>
        <v>1580.25</v>
      </c>
      <c r="L308" s="199">
        <f>IFERROR('Mail Merge'!$G308/'Mail Merge'!$D308,0)</f>
        <v>6317.8125</v>
      </c>
      <c r="M308" s="199">
        <v>0</v>
      </c>
      <c r="N308" s="199" t="s">
        <v>240</v>
      </c>
      <c r="O308" s="199">
        <v>13724.35</v>
      </c>
      <c r="P308" s="199">
        <v>0</v>
      </c>
      <c r="Q308" s="199">
        <f>'Mail Merge'!$O308+'Mail Merge'!$P308</f>
        <v>13724.35</v>
      </c>
      <c r="R308" s="199"/>
      <c r="S308" s="199"/>
      <c r="T308" s="199"/>
      <c r="U308" s="199">
        <f>IF(AND('Mail Merge'!$I308="Did Not Meet",'Mail Merge'!$N308="Did Not Meet"),MIN(ABS('Mail Merge'!$H308),ABS('Mail Merge'!$M308),'Mail Merge'!$Q308),0)</f>
        <v>0</v>
      </c>
      <c r="V308" s="199" t="str">
        <f>IF(OR(IFERROR(SEARCH("Met",'Mail Merge'!$N308),0)&gt;0,IFERROR(SEARCH("Met",'Mail Merge'!$I308),0)&gt;0),"Met","Not Met")</f>
        <v>Not Met</v>
      </c>
    </row>
    <row r="309" spans="1:22" x14ac:dyDescent="0.35">
      <c r="A309" s="200" t="s">
        <v>132</v>
      </c>
      <c r="B309" s="201">
        <v>1925</v>
      </c>
      <c r="C309" s="201" t="s">
        <v>159</v>
      </c>
      <c r="D309" s="201">
        <v>451</v>
      </c>
      <c r="E309" s="201">
        <v>3130256.12</v>
      </c>
      <c r="F309" s="201">
        <v>573278</v>
      </c>
      <c r="G309" s="201">
        <f>'Mail Merge'!$E309+'Mail Merge'!$F309</f>
        <v>3703534.12</v>
      </c>
      <c r="H309" s="201">
        <v>0</v>
      </c>
      <c r="I309" s="201" t="s">
        <v>242</v>
      </c>
      <c r="J309" s="201">
        <f>IFERROR('Mail Merge'!$E309/'Mail Merge'!$D309,0)</f>
        <v>6940.7009312638584</v>
      </c>
      <c r="K309" s="201">
        <f>IFERROR('Mail Merge'!$F309/'Mail Merge'!$D309,0)</f>
        <v>1271.1263858093128</v>
      </c>
      <c r="L309" s="201">
        <f>IFERROR('Mail Merge'!$G309/'Mail Merge'!$D309,0)</f>
        <v>8211.8273170731718</v>
      </c>
      <c r="M309" s="201">
        <v>0</v>
      </c>
      <c r="N309" s="201" t="s">
        <v>241</v>
      </c>
      <c r="O309" s="201">
        <v>456319.58</v>
      </c>
      <c r="P309" s="201">
        <v>3589.34</v>
      </c>
      <c r="Q309" s="201">
        <f>'Mail Merge'!$O309+'Mail Merge'!$P309</f>
        <v>459908.92000000004</v>
      </c>
      <c r="R309" s="201"/>
      <c r="S309" s="201">
        <v>98424.35</v>
      </c>
      <c r="T309" s="201">
        <v>98424.35</v>
      </c>
      <c r="U309" s="201">
        <f>IF(AND('Mail Merge'!$I309="Did Not Meet",'Mail Merge'!$N309="Did Not Meet"),MIN(ABS('Mail Merge'!$H309),ABS('Mail Merge'!$M309),'Mail Merge'!$Q309),0)</f>
        <v>0</v>
      </c>
      <c r="V309" s="201" t="str">
        <f>IF(OR(IFERROR(SEARCH("Met",'Mail Merge'!$N309),0)&gt;0,IFERROR(SEARCH("Met",'Mail Merge'!$I309),0)&gt;0),"Met","Not Met")</f>
        <v>Met</v>
      </c>
    </row>
    <row r="310" spans="1:22" x14ac:dyDescent="0.35">
      <c r="A310" s="198" t="s">
        <v>133</v>
      </c>
      <c r="B310" s="199">
        <v>1898</v>
      </c>
      <c r="C310" s="199" t="s">
        <v>159</v>
      </c>
      <c r="D310" s="199">
        <v>56</v>
      </c>
      <c r="E310" s="199">
        <v>657063.23</v>
      </c>
      <c r="F310" s="199">
        <v>38590</v>
      </c>
      <c r="G310" s="199">
        <f>'Mail Merge'!$E310+'Mail Merge'!$F310</f>
        <v>695653.23</v>
      </c>
      <c r="H310" s="199">
        <v>0</v>
      </c>
      <c r="I310" s="199" t="s">
        <v>240</v>
      </c>
      <c r="J310" s="199">
        <f>IFERROR('Mail Merge'!$E310/'Mail Merge'!$D310,0)</f>
        <v>11733.271964285714</v>
      </c>
      <c r="K310" s="199">
        <f>IFERROR('Mail Merge'!$F310/'Mail Merge'!$D310,0)</f>
        <v>689.10714285714289</v>
      </c>
      <c r="L310" s="199">
        <f>IFERROR('Mail Merge'!$G310/'Mail Merge'!$D310,0)</f>
        <v>12422.379107142857</v>
      </c>
      <c r="M310" s="199">
        <v>0</v>
      </c>
      <c r="N310" s="199" t="s">
        <v>240</v>
      </c>
      <c r="O310" s="199">
        <v>84194.44</v>
      </c>
      <c r="P310" s="199">
        <v>0</v>
      </c>
      <c r="Q310" s="199">
        <f>'Mail Merge'!$O310+'Mail Merge'!$P310</f>
        <v>84194.44</v>
      </c>
      <c r="R310" s="199"/>
      <c r="S310" s="199"/>
      <c r="T310" s="199"/>
      <c r="U310" s="199">
        <f>IF(AND('Mail Merge'!$I310="Did Not Meet",'Mail Merge'!$N310="Did Not Meet"),MIN(ABS('Mail Merge'!$H310),ABS('Mail Merge'!$M310),'Mail Merge'!$Q310),0)</f>
        <v>0</v>
      </c>
      <c r="V310" s="199" t="str">
        <f>IF(OR(IFERROR(SEARCH("Met",'Mail Merge'!$N310),0)&gt;0,IFERROR(SEARCH("Met",'Mail Merge'!$I310),0)&gt;0),"Met","Not Met")</f>
        <v>Not Met</v>
      </c>
    </row>
    <row r="311" spans="1:22" x14ac:dyDescent="0.35">
      <c r="A311" s="200" t="s">
        <v>134</v>
      </c>
      <c r="B311" s="201">
        <v>2010</v>
      </c>
      <c r="C311" s="201" t="s">
        <v>159</v>
      </c>
      <c r="D311" s="201">
        <v>5</v>
      </c>
      <c r="E311" s="201">
        <v>0</v>
      </c>
      <c r="F311" s="201">
        <v>94908.52</v>
      </c>
      <c r="G311" s="201">
        <f>'Mail Merge'!$E311+'Mail Merge'!$F311</f>
        <v>94908.52</v>
      </c>
      <c r="H311" s="201">
        <v>0</v>
      </c>
      <c r="I311" s="201" t="s">
        <v>242</v>
      </c>
      <c r="J311" s="201">
        <f>IFERROR('Mail Merge'!$E311/'Mail Merge'!$D311,0)</f>
        <v>0</v>
      </c>
      <c r="K311" s="201">
        <f>IFERROR('Mail Merge'!$F311/'Mail Merge'!$D311,0)</f>
        <v>18981.704000000002</v>
      </c>
      <c r="L311" s="201">
        <f>IFERROR('Mail Merge'!$G311/'Mail Merge'!$D311,0)</f>
        <v>18981.704000000002</v>
      </c>
      <c r="M311" s="201">
        <v>0</v>
      </c>
      <c r="N311" s="201" t="s">
        <v>241</v>
      </c>
      <c r="O311" s="201">
        <v>12442.91</v>
      </c>
      <c r="P311" s="201">
        <v>1461.94</v>
      </c>
      <c r="Q311" s="201">
        <f>'Mail Merge'!$O311+'Mail Merge'!$P311</f>
        <v>13904.85</v>
      </c>
      <c r="R311" s="201"/>
      <c r="S311" s="201">
        <v>35739.83</v>
      </c>
      <c r="T311" s="201">
        <v>35739.83</v>
      </c>
      <c r="U311" s="201">
        <f>IF(AND('Mail Merge'!$I311="Did Not Meet",'Mail Merge'!$N311="Did Not Meet"),MIN(ABS('Mail Merge'!$H311),ABS('Mail Merge'!$M311),'Mail Merge'!$Q311),0)</f>
        <v>0</v>
      </c>
      <c r="V311" s="201" t="str">
        <f>IF(OR(IFERROR(SEARCH("Met",'Mail Merge'!$N311),0)&gt;0,IFERROR(SEARCH("Met",'Mail Merge'!$I311),0)&gt;0),"Met","Not Met")</f>
        <v>Met</v>
      </c>
    </row>
    <row r="312" spans="1:22" x14ac:dyDescent="0.35">
      <c r="A312" s="198" t="s">
        <v>135</v>
      </c>
      <c r="B312" s="199">
        <v>2147</v>
      </c>
      <c r="C312" s="199" t="s">
        <v>159</v>
      </c>
      <c r="D312" s="199">
        <v>268</v>
      </c>
      <c r="E312" s="199">
        <v>1309822.1200000001</v>
      </c>
      <c r="F312" s="199">
        <v>434912.9</v>
      </c>
      <c r="G312" s="199">
        <f>'Mail Merge'!$E312+'Mail Merge'!$F312</f>
        <v>1744735.02</v>
      </c>
      <c r="H312" s="199">
        <v>0</v>
      </c>
      <c r="I312" s="199" t="s">
        <v>240</v>
      </c>
      <c r="J312" s="199">
        <f>IFERROR('Mail Merge'!$E312/'Mail Merge'!$D312,0)</f>
        <v>4887.395970149254</v>
      </c>
      <c r="K312" s="199">
        <f>IFERROR('Mail Merge'!$F312/'Mail Merge'!$D312,0)</f>
        <v>1622.8093283582091</v>
      </c>
      <c r="L312" s="199">
        <f>IFERROR('Mail Merge'!$G312/'Mail Merge'!$D312,0)</f>
        <v>6510.2052985074624</v>
      </c>
      <c r="M312" s="199">
        <v>0</v>
      </c>
      <c r="N312" s="199" t="s">
        <v>240</v>
      </c>
      <c r="O312" s="199">
        <v>343529.94</v>
      </c>
      <c r="P312" s="199">
        <v>1774.88</v>
      </c>
      <c r="Q312" s="199">
        <f>'Mail Merge'!$O312+'Mail Merge'!$P312</f>
        <v>345304.82</v>
      </c>
      <c r="R312" s="199"/>
      <c r="S312" s="199"/>
      <c r="T312" s="199"/>
      <c r="U312" s="199">
        <f>IF(AND('Mail Merge'!$I312="Did Not Meet",'Mail Merge'!$N312="Did Not Meet"),MIN(ABS('Mail Merge'!$H312),ABS('Mail Merge'!$M312),'Mail Merge'!$Q312),0)</f>
        <v>0</v>
      </c>
      <c r="V312" s="199" t="str">
        <f>IF(OR(IFERROR(SEARCH("Met",'Mail Merge'!$N312),0)&gt;0,IFERROR(SEARCH("Met",'Mail Merge'!$I312),0)&gt;0),"Met","Not Met")</f>
        <v>Not Met</v>
      </c>
    </row>
    <row r="313" spans="1:22" x14ac:dyDescent="0.35">
      <c r="A313" s="200" t="s">
        <v>136</v>
      </c>
      <c r="B313" s="201">
        <v>2145</v>
      </c>
      <c r="C313" s="201" t="s">
        <v>159</v>
      </c>
      <c r="D313" s="201">
        <v>77</v>
      </c>
      <c r="E313" s="201">
        <v>470878.94</v>
      </c>
      <c r="F313" s="201">
        <v>36306.86</v>
      </c>
      <c r="G313" s="201">
        <f>'Mail Merge'!$E313+'Mail Merge'!$F313</f>
        <v>507185.8</v>
      </c>
      <c r="H313" s="201">
        <v>0</v>
      </c>
      <c r="I313" s="201" t="s">
        <v>241</v>
      </c>
      <c r="J313" s="201">
        <f>IFERROR('Mail Merge'!$E313/'Mail Merge'!$D313,0)</f>
        <v>6115.3109090909093</v>
      </c>
      <c r="K313" s="201">
        <f>IFERROR('Mail Merge'!$F313/'Mail Merge'!$D313,0)</f>
        <v>471.51766233766233</v>
      </c>
      <c r="L313" s="201">
        <f>IFERROR('Mail Merge'!$G313/'Mail Merge'!$D313,0)</f>
        <v>6586.8285714285712</v>
      </c>
      <c r="M313" s="201">
        <v>0</v>
      </c>
      <c r="N313" s="201" t="s">
        <v>241</v>
      </c>
      <c r="O313" s="201">
        <v>110707.1</v>
      </c>
      <c r="P313" s="201">
        <v>694.55</v>
      </c>
      <c r="Q313" s="201">
        <f>'Mail Merge'!$O313+'Mail Merge'!$P313</f>
        <v>111401.65000000001</v>
      </c>
      <c r="R313" s="201"/>
      <c r="S313" s="201"/>
      <c r="T313" s="201"/>
      <c r="U313" s="201">
        <f>IF(AND('Mail Merge'!$I313="Did Not Meet",'Mail Merge'!$N313="Did Not Meet"),MIN(ABS('Mail Merge'!$H313),ABS('Mail Merge'!$M313),'Mail Merge'!$Q313),0)</f>
        <v>0</v>
      </c>
      <c r="V313" s="201" t="str">
        <f>IF(OR(IFERROR(SEARCH("Met",'Mail Merge'!$N313),0)&gt;0,IFERROR(SEARCH("Met",'Mail Merge'!$I313),0)&gt;0),"Met","Not Met")</f>
        <v>Met</v>
      </c>
    </row>
    <row r="314" spans="1:22" x14ac:dyDescent="0.35">
      <c r="A314" s="198" t="s">
        <v>137</v>
      </c>
      <c r="B314" s="199">
        <v>1968</v>
      </c>
      <c r="C314" s="199" t="s">
        <v>159</v>
      </c>
      <c r="D314" s="199">
        <v>90</v>
      </c>
      <c r="E314" s="199">
        <v>583665.1</v>
      </c>
      <c r="F314" s="199">
        <v>314414.88</v>
      </c>
      <c r="G314" s="199">
        <f>'Mail Merge'!$E314+'Mail Merge'!$F314</f>
        <v>898079.98</v>
      </c>
      <c r="H314" s="199">
        <v>0</v>
      </c>
      <c r="I314" s="199" t="s">
        <v>241</v>
      </c>
      <c r="J314" s="199">
        <f>IFERROR('Mail Merge'!$E314/'Mail Merge'!$D314,0)</f>
        <v>6485.1677777777777</v>
      </c>
      <c r="K314" s="199">
        <f>IFERROR('Mail Merge'!$F314/'Mail Merge'!$D314,0)</f>
        <v>3493.4986666666668</v>
      </c>
      <c r="L314" s="199">
        <f>IFERROR('Mail Merge'!$G314/'Mail Merge'!$D314,0)</f>
        <v>9978.666444444445</v>
      </c>
      <c r="M314" s="199">
        <v>0</v>
      </c>
      <c r="N314" s="199" t="s">
        <v>241</v>
      </c>
      <c r="O314" s="199">
        <v>151353.97</v>
      </c>
      <c r="P314" s="199">
        <v>2947.88</v>
      </c>
      <c r="Q314" s="199">
        <f>'Mail Merge'!$O314+'Mail Merge'!$P314</f>
        <v>154301.85</v>
      </c>
      <c r="R314" s="199"/>
      <c r="S314" s="199"/>
      <c r="T314" s="199"/>
      <c r="U314" s="199">
        <f>IF(AND('Mail Merge'!$I314="Did Not Meet",'Mail Merge'!$N314="Did Not Meet"),MIN(ABS('Mail Merge'!$H314),ABS('Mail Merge'!$M314),'Mail Merge'!$Q314),0)</f>
        <v>0</v>
      </c>
      <c r="V314" s="199" t="str">
        <f>IF(OR(IFERROR(SEARCH("Met",'Mail Merge'!$N314),0)&gt;0,IFERROR(SEARCH("Met",'Mail Merge'!$I314),0)&gt;0),"Met","Not Met")</f>
        <v>Met</v>
      </c>
    </row>
    <row r="315" spans="1:22" x14ac:dyDescent="0.35">
      <c r="A315" s="200" t="s">
        <v>138</v>
      </c>
      <c r="B315" s="201">
        <v>2198</v>
      </c>
      <c r="C315" s="201" t="s">
        <v>159</v>
      </c>
      <c r="D315" s="201">
        <v>84</v>
      </c>
      <c r="E315" s="201">
        <v>1323799.93</v>
      </c>
      <c r="F315" s="201">
        <v>171724</v>
      </c>
      <c r="G315" s="201">
        <f>'Mail Merge'!$E315+'Mail Merge'!$F315</f>
        <v>1495523.93</v>
      </c>
      <c r="H315" s="201">
        <v>0</v>
      </c>
      <c r="I315" s="201" t="s">
        <v>241</v>
      </c>
      <c r="J315" s="201">
        <f>IFERROR('Mail Merge'!$E315/'Mail Merge'!$D315,0)</f>
        <v>15759.522976190476</v>
      </c>
      <c r="K315" s="201">
        <f>IFERROR('Mail Merge'!$F315/'Mail Merge'!$D315,0)</f>
        <v>2044.3333333333333</v>
      </c>
      <c r="L315" s="201">
        <f>IFERROR('Mail Merge'!$G315/'Mail Merge'!$D315,0)</f>
        <v>17803.85630952381</v>
      </c>
      <c r="M315" s="201">
        <v>0</v>
      </c>
      <c r="N315" s="201" t="s">
        <v>241</v>
      </c>
      <c r="O315" s="201">
        <v>102848.79</v>
      </c>
      <c r="P315" s="201">
        <v>1574.43</v>
      </c>
      <c r="Q315" s="201">
        <f>'Mail Merge'!$O315+'Mail Merge'!$P315</f>
        <v>104423.21999999999</v>
      </c>
      <c r="R315" s="201"/>
      <c r="S315" s="201"/>
      <c r="T315" s="201"/>
      <c r="U315" s="201">
        <f>IF(AND('Mail Merge'!$I315="Did Not Meet",'Mail Merge'!$N315="Did Not Meet"),MIN(ABS('Mail Merge'!$H315),ABS('Mail Merge'!$M315),'Mail Merge'!$Q315),0)</f>
        <v>0</v>
      </c>
      <c r="V315" s="201" t="str">
        <f>IF(OR(IFERROR(SEARCH("Met",'Mail Merge'!$N315),0)&gt;0,IFERROR(SEARCH("Met",'Mail Merge'!$I315),0)&gt;0),"Met","Not Met")</f>
        <v>Met</v>
      </c>
    </row>
    <row r="316" spans="1:22" x14ac:dyDescent="0.35">
      <c r="A316" s="198" t="s">
        <v>139</v>
      </c>
      <c r="B316" s="199">
        <v>2199</v>
      </c>
      <c r="C316" s="199" t="s">
        <v>159</v>
      </c>
      <c r="D316" s="199">
        <v>78</v>
      </c>
      <c r="E316" s="199">
        <v>589349.82999999996</v>
      </c>
      <c r="F316" s="199">
        <v>118360</v>
      </c>
      <c r="G316" s="199">
        <f>'Mail Merge'!$E316+'Mail Merge'!$F316</f>
        <v>707709.83</v>
      </c>
      <c r="H316" s="199">
        <v>0</v>
      </c>
      <c r="I316" s="199" t="s">
        <v>242</v>
      </c>
      <c r="J316" s="199">
        <f>IFERROR('Mail Merge'!$E316/'Mail Merge'!$D316,0)</f>
        <v>7555.7670512820505</v>
      </c>
      <c r="K316" s="199">
        <f>IFERROR('Mail Merge'!$F316/'Mail Merge'!$D316,0)</f>
        <v>1517.4358974358975</v>
      </c>
      <c r="L316" s="199">
        <f>IFERROR('Mail Merge'!$G316/'Mail Merge'!$D316,0)</f>
        <v>9073.2029487179479</v>
      </c>
      <c r="M316" s="199">
        <v>0</v>
      </c>
      <c r="N316" s="199" t="s">
        <v>241</v>
      </c>
      <c r="O316" s="199">
        <v>110841.46</v>
      </c>
      <c r="P316" s="199">
        <v>986.25</v>
      </c>
      <c r="Q316" s="199">
        <f>'Mail Merge'!$O316+'Mail Merge'!$P316</f>
        <v>111827.71</v>
      </c>
      <c r="R316" s="199"/>
      <c r="S316" s="199">
        <v>112146.75</v>
      </c>
      <c r="T316" s="199">
        <v>112146.75</v>
      </c>
      <c r="U316" s="199">
        <f>IF(AND('Mail Merge'!$I316="Did Not Meet",'Mail Merge'!$N316="Did Not Meet"),MIN(ABS('Mail Merge'!$H316),ABS('Mail Merge'!$M316),'Mail Merge'!$Q316),0)</f>
        <v>0</v>
      </c>
      <c r="V316" s="199" t="str">
        <f>IF(OR(IFERROR(SEARCH("Met",'Mail Merge'!$N316),0)&gt;0,IFERROR(SEARCH("Met",'Mail Merge'!$I316),0)&gt;0),"Met","Not Met")</f>
        <v>Met</v>
      </c>
    </row>
    <row r="317" spans="1:22" x14ac:dyDescent="0.35">
      <c r="A317" s="200" t="s">
        <v>140</v>
      </c>
      <c r="B317" s="201">
        <v>2254</v>
      </c>
      <c r="C317" s="201" t="s">
        <v>159</v>
      </c>
      <c r="D317" s="201">
        <v>626</v>
      </c>
      <c r="E317" s="201">
        <v>5022320.7</v>
      </c>
      <c r="F317" s="201">
        <v>295844.84999999998</v>
      </c>
      <c r="G317" s="201">
        <f>'Mail Merge'!$E317+'Mail Merge'!$F317</f>
        <v>5318165.55</v>
      </c>
      <c r="H317" s="201">
        <v>0</v>
      </c>
      <c r="I317" s="201" t="s">
        <v>241</v>
      </c>
      <c r="J317" s="201">
        <f>IFERROR('Mail Merge'!$E317/'Mail Merge'!$D317,0)</f>
        <v>8022.8765175718854</v>
      </c>
      <c r="K317" s="201">
        <f>IFERROR('Mail Merge'!$F317/'Mail Merge'!$D317,0)</f>
        <v>472.59560702875393</v>
      </c>
      <c r="L317" s="201">
        <f>IFERROR('Mail Merge'!$G317/'Mail Merge'!$D317,0)</f>
        <v>8495.4721246006393</v>
      </c>
      <c r="M317" s="201">
        <v>0</v>
      </c>
      <c r="N317" s="201" t="s">
        <v>241</v>
      </c>
      <c r="O317" s="201">
        <v>825708.88</v>
      </c>
      <c r="P317" s="201">
        <v>8069.13</v>
      </c>
      <c r="Q317" s="201">
        <f>'Mail Merge'!$O317+'Mail Merge'!$P317</f>
        <v>833778.01</v>
      </c>
      <c r="R317" s="201"/>
      <c r="S317" s="201"/>
      <c r="T317" s="201"/>
      <c r="U317" s="201">
        <f>IF(AND('Mail Merge'!$I317="Did Not Meet",'Mail Merge'!$N317="Did Not Meet"),MIN(ABS('Mail Merge'!$H317),ABS('Mail Merge'!$M317),'Mail Merge'!$Q317),0)</f>
        <v>0</v>
      </c>
      <c r="V317" s="201" t="str">
        <f>IF(OR(IFERROR(SEARCH("Met",'Mail Merge'!$N317),0)&gt;0,IFERROR(SEARCH("Met",'Mail Merge'!$I317),0)&gt;0),"Met","Not Met")</f>
        <v>Met</v>
      </c>
    </row>
    <row r="318" spans="1:22" x14ac:dyDescent="0.35">
      <c r="A318" s="198" t="s">
        <v>141</v>
      </c>
      <c r="B318" s="199">
        <v>1966</v>
      </c>
      <c r="C318" s="199" t="s">
        <v>159</v>
      </c>
      <c r="D318" s="199">
        <v>418</v>
      </c>
      <c r="E318" s="199">
        <v>2030820.39</v>
      </c>
      <c r="F318" s="199">
        <v>988024.93</v>
      </c>
      <c r="G318" s="199">
        <f>'Mail Merge'!$E318+'Mail Merge'!$F318</f>
        <v>3018845.32</v>
      </c>
      <c r="H318" s="199">
        <v>0</v>
      </c>
      <c r="I318" s="199" t="s">
        <v>241</v>
      </c>
      <c r="J318" s="199">
        <f>IFERROR('Mail Merge'!$E318/'Mail Merge'!$D318,0)</f>
        <v>4858.4219856459331</v>
      </c>
      <c r="K318" s="199">
        <f>IFERROR('Mail Merge'!$F318/'Mail Merge'!$D318,0)</f>
        <v>2363.6960047846892</v>
      </c>
      <c r="L318" s="199">
        <f>IFERROR('Mail Merge'!$G318/'Mail Merge'!$D318,0)</f>
        <v>7222.1179904306218</v>
      </c>
      <c r="M318" s="199">
        <v>0</v>
      </c>
      <c r="N318" s="199" t="s">
        <v>240</v>
      </c>
      <c r="O318" s="199">
        <v>400363.39</v>
      </c>
      <c r="P318" s="199">
        <v>4364.55</v>
      </c>
      <c r="Q318" s="199">
        <f>'Mail Merge'!$O318+'Mail Merge'!$P318</f>
        <v>404727.94</v>
      </c>
      <c r="R318" s="199"/>
      <c r="S318" s="199"/>
      <c r="T318" s="199"/>
      <c r="U318" s="199">
        <f>IF(AND('Mail Merge'!$I318="Did Not Meet",'Mail Merge'!$N318="Did Not Meet"),MIN(ABS('Mail Merge'!$H318),ABS('Mail Merge'!$M318),'Mail Merge'!$Q318),0)</f>
        <v>0</v>
      </c>
      <c r="V318" s="199" t="str">
        <f>IF(OR(IFERROR(SEARCH("Met",'Mail Merge'!$N318),0)&gt;0,IFERROR(SEARCH("Met",'Mail Merge'!$I318),0)&gt;0),"Met","Not Met")</f>
        <v>Met</v>
      </c>
    </row>
    <row r="319" spans="1:22" x14ac:dyDescent="0.35">
      <c r="A319" s="200" t="s">
        <v>142</v>
      </c>
      <c r="B319" s="201">
        <v>1924</v>
      </c>
      <c r="C319" s="201" t="s">
        <v>159</v>
      </c>
      <c r="D319" s="201">
        <v>2389</v>
      </c>
      <c r="E319" s="201">
        <v>14833295.470000001</v>
      </c>
      <c r="F319" s="201">
        <v>2842144</v>
      </c>
      <c r="G319" s="201">
        <f>'Mail Merge'!$E319+'Mail Merge'!$F319</f>
        <v>17675439.469999999</v>
      </c>
      <c r="H319" s="201">
        <v>0</v>
      </c>
      <c r="I319" s="201" t="s">
        <v>241</v>
      </c>
      <c r="J319" s="201">
        <f>IFERROR('Mail Merge'!$E319/'Mail Merge'!$D319,0)</f>
        <v>6208.9976852239433</v>
      </c>
      <c r="K319" s="201">
        <f>IFERROR('Mail Merge'!$F319/'Mail Merge'!$D319,0)</f>
        <v>1189.6793637505232</v>
      </c>
      <c r="L319" s="201">
        <f>IFERROR('Mail Merge'!$G319/'Mail Merge'!$D319,0)</f>
        <v>7398.6770489744658</v>
      </c>
      <c r="M319" s="201">
        <v>0</v>
      </c>
      <c r="N319" s="201" t="s">
        <v>241</v>
      </c>
      <c r="O319" s="201">
        <v>2535973.04</v>
      </c>
      <c r="P319" s="201">
        <v>19204.689999999999</v>
      </c>
      <c r="Q319" s="201">
        <f>'Mail Merge'!$O319+'Mail Merge'!$P319</f>
        <v>2555177.73</v>
      </c>
      <c r="R319" s="201"/>
      <c r="S319" s="201"/>
      <c r="T319" s="201"/>
      <c r="U319" s="201">
        <f>IF(AND('Mail Merge'!$I319="Did Not Meet",'Mail Merge'!$N319="Did Not Meet"),MIN(ABS('Mail Merge'!$H319),ABS('Mail Merge'!$M319),'Mail Merge'!$Q319),0)</f>
        <v>0</v>
      </c>
      <c r="V319" s="201" t="str">
        <f>IF(OR(IFERROR(SEARCH("Met",'Mail Merge'!$N319),0)&gt;0,IFERROR(SEARCH("Met",'Mail Merge'!$I319),0)&gt;0),"Met","Not Met")</f>
        <v>Met</v>
      </c>
    </row>
    <row r="320" spans="1:22" x14ac:dyDescent="0.35">
      <c r="A320" s="198" t="s">
        <v>143</v>
      </c>
      <c r="B320" s="199">
        <v>1996</v>
      </c>
      <c r="C320" s="199" t="s">
        <v>159</v>
      </c>
      <c r="D320" s="199">
        <v>39</v>
      </c>
      <c r="E320" s="199">
        <v>385264.84</v>
      </c>
      <c r="F320" s="199">
        <v>72415.88</v>
      </c>
      <c r="G320" s="199">
        <f>'Mail Merge'!$E320+'Mail Merge'!$F320</f>
        <v>457680.72000000003</v>
      </c>
      <c r="H320" s="199">
        <v>0</v>
      </c>
      <c r="I320" s="199" t="s">
        <v>242</v>
      </c>
      <c r="J320" s="199">
        <f>IFERROR('Mail Merge'!$E320/'Mail Merge'!$D320,0)</f>
        <v>9878.585641025642</v>
      </c>
      <c r="K320" s="199">
        <f>IFERROR('Mail Merge'!$F320/'Mail Merge'!$D320,0)</f>
        <v>1856.8174358974361</v>
      </c>
      <c r="L320" s="199">
        <f>IFERROR('Mail Merge'!$G320/'Mail Merge'!$D320,0)</f>
        <v>11735.403076923078</v>
      </c>
      <c r="M320" s="199">
        <v>0</v>
      </c>
      <c r="N320" s="199" t="s">
        <v>241</v>
      </c>
      <c r="O320" s="199">
        <v>64743.78</v>
      </c>
      <c r="P320" s="199">
        <v>0</v>
      </c>
      <c r="Q320" s="199">
        <f>'Mail Merge'!$O320+'Mail Merge'!$P320</f>
        <v>64743.78</v>
      </c>
      <c r="R320" s="199"/>
      <c r="S320" s="199">
        <v>141571.5</v>
      </c>
      <c r="T320" s="199">
        <v>141571.5</v>
      </c>
      <c r="U320" s="199">
        <f>IF(AND('Mail Merge'!$I320="Did Not Meet",'Mail Merge'!$N320="Did Not Meet"),MIN(ABS('Mail Merge'!$H320),ABS('Mail Merge'!$M320),'Mail Merge'!$Q320),0)</f>
        <v>0</v>
      </c>
      <c r="V320" s="199" t="str">
        <f>IF(OR(IFERROR(SEARCH("Met",'Mail Merge'!$N320),0)&gt;0,IFERROR(SEARCH("Met",'Mail Merge'!$I320),0)&gt;0),"Met","Not Met")</f>
        <v>Met</v>
      </c>
    </row>
    <row r="321" spans="1:22" x14ac:dyDescent="0.35">
      <c r="A321" s="200" t="s">
        <v>144</v>
      </c>
      <c r="B321" s="201">
        <v>2061</v>
      </c>
      <c r="C321" s="201" t="s">
        <v>159</v>
      </c>
      <c r="D321" s="201">
        <v>34</v>
      </c>
      <c r="E321" s="201">
        <v>133260.12</v>
      </c>
      <c r="F321" s="201">
        <v>71264.91</v>
      </c>
      <c r="G321" s="201">
        <f>'Mail Merge'!$E321+'Mail Merge'!$F321</f>
        <v>204525.03</v>
      </c>
      <c r="H321" s="201">
        <v>0</v>
      </c>
      <c r="I321" s="201" t="s">
        <v>241</v>
      </c>
      <c r="J321" s="201">
        <f>IFERROR('Mail Merge'!$E321/'Mail Merge'!$D321,0)</f>
        <v>3919.4152941176471</v>
      </c>
      <c r="K321" s="201">
        <f>IFERROR('Mail Merge'!$F321/'Mail Merge'!$D321,0)</f>
        <v>2096.0267647058827</v>
      </c>
      <c r="L321" s="201">
        <f>IFERROR('Mail Merge'!$G321/'Mail Merge'!$D321,0)</f>
        <v>6015.4420588235298</v>
      </c>
      <c r="M321" s="201">
        <v>0</v>
      </c>
      <c r="N321" s="201" t="s">
        <v>241</v>
      </c>
      <c r="O321" s="201">
        <v>49906.43</v>
      </c>
      <c r="P321" s="201">
        <v>818.56</v>
      </c>
      <c r="Q321" s="201">
        <f>'Mail Merge'!$O321+'Mail Merge'!$P321</f>
        <v>50724.99</v>
      </c>
      <c r="R321" s="201"/>
      <c r="S321" s="201"/>
      <c r="T321" s="201"/>
      <c r="U321" s="201">
        <f>IF(AND('Mail Merge'!$I321="Did Not Meet",'Mail Merge'!$N321="Did Not Meet"),MIN(ABS('Mail Merge'!$H321),ABS('Mail Merge'!$M321),'Mail Merge'!$Q321),0)</f>
        <v>0</v>
      </c>
      <c r="V321" s="201" t="str">
        <f>IF(OR(IFERROR(SEARCH("Met",'Mail Merge'!$N321),0)&gt;0,IFERROR(SEARCH("Met",'Mail Merge'!$I321),0)&gt;0),"Met","Not Met")</f>
        <v>Met</v>
      </c>
    </row>
    <row r="322" spans="1:22" x14ac:dyDescent="0.35">
      <c r="A322" s="198" t="s">
        <v>145</v>
      </c>
      <c r="B322" s="199">
        <v>2141</v>
      </c>
      <c r="C322" s="199" t="s">
        <v>159</v>
      </c>
      <c r="D322" s="199">
        <v>249</v>
      </c>
      <c r="E322" s="199">
        <v>1890271.4</v>
      </c>
      <c r="F322" s="199">
        <v>355213.24</v>
      </c>
      <c r="G322" s="199">
        <f>'Mail Merge'!$E322+'Mail Merge'!$F322</f>
        <v>2245484.6399999997</v>
      </c>
      <c r="H322" s="199">
        <v>0</v>
      </c>
      <c r="I322" s="199" t="s">
        <v>241</v>
      </c>
      <c r="J322" s="199">
        <f>IFERROR('Mail Merge'!$E322/'Mail Merge'!$D322,0)</f>
        <v>7591.4514056224898</v>
      </c>
      <c r="K322" s="199">
        <f>IFERROR('Mail Merge'!$F322/'Mail Merge'!$D322,0)</f>
        <v>1426.5591967871485</v>
      </c>
      <c r="L322" s="199">
        <f>IFERROR('Mail Merge'!$G322/'Mail Merge'!$D322,0)</f>
        <v>9018.0106024096367</v>
      </c>
      <c r="M322" s="199">
        <v>0</v>
      </c>
      <c r="N322" s="199" t="s">
        <v>241</v>
      </c>
      <c r="O322" s="199">
        <v>242464.73</v>
      </c>
      <c r="P322" s="199">
        <v>2096.33</v>
      </c>
      <c r="Q322" s="199">
        <f>'Mail Merge'!$O322+'Mail Merge'!$P322</f>
        <v>244561.06</v>
      </c>
      <c r="R322" s="199"/>
      <c r="S322" s="199"/>
      <c r="T322" s="199"/>
      <c r="U322" s="199">
        <f>IF(AND('Mail Merge'!$I322="Did Not Meet",'Mail Merge'!$N322="Did Not Meet"),MIN(ABS('Mail Merge'!$H322),ABS('Mail Merge'!$M322),'Mail Merge'!$Q322),0)</f>
        <v>0</v>
      </c>
      <c r="V322" s="199" t="str">
        <f>IF(OR(IFERROR(SEARCH("Met",'Mail Merge'!$N322),0)&gt;0,IFERROR(SEARCH("Met",'Mail Merge'!$I322),0)&gt;0),"Met","Not Met")</f>
        <v>Met</v>
      </c>
    </row>
    <row r="323" spans="1:22" x14ac:dyDescent="0.35">
      <c r="A323" s="200" t="s">
        <v>146</v>
      </c>
      <c r="B323" s="201">
        <v>2214</v>
      </c>
      <c r="C323" s="201" t="s">
        <v>159</v>
      </c>
      <c r="D323" s="201">
        <v>44</v>
      </c>
      <c r="E323" s="201">
        <v>138916.62</v>
      </c>
      <c r="F323" s="201">
        <v>23765.73</v>
      </c>
      <c r="G323" s="201">
        <f>'Mail Merge'!$E323+'Mail Merge'!$F323</f>
        <v>162682.35</v>
      </c>
      <c r="H323" s="201">
        <v>0</v>
      </c>
      <c r="I323" s="201" t="s">
        <v>239</v>
      </c>
      <c r="J323" s="201">
        <f>IFERROR('Mail Merge'!$E323/'Mail Merge'!$D323,0)</f>
        <v>3157.195909090909</v>
      </c>
      <c r="K323" s="201">
        <f>IFERROR('Mail Merge'!$F323/'Mail Merge'!$D323,0)</f>
        <v>540.13022727272721</v>
      </c>
      <c r="L323" s="201">
        <f>IFERROR('Mail Merge'!$G323/'Mail Merge'!$D323,0)</f>
        <v>3697.3261363636366</v>
      </c>
      <c r="M323" s="201">
        <v>0</v>
      </c>
      <c r="N323" s="201" t="s">
        <v>239</v>
      </c>
      <c r="O323" s="201">
        <v>44076.18</v>
      </c>
      <c r="P323" s="201">
        <v>255.92</v>
      </c>
      <c r="Q323" s="201">
        <f>'Mail Merge'!$O323+'Mail Merge'!$P323</f>
        <v>44332.1</v>
      </c>
      <c r="R323" s="201"/>
      <c r="S323" s="201"/>
      <c r="T323" s="201"/>
      <c r="U323" s="201">
        <f>IF(AND('Mail Merge'!$I323="Did Not Meet",'Mail Merge'!$N323="Did Not Meet"),MIN(ABS('Mail Merge'!$H323),ABS('Mail Merge'!$M323),'Mail Merge'!$Q323),0)</f>
        <v>0</v>
      </c>
      <c r="V323" s="201" t="str">
        <f>IF(OR(IFERROR(SEARCH("Met",'Mail Merge'!$N323),0)&gt;0,IFERROR(SEARCH("Met",'Mail Merge'!$I323),0)&gt;0),"Met","Not Met")</f>
        <v>Met</v>
      </c>
    </row>
    <row r="324" spans="1:22" x14ac:dyDescent="0.35">
      <c r="A324" s="198" t="s">
        <v>147</v>
      </c>
      <c r="B324" s="199">
        <v>2143</v>
      </c>
      <c r="C324" s="199" t="s">
        <v>159</v>
      </c>
      <c r="D324" s="199">
        <v>257</v>
      </c>
      <c r="E324" s="199">
        <v>2120997</v>
      </c>
      <c r="F324" s="199">
        <v>153542.32</v>
      </c>
      <c r="G324" s="199">
        <f>'Mail Merge'!$E324+'Mail Merge'!$F324</f>
        <v>2274539.3199999998</v>
      </c>
      <c r="H324" s="199">
        <v>0</v>
      </c>
      <c r="I324" s="199" t="s">
        <v>241</v>
      </c>
      <c r="J324" s="199">
        <f>IFERROR('Mail Merge'!$E324/'Mail Merge'!$D324,0)</f>
        <v>8252.9066147859921</v>
      </c>
      <c r="K324" s="199">
        <f>IFERROR('Mail Merge'!$F324/'Mail Merge'!$D324,0)</f>
        <v>597.44093385214012</v>
      </c>
      <c r="L324" s="199">
        <f>IFERROR('Mail Merge'!$G324/'Mail Merge'!$D324,0)</f>
        <v>8850.3475486381321</v>
      </c>
      <c r="M324" s="199">
        <v>0</v>
      </c>
      <c r="N324" s="199" t="s">
        <v>240</v>
      </c>
      <c r="O324" s="199">
        <v>443118.07</v>
      </c>
      <c r="P324" s="199">
        <v>946.17</v>
      </c>
      <c r="Q324" s="199">
        <f>'Mail Merge'!$O324+'Mail Merge'!$P324</f>
        <v>444064.24</v>
      </c>
      <c r="R324" s="199"/>
      <c r="S324" s="199"/>
      <c r="T324" s="199"/>
      <c r="U324" s="199">
        <f>IF(AND('Mail Merge'!$I324="Did Not Meet",'Mail Merge'!$N324="Did Not Meet"),MIN(ABS('Mail Merge'!$H324),ABS('Mail Merge'!$M324),'Mail Merge'!$Q324),0)</f>
        <v>0</v>
      </c>
      <c r="V324" s="199" t="str">
        <f>IF(OR(IFERROR(SEARCH("Met",'Mail Merge'!$N324),0)&gt;0,IFERROR(SEARCH("Met",'Mail Merge'!$I324),0)&gt;0),"Met","Not Met")</f>
        <v>Met</v>
      </c>
    </row>
    <row r="325" spans="1:22" x14ac:dyDescent="0.35">
      <c r="A325" s="200" t="s">
        <v>148</v>
      </c>
      <c r="B325" s="201">
        <v>4131</v>
      </c>
      <c r="C325" s="201" t="s">
        <v>159</v>
      </c>
      <c r="D325" s="201">
        <v>442</v>
      </c>
      <c r="E325" s="201">
        <v>3163666.2</v>
      </c>
      <c r="F325" s="201">
        <v>0</v>
      </c>
      <c r="G325" s="201">
        <f>'Mail Merge'!$E325+'Mail Merge'!$F325</f>
        <v>3163666.2</v>
      </c>
      <c r="H325" s="201">
        <v>0</v>
      </c>
      <c r="I325" s="201" t="s">
        <v>241</v>
      </c>
      <c r="J325" s="201">
        <f>IFERROR('Mail Merge'!$E325/'Mail Merge'!$D325,0)</f>
        <v>7157.6158371040729</v>
      </c>
      <c r="K325" s="201">
        <f>IFERROR('Mail Merge'!$F325/'Mail Merge'!$D325,0)</f>
        <v>0</v>
      </c>
      <c r="L325" s="201">
        <f>IFERROR('Mail Merge'!$G325/'Mail Merge'!$D325,0)</f>
        <v>7157.6158371040729</v>
      </c>
      <c r="M325" s="201">
        <v>0</v>
      </c>
      <c r="N325" s="201" t="s">
        <v>241</v>
      </c>
      <c r="O325" s="201">
        <v>496890.23</v>
      </c>
      <c r="P325" s="201">
        <v>7428.97</v>
      </c>
      <c r="Q325" s="201">
        <f>'Mail Merge'!$O325+'Mail Merge'!$P325</f>
        <v>504319.19999999995</v>
      </c>
      <c r="R325" s="201"/>
      <c r="S325" s="201"/>
      <c r="T325" s="201"/>
      <c r="U325" s="201">
        <f>IF(AND('Mail Merge'!$I325="Did Not Meet",'Mail Merge'!$N325="Did Not Meet"),MIN(ABS('Mail Merge'!$H325),ABS('Mail Merge'!$M325),'Mail Merge'!$Q325),0)</f>
        <v>0</v>
      </c>
      <c r="V325" s="201" t="str">
        <f>IF(OR(IFERROR(SEARCH("Met",'Mail Merge'!$N325),0)&gt;0,IFERROR(SEARCH("Met",'Mail Merge'!$I325),0)&gt;0),"Met","Not Met")</f>
        <v>Met</v>
      </c>
    </row>
    <row r="326" spans="1:22" x14ac:dyDescent="0.35">
      <c r="A326" s="198" t="s">
        <v>149</v>
      </c>
      <c r="B326" s="199">
        <v>2110</v>
      </c>
      <c r="C326" s="199" t="s">
        <v>159</v>
      </c>
      <c r="D326" s="199">
        <v>145</v>
      </c>
      <c r="E326" s="199">
        <v>696876.84</v>
      </c>
      <c r="F326" s="199">
        <v>332949.39</v>
      </c>
      <c r="G326" s="199">
        <f>'Mail Merge'!$E326+'Mail Merge'!$F326</f>
        <v>1029826.23</v>
      </c>
      <c r="H326" s="199">
        <v>0</v>
      </c>
      <c r="I326" s="199" t="s">
        <v>241</v>
      </c>
      <c r="J326" s="199">
        <f>IFERROR('Mail Merge'!$E326/'Mail Merge'!$D326,0)</f>
        <v>4806.0471724137933</v>
      </c>
      <c r="K326" s="199">
        <f>IFERROR('Mail Merge'!$F326/'Mail Merge'!$D326,0)</f>
        <v>2296.2026896551724</v>
      </c>
      <c r="L326" s="199">
        <f>IFERROR('Mail Merge'!$G326/'Mail Merge'!$D326,0)</f>
        <v>7102.2498620689657</v>
      </c>
      <c r="M326" s="199">
        <v>0</v>
      </c>
      <c r="N326" s="199" t="s">
        <v>240</v>
      </c>
      <c r="O326" s="199">
        <v>204033.32</v>
      </c>
      <c r="P326" s="199">
        <v>1747.38</v>
      </c>
      <c r="Q326" s="199">
        <f>'Mail Merge'!$O326+'Mail Merge'!$P326</f>
        <v>205780.7</v>
      </c>
      <c r="R326" s="199"/>
      <c r="S326" s="199"/>
      <c r="T326" s="199"/>
      <c r="U326" s="199">
        <f>IF(AND('Mail Merge'!$I326="Did Not Meet",'Mail Merge'!$N326="Did Not Meet"),MIN(ABS('Mail Merge'!$H326),ABS('Mail Merge'!$M326),'Mail Merge'!$Q326),0)</f>
        <v>0</v>
      </c>
      <c r="V326" s="199" t="str">
        <f>IF(OR(IFERROR(SEARCH("Met",'Mail Merge'!$N326),0)&gt;0,IFERROR(SEARCH("Met",'Mail Merge'!$I326),0)&gt;0),"Met","Not Met")</f>
        <v>Met</v>
      </c>
    </row>
    <row r="327" spans="1:22" x14ac:dyDescent="0.35">
      <c r="A327" s="200" t="s">
        <v>150</v>
      </c>
      <c r="B327" s="201">
        <v>1990</v>
      </c>
      <c r="C327" s="201" t="s">
        <v>159</v>
      </c>
      <c r="D327" s="201">
        <v>61</v>
      </c>
      <c r="E327" s="201">
        <v>287372.15000000002</v>
      </c>
      <c r="F327" s="201">
        <v>94266.09</v>
      </c>
      <c r="G327" s="201">
        <f>'Mail Merge'!$E327+'Mail Merge'!$F327</f>
        <v>381638.24</v>
      </c>
      <c r="H327" s="201">
        <v>0</v>
      </c>
      <c r="I327" s="201" t="s">
        <v>240</v>
      </c>
      <c r="J327" s="201">
        <f>IFERROR('Mail Merge'!$E327/'Mail Merge'!$D327,0)</f>
        <v>4711.0188524590167</v>
      </c>
      <c r="K327" s="201">
        <f>IFERROR('Mail Merge'!$F327/'Mail Merge'!$D327,0)</f>
        <v>1545.3457377049181</v>
      </c>
      <c r="L327" s="201">
        <f>IFERROR('Mail Merge'!$G327/'Mail Merge'!$D327,0)</f>
        <v>6256.3645901639338</v>
      </c>
      <c r="M327" s="201">
        <v>0</v>
      </c>
      <c r="N327" s="201" t="s">
        <v>240</v>
      </c>
      <c r="O327" s="201">
        <v>100002.18</v>
      </c>
      <c r="P327" s="201">
        <v>1106.68</v>
      </c>
      <c r="Q327" s="201">
        <f>'Mail Merge'!$O327+'Mail Merge'!$P327</f>
        <v>101108.85999999999</v>
      </c>
      <c r="R327" s="201"/>
      <c r="S327" s="201"/>
      <c r="T327" s="201"/>
      <c r="U327" s="201">
        <f>IF(AND('Mail Merge'!$I327="Did Not Meet",'Mail Merge'!$N327="Did Not Meet"),MIN(ABS('Mail Merge'!$H327),ABS('Mail Merge'!$M327),'Mail Merge'!$Q327),0)</f>
        <v>0</v>
      </c>
      <c r="V327" s="201" t="str">
        <f>IF(OR(IFERROR(SEARCH("Met",'Mail Merge'!$N327),0)&gt;0,IFERROR(SEARCH("Met",'Mail Merge'!$I327),0)&gt;0),"Met","Not Met")</f>
        <v>Not Met</v>
      </c>
    </row>
    <row r="328" spans="1:22" x14ac:dyDescent="0.35">
      <c r="A328" s="198" t="s">
        <v>151</v>
      </c>
      <c r="B328" s="199">
        <v>2093</v>
      </c>
      <c r="C328" s="199" t="s">
        <v>159</v>
      </c>
      <c r="D328" s="199">
        <v>86</v>
      </c>
      <c r="E328" s="199">
        <v>430017.79</v>
      </c>
      <c r="F328" s="199">
        <v>232751</v>
      </c>
      <c r="G328" s="199">
        <f>'Mail Merge'!$E328+'Mail Merge'!$F328</f>
        <v>662768.79</v>
      </c>
      <c r="H328" s="199">
        <v>0</v>
      </c>
      <c r="I328" s="199" t="s">
        <v>242</v>
      </c>
      <c r="J328" s="199">
        <f>IFERROR('Mail Merge'!$E328/'Mail Merge'!$D328,0)</f>
        <v>5000.2068604651158</v>
      </c>
      <c r="K328" s="199">
        <f>IFERROR('Mail Merge'!$F328/'Mail Merge'!$D328,0)</f>
        <v>2706.4069767441861</v>
      </c>
      <c r="L328" s="199">
        <f>IFERROR('Mail Merge'!$G328/'Mail Merge'!$D328,0)</f>
        <v>7706.6138372093028</v>
      </c>
      <c r="M328" s="199">
        <v>0</v>
      </c>
      <c r="N328" s="199" t="s">
        <v>241</v>
      </c>
      <c r="O328" s="199">
        <v>124573.88</v>
      </c>
      <c r="P328" s="199">
        <v>2564.5700000000002</v>
      </c>
      <c r="Q328" s="199">
        <f>'Mail Merge'!$O328+'Mail Merge'!$P328</f>
        <v>127138.45000000001</v>
      </c>
      <c r="R328" s="199"/>
      <c r="S328" s="199">
        <v>54031.23</v>
      </c>
      <c r="T328" s="199">
        <v>54031.23</v>
      </c>
      <c r="U328" s="199">
        <f>IF(AND('Mail Merge'!$I328="Did Not Meet",'Mail Merge'!$N328="Did Not Meet"),MIN(ABS('Mail Merge'!$H328),ABS('Mail Merge'!$M328),'Mail Merge'!$Q328),0)</f>
        <v>0</v>
      </c>
      <c r="V328" s="199" t="str">
        <f>IF(OR(IFERROR(SEARCH("Met",'Mail Merge'!$N328),0)&gt;0,IFERROR(SEARCH("Met",'Mail Merge'!$I328),0)&gt;0),"Met","Not Met")</f>
        <v>Met</v>
      </c>
    </row>
    <row r="329" spans="1:22" x14ac:dyDescent="0.35">
      <c r="A329" s="200" t="s">
        <v>152</v>
      </c>
      <c r="B329" s="201">
        <v>2108</v>
      </c>
      <c r="C329" s="201" t="s">
        <v>159</v>
      </c>
      <c r="D329" s="201">
        <v>300</v>
      </c>
      <c r="E329" s="201">
        <v>1663667.74</v>
      </c>
      <c r="F329" s="201">
        <v>632618.73</v>
      </c>
      <c r="G329" s="201">
        <f>'Mail Merge'!$E329+'Mail Merge'!$F329</f>
        <v>2296286.4699999997</v>
      </c>
      <c r="H329" s="201">
        <v>0</v>
      </c>
      <c r="I329" s="201" t="s">
        <v>241</v>
      </c>
      <c r="J329" s="201">
        <f>IFERROR('Mail Merge'!$E329/'Mail Merge'!$D329,0)</f>
        <v>5545.5591333333332</v>
      </c>
      <c r="K329" s="201">
        <f>IFERROR('Mail Merge'!$F329/'Mail Merge'!$D329,0)</f>
        <v>2108.7291</v>
      </c>
      <c r="L329" s="201">
        <f>IFERROR('Mail Merge'!$G329/'Mail Merge'!$D329,0)</f>
        <v>7654.2882333333328</v>
      </c>
      <c r="M329" s="201">
        <v>0</v>
      </c>
      <c r="N329" s="201" t="s">
        <v>241</v>
      </c>
      <c r="O329" s="201">
        <v>454332.41</v>
      </c>
      <c r="P329" s="201">
        <v>4987.8999999999996</v>
      </c>
      <c r="Q329" s="201">
        <f>'Mail Merge'!$O329+'Mail Merge'!$P329</f>
        <v>459320.31</v>
      </c>
      <c r="R329" s="201"/>
      <c r="S329" s="201"/>
      <c r="T329" s="201"/>
      <c r="U329" s="201">
        <f>IF(AND('Mail Merge'!$I329="Did Not Meet",'Mail Merge'!$N329="Did Not Meet"),MIN(ABS('Mail Merge'!$H329),ABS('Mail Merge'!$M329),'Mail Merge'!$Q329),0)</f>
        <v>0</v>
      </c>
      <c r="V329" s="201" t="str">
        <f>IF(OR(IFERROR(SEARCH("Met",'Mail Merge'!$N329),0)&gt;0,IFERROR(SEARCH("Met",'Mail Merge'!$I329),0)&gt;0),"Met","Not Met")</f>
        <v>Met</v>
      </c>
    </row>
    <row r="330" spans="1:22" x14ac:dyDescent="0.35">
      <c r="A330" s="198" t="s">
        <v>153</v>
      </c>
      <c r="B330" s="199">
        <v>1928</v>
      </c>
      <c r="C330" s="199" t="s">
        <v>159</v>
      </c>
      <c r="D330" s="199">
        <v>1202</v>
      </c>
      <c r="E330" s="199">
        <v>10567413.32</v>
      </c>
      <c r="F330" s="199">
        <v>1695833</v>
      </c>
      <c r="G330" s="199">
        <f>'Mail Merge'!$E330+'Mail Merge'!$F330</f>
        <v>12263246.32</v>
      </c>
      <c r="H330" s="199">
        <v>0</v>
      </c>
      <c r="I330" s="199" t="s">
        <v>241</v>
      </c>
      <c r="J330" s="199">
        <f>IFERROR('Mail Merge'!$E330/'Mail Merge'!$D330,0)</f>
        <v>8791.5252246256241</v>
      </c>
      <c r="K330" s="199">
        <f>IFERROR('Mail Merge'!$F330/'Mail Merge'!$D330,0)</f>
        <v>1410.8427620632281</v>
      </c>
      <c r="L330" s="199">
        <f>IFERROR('Mail Merge'!$G330/'Mail Merge'!$D330,0)</f>
        <v>10202.367986688852</v>
      </c>
      <c r="M330" s="199">
        <v>0</v>
      </c>
      <c r="N330" s="199" t="s">
        <v>241</v>
      </c>
      <c r="O330" s="199">
        <v>1317636.56</v>
      </c>
      <c r="P330" s="199">
        <v>9607.4699999999993</v>
      </c>
      <c r="Q330" s="199">
        <f>'Mail Merge'!$O330+'Mail Merge'!$P330</f>
        <v>1327244.03</v>
      </c>
      <c r="R330" s="199"/>
      <c r="S330" s="199"/>
      <c r="T330" s="199"/>
      <c r="U330" s="199">
        <f>IF(AND('Mail Merge'!$I330="Did Not Meet",'Mail Merge'!$N330="Did Not Meet"),MIN(ABS('Mail Merge'!$H330),ABS('Mail Merge'!$M330),'Mail Merge'!$Q330),0)</f>
        <v>0</v>
      </c>
      <c r="V330" s="199" t="str">
        <f>IF(OR(IFERROR(SEARCH("Met",'Mail Merge'!$N330),0)&gt;0,IFERROR(SEARCH("Met",'Mail Merge'!$I330),0)&gt;0),"Met","Not Met")</f>
        <v>Met</v>
      </c>
    </row>
    <row r="331" spans="1:22" x14ac:dyDescent="0.35">
      <c r="A331" s="200" t="s">
        <v>154</v>
      </c>
      <c r="B331" s="201">
        <v>1926</v>
      </c>
      <c r="C331" s="201" t="s">
        <v>159</v>
      </c>
      <c r="D331" s="201">
        <v>684</v>
      </c>
      <c r="E331" s="201">
        <v>5419061.9500000002</v>
      </c>
      <c r="F331" s="201">
        <v>677883</v>
      </c>
      <c r="G331" s="201">
        <f>'Mail Merge'!$E331+'Mail Merge'!$F331</f>
        <v>6096944.9500000002</v>
      </c>
      <c r="H331" s="201">
        <v>0</v>
      </c>
      <c r="I331" s="201" t="s">
        <v>241</v>
      </c>
      <c r="J331" s="201">
        <f>IFERROR('Mail Merge'!$E331/'Mail Merge'!$D331,0)</f>
        <v>7922.6051900584798</v>
      </c>
      <c r="K331" s="201">
        <f>IFERROR('Mail Merge'!$F331/'Mail Merge'!$D331,0)</f>
        <v>991.05701754385962</v>
      </c>
      <c r="L331" s="201">
        <f>IFERROR('Mail Merge'!$G331/'Mail Merge'!$D331,0)</f>
        <v>8913.6622076023395</v>
      </c>
      <c r="M331" s="201">
        <v>0</v>
      </c>
      <c r="N331" s="201" t="s">
        <v>241</v>
      </c>
      <c r="O331" s="201">
        <v>660278.4</v>
      </c>
      <c r="P331" s="201">
        <v>6419.49</v>
      </c>
      <c r="Q331" s="201">
        <f>'Mail Merge'!$O331+'Mail Merge'!$P331</f>
        <v>666697.89</v>
      </c>
      <c r="R331" s="201"/>
      <c r="S331" s="201"/>
      <c r="T331" s="201"/>
      <c r="U331" s="201">
        <f>IF(AND('Mail Merge'!$I331="Did Not Meet",'Mail Merge'!$N331="Did Not Meet"),MIN(ABS('Mail Merge'!$H331),ABS('Mail Merge'!$M331),'Mail Merge'!$Q331),0)</f>
        <v>0</v>
      </c>
      <c r="V331" s="201" t="str">
        <f>IF(OR(IFERROR(SEARCH("Met",'Mail Merge'!$N331),0)&gt;0,IFERROR(SEARCH("Met",'Mail Merge'!$I331),0)&gt;0),"Met","Not Met")</f>
        <v>Met</v>
      </c>
    </row>
    <row r="332" spans="1:22" x14ac:dyDescent="0.35">
      <c r="A332" s="198" t="s">
        <v>155</v>
      </c>
      <c r="B332" s="199">
        <v>2060</v>
      </c>
      <c r="C332" s="199" t="s">
        <v>159</v>
      </c>
      <c r="D332" s="199">
        <v>8</v>
      </c>
      <c r="E332" s="199">
        <v>9624.57</v>
      </c>
      <c r="F332" s="199">
        <v>46659.18</v>
      </c>
      <c r="G332" s="199">
        <f>'Mail Merge'!$E332+'Mail Merge'!$F332</f>
        <v>56283.75</v>
      </c>
      <c r="H332" s="199">
        <v>0</v>
      </c>
      <c r="I332" s="199" t="s">
        <v>240</v>
      </c>
      <c r="J332" s="199">
        <f>IFERROR('Mail Merge'!$E332/'Mail Merge'!$D332,0)</f>
        <v>1203.07125</v>
      </c>
      <c r="K332" s="199">
        <f>IFERROR('Mail Merge'!$F332/'Mail Merge'!$D332,0)</f>
        <v>5832.3975</v>
      </c>
      <c r="L332" s="199">
        <f>IFERROR('Mail Merge'!$G332/'Mail Merge'!$D332,0)</f>
        <v>7035.46875</v>
      </c>
      <c r="M332" s="199">
        <v>0</v>
      </c>
      <c r="N332" s="199" t="s">
        <v>240</v>
      </c>
      <c r="O332" s="199">
        <v>21797.26</v>
      </c>
      <c r="P332" s="199">
        <v>0</v>
      </c>
      <c r="Q332" s="199">
        <f>'Mail Merge'!$O332+'Mail Merge'!$P332</f>
        <v>21797.26</v>
      </c>
      <c r="R332" s="199"/>
      <c r="S332" s="199"/>
      <c r="T332" s="199"/>
      <c r="U332" s="199">
        <f>IF(AND('Mail Merge'!$I332="Did Not Meet",'Mail Merge'!$N332="Did Not Meet"),MIN(ABS('Mail Merge'!$H332),ABS('Mail Merge'!$M332),'Mail Merge'!$Q332),0)</f>
        <v>0</v>
      </c>
      <c r="V332" s="199" t="str">
        <f>IF(OR(IFERROR(SEARCH("Met",'Mail Merge'!$N332),0)&gt;0,IFERROR(SEARCH("Met",'Mail Merge'!$I332),0)&gt;0),"Met","Not Met")</f>
        <v>Not Met</v>
      </c>
    </row>
    <row r="333" spans="1:22" x14ac:dyDescent="0.35">
      <c r="A333" s="200" t="s">
        <v>156</v>
      </c>
      <c r="B333" s="201">
        <v>2181</v>
      </c>
      <c r="C333" s="201" t="s">
        <v>159</v>
      </c>
      <c r="D333" s="201">
        <v>444</v>
      </c>
      <c r="E333" s="201">
        <v>4463876.16</v>
      </c>
      <c r="F333" s="201">
        <v>679956</v>
      </c>
      <c r="G333" s="201">
        <f>'Mail Merge'!$E333+'Mail Merge'!$F333</f>
        <v>5143832.16</v>
      </c>
      <c r="H333" s="201">
        <v>0</v>
      </c>
      <c r="I333" s="201" t="s">
        <v>240</v>
      </c>
      <c r="J333" s="201">
        <f>IFERROR('Mail Merge'!$E333/'Mail Merge'!$D333,0)</f>
        <v>10053.775135135136</v>
      </c>
      <c r="K333" s="201">
        <f>IFERROR('Mail Merge'!$F333/'Mail Merge'!$D333,0)</f>
        <v>1531.4324324324325</v>
      </c>
      <c r="L333" s="201">
        <f>IFERROR('Mail Merge'!$G333/'Mail Merge'!$D333,0)</f>
        <v>11585.207567567568</v>
      </c>
      <c r="M333" s="201">
        <v>0</v>
      </c>
      <c r="N333" s="201" t="s">
        <v>242</v>
      </c>
      <c r="O333" s="201">
        <v>641601.35</v>
      </c>
      <c r="P333" s="201">
        <v>2997.55</v>
      </c>
      <c r="Q333" s="201">
        <f>'Mail Merge'!$O333+'Mail Merge'!$P333</f>
        <v>644598.9</v>
      </c>
      <c r="R333" s="201"/>
      <c r="S333" s="201"/>
      <c r="T333" s="201">
        <v>127989</v>
      </c>
      <c r="U333" s="201">
        <f>IF(AND('Mail Merge'!$I333="Did Not Meet",'Mail Merge'!$N333="Did Not Meet"),MIN(ABS('Mail Merge'!$H333),ABS('Mail Merge'!$M333),'Mail Merge'!$Q333),0)</f>
        <v>0</v>
      </c>
      <c r="V333" s="201" t="str">
        <f>IF(OR(IFERROR(SEARCH("Met",'Mail Merge'!$N333),0)&gt;0,IFERROR(SEARCH("Met",'Mail Merge'!$I333),0)&gt;0),"Met","Not Met")</f>
        <v>Met</v>
      </c>
    </row>
    <row r="334" spans="1:22" x14ac:dyDescent="0.35">
      <c r="A334" s="198" t="s">
        <v>157</v>
      </c>
      <c r="B334" s="199">
        <v>2207</v>
      </c>
      <c r="C334" s="199" t="s">
        <v>159</v>
      </c>
      <c r="D334" s="199">
        <v>441</v>
      </c>
      <c r="E334" s="199">
        <v>3054053</v>
      </c>
      <c r="F334" s="199">
        <v>729211.89</v>
      </c>
      <c r="G334" s="199">
        <f>'Mail Merge'!$E334+'Mail Merge'!$F334</f>
        <v>3783264.89</v>
      </c>
      <c r="H334" s="199">
        <v>0</v>
      </c>
      <c r="I334" s="199" t="s">
        <v>242</v>
      </c>
      <c r="J334" s="199">
        <f>IFERROR('Mail Merge'!$E334/'Mail Merge'!$D334,0)</f>
        <v>6925.2902494331065</v>
      </c>
      <c r="K334" s="199">
        <f>IFERROR('Mail Merge'!$F334/'Mail Merge'!$D334,0)</f>
        <v>1653.5417006802722</v>
      </c>
      <c r="L334" s="199">
        <f>IFERROR('Mail Merge'!$G334/'Mail Merge'!$D334,0)</f>
        <v>8578.8319501133792</v>
      </c>
      <c r="M334" s="199">
        <v>0</v>
      </c>
      <c r="N334" s="199" t="s">
        <v>241</v>
      </c>
      <c r="O334" s="199">
        <v>564515.24</v>
      </c>
      <c r="P334" s="199">
        <v>6252.8</v>
      </c>
      <c r="Q334" s="199">
        <f>'Mail Merge'!$O334+'Mail Merge'!$P334</f>
        <v>570768.04</v>
      </c>
      <c r="R334" s="199"/>
      <c r="S334" s="199">
        <v>84750.15</v>
      </c>
      <c r="T334" s="199">
        <v>84750.15</v>
      </c>
      <c r="U334" s="199">
        <f>IF(AND('Mail Merge'!$I334="Did Not Meet",'Mail Merge'!$N334="Did Not Meet"),MIN(ABS('Mail Merge'!$H334),ABS('Mail Merge'!$M334),'Mail Merge'!$Q334),0)</f>
        <v>0</v>
      </c>
      <c r="V334" s="199" t="str">
        <f>IF(OR(IFERROR(SEARCH("Met",'Mail Merge'!$N334),0)&gt;0,IFERROR(SEARCH("Met",'Mail Merge'!$I334),0)&gt;0),"Met","Not Met")</f>
        <v>Met</v>
      </c>
    </row>
    <row r="335" spans="1:22" x14ac:dyDescent="0.35">
      <c r="A335" s="200" t="s">
        <v>158</v>
      </c>
      <c r="B335" s="201">
        <v>2192</v>
      </c>
      <c r="C335" s="201" t="s">
        <v>159</v>
      </c>
      <c r="D335" s="201">
        <v>9</v>
      </c>
      <c r="E335" s="201">
        <v>208055.1</v>
      </c>
      <c r="F335" s="201">
        <v>23924.79</v>
      </c>
      <c r="G335" s="201">
        <f>'Mail Merge'!$E335+'Mail Merge'!$F335</f>
        <v>231979.89</v>
      </c>
      <c r="H335" s="201">
        <v>0</v>
      </c>
      <c r="I335" s="201" t="s">
        <v>242</v>
      </c>
      <c r="J335" s="201">
        <f>IFERROR('Mail Merge'!$E335/'Mail Merge'!$D335,0)</f>
        <v>23117.233333333334</v>
      </c>
      <c r="K335" s="201">
        <f>IFERROR('Mail Merge'!$F335/'Mail Merge'!$D335,0)</f>
        <v>2658.31</v>
      </c>
      <c r="L335" s="201">
        <f>IFERROR('Mail Merge'!$G335/'Mail Merge'!$D335,0)</f>
        <v>25775.543333333335</v>
      </c>
      <c r="M335" s="201">
        <v>0</v>
      </c>
      <c r="N335" s="201" t="s">
        <v>241</v>
      </c>
      <c r="O335" s="201">
        <v>33345.279999999999</v>
      </c>
      <c r="P335" s="201">
        <v>0</v>
      </c>
      <c r="Q335" s="201">
        <f>'Mail Merge'!$O335+'Mail Merge'!$P335</f>
        <v>33345.279999999999</v>
      </c>
      <c r="R335" s="201"/>
      <c r="S335" s="201">
        <v>97606.73</v>
      </c>
      <c r="T335" s="201">
        <v>97606.73</v>
      </c>
      <c r="U335" s="201">
        <f>IF(AND('Mail Merge'!$I335="Did Not Meet",'Mail Merge'!$N335="Did Not Meet"),MIN(ABS('Mail Merge'!$H335),ABS('Mail Merge'!$M335),'Mail Merge'!$Q335),0)</f>
        <v>0</v>
      </c>
      <c r="V335" s="201" t="str">
        <f>IF(OR(IFERROR(SEARCH("Met",'Mail Merge'!$N335),0)&gt;0,IFERROR(SEARCH("Met",'Mail Merge'!$I335),0)&gt;0),"Met","Not Met")</f>
        <v>Met</v>
      </c>
    </row>
    <row r="336" spans="1:22" x14ac:dyDescent="0.35">
      <c r="A336" s="198" t="s">
        <v>160</v>
      </c>
      <c r="B336" s="199">
        <v>1900</v>
      </c>
      <c r="C336" s="199" t="s">
        <v>159</v>
      </c>
      <c r="D336" s="199">
        <v>173</v>
      </c>
      <c r="E336" s="199">
        <v>1093271.17</v>
      </c>
      <c r="F336" s="199">
        <v>98095</v>
      </c>
      <c r="G336" s="199">
        <f>'Mail Merge'!$E336+'Mail Merge'!$F336</f>
        <v>1191366.17</v>
      </c>
      <c r="H336" s="199">
        <v>0</v>
      </c>
      <c r="I336" s="199" t="s">
        <v>242</v>
      </c>
      <c r="J336" s="199">
        <f>IFERROR('Mail Merge'!$E336/'Mail Merge'!$D336,0)</f>
        <v>6319.4865317919075</v>
      </c>
      <c r="K336" s="199">
        <f>IFERROR('Mail Merge'!$F336/'Mail Merge'!$D336,0)</f>
        <v>567.02312138728325</v>
      </c>
      <c r="L336" s="199">
        <f>IFERROR('Mail Merge'!$G336/'Mail Merge'!$D336,0)</f>
        <v>6886.5096531791905</v>
      </c>
      <c r="M336" s="199">
        <v>0</v>
      </c>
      <c r="N336" s="199" t="s">
        <v>241</v>
      </c>
      <c r="O336" s="199">
        <v>240971.42</v>
      </c>
      <c r="P336" s="199">
        <v>4512.76</v>
      </c>
      <c r="Q336" s="199">
        <f>'Mail Merge'!$O336+'Mail Merge'!$P336</f>
        <v>245484.18000000002</v>
      </c>
      <c r="R336" s="199"/>
      <c r="S336" s="199">
        <v>79774.2</v>
      </c>
      <c r="T336" s="199">
        <v>79774.2</v>
      </c>
      <c r="U336" s="199">
        <f>IF(AND('Mail Merge'!$I336="Did Not Meet",'Mail Merge'!$N336="Did Not Meet"),MIN(ABS('Mail Merge'!$H336),ABS('Mail Merge'!$M336),'Mail Merge'!$Q336),0)</f>
        <v>0</v>
      </c>
      <c r="V336" s="199" t="str">
        <f>IF(OR(IFERROR(SEARCH("Met",'Mail Merge'!$N336),0)&gt;0,IFERROR(SEARCH("Met",'Mail Merge'!$I336),0)&gt;0),"Met","Not Met")</f>
        <v>Met</v>
      </c>
    </row>
    <row r="337" spans="1:22" x14ac:dyDescent="0.35">
      <c r="A337" s="200" t="s">
        <v>161</v>
      </c>
      <c r="B337" s="201">
        <v>2039</v>
      </c>
      <c r="C337" s="201" t="s">
        <v>159</v>
      </c>
      <c r="D337" s="201">
        <v>377</v>
      </c>
      <c r="E337" s="201">
        <v>2272563.21</v>
      </c>
      <c r="F337" s="201">
        <v>659760.25</v>
      </c>
      <c r="G337" s="201">
        <f>'Mail Merge'!$E337+'Mail Merge'!$F337</f>
        <v>2932323.46</v>
      </c>
      <c r="H337" s="201">
        <v>0</v>
      </c>
      <c r="I337" s="201" t="s">
        <v>241</v>
      </c>
      <c r="J337" s="201">
        <f>IFERROR('Mail Merge'!$E337/'Mail Merge'!$D337,0)</f>
        <v>6028.0191246684353</v>
      </c>
      <c r="K337" s="201">
        <f>IFERROR('Mail Merge'!$F337/'Mail Merge'!$D337,0)</f>
        <v>1750.0271883289124</v>
      </c>
      <c r="L337" s="201">
        <f>IFERROR('Mail Merge'!$G337/'Mail Merge'!$D337,0)</f>
        <v>7778.0463129973477</v>
      </c>
      <c r="M337" s="201">
        <v>0</v>
      </c>
      <c r="N337" s="201" t="s">
        <v>240</v>
      </c>
      <c r="O337" s="201">
        <v>458455.67</v>
      </c>
      <c r="P337" s="201">
        <v>5514.1</v>
      </c>
      <c r="Q337" s="201">
        <f>'Mail Merge'!$O337+'Mail Merge'!$P337</f>
        <v>463969.76999999996</v>
      </c>
      <c r="R337" s="201"/>
      <c r="S337" s="201"/>
      <c r="T337" s="201"/>
      <c r="U337" s="201">
        <f>IF(AND('Mail Merge'!$I337="Did Not Meet",'Mail Merge'!$N337="Did Not Meet"),MIN(ABS('Mail Merge'!$H337),ABS('Mail Merge'!$M337),'Mail Merge'!$Q337),0)</f>
        <v>0</v>
      </c>
      <c r="V337" s="201" t="str">
        <f>IF(OR(IFERROR(SEARCH("Met",'Mail Merge'!$N337),0)&gt;0,IFERROR(SEARCH("Met",'Mail Merge'!$I337),0)&gt;0),"Met","Not Met")</f>
        <v>Met</v>
      </c>
    </row>
    <row r="338" spans="1:22" x14ac:dyDescent="0.35">
      <c r="A338" s="198" t="s">
        <v>162</v>
      </c>
      <c r="B338" s="199">
        <v>2202</v>
      </c>
      <c r="C338" s="199" t="s">
        <v>159</v>
      </c>
      <c r="D338" s="199">
        <v>38</v>
      </c>
      <c r="E338" s="199">
        <v>254168.12</v>
      </c>
      <c r="F338" s="199">
        <v>67732.34</v>
      </c>
      <c r="G338" s="199">
        <f>'Mail Merge'!$E338+'Mail Merge'!$F338</f>
        <v>321900.45999999996</v>
      </c>
      <c r="H338" s="199">
        <v>0</v>
      </c>
      <c r="I338" s="199" t="s">
        <v>241</v>
      </c>
      <c r="J338" s="199">
        <f>IFERROR('Mail Merge'!$E338/'Mail Merge'!$D338,0)</f>
        <v>6688.6347368421048</v>
      </c>
      <c r="K338" s="199">
        <f>IFERROR('Mail Merge'!$F338/'Mail Merge'!$D338,0)</f>
        <v>1782.4299999999998</v>
      </c>
      <c r="L338" s="199">
        <f>IFERROR('Mail Merge'!$G338/'Mail Merge'!$D338,0)</f>
        <v>8471.064736842105</v>
      </c>
      <c r="M338" s="199">
        <v>0</v>
      </c>
      <c r="N338" s="199" t="s">
        <v>241</v>
      </c>
      <c r="O338" s="199">
        <v>79879.929999999993</v>
      </c>
      <c r="P338" s="199">
        <v>746.59</v>
      </c>
      <c r="Q338" s="199">
        <f>'Mail Merge'!$O338+'Mail Merge'!$P338</f>
        <v>80626.51999999999</v>
      </c>
      <c r="R338" s="199"/>
      <c r="S338" s="199"/>
      <c r="T338" s="199"/>
      <c r="U338" s="199">
        <f>IF(AND('Mail Merge'!$I338="Did Not Meet",'Mail Merge'!$N338="Did Not Meet"),MIN(ABS('Mail Merge'!$H338),ABS('Mail Merge'!$M338),'Mail Merge'!$Q338),0)</f>
        <v>0</v>
      </c>
      <c r="V338" s="199" t="str">
        <f>IF(OR(IFERROR(SEARCH("Met",'Mail Merge'!$N338),0)&gt;0,IFERROR(SEARCH("Met",'Mail Merge'!$I338),0)&gt;0),"Met","Not Met")</f>
        <v>Met</v>
      </c>
    </row>
    <row r="339" spans="1:22" x14ac:dyDescent="0.35">
      <c r="A339" s="200" t="s">
        <v>163</v>
      </c>
      <c r="B339" s="201">
        <v>2016</v>
      </c>
      <c r="C339" s="201" t="s">
        <v>159</v>
      </c>
      <c r="D339" s="201">
        <v>2</v>
      </c>
      <c r="E339" s="201">
        <v>39515</v>
      </c>
      <c r="F339" s="201">
        <v>365</v>
      </c>
      <c r="G339" s="201">
        <f>'Mail Merge'!$E339+'Mail Merge'!$F339</f>
        <v>39880</v>
      </c>
      <c r="H339" s="201">
        <v>0</v>
      </c>
      <c r="I339" s="201" t="s">
        <v>241</v>
      </c>
      <c r="J339" s="201">
        <f>IFERROR('Mail Merge'!$E339/'Mail Merge'!$D339,0)</f>
        <v>19757.5</v>
      </c>
      <c r="K339" s="201">
        <f>IFERROR('Mail Merge'!$F339/'Mail Merge'!$D339,0)</f>
        <v>182.5</v>
      </c>
      <c r="L339" s="201">
        <f>IFERROR('Mail Merge'!$G339/'Mail Merge'!$D339,0)</f>
        <v>19940</v>
      </c>
      <c r="M339" s="201">
        <v>0</v>
      </c>
      <c r="N339" s="201" t="s">
        <v>241</v>
      </c>
      <c r="O339" s="201">
        <v>177.45</v>
      </c>
      <c r="P339" s="201">
        <v>0.28000000000000003</v>
      </c>
      <c r="Q339" s="201">
        <f>'Mail Merge'!$O339+'Mail Merge'!$P339</f>
        <v>177.73</v>
      </c>
      <c r="R339" s="201"/>
      <c r="S339" s="201"/>
      <c r="T339" s="201"/>
      <c r="U339" s="201">
        <f>IF(AND('Mail Merge'!$I339="Did Not Meet",'Mail Merge'!$N339="Did Not Meet"),MIN(ABS('Mail Merge'!$H339),ABS('Mail Merge'!$M339),'Mail Merge'!$Q339),0)</f>
        <v>0</v>
      </c>
      <c r="V339" s="201" t="str">
        <f>IF(OR(IFERROR(SEARCH("Met",'Mail Merge'!$N339),0)&gt;0,IFERROR(SEARCH("Met",'Mail Merge'!$I339),0)&gt;0),"Met","Not Met")</f>
        <v>Met</v>
      </c>
    </row>
    <row r="340" spans="1:22" x14ac:dyDescent="0.35">
      <c r="A340" s="198" t="s">
        <v>164</v>
      </c>
      <c r="B340" s="199">
        <v>1897</v>
      </c>
      <c r="C340" s="199" t="s">
        <v>159</v>
      </c>
      <c r="D340" s="199">
        <v>26</v>
      </c>
      <c r="E340" s="199">
        <v>157928.49</v>
      </c>
      <c r="F340" s="199">
        <v>0</v>
      </c>
      <c r="G340" s="199">
        <f>'Mail Merge'!$E340+'Mail Merge'!$F340</f>
        <v>157928.49</v>
      </c>
      <c r="H340" s="199">
        <v>0</v>
      </c>
      <c r="I340" s="199" t="s">
        <v>241</v>
      </c>
      <c r="J340" s="199">
        <f>IFERROR('Mail Merge'!$E340/'Mail Merge'!$D340,0)</f>
        <v>6074.1726923076922</v>
      </c>
      <c r="K340" s="199">
        <f>IFERROR('Mail Merge'!$F340/'Mail Merge'!$D340,0)</f>
        <v>0</v>
      </c>
      <c r="L340" s="199">
        <f>IFERROR('Mail Merge'!$G340/'Mail Merge'!$D340,0)</f>
        <v>6074.1726923076922</v>
      </c>
      <c r="M340" s="199">
        <v>0</v>
      </c>
      <c r="N340" s="199" t="s">
        <v>240</v>
      </c>
      <c r="O340" s="199">
        <v>29392.13</v>
      </c>
      <c r="P340" s="199">
        <v>11.27</v>
      </c>
      <c r="Q340" s="199">
        <f>'Mail Merge'!$O340+'Mail Merge'!$P340</f>
        <v>29403.4</v>
      </c>
      <c r="R340" s="199"/>
      <c r="S340" s="199"/>
      <c r="T340" s="199"/>
      <c r="U340" s="199">
        <f>IF(AND('Mail Merge'!$I340="Did Not Meet",'Mail Merge'!$N340="Did Not Meet"),MIN(ABS('Mail Merge'!$H340),ABS('Mail Merge'!$M340),'Mail Merge'!$Q340),0)</f>
        <v>0</v>
      </c>
      <c r="V340" s="199" t="str">
        <f>IF(OR(IFERROR(SEARCH("Met",'Mail Merge'!$N340),0)&gt;0,IFERROR(SEARCH("Met",'Mail Merge'!$I340),0)&gt;0),"Met","Not Met")</f>
        <v>Met</v>
      </c>
    </row>
    <row r="341" spans="1:22" x14ac:dyDescent="0.35">
      <c r="A341" s="200" t="s">
        <v>165</v>
      </c>
      <c r="B341" s="201">
        <v>2047</v>
      </c>
      <c r="C341" s="201" t="s">
        <v>159</v>
      </c>
      <c r="D341" s="201">
        <v>4</v>
      </c>
      <c r="E341" s="201">
        <v>15699</v>
      </c>
      <c r="F341" s="201">
        <v>2616.2399999999998</v>
      </c>
      <c r="G341" s="201">
        <f>'Mail Merge'!$E341+'Mail Merge'!$F341</f>
        <v>18315.239999999998</v>
      </c>
      <c r="H341" s="201">
        <v>0</v>
      </c>
      <c r="I341" s="201" t="s">
        <v>242</v>
      </c>
      <c r="J341" s="201">
        <f>IFERROR('Mail Merge'!$E341/'Mail Merge'!$D341,0)</f>
        <v>3924.75</v>
      </c>
      <c r="K341" s="201">
        <f>IFERROR('Mail Merge'!$F341/'Mail Merge'!$D341,0)</f>
        <v>654.05999999999995</v>
      </c>
      <c r="L341" s="201">
        <f>IFERROR('Mail Merge'!$G341/'Mail Merge'!$D341,0)</f>
        <v>4578.8099999999995</v>
      </c>
      <c r="M341" s="201">
        <v>0</v>
      </c>
      <c r="N341" s="201" t="s">
        <v>241</v>
      </c>
      <c r="O341" s="201">
        <v>8726.07</v>
      </c>
      <c r="P341" s="201">
        <v>974.69</v>
      </c>
      <c r="Q341" s="201">
        <f>'Mail Merge'!$O341+'Mail Merge'!$P341</f>
        <v>9700.76</v>
      </c>
      <c r="R341" s="201"/>
      <c r="S341" s="201">
        <v>13647.4</v>
      </c>
      <c r="T341" s="201">
        <v>13647.4</v>
      </c>
      <c r="U341" s="201">
        <f>IF(AND('Mail Merge'!$I341="Did Not Meet",'Mail Merge'!$N341="Did Not Meet"),MIN(ABS('Mail Merge'!$H341),ABS('Mail Merge'!$M341),'Mail Merge'!$Q341),0)</f>
        <v>0</v>
      </c>
      <c r="V341" s="201" t="str">
        <f>IF(OR(IFERROR(SEARCH("Met",'Mail Merge'!$N341),0)&gt;0,IFERROR(SEARCH("Met",'Mail Merge'!$I341),0)&gt;0),"Met","Not Met")</f>
        <v>Met</v>
      </c>
    </row>
    <row r="342" spans="1:22" x14ac:dyDescent="0.35">
      <c r="A342" s="198" t="s">
        <v>166</v>
      </c>
      <c r="B342" s="199">
        <v>2081</v>
      </c>
      <c r="C342" s="199" t="s">
        <v>159</v>
      </c>
      <c r="D342" s="199">
        <v>104</v>
      </c>
      <c r="E342" s="199">
        <v>969941.09</v>
      </c>
      <c r="F342" s="199">
        <v>262023</v>
      </c>
      <c r="G342" s="199">
        <f>'Mail Merge'!$E342+'Mail Merge'!$F342</f>
        <v>1231964.0899999999</v>
      </c>
      <c r="H342" s="199">
        <v>0</v>
      </c>
      <c r="I342" s="199" t="s">
        <v>242</v>
      </c>
      <c r="J342" s="199">
        <f>IFERROR('Mail Merge'!$E342/'Mail Merge'!$D342,0)</f>
        <v>9326.3566346153839</v>
      </c>
      <c r="K342" s="199">
        <f>IFERROR('Mail Merge'!$F342/'Mail Merge'!$D342,0)</f>
        <v>2519.4519230769229</v>
      </c>
      <c r="L342" s="199">
        <f>IFERROR('Mail Merge'!$G342/'Mail Merge'!$D342,0)</f>
        <v>11845.808557692306</v>
      </c>
      <c r="M342" s="199">
        <v>0</v>
      </c>
      <c r="N342" s="199" t="s">
        <v>241</v>
      </c>
      <c r="O342" s="199">
        <v>158686.16</v>
      </c>
      <c r="P342" s="199">
        <v>600.64</v>
      </c>
      <c r="Q342" s="199">
        <f>'Mail Merge'!$O342+'Mail Merge'!$P342</f>
        <v>159286.80000000002</v>
      </c>
      <c r="R342" s="199"/>
      <c r="S342" s="199">
        <v>46767.25</v>
      </c>
      <c r="T342" s="199">
        <v>46767.25</v>
      </c>
      <c r="U342" s="199">
        <f>IF(AND('Mail Merge'!$I342="Did Not Meet",'Mail Merge'!$N342="Did Not Meet"),MIN(ABS('Mail Merge'!$H342),ABS('Mail Merge'!$M342),'Mail Merge'!$Q342),0)</f>
        <v>0</v>
      </c>
      <c r="V342" s="199" t="str">
        <f>IF(OR(IFERROR(SEARCH("Met",'Mail Merge'!$N342),0)&gt;0,IFERROR(SEARCH("Met",'Mail Merge'!$I342),0)&gt;0),"Met","Not Met")</f>
        <v>Met</v>
      </c>
    </row>
    <row r="343" spans="1:22" x14ac:dyDescent="0.35">
      <c r="A343" s="200" t="s">
        <v>167</v>
      </c>
      <c r="B343" s="201">
        <v>2062</v>
      </c>
      <c r="C343" s="201" t="s">
        <v>159</v>
      </c>
      <c r="D343" s="201">
        <v>1</v>
      </c>
      <c r="E343" s="201">
        <v>0</v>
      </c>
      <c r="F343" s="201">
        <v>13540.55</v>
      </c>
      <c r="G343" s="201">
        <f>'Mail Merge'!$E343+'Mail Merge'!$F343</f>
        <v>13540.55</v>
      </c>
      <c r="H343" s="201">
        <v>0</v>
      </c>
      <c r="I343" s="201" t="s">
        <v>241</v>
      </c>
      <c r="J343" s="201">
        <f>IFERROR('Mail Merge'!$E343/'Mail Merge'!$D343,0)</f>
        <v>0</v>
      </c>
      <c r="K343" s="201">
        <f>IFERROR('Mail Merge'!$F343/'Mail Merge'!$D343,0)</f>
        <v>13540.55</v>
      </c>
      <c r="L343" s="201">
        <f>IFERROR('Mail Merge'!$G343/'Mail Merge'!$D343,0)</f>
        <v>13540.55</v>
      </c>
      <c r="M343" s="201">
        <v>0</v>
      </c>
      <c r="N343" s="201" t="s">
        <v>241</v>
      </c>
      <c r="O343" s="201">
        <v>3150.67</v>
      </c>
      <c r="P343" s="201">
        <v>0.85</v>
      </c>
      <c r="Q343" s="201">
        <f>'Mail Merge'!$O343+'Mail Merge'!$P343</f>
        <v>3151.52</v>
      </c>
      <c r="R343" s="201"/>
      <c r="S343" s="201"/>
      <c r="T343" s="201"/>
      <c r="U343" s="201">
        <f>IF(AND('Mail Merge'!$I343="Did Not Meet",'Mail Merge'!$N343="Did Not Meet"),MIN(ABS('Mail Merge'!$H343),ABS('Mail Merge'!$M343),'Mail Merge'!$Q343),0)</f>
        <v>0</v>
      </c>
      <c r="V343" s="201" t="str">
        <f>IF(OR(IFERROR(SEARCH("Met",'Mail Merge'!$N343),0)&gt;0,IFERROR(SEARCH("Met",'Mail Merge'!$I343),0)&gt;0),"Met","Not Met")</f>
        <v>Met</v>
      </c>
    </row>
    <row r="344" spans="1:22" x14ac:dyDescent="0.35">
      <c r="A344" s="198" t="s">
        <v>168</v>
      </c>
      <c r="B344" s="199">
        <v>1973</v>
      </c>
      <c r="C344" s="199" t="s">
        <v>159</v>
      </c>
      <c r="D344" s="199">
        <v>33</v>
      </c>
      <c r="E344" s="199">
        <v>277914.73</v>
      </c>
      <c r="F344" s="199">
        <v>124336.79</v>
      </c>
      <c r="G344" s="199">
        <f>'Mail Merge'!$E344+'Mail Merge'!$F344</f>
        <v>402251.51999999996</v>
      </c>
      <c r="H344" s="199">
        <v>0</v>
      </c>
      <c r="I344" s="199" t="s">
        <v>242</v>
      </c>
      <c r="J344" s="199">
        <f>IFERROR('Mail Merge'!$E344/'Mail Merge'!$D344,0)</f>
        <v>8421.6584848484836</v>
      </c>
      <c r="K344" s="199">
        <f>IFERROR('Mail Merge'!$F344/'Mail Merge'!$D344,0)</f>
        <v>3767.7815151515151</v>
      </c>
      <c r="L344" s="199">
        <f>IFERROR('Mail Merge'!$G344/'Mail Merge'!$D344,0)</f>
        <v>12189.439999999999</v>
      </c>
      <c r="M344" s="199">
        <v>0</v>
      </c>
      <c r="N344" s="199" t="s">
        <v>241</v>
      </c>
      <c r="O344" s="199">
        <v>68703.399999999994</v>
      </c>
      <c r="P344" s="199">
        <v>614.41</v>
      </c>
      <c r="Q344" s="199">
        <f>'Mail Merge'!$O344+'Mail Merge'!$P344</f>
        <v>69317.81</v>
      </c>
      <c r="R344" s="199"/>
      <c r="S344" s="199">
        <v>80912.58</v>
      </c>
      <c r="T344" s="199">
        <v>80912.58</v>
      </c>
      <c r="U344" s="199">
        <f>IF(AND('Mail Merge'!$I344="Did Not Meet",'Mail Merge'!$N344="Did Not Meet"),MIN(ABS('Mail Merge'!$H344),ABS('Mail Merge'!$M344),'Mail Merge'!$Q344),0)</f>
        <v>0</v>
      </c>
      <c r="V344" s="199" t="str">
        <f>IF(OR(IFERROR(SEARCH("Met",'Mail Merge'!$N344),0)&gt;0,IFERROR(SEARCH("Met",'Mail Merge'!$I344),0)&gt;0),"Met","Not Met")</f>
        <v>Met</v>
      </c>
    </row>
    <row r="345" spans="1:22" x14ac:dyDescent="0.35">
      <c r="A345" s="200" t="s">
        <v>169</v>
      </c>
      <c r="B345" s="201">
        <v>2180</v>
      </c>
      <c r="C345" s="201" t="s">
        <v>159</v>
      </c>
      <c r="D345" s="201">
        <v>6540</v>
      </c>
      <c r="E345" s="201">
        <v>70370928.329999998</v>
      </c>
      <c r="F345" s="201">
        <v>1307585</v>
      </c>
      <c r="G345" s="201">
        <f>'Mail Merge'!$E345+'Mail Merge'!$F345</f>
        <v>71678513.329999998</v>
      </c>
      <c r="H345" s="201">
        <v>0</v>
      </c>
      <c r="I345" s="201" t="s">
        <v>241</v>
      </c>
      <c r="J345" s="201">
        <f>IFERROR('Mail Merge'!$E345/'Mail Merge'!$D345,0)</f>
        <v>10760.08078440367</v>
      </c>
      <c r="K345" s="201">
        <f>IFERROR('Mail Merge'!$F345/'Mail Merge'!$D345,0)</f>
        <v>199.93654434250766</v>
      </c>
      <c r="L345" s="201">
        <f>IFERROR('Mail Merge'!$G345/'Mail Merge'!$D345,0)</f>
        <v>10960.017328746177</v>
      </c>
      <c r="M345" s="201">
        <v>0</v>
      </c>
      <c r="N345" s="201" t="s">
        <v>241</v>
      </c>
      <c r="O345" s="201">
        <v>7719166.3099999996</v>
      </c>
      <c r="P345" s="201">
        <v>92744.49</v>
      </c>
      <c r="Q345" s="201">
        <f>'Mail Merge'!$O345+'Mail Merge'!$P345</f>
        <v>7811910.7999999998</v>
      </c>
      <c r="R345" s="201"/>
      <c r="S345" s="201"/>
      <c r="T345" s="201"/>
      <c r="U345" s="201">
        <f>IF(AND('Mail Merge'!$I345="Did Not Meet",'Mail Merge'!$N345="Did Not Meet"),MIN(ABS('Mail Merge'!$H345),ABS('Mail Merge'!$M345),'Mail Merge'!$Q345),0)</f>
        <v>0</v>
      </c>
      <c r="V345" s="201" t="str">
        <f>IF(OR(IFERROR(SEARCH("Met",'Mail Merge'!$N345),0)&gt;0,IFERROR(SEARCH("Met",'Mail Merge'!$I345),0)&gt;0),"Met","Not Met")</f>
        <v>Met</v>
      </c>
    </row>
    <row r="346" spans="1:22" x14ac:dyDescent="0.35">
      <c r="A346" s="198" t="s">
        <v>170</v>
      </c>
      <c r="B346" s="199">
        <v>1967</v>
      </c>
      <c r="C346" s="199" t="s">
        <v>159</v>
      </c>
      <c r="D346" s="199">
        <v>16</v>
      </c>
      <c r="E346" s="199">
        <v>112083.13</v>
      </c>
      <c r="F346" s="199">
        <v>45733.07</v>
      </c>
      <c r="G346" s="199">
        <f>'Mail Merge'!$E346+'Mail Merge'!$F346</f>
        <v>157816.20000000001</v>
      </c>
      <c r="H346" s="199">
        <v>0</v>
      </c>
      <c r="I346" s="199" t="s">
        <v>241</v>
      </c>
      <c r="J346" s="199">
        <f>IFERROR('Mail Merge'!$E346/'Mail Merge'!$D346,0)</f>
        <v>7005.1956250000003</v>
      </c>
      <c r="K346" s="199">
        <f>IFERROR('Mail Merge'!$F346/'Mail Merge'!$D346,0)</f>
        <v>2858.316875</v>
      </c>
      <c r="L346" s="199">
        <f>IFERROR('Mail Merge'!$G346/'Mail Merge'!$D346,0)</f>
        <v>9863.5125000000007</v>
      </c>
      <c r="M346" s="199">
        <v>0</v>
      </c>
      <c r="N346" s="199" t="s">
        <v>240</v>
      </c>
      <c r="O346" s="199">
        <v>23313.94</v>
      </c>
      <c r="P346" s="199">
        <v>11.88</v>
      </c>
      <c r="Q346" s="199">
        <f>'Mail Merge'!$O346+'Mail Merge'!$P346</f>
        <v>23325.82</v>
      </c>
      <c r="R346" s="199"/>
      <c r="S346" s="199"/>
      <c r="T346" s="199"/>
      <c r="U346" s="199">
        <f>IF(AND('Mail Merge'!$I346="Did Not Meet",'Mail Merge'!$N346="Did Not Meet"),MIN(ABS('Mail Merge'!$H346),ABS('Mail Merge'!$M346),'Mail Merge'!$Q346),0)</f>
        <v>0</v>
      </c>
      <c r="V346" s="199" t="str">
        <f>IF(OR(IFERROR(SEARCH("Met",'Mail Merge'!$N346),0)&gt;0,IFERROR(SEARCH("Met",'Mail Merge'!$I346),0)&gt;0),"Met","Not Met")</f>
        <v>Met</v>
      </c>
    </row>
    <row r="347" spans="1:22" x14ac:dyDescent="0.35">
      <c r="A347" s="200" t="s">
        <v>171</v>
      </c>
      <c r="B347" s="201">
        <v>2009</v>
      </c>
      <c r="C347" s="201" t="s">
        <v>159</v>
      </c>
      <c r="D347" s="201">
        <v>21</v>
      </c>
      <c r="E347" s="201">
        <v>115260.34</v>
      </c>
      <c r="F347" s="201">
        <v>102912.29</v>
      </c>
      <c r="G347" s="201">
        <f>'Mail Merge'!$E347+'Mail Merge'!$F347</f>
        <v>218172.63</v>
      </c>
      <c r="H347" s="201">
        <v>0</v>
      </c>
      <c r="I347" s="201" t="s">
        <v>241</v>
      </c>
      <c r="J347" s="201">
        <f>IFERROR('Mail Merge'!$E347/'Mail Merge'!$D347,0)</f>
        <v>5488.5876190476192</v>
      </c>
      <c r="K347" s="201">
        <f>IFERROR('Mail Merge'!$F347/'Mail Merge'!$D347,0)</f>
        <v>4900.5852380952374</v>
      </c>
      <c r="L347" s="201">
        <f>IFERROR('Mail Merge'!$G347/'Mail Merge'!$D347,0)</f>
        <v>10389.172857142858</v>
      </c>
      <c r="M347" s="201">
        <v>0</v>
      </c>
      <c r="N347" s="201" t="s">
        <v>241</v>
      </c>
      <c r="O347" s="201">
        <v>29819.65</v>
      </c>
      <c r="P347" s="201">
        <v>0</v>
      </c>
      <c r="Q347" s="201">
        <f>'Mail Merge'!$O347+'Mail Merge'!$P347</f>
        <v>29819.65</v>
      </c>
      <c r="R347" s="201"/>
      <c r="S347" s="201"/>
      <c r="T347" s="201"/>
      <c r="U347" s="201">
        <f>IF(AND('Mail Merge'!$I347="Did Not Meet",'Mail Merge'!$N347="Did Not Meet"),MIN(ABS('Mail Merge'!$H347),ABS('Mail Merge'!$M347),'Mail Merge'!$Q347),0)</f>
        <v>0</v>
      </c>
      <c r="V347" s="201" t="str">
        <f>IF(OR(IFERROR(SEARCH("Met",'Mail Merge'!$N347),0)&gt;0,IFERROR(SEARCH("Met",'Mail Merge'!$I347),0)&gt;0),"Met","Not Met")</f>
        <v>Met</v>
      </c>
    </row>
    <row r="348" spans="1:22" x14ac:dyDescent="0.35">
      <c r="A348" s="198" t="s">
        <v>172</v>
      </c>
      <c r="B348" s="199">
        <v>2045</v>
      </c>
      <c r="C348" s="199" t="s">
        <v>159</v>
      </c>
      <c r="D348" s="199">
        <v>34</v>
      </c>
      <c r="E348" s="199">
        <v>222702.35</v>
      </c>
      <c r="F348" s="199">
        <v>58231.66</v>
      </c>
      <c r="G348" s="199">
        <f>'Mail Merge'!$E348+'Mail Merge'!$F348</f>
        <v>280934.01</v>
      </c>
      <c r="H348" s="199">
        <v>0</v>
      </c>
      <c r="I348" s="199" t="s">
        <v>240</v>
      </c>
      <c r="J348" s="199">
        <f>IFERROR('Mail Merge'!$E348/'Mail Merge'!$D348,0)</f>
        <v>6550.0691176470591</v>
      </c>
      <c r="K348" s="199">
        <f>IFERROR('Mail Merge'!$F348/'Mail Merge'!$D348,0)</f>
        <v>1712.6958823529412</v>
      </c>
      <c r="L348" s="199">
        <f>IFERROR('Mail Merge'!$G348/'Mail Merge'!$D348,0)</f>
        <v>8262.7649999999994</v>
      </c>
      <c r="M348" s="199">
        <v>0</v>
      </c>
      <c r="N348" s="199" t="s">
        <v>240</v>
      </c>
      <c r="O348" s="199">
        <v>41329.19</v>
      </c>
      <c r="P348" s="199">
        <v>996.25</v>
      </c>
      <c r="Q348" s="199">
        <f>'Mail Merge'!$O348+'Mail Merge'!$P348</f>
        <v>42325.440000000002</v>
      </c>
      <c r="R348" s="199"/>
      <c r="S348" s="199"/>
      <c r="T348" s="199"/>
      <c r="U348" s="199">
        <f>IF(AND('Mail Merge'!$I348="Did Not Meet",'Mail Merge'!$N348="Did Not Meet"),MIN(ABS('Mail Merge'!$H348),ABS('Mail Merge'!$M348),'Mail Merge'!$Q348),0)</f>
        <v>0</v>
      </c>
      <c r="V348" s="199" t="str">
        <f>IF(OR(IFERROR(SEARCH("Met",'Mail Merge'!$N348),0)&gt;0,IFERROR(SEARCH("Met",'Mail Merge'!$I348),0)&gt;0),"Met","Not Met")</f>
        <v>Not Met</v>
      </c>
    </row>
    <row r="349" spans="1:22" x14ac:dyDescent="0.35">
      <c r="A349" s="200" t="s">
        <v>173</v>
      </c>
      <c r="B349" s="201">
        <v>1946</v>
      </c>
      <c r="C349" s="201" t="s">
        <v>159</v>
      </c>
      <c r="D349" s="201">
        <v>146</v>
      </c>
      <c r="E349" s="201">
        <v>1439307.62</v>
      </c>
      <c r="F349" s="201">
        <v>149512</v>
      </c>
      <c r="G349" s="201">
        <f>'Mail Merge'!$E349+'Mail Merge'!$F349</f>
        <v>1588819.62</v>
      </c>
      <c r="H349" s="201">
        <v>0</v>
      </c>
      <c r="I349" s="201" t="s">
        <v>241</v>
      </c>
      <c r="J349" s="201">
        <f>IFERROR('Mail Merge'!$E349/'Mail Merge'!$D349,0)</f>
        <v>9858.2713698630141</v>
      </c>
      <c r="K349" s="201">
        <f>IFERROR('Mail Merge'!$F349/'Mail Merge'!$D349,0)</f>
        <v>1024.0547945205481</v>
      </c>
      <c r="L349" s="201">
        <f>IFERROR('Mail Merge'!$G349/'Mail Merge'!$D349,0)</f>
        <v>10882.326164383563</v>
      </c>
      <c r="M349" s="201">
        <v>0</v>
      </c>
      <c r="N349" s="201" t="s">
        <v>241</v>
      </c>
      <c r="O349" s="201">
        <v>201480.46</v>
      </c>
      <c r="P349" s="201">
        <v>1418.51</v>
      </c>
      <c r="Q349" s="201">
        <f>'Mail Merge'!$O349+'Mail Merge'!$P349</f>
        <v>202898.97</v>
      </c>
      <c r="R349" s="201"/>
      <c r="S349" s="201"/>
      <c r="T349" s="201"/>
      <c r="U349" s="201">
        <f>IF(AND('Mail Merge'!$I349="Did Not Meet",'Mail Merge'!$N349="Did Not Meet"),MIN(ABS('Mail Merge'!$H349),ABS('Mail Merge'!$M349),'Mail Merge'!$Q349),0)</f>
        <v>0</v>
      </c>
      <c r="V349" s="201" t="str">
        <f>IF(OR(IFERROR(SEARCH("Met",'Mail Merge'!$N349),0)&gt;0,IFERROR(SEARCH("Met",'Mail Merge'!$I349),0)&gt;0),"Met","Not Met")</f>
        <v>Met</v>
      </c>
    </row>
    <row r="350" spans="1:22" x14ac:dyDescent="0.35">
      <c r="A350" s="198" t="s">
        <v>174</v>
      </c>
      <c r="B350" s="199">
        <v>1977</v>
      </c>
      <c r="C350" s="199" t="s">
        <v>159</v>
      </c>
      <c r="D350" s="199">
        <v>932</v>
      </c>
      <c r="E350" s="199">
        <v>6355394.5099999998</v>
      </c>
      <c r="F350" s="199">
        <v>1287924.47</v>
      </c>
      <c r="G350" s="199">
        <f>'Mail Merge'!$E350+'Mail Merge'!$F350</f>
        <v>7643318.9799999995</v>
      </c>
      <c r="H350" s="199">
        <v>0</v>
      </c>
      <c r="I350" s="199" t="s">
        <v>241</v>
      </c>
      <c r="J350" s="199">
        <f>IFERROR('Mail Merge'!$E350/'Mail Merge'!$D350,0)</f>
        <v>6819.0928218884119</v>
      </c>
      <c r="K350" s="199">
        <f>IFERROR('Mail Merge'!$F350/'Mail Merge'!$D350,0)</f>
        <v>1381.8932081545065</v>
      </c>
      <c r="L350" s="199">
        <f>IFERROR('Mail Merge'!$G350/'Mail Merge'!$D350,0)</f>
        <v>8200.9860300429173</v>
      </c>
      <c r="M350" s="199">
        <v>0</v>
      </c>
      <c r="N350" s="199" t="s">
        <v>241</v>
      </c>
      <c r="O350" s="199">
        <v>1045468.97</v>
      </c>
      <c r="P350" s="199">
        <v>4852.6099999999997</v>
      </c>
      <c r="Q350" s="199">
        <f>'Mail Merge'!$O350+'Mail Merge'!$P350</f>
        <v>1050321.58</v>
      </c>
      <c r="R350" s="199"/>
      <c r="S350" s="199"/>
      <c r="T350" s="199"/>
      <c r="U350" s="199">
        <f>IF(AND('Mail Merge'!$I350="Did Not Meet",'Mail Merge'!$N350="Did Not Meet"),MIN(ABS('Mail Merge'!$H350),ABS('Mail Merge'!$M350),'Mail Merge'!$Q350),0)</f>
        <v>0</v>
      </c>
      <c r="V350" s="199" t="str">
        <f>IF(OR(IFERROR(SEARCH("Met",'Mail Merge'!$N350),0)&gt;0,IFERROR(SEARCH("Met",'Mail Merge'!$I350),0)&gt;0),"Met","Not Met")</f>
        <v>Met</v>
      </c>
    </row>
    <row r="351" spans="1:22" x14ac:dyDescent="0.35">
      <c r="A351" s="200" t="s">
        <v>175</v>
      </c>
      <c r="B351" s="201">
        <v>2001</v>
      </c>
      <c r="C351" s="201" t="s">
        <v>159</v>
      </c>
      <c r="D351" s="201">
        <v>81</v>
      </c>
      <c r="E351" s="201">
        <v>461610.49</v>
      </c>
      <c r="F351" s="201">
        <v>281544.23</v>
      </c>
      <c r="G351" s="201">
        <f>'Mail Merge'!$E351+'Mail Merge'!$F351</f>
        <v>743154.72</v>
      </c>
      <c r="H351" s="201">
        <v>0</v>
      </c>
      <c r="I351" s="201" t="s">
        <v>242</v>
      </c>
      <c r="J351" s="201">
        <f>IFERROR('Mail Merge'!$E351/'Mail Merge'!$D351,0)</f>
        <v>5698.8949382716046</v>
      </c>
      <c r="K351" s="201">
        <f>IFERROR('Mail Merge'!$F351/'Mail Merge'!$D351,0)</f>
        <v>3475.8546913580244</v>
      </c>
      <c r="L351" s="201">
        <f>IFERROR('Mail Merge'!$G351/'Mail Merge'!$D351,0)</f>
        <v>9174.7496296296285</v>
      </c>
      <c r="M351" s="201">
        <v>0</v>
      </c>
      <c r="N351" s="201" t="s">
        <v>241</v>
      </c>
      <c r="O351" s="201">
        <v>128621.25</v>
      </c>
      <c r="P351" s="201">
        <v>1327.78</v>
      </c>
      <c r="Q351" s="201">
        <f>'Mail Merge'!$O351+'Mail Merge'!$P351</f>
        <v>129949.03</v>
      </c>
      <c r="R351" s="201"/>
      <c r="S351" s="201">
        <v>205042.16</v>
      </c>
      <c r="T351" s="201">
        <v>205042.16</v>
      </c>
      <c r="U351" s="201">
        <f>IF(AND('Mail Merge'!$I351="Did Not Meet",'Mail Merge'!$N351="Did Not Meet"),MIN(ABS('Mail Merge'!$H351),ABS('Mail Merge'!$M351),'Mail Merge'!$Q351),0)</f>
        <v>0</v>
      </c>
      <c r="V351" s="201" t="str">
        <f>IF(OR(IFERROR(SEARCH("Met",'Mail Merge'!$N351),0)&gt;0,IFERROR(SEARCH("Met",'Mail Merge'!$I351),0)&gt;0),"Met","Not Met")</f>
        <v>Met</v>
      </c>
    </row>
    <row r="352" spans="1:22" x14ac:dyDescent="0.35">
      <c r="A352" s="198" t="s">
        <v>176</v>
      </c>
      <c r="B352" s="199">
        <v>2182</v>
      </c>
      <c r="C352" s="199" t="s">
        <v>159</v>
      </c>
      <c r="D352" s="199">
        <v>1763</v>
      </c>
      <c r="E352" s="199">
        <v>15010791.140000001</v>
      </c>
      <c r="F352" s="199">
        <v>2846360</v>
      </c>
      <c r="G352" s="199">
        <f>'Mail Merge'!$E352+'Mail Merge'!$F352</f>
        <v>17857151.140000001</v>
      </c>
      <c r="H352" s="199">
        <v>0</v>
      </c>
      <c r="I352" s="199" t="s">
        <v>241</v>
      </c>
      <c r="J352" s="199">
        <f>IFERROR('Mail Merge'!$E352/'Mail Merge'!$D352,0)</f>
        <v>8514.345513329552</v>
      </c>
      <c r="K352" s="199">
        <f>IFERROR('Mail Merge'!$F352/'Mail Merge'!$D352,0)</f>
        <v>1614.4980147475894</v>
      </c>
      <c r="L352" s="199">
        <f>IFERROR('Mail Merge'!$G352/'Mail Merge'!$D352,0)</f>
        <v>10128.843528077141</v>
      </c>
      <c r="M352" s="199">
        <v>0</v>
      </c>
      <c r="N352" s="199" t="s">
        <v>241</v>
      </c>
      <c r="O352" s="199">
        <v>1758898.03</v>
      </c>
      <c r="P352" s="199">
        <v>8956.66</v>
      </c>
      <c r="Q352" s="199">
        <f>'Mail Merge'!$O352+'Mail Merge'!$P352</f>
        <v>1767854.69</v>
      </c>
      <c r="R352" s="199"/>
      <c r="S352" s="199"/>
      <c r="T352" s="199"/>
      <c r="U352" s="199">
        <f>IF(AND('Mail Merge'!$I352="Did Not Meet",'Mail Merge'!$N352="Did Not Meet"),MIN(ABS('Mail Merge'!$H352),ABS('Mail Merge'!$M352),'Mail Merge'!$Q352),0)</f>
        <v>0</v>
      </c>
      <c r="V352" s="199" t="str">
        <f>IF(OR(IFERROR(SEARCH("Met",'Mail Merge'!$N352),0)&gt;0,IFERROR(SEARCH("Met",'Mail Merge'!$I352),0)&gt;0),"Met","Not Met")</f>
        <v>Met</v>
      </c>
    </row>
    <row r="353" spans="1:22" x14ac:dyDescent="0.35">
      <c r="A353" s="200" t="s">
        <v>177</v>
      </c>
      <c r="B353" s="201">
        <v>1999</v>
      </c>
      <c r="C353" s="201" t="s">
        <v>159</v>
      </c>
      <c r="D353" s="201">
        <v>63</v>
      </c>
      <c r="E353" s="201">
        <v>284578.09999999998</v>
      </c>
      <c r="F353" s="201">
        <v>75082.03</v>
      </c>
      <c r="G353" s="201">
        <f>'Mail Merge'!$E353+'Mail Merge'!$F353</f>
        <v>359660.13</v>
      </c>
      <c r="H353" s="201">
        <v>0</v>
      </c>
      <c r="I353" s="201" t="s">
        <v>240</v>
      </c>
      <c r="J353" s="201">
        <f>IFERROR('Mail Merge'!$E353/'Mail Merge'!$D353,0)</f>
        <v>4517.1126984126977</v>
      </c>
      <c r="K353" s="201">
        <f>IFERROR('Mail Merge'!$F353/'Mail Merge'!$D353,0)</f>
        <v>1191.7782539682539</v>
      </c>
      <c r="L353" s="201">
        <f>IFERROR('Mail Merge'!$G353/'Mail Merge'!$D353,0)</f>
        <v>5708.8909523809525</v>
      </c>
      <c r="M353" s="201">
        <v>0</v>
      </c>
      <c r="N353" s="201" t="s">
        <v>240</v>
      </c>
      <c r="O353" s="201">
        <v>70143.570000000007</v>
      </c>
      <c r="P353" s="201">
        <v>75.819999999999993</v>
      </c>
      <c r="Q353" s="201">
        <f>'Mail Merge'!$O353+'Mail Merge'!$P353</f>
        <v>70219.390000000014</v>
      </c>
      <c r="R353" s="201"/>
      <c r="S353" s="201"/>
      <c r="T353" s="201"/>
      <c r="U353" s="201">
        <f>IF(AND('Mail Merge'!$I353="Did Not Meet",'Mail Merge'!$N353="Did Not Meet"),MIN(ABS('Mail Merge'!$H353),ABS('Mail Merge'!$M353),'Mail Merge'!$Q353),0)</f>
        <v>0</v>
      </c>
      <c r="V353" s="201" t="str">
        <f>IF(OR(IFERROR(SEARCH("Met",'Mail Merge'!$N353),0)&gt;0,IFERROR(SEARCH("Met",'Mail Merge'!$I353),0)&gt;0),"Met","Not Met")</f>
        <v>Not Met</v>
      </c>
    </row>
    <row r="354" spans="1:22" x14ac:dyDescent="0.35">
      <c r="A354" s="198" t="s">
        <v>178</v>
      </c>
      <c r="B354" s="199">
        <v>2188</v>
      </c>
      <c r="C354" s="199" t="s">
        <v>159</v>
      </c>
      <c r="D354" s="199">
        <v>50</v>
      </c>
      <c r="E354" s="199">
        <v>229667.55</v>
      </c>
      <c r="F354" s="199">
        <v>116091</v>
      </c>
      <c r="G354" s="199">
        <f>'Mail Merge'!$E354+'Mail Merge'!$F354</f>
        <v>345758.55</v>
      </c>
      <c r="H354" s="199">
        <v>0</v>
      </c>
      <c r="I354" s="199" t="s">
        <v>242</v>
      </c>
      <c r="J354" s="199">
        <f>IFERROR('Mail Merge'!$E354/'Mail Merge'!$D354,0)</f>
        <v>4593.3509999999997</v>
      </c>
      <c r="K354" s="199">
        <f>IFERROR('Mail Merge'!$F354/'Mail Merge'!$D354,0)</f>
        <v>2321.8200000000002</v>
      </c>
      <c r="L354" s="199">
        <f>IFERROR('Mail Merge'!$G354/'Mail Merge'!$D354,0)</f>
        <v>6915.1709999999994</v>
      </c>
      <c r="M354" s="199">
        <v>0</v>
      </c>
      <c r="N354" s="199" t="s">
        <v>240</v>
      </c>
      <c r="O354" s="199">
        <v>73649.09</v>
      </c>
      <c r="P354" s="199">
        <v>533.97</v>
      </c>
      <c r="Q354" s="199">
        <f>'Mail Merge'!$O354+'Mail Merge'!$P354</f>
        <v>74183.06</v>
      </c>
      <c r="R354" s="199"/>
      <c r="S354" s="199">
        <v>11107.74</v>
      </c>
      <c r="T354" s="199"/>
      <c r="U354" s="199">
        <f>IF(AND('Mail Merge'!$I354="Did Not Meet",'Mail Merge'!$N354="Did Not Meet"),MIN(ABS('Mail Merge'!$H354),ABS('Mail Merge'!$M354),'Mail Merge'!$Q354),0)</f>
        <v>0</v>
      </c>
      <c r="V354" s="199" t="str">
        <f>IF(OR(IFERROR(SEARCH("Met",'Mail Merge'!$N354),0)&gt;0,IFERROR(SEARCH("Met",'Mail Merge'!$I354),0)&gt;0),"Met","Not Met")</f>
        <v>Met</v>
      </c>
    </row>
    <row r="355" spans="1:22" x14ac:dyDescent="0.35">
      <c r="A355" s="200" t="s">
        <v>179</v>
      </c>
      <c r="B355" s="201">
        <v>2044</v>
      </c>
      <c r="C355" s="201" t="s">
        <v>159</v>
      </c>
      <c r="D355" s="201">
        <v>159</v>
      </c>
      <c r="E355" s="201">
        <v>949482.07</v>
      </c>
      <c r="F355" s="201">
        <v>442299.43</v>
      </c>
      <c r="G355" s="201">
        <f>'Mail Merge'!$E355+'Mail Merge'!$F355</f>
        <v>1391781.5</v>
      </c>
      <c r="H355" s="201">
        <v>0</v>
      </c>
      <c r="I355" s="201" t="s">
        <v>241</v>
      </c>
      <c r="J355" s="201">
        <f>IFERROR('Mail Merge'!$E355/'Mail Merge'!$D355,0)</f>
        <v>5971.5853459119489</v>
      </c>
      <c r="K355" s="201">
        <f>IFERROR('Mail Merge'!$F355/'Mail Merge'!$D355,0)</f>
        <v>2781.7574213836479</v>
      </c>
      <c r="L355" s="201">
        <f>IFERROR('Mail Merge'!$G355/'Mail Merge'!$D355,0)</f>
        <v>8753.3427672955968</v>
      </c>
      <c r="M355" s="201">
        <v>0</v>
      </c>
      <c r="N355" s="201" t="s">
        <v>240</v>
      </c>
      <c r="O355" s="201">
        <v>176620.03</v>
      </c>
      <c r="P355" s="201">
        <v>1311.73</v>
      </c>
      <c r="Q355" s="201">
        <f>'Mail Merge'!$O355+'Mail Merge'!$P355</f>
        <v>177931.76</v>
      </c>
      <c r="R355" s="201"/>
      <c r="S355" s="201"/>
      <c r="T355" s="201"/>
      <c r="U355" s="201">
        <f>IF(AND('Mail Merge'!$I355="Did Not Meet",'Mail Merge'!$N355="Did Not Meet"),MIN(ABS('Mail Merge'!$H355),ABS('Mail Merge'!$M355),'Mail Merge'!$Q355),0)</f>
        <v>0</v>
      </c>
      <c r="V355" s="201" t="str">
        <f>IF(OR(IFERROR(SEARCH("Met",'Mail Merge'!$N355),0)&gt;0,IFERROR(SEARCH("Met",'Mail Merge'!$I355),0)&gt;0),"Met","Not Met")</f>
        <v>Met</v>
      </c>
    </row>
    <row r="356" spans="1:22" x14ac:dyDescent="0.35">
      <c r="A356" s="198" t="s">
        <v>180</v>
      </c>
      <c r="B356" s="199">
        <v>2142</v>
      </c>
      <c r="C356" s="199" t="s">
        <v>159</v>
      </c>
      <c r="D356" s="199">
        <v>5861</v>
      </c>
      <c r="E356" s="199">
        <v>59043417.009999998</v>
      </c>
      <c r="F356" s="199">
        <v>269276.5</v>
      </c>
      <c r="G356" s="199">
        <f>'Mail Merge'!$E356+'Mail Merge'!$F356</f>
        <v>59312693.509999998</v>
      </c>
      <c r="H356" s="199">
        <v>0</v>
      </c>
      <c r="I356" s="199" t="s">
        <v>239</v>
      </c>
      <c r="J356" s="199">
        <f>IFERROR('Mail Merge'!$E356/'Mail Merge'!$D356,0)</f>
        <v>10073.949327759768</v>
      </c>
      <c r="K356" s="199">
        <f>IFERROR('Mail Merge'!$F356/'Mail Merge'!$D356,0)</f>
        <v>45.943780924756865</v>
      </c>
      <c r="L356" s="199">
        <f>IFERROR('Mail Merge'!$G356/'Mail Merge'!$D356,0)</f>
        <v>10119.893108684524</v>
      </c>
      <c r="M356" s="199">
        <v>0</v>
      </c>
      <c r="N356" s="199" t="s">
        <v>239</v>
      </c>
      <c r="O356" s="199">
        <v>6436078.8700000001</v>
      </c>
      <c r="P356" s="199">
        <v>36652.99</v>
      </c>
      <c r="Q356" s="199">
        <f>'Mail Merge'!$O356+'Mail Merge'!$P356</f>
        <v>6472731.8600000003</v>
      </c>
      <c r="R356" s="199"/>
      <c r="S356" s="199"/>
      <c r="T356" s="199"/>
      <c r="U356" s="199">
        <f>IF(AND('Mail Merge'!$I356="Did Not Meet",'Mail Merge'!$N356="Did Not Meet"),MIN(ABS('Mail Merge'!$H356),ABS('Mail Merge'!$M356),'Mail Merge'!$Q356),0)</f>
        <v>0</v>
      </c>
      <c r="V356" s="199" t="str">
        <f>IF(OR(IFERROR(SEARCH("Met",'Mail Merge'!$N356),0)&gt;0,IFERROR(SEARCH("Met",'Mail Merge'!$I356),0)&gt;0),"Met","Not Met")</f>
        <v>Met</v>
      </c>
    </row>
    <row r="357" spans="1:22" x14ac:dyDescent="0.35">
      <c r="A357" s="200" t="s">
        <v>181</v>
      </c>
      <c r="B357" s="201">
        <v>2104</v>
      </c>
      <c r="C357" s="201" t="s">
        <v>159</v>
      </c>
      <c r="D357" s="201">
        <v>90</v>
      </c>
      <c r="E357" s="201">
        <v>610223.05000000005</v>
      </c>
      <c r="F357" s="201">
        <v>78923</v>
      </c>
      <c r="G357" s="201">
        <f>'Mail Merge'!$E357+'Mail Merge'!$F357</f>
        <v>689146.05</v>
      </c>
      <c r="H357" s="201">
        <v>0</v>
      </c>
      <c r="I357" s="201" t="s">
        <v>241</v>
      </c>
      <c r="J357" s="201">
        <f>IFERROR('Mail Merge'!$E357/'Mail Merge'!$D357,0)</f>
        <v>6780.2561111111117</v>
      </c>
      <c r="K357" s="201">
        <f>IFERROR('Mail Merge'!$F357/'Mail Merge'!$D357,0)</f>
        <v>876.92222222222222</v>
      </c>
      <c r="L357" s="201">
        <f>IFERROR('Mail Merge'!$G357/'Mail Merge'!$D357,0)</f>
        <v>7657.1783333333342</v>
      </c>
      <c r="M357" s="201">
        <v>0</v>
      </c>
      <c r="N357" s="201" t="s">
        <v>241</v>
      </c>
      <c r="O357" s="201">
        <v>129404.03</v>
      </c>
      <c r="P357" s="201">
        <v>414.94</v>
      </c>
      <c r="Q357" s="201">
        <f>'Mail Merge'!$O357+'Mail Merge'!$P357</f>
        <v>129818.97</v>
      </c>
      <c r="R357" s="201"/>
      <c r="S357" s="201"/>
      <c r="T357" s="201"/>
      <c r="U357" s="201">
        <f>IF(AND('Mail Merge'!$I357="Did Not Meet",'Mail Merge'!$N357="Did Not Meet"),MIN(ABS('Mail Merge'!$H357),ABS('Mail Merge'!$M357),'Mail Merge'!$Q357),0)</f>
        <v>0</v>
      </c>
      <c r="V357" s="201" t="str">
        <f>IF(OR(IFERROR(SEARCH("Met",'Mail Merge'!$N357),0)&gt;0,IFERROR(SEARCH("Met",'Mail Merge'!$I357),0)&gt;0),"Met","Not Met")</f>
        <v>Met</v>
      </c>
    </row>
    <row r="358" spans="1:22" x14ac:dyDescent="0.35">
      <c r="A358" s="198" t="s">
        <v>182</v>
      </c>
      <c r="B358" s="199">
        <v>1944</v>
      </c>
      <c r="C358" s="199" t="s">
        <v>159</v>
      </c>
      <c r="D358" s="199">
        <v>254</v>
      </c>
      <c r="E358" s="199">
        <v>2082307.34</v>
      </c>
      <c r="F358" s="199">
        <v>283333</v>
      </c>
      <c r="G358" s="199">
        <f>'Mail Merge'!$E358+'Mail Merge'!$F358</f>
        <v>2365640.34</v>
      </c>
      <c r="H358" s="199">
        <v>0</v>
      </c>
      <c r="I358" s="199" t="s">
        <v>241</v>
      </c>
      <c r="J358" s="199">
        <f>IFERROR('Mail Merge'!$E358/'Mail Merge'!$D358,0)</f>
        <v>8198.0603937007872</v>
      </c>
      <c r="K358" s="199">
        <f>IFERROR('Mail Merge'!$F358/'Mail Merge'!$D358,0)</f>
        <v>1115.4842519685039</v>
      </c>
      <c r="L358" s="199">
        <f>IFERROR('Mail Merge'!$G358/'Mail Merge'!$D358,0)</f>
        <v>9313.5446456692916</v>
      </c>
      <c r="M358" s="199">
        <v>0</v>
      </c>
      <c r="N358" s="199" t="s">
        <v>241</v>
      </c>
      <c r="O358" s="199">
        <v>323439.71999999997</v>
      </c>
      <c r="P358" s="199">
        <v>1898.19</v>
      </c>
      <c r="Q358" s="199">
        <f>'Mail Merge'!$O358+'Mail Merge'!$P358</f>
        <v>325337.90999999997</v>
      </c>
      <c r="R358" s="199"/>
      <c r="S358" s="199"/>
      <c r="T358" s="199"/>
      <c r="U358" s="199">
        <f>IF(AND('Mail Merge'!$I358="Did Not Meet",'Mail Merge'!$N358="Did Not Meet"),MIN(ABS('Mail Merge'!$H358),ABS('Mail Merge'!$M358),'Mail Merge'!$Q358),0)</f>
        <v>0</v>
      </c>
      <c r="V358" s="199" t="str">
        <f>IF(OR(IFERROR(SEARCH("Met",'Mail Merge'!$N358),0)&gt;0,IFERROR(SEARCH("Met",'Mail Merge'!$I358),0)&gt;0),"Met","Not Met")</f>
        <v>Met</v>
      </c>
    </row>
    <row r="359" spans="1:22" x14ac:dyDescent="0.35">
      <c r="A359" s="200" t="s">
        <v>183</v>
      </c>
      <c r="B359" s="201">
        <v>2103</v>
      </c>
      <c r="C359" s="201" t="s">
        <v>159</v>
      </c>
      <c r="D359" s="201">
        <v>286</v>
      </c>
      <c r="E359" s="201">
        <v>1203845.22</v>
      </c>
      <c r="F359" s="201">
        <v>252754</v>
      </c>
      <c r="G359" s="201">
        <f>'Mail Merge'!$E359+'Mail Merge'!$F359</f>
        <v>1456599.22</v>
      </c>
      <c r="H359" s="201">
        <v>0</v>
      </c>
      <c r="I359" s="201" t="s">
        <v>241</v>
      </c>
      <c r="J359" s="201">
        <f>IFERROR('Mail Merge'!$E359/'Mail Merge'!$D359,0)</f>
        <v>4209.2490209790212</v>
      </c>
      <c r="K359" s="201">
        <f>IFERROR('Mail Merge'!$F359/'Mail Merge'!$D359,0)</f>
        <v>883.7552447552448</v>
      </c>
      <c r="L359" s="201">
        <f>IFERROR('Mail Merge'!$G359/'Mail Merge'!$D359,0)</f>
        <v>5093.0042657342656</v>
      </c>
      <c r="M359" s="201">
        <v>0</v>
      </c>
      <c r="N359" s="201" t="s">
        <v>241</v>
      </c>
      <c r="O359" s="201">
        <v>311375.55</v>
      </c>
      <c r="P359" s="201">
        <v>555.84</v>
      </c>
      <c r="Q359" s="201">
        <f>'Mail Merge'!$O359+'Mail Merge'!$P359</f>
        <v>311931.39</v>
      </c>
      <c r="R359" s="201"/>
      <c r="S359" s="201"/>
      <c r="T359" s="201"/>
      <c r="U359" s="201">
        <f>IF(AND('Mail Merge'!$I359="Did Not Meet",'Mail Merge'!$N359="Did Not Meet"),MIN(ABS('Mail Merge'!$H359),ABS('Mail Merge'!$M359),'Mail Merge'!$Q359),0)</f>
        <v>0</v>
      </c>
      <c r="V359" s="201" t="str">
        <f>IF(OR(IFERROR(SEARCH("Met",'Mail Merge'!$N359),0)&gt;0,IFERROR(SEARCH("Met",'Mail Merge'!$I359),0)&gt;0),"Met","Not Met")</f>
        <v>Met</v>
      </c>
    </row>
    <row r="360" spans="1:22" x14ac:dyDescent="0.35">
      <c r="A360" s="198" t="s">
        <v>184</v>
      </c>
      <c r="B360" s="199">
        <v>1935</v>
      </c>
      <c r="C360" s="199" t="s">
        <v>159</v>
      </c>
      <c r="D360" s="199">
        <v>270</v>
      </c>
      <c r="E360" s="199">
        <v>2127124.84</v>
      </c>
      <c r="F360" s="199">
        <v>418027</v>
      </c>
      <c r="G360" s="199">
        <f>'Mail Merge'!$E360+'Mail Merge'!$F360</f>
        <v>2545151.84</v>
      </c>
      <c r="H360" s="199">
        <v>0</v>
      </c>
      <c r="I360" s="199" t="s">
        <v>241</v>
      </c>
      <c r="J360" s="199">
        <f>IFERROR('Mail Merge'!$E360/'Mail Merge'!$D360,0)</f>
        <v>7878.2401481481475</v>
      </c>
      <c r="K360" s="199">
        <f>IFERROR('Mail Merge'!$F360/'Mail Merge'!$D360,0)</f>
        <v>1548.2481481481482</v>
      </c>
      <c r="L360" s="199">
        <f>IFERROR('Mail Merge'!$G360/'Mail Merge'!$D360,0)</f>
        <v>9426.4882962962965</v>
      </c>
      <c r="M360" s="199">
        <v>0</v>
      </c>
      <c r="N360" s="199" t="s">
        <v>240</v>
      </c>
      <c r="O360" s="199">
        <v>216422.95</v>
      </c>
      <c r="P360" s="199">
        <v>2320.15</v>
      </c>
      <c r="Q360" s="199">
        <f>'Mail Merge'!$O360+'Mail Merge'!$P360</f>
        <v>218743.1</v>
      </c>
      <c r="R360" s="199"/>
      <c r="S360" s="199"/>
      <c r="T360" s="199"/>
      <c r="U360" s="199">
        <f>IF(AND('Mail Merge'!$I360="Did Not Meet",'Mail Merge'!$N360="Did Not Meet"),MIN(ABS('Mail Merge'!$H360),ABS('Mail Merge'!$M360),'Mail Merge'!$Q360),0)</f>
        <v>0</v>
      </c>
      <c r="V360" s="199" t="str">
        <f>IF(OR(IFERROR(SEARCH("Met",'Mail Merge'!$N360),0)&gt;0,IFERROR(SEARCH("Met",'Mail Merge'!$I360),0)&gt;0),"Met","Not Met")</f>
        <v>Met</v>
      </c>
    </row>
    <row r="361" spans="1:22" x14ac:dyDescent="0.35">
      <c r="A361" s="200" t="s">
        <v>185</v>
      </c>
      <c r="B361" s="201">
        <v>2257</v>
      </c>
      <c r="C361" s="201" t="s">
        <v>159</v>
      </c>
      <c r="D361" s="201">
        <v>117</v>
      </c>
      <c r="E361" s="201">
        <v>845493.63</v>
      </c>
      <c r="F361" s="201">
        <v>117033.85</v>
      </c>
      <c r="G361" s="201">
        <f>'Mail Merge'!$E361+'Mail Merge'!$F361</f>
        <v>962527.48</v>
      </c>
      <c r="H361" s="201">
        <v>0</v>
      </c>
      <c r="I361" s="201" t="s">
        <v>241</v>
      </c>
      <c r="J361" s="201">
        <f>IFERROR('Mail Merge'!$E361/'Mail Merge'!$D361,0)</f>
        <v>7226.4412820512825</v>
      </c>
      <c r="K361" s="201">
        <f>IFERROR('Mail Merge'!$F361/'Mail Merge'!$D361,0)</f>
        <v>1000.2893162393162</v>
      </c>
      <c r="L361" s="201">
        <f>IFERROR('Mail Merge'!$G361/'Mail Merge'!$D361,0)</f>
        <v>8226.7305982905982</v>
      </c>
      <c r="M361" s="201">
        <v>0</v>
      </c>
      <c r="N361" s="201" t="s">
        <v>240</v>
      </c>
      <c r="O361" s="201">
        <v>180021.07</v>
      </c>
      <c r="P361" s="201">
        <v>0</v>
      </c>
      <c r="Q361" s="201">
        <f>'Mail Merge'!$O361+'Mail Merge'!$P361</f>
        <v>180021.07</v>
      </c>
      <c r="R361" s="201"/>
      <c r="S361" s="201"/>
      <c r="T361" s="201"/>
      <c r="U361" s="201">
        <f>IF(AND('Mail Merge'!$I361="Did Not Meet",'Mail Merge'!$N361="Did Not Meet"),MIN(ABS('Mail Merge'!$H361),ABS('Mail Merge'!$M361),'Mail Merge'!$Q361),0)</f>
        <v>0</v>
      </c>
      <c r="V361" s="201" t="str">
        <f>IF(OR(IFERROR(SEARCH("Met",'Mail Merge'!$N361),0)&gt;0,IFERROR(SEARCH("Met",'Mail Merge'!$I361),0)&gt;0),"Met","Not Met")</f>
        <v>Met</v>
      </c>
    </row>
    <row r="362" spans="1:22" x14ac:dyDescent="0.35">
      <c r="A362" s="198" t="s">
        <v>186</v>
      </c>
      <c r="B362" s="199">
        <v>2195</v>
      </c>
      <c r="C362" s="199" t="s">
        <v>159</v>
      </c>
      <c r="D362" s="199">
        <v>40</v>
      </c>
      <c r="E362" s="199">
        <v>217379.93</v>
      </c>
      <c r="F362" s="199">
        <v>202216</v>
      </c>
      <c r="G362" s="199">
        <f>'Mail Merge'!$E362+'Mail Merge'!$F362</f>
        <v>419595.93</v>
      </c>
      <c r="H362" s="199">
        <v>0</v>
      </c>
      <c r="I362" s="199" t="s">
        <v>242</v>
      </c>
      <c r="J362" s="199">
        <f>IFERROR('Mail Merge'!$E362/'Mail Merge'!$D362,0)</f>
        <v>5434.4982499999996</v>
      </c>
      <c r="K362" s="199">
        <f>IFERROR('Mail Merge'!$F362/'Mail Merge'!$D362,0)</f>
        <v>5055.3999999999996</v>
      </c>
      <c r="L362" s="199">
        <f>IFERROR('Mail Merge'!$G362/'Mail Merge'!$D362,0)</f>
        <v>10489.89825</v>
      </c>
      <c r="M362" s="199">
        <v>0</v>
      </c>
      <c r="N362" s="199" t="s">
        <v>241</v>
      </c>
      <c r="O362" s="199">
        <v>52189.37</v>
      </c>
      <c r="P362" s="199">
        <v>218.49</v>
      </c>
      <c r="Q362" s="199">
        <f>'Mail Merge'!$O362+'Mail Merge'!$P362</f>
        <v>52407.86</v>
      </c>
      <c r="R362" s="199"/>
      <c r="S362" s="199">
        <v>79679.62</v>
      </c>
      <c r="T362" s="199">
        <v>79679.62</v>
      </c>
      <c r="U362" s="199">
        <f>IF(AND('Mail Merge'!$I362="Did Not Meet",'Mail Merge'!$N362="Did Not Meet"),MIN(ABS('Mail Merge'!$H362),ABS('Mail Merge'!$M362),'Mail Merge'!$Q362),0)</f>
        <v>0</v>
      </c>
      <c r="V362" s="199" t="str">
        <f>IF(OR(IFERROR(SEARCH("Met",'Mail Merge'!$N362),0)&gt;0,IFERROR(SEARCH("Met",'Mail Merge'!$I362),0)&gt;0),"Met","Not Met")</f>
        <v>Met</v>
      </c>
    </row>
    <row r="363" spans="1:22" x14ac:dyDescent="0.35">
      <c r="A363" s="200" t="s">
        <v>187</v>
      </c>
      <c r="B363" s="201">
        <v>2244</v>
      </c>
      <c r="C363" s="201" t="s">
        <v>159</v>
      </c>
      <c r="D363" s="201">
        <v>526</v>
      </c>
      <c r="E363" s="201">
        <v>3207133.2</v>
      </c>
      <c r="F363" s="201">
        <v>683830</v>
      </c>
      <c r="G363" s="201">
        <f>'Mail Merge'!$E363+'Mail Merge'!$F363</f>
        <v>3890963.2</v>
      </c>
      <c r="H363" s="201">
        <v>0</v>
      </c>
      <c r="I363" s="201" t="s">
        <v>241</v>
      </c>
      <c r="J363" s="201">
        <f>IFERROR('Mail Merge'!$E363/'Mail Merge'!$D363,0)</f>
        <v>6097.2114068441069</v>
      </c>
      <c r="K363" s="201">
        <f>IFERROR('Mail Merge'!$F363/'Mail Merge'!$D363,0)</f>
        <v>1300.0570342205324</v>
      </c>
      <c r="L363" s="201">
        <f>IFERROR('Mail Merge'!$G363/'Mail Merge'!$D363,0)</f>
        <v>7397.2684410646389</v>
      </c>
      <c r="M363" s="201">
        <v>0</v>
      </c>
      <c r="N363" s="201" t="s">
        <v>240</v>
      </c>
      <c r="O363" s="201">
        <v>631241.16</v>
      </c>
      <c r="P363" s="201">
        <v>2152.5300000000002</v>
      </c>
      <c r="Q363" s="201">
        <f>'Mail Merge'!$O363+'Mail Merge'!$P363</f>
        <v>633393.69000000006</v>
      </c>
      <c r="R363" s="201"/>
      <c r="S363" s="201"/>
      <c r="T363" s="201"/>
      <c r="U363" s="201">
        <f>IF(AND('Mail Merge'!$I363="Did Not Meet",'Mail Merge'!$N363="Did Not Meet"),MIN(ABS('Mail Merge'!$H363),ABS('Mail Merge'!$M363),'Mail Merge'!$Q363),0)</f>
        <v>0</v>
      </c>
      <c r="V363" s="201" t="str">
        <f>IF(OR(IFERROR(SEARCH("Met",'Mail Merge'!$N363),0)&gt;0,IFERROR(SEARCH("Met",'Mail Merge'!$I363),0)&gt;0),"Met","Not Met")</f>
        <v>Met</v>
      </c>
    </row>
    <row r="364" spans="1:22" x14ac:dyDescent="0.35">
      <c r="A364" s="198" t="s">
        <v>188</v>
      </c>
      <c r="B364" s="199">
        <v>2138</v>
      </c>
      <c r="C364" s="199" t="s">
        <v>159</v>
      </c>
      <c r="D364" s="199">
        <v>484</v>
      </c>
      <c r="E364" s="199">
        <v>3352763.59</v>
      </c>
      <c r="F364" s="199">
        <v>464841.81</v>
      </c>
      <c r="G364" s="199">
        <f>'Mail Merge'!$E364+'Mail Merge'!$F364</f>
        <v>3817605.4</v>
      </c>
      <c r="H364" s="199">
        <v>0</v>
      </c>
      <c r="I364" s="199" t="s">
        <v>241</v>
      </c>
      <c r="J364" s="199">
        <f>IFERROR('Mail Merge'!$E364/'Mail Merge'!$D364,0)</f>
        <v>6927.1974999999993</v>
      </c>
      <c r="K364" s="199">
        <f>IFERROR('Mail Merge'!$F364/'Mail Merge'!$D364,0)</f>
        <v>960.41696280991732</v>
      </c>
      <c r="L364" s="199">
        <f>IFERROR('Mail Merge'!$G364/'Mail Merge'!$D364,0)</f>
        <v>7887.6144628099173</v>
      </c>
      <c r="M364" s="199">
        <v>0</v>
      </c>
      <c r="N364" s="199" t="s">
        <v>241</v>
      </c>
      <c r="O364" s="199">
        <v>526355.94999999995</v>
      </c>
      <c r="P364" s="199">
        <v>3247.2</v>
      </c>
      <c r="Q364" s="199">
        <f>'Mail Merge'!$O364+'Mail Merge'!$P364</f>
        <v>529603.14999999991</v>
      </c>
      <c r="R364" s="199"/>
      <c r="S364" s="199"/>
      <c r="T364" s="199"/>
      <c r="U364" s="199">
        <f>IF(AND('Mail Merge'!$I364="Did Not Meet",'Mail Merge'!$N364="Did Not Meet"),MIN(ABS('Mail Merge'!$H364),ABS('Mail Merge'!$M364),'Mail Merge'!$Q364),0)</f>
        <v>0</v>
      </c>
      <c r="V364" s="199" t="str">
        <f>IF(OR(IFERROR(SEARCH("Met",'Mail Merge'!$N364),0)&gt;0,IFERROR(SEARCH("Met",'Mail Merge'!$I364),0)&gt;0),"Met","Not Met")</f>
        <v>Met</v>
      </c>
    </row>
    <row r="365" spans="1:22" x14ac:dyDescent="0.35">
      <c r="A365" s="200" t="s">
        <v>189</v>
      </c>
      <c r="B365" s="201">
        <v>1978</v>
      </c>
      <c r="C365" s="201" t="s">
        <v>159</v>
      </c>
      <c r="D365" s="201">
        <v>140</v>
      </c>
      <c r="E365" s="201">
        <v>768237.59</v>
      </c>
      <c r="F365" s="201">
        <v>118102.78</v>
      </c>
      <c r="G365" s="201">
        <f>'Mail Merge'!$E365+'Mail Merge'!$F365</f>
        <v>886340.37</v>
      </c>
      <c r="H365" s="201">
        <v>0</v>
      </c>
      <c r="I365" s="201" t="s">
        <v>241</v>
      </c>
      <c r="J365" s="201">
        <f>IFERROR('Mail Merge'!$E365/'Mail Merge'!$D365,0)</f>
        <v>5487.411357142857</v>
      </c>
      <c r="K365" s="201">
        <f>IFERROR('Mail Merge'!$F365/'Mail Merge'!$D365,0)</f>
        <v>843.59128571428573</v>
      </c>
      <c r="L365" s="201">
        <f>IFERROR('Mail Merge'!$G365/'Mail Merge'!$D365,0)</f>
        <v>6331.0026428571427</v>
      </c>
      <c r="M365" s="201">
        <v>0</v>
      </c>
      <c r="N365" s="201" t="s">
        <v>241</v>
      </c>
      <c r="O365" s="201">
        <v>209455.16</v>
      </c>
      <c r="P365" s="201">
        <v>1278.79</v>
      </c>
      <c r="Q365" s="201">
        <f>'Mail Merge'!$O365+'Mail Merge'!$P365</f>
        <v>210733.95</v>
      </c>
      <c r="R365" s="201"/>
      <c r="S365" s="201"/>
      <c r="T365" s="201"/>
      <c r="U365" s="201">
        <f>IF(AND('Mail Merge'!$I365="Did Not Meet",'Mail Merge'!$N365="Did Not Meet"),MIN(ABS('Mail Merge'!$H365),ABS('Mail Merge'!$M365),'Mail Merge'!$Q365),0)</f>
        <v>0</v>
      </c>
      <c r="V365" s="201" t="str">
        <f>IF(OR(IFERROR(SEARCH("Met",'Mail Merge'!$N365),0)&gt;0,IFERROR(SEARCH("Met",'Mail Merge'!$I365),0)&gt;0),"Met","Not Met")</f>
        <v>Met</v>
      </c>
    </row>
    <row r="366" spans="1:22" x14ac:dyDescent="0.35">
      <c r="A366" s="198" t="s">
        <v>190</v>
      </c>
      <c r="B366" s="199">
        <v>2096</v>
      </c>
      <c r="C366" s="199" t="s">
        <v>159</v>
      </c>
      <c r="D366" s="199">
        <v>187</v>
      </c>
      <c r="E366" s="199">
        <v>1286586.94</v>
      </c>
      <c r="F366" s="199">
        <v>469380</v>
      </c>
      <c r="G366" s="199">
        <f>'Mail Merge'!$E366+'Mail Merge'!$F366</f>
        <v>1755966.94</v>
      </c>
      <c r="H366" s="199">
        <v>0</v>
      </c>
      <c r="I366" s="199" t="s">
        <v>241</v>
      </c>
      <c r="J366" s="199">
        <f>IFERROR('Mail Merge'!$E366/'Mail Merge'!$D366,0)</f>
        <v>6880.1440641711224</v>
      </c>
      <c r="K366" s="199">
        <f>IFERROR('Mail Merge'!$F366/'Mail Merge'!$D366,0)</f>
        <v>2510.0534759358288</v>
      </c>
      <c r="L366" s="199">
        <f>IFERROR('Mail Merge'!$G366/'Mail Merge'!$D366,0)</f>
        <v>9390.1975401069521</v>
      </c>
      <c r="M366" s="199">
        <v>0</v>
      </c>
      <c r="N366" s="199" t="s">
        <v>241</v>
      </c>
      <c r="O366" s="199">
        <v>186843.32</v>
      </c>
      <c r="P366" s="199">
        <v>3357.94</v>
      </c>
      <c r="Q366" s="199">
        <f>'Mail Merge'!$O366+'Mail Merge'!$P366</f>
        <v>190201.26</v>
      </c>
      <c r="R366" s="199"/>
      <c r="S366" s="199"/>
      <c r="T366" s="199"/>
      <c r="U366" s="199">
        <f>IF(AND('Mail Merge'!$I366="Did Not Meet",'Mail Merge'!$N366="Did Not Meet"),MIN(ABS('Mail Merge'!$H366),ABS('Mail Merge'!$M366),'Mail Merge'!$Q366),0)</f>
        <v>0</v>
      </c>
      <c r="V366" s="199" t="str">
        <f>IF(OR(IFERROR(SEARCH("Met",'Mail Merge'!$N366),0)&gt;0,IFERROR(SEARCH("Met",'Mail Merge'!$I366),0)&gt;0),"Met","Not Met")</f>
        <v>Met</v>
      </c>
    </row>
    <row r="367" spans="1:22" x14ac:dyDescent="0.35">
      <c r="A367" s="200" t="s">
        <v>191</v>
      </c>
      <c r="B367" s="201">
        <v>2022</v>
      </c>
      <c r="C367" s="201" t="s">
        <v>159</v>
      </c>
      <c r="D367" s="201">
        <v>2</v>
      </c>
      <c r="E367" s="201">
        <v>4937.05</v>
      </c>
      <c r="F367" s="201">
        <v>716</v>
      </c>
      <c r="G367" s="201">
        <f>'Mail Merge'!$E367+'Mail Merge'!$F367</f>
        <v>5653.05</v>
      </c>
      <c r="H367" s="201">
        <v>0</v>
      </c>
      <c r="I367" s="201" t="s">
        <v>240</v>
      </c>
      <c r="J367" s="201">
        <f>IFERROR('Mail Merge'!$E367/'Mail Merge'!$D367,0)</f>
        <v>2468.5250000000001</v>
      </c>
      <c r="K367" s="201">
        <f>IFERROR('Mail Merge'!$F367/'Mail Merge'!$D367,0)</f>
        <v>358</v>
      </c>
      <c r="L367" s="201">
        <f>IFERROR('Mail Merge'!$G367/'Mail Merge'!$D367,0)</f>
        <v>2826.5250000000001</v>
      </c>
      <c r="M367" s="201">
        <v>0</v>
      </c>
      <c r="N367" s="201" t="s">
        <v>240</v>
      </c>
      <c r="O367" s="201">
        <v>3164.09</v>
      </c>
      <c r="P367" s="201">
        <v>1.26</v>
      </c>
      <c r="Q367" s="201">
        <f>'Mail Merge'!$O367+'Mail Merge'!$P367</f>
        <v>3165.3500000000004</v>
      </c>
      <c r="R367" s="201"/>
      <c r="S367" s="201"/>
      <c r="T367" s="201"/>
      <c r="U367" s="201">
        <f>IF(AND('Mail Merge'!$I367="Did Not Meet",'Mail Merge'!$N367="Did Not Meet"),MIN(ABS('Mail Merge'!$H367),ABS('Mail Merge'!$M367),'Mail Merge'!$Q367),0)</f>
        <v>0</v>
      </c>
      <c r="V367" s="201" t="str">
        <f>IF(OR(IFERROR(SEARCH("Met",'Mail Merge'!$N367),0)&gt;0,IFERROR(SEARCH("Met",'Mail Merge'!$I367),0)&gt;0),"Met","Not Met")</f>
        <v>Not Met</v>
      </c>
    </row>
    <row r="368" spans="1:22" x14ac:dyDescent="0.35">
      <c r="A368" s="198" t="s">
        <v>192</v>
      </c>
      <c r="B368" s="199">
        <v>2087</v>
      </c>
      <c r="C368" s="199" t="s">
        <v>159</v>
      </c>
      <c r="D368" s="199">
        <v>445</v>
      </c>
      <c r="E368" s="199">
        <v>2782244.21</v>
      </c>
      <c r="F368" s="199">
        <v>961831</v>
      </c>
      <c r="G368" s="199">
        <f>'Mail Merge'!$E368+'Mail Merge'!$F368</f>
        <v>3744075.21</v>
      </c>
      <c r="H368" s="199">
        <v>0</v>
      </c>
      <c r="I368" s="199" t="s">
        <v>242</v>
      </c>
      <c r="J368" s="199">
        <f>IFERROR('Mail Merge'!$E368/'Mail Merge'!$D368,0)</f>
        <v>6252.2341797752806</v>
      </c>
      <c r="K368" s="199">
        <f>IFERROR('Mail Merge'!$F368/'Mail Merge'!$D368,0)</f>
        <v>2161.41797752809</v>
      </c>
      <c r="L368" s="199">
        <f>IFERROR('Mail Merge'!$G368/'Mail Merge'!$D368,0)</f>
        <v>8413.6521573033715</v>
      </c>
      <c r="M368" s="199">
        <v>0</v>
      </c>
      <c r="N368" s="199" t="s">
        <v>242</v>
      </c>
      <c r="O368" s="199">
        <v>525251.5</v>
      </c>
      <c r="P368" s="199">
        <v>2437.17</v>
      </c>
      <c r="Q368" s="199">
        <f>'Mail Merge'!$O368+'Mail Merge'!$P368</f>
        <v>527688.67000000004</v>
      </c>
      <c r="R368" s="199"/>
      <c r="S368" s="199">
        <v>174109.67</v>
      </c>
      <c r="T368" s="199">
        <v>174109.67</v>
      </c>
      <c r="U368" s="199">
        <f>IF(AND('Mail Merge'!$I368="Did Not Meet",'Mail Merge'!$N368="Did Not Meet"),MIN(ABS('Mail Merge'!$H368),ABS('Mail Merge'!$M368),'Mail Merge'!$Q368),0)</f>
        <v>0</v>
      </c>
      <c r="V368" s="199" t="str">
        <f>IF(OR(IFERROR(SEARCH("Met",'Mail Merge'!$N368),0)&gt;0,IFERROR(SEARCH("Met",'Mail Merge'!$I368),0)&gt;0),"Met","Not Met")</f>
        <v>Met</v>
      </c>
    </row>
    <row r="369" spans="1:22" x14ac:dyDescent="0.35">
      <c r="A369" s="200" t="s">
        <v>193</v>
      </c>
      <c r="B369" s="201">
        <v>1994</v>
      </c>
      <c r="C369" s="201" t="s">
        <v>159</v>
      </c>
      <c r="D369" s="201">
        <v>229</v>
      </c>
      <c r="E369" s="201">
        <v>1797284.37</v>
      </c>
      <c r="F369" s="201">
        <v>327010.83</v>
      </c>
      <c r="G369" s="201">
        <f>'Mail Merge'!$E369+'Mail Merge'!$F369</f>
        <v>2124295.2000000002</v>
      </c>
      <c r="H369" s="201">
        <v>0</v>
      </c>
      <c r="I369" s="201" t="s">
        <v>241</v>
      </c>
      <c r="J369" s="201">
        <f>IFERROR('Mail Merge'!$E369/'Mail Merge'!$D369,0)</f>
        <v>7848.403362445415</v>
      </c>
      <c r="K369" s="201">
        <f>IFERROR('Mail Merge'!$F369/'Mail Merge'!$D369,0)</f>
        <v>1427.9948908296944</v>
      </c>
      <c r="L369" s="201">
        <f>IFERROR('Mail Merge'!$G369/'Mail Merge'!$D369,0)</f>
        <v>9276.3982532751106</v>
      </c>
      <c r="M369" s="201">
        <v>0</v>
      </c>
      <c r="N369" s="201" t="s">
        <v>241</v>
      </c>
      <c r="O369" s="201">
        <v>316394.2</v>
      </c>
      <c r="P369" s="201">
        <v>1382.12</v>
      </c>
      <c r="Q369" s="201">
        <f>'Mail Merge'!$O369+'Mail Merge'!$P369</f>
        <v>317776.32</v>
      </c>
      <c r="R369" s="201"/>
      <c r="S369" s="201"/>
      <c r="T369" s="201"/>
      <c r="U369" s="201">
        <f>IF(AND('Mail Merge'!$I369="Did Not Meet",'Mail Merge'!$N369="Did Not Meet"),MIN(ABS('Mail Merge'!$H369),ABS('Mail Merge'!$M369),'Mail Merge'!$Q369),0)</f>
        <v>0</v>
      </c>
      <c r="V369" s="201" t="str">
        <f>IF(OR(IFERROR(SEARCH("Met",'Mail Merge'!$N369),0)&gt;0,IFERROR(SEARCH("Met",'Mail Merge'!$I369),0)&gt;0),"Met","Not Met")</f>
        <v>Met</v>
      </c>
    </row>
    <row r="370" spans="1:22" x14ac:dyDescent="0.35">
      <c r="A370" s="198" t="s">
        <v>194</v>
      </c>
      <c r="B370" s="199">
        <v>2225</v>
      </c>
      <c r="C370" s="199" t="s">
        <v>159</v>
      </c>
      <c r="D370" s="199">
        <v>35</v>
      </c>
      <c r="E370" s="199">
        <v>176086.96</v>
      </c>
      <c r="F370" s="199">
        <v>45727</v>
      </c>
      <c r="G370" s="199">
        <f>'Mail Merge'!$E370+'Mail Merge'!$F370</f>
        <v>221813.96</v>
      </c>
      <c r="H370" s="199">
        <v>0</v>
      </c>
      <c r="I370" s="199" t="s">
        <v>241</v>
      </c>
      <c r="J370" s="199">
        <f>IFERROR('Mail Merge'!$E370/'Mail Merge'!$D370,0)</f>
        <v>5031.0559999999996</v>
      </c>
      <c r="K370" s="199">
        <f>IFERROR('Mail Merge'!$F370/'Mail Merge'!$D370,0)</f>
        <v>1306.4857142857143</v>
      </c>
      <c r="L370" s="199">
        <f>IFERROR('Mail Merge'!$G370/'Mail Merge'!$D370,0)</f>
        <v>6337.5417142857141</v>
      </c>
      <c r="M370" s="199">
        <v>0</v>
      </c>
      <c r="N370" s="199" t="s">
        <v>241</v>
      </c>
      <c r="O370" s="199">
        <v>54727.69</v>
      </c>
      <c r="P370" s="199">
        <v>2635.14</v>
      </c>
      <c r="Q370" s="199">
        <f>'Mail Merge'!$O370+'Mail Merge'!$P370</f>
        <v>57362.83</v>
      </c>
      <c r="R370" s="199"/>
      <c r="S370" s="199"/>
      <c r="T370" s="199"/>
      <c r="U370" s="199">
        <f>IF(AND('Mail Merge'!$I370="Did Not Meet",'Mail Merge'!$N370="Did Not Meet"),MIN(ABS('Mail Merge'!$H370),ABS('Mail Merge'!$M370),'Mail Merge'!$Q370),0)</f>
        <v>0</v>
      </c>
      <c r="V370" s="199" t="str">
        <f>IF(OR(IFERROR(SEARCH("Met",'Mail Merge'!$N370),0)&gt;0,IFERROR(SEARCH("Met",'Mail Merge'!$I370),0)&gt;0),"Met","Not Met")</f>
        <v>Met</v>
      </c>
    </row>
    <row r="371" spans="1:22" x14ac:dyDescent="0.35">
      <c r="A371" s="200" t="s">
        <v>195</v>
      </c>
      <c r="B371" s="201">
        <v>2247</v>
      </c>
      <c r="C371" s="201" t="s">
        <v>159</v>
      </c>
      <c r="D371" s="201">
        <v>3</v>
      </c>
      <c r="E371" s="201">
        <v>45492.6</v>
      </c>
      <c r="F371" s="201">
        <v>4741</v>
      </c>
      <c r="G371" s="201">
        <f>'Mail Merge'!$E371+'Mail Merge'!$F371</f>
        <v>50233.599999999999</v>
      </c>
      <c r="H371" s="201">
        <v>0</v>
      </c>
      <c r="I371" s="201" t="s">
        <v>241</v>
      </c>
      <c r="J371" s="201">
        <f>IFERROR('Mail Merge'!$E371/'Mail Merge'!$D371,0)</f>
        <v>15164.199999999999</v>
      </c>
      <c r="K371" s="201">
        <f>IFERROR('Mail Merge'!$F371/'Mail Merge'!$D371,0)</f>
        <v>1580.3333333333333</v>
      </c>
      <c r="L371" s="201">
        <f>IFERROR('Mail Merge'!$G371/'Mail Merge'!$D371,0)</f>
        <v>16744.533333333333</v>
      </c>
      <c r="M371" s="201">
        <v>0</v>
      </c>
      <c r="N371" s="201" t="s">
        <v>241</v>
      </c>
      <c r="O371" s="201">
        <v>5251.23</v>
      </c>
      <c r="P371" s="201">
        <v>4.55</v>
      </c>
      <c r="Q371" s="201">
        <f>'Mail Merge'!$O371+'Mail Merge'!$P371</f>
        <v>5255.78</v>
      </c>
      <c r="R371" s="201"/>
      <c r="S371" s="201"/>
      <c r="T371" s="201"/>
      <c r="U371" s="201">
        <f>IF(AND('Mail Merge'!$I371="Did Not Meet",'Mail Merge'!$N371="Did Not Meet"),MIN(ABS('Mail Merge'!$H371),ABS('Mail Merge'!$M371),'Mail Merge'!$Q371),0)</f>
        <v>0</v>
      </c>
      <c r="V371" s="201" t="str">
        <f>IF(OR(IFERROR(SEARCH("Met",'Mail Merge'!$N371),0)&gt;0,IFERROR(SEARCH("Met",'Mail Merge'!$I371),0)&gt;0),"Met","Not Met")</f>
        <v>Met</v>
      </c>
    </row>
    <row r="372" spans="1:22" x14ac:dyDescent="0.35">
      <c r="A372" s="198" t="s">
        <v>196</v>
      </c>
      <c r="B372" s="199">
        <v>2083</v>
      </c>
      <c r="C372" s="199" t="s">
        <v>159</v>
      </c>
      <c r="D372" s="199">
        <v>1525</v>
      </c>
      <c r="E372" s="199">
        <v>12794225.68</v>
      </c>
      <c r="F372" s="199">
        <v>2652491</v>
      </c>
      <c r="G372" s="199">
        <f>'Mail Merge'!$E372+'Mail Merge'!$F372</f>
        <v>15446716.68</v>
      </c>
      <c r="H372" s="199">
        <v>0</v>
      </c>
      <c r="I372" s="199" t="s">
        <v>241</v>
      </c>
      <c r="J372" s="199">
        <f>IFERROR('Mail Merge'!$E372/'Mail Merge'!$D372,0)</f>
        <v>8389.6561836065575</v>
      </c>
      <c r="K372" s="199">
        <f>IFERROR('Mail Merge'!$F372/'Mail Merge'!$D372,0)</f>
        <v>1739.3383606557377</v>
      </c>
      <c r="L372" s="199">
        <f>IFERROR('Mail Merge'!$G372/'Mail Merge'!$D372,0)</f>
        <v>10128.994544262296</v>
      </c>
      <c r="M372" s="199">
        <v>0</v>
      </c>
      <c r="N372" s="199" t="s">
        <v>241</v>
      </c>
      <c r="O372" s="199">
        <v>1913137.56</v>
      </c>
      <c r="P372" s="199">
        <v>20368.32</v>
      </c>
      <c r="Q372" s="199">
        <f>'Mail Merge'!$O372+'Mail Merge'!$P372</f>
        <v>1933505.8800000001</v>
      </c>
      <c r="R372" s="199"/>
      <c r="S372" s="199"/>
      <c r="T372" s="199"/>
      <c r="U372" s="199">
        <f>IF(AND('Mail Merge'!$I372="Did Not Meet",'Mail Merge'!$N372="Did Not Meet"),MIN(ABS('Mail Merge'!$H372),ABS('Mail Merge'!$M372),'Mail Merge'!$Q372),0)</f>
        <v>0</v>
      </c>
      <c r="V372" s="199" t="str">
        <f>IF(OR(IFERROR(SEARCH("Met",'Mail Merge'!$N372),0)&gt;0,IFERROR(SEARCH("Met",'Mail Merge'!$I372),0)&gt;0),"Met","Not Met")</f>
        <v>Met</v>
      </c>
    </row>
    <row r="373" spans="1:22" x14ac:dyDescent="0.35">
      <c r="A373" s="200" t="s">
        <v>197</v>
      </c>
      <c r="B373" s="201">
        <v>1948</v>
      </c>
      <c r="C373" s="201" t="s">
        <v>159</v>
      </c>
      <c r="D373" s="201">
        <v>490</v>
      </c>
      <c r="E373" s="201">
        <v>3427571.87</v>
      </c>
      <c r="F373" s="201">
        <v>690078</v>
      </c>
      <c r="G373" s="201">
        <f>'Mail Merge'!$E373+'Mail Merge'!$F373</f>
        <v>4117649.87</v>
      </c>
      <c r="H373" s="201">
        <v>0</v>
      </c>
      <c r="I373" s="201" t="s">
        <v>241</v>
      </c>
      <c r="J373" s="201">
        <f>IFERROR('Mail Merge'!$E373/'Mail Merge'!$D373,0)</f>
        <v>6995.0446326530619</v>
      </c>
      <c r="K373" s="201">
        <f>IFERROR('Mail Merge'!$F373/'Mail Merge'!$D373,0)</f>
        <v>1408.3224489795919</v>
      </c>
      <c r="L373" s="201">
        <f>IFERROR('Mail Merge'!$G373/'Mail Merge'!$D373,0)</f>
        <v>8403.3670816326539</v>
      </c>
      <c r="M373" s="201">
        <v>0</v>
      </c>
      <c r="N373" s="201" t="s">
        <v>240</v>
      </c>
      <c r="O373" s="201">
        <v>562085.6</v>
      </c>
      <c r="P373" s="201">
        <v>5468.03</v>
      </c>
      <c r="Q373" s="201">
        <f>'Mail Merge'!$O373+'Mail Merge'!$P373</f>
        <v>567553.63</v>
      </c>
      <c r="R373" s="201"/>
      <c r="S373" s="201"/>
      <c r="T373" s="201"/>
      <c r="U373" s="201">
        <f>IF(AND('Mail Merge'!$I373="Did Not Meet",'Mail Merge'!$N373="Did Not Meet"),MIN(ABS('Mail Merge'!$H373),ABS('Mail Merge'!$M373),'Mail Merge'!$Q373),0)</f>
        <v>0</v>
      </c>
      <c r="V373" s="201" t="str">
        <f>IF(OR(IFERROR(SEARCH("Met",'Mail Merge'!$N373),0)&gt;0,IFERROR(SEARCH("Met",'Mail Merge'!$I373),0)&gt;0),"Met","Not Met")</f>
        <v>Met</v>
      </c>
    </row>
    <row r="374" spans="1:22" x14ac:dyDescent="0.35">
      <c r="A374" s="198" t="s">
        <v>198</v>
      </c>
      <c r="B374" s="199">
        <v>2144</v>
      </c>
      <c r="C374" s="199" t="s">
        <v>159</v>
      </c>
      <c r="D374" s="199">
        <v>32</v>
      </c>
      <c r="E374" s="199">
        <v>281904.58</v>
      </c>
      <c r="F374" s="199">
        <v>27059.98</v>
      </c>
      <c r="G374" s="199">
        <f>'Mail Merge'!$E374+'Mail Merge'!$F374</f>
        <v>308964.56</v>
      </c>
      <c r="H374" s="199">
        <v>0</v>
      </c>
      <c r="I374" s="199" t="s">
        <v>241</v>
      </c>
      <c r="J374" s="199">
        <f>IFERROR('Mail Merge'!$E374/'Mail Merge'!$D374,0)</f>
        <v>8809.5181250000005</v>
      </c>
      <c r="K374" s="199">
        <f>IFERROR('Mail Merge'!$F374/'Mail Merge'!$D374,0)</f>
        <v>845.62437499999999</v>
      </c>
      <c r="L374" s="199">
        <f>IFERROR('Mail Merge'!$G374/'Mail Merge'!$D374,0)</f>
        <v>9655.1424999999999</v>
      </c>
      <c r="M374" s="199">
        <v>0</v>
      </c>
      <c r="N374" s="199" t="s">
        <v>241</v>
      </c>
      <c r="O374" s="199">
        <v>45466.84</v>
      </c>
      <c r="P374" s="199">
        <v>0</v>
      </c>
      <c r="Q374" s="199">
        <f>'Mail Merge'!$O374+'Mail Merge'!$P374</f>
        <v>45466.84</v>
      </c>
      <c r="R374" s="199"/>
      <c r="S374" s="199"/>
      <c r="T374" s="199"/>
      <c r="U374" s="199">
        <f>IF(AND('Mail Merge'!$I374="Did Not Meet",'Mail Merge'!$N374="Did Not Meet"),MIN(ABS('Mail Merge'!$H374),ABS('Mail Merge'!$M374),'Mail Merge'!$Q374),0)</f>
        <v>0</v>
      </c>
      <c r="V374" s="199" t="str">
        <f>IF(OR(IFERROR(SEARCH("Met",'Mail Merge'!$N374),0)&gt;0,IFERROR(SEARCH("Met",'Mail Merge'!$I374),0)&gt;0),"Met","Not Met")</f>
        <v>Met</v>
      </c>
    </row>
    <row r="375" spans="1:22" x14ac:dyDescent="0.35">
      <c r="A375" s="200" t="s">
        <v>199</v>
      </c>
      <c r="B375" s="201">
        <v>2209</v>
      </c>
      <c r="C375" s="201" t="s">
        <v>159</v>
      </c>
      <c r="D375" s="201">
        <v>74</v>
      </c>
      <c r="E375" s="201">
        <v>516522.94</v>
      </c>
      <c r="F375" s="201">
        <v>116452.09</v>
      </c>
      <c r="G375" s="201">
        <f>'Mail Merge'!$E375+'Mail Merge'!$F375</f>
        <v>632975.03</v>
      </c>
      <c r="H375" s="201">
        <v>0</v>
      </c>
      <c r="I375" s="201" t="s">
        <v>240</v>
      </c>
      <c r="J375" s="201">
        <f>IFERROR('Mail Merge'!$E375/'Mail Merge'!$D375,0)</f>
        <v>6980.0397297297295</v>
      </c>
      <c r="K375" s="201">
        <f>IFERROR('Mail Merge'!$F375/'Mail Merge'!$D375,0)</f>
        <v>1573.676891891892</v>
      </c>
      <c r="L375" s="201">
        <f>IFERROR('Mail Merge'!$G375/'Mail Merge'!$D375,0)</f>
        <v>8553.7166216216228</v>
      </c>
      <c r="M375" s="201">
        <v>0</v>
      </c>
      <c r="N375" s="201" t="s">
        <v>240</v>
      </c>
      <c r="O375" s="201">
        <v>90311.360000000001</v>
      </c>
      <c r="P375" s="201">
        <v>743.32</v>
      </c>
      <c r="Q375" s="201">
        <f>'Mail Merge'!$O375+'Mail Merge'!$P375</f>
        <v>91054.680000000008</v>
      </c>
      <c r="R375" s="201"/>
      <c r="S375" s="201"/>
      <c r="T375" s="201"/>
      <c r="U375" s="201">
        <f>IF(AND('Mail Merge'!$I375="Did Not Meet",'Mail Merge'!$N375="Did Not Meet"),MIN(ABS('Mail Merge'!$H375),ABS('Mail Merge'!$M375),'Mail Merge'!$Q375),0)</f>
        <v>0</v>
      </c>
      <c r="V375" s="201" t="str">
        <f>IF(OR(IFERROR(SEARCH("Met",'Mail Merge'!$N375),0)&gt;0,IFERROR(SEARCH("Met",'Mail Merge'!$I375),0)&gt;0),"Met","Not Met")</f>
        <v>Not Met</v>
      </c>
    </row>
    <row r="376" spans="1:22" x14ac:dyDescent="0.35">
      <c r="A376" s="198" t="s">
        <v>200</v>
      </c>
      <c r="B376" s="199">
        <v>2018</v>
      </c>
      <c r="C376" s="199" t="s">
        <v>159</v>
      </c>
      <c r="D376" s="199">
        <v>2</v>
      </c>
      <c r="E376" s="199">
        <v>10720</v>
      </c>
      <c r="F376" s="199">
        <v>1880</v>
      </c>
      <c r="G376" s="199">
        <f>'Mail Merge'!$E376+'Mail Merge'!$F376</f>
        <v>12600</v>
      </c>
      <c r="H376" s="199">
        <v>0</v>
      </c>
      <c r="I376" s="199" t="s">
        <v>240</v>
      </c>
      <c r="J376" s="199">
        <f>IFERROR('Mail Merge'!$E376/'Mail Merge'!$D376,0)</f>
        <v>5360</v>
      </c>
      <c r="K376" s="199">
        <f>IFERROR('Mail Merge'!$F376/'Mail Merge'!$D376,0)</f>
        <v>940</v>
      </c>
      <c r="L376" s="199">
        <f>IFERROR('Mail Merge'!$G376/'Mail Merge'!$D376,0)</f>
        <v>6300</v>
      </c>
      <c r="M376" s="199">
        <v>0</v>
      </c>
      <c r="N376" s="199" t="s">
        <v>240</v>
      </c>
      <c r="O376" s="199">
        <v>0</v>
      </c>
      <c r="P376" s="199">
        <v>0</v>
      </c>
      <c r="Q376" s="199">
        <f>'Mail Merge'!$O376+'Mail Merge'!$P376</f>
        <v>0</v>
      </c>
      <c r="R376" s="199"/>
      <c r="S376" s="199"/>
      <c r="T376" s="199"/>
      <c r="U376" s="199">
        <f>IF(AND('Mail Merge'!$I376="Did Not Meet",'Mail Merge'!$N376="Did Not Meet"),MIN(ABS('Mail Merge'!$H376),ABS('Mail Merge'!$M376),'Mail Merge'!$Q376),0)</f>
        <v>0</v>
      </c>
      <c r="V376" s="199" t="str">
        <f>IF(OR(IFERROR(SEARCH("Met",'Mail Merge'!$N376),0)&gt;0,IFERROR(SEARCH("Met",'Mail Merge'!$I376),0)&gt;0),"Met","Not Met")</f>
        <v>Not Met</v>
      </c>
    </row>
    <row r="377" spans="1:22" x14ac:dyDescent="0.35">
      <c r="A377" s="200" t="s">
        <v>201</v>
      </c>
      <c r="B377" s="201">
        <v>2003</v>
      </c>
      <c r="C377" s="201" t="s">
        <v>159</v>
      </c>
      <c r="D377" s="201">
        <v>162</v>
      </c>
      <c r="E377" s="201">
        <v>1013430.82</v>
      </c>
      <c r="F377" s="201">
        <v>262992.06</v>
      </c>
      <c r="G377" s="201">
        <f>'Mail Merge'!$E377+'Mail Merge'!$F377</f>
        <v>1276422.8799999999</v>
      </c>
      <c r="H377" s="201">
        <v>0</v>
      </c>
      <c r="I377" s="201" t="s">
        <v>241</v>
      </c>
      <c r="J377" s="201">
        <f>IFERROR('Mail Merge'!$E377/'Mail Merge'!$D377,0)</f>
        <v>6255.7458024691359</v>
      </c>
      <c r="K377" s="201">
        <f>IFERROR('Mail Merge'!$F377/'Mail Merge'!$D377,0)</f>
        <v>1623.4077777777777</v>
      </c>
      <c r="L377" s="201">
        <f>IFERROR('Mail Merge'!$G377/'Mail Merge'!$D377,0)</f>
        <v>7879.1535802469125</v>
      </c>
      <c r="M377" s="201">
        <v>0</v>
      </c>
      <c r="N377" s="201" t="s">
        <v>241</v>
      </c>
      <c r="O377" s="201">
        <v>229268.92</v>
      </c>
      <c r="P377" s="201">
        <v>2434.96</v>
      </c>
      <c r="Q377" s="201">
        <f>'Mail Merge'!$O377+'Mail Merge'!$P377</f>
        <v>231703.88</v>
      </c>
      <c r="R377" s="201"/>
      <c r="S377" s="201"/>
      <c r="T377" s="201"/>
      <c r="U377" s="201">
        <f>IF(AND('Mail Merge'!$I377="Did Not Meet",'Mail Merge'!$N377="Did Not Meet"),MIN(ABS('Mail Merge'!$H377),ABS('Mail Merge'!$M377),'Mail Merge'!$Q377),0)</f>
        <v>0</v>
      </c>
      <c r="V377" s="201" t="str">
        <f>IF(OR(IFERROR(SEARCH("Met",'Mail Merge'!$N377),0)&gt;0,IFERROR(SEARCH("Met",'Mail Merge'!$I377),0)&gt;0),"Met","Not Met")</f>
        <v>Met</v>
      </c>
    </row>
    <row r="378" spans="1:22" x14ac:dyDescent="0.35">
      <c r="A378" s="198" t="s">
        <v>202</v>
      </c>
      <c r="B378" s="199">
        <v>2102</v>
      </c>
      <c r="C378" s="199" t="s">
        <v>159</v>
      </c>
      <c r="D378" s="199">
        <v>374</v>
      </c>
      <c r="E378" s="199">
        <v>2014407.1</v>
      </c>
      <c r="F378" s="199">
        <v>274085</v>
      </c>
      <c r="G378" s="199">
        <f>'Mail Merge'!$E378+'Mail Merge'!$F378</f>
        <v>2288492.1</v>
      </c>
      <c r="H378" s="199">
        <v>0</v>
      </c>
      <c r="I378" s="199" t="s">
        <v>241</v>
      </c>
      <c r="J378" s="199">
        <f>IFERROR('Mail Merge'!$E378/'Mail Merge'!$D378,0)</f>
        <v>5386.1152406417114</v>
      </c>
      <c r="K378" s="199">
        <f>IFERROR('Mail Merge'!$F378/'Mail Merge'!$D378,0)</f>
        <v>732.84759358288773</v>
      </c>
      <c r="L378" s="199">
        <f>IFERROR('Mail Merge'!$G378/'Mail Merge'!$D378,0)</f>
        <v>6118.9628342245987</v>
      </c>
      <c r="M378" s="199">
        <v>0</v>
      </c>
      <c r="N378" s="199" t="s">
        <v>240</v>
      </c>
      <c r="O378" s="199">
        <v>397958.58</v>
      </c>
      <c r="P378" s="199">
        <v>1678.26</v>
      </c>
      <c r="Q378" s="199">
        <f>'Mail Merge'!$O378+'Mail Merge'!$P378</f>
        <v>399636.84</v>
      </c>
      <c r="R378" s="199"/>
      <c r="S378" s="199"/>
      <c r="T378" s="199"/>
      <c r="U378" s="199">
        <f>IF(AND('Mail Merge'!$I378="Did Not Meet",'Mail Merge'!$N378="Did Not Meet"),MIN(ABS('Mail Merge'!$H378),ABS('Mail Merge'!$M378),'Mail Merge'!$Q378),0)</f>
        <v>0</v>
      </c>
      <c r="V378" s="199" t="str">
        <f>IF(OR(IFERROR(SEARCH("Met",'Mail Merge'!$N378),0)&gt;0,IFERROR(SEARCH("Met",'Mail Merge'!$I378),0)&gt;0),"Met","Not Met")</f>
        <v>Met</v>
      </c>
    </row>
    <row r="379" spans="1:22" x14ac:dyDescent="0.35">
      <c r="A379" s="200" t="s">
        <v>203</v>
      </c>
      <c r="B379" s="201">
        <v>2055</v>
      </c>
      <c r="C379" s="201" t="s">
        <v>159</v>
      </c>
      <c r="D379" s="201">
        <v>583</v>
      </c>
      <c r="E379" s="201">
        <v>5213672.72</v>
      </c>
      <c r="F379" s="201">
        <v>185635.93</v>
      </c>
      <c r="G379" s="201">
        <f>'Mail Merge'!$E379+'Mail Merge'!$F379</f>
        <v>5399308.6499999994</v>
      </c>
      <c r="H379" s="201">
        <v>0</v>
      </c>
      <c r="I379" s="201" t="s">
        <v>241</v>
      </c>
      <c r="J379" s="201">
        <f>IFERROR('Mail Merge'!$E379/'Mail Merge'!$D379,0)</f>
        <v>8942.8348542024014</v>
      </c>
      <c r="K379" s="201">
        <f>IFERROR('Mail Merge'!$F379/'Mail Merge'!$D379,0)</f>
        <v>318.414974271012</v>
      </c>
      <c r="L379" s="201">
        <f>IFERROR('Mail Merge'!$G379/'Mail Merge'!$D379,0)</f>
        <v>9261.249828473412</v>
      </c>
      <c r="M379" s="201">
        <v>0</v>
      </c>
      <c r="N379" s="201" t="s">
        <v>241</v>
      </c>
      <c r="O379" s="201">
        <v>882346.71</v>
      </c>
      <c r="P379" s="201">
        <v>7479.17</v>
      </c>
      <c r="Q379" s="201">
        <f>'Mail Merge'!$O379+'Mail Merge'!$P379</f>
        <v>889825.88</v>
      </c>
      <c r="R379" s="201"/>
      <c r="S379" s="201"/>
      <c r="T379" s="201"/>
      <c r="U379" s="201">
        <f>IF(AND('Mail Merge'!$I379="Did Not Meet",'Mail Merge'!$N379="Did Not Meet"),MIN(ABS('Mail Merge'!$H379),ABS('Mail Merge'!$M379),'Mail Merge'!$Q379),0)</f>
        <v>0</v>
      </c>
      <c r="V379" s="201" t="str">
        <f>IF(OR(IFERROR(SEARCH("Met",'Mail Merge'!$N379),0)&gt;0,IFERROR(SEARCH("Met",'Mail Merge'!$I379),0)&gt;0),"Met","Not Met")</f>
        <v>Met</v>
      </c>
    </row>
    <row r="380" spans="1:22" x14ac:dyDescent="0.35">
      <c r="A380" s="198" t="s">
        <v>204</v>
      </c>
      <c r="B380" s="199">
        <v>2242</v>
      </c>
      <c r="C380" s="199" t="s">
        <v>159</v>
      </c>
      <c r="D380" s="199">
        <v>1358</v>
      </c>
      <c r="E380" s="199">
        <v>9403187.3599999994</v>
      </c>
      <c r="F380" s="199">
        <v>1761055</v>
      </c>
      <c r="G380" s="199">
        <f>'Mail Merge'!$E380+'Mail Merge'!$F380</f>
        <v>11164242.359999999</v>
      </c>
      <c r="H380" s="199">
        <v>0</v>
      </c>
      <c r="I380" s="199" t="s">
        <v>241</v>
      </c>
      <c r="J380" s="199">
        <f>IFERROR('Mail Merge'!$E380/'Mail Merge'!$D380,0)</f>
        <v>6924.2911340206183</v>
      </c>
      <c r="K380" s="199">
        <f>IFERROR('Mail Merge'!$F380/'Mail Merge'!$D380,0)</f>
        <v>1296.8004418262151</v>
      </c>
      <c r="L380" s="199">
        <f>IFERROR('Mail Merge'!$G380/'Mail Merge'!$D380,0)</f>
        <v>8221.0915758468327</v>
      </c>
      <c r="M380" s="199">
        <v>0</v>
      </c>
      <c r="N380" s="199" t="s">
        <v>241</v>
      </c>
      <c r="O380" s="199">
        <v>1973709.07</v>
      </c>
      <c r="P380" s="199">
        <v>10310.82</v>
      </c>
      <c r="Q380" s="199">
        <f>'Mail Merge'!$O380+'Mail Merge'!$P380</f>
        <v>1984019.8900000001</v>
      </c>
      <c r="R380" s="199"/>
      <c r="S380" s="199"/>
      <c r="T380" s="199"/>
      <c r="U380" s="199">
        <f>IF(AND('Mail Merge'!$I380="Did Not Meet",'Mail Merge'!$N380="Did Not Meet"),MIN(ABS('Mail Merge'!$H380),ABS('Mail Merge'!$M380),'Mail Merge'!$Q380),0)</f>
        <v>0</v>
      </c>
      <c r="V380" s="199" t="str">
        <f>IF(OR(IFERROR(SEARCH("Met",'Mail Merge'!$N380),0)&gt;0,IFERROR(SEARCH("Met",'Mail Merge'!$I380),0)&gt;0),"Met","Not Met")</f>
        <v>Met</v>
      </c>
    </row>
    <row r="381" spans="1:22" x14ac:dyDescent="0.35">
      <c r="A381" s="200" t="s">
        <v>205</v>
      </c>
      <c r="B381" s="201">
        <v>2197</v>
      </c>
      <c r="C381" s="201" t="s">
        <v>159</v>
      </c>
      <c r="D381" s="201">
        <v>236</v>
      </c>
      <c r="E381" s="201">
        <v>2285528.37</v>
      </c>
      <c r="F381" s="201">
        <v>208805</v>
      </c>
      <c r="G381" s="201">
        <f>'Mail Merge'!$E381+'Mail Merge'!$F381</f>
        <v>2494333.37</v>
      </c>
      <c r="H381" s="201">
        <v>0</v>
      </c>
      <c r="I381" s="201" t="s">
        <v>241</v>
      </c>
      <c r="J381" s="201">
        <f>IFERROR('Mail Merge'!$E381/'Mail Merge'!$D381,0)</f>
        <v>9684.4422457627115</v>
      </c>
      <c r="K381" s="201">
        <f>IFERROR('Mail Merge'!$F381/'Mail Merge'!$D381,0)</f>
        <v>884.76694915254234</v>
      </c>
      <c r="L381" s="201">
        <f>IFERROR('Mail Merge'!$G381/'Mail Merge'!$D381,0)</f>
        <v>10569.209194915255</v>
      </c>
      <c r="M381" s="201">
        <v>0</v>
      </c>
      <c r="N381" s="201" t="s">
        <v>241</v>
      </c>
      <c r="O381" s="201">
        <v>351286.57</v>
      </c>
      <c r="P381" s="201">
        <v>3737.9</v>
      </c>
      <c r="Q381" s="201">
        <f>'Mail Merge'!$O381+'Mail Merge'!$P381</f>
        <v>355024.47000000003</v>
      </c>
      <c r="R381" s="201"/>
      <c r="S381" s="201"/>
      <c r="T381" s="201"/>
      <c r="U381" s="201">
        <f>IF(AND('Mail Merge'!$I381="Did Not Meet",'Mail Merge'!$N381="Did Not Meet"),MIN(ABS('Mail Merge'!$H381),ABS('Mail Merge'!$M381),'Mail Merge'!$Q381),0)</f>
        <v>0</v>
      </c>
      <c r="V381" s="201" t="str">
        <f>IF(OR(IFERROR(SEARCH("Met",'Mail Merge'!$N381),0)&gt;0,IFERROR(SEARCH("Met",'Mail Merge'!$I381),0)&gt;0),"Met","Not Met")</f>
        <v>Met</v>
      </c>
    </row>
    <row r="382" spans="1:22" x14ac:dyDescent="0.35">
      <c r="A382" s="198" t="s">
        <v>206</v>
      </c>
      <c r="B382" s="199">
        <v>2222</v>
      </c>
      <c r="C382" s="199" t="s">
        <v>159</v>
      </c>
      <c r="D382" s="199">
        <v>0</v>
      </c>
      <c r="E382" s="199">
        <v>0</v>
      </c>
      <c r="F382" s="199">
        <v>3700</v>
      </c>
      <c r="G382" s="199">
        <f>'Mail Merge'!$E382+'Mail Merge'!$F382</f>
        <v>3700</v>
      </c>
      <c r="H382" s="199">
        <v>0</v>
      </c>
      <c r="I382" s="199" t="s">
        <v>241</v>
      </c>
      <c r="J382" s="199">
        <f>IFERROR('Mail Merge'!$E382/'Mail Merge'!$D382,0)</f>
        <v>0</v>
      </c>
      <c r="K382" s="199">
        <f>IFERROR('Mail Merge'!$F382/'Mail Merge'!$D382,0)</f>
        <v>0</v>
      </c>
      <c r="L382" s="199">
        <f>IFERROR('Mail Merge'!$G382/'Mail Merge'!$D382,0)</f>
        <v>0</v>
      </c>
      <c r="M382" s="199">
        <v>0</v>
      </c>
      <c r="N382" s="199" t="s">
        <v>241</v>
      </c>
      <c r="O382" s="199">
        <v>3036.58</v>
      </c>
      <c r="P382" s="199">
        <v>0.76</v>
      </c>
      <c r="Q382" s="199">
        <f>'Mail Merge'!$O382+'Mail Merge'!$P382</f>
        <v>3037.34</v>
      </c>
      <c r="R382" s="199"/>
      <c r="S382" s="199"/>
      <c r="T382" s="199"/>
      <c r="U382" s="199">
        <f>IF(AND('Mail Merge'!$I382="Did Not Meet",'Mail Merge'!$N382="Did Not Meet"),MIN(ABS('Mail Merge'!$H382),ABS('Mail Merge'!$M382),'Mail Merge'!$Q382),0)</f>
        <v>0</v>
      </c>
      <c r="V382" s="199" t="str">
        <f>IF(OR(IFERROR(SEARCH("Met",'Mail Merge'!$N382),0)&gt;0,IFERROR(SEARCH("Met",'Mail Merge'!$I382),0)&gt;0),"Met","Not Met")</f>
        <v>Met</v>
      </c>
    </row>
    <row r="383" spans="1:22" x14ac:dyDescent="0.35">
      <c r="A383" s="200" t="s">
        <v>207</v>
      </c>
      <c r="B383" s="201">
        <v>2210</v>
      </c>
      <c r="C383" s="201" t="s">
        <v>159</v>
      </c>
      <c r="D383" s="201">
        <v>4</v>
      </c>
      <c r="E383" s="201">
        <v>4110.7</v>
      </c>
      <c r="F383" s="201">
        <v>7921.91</v>
      </c>
      <c r="G383" s="201">
        <f>'Mail Merge'!$E383+'Mail Merge'!$F383</f>
        <v>12032.61</v>
      </c>
      <c r="H383" s="201">
        <v>0</v>
      </c>
      <c r="I383" s="201" t="s">
        <v>241</v>
      </c>
      <c r="J383" s="201">
        <f>IFERROR('Mail Merge'!$E383/'Mail Merge'!$D383,0)</f>
        <v>1027.675</v>
      </c>
      <c r="K383" s="201">
        <f>IFERROR('Mail Merge'!$F383/'Mail Merge'!$D383,0)</f>
        <v>1980.4775</v>
      </c>
      <c r="L383" s="201">
        <f>IFERROR('Mail Merge'!$G383/'Mail Merge'!$D383,0)</f>
        <v>3008.1525000000001</v>
      </c>
      <c r="M383" s="201">
        <v>0</v>
      </c>
      <c r="N383" s="201" t="s">
        <v>241</v>
      </c>
      <c r="O383" s="201">
        <v>8911.4500000000007</v>
      </c>
      <c r="P383" s="201">
        <v>4.5599999999999996</v>
      </c>
      <c r="Q383" s="201">
        <f>'Mail Merge'!$O383+'Mail Merge'!$P383</f>
        <v>8916.01</v>
      </c>
      <c r="R383" s="201"/>
      <c r="S383" s="201"/>
      <c r="T383" s="201"/>
      <c r="U383" s="201">
        <f>IF(AND('Mail Merge'!$I383="Did Not Meet",'Mail Merge'!$N383="Did Not Meet"),MIN(ABS('Mail Merge'!$H383),ABS('Mail Merge'!$M383),'Mail Merge'!$Q383),0)</f>
        <v>0</v>
      </c>
      <c r="V383" s="201" t="str">
        <f>IF(OR(IFERROR(SEARCH("Met",'Mail Merge'!$N383),0)&gt;0,IFERROR(SEARCH("Met",'Mail Merge'!$I383),0)&gt;0),"Met","Not Met")</f>
        <v>Met</v>
      </c>
    </row>
    <row r="384" spans="1:22" x14ac:dyDescent="0.35">
      <c r="A384" s="198" t="s">
        <v>208</v>
      </c>
      <c r="B384" s="199">
        <v>2204</v>
      </c>
      <c r="C384" s="199" t="s">
        <v>159</v>
      </c>
      <c r="D384" s="199">
        <v>153</v>
      </c>
      <c r="E384" s="199">
        <v>1082904.6299999999</v>
      </c>
      <c r="F384" s="199">
        <v>223001.79</v>
      </c>
      <c r="G384" s="199">
        <f>'Mail Merge'!$E384+'Mail Merge'!$F384</f>
        <v>1305906.42</v>
      </c>
      <c r="H384" s="199">
        <v>0</v>
      </c>
      <c r="I384" s="199" t="s">
        <v>241</v>
      </c>
      <c r="J384" s="199">
        <f>IFERROR('Mail Merge'!$E384/'Mail Merge'!$D384,0)</f>
        <v>7077.8080392156853</v>
      </c>
      <c r="K384" s="199">
        <f>IFERROR('Mail Merge'!$F384/'Mail Merge'!$D384,0)</f>
        <v>1457.5280392156862</v>
      </c>
      <c r="L384" s="199">
        <f>IFERROR('Mail Merge'!$G384/'Mail Merge'!$D384,0)</f>
        <v>8535.3360784313718</v>
      </c>
      <c r="M384" s="199">
        <v>0</v>
      </c>
      <c r="N384" s="199" t="s">
        <v>240</v>
      </c>
      <c r="O384" s="199">
        <v>215435.43</v>
      </c>
      <c r="P384" s="199">
        <v>2242.2199999999998</v>
      </c>
      <c r="Q384" s="199">
        <f>'Mail Merge'!$O384+'Mail Merge'!$P384</f>
        <v>217677.65</v>
      </c>
      <c r="R384" s="199"/>
      <c r="S384" s="199"/>
      <c r="T384" s="199"/>
      <c r="U384" s="199">
        <f>IF(AND('Mail Merge'!$I384="Did Not Meet",'Mail Merge'!$N384="Did Not Meet"),MIN(ABS('Mail Merge'!$H384),ABS('Mail Merge'!$M384),'Mail Merge'!$Q384),0)</f>
        <v>0</v>
      </c>
      <c r="V384" s="199" t="str">
        <f>IF(OR(IFERROR(SEARCH("Met",'Mail Merge'!$N384),0)&gt;0,IFERROR(SEARCH("Met",'Mail Merge'!$I384),0)&gt;0),"Met","Not Met")</f>
        <v>Met</v>
      </c>
    </row>
    <row r="385" spans="1:22" x14ac:dyDescent="0.35">
      <c r="A385" s="200" t="s">
        <v>209</v>
      </c>
      <c r="B385" s="201">
        <v>2213</v>
      </c>
      <c r="C385" s="201" t="s">
        <v>159</v>
      </c>
      <c r="D385" s="201">
        <v>53</v>
      </c>
      <c r="E385" s="201">
        <v>365817.58</v>
      </c>
      <c r="F385" s="201">
        <v>126750.57</v>
      </c>
      <c r="G385" s="201">
        <f>'Mail Merge'!$E385+'Mail Merge'!$F385</f>
        <v>492568.15</v>
      </c>
      <c r="H385" s="201">
        <v>0</v>
      </c>
      <c r="I385" s="201" t="s">
        <v>240</v>
      </c>
      <c r="J385" s="201">
        <f>IFERROR('Mail Merge'!$E385/'Mail Merge'!$D385,0)</f>
        <v>6902.2184905660379</v>
      </c>
      <c r="K385" s="201">
        <f>IFERROR('Mail Merge'!$F385/'Mail Merge'!$D385,0)</f>
        <v>2391.5201886792456</v>
      </c>
      <c r="L385" s="201">
        <f>IFERROR('Mail Merge'!$G385/'Mail Merge'!$D385,0)</f>
        <v>9293.7386792452835</v>
      </c>
      <c r="M385" s="201">
        <v>0</v>
      </c>
      <c r="N385" s="201" t="s">
        <v>240</v>
      </c>
      <c r="O385" s="201">
        <v>61269.71</v>
      </c>
      <c r="P385" s="201">
        <v>47.61</v>
      </c>
      <c r="Q385" s="201">
        <f>'Mail Merge'!$O385+'Mail Merge'!$P385</f>
        <v>61317.32</v>
      </c>
      <c r="R385" s="201"/>
      <c r="S385" s="201"/>
      <c r="T385" s="201"/>
      <c r="U385" s="201">
        <f>IF(AND('Mail Merge'!$I385="Did Not Meet",'Mail Merge'!$N385="Did Not Meet"),MIN(ABS('Mail Merge'!$H385),ABS('Mail Merge'!$M385),'Mail Merge'!$Q385),0)</f>
        <v>0</v>
      </c>
      <c r="V385" s="201" t="str">
        <f>IF(OR(IFERROR(SEARCH("Met",'Mail Merge'!$N385),0)&gt;0,IFERROR(SEARCH("Met",'Mail Merge'!$I385),0)&gt;0),"Met","Not Met")</f>
        <v>Not Met</v>
      </c>
    </row>
    <row r="386" spans="1:22" x14ac:dyDescent="0.35">
      <c r="A386" s="198" t="s">
        <v>210</v>
      </c>
      <c r="B386" s="199">
        <v>2116</v>
      </c>
      <c r="C386" s="199" t="s">
        <v>159</v>
      </c>
      <c r="D386" s="199">
        <v>103</v>
      </c>
      <c r="E386" s="199">
        <v>589652.96</v>
      </c>
      <c r="F386" s="199">
        <v>254604.78</v>
      </c>
      <c r="G386" s="199">
        <f>'Mail Merge'!$E386+'Mail Merge'!$F386</f>
        <v>844257.74</v>
      </c>
      <c r="H386" s="199">
        <v>0</v>
      </c>
      <c r="I386" s="199" t="s">
        <v>242</v>
      </c>
      <c r="J386" s="199">
        <f>IFERROR('Mail Merge'!$E386/'Mail Merge'!$D386,0)</f>
        <v>5724.7860194174755</v>
      </c>
      <c r="K386" s="199">
        <f>IFERROR('Mail Merge'!$F386/'Mail Merge'!$D386,0)</f>
        <v>2471.8910679611649</v>
      </c>
      <c r="L386" s="199">
        <f>IFERROR('Mail Merge'!$G386/'Mail Merge'!$D386,0)</f>
        <v>8196.6770873786409</v>
      </c>
      <c r="M386" s="199">
        <v>0</v>
      </c>
      <c r="N386" s="199" t="s">
        <v>241</v>
      </c>
      <c r="O386" s="199">
        <v>164165.88</v>
      </c>
      <c r="P386" s="199">
        <v>452.39</v>
      </c>
      <c r="Q386" s="199">
        <f>'Mail Merge'!$O386+'Mail Merge'!$P386</f>
        <v>164618.27000000002</v>
      </c>
      <c r="R386" s="199"/>
      <c r="S386" s="199">
        <v>111607.71</v>
      </c>
      <c r="T386" s="199">
        <v>111607.71</v>
      </c>
      <c r="U386" s="199">
        <f>IF(AND('Mail Merge'!$I386="Did Not Meet",'Mail Merge'!$N386="Did Not Meet"),MIN(ABS('Mail Merge'!$H386),ABS('Mail Merge'!$M386),'Mail Merge'!$Q386),0)</f>
        <v>0</v>
      </c>
      <c r="V386" s="199" t="str">
        <f>IF(OR(IFERROR(SEARCH("Met",'Mail Merge'!$N386),0)&gt;0,IFERROR(SEARCH("Met",'Mail Merge'!$I386),0)&gt;0),"Met","Not Met")</f>
        <v>Met</v>
      </c>
    </row>
    <row r="387" spans="1:22" x14ac:dyDescent="0.35">
      <c r="A387" s="200" t="s">
        <v>211</v>
      </c>
      <c r="B387" s="201">
        <v>1947</v>
      </c>
      <c r="C387" s="201" t="s">
        <v>159</v>
      </c>
      <c r="D387" s="201">
        <v>92</v>
      </c>
      <c r="E387" s="201">
        <v>688322.8</v>
      </c>
      <c r="F387" s="201">
        <v>132983</v>
      </c>
      <c r="G387" s="201">
        <f>'Mail Merge'!$E387+'Mail Merge'!$F387</f>
        <v>821305.8</v>
      </c>
      <c r="H387" s="201">
        <v>0</v>
      </c>
      <c r="I387" s="201" t="s">
        <v>241</v>
      </c>
      <c r="J387" s="201">
        <f>IFERROR('Mail Merge'!$E387/'Mail Merge'!$D387,0)</f>
        <v>7481.7695652173916</v>
      </c>
      <c r="K387" s="201">
        <f>IFERROR('Mail Merge'!$F387/'Mail Merge'!$D387,0)</f>
        <v>1445.4673913043478</v>
      </c>
      <c r="L387" s="201">
        <f>IFERROR('Mail Merge'!$G387/'Mail Merge'!$D387,0)</f>
        <v>8927.2369565217396</v>
      </c>
      <c r="M387" s="201">
        <v>0</v>
      </c>
      <c r="N387" s="201" t="s">
        <v>241</v>
      </c>
      <c r="O387" s="201">
        <v>115675.17</v>
      </c>
      <c r="P387" s="201">
        <v>2160.98</v>
      </c>
      <c r="Q387" s="201">
        <f>'Mail Merge'!$O387+'Mail Merge'!$P387</f>
        <v>117836.15</v>
      </c>
      <c r="R387" s="201"/>
      <c r="S387" s="201"/>
      <c r="T387" s="201"/>
      <c r="U387" s="201">
        <f>IF(AND('Mail Merge'!$I387="Did Not Meet",'Mail Merge'!$N387="Did Not Meet"),MIN(ABS('Mail Merge'!$H387),ABS('Mail Merge'!$M387),'Mail Merge'!$Q387),0)</f>
        <v>0</v>
      </c>
      <c r="V387" s="201" t="str">
        <f>IF(OR(IFERROR(SEARCH("Met",'Mail Merge'!$N387),0)&gt;0,IFERROR(SEARCH("Met",'Mail Merge'!$I387),0)&gt;0),"Met","Not Met")</f>
        <v>Met</v>
      </c>
    </row>
    <row r="388" spans="1:22" x14ac:dyDescent="0.35">
      <c r="A388" s="198" t="s">
        <v>212</v>
      </c>
      <c r="B388" s="199">
        <v>2220</v>
      </c>
      <c r="C388" s="199" t="s">
        <v>159</v>
      </c>
      <c r="D388" s="199">
        <v>30</v>
      </c>
      <c r="E388" s="199">
        <v>63855.45</v>
      </c>
      <c r="F388" s="199">
        <v>148791.98000000001</v>
      </c>
      <c r="G388" s="199">
        <f>'Mail Merge'!$E388+'Mail Merge'!$F388</f>
        <v>212647.43</v>
      </c>
      <c r="H388" s="199">
        <v>0</v>
      </c>
      <c r="I388" s="199" t="s">
        <v>240</v>
      </c>
      <c r="J388" s="199">
        <f>IFERROR('Mail Merge'!$E388/'Mail Merge'!$D388,0)</f>
        <v>2128.5149999999999</v>
      </c>
      <c r="K388" s="199">
        <f>IFERROR('Mail Merge'!$F388/'Mail Merge'!$D388,0)</f>
        <v>4959.7326666666668</v>
      </c>
      <c r="L388" s="199">
        <f>IFERROR('Mail Merge'!$G388/'Mail Merge'!$D388,0)</f>
        <v>7088.2476666666662</v>
      </c>
      <c r="M388" s="199">
        <v>0</v>
      </c>
      <c r="N388" s="199" t="s">
        <v>240</v>
      </c>
      <c r="O388" s="199">
        <v>57395.61</v>
      </c>
      <c r="P388" s="199">
        <v>0</v>
      </c>
      <c r="Q388" s="199">
        <f>'Mail Merge'!$O388+'Mail Merge'!$P388</f>
        <v>57395.61</v>
      </c>
      <c r="R388" s="199"/>
      <c r="S388" s="199"/>
      <c r="T388" s="199"/>
      <c r="U388" s="199">
        <f>IF(AND('Mail Merge'!$I388="Did Not Meet",'Mail Merge'!$N388="Did Not Meet"),MIN(ABS('Mail Merge'!$H388),ABS('Mail Merge'!$M388),'Mail Merge'!$Q388),0)</f>
        <v>0</v>
      </c>
      <c r="V388" s="199" t="str">
        <f>IF(OR(IFERROR(SEARCH("Met",'Mail Merge'!$N388),0)&gt;0,IFERROR(SEARCH("Met",'Mail Merge'!$I388),0)&gt;0),"Met","Not Met")</f>
        <v>Not Met</v>
      </c>
    </row>
    <row r="389" spans="1:22" x14ac:dyDescent="0.35">
      <c r="A389" s="200" t="s">
        <v>213</v>
      </c>
      <c r="B389" s="201">
        <v>1936</v>
      </c>
      <c r="C389" s="201" t="s">
        <v>159</v>
      </c>
      <c r="D389" s="201">
        <v>140</v>
      </c>
      <c r="E389" s="201">
        <v>976091.28</v>
      </c>
      <c r="F389" s="201">
        <v>282131</v>
      </c>
      <c r="G389" s="201">
        <f>'Mail Merge'!$E389+'Mail Merge'!$F389</f>
        <v>1258222.28</v>
      </c>
      <c r="H389" s="201">
        <v>0</v>
      </c>
      <c r="I389" s="201" t="s">
        <v>241</v>
      </c>
      <c r="J389" s="201">
        <f>IFERROR('Mail Merge'!$E389/'Mail Merge'!$D389,0)</f>
        <v>6972.0805714285716</v>
      </c>
      <c r="K389" s="201">
        <f>IFERROR('Mail Merge'!$F389/'Mail Merge'!$D389,0)</f>
        <v>2015.2214285714285</v>
      </c>
      <c r="L389" s="201">
        <f>IFERROR('Mail Merge'!$G389/'Mail Merge'!$D389,0)</f>
        <v>8987.3019999999997</v>
      </c>
      <c r="M389" s="201">
        <v>0</v>
      </c>
      <c r="N389" s="201" t="s">
        <v>241</v>
      </c>
      <c r="O389" s="201">
        <v>147330.72</v>
      </c>
      <c r="P389" s="201">
        <v>1507.66</v>
      </c>
      <c r="Q389" s="201">
        <f>'Mail Merge'!$O389+'Mail Merge'!$P389</f>
        <v>148838.38</v>
      </c>
      <c r="R389" s="201"/>
      <c r="S389" s="201"/>
      <c r="T389" s="201"/>
      <c r="U389" s="201">
        <f>IF(AND('Mail Merge'!$I389="Did Not Meet",'Mail Merge'!$N389="Did Not Meet"),MIN(ABS('Mail Merge'!$H389),ABS('Mail Merge'!$M389),'Mail Merge'!$Q389),0)</f>
        <v>0</v>
      </c>
      <c r="V389" s="201" t="str">
        <f>IF(OR(IFERROR(SEARCH("Met",'Mail Merge'!$N389),0)&gt;0,IFERROR(SEARCH("Met",'Mail Merge'!$I389),0)&gt;0),"Met","Not Met")</f>
        <v>Met</v>
      </c>
    </row>
    <row r="390" spans="1:22" x14ac:dyDescent="0.35">
      <c r="A390" s="198" t="s">
        <v>214</v>
      </c>
      <c r="B390" s="199">
        <v>1922</v>
      </c>
      <c r="C390" s="199" t="s">
        <v>159</v>
      </c>
      <c r="D390" s="199">
        <v>878</v>
      </c>
      <c r="E390" s="199">
        <v>6314292.4400000004</v>
      </c>
      <c r="F390" s="199">
        <v>277818</v>
      </c>
      <c r="G390" s="199">
        <f>'Mail Merge'!$E390+'Mail Merge'!$F390</f>
        <v>6592110.4400000004</v>
      </c>
      <c r="H390" s="199">
        <v>0</v>
      </c>
      <c r="I390" s="199" t="s">
        <v>242</v>
      </c>
      <c r="J390" s="199">
        <f>IFERROR('Mail Merge'!$E390/'Mail Merge'!$D390,0)</f>
        <v>7191.6770387243741</v>
      </c>
      <c r="K390" s="199">
        <f>IFERROR('Mail Merge'!$F390/'Mail Merge'!$D390,0)</f>
        <v>316.42141230068336</v>
      </c>
      <c r="L390" s="199">
        <f>IFERROR('Mail Merge'!$G390/'Mail Merge'!$D390,0)</f>
        <v>7508.0984510250573</v>
      </c>
      <c r="M390" s="199">
        <v>0</v>
      </c>
      <c r="N390" s="199" t="s">
        <v>241</v>
      </c>
      <c r="O390" s="199">
        <v>1172702.55</v>
      </c>
      <c r="P390" s="199">
        <v>6416.95</v>
      </c>
      <c r="Q390" s="199">
        <f>'Mail Merge'!$O390+'Mail Merge'!$P390</f>
        <v>1179119.5</v>
      </c>
      <c r="R390" s="199"/>
      <c r="S390" s="199">
        <v>268958.52</v>
      </c>
      <c r="T390" s="199">
        <v>268958.52</v>
      </c>
      <c r="U390" s="199">
        <f>IF(AND('Mail Merge'!$I390="Did Not Meet",'Mail Merge'!$N390="Did Not Meet"),MIN(ABS('Mail Merge'!$H390),ABS('Mail Merge'!$M390),'Mail Merge'!$Q390),0)</f>
        <v>0</v>
      </c>
      <c r="V390" s="199" t="str">
        <f>IF(OR(IFERROR(SEARCH("Met",'Mail Merge'!$N390),0)&gt;0,IFERROR(SEARCH("Met",'Mail Merge'!$I390),0)&gt;0),"Met","Not Met")</f>
        <v>Met</v>
      </c>
    </row>
    <row r="391" spans="1:22" x14ac:dyDescent="0.35">
      <c r="A391" s="200" t="s">
        <v>215</v>
      </c>
      <c r="B391" s="201">
        <v>2255</v>
      </c>
      <c r="C391" s="201" t="s">
        <v>159</v>
      </c>
      <c r="D391" s="201">
        <v>120</v>
      </c>
      <c r="E391" s="201">
        <v>886791.81</v>
      </c>
      <c r="F391" s="201">
        <v>133260.57</v>
      </c>
      <c r="G391" s="201">
        <f>'Mail Merge'!$E391+'Mail Merge'!$F391</f>
        <v>1020052.3800000001</v>
      </c>
      <c r="H391" s="201">
        <v>0</v>
      </c>
      <c r="I391" s="201" t="s">
        <v>241</v>
      </c>
      <c r="J391" s="201">
        <f>IFERROR('Mail Merge'!$E391/'Mail Merge'!$D391,0)</f>
        <v>7389.9317500000006</v>
      </c>
      <c r="K391" s="201">
        <f>IFERROR('Mail Merge'!$F391/'Mail Merge'!$D391,0)</f>
        <v>1110.5047500000001</v>
      </c>
      <c r="L391" s="201">
        <f>IFERROR('Mail Merge'!$G391/'Mail Merge'!$D391,0)</f>
        <v>8500.4365000000016</v>
      </c>
      <c r="M391" s="201">
        <v>0</v>
      </c>
      <c r="N391" s="201" t="s">
        <v>241</v>
      </c>
      <c r="O391" s="201">
        <v>203598.19</v>
      </c>
      <c r="P391" s="201">
        <v>2789.91</v>
      </c>
      <c r="Q391" s="201">
        <f>'Mail Merge'!$O391+'Mail Merge'!$P391</f>
        <v>206388.1</v>
      </c>
      <c r="R391" s="201"/>
      <c r="S391" s="201"/>
      <c r="T391" s="201"/>
      <c r="U391" s="201">
        <f>IF(AND('Mail Merge'!$I391="Did Not Meet",'Mail Merge'!$N391="Did Not Meet"),MIN(ABS('Mail Merge'!$H391),ABS('Mail Merge'!$M391),'Mail Merge'!$Q391),0)</f>
        <v>0</v>
      </c>
      <c r="V391" s="201" t="str">
        <f>IF(OR(IFERROR(SEARCH("Met",'Mail Merge'!$N391),0)&gt;0,IFERROR(SEARCH("Met",'Mail Merge'!$I391),0)&gt;0),"Met","Not Met")</f>
        <v>Met</v>
      </c>
    </row>
    <row r="392" spans="1:22" x14ac:dyDescent="0.35">
      <c r="A392" s="198" t="s">
        <v>216</v>
      </c>
      <c r="B392" s="199">
        <v>2002</v>
      </c>
      <c r="C392" s="199" t="s">
        <v>159</v>
      </c>
      <c r="D392" s="199">
        <v>203</v>
      </c>
      <c r="E392" s="199">
        <v>1482541.88</v>
      </c>
      <c r="F392" s="199">
        <v>221885.08</v>
      </c>
      <c r="G392" s="199">
        <f>'Mail Merge'!$E392+'Mail Merge'!$F392</f>
        <v>1704426.96</v>
      </c>
      <c r="H392" s="199">
        <v>0</v>
      </c>
      <c r="I392" s="199" t="s">
        <v>241</v>
      </c>
      <c r="J392" s="199">
        <f>IFERROR('Mail Merge'!$E392/'Mail Merge'!$D392,0)</f>
        <v>7303.1619704433488</v>
      </c>
      <c r="K392" s="199">
        <f>IFERROR('Mail Merge'!$F392/'Mail Merge'!$D392,0)</f>
        <v>1093.0299507389161</v>
      </c>
      <c r="L392" s="199">
        <f>IFERROR('Mail Merge'!$G392/'Mail Merge'!$D392,0)</f>
        <v>8396.191921182266</v>
      </c>
      <c r="M392" s="199">
        <v>0</v>
      </c>
      <c r="N392" s="199" t="s">
        <v>241</v>
      </c>
      <c r="O392" s="199">
        <v>280681.49</v>
      </c>
      <c r="P392" s="199">
        <v>4231.6400000000003</v>
      </c>
      <c r="Q392" s="199">
        <f>'Mail Merge'!$O392+'Mail Merge'!$P392</f>
        <v>284913.13</v>
      </c>
      <c r="R392" s="199"/>
      <c r="S392" s="199"/>
      <c r="T392" s="199"/>
      <c r="U392" s="199">
        <f>IF(AND('Mail Merge'!$I392="Did Not Meet",'Mail Merge'!$N392="Did Not Meet"),MIN(ABS('Mail Merge'!$H392),ABS('Mail Merge'!$M392),'Mail Merge'!$Q392),0)</f>
        <v>0</v>
      </c>
      <c r="V392" s="199" t="str">
        <f>IF(OR(IFERROR(SEARCH("Met",'Mail Merge'!$N392),0)&gt;0,IFERROR(SEARCH("Met",'Mail Merge'!$I392),0)&gt;0),"Met","Not Met")</f>
        <v>Met</v>
      </c>
    </row>
    <row r="393" spans="1:22" x14ac:dyDescent="0.35">
      <c r="A393" s="200" t="s">
        <v>217</v>
      </c>
      <c r="B393" s="201">
        <v>2146</v>
      </c>
      <c r="C393" s="201" t="s">
        <v>159</v>
      </c>
      <c r="D393" s="201">
        <v>649</v>
      </c>
      <c r="E393" s="201">
        <v>5187077.24</v>
      </c>
      <c r="F393" s="201">
        <v>194422.53</v>
      </c>
      <c r="G393" s="201">
        <f>'Mail Merge'!$E393+'Mail Merge'!$F393</f>
        <v>5381499.7700000005</v>
      </c>
      <c r="H393" s="201">
        <v>0</v>
      </c>
      <c r="I393" s="201" t="s">
        <v>241</v>
      </c>
      <c r="J393" s="201">
        <f>IFERROR('Mail Merge'!$E393/'Mail Merge'!$D393,0)</f>
        <v>7992.4148536209559</v>
      </c>
      <c r="K393" s="201">
        <f>IFERROR('Mail Merge'!$F393/'Mail Merge'!$D393,0)</f>
        <v>299.57246533127886</v>
      </c>
      <c r="L393" s="201">
        <f>IFERROR('Mail Merge'!$G393/'Mail Merge'!$D393,0)</f>
        <v>8291.987318952235</v>
      </c>
      <c r="M393" s="201">
        <v>0</v>
      </c>
      <c r="N393" s="201" t="s">
        <v>241</v>
      </c>
      <c r="O393" s="201">
        <v>739957.45</v>
      </c>
      <c r="P393" s="201">
        <v>2540.86</v>
      </c>
      <c r="Q393" s="201">
        <f>'Mail Merge'!$O393+'Mail Merge'!$P393</f>
        <v>742498.30999999994</v>
      </c>
      <c r="R393" s="201"/>
      <c r="S393" s="201"/>
      <c r="T393" s="201"/>
      <c r="U393" s="201">
        <f>IF(AND('Mail Merge'!$I393="Did Not Meet",'Mail Merge'!$N393="Did Not Meet"),MIN(ABS('Mail Merge'!$H393),ABS('Mail Merge'!$M393),'Mail Merge'!$Q393),0)</f>
        <v>0</v>
      </c>
      <c r="V393" s="201" t="str">
        <f>IF(OR(IFERROR(SEARCH("Met",'Mail Merge'!$N393),0)&gt;0,IFERROR(SEARCH("Met",'Mail Merge'!$I393),0)&gt;0),"Met","Not Met")</f>
        <v>Met</v>
      </c>
    </row>
    <row r="394" spans="1:22" x14ac:dyDescent="0.35">
      <c r="A394" s="198" t="s">
        <v>218</v>
      </c>
      <c r="B394" s="199">
        <v>2251</v>
      </c>
      <c r="C394" s="199" t="s">
        <v>159</v>
      </c>
      <c r="D394" s="199">
        <v>154</v>
      </c>
      <c r="E394" s="199">
        <v>1040621.35</v>
      </c>
      <c r="F394" s="199">
        <v>20469.28</v>
      </c>
      <c r="G394" s="199">
        <f>'Mail Merge'!$E394+'Mail Merge'!$F394</f>
        <v>1061090.6299999999</v>
      </c>
      <c r="H394" s="199">
        <v>0</v>
      </c>
      <c r="I394" s="199" t="s">
        <v>241</v>
      </c>
      <c r="J394" s="199">
        <f>IFERROR('Mail Merge'!$E394/'Mail Merge'!$D394,0)</f>
        <v>6757.2814935064935</v>
      </c>
      <c r="K394" s="199">
        <f>IFERROR('Mail Merge'!$F394/'Mail Merge'!$D394,0)</f>
        <v>132.9174025974026</v>
      </c>
      <c r="L394" s="199">
        <f>IFERROR('Mail Merge'!$G394/'Mail Merge'!$D394,0)</f>
        <v>6890.1988961038951</v>
      </c>
      <c r="M394" s="199">
        <v>0</v>
      </c>
      <c r="N394" s="199" t="s">
        <v>240</v>
      </c>
      <c r="O394" s="199">
        <v>203719.77</v>
      </c>
      <c r="P394" s="199">
        <v>1048.8699999999999</v>
      </c>
      <c r="Q394" s="199">
        <f>'Mail Merge'!$O394+'Mail Merge'!$P394</f>
        <v>204768.63999999998</v>
      </c>
      <c r="R394" s="199"/>
      <c r="S394" s="199"/>
      <c r="T394" s="199"/>
      <c r="U394" s="199">
        <f>IF(AND('Mail Merge'!$I394="Did Not Meet",'Mail Merge'!$N394="Did Not Meet"),MIN(ABS('Mail Merge'!$H394),ABS('Mail Merge'!$M394),'Mail Merge'!$Q394),0)</f>
        <v>0</v>
      </c>
      <c r="V394" s="199" t="str">
        <f>IF(OR(IFERROR(SEARCH("Met",'Mail Merge'!$N394),0)&gt;0,IFERROR(SEARCH("Met",'Mail Merge'!$I394),0)&gt;0),"Met","Not Met")</f>
        <v>Met</v>
      </c>
    </row>
    <row r="395" spans="1:22" x14ac:dyDescent="0.35">
      <c r="A395" s="200" t="s">
        <v>219</v>
      </c>
      <c r="B395" s="201">
        <v>1997</v>
      </c>
      <c r="C395" s="201" t="s">
        <v>159</v>
      </c>
      <c r="D395" s="201">
        <v>39</v>
      </c>
      <c r="E395" s="201">
        <v>203793.64</v>
      </c>
      <c r="F395" s="201">
        <v>50531.72</v>
      </c>
      <c r="G395" s="201">
        <f>'Mail Merge'!$E395+'Mail Merge'!$F395</f>
        <v>254325.36000000002</v>
      </c>
      <c r="H395" s="201">
        <v>0</v>
      </c>
      <c r="I395" s="201" t="s">
        <v>241</v>
      </c>
      <c r="J395" s="201">
        <f>IFERROR('Mail Merge'!$E395/'Mail Merge'!$D395,0)</f>
        <v>5225.4779487179494</v>
      </c>
      <c r="K395" s="201">
        <f>IFERROR('Mail Merge'!$F395/'Mail Merge'!$D395,0)</f>
        <v>1295.6851282051282</v>
      </c>
      <c r="L395" s="201">
        <f>IFERROR('Mail Merge'!$G395/'Mail Merge'!$D395,0)</f>
        <v>6521.1630769230769</v>
      </c>
      <c r="M395" s="201">
        <v>0</v>
      </c>
      <c r="N395" s="201" t="s">
        <v>241</v>
      </c>
      <c r="O395" s="201">
        <v>67173.55</v>
      </c>
      <c r="P395" s="201">
        <v>987.35</v>
      </c>
      <c r="Q395" s="201">
        <f>'Mail Merge'!$O395+'Mail Merge'!$P395</f>
        <v>68160.900000000009</v>
      </c>
      <c r="R395" s="201"/>
      <c r="S395" s="201"/>
      <c r="T395" s="201"/>
      <c r="U395" s="201">
        <f>IF(AND('Mail Merge'!$I395="Did Not Meet",'Mail Merge'!$N395="Did Not Meet"),MIN(ABS('Mail Merge'!$H395),ABS('Mail Merge'!$M395),'Mail Merge'!$Q395),0)</f>
        <v>0</v>
      </c>
      <c r="V395" s="201" t="str">
        <f>IF(OR(IFERROR(SEARCH("Met",'Mail Merge'!$N395),0)&gt;0,IFERROR(SEARCH("Met",'Mail Merge'!$I395),0)&gt;0),"Met","Not Met")</f>
        <v>Met</v>
      </c>
    </row>
    <row r="396" spans="1:22" x14ac:dyDescent="0.35">
      <c r="A396" s="198" t="s">
        <v>14</v>
      </c>
      <c r="B396" s="199">
        <v>2063</v>
      </c>
      <c r="C396" s="199" t="s">
        <v>22</v>
      </c>
      <c r="D396" s="199">
        <v>2</v>
      </c>
      <c r="E396" s="199">
        <v>4601.6400000000003</v>
      </c>
      <c r="F396" s="199">
        <v>15192.86</v>
      </c>
      <c r="G396" s="199">
        <f>'Mail Merge'!$E396+'Mail Merge'!$F396</f>
        <v>19794.5</v>
      </c>
      <c r="H396" s="199">
        <v>0</v>
      </c>
      <c r="I396" s="199" t="s">
        <v>240</v>
      </c>
      <c r="J396" s="199">
        <f>IFERROR('Mail Merge'!$E396/'Mail Merge'!$D396,0)</f>
        <v>2300.8200000000002</v>
      </c>
      <c r="K396" s="199">
        <f>IFERROR('Mail Merge'!$F396/'Mail Merge'!$D396,0)</f>
        <v>7596.43</v>
      </c>
      <c r="L396" s="199">
        <f>IFERROR('Mail Merge'!$G396/'Mail Merge'!$D396,0)</f>
        <v>9897.25</v>
      </c>
      <c r="M396" s="199">
        <v>0</v>
      </c>
      <c r="N396" s="199" t="s">
        <v>240</v>
      </c>
      <c r="O396" s="199">
        <v>2057.9499999999998</v>
      </c>
      <c r="P396" s="199">
        <v>0</v>
      </c>
      <c r="Q396" s="199">
        <f>'Mail Merge'!$O396+'Mail Merge'!$P396</f>
        <v>2057.9499999999998</v>
      </c>
      <c r="R396" s="199"/>
      <c r="S396" s="199"/>
      <c r="T396" s="199"/>
      <c r="U396" s="199">
        <f>IF(AND('Mail Merge'!$I396="Did Not Meet",'Mail Merge'!$N396="Did Not Meet"),MIN(ABS('Mail Merge'!$H396),ABS('Mail Merge'!$M396),'Mail Merge'!$Q396),0)</f>
        <v>0</v>
      </c>
      <c r="V396" s="199" t="str">
        <f>IF(OR(IFERROR(SEARCH("Met",'Mail Merge'!$N396),0)&gt;0,IFERROR(SEARCH("Met",'Mail Merge'!$I396),0)&gt;0),"Met","Not Met")</f>
        <v>Not Met</v>
      </c>
    </row>
    <row r="397" spans="1:22" x14ac:dyDescent="0.35">
      <c r="A397" s="200" t="s">
        <v>17</v>
      </c>
      <c r="B397" s="201">
        <v>2113</v>
      </c>
      <c r="C397" s="201" t="s">
        <v>22</v>
      </c>
      <c r="D397" s="201">
        <v>42</v>
      </c>
      <c r="E397" s="201">
        <v>186763.08</v>
      </c>
      <c r="F397" s="201">
        <v>70508.13</v>
      </c>
      <c r="G397" s="201">
        <f>'Mail Merge'!$E397+'Mail Merge'!$F397</f>
        <v>257271.21</v>
      </c>
      <c r="H397" s="201">
        <v>0</v>
      </c>
      <c r="I397" s="201" t="s">
        <v>241</v>
      </c>
      <c r="J397" s="201">
        <f>IFERROR('Mail Merge'!$E397/'Mail Merge'!$D397,0)</f>
        <v>4446.74</v>
      </c>
      <c r="K397" s="201">
        <f>IFERROR('Mail Merge'!$F397/'Mail Merge'!$D397,0)</f>
        <v>1678.7650000000001</v>
      </c>
      <c r="L397" s="201">
        <f>IFERROR('Mail Merge'!$G397/'Mail Merge'!$D397,0)</f>
        <v>6125.5050000000001</v>
      </c>
      <c r="M397" s="201">
        <v>0</v>
      </c>
      <c r="N397" s="201" t="s">
        <v>240</v>
      </c>
      <c r="O397" s="201">
        <v>45031.199999999997</v>
      </c>
      <c r="P397" s="201">
        <v>0</v>
      </c>
      <c r="Q397" s="201">
        <f>'Mail Merge'!$O397+'Mail Merge'!$P397</f>
        <v>45031.199999999997</v>
      </c>
      <c r="R397" s="201"/>
      <c r="S397" s="201"/>
      <c r="T397" s="201"/>
      <c r="U397" s="201">
        <f>IF(AND('Mail Merge'!$I397="Did Not Meet",'Mail Merge'!$N397="Did Not Meet"),MIN(ABS('Mail Merge'!$H397),ABS('Mail Merge'!$M397),'Mail Merge'!$Q397),0)</f>
        <v>0</v>
      </c>
      <c r="V397" s="201" t="str">
        <f>IF(OR(IFERROR(SEARCH("Met",'Mail Merge'!$N397),0)&gt;0,IFERROR(SEARCH("Met",'Mail Merge'!$I397),0)&gt;0),"Met","Not Met")</f>
        <v>Met</v>
      </c>
    </row>
    <row r="398" spans="1:22" x14ac:dyDescent="0.35">
      <c r="A398" s="198" t="s">
        <v>20</v>
      </c>
      <c r="B398" s="199">
        <v>1899</v>
      </c>
      <c r="C398" s="199" t="s">
        <v>22</v>
      </c>
      <c r="D398" s="199">
        <v>27</v>
      </c>
      <c r="E398" s="199">
        <v>166352.26</v>
      </c>
      <c r="F398" s="199">
        <v>14672</v>
      </c>
      <c r="G398" s="199">
        <f>'Mail Merge'!$E398+'Mail Merge'!$F398</f>
        <v>181024.26</v>
      </c>
      <c r="H398" s="199">
        <v>0</v>
      </c>
      <c r="I398" s="199" t="s">
        <v>241</v>
      </c>
      <c r="J398" s="199">
        <f>IFERROR('Mail Merge'!$E398/'Mail Merge'!$D398,0)</f>
        <v>6161.1948148148149</v>
      </c>
      <c r="K398" s="199">
        <f>IFERROR('Mail Merge'!$F398/'Mail Merge'!$D398,0)</f>
        <v>543.40740740740739</v>
      </c>
      <c r="L398" s="199">
        <f>IFERROR('Mail Merge'!$G398/'Mail Merge'!$D398,0)</f>
        <v>6704.6022222222227</v>
      </c>
      <c r="M398" s="199">
        <v>0</v>
      </c>
      <c r="N398" s="199" t="s">
        <v>240</v>
      </c>
      <c r="O398" s="199">
        <v>27247.84</v>
      </c>
      <c r="P398" s="199">
        <v>0</v>
      </c>
      <c r="Q398" s="199">
        <f>'Mail Merge'!$O398+'Mail Merge'!$P398</f>
        <v>27247.84</v>
      </c>
      <c r="R398" s="199"/>
      <c r="S398" s="199"/>
      <c r="T398" s="199"/>
      <c r="U398" s="199">
        <f>IF(AND('Mail Merge'!$I398="Did Not Meet",'Mail Merge'!$N398="Did Not Meet"),MIN(ABS('Mail Merge'!$H398),ABS('Mail Merge'!$M398),'Mail Merge'!$Q398),0)</f>
        <v>0</v>
      </c>
      <c r="V398" s="199" t="str">
        <f>IF(OR(IFERROR(SEARCH("Met",'Mail Merge'!$N398),0)&gt;0,IFERROR(SEARCH("Met",'Mail Merge'!$I398),0)&gt;0),"Met","Not Met")</f>
        <v>Met</v>
      </c>
    </row>
    <row r="399" spans="1:22" x14ac:dyDescent="0.35">
      <c r="A399" s="200" t="s">
        <v>21</v>
      </c>
      <c r="B399" s="201">
        <v>2252</v>
      </c>
      <c r="C399" s="201" t="s">
        <v>22</v>
      </c>
      <c r="D399" s="201">
        <v>103</v>
      </c>
      <c r="E399" s="201">
        <v>633103.72</v>
      </c>
      <c r="F399" s="201">
        <v>140710.43</v>
      </c>
      <c r="G399" s="201">
        <f>'Mail Merge'!$E399+'Mail Merge'!$F399</f>
        <v>773814.14999999991</v>
      </c>
      <c r="H399" s="201">
        <v>0</v>
      </c>
      <c r="I399" s="201" t="s">
        <v>242</v>
      </c>
      <c r="J399" s="201">
        <f>IFERROR('Mail Merge'!$E399/'Mail Merge'!$D399,0)</f>
        <v>6146.6380582524271</v>
      </c>
      <c r="K399" s="201">
        <f>IFERROR('Mail Merge'!$F399/'Mail Merge'!$D399,0)</f>
        <v>1366.1206796116505</v>
      </c>
      <c r="L399" s="201">
        <f>IFERROR('Mail Merge'!$G399/'Mail Merge'!$D399,0)</f>
        <v>7512.7587378640765</v>
      </c>
      <c r="M399" s="201">
        <v>0</v>
      </c>
      <c r="N399" s="201" t="s">
        <v>241</v>
      </c>
      <c r="O399" s="201">
        <v>145886.75</v>
      </c>
      <c r="P399" s="201">
        <v>1810.37</v>
      </c>
      <c r="Q399" s="201">
        <f>'Mail Merge'!$O399+'Mail Merge'!$P399</f>
        <v>147697.12</v>
      </c>
      <c r="R399" s="201"/>
      <c r="S399" s="201">
        <v>15025.5</v>
      </c>
      <c r="T399" s="201">
        <v>15025.5</v>
      </c>
      <c r="U399" s="201">
        <f>IF(AND('Mail Merge'!$I399="Did Not Meet",'Mail Merge'!$N399="Did Not Meet"),MIN(ABS('Mail Merge'!$H399),ABS('Mail Merge'!$M399),'Mail Merge'!$Q399),0)</f>
        <v>0</v>
      </c>
      <c r="V399" s="201" t="str">
        <f>IF(OR(IFERROR(SEARCH("Met",'Mail Merge'!$N399),0)&gt;0,IFERROR(SEARCH("Met",'Mail Merge'!$I399),0)&gt;0),"Met","Not Met")</f>
        <v>Met</v>
      </c>
    </row>
    <row r="400" spans="1:22" x14ac:dyDescent="0.35">
      <c r="A400" s="198" t="s">
        <v>23</v>
      </c>
      <c r="B400" s="199">
        <v>2111</v>
      </c>
      <c r="C400" s="199" t="s">
        <v>22</v>
      </c>
      <c r="D400" s="199">
        <v>10</v>
      </c>
      <c r="E400" s="199">
        <v>9077.5400000000009</v>
      </c>
      <c r="F400" s="199">
        <v>21960.68</v>
      </c>
      <c r="G400" s="199">
        <f>'Mail Merge'!$E400+'Mail Merge'!$F400</f>
        <v>31038.22</v>
      </c>
      <c r="H400" s="199">
        <v>0</v>
      </c>
      <c r="I400" s="199" t="s">
        <v>241</v>
      </c>
      <c r="J400" s="199">
        <f>IFERROR('Mail Merge'!$E400/'Mail Merge'!$D400,0)</f>
        <v>907.75400000000013</v>
      </c>
      <c r="K400" s="199">
        <f>IFERROR('Mail Merge'!$F400/'Mail Merge'!$D400,0)</f>
        <v>2196.0680000000002</v>
      </c>
      <c r="L400" s="199">
        <f>IFERROR('Mail Merge'!$G400/'Mail Merge'!$D400,0)</f>
        <v>3103.8220000000001</v>
      </c>
      <c r="M400" s="199">
        <v>0</v>
      </c>
      <c r="N400" s="199" t="s">
        <v>240</v>
      </c>
      <c r="O400" s="199">
        <v>18848.82</v>
      </c>
      <c r="P400" s="199">
        <v>6.87</v>
      </c>
      <c r="Q400" s="199">
        <f>'Mail Merge'!$O400+'Mail Merge'!$P400</f>
        <v>18855.689999999999</v>
      </c>
      <c r="R400" s="199"/>
      <c r="S400" s="199"/>
      <c r="T400" s="199"/>
      <c r="U400" s="199">
        <f>IF(AND('Mail Merge'!$I400="Did Not Meet",'Mail Merge'!$N400="Did Not Meet"),MIN(ABS('Mail Merge'!$H400),ABS('Mail Merge'!$M400),'Mail Merge'!$Q400),0)</f>
        <v>0</v>
      </c>
      <c r="V400" s="199" t="str">
        <f>IF(OR(IFERROR(SEARCH("Met",'Mail Merge'!$N400),0)&gt;0,IFERROR(SEARCH("Met",'Mail Merge'!$I400),0)&gt;0),"Met","Not Met")</f>
        <v>Met</v>
      </c>
    </row>
    <row r="401" spans="1:22" x14ac:dyDescent="0.35">
      <c r="A401" s="200" t="s">
        <v>24</v>
      </c>
      <c r="B401" s="201">
        <v>2005</v>
      </c>
      <c r="C401" s="201" t="s">
        <v>22</v>
      </c>
      <c r="D401" s="201">
        <v>24</v>
      </c>
      <c r="E401" s="201">
        <v>28120.44</v>
      </c>
      <c r="F401" s="201">
        <v>107985</v>
      </c>
      <c r="G401" s="201">
        <f>'Mail Merge'!$E401+'Mail Merge'!$F401</f>
        <v>136105.44</v>
      </c>
      <c r="H401" s="201">
        <v>0</v>
      </c>
      <c r="I401" s="201" t="s">
        <v>241</v>
      </c>
      <c r="J401" s="201">
        <f>IFERROR('Mail Merge'!$E401/'Mail Merge'!$D401,0)</f>
        <v>1171.6849999999999</v>
      </c>
      <c r="K401" s="201">
        <f>IFERROR('Mail Merge'!$F401/'Mail Merge'!$D401,0)</f>
        <v>4499.375</v>
      </c>
      <c r="L401" s="201">
        <f>IFERROR('Mail Merge'!$G401/'Mail Merge'!$D401,0)</f>
        <v>5671.06</v>
      </c>
      <c r="M401" s="201">
        <v>0</v>
      </c>
      <c r="N401" s="201" t="s">
        <v>240</v>
      </c>
      <c r="O401" s="201">
        <v>19720.43</v>
      </c>
      <c r="P401" s="201">
        <v>0</v>
      </c>
      <c r="Q401" s="201">
        <f>'Mail Merge'!$O401+'Mail Merge'!$P401</f>
        <v>19720.43</v>
      </c>
      <c r="R401" s="201"/>
      <c r="S401" s="201"/>
      <c r="T401" s="201"/>
      <c r="U401" s="201">
        <f>IF(AND('Mail Merge'!$I401="Did Not Meet",'Mail Merge'!$N401="Did Not Meet"),MIN(ABS('Mail Merge'!$H401),ABS('Mail Merge'!$M401),'Mail Merge'!$Q401),0)</f>
        <v>0</v>
      </c>
      <c r="V401" s="201" t="str">
        <f>IF(OR(IFERROR(SEARCH("Met",'Mail Merge'!$N401),0)&gt;0,IFERROR(SEARCH("Met",'Mail Merge'!$I401),0)&gt;0),"Met","Not Met")</f>
        <v>Met</v>
      </c>
    </row>
    <row r="402" spans="1:22" x14ac:dyDescent="0.35">
      <c r="A402" s="198" t="s">
        <v>25</v>
      </c>
      <c r="B402" s="199">
        <v>2115</v>
      </c>
      <c r="C402" s="199" t="s">
        <v>22</v>
      </c>
      <c r="D402" s="199">
        <v>0</v>
      </c>
      <c r="E402" s="199">
        <v>0</v>
      </c>
      <c r="F402" s="199">
        <v>1190.2</v>
      </c>
      <c r="G402" s="199">
        <f>'Mail Merge'!$E402+'Mail Merge'!$F402</f>
        <v>1190.2</v>
      </c>
      <c r="H402" s="199">
        <v>0</v>
      </c>
      <c r="I402" s="199" t="s">
        <v>240</v>
      </c>
      <c r="J402" s="199">
        <f>IFERROR('Mail Merge'!$E402/'Mail Merge'!$D402,0)</f>
        <v>0</v>
      </c>
      <c r="K402" s="199">
        <f>IFERROR('Mail Merge'!$F402/'Mail Merge'!$D402,0)</f>
        <v>0</v>
      </c>
      <c r="L402" s="199">
        <f>IFERROR('Mail Merge'!$G402/'Mail Merge'!$D402,0)</f>
        <v>0</v>
      </c>
      <c r="M402" s="199">
        <v>0</v>
      </c>
      <c r="N402" s="199" t="s">
        <v>241</v>
      </c>
      <c r="O402" s="199">
        <v>2656.61</v>
      </c>
      <c r="P402" s="199">
        <v>0.75</v>
      </c>
      <c r="Q402" s="199">
        <f>'Mail Merge'!$O402+'Mail Merge'!$P402</f>
        <v>2657.36</v>
      </c>
      <c r="R402" s="199"/>
      <c r="S402" s="199"/>
      <c r="T402" s="199"/>
      <c r="U402" s="199">
        <f>IF(AND('Mail Merge'!$I402="Did Not Meet",'Mail Merge'!$N402="Did Not Meet"),MIN(ABS('Mail Merge'!$H402),ABS('Mail Merge'!$M402),'Mail Merge'!$Q402),0)</f>
        <v>0</v>
      </c>
      <c r="V402" s="199" t="str">
        <f>IF(OR(IFERROR(SEARCH("Met",'Mail Merge'!$N402),0)&gt;0,IFERROR(SEARCH("Met",'Mail Merge'!$I402),0)&gt;0),"Met","Not Met")</f>
        <v>Met</v>
      </c>
    </row>
    <row r="403" spans="1:22" x14ac:dyDescent="0.35">
      <c r="A403" s="200" t="s">
        <v>26</v>
      </c>
      <c r="B403" s="201">
        <v>2041</v>
      </c>
      <c r="C403" s="201" t="s">
        <v>22</v>
      </c>
      <c r="D403" s="201">
        <v>334</v>
      </c>
      <c r="E403" s="201">
        <v>1941666.27</v>
      </c>
      <c r="F403" s="201">
        <v>369888.46</v>
      </c>
      <c r="G403" s="201">
        <f>'Mail Merge'!$E403+'Mail Merge'!$F403</f>
        <v>2311554.73</v>
      </c>
      <c r="H403" s="201">
        <v>0</v>
      </c>
      <c r="I403" s="201" t="s">
        <v>241</v>
      </c>
      <c r="J403" s="201">
        <f>IFERROR('Mail Merge'!$E403/'Mail Merge'!$D403,0)</f>
        <v>5813.3720658682632</v>
      </c>
      <c r="K403" s="201">
        <f>IFERROR('Mail Merge'!$F403/'Mail Merge'!$D403,0)</f>
        <v>1107.4504790419162</v>
      </c>
      <c r="L403" s="201">
        <f>IFERROR('Mail Merge'!$G403/'Mail Merge'!$D403,0)</f>
        <v>6920.8225449101792</v>
      </c>
      <c r="M403" s="201">
        <v>0</v>
      </c>
      <c r="N403" s="201" t="s">
        <v>240</v>
      </c>
      <c r="O403" s="201">
        <v>436673.17</v>
      </c>
      <c r="P403" s="201">
        <v>3369.38</v>
      </c>
      <c r="Q403" s="201">
        <f>'Mail Merge'!$O403+'Mail Merge'!$P403</f>
        <v>440042.55</v>
      </c>
      <c r="R403" s="201"/>
      <c r="S403" s="201"/>
      <c r="T403" s="201"/>
      <c r="U403" s="201">
        <f>IF(AND('Mail Merge'!$I403="Did Not Meet",'Mail Merge'!$N403="Did Not Meet"),MIN(ABS('Mail Merge'!$H403),ABS('Mail Merge'!$M403),'Mail Merge'!$Q403),0)</f>
        <v>0</v>
      </c>
      <c r="V403" s="201" t="str">
        <f>IF(OR(IFERROR(SEARCH("Met",'Mail Merge'!$N403),0)&gt;0,IFERROR(SEARCH("Met",'Mail Merge'!$I403),0)&gt;0),"Met","Not Met")</f>
        <v>Met</v>
      </c>
    </row>
    <row r="404" spans="1:22" x14ac:dyDescent="0.35">
      <c r="A404" s="198" t="s">
        <v>27</v>
      </c>
      <c r="B404" s="199">
        <v>2051</v>
      </c>
      <c r="C404" s="199" t="s">
        <v>22</v>
      </c>
      <c r="D404" s="199">
        <v>0</v>
      </c>
      <c r="E404" s="199">
        <v>0</v>
      </c>
      <c r="F404" s="199">
        <v>7674.88</v>
      </c>
      <c r="G404" s="199">
        <f>'Mail Merge'!$E404+'Mail Merge'!$F404</f>
        <v>7674.88</v>
      </c>
      <c r="H404" s="199">
        <v>0</v>
      </c>
      <c r="I404" s="199" t="s">
        <v>241</v>
      </c>
      <c r="J404" s="199">
        <f>IFERROR('Mail Merge'!$E404/'Mail Merge'!$D404,0)</f>
        <v>0</v>
      </c>
      <c r="K404" s="199">
        <f>IFERROR('Mail Merge'!$F404/'Mail Merge'!$D404,0)</f>
        <v>0</v>
      </c>
      <c r="L404" s="199">
        <f>IFERROR('Mail Merge'!$G404/'Mail Merge'!$D404,0)</f>
        <v>0</v>
      </c>
      <c r="M404" s="199">
        <v>0</v>
      </c>
      <c r="N404" s="199" t="s">
        <v>241</v>
      </c>
      <c r="O404" s="199">
        <v>1598.06</v>
      </c>
      <c r="P404" s="199">
        <v>1.0900000000000001</v>
      </c>
      <c r="Q404" s="199">
        <f>'Mail Merge'!$O404+'Mail Merge'!$P404</f>
        <v>1599.1499999999999</v>
      </c>
      <c r="R404" s="199"/>
      <c r="S404" s="199"/>
      <c r="T404" s="199"/>
      <c r="U404" s="199">
        <f>IF(AND('Mail Merge'!$I404="Did Not Meet",'Mail Merge'!$N404="Did Not Meet"),MIN(ABS('Mail Merge'!$H404),ABS('Mail Merge'!$M404),'Mail Merge'!$Q404),0)</f>
        <v>0</v>
      </c>
      <c r="V404" s="199" t="str">
        <f>IF(OR(IFERROR(SEARCH("Met",'Mail Merge'!$N404),0)&gt;0,IFERROR(SEARCH("Met",'Mail Merge'!$I404),0)&gt;0),"Met","Not Met")</f>
        <v>Met</v>
      </c>
    </row>
    <row r="405" spans="1:22" x14ac:dyDescent="0.35">
      <c r="A405" s="200" t="s">
        <v>28</v>
      </c>
      <c r="B405" s="201">
        <v>1933</v>
      </c>
      <c r="C405" s="201" t="s">
        <v>22</v>
      </c>
      <c r="D405" s="201">
        <v>266</v>
      </c>
      <c r="E405" s="201">
        <v>1850846.27</v>
      </c>
      <c r="F405" s="201">
        <v>397531</v>
      </c>
      <c r="G405" s="201">
        <f>'Mail Merge'!$E405+'Mail Merge'!$F405</f>
        <v>2248377.27</v>
      </c>
      <c r="H405" s="201">
        <v>0</v>
      </c>
      <c r="I405" s="201" t="s">
        <v>241</v>
      </c>
      <c r="J405" s="201">
        <f>IFERROR('Mail Merge'!$E405/'Mail Merge'!$D405,0)</f>
        <v>6958.068684210526</v>
      </c>
      <c r="K405" s="201">
        <f>IFERROR('Mail Merge'!$F405/'Mail Merge'!$D405,0)</f>
        <v>1494.4774436090227</v>
      </c>
      <c r="L405" s="201">
        <f>IFERROR('Mail Merge'!$G405/'Mail Merge'!$D405,0)</f>
        <v>8452.5461278195489</v>
      </c>
      <c r="M405" s="201">
        <v>0</v>
      </c>
      <c r="N405" s="201" t="s">
        <v>240</v>
      </c>
      <c r="O405" s="201">
        <v>258155.89</v>
      </c>
      <c r="P405" s="201">
        <v>1764.37</v>
      </c>
      <c r="Q405" s="201">
        <f>'Mail Merge'!$O405+'Mail Merge'!$P405</f>
        <v>259920.26</v>
      </c>
      <c r="R405" s="201"/>
      <c r="S405" s="201"/>
      <c r="T405" s="201"/>
      <c r="U405" s="201">
        <f>IF(AND('Mail Merge'!$I405="Did Not Meet",'Mail Merge'!$N405="Did Not Meet"),MIN(ABS('Mail Merge'!$H405),ABS('Mail Merge'!$M405),'Mail Merge'!$Q405),0)</f>
        <v>0</v>
      </c>
      <c r="V405" s="201" t="str">
        <f>IF(OR(IFERROR(SEARCH("Met",'Mail Merge'!$N405),0)&gt;0,IFERROR(SEARCH("Met",'Mail Merge'!$I405),0)&gt;0),"Met","Not Met")</f>
        <v>Met</v>
      </c>
    </row>
    <row r="406" spans="1:22" x14ac:dyDescent="0.35">
      <c r="A406" s="198" t="s">
        <v>29</v>
      </c>
      <c r="B406" s="199">
        <v>2208</v>
      </c>
      <c r="C406" s="199" t="s">
        <v>22</v>
      </c>
      <c r="D406" s="199">
        <v>78</v>
      </c>
      <c r="E406" s="199">
        <v>343617.59</v>
      </c>
      <c r="F406" s="199">
        <v>117148.95</v>
      </c>
      <c r="G406" s="199">
        <f>'Mail Merge'!$E406+'Mail Merge'!$F406</f>
        <v>460766.54000000004</v>
      </c>
      <c r="H406" s="199">
        <v>0</v>
      </c>
      <c r="I406" s="199" t="s">
        <v>242</v>
      </c>
      <c r="J406" s="199">
        <f>IFERROR('Mail Merge'!$E406/'Mail Merge'!$D406,0)</f>
        <v>4405.3537179487184</v>
      </c>
      <c r="K406" s="199">
        <f>IFERROR('Mail Merge'!$F406/'Mail Merge'!$D406,0)</f>
        <v>1501.9096153846153</v>
      </c>
      <c r="L406" s="199">
        <f>IFERROR('Mail Merge'!$G406/'Mail Merge'!$D406,0)</f>
        <v>5907.2633333333342</v>
      </c>
      <c r="M406" s="199">
        <v>0</v>
      </c>
      <c r="N406" s="199" t="s">
        <v>241</v>
      </c>
      <c r="O406" s="199">
        <v>90975.51</v>
      </c>
      <c r="P406" s="199">
        <v>1634</v>
      </c>
      <c r="Q406" s="199">
        <f>'Mail Merge'!$O406+'Mail Merge'!$P406</f>
        <v>92609.51</v>
      </c>
      <c r="R406" s="199"/>
      <c r="S406" s="199">
        <v>5593.84</v>
      </c>
      <c r="T406" s="199">
        <v>5593.84</v>
      </c>
      <c r="U406" s="199">
        <f>IF(AND('Mail Merge'!$I406="Did Not Meet",'Mail Merge'!$N406="Did Not Meet"),MIN(ABS('Mail Merge'!$H406),ABS('Mail Merge'!$M406),'Mail Merge'!$Q406),0)</f>
        <v>0</v>
      </c>
      <c r="V406" s="199" t="str">
        <f>IF(OR(IFERROR(SEARCH("Met",'Mail Merge'!$N406),0)&gt;0,IFERROR(SEARCH("Met",'Mail Merge'!$I406),0)&gt;0),"Met","Not Met")</f>
        <v>Met</v>
      </c>
    </row>
    <row r="407" spans="1:22" x14ac:dyDescent="0.35">
      <c r="A407" s="200" t="s">
        <v>30</v>
      </c>
      <c r="B407" s="201">
        <v>1894</v>
      </c>
      <c r="C407" s="201" t="s">
        <v>22</v>
      </c>
      <c r="D407" s="201">
        <v>277</v>
      </c>
      <c r="E407" s="201">
        <v>2105043.11</v>
      </c>
      <c r="F407" s="201">
        <v>0</v>
      </c>
      <c r="G407" s="201">
        <f>'Mail Merge'!$E407+'Mail Merge'!$F407</f>
        <v>2105043.11</v>
      </c>
      <c r="H407" s="201">
        <v>0</v>
      </c>
      <c r="I407" s="201" t="s">
        <v>241</v>
      </c>
      <c r="J407" s="201">
        <f>IFERROR('Mail Merge'!$E407/'Mail Merge'!$D407,0)</f>
        <v>7599.4336101083027</v>
      </c>
      <c r="K407" s="201">
        <f>IFERROR('Mail Merge'!$F407/'Mail Merge'!$D407,0)</f>
        <v>0</v>
      </c>
      <c r="L407" s="201">
        <f>IFERROR('Mail Merge'!$G407/'Mail Merge'!$D407,0)</f>
        <v>7599.4336101083027</v>
      </c>
      <c r="M407" s="201">
        <v>0</v>
      </c>
      <c r="N407" s="201" t="s">
        <v>241</v>
      </c>
      <c r="O407" s="201">
        <v>386062.1</v>
      </c>
      <c r="P407" s="201">
        <v>5944.54</v>
      </c>
      <c r="Q407" s="201">
        <f>'Mail Merge'!$O407+'Mail Merge'!$P407</f>
        <v>392006.63999999996</v>
      </c>
      <c r="R407" s="201"/>
      <c r="S407" s="201"/>
      <c r="T407" s="201"/>
      <c r="U407" s="201">
        <f>IF(AND('Mail Merge'!$I407="Did Not Meet",'Mail Merge'!$N407="Did Not Meet"),MIN(ABS('Mail Merge'!$H407),ABS('Mail Merge'!$M407),'Mail Merge'!$Q407),0)</f>
        <v>0</v>
      </c>
      <c r="V407" s="201" t="str">
        <f>IF(OR(IFERROR(SEARCH("Met",'Mail Merge'!$N407),0)&gt;0,IFERROR(SEARCH("Met",'Mail Merge'!$I407),0)&gt;0),"Met","Not Met")</f>
        <v>Met</v>
      </c>
    </row>
    <row r="408" spans="1:22" x14ac:dyDescent="0.35">
      <c r="A408" s="198" t="s">
        <v>32</v>
      </c>
      <c r="B408" s="199">
        <v>1969</v>
      </c>
      <c r="C408" s="199" t="s">
        <v>22</v>
      </c>
      <c r="D408" s="199">
        <v>91</v>
      </c>
      <c r="E408" s="199">
        <v>552816.42000000004</v>
      </c>
      <c r="F408" s="199">
        <v>576586</v>
      </c>
      <c r="G408" s="199">
        <f>'Mail Merge'!$E408+'Mail Merge'!$F408</f>
        <v>1129402.42</v>
      </c>
      <c r="H408" s="199">
        <v>0</v>
      </c>
      <c r="I408" s="199" t="s">
        <v>241</v>
      </c>
      <c r="J408" s="199">
        <f>IFERROR('Mail Merge'!$E408/'Mail Merge'!$D408,0)</f>
        <v>6074.9057142857146</v>
      </c>
      <c r="K408" s="199">
        <f>IFERROR('Mail Merge'!$F408/'Mail Merge'!$D408,0)</f>
        <v>6336.1098901098903</v>
      </c>
      <c r="L408" s="199">
        <f>IFERROR('Mail Merge'!$G408/'Mail Merge'!$D408,0)</f>
        <v>12411.015604395603</v>
      </c>
      <c r="M408" s="199">
        <v>0</v>
      </c>
      <c r="N408" s="199" t="s">
        <v>241</v>
      </c>
      <c r="O408" s="199">
        <v>144059.29999999999</v>
      </c>
      <c r="P408" s="199">
        <v>2460.04</v>
      </c>
      <c r="Q408" s="199">
        <f>'Mail Merge'!$O408+'Mail Merge'!$P408</f>
        <v>146519.34</v>
      </c>
      <c r="R408" s="199"/>
      <c r="S408" s="199"/>
      <c r="T408" s="199"/>
      <c r="U408" s="199">
        <f>IF(AND('Mail Merge'!$I408="Did Not Meet",'Mail Merge'!$N408="Did Not Meet"),MIN(ABS('Mail Merge'!$H408),ABS('Mail Merge'!$M408),'Mail Merge'!$Q408),0)</f>
        <v>0</v>
      </c>
      <c r="V408" s="199" t="str">
        <f>IF(OR(IFERROR(SEARCH("Met",'Mail Merge'!$N408),0)&gt;0,IFERROR(SEARCH("Met",'Mail Merge'!$I408),0)&gt;0),"Met","Not Met")</f>
        <v>Met</v>
      </c>
    </row>
    <row r="409" spans="1:22" x14ac:dyDescent="0.35">
      <c r="A409" s="200" t="s">
        <v>33</v>
      </c>
      <c r="B409" s="201">
        <v>2240</v>
      </c>
      <c r="C409" s="201" t="s">
        <v>22</v>
      </c>
      <c r="D409" s="201">
        <v>164</v>
      </c>
      <c r="E409" s="201">
        <v>1200216.17</v>
      </c>
      <c r="F409" s="201">
        <v>254512</v>
      </c>
      <c r="G409" s="201">
        <f>'Mail Merge'!$E409+'Mail Merge'!$F409</f>
        <v>1454728.17</v>
      </c>
      <c r="H409" s="201">
        <v>0</v>
      </c>
      <c r="I409" s="201" t="s">
        <v>241</v>
      </c>
      <c r="J409" s="201">
        <f>IFERROR('Mail Merge'!$E409/'Mail Merge'!$D409,0)</f>
        <v>7318.3912804878046</v>
      </c>
      <c r="K409" s="201">
        <f>IFERROR('Mail Merge'!$F409/'Mail Merge'!$D409,0)</f>
        <v>1551.9024390243903</v>
      </c>
      <c r="L409" s="201">
        <f>IFERROR('Mail Merge'!$G409/'Mail Merge'!$D409,0)</f>
        <v>8870.293719512194</v>
      </c>
      <c r="M409" s="201">
        <v>0</v>
      </c>
      <c r="N409" s="201" t="s">
        <v>240</v>
      </c>
      <c r="O409" s="201">
        <v>197630.05</v>
      </c>
      <c r="P409" s="201">
        <v>1044.57</v>
      </c>
      <c r="Q409" s="201">
        <f>'Mail Merge'!$O409+'Mail Merge'!$P409</f>
        <v>198674.62</v>
      </c>
      <c r="R409" s="201"/>
      <c r="S409" s="201"/>
      <c r="T409" s="201"/>
      <c r="U409" s="201">
        <f>IF(AND('Mail Merge'!$I409="Did Not Meet",'Mail Merge'!$N409="Did Not Meet"),MIN(ABS('Mail Merge'!$H409),ABS('Mail Merge'!$M409),'Mail Merge'!$Q409),0)</f>
        <v>0</v>
      </c>
      <c r="V409" s="201" t="str">
        <f>IF(OR(IFERROR(SEARCH("Met",'Mail Merge'!$N409),0)&gt;0,IFERROR(SEARCH("Met",'Mail Merge'!$I409),0)&gt;0),"Met","Not Met")</f>
        <v>Met</v>
      </c>
    </row>
    <row r="410" spans="1:22" x14ac:dyDescent="0.35">
      <c r="A410" s="198" t="s">
        <v>34</v>
      </c>
      <c r="B410" s="199">
        <v>2243</v>
      </c>
      <c r="C410" s="199" t="s">
        <v>22</v>
      </c>
      <c r="D410" s="199">
        <v>4938</v>
      </c>
      <c r="E410" s="199">
        <v>43573053.590000004</v>
      </c>
      <c r="F410" s="199">
        <v>3771830</v>
      </c>
      <c r="G410" s="199">
        <f>'Mail Merge'!$E410+'Mail Merge'!$F410</f>
        <v>47344883.590000004</v>
      </c>
      <c r="H410" s="199">
        <v>0</v>
      </c>
      <c r="I410" s="199" t="s">
        <v>241</v>
      </c>
      <c r="J410" s="199">
        <f>IFERROR('Mail Merge'!$E410/'Mail Merge'!$D410,0)</f>
        <v>8824.0286735520458</v>
      </c>
      <c r="K410" s="199">
        <f>IFERROR('Mail Merge'!$F410/'Mail Merge'!$D410,0)</f>
        <v>763.8375860672337</v>
      </c>
      <c r="L410" s="199">
        <f>IFERROR('Mail Merge'!$G410/'Mail Merge'!$D410,0)</f>
        <v>9587.8662596192789</v>
      </c>
      <c r="M410" s="199">
        <v>0</v>
      </c>
      <c r="N410" s="199" t="s">
        <v>240</v>
      </c>
      <c r="O410" s="199">
        <v>6772088.96</v>
      </c>
      <c r="P410" s="199">
        <v>28097.98</v>
      </c>
      <c r="Q410" s="199">
        <f>'Mail Merge'!$O410+'Mail Merge'!$P410</f>
        <v>6800186.9400000004</v>
      </c>
      <c r="R410" s="199"/>
      <c r="S410" s="199"/>
      <c r="T410" s="199"/>
      <c r="U410" s="199">
        <f>IF(AND('Mail Merge'!$I410="Did Not Meet",'Mail Merge'!$N410="Did Not Meet"),MIN(ABS('Mail Merge'!$H410),ABS('Mail Merge'!$M410),'Mail Merge'!$Q410),0)</f>
        <v>0</v>
      </c>
      <c r="V410" s="199" t="str">
        <f>IF(OR(IFERROR(SEARCH("Met",'Mail Merge'!$N410),0)&gt;0,IFERROR(SEARCH("Met",'Mail Merge'!$I410),0)&gt;0),"Met","Not Met")</f>
        <v>Met</v>
      </c>
    </row>
    <row r="411" spans="1:22" x14ac:dyDescent="0.35">
      <c r="A411" s="200" t="s">
        <v>35</v>
      </c>
      <c r="B411" s="201">
        <v>1976</v>
      </c>
      <c r="C411" s="201" t="s">
        <v>22</v>
      </c>
      <c r="D411" s="201">
        <v>2097</v>
      </c>
      <c r="E411" s="201">
        <v>16493212</v>
      </c>
      <c r="F411" s="201">
        <v>2461247.75</v>
      </c>
      <c r="G411" s="201">
        <f>'Mail Merge'!$E411+'Mail Merge'!$F411</f>
        <v>18954459.75</v>
      </c>
      <c r="H411" s="201">
        <v>0</v>
      </c>
      <c r="I411" s="201" t="s">
        <v>241</v>
      </c>
      <c r="J411" s="201">
        <f>IFERROR('Mail Merge'!$E411/'Mail Merge'!$D411,0)</f>
        <v>7865.146399618503</v>
      </c>
      <c r="K411" s="201">
        <f>IFERROR('Mail Merge'!$F411/'Mail Merge'!$D411,0)</f>
        <v>1173.6994515975202</v>
      </c>
      <c r="L411" s="201">
        <f>IFERROR('Mail Merge'!$G411/'Mail Merge'!$D411,0)</f>
        <v>9038.8458512160232</v>
      </c>
      <c r="M411" s="201">
        <v>0</v>
      </c>
      <c r="N411" s="201" t="s">
        <v>241</v>
      </c>
      <c r="O411" s="201">
        <v>2634156.9900000002</v>
      </c>
      <c r="P411" s="201">
        <v>18187.96</v>
      </c>
      <c r="Q411" s="201">
        <f>'Mail Merge'!$O411+'Mail Merge'!$P411</f>
        <v>2652344.9500000002</v>
      </c>
      <c r="R411" s="201"/>
      <c r="S411" s="201"/>
      <c r="T411" s="201"/>
      <c r="U411" s="201">
        <f>IF(AND('Mail Merge'!$I411="Did Not Meet",'Mail Merge'!$N411="Did Not Meet"),MIN(ABS('Mail Merge'!$H411),ABS('Mail Merge'!$M411),'Mail Merge'!$Q411),0)</f>
        <v>0</v>
      </c>
      <c r="V411" s="201" t="str">
        <f>IF(OR(IFERROR(SEARCH("Met",'Mail Merge'!$N411),0)&gt;0,IFERROR(SEARCH("Met",'Mail Merge'!$I411),0)&gt;0),"Met","Not Met")</f>
        <v>Met</v>
      </c>
    </row>
    <row r="412" spans="1:22" x14ac:dyDescent="0.35">
      <c r="A412" s="198" t="s">
        <v>36</v>
      </c>
      <c r="B412" s="199">
        <v>2088</v>
      </c>
      <c r="C412" s="199" t="s">
        <v>22</v>
      </c>
      <c r="D412" s="199">
        <v>932</v>
      </c>
      <c r="E412" s="199">
        <v>7292708.9699999997</v>
      </c>
      <c r="F412" s="199">
        <v>1371316</v>
      </c>
      <c r="G412" s="199">
        <f>'Mail Merge'!$E412+'Mail Merge'!$F412</f>
        <v>8664024.9699999988</v>
      </c>
      <c r="H412" s="199">
        <v>0</v>
      </c>
      <c r="I412" s="199" t="s">
        <v>242</v>
      </c>
      <c r="J412" s="199">
        <f>IFERROR('Mail Merge'!$E412/'Mail Merge'!$D412,0)</f>
        <v>7824.7950321888411</v>
      </c>
      <c r="K412" s="199">
        <f>IFERROR('Mail Merge'!$F412/'Mail Merge'!$D412,0)</f>
        <v>1471.3690987124464</v>
      </c>
      <c r="L412" s="199">
        <f>IFERROR('Mail Merge'!$G412/'Mail Merge'!$D412,0)</f>
        <v>9296.1641309012866</v>
      </c>
      <c r="M412" s="199">
        <v>0</v>
      </c>
      <c r="N412" s="199" t="s">
        <v>242</v>
      </c>
      <c r="O412" s="199">
        <v>1022018.87</v>
      </c>
      <c r="P412" s="199">
        <v>6624.3</v>
      </c>
      <c r="Q412" s="199">
        <f>'Mail Merge'!$O412+'Mail Merge'!$P412</f>
        <v>1028643.17</v>
      </c>
      <c r="R412" s="199"/>
      <c r="S412" s="199">
        <v>24588.11</v>
      </c>
      <c r="T412" s="199">
        <v>24588.11</v>
      </c>
      <c r="U412" s="199">
        <f>IF(AND('Mail Merge'!$I412="Did Not Meet",'Mail Merge'!$N412="Did Not Meet"),MIN(ABS('Mail Merge'!$H412),ABS('Mail Merge'!$M412),'Mail Merge'!$Q412),0)</f>
        <v>0</v>
      </c>
      <c r="V412" s="199" t="str">
        <f>IF(OR(IFERROR(SEARCH("Met",'Mail Merge'!$N412),0)&gt;0,IFERROR(SEARCH("Met",'Mail Merge'!$I412),0)&gt;0),"Met","Not Met")</f>
        <v>Met</v>
      </c>
    </row>
    <row r="413" spans="1:22" x14ac:dyDescent="0.35">
      <c r="A413" s="200" t="s">
        <v>37</v>
      </c>
      <c r="B413" s="201">
        <v>2095</v>
      </c>
      <c r="C413" s="201" t="s">
        <v>22</v>
      </c>
      <c r="D413" s="201">
        <v>34</v>
      </c>
      <c r="E413" s="201">
        <v>236900.82</v>
      </c>
      <c r="F413" s="201">
        <v>50845</v>
      </c>
      <c r="G413" s="201">
        <f>'Mail Merge'!$E413+'Mail Merge'!$F413</f>
        <v>287745.82</v>
      </c>
      <c r="H413" s="201">
        <v>0</v>
      </c>
      <c r="I413" s="201" t="s">
        <v>241</v>
      </c>
      <c r="J413" s="201">
        <f>IFERROR('Mail Merge'!$E413/'Mail Merge'!$D413,0)</f>
        <v>6967.6711764705888</v>
      </c>
      <c r="K413" s="201">
        <f>IFERROR('Mail Merge'!$F413/'Mail Merge'!$D413,0)</f>
        <v>1495.4411764705883</v>
      </c>
      <c r="L413" s="201">
        <f>IFERROR('Mail Merge'!$G413/'Mail Merge'!$D413,0)</f>
        <v>8463.1123529411761</v>
      </c>
      <c r="M413" s="201">
        <v>0</v>
      </c>
      <c r="N413" s="201" t="s">
        <v>240</v>
      </c>
      <c r="O413" s="201">
        <v>40610.300000000003</v>
      </c>
      <c r="P413" s="201">
        <v>0</v>
      </c>
      <c r="Q413" s="201">
        <f>'Mail Merge'!$O413+'Mail Merge'!$P413</f>
        <v>40610.300000000003</v>
      </c>
      <c r="R413" s="201"/>
      <c r="S413" s="201"/>
      <c r="T413" s="201"/>
      <c r="U413" s="201">
        <f>IF(AND('Mail Merge'!$I413="Did Not Meet",'Mail Merge'!$N413="Did Not Meet"),MIN(ABS('Mail Merge'!$H413),ABS('Mail Merge'!$M413),'Mail Merge'!$Q413),0)</f>
        <v>0</v>
      </c>
      <c r="V413" s="201" t="str">
        <f>IF(OR(IFERROR(SEARCH("Met",'Mail Merge'!$N413),0)&gt;0,IFERROR(SEARCH("Met",'Mail Merge'!$I413),0)&gt;0),"Met","Not Met")</f>
        <v>Met</v>
      </c>
    </row>
    <row r="414" spans="1:22" x14ac:dyDescent="0.35">
      <c r="A414" s="198" t="s">
        <v>38</v>
      </c>
      <c r="B414" s="199">
        <v>2052</v>
      </c>
      <c r="C414" s="199" t="s">
        <v>22</v>
      </c>
      <c r="D414" s="199">
        <v>0</v>
      </c>
      <c r="E414" s="199">
        <v>19006.71</v>
      </c>
      <c r="F414" s="199">
        <v>11641.12</v>
      </c>
      <c r="G414" s="199">
        <f>'Mail Merge'!$E414+'Mail Merge'!$F414</f>
        <v>30647.83</v>
      </c>
      <c r="H414" s="199">
        <v>0</v>
      </c>
      <c r="I414" s="199" t="s">
        <v>241</v>
      </c>
      <c r="J414" s="199">
        <f>IFERROR('Mail Merge'!$E414/'Mail Merge'!$D414,0)</f>
        <v>0</v>
      </c>
      <c r="K414" s="199">
        <f>IFERROR('Mail Merge'!$F414/'Mail Merge'!$D414,0)</f>
        <v>0</v>
      </c>
      <c r="L414" s="199">
        <f>IFERROR('Mail Merge'!$G414/'Mail Merge'!$D414,0)</f>
        <v>0</v>
      </c>
      <c r="M414" s="199">
        <v>0</v>
      </c>
      <c r="N414" s="199" t="s">
        <v>240</v>
      </c>
      <c r="O414" s="199">
        <v>3218.35</v>
      </c>
      <c r="P414" s="199">
        <v>2.2000000000000002</v>
      </c>
      <c r="Q414" s="199">
        <f>'Mail Merge'!$O414+'Mail Merge'!$P414</f>
        <v>3220.5499999999997</v>
      </c>
      <c r="R414" s="199"/>
      <c r="S414" s="199"/>
      <c r="T414" s="199"/>
      <c r="U414" s="199">
        <f>IF(AND('Mail Merge'!$I414="Did Not Meet",'Mail Merge'!$N414="Did Not Meet"),MIN(ABS('Mail Merge'!$H414),ABS('Mail Merge'!$M414),'Mail Merge'!$Q414),0)</f>
        <v>0</v>
      </c>
      <c r="V414" s="199" t="str">
        <f>IF(OR(IFERROR(SEARCH("Met",'Mail Merge'!$N414),0)&gt;0,IFERROR(SEARCH("Met",'Mail Merge'!$I414),0)&gt;0),"Met","Not Met")</f>
        <v>Met</v>
      </c>
    </row>
    <row r="415" spans="1:22" x14ac:dyDescent="0.35">
      <c r="A415" s="200" t="s">
        <v>39</v>
      </c>
      <c r="B415" s="201">
        <v>1974</v>
      </c>
      <c r="C415" s="201" t="s">
        <v>22</v>
      </c>
      <c r="D415" s="201">
        <v>162</v>
      </c>
      <c r="E415" s="201">
        <v>1061894.31</v>
      </c>
      <c r="F415" s="201">
        <v>485376</v>
      </c>
      <c r="G415" s="201">
        <f>'Mail Merge'!$E415+'Mail Merge'!$F415</f>
        <v>1547270.31</v>
      </c>
      <c r="H415" s="201">
        <v>0</v>
      </c>
      <c r="I415" s="201" t="s">
        <v>241</v>
      </c>
      <c r="J415" s="201">
        <f>IFERROR('Mail Merge'!$E415/'Mail Merge'!$D415,0)</f>
        <v>6554.9031481481488</v>
      </c>
      <c r="K415" s="201">
        <f>IFERROR('Mail Merge'!$F415/'Mail Merge'!$D415,0)</f>
        <v>2996.1481481481483</v>
      </c>
      <c r="L415" s="201">
        <f>IFERROR('Mail Merge'!$G415/'Mail Merge'!$D415,0)</f>
        <v>9551.0512962962966</v>
      </c>
      <c r="M415" s="201">
        <v>0</v>
      </c>
      <c r="N415" s="201" t="s">
        <v>241</v>
      </c>
      <c r="O415" s="201">
        <v>241862.94</v>
      </c>
      <c r="P415" s="201">
        <v>2276.06</v>
      </c>
      <c r="Q415" s="201">
        <f>'Mail Merge'!$O415+'Mail Merge'!$P415</f>
        <v>244139</v>
      </c>
      <c r="R415" s="201"/>
      <c r="S415" s="201"/>
      <c r="T415" s="201"/>
      <c r="U415" s="201">
        <f>IF(AND('Mail Merge'!$I415="Did Not Meet",'Mail Merge'!$N415="Did Not Meet"),MIN(ABS('Mail Merge'!$H415),ABS('Mail Merge'!$M415),'Mail Merge'!$Q415),0)</f>
        <v>0</v>
      </c>
      <c r="V415" s="201" t="str">
        <f>IF(OR(IFERROR(SEARCH("Met",'Mail Merge'!$N415),0)&gt;0,IFERROR(SEARCH("Met",'Mail Merge'!$I415),0)&gt;0),"Met","Not Met")</f>
        <v>Met</v>
      </c>
    </row>
    <row r="416" spans="1:22" x14ac:dyDescent="0.35">
      <c r="A416" s="198" t="s">
        <v>40</v>
      </c>
      <c r="B416" s="199">
        <v>1896</v>
      </c>
      <c r="C416" s="199" t="s">
        <v>22</v>
      </c>
      <c r="D416" s="199">
        <v>4</v>
      </c>
      <c r="E416" s="199">
        <v>43763</v>
      </c>
      <c r="F416" s="199">
        <v>13862.62</v>
      </c>
      <c r="G416" s="199">
        <f>'Mail Merge'!$E416+'Mail Merge'!$F416</f>
        <v>57625.62</v>
      </c>
      <c r="H416" s="199">
        <v>0</v>
      </c>
      <c r="I416" s="199" t="s">
        <v>240</v>
      </c>
      <c r="J416" s="199">
        <f>IFERROR('Mail Merge'!$E416/'Mail Merge'!$D416,0)</f>
        <v>10940.75</v>
      </c>
      <c r="K416" s="199">
        <f>IFERROR('Mail Merge'!$F416/'Mail Merge'!$D416,0)</f>
        <v>3465.6550000000002</v>
      </c>
      <c r="L416" s="199">
        <f>IFERROR('Mail Merge'!$G416/'Mail Merge'!$D416,0)</f>
        <v>14406.405000000001</v>
      </c>
      <c r="M416" s="199">
        <v>0</v>
      </c>
      <c r="N416" s="199" t="s">
        <v>240</v>
      </c>
      <c r="O416" s="199">
        <v>13650.11</v>
      </c>
      <c r="P416" s="199">
        <v>2.6</v>
      </c>
      <c r="Q416" s="199">
        <f>'Mail Merge'!$O416+'Mail Merge'!$P416</f>
        <v>13652.710000000001</v>
      </c>
      <c r="R416" s="199"/>
      <c r="S416" s="199"/>
      <c r="T416" s="199"/>
      <c r="U416" s="199">
        <f>IF(AND('Mail Merge'!$I416="Did Not Meet",'Mail Merge'!$N416="Did Not Meet"),MIN(ABS('Mail Merge'!$H416),ABS('Mail Merge'!$M416),'Mail Merge'!$Q416),0)</f>
        <v>0</v>
      </c>
      <c r="V416" s="199" t="str">
        <f>IF(OR(IFERROR(SEARCH("Met",'Mail Merge'!$N416),0)&gt;0,IFERROR(SEARCH("Met",'Mail Merge'!$I416),0)&gt;0),"Met","Not Met")</f>
        <v>Not Met</v>
      </c>
    </row>
    <row r="417" spans="1:22" x14ac:dyDescent="0.35">
      <c r="A417" s="200" t="s">
        <v>42</v>
      </c>
      <c r="B417" s="201">
        <v>2046</v>
      </c>
      <c r="C417" s="201" t="s">
        <v>22</v>
      </c>
      <c r="D417" s="201">
        <v>31</v>
      </c>
      <c r="E417" s="201">
        <v>146645.68</v>
      </c>
      <c r="F417" s="201">
        <v>60363.11</v>
      </c>
      <c r="G417" s="201">
        <f>'Mail Merge'!$E417+'Mail Merge'!$F417</f>
        <v>207008.78999999998</v>
      </c>
      <c r="H417" s="201">
        <v>0</v>
      </c>
      <c r="I417" s="201" t="s">
        <v>240</v>
      </c>
      <c r="J417" s="201">
        <f>IFERROR('Mail Merge'!$E417/'Mail Merge'!$D417,0)</f>
        <v>4730.5058064516124</v>
      </c>
      <c r="K417" s="201">
        <f>IFERROR('Mail Merge'!$F417/'Mail Merge'!$D417,0)</f>
        <v>1947.1970967741936</v>
      </c>
      <c r="L417" s="201">
        <f>IFERROR('Mail Merge'!$G417/'Mail Merge'!$D417,0)</f>
        <v>6677.702903225806</v>
      </c>
      <c r="M417" s="201">
        <v>0</v>
      </c>
      <c r="N417" s="201" t="s">
        <v>240</v>
      </c>
      <c r="O417" s="201">
        <v>25342.62</v>
      </c>
      <c r="P417" s="201">
        <v>498.59</v>
      </c>
      <c r="Q417" s="201">
        <f>'Mail Merge'!$O417+'Mail Merge'!$P417</f>
        <v>25841.21</v>
      </c>
      <c r="R417" s="201"/>
      <c r="S417" s="201"/>
      <c r="T417" s="201"/>
      <c r="U417" s="201">
        <f>IF(AND('Mail Merge'!$I417="Did Not Meet",'Mail Merge'!$N417="Did Not Meet"),MIN(ABS('Mail Merge'!$H417),ABS('Mail Merge'!$M417),'Mail Merge'!$Q417),0)</f>
        <v>0</v>
      </c>
      <c r="V417" s="201" t="str">
        <f>IF(OR(IFERROR(SEARCH("Met",'Mail Merge'!$N417),0)&gt;0,IFERROR(SEARCH("Met",'Mail Merge'!$I417),0)&gt;0),"Met","Not Met")</f>
        <v>Not Met</v>
      </c>
    </row>
    <row r="418" spans="1:22" x14ac:dyDescent="0.35">
      <c r="A418" s="198" t="s">
        <v>43</v>
      </c>
      <c r="B418" s="199">
        <v>1995</v>
      </c>
      <c r="C418" s="199" t="s">
        <v>22</v>
      </c>
      <c r="D418" s="199">
        <v>21</v>
      </c>
      <c r="E418" s="199">
        <v>148872.14000000001</v>
      </c>
      <c r="F418" s="199">
        <v>39807.589999999997</v>
      </c>
      <c r="G418" s="199">
        <f>'Mail Merge'!$E418+'Mail Merge'!$F418</f>
        <v>188679.73</v>
      </c>
      <c r="H418" s="199">
        <v>0</v>
      </c>
      <c r="I418" s="199" t="s">
        <v>242</v>
      </c>
      <c r="J418" s="199">
        <f>IFERROR('Mail Merge'!$E418/'Mail Merge'!$D418,0)</f>
        <v>7089.1495238095249</v>
      </c>
      <c r="K418" s="199">
        <f>IFERROR('Mail Merge'!$F418/'Mail Merge'!$D418,0)</f>
        <v>1895.5995238095236</v>
      </c>
      <c r="L418" s="199">
        <f>IFERROR('Mail Merge'!$G418/'Mail Merge'!$D418,0)</f>
        <v>8984.7490476190487</v>
      </c>
      <c r="M418" s="199">
        <v>0</v>
      </c>
      <c r="N418" s="199" t="s">
        <v>241</v>
      </c>
      <c r="O418" s="199">
        <v>38237.57</v>
      </c>
      <c r="P418" s="199">
        <v>14.6</v>
      </c>
      <c r="Q418" s="199">
        <f>'Mail Merge'!$O418+'Mail Merge'!$P418</f>
        <v>38252.17</v>
      </c>
      <c r="R418" s="199"/>
      <c r="S418" s="199">
        <v>31416.6</v>
      </c>
      <c r="T418" s="199">
        <v>31416.6</v>
      </c>
      <c r="U418" s="199">
        <f>IF(AND('Mail Merge'!$I418="Did Not Meet",'Mail Merge'!$N418="Did Not Meet"),MIN(ABS('Mail Merge'!$H418),ABS('Mail Merge'!$M418),'Mail Merge'!$Q418),0)</f>
        <v>0</v>
      </c>
      <c r="V418" s="199" t="str">
        <f>IF(OR(IFERROR(SEARCH("Met",'Mail Merge'!$N418),0)&gt;0,IFERROR(SEARCH("Met",'Mail Merge'!$I418),0)&gt;0),"Met","Not Met")</f>
        <v>Met</v>
      </c>
    </row>
    <row r="419" spans="1:22" x14ac:dyDescent="0.35">
      <c r="A419" s="200" t="s">
        <v>44</v>
      </c>
      <c r="B419" s="201">
        <v>1929</v>
      </c>
      <c r="C419" s="201" t="s">
        <v>22</v>
      </c>
      <c r="D419" s="201">
        <v>535</v>
      </c>
      <c r="E419" s="201">
        <v>4201568.4400000004</v>
      </c>
      <c r="F419" s="201">
        <v>664584</v>
      </c>
      <c r="G419" s="201">
        <f>'Mail Merge'!$E419+'Mail Merge'!$F419</f>
        <v>4866152.4400000004</v>
      </c>
      <c r="H419" s="201">
        <v>0</v>
      </c>
      <c r="I419" s="201" t="s">
        <v>241</v>
      </c>
      <c r="J419" s="201">
        <f>IFERROR('Mail Merge'!$E419/'Mail Merge'!$D419,0)</f>
        <v>7853.3989532710284</v>
      </c>
      <c r="K419" s="201">
        <f>IFERROR('Mail Merge'!$F419/'Mail Merge'!$D419,0)</f>
        <v>1242.2130841121495</v>
      </c>
      <c r="L419" s="201">
        <f>IFERROR('Mail Merge'!$G419/'Mail Merge'!$D419,0)</f>
        <v>9095.6120373831782</v>
      </c>
      <c r="M419" s="201">
        <v>0</v>
      </c>
      <c r="N419" s="201" t="s">
        <v>241</v>
      </c>
      <c r="O419" s="201">
        <v>739391.24</v>
      </c>
      <c r="P419" s="201">
        <v>2140.73</v>
      </c>
      <c r="Q419" s="201">
        <f>'Mail Merge'!$O419+'Mail Merge'!$P419</f>
        <v>741531.97</v>
      </c>
      <c r="R419" s="201"/>
      <c r="S419" s="201"/>
      <c r="T419" s="201"/>
      <c r="U419" s="201">
        <f>IF(AND('Mail Merge'!$I419="Did Not Meet",'Mail Merge'!$N419="Did Not Meet"),MIN(ABS('Mail Merge'!$H419),ABS('Mail Merge'!$M419),'Mail Merge'!$Q419),0)</f>
        <v>0</v>
      </c>
      <c r="V419" s="201" t="str">
        <f>IF(OR(IFERROR(SEARCH("Met",'Mail Merge'!$N419),0)&gt;0,IFERROR(SEARCH("Met",'Mail Merge'!$I419),0)&gt;0),"Met","Not Met")</f>
        <v>Met</v>
      </c>
    </row>
    <row r="420" spans="1:22" x14ac:dyDescent="0.35">
      <c r="A420" s="198" t="s">
        <v>45</v>
      </c>
      <c r="B420" s="199">
        <v>2139</v>
      </c>
      <c r="C420" s="199" t="s">
        <v>22</v>
      </c>
      <c r="D420" s="199">
        <v>300</v>
      </c>
      <c r="E420" s="199">
        <v>2433376.7200000002</v>
      </c>
      <c r="F420" s="199">
        <v>150347.31</v>
      </c>
      <c r="G420" s="199">
        <f>'Mail Merge'!$E420+'Mail Merge'!$F420</f>
        <v>2583724.0300000003</v>
      </c>
      <c r="H420" s="199">
        <v>0</v>
      </c>
      <c r="I420" s="199" t="s">
        <v>241</v>
      </c>
      <c r="J420" s="199">
        <f>IFERROR('Mail Merge'!$E420/'Mail Merge'!$D420,0)</f>
        <v>8111.2557333333343</v>
      </c>
      <c r="K420" s="199">
        <f>IFERROR('Mail Merge'!$F420/'Mail Merge'!$D420,0)</f>
        <v>501.15769999999998</v>
      </c>
      <c r="L420" s="199">
        <f>IFERROR('Mail Merge'!$G420/'Mail Merge'!$D420,0)</f>
        <v>8612.413433333335</v>
      </c>
      <c r="M420" s="199">
        <v>0</v>
      </c>
      <c r="N420" s="199" t="s">
        <v>241</v>
      </c>
      <c r="O420" s="199">
        <v>372286.05</v>
      </c>
      <c r="P420" s="199">
        <v>4408.0200000000004</v>
      </c>
      <c r="Q420" s="199">
        <f>'Mail Merge'!$O420+'Mail Merge'!$P420</f>
        <v>376694.07</v>
      </c>
      <c r="R420" s="199"/>
      <c r="S420" s="199"/>
      <c r="T420" s="199"/>
      <c r="U420" s="199">
        <f>IF(AND('Mail Merge'!$I420="Did Not Meet",'Mail Merge'!$N420="Did Not Meet"),MIN(ABS('Mail Merge'!$H420),ABS('Mail Merge'!$M420),'Mail Merge'!$Q420),0)</f>
        <v>0</v>
      </c>
      <c r="V420" s="199" t="str">
        <f>IF(OR(IFERROR(SEARCH("Met",'Mail Merge'!$N420),0)&gt;0,IFERROR(SEARCH("Met",'Mail Merge'!$I420),0)&gt;0),"Met","Not Met")</f>
        <v>Met</v>
      </c>
    </row>
    <row r="421" spans="1:22" x14ac:dyDescent="0.35">
      <c r="A421" s="200" t="s">
        <v>46</v>
      </c>
      <c r="B421" s="201">
        <v>2185</v>
      </c>
      <c r="C421" s="201" t="s">
        <v>22</v>
      </c>
      <c r="D421" s="201">
        <v>865</v>
      </c>
      <c r="E421" s="201">
        <v>7641635.9699999997</v>
      </c>
      <c r="F421" s="201">
        <v>1326961</v>
      </c>
      <c r="G421" s="201">
        <f>'Mail Merge'!$E421+'Mail Merge'!$F421</f>
        <v>8968596.9699999988</v>
      </c>
      <c r="H421" s="201">
        <v>0</v>
      </c>
      <c r="I421" s="201" t="s">
        <v>241</v>
      </c>
      <c r="J421" s="201">
        <f>IFERROR('Mail Merge'!$E421/'Mail Merge'!$D421,0)</f>
        <v>8834.2612369942199</v>
      </c>
      <c r="K421" s="201">
        <f>IFERROR('Mail Merge'!$F421/'Mail Merge'!$D421,0)</f>
        <v>1534.0589595375723</v>
      </c>
      <c r="L421" s="201">
        <f>IFERROR('Mail Merge'!$G421/'Mail Merge'!$D421,0)</f>
        <v>10368.320196531791</v>
      </c>
      <c r="M421" s="201">
        <v>0</v>
      </c>
      <c r="N421" s="201" t="s">
        <v>241</v>
      </c>
      <c r="O421" s="201">
        <v>1037551.75</v>
      </c>
      <c r="P421" s="201">
        <v>7404.96</v>
      </c>
      <c r="Q421" s="201">
        <f>'Mail Merge'!$O421+'Mail Merge'!$P421</f>
        <v>1044956.71</v>
      </c>
      <c r="R421" s="201"/>
      <c r="S421" s="201"/>
      <c r="T421" s="201"/>
      <c r="U421" s="201">
        <f>IF(AND('Mail Merge'!$I421="Did Not Meet",'Mail Merge'!$N421="Did Not Meet"),MIN(ABS('Mail Merge'!$H421),ABS('Mail Merge'!$M421),'Mail Merge'!$Q421),0)</f>
        <v>0</v>
      </c>
      <c r="V421" s="201" t="str">
        <f>IF(OR(IFERROR(SEARCH("Met",'Mail Merge'!$N421),0)&gt;0,IFERROR(SEARCH("Met",'Mail Merge'!$I421),0)&gt;0),"Met","Not Met")</f>
        <v>Met</v>
      </c>
    </row>
    <row r="422" spans="1:22" x14ac:dyDescent="0.35">
      <c r="A422" s="198" t="s">
        <v>47</v>
      </c>
      <c r="B422" s="199">
        <v>1972</v>
      </c>
      <c r="C422" s="199" t="s">
        <v>22</v>
      </c>
      <c r="D422" s="199">
        <v>50</v>
      </c>
      <c r="E422" s="199">
        <v>370591.66</v>
      </c>
      <c r="F422" s="199">
        <v>176022</v>
      </c>
      <c r="G422" s="199">
        <f>'Mail Merge'!$E422+'Mail Merge'!$F422</f>
        <v>546613.65999999992</v>
      </c>
      <c r="H422" s="199">
        <v>0</v>
      </c>
      <c r="I422" s="199" t="s">
        <v>242</v>
      </c>
      <c r="J422" s="199">
        <f>IFERROR('Mail Merge'!$E422/'Mail Merge'!$D422,0)</f>
        <v>7411.8331999999991</v>
      </c>
      <c r="K422" s="199">
        <f>IFERROR('Mail Merge'!$F422/'Mail Merge'!$D422,0)</f>
        <v>3520.44</v>
      </c>
      <c r="L422" s="199">
        <f>IFERROR('Mail Merge'!$G422/'Mail Merge'!$D422,0)</f>
        <v>10932.273199999998</v>
      </c>
      <c r="M422" s="199">
        <v>0</v>
      </c>
      <c r="N422" s="199" t="s">
        <v>241</v>
      </c>
      <c r="O422" s="199">
        <v>107072.49</v>
      </c>
      <c r="P422" s="199">
        <v>1123.32</v>
      </c>
      <c r="Q422" s="199">
        <f>'Mail Merge'!$O422+'Mail Merge'!$P422</f>
        <v>108195.81000000001</v>
      </c>
      <c r="R422" s="199"/>
      <c r="S422" s="199">
        <v>63021.18</v>
      </c>
      <c r="T422" s="199">
        <v>63021.18</v>
      </c>
      <c r="U422" s="199">
        <f>IF(AND('Mail Merge'!$I422="Did Not Meet",'Mail Merge'!$N422="Did Not Meet"),MIN(ABS('Mail Merge'!$H422),ABS('Mail Merge'!$M422),'Mail Merge'!$Q422),0)</f>
        <v>0</v>
      </c>
      <c r="V422" s="199" t="str">
        <f>IF(OR(IFERROR(SEARCH("Met",'Mail Merge'!$N422),0)&gt;0,IFERROR(SEARCH("Met",'Mail Merge'!$I422),0)&gt;0),"Met","Not Met")</f>
        <v>Met</v>
      </c>
    </row>
    <row r="423" spans="1:22" x14ac:dyDescent="0.35">
      <c r="A423" s="200" t="s">
        <v>48</v>
      </c>
      <c r="B423" s="201">
        <v>2105</v>
      </c>
      <c r="C423" s="201" t="s">
        <v>22</v>
      </c>
      <c r="D423" s="201">
        <v>102</v>
      </c>
      <c r="E423" s="201">
        <v>441241.83</v>
      </c>
      <c r="F423" s="201">
        <v>60758</v>
      </c>
      <c r="G423" s="201">
        <f>'Mail Merge'!$E423+'Mail Merge'!$F423</f>
        <v>501999.83</v>
      </c>
      <c r="H423" s="201">
        <v>0</v>
      </c>
      <c r="I423" s="201" t="s">
        <v>240</v>
      </c>
      <c r="J423" s="201">
        <f>IFERROR('Mail Merge'!$E423/'Mail Merge'!$D423,0)</f>
        <v>4325.9002941176468</v>
      </c>
      <c r="K423" s="201">
        <f>IFERROR('Mail Merge'!$F423/'Mail Merge'!$D423,0)</f>
        <v>595.66666666666663</v>
      </c>
      <c r="L423" s="201">
        <f>IFERROR('Mail Merge'!$G423/'Mail Merge'!$D423,0)</f>
        <v>4921.5669607843138</v>
      </c>
      <c r="M423" s="201">
        <v>0</v>
      </c>
      <c r="N423" s="201" t="s">
        <v>240</v>
      </c>
      <c r="O423" s="201">
        <v>106532.41</v>
      </c>
      <c r="P423" s="201">
        <v>1754.84</v>
      </c>
      <c r="Q423" s="201">
        <f>'Mail Merge'!$O423+'Mail Merge'!$P423</f>
        <v>108287.25</v>
      </c>
      <c r="R423" s="201"/>
      <c r="S423" s="201"/>
      <c r="T423" s="201"/>
      <c r="U423" s="201">
        <f>IF(AND('Mail Merge'!$I423="Did Not Meet",'Mail Merge'!$N423="Did Not Meet"),MIN(ABS('Mail Merge'!$H423),ABS('Mail Merge'!$M423),'Mail Merge'!$Q423),0)</f>
        <v>0</v>
      </c>
      <c r="V423" s="201" t="str">
        <f>IF(OR(IFERROR(SEARCH("Met",'Mail Merge'!$N423),0)&gt;0,IFERROR(SEARCH("Met",'Mail Merge'!$I423),0)&gt;0),"Met","Not Met")</f>
        <v>Not Met</v>
      </c>
    </row>
    <row r="424" spans="1:22" x14ac:dyDescent="0.35">
      <c r="A424" s="198" t="s">
        <v>49</v>
      </c>
      <c r="B424" s="199">
        <v>2042</v>
      </c>
      <c r="C424" s="199" t="s">
        <v>22</v>
      </c>
      <c r="D424" s="199">
        <v>613</v>
      </c>
      <c r="E424" s="199">
        <v>3412967.38</v>
      </c>
      <c r="F424" s="199">
        <v>1057399.01</v>
      </c>
      <c r="G424" s="199">
        <f>'Mail Merge'!$E424+'Mail Merge'!$F424</f>
        <v>4470366.3899999997</v>
      </c>
      <c r="H424" s="199">
        <v>0</v>
      </c>
      <c r="I424" s="199" t="s">
        <v>241</v>
      </c>
      <c r="J424" s="199">
        <f>IFERROR('Mail Merge'!$E424/'Mail Merge'!$D424,0)</f>
        <v>5567.6466231647637</v>
      </c>
      <c r="K424" s="199">
        <f>IFERROR('Mail Merge'!$F424/'Mail Merge'!$D424,0)</f>
        <v>1724.9576019575857</v>
      </c>
      <c r="L424" s="199">
        <f>IFERROR('Mail Merge'!$G424/'Mail Merge'!$D424,0)</f>
        <v>7292.6042251223489</v>
      </c>
      <c r="M424" s="199">
        <v>0</v>
      </c>
      <c r="N424" s="199" t="s">
        <v>241</v>
      </c>
      <c r="O424" s="199">
        <v>689069.29</v>
      </c>
      <c r="P424" s="199">
        <v>9248.23</v>
      </c>
      <c r="Q424" s="199">
        <f>'Mail Merge'!$O424+'Mail Merge'!$P424</f>
        <v>698317.52</v>
      </c>
      <c r="R424" s="199"/>
      <c r="S424" s="199"/>
      <c r="T424" s="199"/>
      <c r="U424" s="199">
        <f>IF(AND('Mail Merge'!$I424="Did Not Meet",'Mail Merge'!$N424="Did Not Meet"),MIN(ABS('Mail Merge'!$H424),ABS('Mail Merge'!$M424),'Mail Merge'!$Q424),0)</f>
        <v>0</v>
      </c>
      <c r="V424" s="199" t="str">
        <f>IF(OR(IFERROR(SEARCH("Met",'Mail Merge'!$N424),0)&gt;0,IFERROR(SEARCH("Met",'Mail Merge'!$I424),0)&gt;0),"Met","Not Met")</f>
        <v>Met</v>
      </c>
    </row>
    <row r="425" spans="1:22" x14ac:dyDescent="0.35">
      <c r="A425" s="200" t="s">
        <v>50</v>
      </c>
      <c r="B425" s="201">
        <v>2191</v>
      </c>
      <c r="C425" s="201" t="s">
        <v>22</v>
      </c>
      <c r="D425" s="201">
        <v>341</v>
      </c>
      <c r="E425" s="201">
        <v>4127688.32</v>
      </c>
      <c r="F425" s="201">
        <v>356412.91</v>
      </c>
      <c r="G425" s="201">
        <f>'Mail Merge'!$E425+'Mail Merge'!$F425</f>
        <v>4484101.2299999995</v>
      </c>
      <c r="H425" s="201">
        <v>0</v>
      </c>
      <c r="I425" s="201" t="s">
        <v>241</v>
      </c>
      <c r="J425" s="201">
        <f>IFERROR('Mail Merge'!$E425/'Mail Merge'!$D425,0)</f>
        <v>12104.657829912023</v>
      </c>
      <c r="K425" s="201">
        <f>IFERROR('Mail Merge'!$F425/'Mail Merge'!$D425,0)</f>
        <v>1045.1991495601171</v>
      </c>
      <c r="L425" s="201">
        <f>IFERROR('Mail Merge'!$G425/'Mail Merge'!$D425,0)</f>
        <v>13149.856979472139</v>
      </c>
      <c r="M425" s="201">
        <v>0</v>
      </c>
      <c r="N425" s="201" t="s">
        <v>241</v>
      </c>
      <c r="O425" s="201">
        <v>424439.12</v>
      </c>
      <c r="P425" s="201">
        <v>4406.7</v>
      </c>
      <c r="Q425" s="201">
        <f>'Mail Merge'!$O425+'Mail Merge'!$P425</f>
        <v>428845.82</v>
      </c>
      <c r="R425" s="201"/>
      <c r="S425" s="201"/>
      <c r="T425" s="201"/>
      <c r="U425" s="201">
        <f>IF(AND('Mail Merge'!$I425="Did Not Meet",'Mail Merge'!$N425="Did Not Meet"),MIN(ABS('Mail Merge'!$H425),ABS('Mail Merge'!$M425),'Mail Merge'!$Q425),0)</f>
        <v>0</v>
      </c>
      <c r="V425" s="201" t="str">
        <f>IF(OR(IFERROR(SEARCH("Met",'Mail Merge'!$N425),0)&gt;0,IFERROR(SEARCH("Met",'Mail Merge'!$I425),0)&gt;0),"Met","Not Met")</f>
        <v>Met</v>
      </c>
    </row>
    <row r="426" spans="1:22" x14ac:dyDescent="0.35">
      <c r="A426" s="198" t="s">
        <v>51</v>
      </c>
      <c r="B426" s="199">
        <v>1945</v>
      </c>
      <c r="C426" s="199" t="s">
        <v>22</v>
      </c>
      <c r="D426" s="199">
        <v>114</v>
      </c>
      <c r="E426" s="199">
        <v>975262.97</v>
      </c>
      <c r="F426" s="199">
        <v>195168</v>
      </c>
      <c r="G426" s="199">
        <f>'Mail Merge'!$E426+'Mail Merge'!$F426</f>
        <v>1170430.97</v>
      </c>
      <c r="H426" s="199">
        <v>0</v>
      </c>
      <c r="I426" s="199" t="s">
        <v>241</v>
      </c>
      <c r="J426" s="199">
        <f>IFERROR('Mail Merge'!$E426/'Mail Merge'!$D426,0)</f>
        <v>8554.9383333333335</v>
      </c>
      <c r="K426" s="199">
        <f>IFERROR('Mail Merge'!$F426/'Mail Merge'!$D426,0)</f>
        <v>1712</v>
      </c>
      <c r="L426" s="199">
        <f>IFERROR('Mail Merge'!$G426/'Mail Merge'!$D426,0)</f>
        <v>10266.938333333334</v>
      </c>
      <c r="M426" s="199">
        <v>0</v>
      </c>
      <c r="N426" s="199" t="s">
        <v>240</v>
      </c>
      <c r="O426" s="199">
        <v>131755.78</v>
      </c>
      <c r="P426" s="199">
        <v>3527.26</v>
      </c>
      <c r="Q426" s="199">
        <f>'Mail Merge'!$O426+'Mail Merge'!$P426</f>
        <v>135283.04</v>
      </c>
      <c r="R426" s="199"/>
      <c r="S426" s="199"/>
      <c r="T426" s="199"/>
      <c r="U426" s="199">
        <f>IF(AND('Mail Merge'!$I426="Did Not Meet",'Mail Merge'!$N426="Did Not Meet"),MIN(ABS('Mail Merge'!$H426),ABS('Mail Merge'!$M426),'Mail Merge'!$Q426),0)</f>
        <v>0</v>
      </c>
      <c r="V426" s="199" t="str">
        <f>IF(OR(IFERROR(SEARCH("Met",'Mail Merge'!$N426),0)&gt;0,IFERROR(SEARCH("Met",'Mail Merge'!$I426),0)&gt;0),"Met","Not Met")</f>
        <v>Met</v>
      </c>
    </row>
    <row r="427" spans="1:22" x14ac:dyDescent="0.35">
      <c r="A427" s="200" t="s">
        <v>52</v>
      </c>
      <c r="B427" s="201">
        <v>1927</v>
      </c>
      <c r="C427" s="201" t="s">
        <v>22</v>
      </c>
      <c r="D427" s="201">
        <v>76</v>
      </c>
      <c r="E427" s="201">
        <v>599485.42000000004</v>
      </c>
      <c r="F427" s="201">
        <v>304825</v>
      </c>
      <c r="G427" s="201">
        <f>'Mail Merge'!$E427+'Mail Merge'!$F427</f>
        <v>904310.42</v>
      </c>
      <c r="H427" s="201">
        <v>0</v>
      </c>
      <c r="I427" s="201" t="s">
        <v>241</v>
      </c>
      <c r="J427" s="201">
        <f>IFERROR('Mail Merge'!$E427/'Mail Merge'!$D427,0)</f>
        <v>7887.9660526315793</v>
      </c>
      <c r="K427" s="201">
        <f>IFERROR('Mail Merge'!$F427/'Mail Merge'!$D427,0)</f>
        <v>4010.8552631578946</v>
      </c>
      <c r="L427" s="201">
        <f>IFERROR('Mail Merge'!$G427/'Mail Merge'!$D427,0)</f>
        <v>11898.821315789473</v>
      </c>
      <c r="M427" s="201">
        <v>0</v>
      </c>
      <c r="N427" s="201" t="s">
        <v>241</v>
      </c>
      <c r="O427" s="201">
        <v>118930.62</v>
      </c>
      <c r="P427" s="201">
        <v>2023.01</v>
      </c>
      <c r="Q427" s="201">
        <f>'Mail Merge'!$O427+'Mail Merge'!$P427</f>
        <v>120953.62999999999</v>
      </c>
      <c r="R427" s="201"/>
      <c r="S427" s="201"/>
      <c r="T427" s="201"/>
      <c r="U427" s="201">
        <f>IF(AND('Mail Merge'!$I427="Did Not Meet",'Mail Merge'!$N427="Did Not Meet"),MIN(ABS('Mail Merge'!$H427),ABS('Mail Merge'!$M427),'Mail Merge'!$Q427),0)</f>
        <v>0</v>
      </c>
      <c r="V427" s="201" t="str">
        <f>IF(OR(IFERROR(SEARCH("Met",'Mail Merge'!$N427),0)&gt;0,IFERROR(SEARCH("Met",'Mail Merge'!$I427),0)&gt;0),"Met","Not Met")</f>
        <v>Met</v>
      </c>
    </row>
    <row r="428" spans="1:22" x14ac:dyDescent="0.35">
      <c r="A428" s="198" t="s">
        <v>53</v>
      </c>
      <c r="B428" s="199">
        <v>2006</v>
      </c>
      <c r="C428" s="199" t="s">
        <v>22</v>
      </c>
      <c r="D428" s="199">
        <v>18</v>
      </c>
      <c r="E428" s="199">
        <v>17193.62</v>
      </c>
      <c r="F428" s="199">
        <v>127362</v>
      </c>
      <c r="G428" s="199">
        <f>'Mail Merge'!$E428+'Mail Merge'!$F428</f>
        <v>144555.62</v>
      </c>
      <c r="H428" s="199">
        <v>0</v>
      </c>
      <c r="I428" s="199" t="s">
        <v>241</v>
      </c>
      <c r="J428" s="199">
        <f>IFERROR('Mail Merge'!$E428/'Mail Merge'!$D428,0)</f>
        <v>955.201111111111</v>
      </c>
      <c r="K428" s="199">
        <f>IFERROR('Mail Merge'!$F428/'Mail Merge'!$D428,0)</f>
        <v>7075.666666666667</v>
      </c>
      <c r="L428" s="199">
        <f>IFERROR('Mail Merge'!$G428/'Mail Merge'!$D428,0)</f>
        <v>8030.8677777777775</v>
      </c>
      <c r="M428" s="199">
        <v>0</v>
      </c>
      <c r="N428" s="199" t="s">
        <v>241</v>
      </c>
      <c r="O428" s="199">
        <v>26564.14</v>
      </c>
      <c r="P428" s="199">
        <v>12.18</v>
      </c>
      <c r="Q428" s="199">
        <f>'Mail Merge'!$O428+'Mail Merge'!$P428</f>
        <v>26576.32</v>
      </c>
      <c r="R428" s="199"/>
      <c r="S428" s="199"/>
      <c r="T428" s="199"/>
      <c r="U428" s="199">
        <f>IF(AND('Mail Merge'!$I428="Did Not Meet",'Mail Merge'!$N428="Did Not Meet"),MIN(ABS('Mail Merge'!$H428),ABS('Mail Merge'!$M428),'Mail Merge'!$Q428),0)</f>
        <v>0</v>
      </c>
      <c r="V428" s="199" t="str">
        <f>IF(OR(IFERROR(SEARCH("Met",'Mail Merge'!$N428),0)&gt;0,IFERROR(SEARCH("Met",'Mail Merge'!$I428),0)&gt;0),"Met","Not Met")</f>
        <v>Met</v>
      </c>
    </row>
    <row r="429" spans="1:22" x14ac:dyDescent="0.35">
      <c r="A429" s="200" t="s">
        <v>54</v>
      </c>
      <c r="B429" s="201">
        <v>1965</v>
      </c>
      <c r="C429" s="201" t="s">
        <v>22</v>
      </c>
      <c r="D429" s="201">
        <v>470</v>
      </c>
      <c r="E429" s="201">
        <v>3190534.7</v>
      </c>
      <c r="F429" s="201">
        <v>1383621</v>
      </c>
      <c r="G429" s="201">
        <f>'Mail Merge'!$E429+'Mail Merge'!$F429</f>
        <v>4574155.7</v>
      </c>
      <c r="H429" s="201">
        <v>0</v>
      </c>
      <c r="I429" s="201" t="s">
        <v>242</v>
      </c>
      <c r="J429" s="201">
        <f>IFERROR('Mail Merge'!$E429/'Mail Merge'!$D429,0)</f>
        <v>6788.3717021276598</v>
      </c>
      <c r="K429" s="201">
        <f>IFERROR('Mail Merge'!$F429/'Mail Merge'!$D429,0)</f>
        <v>2943.8744680851064</v>
      </c>
      <c r="L429" s="201">
        <f>IFERROR('Mail Merge'!$G429/'Mail Merge'!$D429,0)</f>
        <v>9732.2461702127657</v>
      </c>
      <c r="M429" s="201">
        <v>0</v>
      </c>
      <c r="N429" s="201" t="s">
        <v>241</v>
      </c>
      <c r="O429" s="201">
        <v>657954.71</v>
      </c>
      <c r="P429" s="201">
        <v>7854.07</v>
      </c>
      <c r="Q429" s="201">
        <f>'Mail Merge'!$O429+'Mail Merge'!$P429</f>
        <v>665808.77999999991</v>
      </c>
      <c r="R429" s="201"/>
      <c r="S429" s="201">
        <v>319967.44</v>
      </c>
      <c r="T429" s="201">
        <v>319967.44</v>
      </c>
      <c r="U429" s="201">
        <f>IF(AND('Mail Merge'!$I429="Did Not Meet",'Mail Merge'!$N429="Did Not Meet"),MIN(ABS('Mail Merge'!$H429),ABS('Mail Merge'!$M429),'Mail Merge'!$Q429),0)</f>
        <v>0</v>
      </c>
      <c r="V429" s="201" t="str">
        <f>IF(OR(IFERROR(SEARCH("Met",'Mail Merge'!$N429),0)&gt;0,IFERROR(SEARCH("Met",'Mail Merge'!$I429),0)&gt;0),"Met","Not Met")</f>
        <v>Met</v>
      </c>
    </row>
    <row r="430" spans="1:22" x14ac:dyDescent="0.35">
      <c r="A430" s="198" t="s">
        <v>55</v>
      </c>
      <c r="B430" s="199">
        <v>1964</v>
      </c>
      <c r="C430" s="199" t="s">
        <v>22</v>
      </c>
      <c r="D430" s="199">
        <v>119</v>
      </c>
      <c r="E430" s="199">
        <v>405231.1</v>
      </c>
      <c r="F430" s="199">
        <v>671839</v>
      </c>
      <c r="G430" s="199">
        <f>'Mail Merge'!$E430+'Mail Merge'!$F430</f>
        <v>1077070.1000000001</v>
      </c>
      <c r="H430" s="199">
        <v>0</v>
      </c>
      <c r="I430" s="199" t="s">
        <v>241</v>
      </c>
      <c r="J430" s="199">
        <f>IFERROR('Mail Merge'!$E430/'Mail Merge'!$D430,0)</f>
        <v>3405.3033613445377</v>
      </c>
      <c r="K430" s="199">
        <f>IFERROR('Mail Merge'!$F430/'Mail Merge'!$D430,0)</f>
        <v>5645.7058823529414</v>
      </c>
      <c r="L430" s="199">
        <f>IFERROR('Mail Merge'!$G430/'Mail Merge'!$D430,0)</f>
        <v>9051.0092436974792</v>
      </c>
      <c r="M430" s="199">
        <v>0</v>
      </c>
      <c r="N430" s="199" t="s">
        <v>241</v>
      </c>
      <c r="O430" s="199">
        <v>162351.92000000001</v>
      </c>
      <c r="P430" s="199">
        <v>2405.85</v>
      </c>
      <c r="Q430" s="199">
        <f>'Mail Merge'!$O430+'Mail Merge'!$P430</f>
        <v>164757.77000000002</v>
      </c>
      <c r="R430" s="199"/>
      <c r="S430" s="199"/>
      <c r="T430" s="199"/>
      <c r="U430" s="199">
        <f>IF(AND('Mail Merge'!$I430="Did Not Meet",'Mail Merge'!$N430="Did Not Meet"),MIN(ABS('Mail Merge'!$H430),ABS('Mail Merge'!$M430),'Mail Merge'!$Q430),0)</f>
        <v>0</v>
      </c>
      <c r="V430" s="199" t="str">
        <f>IF(OR(IFERROR(SEARCH("Met",'Mail Merge'!$N430),0)&gt;0,IFERROR(SEARCH("Met",'Mail Merge'!$I430),0)&gt;0),"Met","Not Met")</f>
        <v>Met</v>
      </c>
    </row>
    <row r="431" spans="1:22" x14ac:dyDescent="0.35">
      <c r="A431" s="200" t="s">
        <v>56</v>
      </c>
      <c r="B431" s="201">
        <v>2186</v>
      </c>
      <c r="C431" s="201" t="s">
        <v>22</v>
      </c>
      <c r="D431" s="201">
        <v>87</v>
      </c>
      <c r="E431" s="201">
        <v>517899.04</v>
      </c>
      <c r="F431" s="201">
        <v>383845</v>
      </c>
      <c r="G431" s="201">
        <f>'Mail Merge'!$E431+'Mail Merge'!$F431</f>
        <v>901744.04</v>
      </c>
      <c r="H431" s="201">
        <v>0</v>
      </c>
      <c r="I431" s="201" t="s">
        <v>241</v>
      </c>
      <c r="J431" s="201">
        <f>IFERROR('Mail Merge'!$E431/'Mail Merge'!$D431,0)</f>
        <v>5952.8625287356317</v>
      </c>
      <c r="K431" s="201">
        <f>IFERROR('Mail Merge'!$F431/'Mail Merge'!$D431,0)</f>
        <v>4412.0114942528735</v>
      </c>
      <c r="L431" s="201">
        <f>IFERROR('Mail Merge'!$G431/'Mail Merge'!$D431,0)</f>
        <v>10364.874022988506</v>
      </c>
      <c r="M431" s="201">
        <v>0</v>
      </c>
      <c r="N431" s="201" t="s">
        <v>240</v>
      </c>
      <c r="O431" s="201">
        <v>145422.07</v>
      </c>
      <c r="P431" s="201">
        <v>2220.7399999999998</v>
      </c>
      <c r="Q431" s="201">
        <f>'Mail Merge'!$O431+'Mail Merge'!$P431</f>
        <v>147642.81</v>
      </c>
      <c r="R431" s="201"/>
      <c r="S431" s="201"/>
      <c r="T431" s="201"/>
      <c r="U431" s="201">
        <f>IF(AND('Mail Merge'!$I431="Did Not Meet",'Mail Merge'!$N431="Did Not Meet"),MIN(ABS('Mail Merge'!$H431),ABS('Mail Merge'!$M431),'Mail Merge'!$Q431),0)</f>
        <v>0</v>
      </c>
      <c r="V431" s="201" t="str">
        <f>IF(OR(IFERROR(SEARCH("Met",'Mail Merge'!$N431),0)&gt;0,IFERROR(SEARCH("Met",'Mail Merge'!$I431),0)&gt;0),"Met","Not Met")</f>
        <v>Met</v>
      </c>
    </row>
    <row r="432" spans="1:22" x14ac:dyDescent="0.35">
      <c r="A432" s="198" t="s">
        <v>58</v>
      </c>
      <c r="B432" s="199">
        <v>1901</v>
      </c>
      <c r="C432" s="199" t="s">
        <v>22</v>
      </c>
      <c r="D432" s="199">
        <v>660</v>
      </c>
      <c r="E432" s="199">
        <v>6037665.3300000001</v>
      </c>
      <c r="F432" s="199">
        <v>610368</v>
      </c>
      <c r="G432" s="199">
        <f>'Mail Merge'!$E432+'Mail Merge'!$F432</f>
        <v>6648033.3300000001</v>
      </c>
      <c r="H432" s="199">
        <v>0</v>
      </c>
      <c r="I432" s="199" t="s">
        <v>241</v>
      </c>
      <c r="J432" s="199">
        <f>IFERROR('Mail Merge'!$E432/'Mail Merge'!$D432,0)</f>
        <v>9147.9777727272722</v>
      </c>
      <c r="K432" s="199">
        <f>IFERROR('Mail Merge'!$F432/'Mail Merge'!$D432,0)</f>
        <v>924.8</v>
      </c>
      <c r="L432" s="199">
        <f>IFERROR('Mail Merge'!$G432/'Mail Merge'!$D432,0)</f>
        <v>10072.777772727273</v>
      </c>
      <c r="M432" s="199">
        <v>0</v>
      </c>
      <c r="N432" s="199" t="s">
        <v>240</v>
      </c>
      <c r="O432" s="199">
        <v>986625.46</v>
      </c>
      <c r="P432" s="199">
        <v>9484.48</v>
      </c>
      <c r="Q432" s="199">
        <f>'Mail Merge'!$O432+'Mail Merge'!$P432</f>
        <v>996109.94</v>
      </c>
      <c r="R432" s="199"/>
      <c r="S432" s="199"/>
      <c r="T432" s="199"/>
      <c r="U432" s="199">
        <f>IF(AND('Mail Merge'!$I432="Did Not Meet",'Mail Merge'!$N432="Did Not Meet"),MIN(ABS('Mail Merge'!$H432),ABS('Mail Merge'!$M432),'Mail Merge'!$Q432),0)</f>
        <v>0</v>
      </c>
      <c r="V432" s="199" t="str">
        <f>IF(OR(IFERROR(SEARCH("Met",'Mail Merge'!$N432),0)&gt;0,IFERROR(SEARCH("Met",'Mail Merge'!$I432),0)&gt;0),"Met","Not Met")</f>
        <v>Met</v>
      </c>
    </row>
    <row r="433" spans="1:22" x14ac:dyDescent="0.35">
      <c r="A433" s="200" t="s">
        <v>59</v>
      </c>
      <c r="B433" s="201">
        <v>2216</v>
      </c>
      <c r="C433" s="201" t="s">
        <v>22</v>
      </c>
      <c r="D433" s="201">
        <v>27</v>
      </c>
      <c r="E433" s="201">
        <v>133104.24</v>
      </c>
      <c r="F433" s="201">
        <v>42954.61</v>
      </c>
      <c r="G433" s="201">
        <f>'Mail Merge'!$E433+'Mail Merge'!$F433</f>
        <v>176058.84999999998</v>
      </c>
      <c r="H433" s="201">
        <v>0</v>
      </c>
      <c r="I433" s="201" t="s">
        <v>242</v>
      </c>
      <c r="J433" s="201">
        <f>IFERROR('Mail Merge'!$E433/'Mail Merge'!$D433,0)</f>
        <v>4929.786666666666</v>
      </c>
      <c r="K433" s="201">
        <f>IFERROR('Mail Merge'!$F433/'Mail Merge'!$D433,0)</f>
        <v>1590.9114814814816</v>
      </c>
      <c r="L433" s="201">
        <f>IFERROR('Mail Merge'!$G433/'Mail Merge'!$D433,0)</f>
        <v>6520.6981481481471</v>
      </c>
      <c r="M433" s="201">
        <v>0</v>
      </c>
      <c r="N433" s="201" t="s">
        <v>240</v>
      </c>
      <c r="O433" s="201">
        <v>44708.95</v>
      </c>
      <c r="P433" s="201">
        <v>1480.41</v>
      </c>
      <c r="Q433" s="201">
        <f>'Mail Merge'!$O433+'Mail Merge'!$P433</f>
        <v>46189.36</v>
      </c>
      <c r="R433" s="201"/>
      <c r="S433" s="201">
        <v>25879.69</v>
      </c>
      <c r="T433" s="201"/>
      <c r="U433" s="201">
        <f>IF(AND('Mail Merge'!$I433="Did Not Meet",'Mail Merge'!$N433="Did Not Meet"),MIN(ABS('Mail Merge'!$H433),ABS('Mail Merge'!$M433),'Mail Merge'!$Q433),0)</f>
        <v>0</v>
      </c>
      <c r="V433" s="201" t="str">
        <f>IF(OR(IFERROR(SEARCH("Met",'Mail Merge'!$N433),0)&gt;0,IFERROR(SEARCH("Met",'Mail Merge'!$I433),0)&gt;0),"Met","Not Met")</f>
        <v>Met</v>
      </c>
    </row>
    <row r="434" spans="1:22" x14ac:dyDescent="0.35">
      <c r="A434" s="198" t="s">
        <v>60</v>
      </c>
      <c r="B434" s="199">
        <v>2086</v>
      </c>
      <c r="C434" s="199" t="s">
        <v>22</v>
      </c>
      <c r="D434" s="199">
        <v>248</v>
      </c>
      <c r="E434" s="199">
        <v>1662151.74</v>
      </c>
      <c r="F434" s="199">
        <v>682001</v>
      </c>
      <c r="G434" s="199">
        <f>'Mail Merge'!$E434+'Mail Merge'!$F434</f>
        <v>2344152.7400000002</v>
      </c>
      <c r="H434" s="199">
        <v>0</v>
      </c>
      <c r="I434" s="199" t="s">
        <v>241</v>
      </c>
      <c r="J434" s="199">
        <f>IFERROR('Mail Merge'!$E434/'Mail Merge'!$D434,0)</f>
        <v>6702.2247580645162</v>
      </c>
      <c r="K434" s="199">
        <f>IFERROR('Mail Merge'!$F434/'Mail Merge'!$D434,0)</f>
        <v>2750.0040322580644</v>
      </c>
      <c r="L434" s="199">
        <f>IFERROR('Mail Merge'!$G434/'Mail Merge'!$D434,0)</f>
        <v>9452.2287903225824</v>
      </c>
      <c r="M434" s="199">
        <v>0</v>
      </c>
      <c r="N434" s="199" t="s">
        <v>240</v>
      </c>
      <c r="O434" s="199">
        <v>216878.57</v>
      </c>
      <c r="P434" s="199">
        <v>1572.01</v>
      </c>
      <c r="Q434" s="199">
        <f>'Mail Merge'!$O434+'Mail Merge'!$P434</f>
        <v>218450.58000000002</v>
      </c>
      <c r="R434" s="199"/>
      <c r="S434" s="199"/>
      <c r="T434" s="199"/>
      <c r="U434" s="199">
        <f>IF(AND('Mail Merge'!$I434="Did Not Meet",'Mail Merge'!$N434="Did Not Meet"),MIN(ABS('Mail Merge'!$H434),ABS('Mail Merge'!$M434),'Mail Merge'!$Q434),0)</f>
        <v>0</v>
      </c>
      <c r="V434" s="199" t="str">
        <f>IF(OR(IFERROR(SEARCH("Met",'Mail Merge'!$N434),0)&gt;0,IFERROR(SEARCH("Met",'Mail Merge'!$I434),0)&gt;0),"Met","Not Met")</f>
        <v>Met</v>
      </c>
    </row>
    <row r="435" spans="1:22" x14ac:dyDescent="0.35">
      <c r="A435" s="200" t="s">
        <v>61</v>
      </c>
      <c r="B435" s="201">
        <v>1970</v>
      </c>
      <c r="C435" s="201" t="s">
        <v>22</v>
      </c>
      <c r="D435" s="201">
        <v>421</v>
      </c>
      <c r="E435" s="201">
        <v>3083167.27</v>
      </c>
      <c r="F435" s="201">
        <v>166750.51999999999</v>
      </c>
      <c r="G435" s="201">
        <f>'Mail Merge'!$E435+'Mail Merge'!$F435</f>
        <v>3249917.79</v>
      </c>
      <c r="H435" s="201">
        <v>0</v>
      </c>
      <c r="I435" s="201" t="s">
        <v>241</v>
      </c>
      <c r="J435" s="201">
        <f>IFERROR('Mail Merge'!$E435/'Mail Merge'!$D435,0)</f>
        <v>7323.4376959619949</v>
      </c>
      <c r="K435" s="201">
        <f>IFERROR('Mail Merge'!$F435/'Mail Merge'!$D435,0)</f>
        <v>396.08199524940613</v>
      </c>
      <c r="L435" s="201">
        <f>IFERROR('Mail Merge'!$G435/'Mail Merge'!$D435,0)</f>
        <v>7719.5196912114016</v>
      </c>
      <c r="M435" s="201">
        <v>0</v>
      </c>
      <c r="N435" s="201" t="s">
        <v>240</v>
      </c>
      <c r="O435" s="201">
        <v>552716.67000000004</v>
      </c>
      <c r="P435" s="201">
        <v>5416.29</v>
      </c>
      <c r="Q435" s="201">
        <f>'Mail Merge'!$O435+'Mail Merge'!$P435</f>
        <v>558132.96000000008</v>
      </c>
      <c r="R435" s="201"/>
      <c r="S435" s="201"/>
      <c r="T435" s="201"/>
      <c r="U435" s="201">
        <f>IF(AND('Mail Merge'!$I435="Did Not Meet",'Mail Merge'!$N435="Did Not Meet"),MIN(ABS('Mail Merge'!$H435),ABS('Mail Merge'!$M435),'Mail Merge'!$Q435),0)</f>
        <v>0</v>
      </c>
      <c r="V435" s="201" t="str">
        <f>IF(OR(IFERROR(SEARCH("Met",'Mail Merge'!$N435),0)&gt;0,IFERROR(SEARCH("Met",'Mail Merge'!$I435),0)&gt;0),"Met","Not Met")</f>
        <v>Met</v>
      </c>
    </row>
    <row r="436" spans="1:22" x14ac:dyDescent="0.35">
      <c r="A436" s="198" t="s">
        <v>62</v>
      </c>
      <c r="B436" s="199">
        <v>2089</v>
      </c>
      <c r="C436" s="199" t="s">
        <v>22</v>
      </c>
      <c r="D436" s="199">
        <v>54</v>
      </c>
      <c r="E436" s="199">
        <v>447854.09</v>
      </c>
      <c r="F436" s="199">
        <v>118119</v>
      </c>
      <c r="G436" s="199">
        <f>'Mail Merge'!$E436+'Mail Merge'!$F436</f>
        <v>565973.09000000008</v>
      </c>
      <c r="H436" s="199">
        <v>0</v>
      </c>
      <c r="I436" s="199" t="s">
        <v>241</v>
      </c>
      <c r="J436" s="199">
        <f>IFERROR('Mail Merge'!$E436/'Mail Merge'!$D436,0)</f>
        <v>8293.5942592592601</v>
      </c>
      <c r="K436" s="199">
        <f>IFERROR('Mail Merge'!$F436/'Mail Merge'!$D436,0)</f>
        <v>2187.3888888888887</v>
      </c>
      <c r="L436" s="199">
        <f>IFERROR('Mail Merge'!$G436/'Mail Merge'!$D436,0)</f>
        <v>10480.983148148151</v>
      </c>
      <c r="M436" s="199">
        <v>0</v>
      </c>
      <c r="N436" s="199" t="s">
        <v>240</v>
      </c>
      <c r="O436" s="199">
        <v>60904.68</v>
      </c>
      <c r="P436" s="199">
        <v>247.28</v>
      </c>
      <c r="Q436" s="199">
        <f>'Mail Merge'!$O436+'Mail Merge'!$P436</f>
        <v>61151.96</v>
      </c>
      <c r="R436" s="199"/>
      <c r="S436" s="199"/>
      <c r="T436" s="199"/>
      <c r="U436" s="199">
        <f>IF(AND('Mail Merge'!$I436="Did Not Meet",'Mail Merge'!$N436="Did Not Meet"),MIN(ABS('Mail Merge'!$H436),ABS('Mail Merge'!$M436),'Mail Merge'!$Q436),0)</f>
        <v>0</v>
      </c>
      <c r="V436" s="199" t="str">
        <f>IF(OR(IFERROR(SEARCH("Met",'Mail Merge'!$N436),0)&gt;0,IFERROR(SEARCH("Met",'Mail Merge'!$I436),0)&gt;0),"Met","Not Met")</f>
        <v>Met</v>
      </c>
    </row>
    <row r="437" spans="1:22" x14ac:dyDescent="0.35">
      <c r="A437" s="200" t="s">
        <v>63</v>
      </c>
      <c r="B437" s="201">
        <v>2050</v>
      </c>
      <c r="C437" s="201" t="s">
        <v>22</v>
      </c>
      <c r="D437" s="201">
        <v>75</v>
      </c>
      <c r="E437" s="201">
        <v>525550.56000000006</v>
      </c>
      <c r="F437" s="201">
        <v>196386.84</v>
      </c>
      <c r="G437" s="201">
        <f>'Mail Merge'!$E437+'Mail Merge'!$F437</f>
        <v>721937.4</v>
      </c>
      <c r="H437" s="201">
        <v>0</v>
      </c>
      <c r="I437" s="201" t="s">
        <v>241</v>
      </c>
      <c r="J437" s="201">
        <f>IFERROR('Mail Merge'!$E437/'Mail Merge'!$D437,0)</f>
        <v>7007.3408000000009</v>
      </c>
      <c r="K437" s="201">
        <f>IFERROR('Mail Merge'!$F437/'Mail Merge'!$D437,0)</f>
        <v>2618.4911999999999</v>
      </c>
      <c r="L437" s="201">
        <f>IFERROR('Mail Merge'!$G437/'Mail Merge'!$D437,0)</f>
        <v>9625.8320000000003</v>
      </c>
      <c r="M437" s="201">
        <v>0</v>
      </c>
      <c r="N437" s="201" t="s">
        <v>240</v>
      </c>
      <c r="O437" s="201">
        <v>114777.14</v>
      </c>
      <c r="P437" s="201">
        <v>3944.54</v>
      </c>
      <c r="Q437" s="201">
        <f>'Mail Merge'!$O437+'Mail Merge'!$P437</f>
        <v>118721.68</v>
      </c>
      <c r="R437" s="201"/>
      <c r="S437" s="201"/>
      <c r="T437" s="201"/>
      <c r="U437" s="201">
        <f>IF(AND('Mail Merge'!$I437="Did Not Meet",'Mail Merge'!$N437="Did Not Meet"),MIN(ABS('Mail Merge'!$H437),ABS('Mail Merge'!$M437),'Mail Merge'!$Q437),0)</f>
        <v>0</v>
      </c>
      <c r="V437" s="201" t="str">
        <f>IF(OR(IFERROR(SEARCH("Met",'Mail Merge'!$N437),0)&gt;0,IFERROR(SEARCH("Met",'Mail Merge'!$I437),0)&gt;0),"Met","Not Met")</f>
        <v>Met</v>
      </c>
    </row>
    <row r="438" spans="1:22" x14ac:dyDescent="0.35">
      <c r="A438" s="198" t="s">
        <v>64</v>
      </c>
      <c r="B438" s="199">
        <v>2190</v>
      </c>
      <c r="C438" s="199" t="s">
        <v>22</v>
      </c>
      <c r="D438" s="199">
        <v>423</v>
      </c>
      <c r="E438" s="199">
        <v>3467288.27</v>
      </c>
      <c r="F438" s="199">
        <v>254493.98</v>
      </c>
      <c r="G438" s="199">
        <f>'Mail Merge'!$E438+'Mail Merge'!$F438</f>
        <v>3721782.25</v>
      </c>
      <c r="H438" s="199">
        <v>0</v>
      </c>
      <c r="I438" s="199" t="s">
        <v>242</v>
      </c>
      <c r="J438" s="199">
        <f>IFERROR('Mail Merge'!$E438/'Mail Merge'!$D438,0)</f>
        <v>8196.898983451536</v>
      </c>
      <c r="K438" s="199">
        <f>IFERROR('Mail Merge'!$F438/'Mail Merge'!$D438,0)</f>
        <v>601.64061465721045</v>
      </c>
      <c r="L438" s="199">
        <f>IFERROR('Mail Merge'!$G438/'Mail Merge'!$D438,0)</f>
        <v>8798.5395981087477</v>
      </c>
      <c r="M438" s="199">
        <v>0</v>
      </c>
      <c r="N438" s="199" t="s">
        <v>241</v>
      </c>
      <c r="O438" s="199">
        <v>472314.06</v>
      </c>
      <c r="P438" s="199">
        <v>5522.91</v>
      </c>
      <c r="Q438" s="199">
        <f>'Mail Merge'!$O438+'Mail Merge'!$P438</f>
        <v>477836.97</v>
      </c>
      <c r="R438" s="199"/>
      <c r="S438" s="199">
        <v>78607.360000000001</v>
      </c>
      <c r="T438" s="199">
        <v>78607.360000000001</v>
      </c>
      <c r="U438" s="199">
        <f>IF(AND('Mail Merge'!$I438="Did Not Meet",'Mail Merge'!$N438="Did Not Meet"),MIN(ABS('Mail Merge'!$H438),ABS('Mail Merge'!$M438),'Mail Merge'!$Q438),0)</f>
        <v>0</v>
      </c>
      <c r="V438" s="199" t="str">
        <f>IF(OR(IFERROR(SEARCH("Met",'Mail Merge'!$N438),0)&gt;0,IFERROR(SEARCH("Met",'Mail Merge'!$I438),0)&gt;0),"Met","Not Met")</f>
        <v>Met</v>
      </c>
    </row>
    <row r="439" spans="1:22" x14ac:dyDescent="0.35">
      <c r="A439" s="200" t="s">
        <v>65</v>
      </c>
      <c r="B439" s="201">
        <v>2187</v>
      </c>
      <c r="C439" s="201" t="s">
        <v>22</v>
      </c>
      <c r="D439" s="201">
        <v>1385</v>
      </c>
      <c r="E439" s="201">
        <v>10437596.66</v>
      </c>
      <c r="F439" s="201">
        <v>2017362</v>
      </c>
      <c r="G439" s="201">
        <f>'Mail Merge'!$E439+'Mail Merge'!$F439</f>
        <v>12454958.66</v>
      </c>
      <c r="H439" s="201">
        <v>0</v>
      </c>
      <c r="I439" s="201" t="s">
        <v>241</v>
      </c>
      <c r="J439" s="201">
        <f>IFERROR('Mail Merge'!$E439/'Mail Merge'!$D439,0)</f>
        <v>7536.1708736462097</v>
      </c>
      <c r="K439" s="201">
        <f>IFERROR('Mail Merge'!$F439/'Mail Merge'!$D439,0)</f>
        <v>1456.5790613718411</v>
      </c>
      <c r="L439" s="201">
        <f>IFERROR('Mail Merge'!$G439/'Mail Merge'!$D439,0)</f>
        <v>8992.7499350180515</v>
      </c>
      <c r="M439" s="201">
        <v>0</v>
      </c>
      <c r="N439" s="201" t="s">
        <v>241</v>
      </c>
      <c r="O439" s="201">
        <v>1703178.72</v>
      </c>
      <c r="P439" s="201">
        <v>12809.8</v>
      </c>
      <c r="Q439" s="201">
        <f>'Mail Merge'!$O439+'Mail Merge'!$P439</f>
        <v>1715988.52</v>
      </c>
      <c r="R439" s="201"/>
      <c r="S439" s="201"/>
      <c r="T439" s="201"/>
      <c r="U439" s="201">
        <f>IF(AND('Mail Merge'!$I439="Did Not Meet",'Mail Merge'!$N439="Did Not Meet"),MIN(ABS('Mail Merge'!$H439),ABS('Mail Merge'!$M439),'Mail Merge'!$Q439),0)</f>
        <v>0</v>
      </c>
      <c r="V439" s="201" t="str">
        <f>IF(OR(IFERROR(SEARCH("Met",'Mail Merge'!$N439),0)&gt;0,IFERROR(SEARCH("Met",'Mail Merge'!$I439),0)&gt;0),"Met","Not Met")</f>
        <v>Met</v>
      </c>
    </row>
    <row r="440" spans="1:22" x14ac:dyDescent="0.35">
      <c r="A440" s="198" t="s">
        <v>66</v>
      </c>
      <c r="B440" s="199">
        <v>2253</v>
      </c>
      <c r="C440" s="199" t="s">
        <v>22</v>
      </c>
      <c r="D440" s="199">
        <v>127</v>
      </c>
      <c r="E440" s="199">
        <v>886008.41</v>
      </c>
      <c r="F440" s="199">
        <v>38278.99</v>
      </c>
      <c r="G440" s="199">
        <f>'Mail Merge'!$E440+'Mail Merge'!$F440</f>
        <v>924287.4</v>
      </c>
      <c r="H440" s="199">
        <v>0</v>
      </c>
      <c r="I440" s="199" t="s">
        <v>241</v>
      </c>
      <c r="J440" s="199">
        <f>IFERROR('Mail Merge'!$E440/'Mail Merge'!$D440,0)</f>
        <v>6976.4441732283467</v>
      </c>
      <c r="K440" s="199">
        <f>IFERROR('Mail Merge'!$F440/'Mail Merge'!$D440,0)</f>
        <v>301.40937007874015</v>
      </c>
      <c r="L440" s="199">
        <f>IFERROR('Mail Merge'!$G440/'Mail Merge'!$D440,0)</f>
        <v>7277.8535433070865</v>
      </c>
      <c r="M440" s="199">
        <v>0</v>
      </c>
      <c r="N440" s="199" t="s">
        <v>241</v>
      </c>
      <c r="O440" s="199">
        <v>149954.29</v>
      </c>
      <c r="P440" s="199">
        <v>686.12</v>
      </c>
      <c r="Q440" s="199">
        <f>'Mail Merge'!$O440+'Mail Merge'!$P440</f>
        <v>150640.41</v>
      </c>
      <c r="R440" s="199"/>
      <c r="S440" s="199"/>
      <c r="T440" s="199"/>
      <c r="U440" s="199">
        <f>IF(AND('Mail Merge'!$I440="Did Not Meet",'Mail Merge'!$N440="Did Not Meet"),MIN(ABS('Mail Merge'!$H440),ABS('Mail Merge'!$M440),'Mail Merge'!$Q440),0)</f>
        <v>0</v>
      </c>
      <c r="V440" s="199" t="str">
        <f>IF(OR(IFERROR(SEARCH("Met",'Mail Merge'!$N440),0)&gt;0,IFERROR(SEARCH("Met",'Mail Merge'!$I440),0)&gt;0),"Met","Not Met")</f>
        <v>Met</v>
      </c>
    </row>
    <row r="441" spans="1:22" x14ac:dyDescent="0.35">
      <c r="A441" s="200" t="s">
        <v>67</v>
      </c>
      <c r="B441" s="201">
        <v>2011</v>
      </c>
      <c r="C441" s="201" t="s">
        <v>22</v>
      </c>
      <c r="D441" s="201">
        <v>10</v>
      </c>
      <c r="E441" s="201">
        <v>4676.3999999999996</v>
      </c>
      <c r="F441" s="201">
        <v>69882.94</v>
      </c>
      <c r="G441" s="201">
        <f>'Mail Merge'!$E441+'Mail Merge'!$F441</f>
        <v>74559.34</v>
      </c>
      <c r="H441" s="201">
        <v>0</v>
      </c>
      <c r="I441" s="201" t="s">
        <v>240</v>
      </c>
      <c r="J441" s="201">
        <f>IFERROR('Mail Merge'!$E441/'Mail Merge'!$D441,0)</f>
        <v>467.64</v>
      </c>
      <c r="K441" s="201">
        <f>IFERROR('Mail Merge'!$F441/'Mail Merge'!$D441,0)</f>
        <v>6988.2939999999999</v>
      </c>
      <c r="L441" s="201">
        <f>IFERROR('Mail Merge'!$G441/'Mail Merge'!$D441,0)</f>
        <v>7455.9339999999993</v>
      </c>
      <c r="M441" s="201">
        <v>0</v>
      </c>
      <c r="N441" s="201" t="s">
        <v>240</v>
      </c>
      <c r="O441" s="201">
        <v>11301.54</v>
      </c>
      <c r="P441" s="201">
        <v>1947.8</v>
      </c>
      <c r="Q441" s="201">
        <f>'Mail Merge'!$O441+'Mail Merge'!$P441</f>
        <v>13249.34</v>
      </c>
      <c r="R441" s="201"/>
      <c r="S441" s="201"/>
      <c r="T441" s="201"/>
      <c r="U441" s="201">
        <f>IF(AND('Mail Merge'!$I441="Did Not Meet",'Mail Merge'!$N441="Did Not Meet"),MIN(ABS('Mail Merge'!$H441),ABS('Mail Merge'!$M441),'Mail Merge'!$Q441),0)</f>
        <v>0</v>
      </c>
      <c r="V441" s="201" t="str">
        <f>IF(OR(IFERROR(SEARCH("Met",'Mail Merge'!$N441),0)&gt;0,IFERROR(SEARCH("Met",'Mail Merge'!$I441),0)&gt;0),"Met","Not Met")</f>
        <v>Not Met</v>
      </c>
    </row>
    <row r="442" spans="1:22" x14ac:dyDescent="0.35">
      <c r="A442" s="198" t="s">
        <v>68</v>
      </c>
      <c r="B442" s="199">
        <v>2017</v>
      </c>
      <c r="C442" s="199" t="s">
        <v>22</v>
      </c>
      <c r="D442" s="199">
        <v>2</v>
      </c>
      <c r="E442" s="199">
        <v>6682</v>
      </c>
      <c r="F442" s="199">
        <v>2450</v>
      </c>
      <c r="G442" s="199">
        <f>'Mail Merge'!$E442+'Mail Merge'!$F442</f>
        <v>9132</v>
      </c>
      <c r="H442" s="199">
        <v>0</v>
      </c>
      <c r="I442" s="199" t="s">
        <v>241</v>
      </c>
      <c r="J442" s="199">
        <f>IFERROR('Mail Merge'!$E442/'Mail Merge'!$D442,0)</f>
        <v>3341</v>
      </c>
      <c r="K442" s="199">
        <f>IFERROR('Mail Merge'!$F442/'Mail Merge'!$D442,0)</f>
        <v>1225</v>
      </c>
      <c r="L442" s="199">
        <f>IFERROR('Mail Merge'!$G442/'Mail Merge'!$D442,0)</f>
        <v>4566</v>
      </c>
      <c r="M442" s="199">
        <v>0</v>
      </c>
      <c r="N442" s="199" t="s">
        <v>241</v>
      </c>
      <c r="O442" s="199">
        <v>2535.38</v>
      </c>
      <c r="P442" s="199">
        <v>1.73</v>
      </c>
      <c r="Q442" s="199">
        <f>'Mail Merge'!$O442+'Mail Merge'!$P442</f>
        <v>2537.11</v>
      </c>
      <c r="R442" s="199"/>
      <c r="S442" s="199"/>
      <c r="T442" s="199"/>
      <c r="U442" s="199">
        <f>IF(AND('Mail Merge'!$I442="Did Not Meet",'Mail Merge'!$N442="Did Not Meet"),MIN(ABS('Mail Merge'!$H442),ABS('Mail Merge'!$M442),'Mail Merge'!$Q442),0)</f>
        <v>0</v>
      </c>
      <c r="V442" s="199" t="str">
        <f>IF(OR(IFERROR(SEARCH("Met",'Mail Merge'!$N442),0)&gt;0,IFERROR(SEARCH("Met",'Mail Merge'!$I442),0)&gt;0),"Met","Not Met")</f>
        <v>Met</v>
      </c>
    </row>
    <row r="443" spans="1:22" x14ac:dyDescent="0.35">
      <c r="A443" s="200" t="s">
        <v>69</v>
      </c>
      <c r="B443" s="201">
        <v>2021</v>
      </c>
      <c r="C443" s="201" t="s">
        <v>22</v>
      </c>
      <c r="D443" s="201">
        <v>0</v>
      </c>
      <c r="E443" s="201">
        <v>5636.98</v>
      </c>
      <c r="F443" s="201">
        <v>190</v>
      </c>
      <c r="G443" s="201">
        <f>'Mail Merge'!$E443+'Mail Merge'!$F443</f>
        <v>5826.98</v>
      </c>
      <c r="H443" s="201">
        <v>0</v>
      </c>
      <c r="I443" s="201"/>
      <c r="J443" s="201">
        <f>IFERROR('Mail Merge'!$E443/'Mail Merge'!$D443,0)</f>
        <v>0</v>
      </c>
      <c r="K443" s="201">
        <f>IFERROR('Mail Merge'!$F443/'Mail Merge'!$D443,0)</f>
        <v>0</v>
      </c>
      <c r="L443" s="201">
        <f>IFERROR('Mail Merge'!$G443/'Mail Merge'!$D443,0)</f>
        <v>0</v>
      </c>
      <c r="M443" s="201">
        <v>0</v>
      </c>
      <c r="N443" s="201"/>
      <c r="O443" s="201">
        <v>0</v>
      </c>
      <c r="P443" s="201">
        <v>0</v>
      </c>
      <c r="Q443" s="201">
        <f>'Mail Merge'!$O443+'Mail Merge'!$P443</f>
        <v>0</v>
      </c>
      <c r="R443" s="201"/>
      <c r="S443" s="201"/>
      <c r="T443" s="201"/>
      <c r="U443" s="201">
        <f>IF(AND('Mail Merge'!$I443="Did Not Meet",'Mail Merge'!$N443="Did Not Meet"),MIN(ABS('Mail Merge'!$H443),ABS('Mail Merge'!$M443),'Mail Merge'!$Q443),0)</f>
        <v>0</v>
      </c>
      <c r="V443" s="201" t="str">
        <f>IF(OR(IFERROR(SEARCH("Met",'Mail Merge'!$N443),0)&gt;0,IFERROR(SEARCH("Met",'Mail Merge'!$I443),0)&gt;0),"Met","Not Met")</f>
        <v>Not Met</v>
      </c>
    </row>
    <row r="444" spans="1:22" x14ac:dyDescent="0.35">
      <c r="A444" s="198" t="s">
        <v>70</v>
      </c>
      <c r="B444" s="199">
        <v>1993</v>
      </c>
      <c r="C444" s="199" t="s">
        <v>22</v>
      </c>
      <c r="D444" s="199">
        <v>29</v>
      </c>
      <c r="E444" s="199">
        <v>142260.18</v>
      </c>
      <c r="F444" s="199">
        <v>32257</v>
      </c>
      <c r="G444" s="199">
        <f>'Mail Merge'!$E444+'Mail Merge'!$F444</f>
        <v>174517.18</v>
      </c>
      <c r="H444" s="199">
        <v>0</v>
      </c>
      <c r="I444" s="199" t="s">
        <v>240</v>
      </c>
      <c r="J444" s="199">
        <f>IFERROR('Mail Merge'!$E444/'Mail Merge'!$D444,0)</f>
        <v>4905.5234482758615</v>
      </c>
      <c r="K444" s="199">
        <f>IFERROR('Mail Merge'!$F444/'Mail Merge'!$D444,0)</f>
        <v>1112.3103448275863</v>
      </c>
      <c r="L444" s="199">
        <f>IFERROR('Mail Merge'!$G444/'Mail Merge'!$D444,0)</f>
        <v>6017.8337931034484</v>
      </c>
      <c r="M444" s="199">
        <v>0</v>
      </c>
      <c r="N444" s="199" t="s">
        <v>240</v>
      </c>
      <c r="O444" s="199">
        <v>53138.06</v>
      </c>
      <c r="P444" s="199">
        <v>1483.42</v>
      </c>
      <c r="Q444" s="199">
        <f>'Mail Merge'!$O444+'Mail Merge'!$P444</f>
        <v>54621.479999999996</v>
      </c>
      <c r="R444" s="199"/>
      <c r="S444" s="199"/>
      <c r="T444" s="199"/>
      <c r="U444" s="199">
        <f>IF(AND('Mail Merge'!$I444="Did Not Meet",'Mail Merge'!$N444="Did Not Meet"),MIN(ABS('Mail Merge'!$H444),ABS('Mail Merge'!$M444),'Mail Merge'!$Q444),0)</f>
        <v>0</v>
      </c>
      <c r="V444" s="199" t="str">
        <f>IF(OR(IFERROR(SEARCH("Met",'Mail Merge'!$N444),0)&gt;0,IFERROR(SEARCH("Met",'Mail Merge'!$I444),0)&gt;0),"Met","Not Met")</f>
        <v>Not Met</v>
      </c>
    </row>
    <row r="445" spans="1:22" x14ac:dyDescent="0.35">
      <c r="A445" s="200" t="s">
        <v>71</v>
      </c>
      <c r="B445" s="201">
        <v>1991</v>
      </c>
      <c r="C445" s="201" t="s">
        <v>22</v>
      </c>
      <c r="D445" s="201">
        <v>685</v>
      </c>
      <c r="E445" s="201">
        <v>4710538.12</v>
      </c>
      <c r="F445" s="201">
        <v>1265534</v>
      </c>
      <c r="G445" s="201">
        <f>'Mail Merge'!$E445+'Mail Merge'!$F445</f>
        <v>5976072.1200000001</v>
      </c>
      <c r="H445" s="201">
        <v>0</v>
      </c>
      <c r="I445" s="201" t="s">
        <v>241</v>
      </c>
      <c r="J445" s="201">
        <f>IFERROR('Mail Merge'!$E445/'Mail Merge'!$D445,0)</f>
        <v>6876.6979854014598</v>
      </c>
      <c r="K445" s="201">
        <f>IFERROR('Mail Merge'!$F445/'Mail Merge'!$D445,0)</f>
        <v>1847.4948905109488</v>
      </c>
      <c r="L445" s="201">
        <f>IFERROR('Mail Merge'!$G445/'Mail Merge'!$D445,0)</f>
        <v>8724.1928759124094</v>
      </c>
      <c r="M445" s="201">
        <v>0</v>
      </c>
      <c r="N445" s="201" t="s">
        <v>241</v>
      </c>
      <c r="O445" s="201">
        <v>1073170.22</v>
      </c>
      <c r="P445" s="201">
        <v>10260.52</v>
      </c>
      <c r="Q445" s="201">
        <f>'Mail Merge'!$O445+'Mail Merge'!$P445</f>
        <v>1083430.74</v>
      </c>
      <c r="R445" s="201"/>
      <c r="S445" s="201"/>
      <c r="T445" s="201"/>
      <c r="U445" s="201">
        <f>IF(AND('Mail Merge'!$I445="Did Not Meet",'Mail Merge'!$N445="Did Not Meet"),MIN(ABS('Mail Merge'!$H445),ABS('Mail Merge'!$M445),'Mail Merge'!$Q445),0)</f>
        <v>0</v>
      </c>
      <c r="V445" s="201" t="str">
        <f>IF(OR(IFERROR(SEARCH("Met",'Mail Merge'!$N445),0)&gt;0,IFERROR(SEARCH("Met",'Mail Merge'!$I445),0)&gt;0),"Met","Not Met")</f>
        <v>Met</v>
      </c>
    </row>
    <row r="446" spans="1:22" x14ac:dyDescent="0.35">
      <c r="A446" s="198" t="s">
        <v>72</v>
      </c>
      <c r="B446" s="199">
        <v>2019</v>
      </c>
      <c r="C446" s="199" t="s">
        <v>22</v>
      </c>
      <c r="D446" s="199">
        <v>2</v>
      </c>
      <c r="E446" s="199">
        <v>9168.9</v>
      </c>
      <c r="F446" s="199">
        <v>2070</v>
      </c>
      <c r="G446" s="199">
        <f>'Mail Merge'!$E446+'Mail Merge'!$F446</f>
        <v>11238.9</v>
      </c>
      <c r="H446" s="199">
        <v>0</v>
      </c>
      <c r="I446" s="199" t="s">
        <v>240</v>
      </c>
      <c r="J446" s="199">
        <f>IFERROR('Mail Merge'!$E446/'Mail Merge'!$D446,0)</f>
        <v>4584.45</v>
      </c>
      <c r="K446" s="199">
        <f>IFERROR('Mail Merge'!$F446/'Mail Merge'!$D446,0)</f>
        <v>1035</v>
      </c>
      <c r="L446" s="199">
        <f>IFERROR('Mail Merge'!$G446/'Mail Merge'!$D446,0)</f>
        <v>5619.45</v>
      </c>
      <c r="M446" s="199">
        <v>0</v>
      </c>
      <c r="N446" s="199" t="s">
        <v>240</v>
      </c>
      <c r="O446" s="199">
        <v>1049.81</v>
      </c>
      <c r="P446" s="199">
        <v>0</v>
      </c>
      <c r="Q446" s="199">
        <f>'Mail Merge'!$O446+'Mail Merge'!$P446</f>
        <v>1049.81</v>
      </c>
      <c r="R446" s="199"/>
      <c r="S446" s="199"/>
      <c r="T446" s="199"/>
      <c r="U446" s="199">
        <f>IF(AND('Mail Merge'!$I446="Did Not Meet",'Mail Merge'!$N446="Did Not Meet"),MIN(ABS('Mail Merge'!$H446),ABS('Mail Merge'!$M446),'Mail Merge'!$Q446),0)</f>
        <v>0</v>
      </c>
      <c r="V446" s="199" t="str">
        <f>IF(OR(IFERROR(SEARCH("Met",'Mail Merge'!$N446),0)&gt;0,IFERROR(SEARCH("Met",'Mail Merge'!$I446),0)&gt;0),"Met","Not Met")</f>
        <v>Not Met</v>
      </c>
    </row>
    <row r="447" spans="1:22" x14ac:dyDescent="0.35">
      <c r="A447" s="200" t="s">
        <v>73</v>
      </c>
      <c r="B447" s="201">
        <v>2229</v>
      </c>
      <c r="C447" s="201" t="s">
        <v>22</v>
      </c>
      <c r="D447" s="201">
        <v>39</v>
      </c>
      <c r="E447" s="201">
        <v>186658.84</v>
      </c>
      <c r="F447" s="201">
        <v>0</v>
      </c>
      <c r="G447" s="201">
        <f>'Mail Merge'!$E447+'Mail Merge'!$F447</f>
        <v>186658.84</v>
      </c>
      <c r="H447" s="201">
        <v>0</v>
      </c>
      <c r="I447" s="201" t="s">
        <v>241</v>
      </c>
      <c r="J447" s="201">
        <f>IFERROR('Mail Merge'!$E447/'Mail Merge'!$D447,0)</f>
        <v>4786.124102564102</v>
      </c>
      <c r="K447" s="201">
        <f>IFERROR('Mail Merge'!$F447/'Mail Merge'!$D447,0)</f>
        <v>0</v>
      </c>
      <c r="L447" s="201">
        <f>IFERROR('Mail Merge'!$G447/'Mail Merge'!$D447,0)</f>
        <v>4786.124102564102</v>
      </c>
      <c r="M447" s="201">
        <v>0</v>
      </c>
      <c r="N447" s="201" t="s">
        <v>240</v>
      </c>
      <c r="O447" s="201">
        <v>39277.99</v>
      </c>
      <c r="P447" s="201">
        <v>370.14</v>
      </c>
      <c r="Q447" s="201">
        <f>'Mail Merge'!$O447+'Mail Merge'!$P447</f>
        <v>39648.129999999997</v>
      </c>
      <c r="R447" s="201"/>
      <c r="S447" s="201"/>
      <c r="T447" s="201"/>
      <c r="U447" s="201">
        <f>IF(AND('Mail Merge'!$I447="Did Not Meet",'Mail Merge'!$N447="Did Not Meet"),MIN(ABS('Mail Merge'!$H447),ABS('Mail Merge'!$M447),'Mail Merge'!$Q447),0)</f>
        <v>0</v>
      </c>
      <c r="V447" s="201" t="str">
        <f>IF(OR(IFERROR(SEARCH("Met",'Mail Merge'!$N447),0)&gt;0,IFERROR(SEARCH("Met",'Mail Merge'!$I447),0)&gt;0),"Met","Not Met")</f>
        <v>Met</v>
      </c>
    </row>
    <row r="448" spans="1:22" x14ac:dyDescent="0.35">
      <c r="A448" s="198" t="s">
        <v>74</v>
      </c>
      <c r="B448" s="199">
        <v>2043</v>
      </c>
      <c r="C448" s="199" t="s">
        <v>22</v>
      </c>
      <c r="D448" s="199">
        <v>505</v>
      </c>
      <c r="E448" s="199">
        <v>2900159.96</v>
      </c>
      <c r="F448" s="199">
        <v>933903.62</v>
      </c>
      <c r="G448" s="199">
        <f>'Mail Merge'!$E448+'Mail Merge'!$F448</f>
        <v>3834063.58</v>
      </c>
      <c r="H448" s="199">
        <v>0</v>
      </c>
      <c r="I448" s="199" t="s">
        <v>241</v>
      </c>
      <c r="J448" s="199">
        <f>IFERROR('Mail Merge'!$E448/'Mail Merge'!$D448,0)</f>
        <v>5742.89100990099</v>
      </c>
      <c r="K448" s="199">
        <f>IFERROR('Mail Merge'!$F448/'Mail Merge'!$D448,0)</f>
        <v>1849.3140990099009</v>
      </c>
      <c r="L448" s="199">
        <f>IFERROR('Mail Merge'!$G448/'Mail Merge'!$D448,0)</f>
        <v>7592.2051089108909</v>
      </c>
      <c r="M448" s="199">
        <v>0</v>
      </c>
      <c r="N448" s="199" t="s">
        <v>240</v>
      </c>
      <c r="O448" s="199">
        <v>696968.39</v>
      </c>
      <c r="P448" s="199">
        <v>6418.88</v>
      </c>
      <c r="Q448" s="199">
        <f>'Mail Merge'!$O448+'Mail Merge'!$P448</f>
        <v>703387.27</v>
      </c>
      <c r="R448" s="199"/>
      <c r="S448" s="199"/>
      <c r="T448" s="199"/>
      <c r="U448" s="199">
        <f>IF(AND('Mail Merge'!$I448="Did Not Meet",'Mail Merge'!$N448="Did Not Meet"),MIN(ABS('Mail Merge'!$H448),ABS('Mail Merge'!$M448),'Mail Merge'!$Q448),0)</f>
        <v>0</v>
      </c>
      <c r="V448" s="199" t="str">
        <f>IF(OR(IFERROR(SEARCH("Met",'Mail Merge'!$N448),0)&gt;0,IFERROR(SEARCH("Met",'Mail Merge'!$I448),0)&gt;0),"Met","Not Met")</f>
        <v>Met</v>
      </c>
    </row>
    <row r="449" spans="1:22" x14ac:dyDescent="0.35">
      <c r="A449" s="200" t="s">
        <v>75</v>
      </c>
      <c r="B449" s="201">
        <v>2203</v>
      </c>
      <c r="C449" s="201" t="s">
        <v>22</v>
      </c>
      <c r="D449" s="201">
        <v>35</v>
      </c>
      <c r="E449" s="201">
        <v>137916.35</v>
      </c>
      <c r="F449" s="201">
        <v>52326.53</v>
      </c>
      <c r="G449" s="201">
        <f>'Mail Merge'!$E449+'Mail Merge'!$F449</f>
        <v>190242.88</v>
      </c>
      <c r="H449" s="201">
        <v>0</v>
      </c>
      <c r="I449" s="201" t="s">
        <v>240</v>
      </c>
      <c r="J449" s="201">
        <f>IFERROR('Mail Merge'!$E449/'Mail Merge'!$D449,0)</f>
        <v>3940.4671428571432</v>
      </c>
      <c r="K449" s="201">
        <f>IFERROR('Mail Merge'!$F449/'Mail Merge'!$D449,0)</f>
        <v>1495.0437142857143</v>
      </c>
      <c r="L449" s="201">
        <f>IFERROR('Mail Merge'!$G449/'Mail Merge'!$D449,0)</f>
        <v>5435.5108571428573</v>
      </c>
      <c r="M449" s="201">
        <v>0</v>
      </c>
      <c r="N449" s="201" t="s">
        <v>240</v>
      </c>
      <c r="O449" s="201">
        <v>36914.730000000003</v>
      </c>
      <c r="P449" s="201">
        <v>0</v>
      </c>
      <c r="Q449" s="201">
        <f>'Mail Merge'!$O449+'Mail Merge'!$P449</f>
        <v>36914.730000000003</v>
      </c>
      <c r="R449" s="201"/>
      <c r="S449" s="201"/>
      <c r="T449" s="201"/>
      <c r="U449" s="201">
        <f>IF(AND('Mail Merge'!$I449="Did Not Meet",'Mail Merge'!$N449="Did Not Meet"),MIN(ABS('Mail Merge'!$H449),ABS('Mail Merge'!$M449),'Mail Merge'!$Q449),0)</f>
        <v>0</v>
      </c>
      <c r="V449" s="201" t="str">
        <f>IF(OR(IFERROR(SEARCH("Met",'Mail Merge'!$N449),0)&gt;0,IFERROR(SEARCH("Met",'Mail Merge'!$I449),0)&gt;0),"Met","Not Met")</f>
        <v>Not Met</v>
      </c>
    </row>
    <row r="450" spans="1:22" x14ac:dyDescent="0.35">
      <c r="A450" s="198" t="s">
        <v>76</v>
      </c>
      <c r="B450" s="199">
        <v>2217</v>
      </c>
      <c r="C450" s="199" t="s">
        <v>22</v>
      </c>
      <c r="D450" s="199">
        <v>58</v>
      </c>
      <c r="E450" s="199">
        <v>392198.37</v>
      </c>
      <c r="F450" s="199">
        <v>117539.45</v>
      </c>
      <c r="G450" s="199">
        <f>'Mail Merge'!$E450+'Mail Merge'!$F450</f>
        <v>509737.82</v>
      </c>
      <c r="H450" s="199">
        <v>0</v>
      </c>
      <c r="I450" s="199" t="s">
        <v>242</v>
      </c>
      <c r="J450" s="199">
        <f>IFERROR('Mail Merge'!$E450/'Mail Merge'!$D450,0)</f>
        <v>6762.040862068965</v>
      </c>
      <c r="K450" s="199">
        <f>IFERROR('Mail Merge'!$F450/'Mail Merge'!$D450,0)</f>
        <v>2026.5422413793103</v>
      </c>
      <c r="L450" s="199">
        <f>IFERROR('Mail Merge'!$G450/'Mail Merge'!$D450,0)</f>
        <v>8788.5831034482762</v>
      </c>
      <c r="M450" s="199">
        <v>0</v>
      </c>
      <c r="N450" s="199" t="s">
        <v>241</v>
      </c>
      <c r="O450" s="199">
        <v>75592.149999999994</v>
      </c>
      <c r="P450" s="199">
        <v>64.900000000000006</v>
      </c>
      <c r="Q450" s="199">
        <f>'Mail Merge'!$O450+'Mail Merge'!$P450</f>
        <v>75657.049999999988</v>
      </c>
      <c r="R450" s="199"/>
      <c r="S450" s="199">
        <v>99134.38</v>
      </c>
      <c r="T450" s="199">
        <v>99134.38</v>
      </c>
      <c r="U450" s="199">
        <f>IF(AND('Mail Merge'!$I450="Did Not Meet",'Mail Merge'!$N450="Did Not Meet"),MIN(ABS('Mail Merge'!$H450),ABS('Mail Merge'!$M450),'Mail Merge'!$Q450),0)</f>
        <v>0</v>
      </c>
      <c r="V450" s="199" t="str">
        <f>IF(OR(IFERROR(SEARCH("Met",'Mail Merge'!$N450),0)&gt;0,IFERROR(SEARCH("Met",'Mail Merge'!$I450),0)&gt;0),"Met","Not Met")</f>
        <v>Met</v>
      </c>
    </row>
    <row r="451" spans="1:22" x14ac:dyDescent="0.35">
      <c r="A451" s="200" t="s">
        <v>77</v>
      </c>
      <c r="B451" s="201">
        <v>1998</v>
      </c>
      <c r="C451" s="201" t="s">
        <v>22</v>
      </c>
      <c r="D451" s="201">
        <v>33</v>
      </c>
      <c r="E451" s="201">
        <v>93248.24</v>
      </c>
      <c r="F451" s="201">
        <v>35559.03</v>
      </c>
      <c r="G451" s="201">
        <f>'Mail Merge'!$E451+'Mail Merge'!$F451</f>
        <v>128807.27</v>
      </c>
      <c r="H451" s="201">
        <v>0</v>
      </c>
      <c r="I451" s="201" t="s">
        <v>242</v>
      </c>
      <c r="J451" s="201">
        <f>IFERROR('Mail Merge'!$E451/'Mail Merge'!$D451,0)</f>
        <v>2825.7042424242427</v>
      </c>
      <c r="K451" s="201">
        <f>IFERROR('Mail Merge'!$F451/'Mail Merge'!$D451,0)</f>
        <v>1077.5463636363636</v>
      </c>
      <c r="L451" s="201">
        <f>IFERROR('Mail Merge'!$G451/'Mail Merge'!$D451,0)</f>
        <v>3903.2506060606061</v>
      </c>
      <c r="M451" s="201">
        <v>0</v>
      </c>
      <c r="N451" s="201" t="s">
        <v>240</v>
      </c>
      <c r="O451" s="201">
        <v>39341.480000000003</v>
      </c>
      <c r="P451" s="201">
        <v>0</v>
      </c>
      <c r="Q451" s="201">
        <f>'Mail Merge'!$O451+'Mail Merge'!$P451</f>
        <v>39341.480000000003</v>
      </c>
      <c r="R451" s="201"/>
      <c r="S451" s="201">
        <v>10524.64</v>
      </c>
      <c r="T451" s="201"/>
      <c r="U451" s="201">
        <f>IF(AND('Mail Merge'!$I451="Did Not Meet",'Mail Merge'!$N451="Did Not Meet"),MIN(ABS('Mail Merge'!$H451),ABS('Mail Merge'!$M451),'Mail Merge'!$Q451),0)</f>
        <v>0</v>
      </c>
      <c r="V451" s="201" t="str">
        <f>IF(OR(IFERROR(SEARCH("Met",'Mail Merge'!$N451),0)&gt;0,IFERROR(SEARCH("Met",'Mail Merge'!$I451),0)&gt;0),"Met","Not Met")</f>
        <v>Met</v>
      </c>
    </row>
    <row r="452" spans="1:22" x14ac:dyDescent="0.35">
      <c r="A452" s="198" t="s">
        <v>78</v>
      </c>
      <c r="B452" s="199">
        <v>2221</v>
      </c>
      <c r="C452" s="199" t="s">
        <v>22</v>
      </c>
      <c r="D452" s="199">
        <v>45</v>
      </c>
      <c r="E452" s="199">
        <v>5510.63</v>
      </c>
      <c r="F452" s="199">
        <v>278032.7</v>
      </c>
      <c r="G452" s="199">
        <f>'Mail Merge'!$E452+'Mail Merge'!$F452</f>
        <v>283543.33</v>
      </c>
      <c r="H452" s="199">
        <v>0</v>
      </c>
      <c r="I452" s="199" t="s">
        <v>242</v>
      </c>
      <c r="J452" s="199">
        <f>IFERROR('Mail Merge'!$E452/'Mail Merge'!$D452,0)</f>
        <v>122.45844444444445</v>
      </c>
      <c r="K452" s="199">
        <f>IFERROR('Mail Merge'!$F452/'Mail Merge'!$D452,0)</f>
        <v>6178.5044444444447</v>
      </c>
      <c r="L452" s="199">
        <f>IFERROR('Mail Merge'!$G452/'Mail Merge'!$D452,0)</f>
        <v>6300.9628888888892</v>
      </c>
      <c r="M452" s="199">
        <v>0</v>
      </c>
      <c r="N452" s="199" t="s">
        <v>241</v>
      </c>
      <c r="O452" s="199">
        <v>79721.119999999995</v>
      </c>
      <c r="P452" s="199">
        <v>821.12</v>
      </c>
      <c r="Q452" s="199">
        <f>'Mail Merge'!$O452+'Mail Merge'!$P452</f>
        <v>80542.239999999991</v>
      </c>
      <c r="R452" s="199"/>
      <c r="S452" s="199">
        <v>48480.88</v>
      </c>
      <c r="T452" s="199">
        <v>48480.88</v>
      </c>
      <c r="U452" s="199">
        <f>IF(AND('Mail Merge'!$I452="Did Not Meet",'Mail Merge'!$N452="Did Not Meet"),MIN(ABS('Mail Merge'!$H452),ABS('Mail Merge'!$M452),'Mail Merge'!$Q452),0)</f>
        <v>0</v>
      </c>
      <c r="V452" s="199" t="str">
        <f>IF(OR(IFERROR(SEARCH("Met",'Mail Merge'!$N452),0)&gt;0,IFERROR(SEARCH("Met",'Mail Merge'!$I452),0)&gt;0),"Met","Not Met")</f>
        <v>Met</v>
      </c>
    </row>
    <row r="453" spans="1:22" x14ac:dyDescent="0.35">
      <c r="A453" s="200" t="s">
        <v>79</v>
      </c>
      <c r="B453" s="201">
        <v>1930</v>
      </c>
      <c r="C453" s="201" t="s">
        <v>22</v>
      </c>
      <c r="D453" s="201">
        <v>384</v>
      </c>
      <c r="E453" s="201">
        <v>2484319.79</v>
      </c>
      <c r="F453" s="201">
        <v>680465</v>
      </c>
      <c r="G453" s="201">
        <f>'Mail Merge'!$E453+'Mail Merge'!$F453</f>
        <v>3164784.79</v>
      </c>
      <c r="H453" s="201">
        <v>0</v>
      </c>
      <c r="I453" s="201" t="s">
        <v>241</v>
      </c>
      <c r="J453" s="201">
        <f>IFERROR('Mail Merge'!$E453/'Mail Merge'!$D453,0)</f>
        <v>6469.5827864583334</v>
      </c>
      <c r="K453" s="201">
        <f>IFERROR('Mail Merge'!$F453/'Mail Merge'!$D453,0)</f>
        <v>1772.0442708333333</v>
      </c>
      <c r="L453" s="201">
        <f>IFERROR('Mail Merge'!$G453/'Mail Merge'!$D453,0)</f>
        <v>8241.6270572916674</v>
      </c>
      <c r="M453" s="201">
        <v>0</v>
      </c>
      <c r="N453" s="201" t="s">
        <v>240</v>
      </c>
      <c r="O453" s="201">
        <v>454909.38</v>
      </c>
      <c r="P453" s="201">
        <v>3559.95</v>
      </c>
      <c r="Q453" s="201">
        <f>'Mail Merge'!$O453+'Mail Merge'!$P453</f>
        <v>458469.33</v>
      </c>
      <c r="R453" s="201"/>
      <c r="S453" s="201"/>
      <c r="T453" s="201"/>
      <c r="U453" s="201">
        <f>IF(AND('Mail Merge'!$I453="Did Not Meet",'Mail Merge'!$N453="Did Not Meet"),MIN(ABS('Mail Merge'!$H453),ABS('Mail Merge'!$M453),'Mail Merge'!$Q453),0)</f>
        <v>0</v>
      </c>
      <c r="V453" s="201" t="str">
        <f>IF(OR(IFERROR(SEARCH("Met",'Mail Merge'!$N453),0)&gt;0,IFERROR(SEARCH("Met",'Mail Merge'!$I453),0)&gt;0),"Met","Not Met")</f>
        <v>Met</v>
      </c>
    </row>
    <row r="454" spans="1:22" x14ac:dyDescent="0.35">
      <c r="A454" s="198" t="s">
        <v>80</v>
      </c>
      <c r="B454" s="199">
        <v>2082</v>
      </c>
      <c r="C454" s="199" t="s">
        <v>22</v>
      </c>
      <c r="D454" s="199">
        <v>2306</v>
      </c>
      <c r="E454" s="199">
        <v>18049941.649999999</v>
      </c>
      <c r="F454" s="199">
        <v>3881905</v>
      </c>
      <c r="G454" s="199">
        <f>'Mail Merge'!$E454+'Mail Merge'!$F454</f>
        <v>21931846.649999999</v>
      </c>
      <c r="H454" s="199">
        <v>0</v>
      </c>
      <c r="I454" s="199" t="s">
        <v>241</v>
      </c>
      <c r="J454" s="199">
        <f>IFERROR('Mail Merge'!$E454/'Mail Merge'!$D454,0)</f>
        <v>7827.3814614050298</v>
      </c>
      <c r="K454" s="199">
        <f>IFERROR('Mail Merge'!$F454/'Mail Merge'!$D454,0)</f>
        <v>1683.3933217692975</v>
      </c>
      <c r="L454" s="199">
        <f>IFERROR('Mail Merge'!$G454/'Mail Merge'!$D454,0)</f>
        <v>9510.7747831743272</v>
      </c>
      <c r="M454" s="199">
        <v>0</v>
      </c>
      <c r="N454" s="199" t="s">
        <v>241</v>
      </c>
      <c r="O454" s="199">
        <v>3022848.3</v>
      </c>
      <c r="P454" s="199">
        <v>23682.06</v>
      </c>
      <c r="Q454" s="199">
        <f>'Mail Merge'!$O454+'Mail Merge'!$P454</f>
        <v>3046530.36</v>
      </c>
      <c r="R454" s="199"/>
      <c r="S454" s="199"/>
      <c r="T454" s="199"/>
      <c r="U454" s="199">
        <f>IF(AND('Mail Merge'!$I454="Did Not Meet",'Mail Merge'!$N454="Did Not Meet"),MIN(ABS('Mail Merge'!$H454),ABS('Mail Merge'!$M454),'Mail Merge'!$Q454),0)</f>
        <v>0</v>
      </c>
      <c r="V454" s="199" t="str">
        <f>IF(OR(IFERROR(SEARCH("Met",'Mail Merge'!$N454),0)&gt;0,IFERROR(SEARCH("Met",'Mail Merge'!$I454),0)&gt;0),"Met","Not Met")</f>
        <v>Met</v>
      </c>
    </row>
    <row r="455" spans="1:22" x14ac:dyDescent="0.35">
      <c r="A455" s="200" t="s">
        <v>81</v>
      </c>
      <c r="B455" s="201">
        <v>2193</v>
      </c>
      <c r="C455" s="201" t="s">
        <v>22</v>
      </c>
      <c r="D455" s="201">
        <v>32</v>
      </c>
      <c r="E455" s="201">
        <v>286385.25</v>
      </c>
      <c r="F455" s="201">
        <v>27435.06</v>
      </c>
      <c r="G455" s="201">
        <f>'Mail Merge'!$E455+'Mail Merge'!$F455</f>
        <v>313820.31</v>
      </c>
      <c r="H455" s="201">
        <v>0</v>
      </c>
      <c r="I455" s="201" t="s">
        <v>241</v>
      </c>
      <c r="J455" s="201">
        <f>IFERROR('Mail Merge'!$E455/'Mail Merge'!$D455,0)</f>
        <v>8949.5390625</v>
      </c>
      <c r="K455" s="201">
        <f>IFERROR('Mail Merge'!$F455/'Mail Merge'!$D455,0)</f>
        <v>857.34562500000004</v>
      </c>
      <c r="L455" s="201">
        <f>IFERROR('Mail Merge'!$G455/'Mail Merge'!$D455,0)</f>
        <v>9806.8846874999999</v>
      </c>
      <c r="M455" s="201">
        <v>0</v>
      </c>
      <c r="N455" s="201" t="s">
        <v>241</v>
      </c>
      <c r="O455" s="201">
        <v>37612.89</v>
      </c>
      <c r="P455" s="201">
        <v>657.02</v>
      </c>
      <c r="Q455" s="201">
        <f>'Mail Merge'!$O455+'Mail Merge'!$P455</f>
        <v>38269.909999999996</v>
      </c>
      <c r="R455" s="201"/>
      <c r="S455" s="201"/>
      <c r="T455" s="201"/>
      <c r="U455" s="201">
        <f>IF(AND('Mail Merge'!$I455="Did Not Meet",'Mail Merge'!$N455="Did Not Meet"),MIN(ABS('Mail Merge'!$H455),ABS('Mail Merge'!$M455),'Mail Merge'!$Q455),0)</f>
        <v>0</v>
      </c>
      <c r="V455" s="201" t="str">
        <f>IF(OR(IFERROR(SEARCH("Met",'Mail Merge'!$N455),0)&gt;0,IFERROR(SEARCH("Met",'Mail Merge'!$I455),0)&gt;0),"Met","Not Met")</f>
        <v>Met</v>
      </c>
    </row>
    <row r="456" spans="1:22" x14ac:dyDescent="0.35">
      <c r="A456" s="198" t="s">
        <v>82</v>
      </c>
      <c r="B456" s="199">
        <v>2084</v>
      </c>
      <c r="C456" s="199" t="s">
        <v>22</v>
      </c>
      <c r="D456" s="199">
        <v>241</v>
      </c>
      <c r="E456" s="199">
        <v>2105510.7200000002</v>
      </c>
      <c r="F456" s="199">
        <v>569221</v>
      </c>
      <c r="G456" s="199">
        <f>'Mail Merge'!$E456+'Mail Merge'!$F456</f>
        <v>2674731.7200000002</v>
      </c>
      <c r="H456" s="199">
        <v>0</v>
      </c>
      <c r="I456" s="199" t="s">
        <v>242</v>
      </c>
      <c r="J456" s="199">
        <f>IFERROR('Mail Merge'!$E456/'Mail Merge'!$D456,0)</f>
        <v>8736.5590041493779</v>
      </c>
      <c r="K456" s="199">
        <f>IFERROR('Mail Merge'!$F456/'Mail Merge'!$D456,0)</f>
        <v>2361.9128630705395</v>
      </c>
      <c r="L456" s="199">
        <f>IFERROR('Mail Merge'!$G456/'Mail Merge'!$D456,0)</f>
        <v>11098.471867219918</v>
      </c>
      <c r="M456" s="199">
        <v>0</v>
      </c>
      <c r="N456" s="199" t="s">
        <v>241</v>
      </c>
      <c r="O456" s="199">
        <v>329504.90999999997</v>
      </c>
      <c r="P456" s="199">
        <v>2482.9699999999998</v>
      </c>
      <c r="Q456" s="199">
        <f>'Mail Merge'!$O456+'Mail Merge'!$P456</f>
        <v>331987.87999999995</v>
      </c>
      <c r="R456" s="199"/>
      <c r="S456" s="199">
        <v>580090.44999999995</v>
      </c>
      <c r="T456" s="199">
        <v>580090.44999999995</v>
      </c>
      <c r="U456" s="199">
        <f>IF(AND('Mail Merge'!$I456="Did Not Meet",'Mail Merge'!$N456="Did Not Meet"),MIN(ABS('Mail Merge'!$H456),ABS('Mail Merge'!$M456),'Mail Merge'!$Q456),0)</f>
        <v>0</v>
      </c>
      <c r="V456" s="199" t="str">
        <f>IF(OR(IFERROR(SEARCH("Met",'Mail Merge'!$N456),0)&gt;0,IFERROR(SEARCH("Met",'Mail Merge'!$I456),0)&gt;0),"Met","Not Met")</f>
        <v>Met</v>
      </c>
    </row>
    <row r="457" spans="1:22" x14ac:dyDescent="0.35">
      <c r="A457" s="200" t="s">
        <v>83</v>
      </c>
      <c r="B457" s="201">
        <v>2241</v>
      </c>
      <c r="C457" s="201" t="s">
        <v>22</v>
      </c>
      <c r="D457" s="201">
        <v>831</v>
      </c>
      <c r="E457" s="201">
        <v>9105897.0099999998</v>
      </c>
      <c r="F457" s="201">
        <v>848757</v>
      </c>
      <c r="G457" s="201">
        <f>'Mail Merge'!$E457+'Mail Merge'!$F457</f>
        <v>9954654.0099999998</v>
      </c>
      <c r="H457" s="201">
        <v>0</v>
      </c>
      <c r="I457" s="201" t="s">
        <v>241</v>
      </c>
      <c r="J457" s="201">
        <f>IFERROR('Mail Merge'!$E457/'Mail Merge'!$D457,0)</f>
        <v>10957.758134777376</v>
      </c>
      <c r="K457" s="201">
        <f>IFERROR('Mail Merge'!$F457/'Mail Merge'!$D457,0)</f>
        <v>1021.3682310469314</v>
      </c>
      <c r="L457" s="201">
        <f>IFERROR('Mail Merge'!$G457/'Mail Merge'!$D457,0)</f>
        <v>11979.126365824308</v>
      </c>
      <c r="M457" s="201">
        <v>0</v>
      </c>
      <c r="N457" s="201" t="s">
        <v>240</v>
      </c>
      <c r="O457" s="201">
        <v>927118.53</v>
      </c>
      <c r="P457" s="201">
        <v>5151.83</v>
      </c>
      <c r="Q457" s="201">
        <f>'Mail Merge'!$O457+'Mail Merge'!$P457</f>
        <v>932270.36</v>
      </c>
      <c r="R457" s="201"/>
      <c r="S457" s="201"/>
      <c r="T457" s="201"/>
      <c r="U457" s="201">
        <f>IF(AND('Mail Merge'!$I457="Did Not Meet",'Mail Merge'!$N457="Did Not Meet"),MIN(ABS('Mail Merge'!$H457),ABS('Mail Merge'!$M457),'Mail Merge'!$Q457),0)</f>
        <v>0</v>
      </c>
      <c r="V457" s="201" t="str">
        <f>IF(OR(IFERROR(SEARCH("Met",'Mail Merge'!$N457),0)&gt;0,IFERROR(SEARCH("Met",'Mail Merge'!$I457),0)&gt;0),"Met","Not Met")</f>
        <v>Met</v>
      </c>
    </row>
    <row r="458" spans="1:22" x14ac:dyDescent="0.35">
      <c r="A458" s="198" t="s">
        <v>84</v>
      </c>
      <c r="B458" s="199">
        <v>2248</v>
      </c>
      <c r="C458" s="199" t="s">
        <v>22</v>
      </c>
      <c r="D458" s="199">
        <v>19</v>
      </c>
      <c r="E458" s="199">
        <v>53767.69</v>
      </c>
      <c r="F458" s="199">
        <v>80454</v>
      </c>
      <c r="G458" s="199">
        <f>'Mail Merge'!$E458+'Mail Merge'!$F458</f>
        <v>134221.69</v>
      </c>
      <c r="H458" s="199">
        <v>0</v>
      </c>
      <c r="I458" s="199" t="s">
        <v>241</v>
      </c>
      <c r="J458" s="199">
        <f>IFERROR('Mail Merge'!$E458/'Mail Merge'!$D458,0)</f>
        <v>2829.8784210526319</v>
      </c>
      <c r="K458" s="199">
        <f>IFERROR('Mail Merge'!$F458/'Mail Merge'!$D458,0)</f>
        <v>4234.4210526315792</v>
      </c>
      <c r="L458" s="199">
        <f>IFERROR('Mail Merge'!$G458/'Mail Merge'!$D458,0)</f>
        <v>7064.2994736842111</v>
      </c>
      <c r="M458" s="199">
        <v>0</v>
      </c>
      <c r="N458" s="199" t="s">
        <v>241</v>
      </c>
      <c r="O458" s="199">
        <v>22799.24</v>
      </c>
      <c r="P458" s="199">
        <v>13.74</v>
      </c>
      <c r="Q458" s="199">
        <f>'Mail Merge'!$O458+'Mail Merge'!$P458</f>
        <v>22812.980000000003</v>
      </c>
      <c r="R458" s="199"/>
      <c r="S458" s="199"/>
      <c r="T458" s="199"/>
      <c r="U458" s="199">
        <f>IF(AND('Mail Merge'!$I458="Did Not Meet",'Mail Merge'!$N458="Did Not Meet"),MIN(ABS('Mail Merge'!$H458),ABS('Mail Merge'!$M458),'Mail Merge'!$Q458),0)</f>
        <v>0</v>
      </c>
      <c r="V458" s="199" t="str">
        <f>IF(OR(IFERROR(SEARCH("Met",'Mail Merge'!$N458),0)&gt;0,IFERROR(SEARCH("Met",'Mail Merge'!$I458),0)&gt;0),"Met","Not Met")</f>
        <v>Met</v>
      </c>
    </row>
    <row r="459" spans="1:22" x14ac:dyDescent="0.35">
      <c r="A459" s="200" t="s">
        <v>85</v>
      </c>
      <c r="B459" s="201">
        <v>2020</v>
      </c>
      <c r="C459" s="201" t="s">
        <v>22</v>
      </c>
      <c r="D459" s="201">
        <v>1</v>
      </c>
      <c r="E459" s="201">
        <v>10297.94</v>
      </c>
      <c r="F459" s="201">
        <v>1880</v>
      </c>
      <c r="G459" s="201">
        <f>'Mail Merge'!$E459+'Mail Merge'!$F459</f>
        <v>12177.94</v>
      </c>
      <c r="H459" s="201">
        <v>0</v>
      </c>
      <c r="I459" s="201" t="s">
        <v>241</v>
      </c>
      <c r="J459" s="201">
        <f>IFERROR('Mail Merge'!$E459/'Mail Merge'!$D459,0)</f>
        <v>10297.94</v>
      </c>
      <c r="K459" s="201">
        <f>IFERROR('Mail Merge'!$F459/'Mail Merge'!$D459,0)</f>
        <v>1880</v>
      </c>
      <c r="L459" s="201">
        <f>IFERROR('Mail Merge'!$G459/'Mail Merge'!$D459,0)</f>
        <v>12177.94</v>
      </c>
      <c r="M459" s="201">
        <v>0</v>
      </c>
      <c r="N459" s="201" t="s">
        <v>241</v>
      </c>
      <c r="O459" s="201">
        <v>0</v>
      </c>
      <c r="P459" s="201">
        <v>0</v>
      </c>
      <c r="Q459" s="201">
        <f>'Mail Merge'!$O459+'Mail Merge'!$P459</f>
        <v>0</v>
      </c>
      <c r="R459" s="201"/>
      <c r="S459" s="201"/>
      <c r="T459" s="201"/>
      <c r="U459" s="201">
        <f>IF(AND('Mail Merge'!$I459="Did Not Meet",'Mail Merge'!$N459="Did Not Meet"),MIN(ABS('Mail Merge'!$H459),ABS('Mail Merge'!$M459),'Mail Merge'!$Q459),0)</f>
        <v>0</v>
      </c>
      <c r="V459" s="201" t="str">
        <f>IF(OR(IFERROR(SEARCH("Met",'Mail Merge'!$N459),0)&gt;0,IFERROR(SEARCH("Met",'Mail Merge'!$I459),0)&gt;0),"Met","Not Met")</f>
        <v>Met</v>
      </c>
    </row>
    <row r="460" spans="1:22" x14ac:dyDescent="0.35">
      <c r="A460" s="198" t="s">
        <v>86</v>
      </c>
      <c r="B460" s="199">
        <v>2245</v>
      </c>
      <c r="C460" s="199" t="s">
        <v>22</v>
      </c>
      <c r="D460" s="199">
        <v>94</v>
      </c>
      <c r="E460" s="199">
        <v>740671.48</v>
      </c>
      <c r="F460" s="199">
        <v>29871</v>
      </c>
      <c r="G460" s="199">
        <f>'Mail Merge'!$E460+'Mail Merge'!$F460</f>
        <v>770542.48</v>
      </c>
      <c r="H460" s="199">
        <v>0</v>
      </c>
      <c r="I460" s="199" t="s">
        <v>241</v>
      </c>
      <c r="J460" s="199">
        <f>IFERROR('Mail Merge'!$E460/'Mail Merge'!$D460,0)</f>
        <v>7879.4838297872338</v>
      </c>
      <c r="K460" s="199">
        <f>IFERROR('Mail Merge'!$F460/'Mail Merge'!$D460,0)</f>
        <v>317.77659574468083</v>
      </c>
      <c r="L460" s="199">
        <f>IFERROR('Mail Merge'!$G460/'Mail Merge'!$D460,0)</f>
        <v>8197.2604255319147</v>
      </c>
      <c r="M460" s="199">
        <v>0</v>
      </c>
      <c r="N460" s="199" t="s">
        <v>240</v>
      </c>
      <c r="O460" s="199">
        <v>87262.88</v>
      </c>
      <c r="P460" s="199">
        <v>0</v>
      </c>
      <c r="Q460" s="199">
        <f>'Mail Merge'!$O460+'Mail Merge'!$P460</f>
        <v>87262.88</v>
      </c>
      <c r="R460" s="199"/>
      <c r="S460" s="199"/>
      <c r="T460" s="199"/>
      <c r="U460" s="199">
        <f>IF(AND('Mail Merge'!$I460="Did Not Meet",'Mail Merge'!$N460="Did Not Meet"),MIN(ABS('Mail Merge'!$H460),ABS('Mail Merge'!$M460),'Mail Merge'!$Q460),0)</f>
        <v>0</v>
      </c>
      <c r="V460" s="199" t="str">
        <f>IF(OR(IFERROR(SEARCH("Met",'Mail Merge'!$N460),0)&gt;0,IFERROR(SEARCH("Met",'Mail Merge'!$I460),0)&gt;0),"Met","Not Met")</f>
        <v>Met</v>
      </c>
    </row>
    <row r="461" spans="1:22" x14ac:dyDescent="0.35">
      <c r="A461" s="200" t="s">
        <v>87</v>
      </c>
      <c r="B461" s="201">
        <v>2137</v>
      </c>
      <c r="C461" s="201" t="s">
        <v>22</v>
      </c>
      <c r="D461" s="201">
        <v>158</v>
      </c>
      <c r="E461" s="201">
        <v>1298854.2</v>
      </c>
      <c r="F461" s="201">
        <v>116406.66</v>
      </c>
      <c r="G461" s="201">
        <f>'Mail Merge'!$E461+'Mail Merge'!$F461</f>
        <v>1415260.8599999999</v>
      </c>
      <c r="H461" s="201">
        <v>0</v>
      </c>
      <c r="I461" s="201" t="s">
        <v>241</v>
      </c>
      <c r="J461" s="201">
        <f>IFERROR('Mail Merge'!$E461/'Mail Merge'!$D461,0)</f>
        <v>8220.5962025316458</v>
      </c>
      <c r="K461" s="201">
        <f>IFERROR('Mail Merge'!$F461/'Mail Merge'!$D461,0)</f>
        <v>736.75101265822786</v>
      </c>
      <c r="L461" s="201">
        <f>IFERROR('Mail Merge'!$G461/'Mail Merge'!$D461,0)</f>
        <v>8957.3472151898732</v>
      </c>
      <c r="M461" s="201">
        <v>0</v>
      </c>
      <c r="N461" s="201" t="s">
        <v>241</v>
      </c>
      <c r="O461" s="201">
        <v>216008.83</v>
      </c>
      <c r="P461" s="201">
        <v>1102.68</v>
      </c>
      <c r="Q461" s="201">
        <f>'Mail Merge'!$O461+'Mail Merge'!$P461</f>
        <v>217111.50999999998</v>
      </c>
      <c r="R461" s="201"/>
      <c r="S461" s="201"/>
      <c r="T461" s="201"/>
      <c r="U461" s="201">
        <f>IF(AND('Mail Merge'!$I461="Did Not Meet",'Mail Merge'!$N461="Did Not Meet"),MIN(ABS('Mail Merge'!$H461),ABS('Mail Merge'!$M461),'Mail Merge'!$Q461),0)</f>
        <v>0</v>
      </c>
      <c r="V461" s="201" t="str">
        <f>IF(OR(IFERROR(SEARCH("Met",'Mail Merge'!$N461),0)&gt;0,IFERROR(SEARCH("Met",'Mail Merge'!$I461),0)&gt;0),"Met","Not Met")</f>
        <v>Met</v>
      </c>
    </row>
    <row r="462" spans="1:22" x14ac:dyDescent="0.35">
      <c r="A462" s="198" t="s">
        <v>88</v>
      </c>
      <c r="B462" s="199">
        <v>1931</v>
      </c>
      <c r="C462" s="199" t="s">
        <v>22</v>
      </c>
      <c r="D462" s="199">
        <v>301</v>
      </c>
      <c r="E462" s="199">
        <v>2342600.73</v>
      </c>
      <c r="F462" s="199">
        <v>273291</v>
      </c>
      <c r="G462" s="199">
        <f>'Mail Merge'!$E462+'Mail Merge'!$F462</f>
        <v>2615891.73</v>
      </c>
      <c r="H462" s="199">
        <v>0</v>
      </c>
      <c r="I462" s="199" t="s">
        <v>241</v>
      </c>
      <c r="J462" s="199">
        <f>IFERROR('Mail Merge'!$E462/'Mail Merge'!$D462,0)</f>
        <v>7782.726677740864</v>
      </c>
      <c r="K462" s="199">
        <f>IFERROR('Mail Merge'!$F462/'Mail Merge'!$D462,0)</f>
        <v>907.9435215946844</v>
      </c>
      <c r="L462" s="199">
        <f>IFERROR('Mail Merge'!$G462/'Mail Merge'!$D462,0)</f>
        <v>8690.6701993355473</v>
      </c>
      <c r="M462" s="199">
        <v>0</v>
      </c>
      <c r="N462" s="199" t="s">
        <v>240</v>
      </c>
      <c r="O462" s="199">
        <v>392237.85</v>
      </c>
      <c r="P462" s="199">
        <v>1110.1600000000001</v>
      </c>
      <c r="Q462" s="199">
        <f>'Mail Merge'!$O462+'Mail Merge'!$P462</f>
        <v>393348.00999999995</v>
      </c>
      <c r="R462" s="199"/>
      <c r="S462" s="199"/>
      <c r="T462" s="199"/>
      <c r="U462" s="199">
        <f>IF(AND('Mail Merge'!$I462="Did Not Meet",'Mail Merge'!$N462="Did Not Meet"),MIN(ABS('Mail Merge'!$H462),ABS('Mail Merge'!$M462),'Mail Merge'!$Q462),0)</f>
        <v>0</v>
      </c>
      <c r="V462" s="199" t="str">
        <f>IF(OR(IFERROR(SEARCH("Met",'Mail Merge'!$N462),0)&gt;0,IFERROR(SEARCH("Met",'Mail Merge'!$I462),0)&gt;0),"Met","Not Met")</f>
        <v>Met</v>
      </c>
    </row>
    <row r="463" spans="1:22" x14ac:dyDescent="0.35">
      <c r="A463" s="200" t="s">
        <v>89</v>
      </c>
      <c r="B463" s="201">
        <v>2000</v>
      </c>
      <c r="C463" s="201" t="s">
        <v>22</v>
      </c>
      <c r="D463" s="201">
        <v>38</v>
      </c>
      <c r="E463" s="201">
        <v>380068</v>
      </c>
      <c r="F463" s="201">
        <v>58721.08</v>
      </c>
      <c r="G463" s="201">
        <f>'Mail Merge'!$E463+'Mail Merge'!$F463</f>
        <v>438789.08</v>
      </c>
      <c r="H463" s="201">
        <v>0</v>
      </c>
      <c r="I463" s="201" t="s">
        <v>241</v>
      </c>
      <c r="J463" s="201">
        <f>IFERROR('Mail Merge'!$E463/'Mail Merge'!$D463,0)</f>
        <v>10001.78947368421</v>
      </c>
      <c r="K463" s="201">
        <f>IFERROR('Mail Merge'!$F463/'Mail Merge'!$D463,0)</f>
        <v>1545.2915789473684</v>
      </c>
      <c r="L463" s="201">
        <f>IFERROR('Mail Merge'!$G463/'Mail Merge'!$D463,0)</f>
        <v>11547.08105263158</v>
      </c>
      <c r="M463" s="201">
        <v>0</v>
      </c>
      <c r="N463" s="201" t="s">
        <v>241</v>
      </c>
      <c r="O463" s="201">
        <v>64472.959999999999</v>
      </c>
      <c r="P463" s="201">
        <v>518.62</v>
      </c>
      <c r="Q463" s="201">
        <f>'Mail Merge'!$O463+'Mail Merge'!$P463</f>
        <v>64991.58</v>
      </c>
      <c r="R463" s="201"/>
      <c r="S463" s="201"/>
      <c r="T463" s="201"/>
      <c r="U463" s="201">
        <f>IF(AND('Mail Merge'!$I463="Did Not Meet",'Mail Merge'!$N463="Did Not Meet"),MIN(ABS('Mail Merge'!$H463),ABS('Mail Merge'!$M463),'Mail Merge'!$Q463),0)</f>
        <v>0</v>
      </c>
      <c r="V463" s="201" t="str">
        <f>IF(OR(IFERROR(SEARCH("Met",'Mail Merge'!$N463),0)&gt;0,IFERROR(SEARCH("Met",'Mail Merge'!$I463),0)&gt;0),"Met","Not Met")</f>
        <v>Met</v>
      </c>
    </row>
    <row r="464" spans="1:22" x14ac:dyDescent="0.35">
      <c r="A464" s="198" t="s">
        <v>90</v>
      </c>
      <c r="B464" s="199">
        <v>1992</v>
      </c>
      <c r="C464" s="199" t="s">
        <v>22</v>
      </c>
      <c r="D464" s="199">
        <v>74</v>
      </c>
      <c r="E464" s="199">
        <v>521162.23</v>
      </c>
      <c r="F464" s="199">
        <v>117055.33</v>
      </c>
      <c r="G464" s="199">
        <f>'Mail Merge'!$E464+'Mail Merge'!$F464</f>
        <v>638217.55999999994</v>
      </c>
      <c r="H464" s="199">
        <v>0</v>
      </c>
      <c r="I464" s="199" t="s">
        <v>241</v>
      </c>
      <c r="J464" s="199">
        <f>IFERROR('Mail Merge'!$E464/'Mail Merge'!$D464,0)</f>
        <v>7042.7328378378379</v>
      </c>
      <c r="K464" s="199">
        <f>IFERROR('Mail Merge'!$F464/'Mail Merge'!$D464,0)</f>
        <v>1581.8287837837838</v>
      </c>
      <c r="L464" s="199">
        <f>IFERROR('Mail Merge'!$G464/'Mail Merge'!$D464,0)</f>
        <v>8624.5616216216204</v>
      </c>
      <c r="M464" s="199">
        <v>0</v>
      </c>
      <c r="N464" s="199" t="s">
        <v>241</v>
      </c>
      <c r="O464" s="199">
        <v>148932.07</v>
      </c>
      <c r="P464" s="199">
        <v>1129.57</v>
      </c>
      <c r="Q464" s="199">
        <f>'Mail Merge'!$O464+'Mail Merge'!$P464</f>
        <v>150061.64000000001</v>
      </c>
      <c r="R464" s="199"/>
      <c r="S464" s="199"/>
      <c r="T464" s="199"/>
      <c r="U464" s="199">
        <f>IF(AND('Mail Merge'!$I464="Did Not Meet",'Mail Merge'!$N464="Did Not Meet"),MIN(ABS('Mail Merge'!$H464),ABS('Mail Merge'!$M464),'Mail Merge'!$Q464),0)</f>
        <v>0</v>
      </c>
      <c r="V464" s="199" t="str">
        <f>IF(OR(IFERROR(SEARCH("Met",'Mail Merge'!$N464),0)&gt;0,IFERROR(SEARCH("Met",'Mail Merge'!$I464),0)&gt;0),"Met","Not Met")</f>
        <v>Met</v>
      </c>
    </row>
    <row r="465" spans="1:22" x14ac:dyDescent="0.35">
      <c r="A465" s="200" t="s">
        <v>91</v>
      </c>
      <c r="B465" s="201">
        <v>2054</v>
      </c>
      <c r="C465" s="201" t="s">
        <v>22</v>
      </c>
      <c r="D465" s="201">
        <v>596</v>
      </c>
      <c r="E465" s="201">
        <v>3875862.57</v>
      </c>
      <c r="F465" s="201">
        <v>200146.89</v>
      </c>
      <c r="G465" s="201">
        <f>'Mail Merge'!$E465+'Mail Merge'!$F465</f>
        <v>4076009.46</v>
      </c>
      <c r="H465" s="201">
        <v>0</v>
      </c>
      <c r="I465" s="201" t="s">
        <v>241</v>
      </c>
      <c r="J465" s="201">
        <f>IFERROR('Mail Merge'!$E465/'Mail Merge'!$D465,0)</f>
        <v>6503.1251174496638</v>
      </c>
      <c r="K465" s="201">
        <f>IFERROR('Mail Merge'!$F465/'Mail Merge'!$D465,0)</f>
        <v>335.81692953020138</v>
      </c>
      <c r="L465" s="201">
        <f>IFERROR('Mail Merge'!$G465/'Mail Merge'!$D465,0)</f>
        <v>6838.9420469798661</v>
      </c>
      <c r="M465" s="201">
        <v>0</v>
      </c>
      <c r="N465" s="201" t="s">
        <v>241</v>
      </c>
      <c r="O465" s="201">
        <v>779230.48</v>
      </c>
      <c r="P465" s="201">
        <v>7286.5</v>
      </c>
      <c r="Q465" s="201">
        <f>'Mail Merge'!$O465+'Mail Merge'!$P465</f>
        <v>786516.98</v>
      </c>
      <c r="R465" s="201"/>
      <c r="S465" s="201"/>
      <c r="T465" s="201"/>
      <c r="U465" s="201">
        <f>IF(AND('Mail Merge'!$I465="Did Not Meet",'Mail Merge'!$N465="Did Not Meet"),MIN(ABS('Mail Merge'!$H465),ABS('Mail Merge'!$M465),'Mail Merge'!$Q465),0)</f>
        <v>0</v>
      </c>
      <c r="V465" s="201" t="str">
        <f>IF(OR(IFERROR(SEARCH("Met",'Mail Merge'!$N465),0)&gt;0,IFERROR(SEARCH("Met",'Mail Merge'!$I465),0)&gt;0),"Met","Not Met")</f>
        <v>Met</v>
      </c>
    </row>
    <row r="466" spans="1:22" x14ac:dyDescent="0.35">
      <c r="A466" s="198" t="s">
        <v>92</v>
      </c>
      <c r="B466" s="199">
        <v>2100</v>
      </c>
      <c r="C466" s="199" t="s">
        <v>22</v>
      </c>
      <c r="D466" s="199">
        <v>1202</v>
      </c>
      <c r="E466" s="199">
        <v>10309098.109999999</v>
      </c>
      <c r="F466" s="199">
        <v>836032</v>
      </c>
      <c r="G466" s="199">
        <f>'Mail Merge'!$E466+'Mail Merge'!$F466</f>
        <v>11145130.109999999</v>
      </c>
      <c r="H466" s="199">
        <v>0</v>
      </c>
      <c r="I466" s="199" t="s">
        <v>241</v>
      </c>
      <c r="J466" s="199">
        <f>IFERROR('Mail Merge'!$E466/'Mail Merge'!$D466,0)</f>
        <v>8576.620723793676</v>
      </c>
      <c r="K466" s="199">
        <f>IFERROR('Mail Merge'!$F466/'Mail Merge'!$D466,0)</f>
        <v>695.53410981697175</v>
      </c>
      <c r="L466" s="199">
        <f>IFERROR('Mail Merge'!$G466/'Mail Merge'!$D466,0)</f>
        <v>9272.154833610648</v>
      </c>
      <c r="M466" s="199">
        <v>0</v>
      </c>
      <c r="N466" s="199" t="s">
        <v>241</v>
      </c>
      <c r="O466" s="199">
        <v>1470421.37</v>
      </c>
      <c r="P466" s="199">
        <v>17132.080000000002</v>
      </c>
      <c r="Q466" s="199">
        <f>'Mail Merge'!$O466+'Mail Merge'!$P466</f>
        <v>1487553.4500000002</v>
      </c>
      <c r="R466" s="199"/>
      <c r="S466" s="199"/>
      <c r="T466" s="199"/>
      <c r="U466" s="199">
        <f>IF(AND('Mail Merge'!$I466="Did Not Meet",'Mail Merge'!$N466="Did Not Meet"),MIN(ABS('Mail Merge'!$H466),ABS('Mail Merge'!$M466),'Mail Merge'!$Q466),0)</f>
        <v>0</v>
      </c>
      <c r="V466" s="199" t="str">
        <f>IF(OR(IFERROR(SEARCH("Met",'Mail Merge'!$N466),0)&gt;0,IFERROR(SEARCH("Met",'Mail Merge'!$I466),0)&gt;0),"Met","Not Met")</f>
        <v>Met</v>
      </c>
    </row>
    <row r="467" spans="1:22" x14ac:dyDescent="0.35">
      <c r="A467" s="200" t="s">
        <v>93</v>
      </c>
      <c r="B467" s="201">
        <v>2183</v>
      </c>
      <c r="C467" s="201" t="s">
        <v>22</v>
      </c>
      <c r="D467" s="201">
        <v>1329</v>
      </c>
      <c r="E467" s="201">
        <v>11920044.92</v>
      </c>
      <c r="F467" s="201">
        <v>1946326</v>
      </c>
      <c r="G467" s="201">
        <f>'Mail Merge'!$E467+'Mail Merge'!$F467</f>
        <v>13866370.92</v>
      </c>
      <c r="H467" s="201">
        <v>0</v>
      </c>
      <c r="I467" s="201" t="s">
        <v>241</v>
      </c>
      <c r="J467" s="201">
        <f>IFERROR('Mail Merge'!$E467/'Mail Merge'!$D467,0)</f>
        <v>8969.1835364936051</v>
      </c>
      <c r="K467" s="201">
        <f>IFERROR('Mail Merge'!$F467/'Mail Merge'!$D467,0)</f>
        <v>1464.5041384499623</v>
      </c>
      <c r="L467" s="201">
        <f>IFERROR('Mail Merge'!$G467/'Mail Merge'!$D467,0)</f>
        <v>10433.687674943567</v>
      </c>
      <c r="M467" s="201">
        <v>0</v>
      </c>
      <c r="N467" s="201" t="s">
        <v>240</v>
      </c>
      <c r="O467" s="201">
        <v>2088181.16</v>
      </c>
      <c r="P467" s="201">
        <v>14015.35</v>
      </c>
      <c r="Q467" s="201">
        <f>'Mail Merge'!$O467+'Mail Merge'!$P467</f>
        <v>2102196.5099999998</v>
      </c>
      <c r="R467" s="201"/>
      <c r="S467" s="201"/>
      <c r="T467" s="201"/>
      <c r="U467" s="201">
        <f>IF(AND('Mail Merge'!$I467="Did Not Meet",'Mail Merge'!$N467="Did Not Meet"),MIN(ABS('Mail Merge'!$H467),ABS('Mail Merge'!$M467),'Mail Merge'!$Q467),0)</f>
        <v>0</v>
      </c>
      <c r="V467" s="201" t="str">
        <f>IF(OR(IFERROR(SEARCH("Met",'Mail Merge'!$N467),0)&gt;0,IFERROR(SEARCH("Met",'Mail Merge'!$I467),0)&gt;0),"Met","Not Met")</f>
        <v>Met</v>
      </c>
    </row>
    <row r="468" spans="1:22" x14ac:dyDescent="0.35">
      <c r="A468" s="198" t="s">
        <v>94</v>
      </c>
      <c r="B468" s="199">
        <v>2014</v>
      </c>
      <c r="C468" s="199" t="s">
        <v>22</v>
      </c>
      <c r="D468" s="199">
        <v>121</v>
      </c>
      <c r="E468" s="199">
        <v>1198198.1200000001</v>
      </c>
      <c r="F468" s="199">
        <v>139957</v>
      </c>
      <c r="G468" s="199">
        <f>'Mail Merge'!$E468+'Mail Merge'!$F468</f>
        <v>1338155.1200000001</v>
      </c>
      <c r="H468" s="199">
        <v>0</v>
      </c>
      <c r="I468" s="199" t="s">
        <v>242</v>
      </c>
      <c r="J468" s="199">
        <f>IFERROR('Mail Merge'!$E468/'Mail Merge'!$D468,0)</f>
        <v>9902.4638016528934</v>
      </c>
      <c r="K468" s="199">
        <f>IFERROR('Mail Merge'!$F468/'Mail Merge'!$D468,0)</f>
        <v>1156.6694214876034</v>
      </c>
      <c r="L468" s="199">
        <f>IFERROR('Mail Merge'!$G468/'Mail Merge'!$D468,0)</f>
        <v>11059.133223140498</v>
      </c>
      <c r="M468" s="199">
        <v>0</v>
      </c>
      <c r="N468" s="199" t="s">
        <v>241</v>
      </c>
      <c r="O468" s="199">
        <v>188659.03</v>
      </c>
      <c r="P468" s="199">
        <v>3428.88</v>
      </c>
      <c r="Q468" s="199">
        <f>'Mail Merge'!$O468+'Mail Merge'!$P468</f>
        <v>192087.91</v>
      </c>
      <c r="R468" s="199"/>
      <c r="S468" s="199">
        <v>223354.61</v>
      </c>
      <c r="T468" s="199">
        <v>223354.61</v>
      </c>
      <c r="U468" s="199">
        <f>IF(AND('Mail Merge'!$I468="Did Not Meet",'Mail Merge'!$N468="Did Not Meet"),MIN(ABS('Mail Merge'!$H468),ABS('Mail Merge'!$M468),'Mail Merge'!$Q468),0)</f>
        <v>0</v>
      </c>
      <c r="V468" s="199" t="str">
        <f>IF(OR(IFERROR(SEARCH("Met",'Mail Merge'!$N468),0)&gt;0,IFERROR(SEARCH("Met",'Mail Merge'!$I468),0)&gt;0),"Met","Not Met")</f>
        <v>Met</v>
      </c>
    </row>
    <row r="469" spans="1:22" x14ac:dyDescent="0.35">
      <c r="A469" s="200" t="s">
        <v>95</v>
      </c>
      <c r="B469" s="201">
        <v>2015</v>
      </c>
      <c r="C469" s="201" t="s">
        <v>22</v>
      </c>
      <c r="D469" s="201">
        <v>5</v>
      </c>
      <c r="E469" s="201">
        <v>44593</v>
      </c>
      <c r="F469" s="201">
        <v>4460</v>
      </c>
      <c r="G469" s="201">
        <f>'Mail Merge'!$E469+'Mail Merge'!$F469</f>
        <v>49053</v>
      </c>
      <c r="H469" s="201">
        <v>0</v>
      </c>
      <c r="I469" s="201" t="s">
        <v>241</v>
      </c>
      <c r="J469" s="201">
        <f>IFERROR('Mail Merge'!$E469/'Mail Merge'!$D469,0)</f>
        <v>8918.6</v>
      </c>
      <c r="K469" s="201">
        <f>IFERROR('Mail Merge'!$F469/'Mail Merge'!$D469,0)</f>
        <v>892</v>
      </c>
      <c r="L469" s="201">
        <f>IFERROR('Mail Merge'!$G469/'Mail Merge'!$D469,0)</f>
        <v>9810.6</v>
      </c>
      <c r="M469" s="201">
        <v>0</v>
      </c>
      <c r="N469" s="201" t="s">
        <v>241</v>
      </c>
      <c r="O469" s="201">
        <v>12218.87</v>
      </c>
      <c r="P469" s="201">
        <v>0</v>
      </c>
      <c r="Q469" s="201">
        <f>'Mail Merge'!$O469+'Mail Merge'!$P469</f>
        <v>12218.87</v>
      </c>
      <c r="R469" s="201"/>
      <c r="S469" s="201"/>
      <c r="T469" s="201"/>
      <c r="U469" s="201">
        <f>IF(AND('Mail Merge'!$I469="Did Not Meet",'Mail Merge'!$N469="Did Not Meet"),MIN(ABS('Mail Merge'!$H469),ABS('Mail Merge'!$M469),'Mail Merge'!$Q469),0)</f>
        <v>0</v>
      </c>
      <c r="V469" s="201" t="str">
        <f>IF(OR(IFERROR(SEARCH("Met",'Mail Merge'!$N469),0)&gt;0,IFERROR(SEARCH("Met",'Mail Merge'!$I469),0)&gt;0),"Met","Not Met")</f>
        <v>Met</v>
      </c>
    </row>
    <row r="470" spans="1:22" x14ac:dyDescent="0.35">
      <c r="A470" s="198" t="s">
        <v>96</v>
      </c>
      <c r="B470" s="199">
        <v>2023</v>
      </c>
      <c r="C470" s="199" t="s">
        <v>22</v>
      </c>
      <c r="D470" s="199">
        <v>3</v>
      </c>
      <c r="E470" s="199">
        <v>42998.45</v>
      </c>
      <c r="F470" s="199">
        <v>5533</v>
      </c>
      <c r="G470" s="199">
        <f>'Mail Merge'!$E470+'Mail Merge'!$F470</f>
        <v>48531.45</v>
      </c>
      <c r="H470" s="199">
        <v>0</v>
      </c>
      <c r="I470" s="199" t="s">
        <v>241</v>
      </c>
      <c r="J470" s="199">
        <f>IFERROR('Mail Merge'!$E470/'Mail Merge'!$D470,0)</f>
        <v>14332.816666666666</v>
      </c>
      <c r="K470" s="199">
        <f>IFERROR('Mail Merge'!$F470/'Mail Merge'!$D470,0)</f>
        <v>1844.3333333333333</v>
      </c>
      <c r="L470" s="199">
        <f>IFERROR('Mail Merge'!$G470/'Mail Merge'!$D470,0)</f>
        <v>16177.15</v>
      </c>
      <c r="M470" s="199">
        <v>0</v>
      </c>
      <c r="N470" s="199" t="s">
        <v>241</v>
      </c>
      <c r="O470" s="199">
        <v>15929.13</v>
      </c>
      <c r="P470" s="199">
        <v>0</v>
      </c>
      <c r="Q470" s="199">
        <f>'Mail Merge'!$O470+'Mail Merge'!$P470</f>
        <v>15929.13</v>
      </c>
      <c r="R470" s="199"/>
      <c r="S470" s="199"/>
      <c r="T470" s="199"/>
      <c r="U470" s="199">
        <f>IF(AND('Mail Merge'!$I470="Did Not Meet",'Mail Merge'!$N470="Did Not Meet"),MIN(ABS('Mail Merge'!$H470),ABS('Mail Merge'!$M470),'Mail Merge'!$Q470),0)</f>
        <v>0</v>
      </c>
      <c r="V470" s="199" t="str">
        <f>IF(OR(IFERROR(SEARCH("Met",'Mail Merge'!$N470),0)&gt;0,IFERROR(SEARCH("Met",'Mail Merge'!$I470),0)&gt;0),"Met","Not Met")</f>
        <v>Met</v>
      </c>
    </row>
    <row r="471" spans="1:22" x14ac:dyDescent="0.35">
      <c r="A471" s="200" t="s">
        <v>97</v>
      </c>
      <c r="B471" s="201">
        <v>2114</v>
      </c>
      <c r="C471" s="201" t="s">
        <v>22</v>
      </c>
      <c r="D471" s="201">
        <v>17</v>
      </c>
      <c r="E471" s="201">
        <v>31069.200000000001</v>
      </c>
      <c r="F471" s="201">
        <v>22678.2</v>
      </c>
      <c r="G471" s="201">
        <f>'Mail Merge'!$E471+'Mail Merge'!$F471</f>
        <v>53747.4</v>
      </c>
      <c r="H471" s="201">
        <v>0</v>
      </c>
      <c r="I471" s="201" t="s">
        <v>241</v>
      </c>
      <c r="J471" s="201">
        <f>IFERROR('Mail Merge'!$E471/'Mail Merge'!$D471,0)</f>
        <v>1827.6000000000001</v>
      </c>
      <c r="K471" s="201">
        <f>IFERROR('Mail Merge'!$F471/'Mail Merge'!$D471,0)</f>
        <v>1334.0117647058823</v>
      </c>
      <c r="L471" s="201">
        <f>IFERROR('Mail Merge'!$G471/'Mail Merge'!$D471,0)</f>
        <v>3161.6117647058823</v>
      </c>
      <c r="M471" s="201">
        <v>0</v>
      </c>
      <c r="N471" s="201" t="s">
        <v>240</v>
      </c>
      <c r="O471" s="201">
        <v>13138.49</v>
      </c>
      <c r="P471" s="201">
        <v>977.6</v>
      </c>
      <c r="Q471" s="201">
        <f>'Mail Merge'!$O471+'Mail Merge'!$P471</f>
        <v>14116.09</v>
      </c>
      <c r="R471" s="201"/>
      <c r="S471" s="201"/>
      <c r="T471" s="201"/>
      <c r="U471" s="201">
        <f>IF(AND('Mail Merge'!$I471="Did Not Meet",'Mail Merge'!$N471="Did Not Meet"),MIN(ABS('Mail Merge'!$H471),ABS('Mail Merge'!$M471),'Mail Merge'!$Q471),0)</f>
        <v>0</v>
      </c>
      <c r="V471" s="201" t="str">
        <f>IF(OR(IFERROR(SEARCH("Met",'Mail Merge'!$N471),0)&gt;0,IFERROR(SEARCH("Met",'Mail Merge'!$I471),0)&gt;0),"Met","Not Met")</f>
        <v>Met</v>
      </c>
    </row>
    <row r="472" spans="1:22" x14ac:dyDescent="0.35">
      <c r="A472" s="198" t="s">
        <v>98</v>
      </c>
      <c r="B472" s="199">
        <v>2099</v>
      </c>
      <c r="C472" s="199" t="s">
        <v>22</v>
      </c>
      <c r="D472" s="199">
        <v>128</v>
      </c>
      <c r="E472" s="199">
        <v>954526</v>
      </c>
      <c r="F472" s="199">
        <v>96526</v>
      </c>
      <c r="G472" s="199">
        <f>'Mail Merge'!$E472+'Mail Merge'!$F472</f>
        <v>1051052</v>
      </c>
      <c r="H472" s="199">
        <v>0</v>
      </c>
      <c r="I472" s="199" t="s">
        <v>241</v>
      </c>
      <c r="J472" s="199">
        <f>IFERROR('Mail Merge'!$E472/'Mail Merge'!$D472,0)</f>
        <v>7457.234375</v>
      </c>
      <c r="K472" s="199">
        <f>IFERROR('Mail Merge'!$F472/'Mail Merge'!$D472,0)</f>
        <v>754.109375</v>
      </c>
      <c r="L472" s="199">
        <f>IFERROR('Mail Merge'!$G472/'Mail Merge'!$D472,0)</f>
        <v>8211.34375</v>
      </c>
      <c r="M472" s="199">
        <v>0</v>
      </c>
      <c r="N472" s="199" t="s">
        <v>241</v>
      </c>
      <c r="O472" s="199">
        <v>137889.44</v>
      </c>
      <c r="P472" s="199">
        <v>406.15</v>
      </c>
      <c r="Q472" s="199">
        <f>'Mail Merge'!$O472+'Mail Merge'!$P472</f>
        <v>138295.59</v>
      </c>
      <c r="R472" s="199"/>
      <c r="S472" s="199"/>
      <c r="T472" s="199"/>
      <c r="U472" s="199">
        <f>IF(AND('Mail Merge'!$I472="Did Not Meet",'Mail Merge'!$N472="Did Not Meet"),MIN(ABS('Mail Merge'!$H472),ABS('Mail Merge'!$M472),'Mail Merge'!$Q472),0)</f>
        <v>0</v>
      </c>
      <c r="V472" s="199" t="str">
        <f>IF(OR(IFERROR(SEARCH("Met",'Mail Merge'!$N472),0)&gt;0,IFERROR(SEARCH("Met",'Mail Merge'!$I472),0)&gt;0),"Met","Not Met")</f>
        <v>Met</v>
      </c>
    </row>
    <row r="473" spans="1:22" x14ac:dyDescent="0.35">
      <c r="A473" s="200" t="s">
        <v>99</v>
      </c>
      <c r="B473" s="201">
        <v>2201</v>
      </c>
      <c r="C473" s="201" t="s">
        <v>22</v>
      </c>
      <c r="D473" s="201">
        <v>11</v>
      </c>
      <c r="E473" s="201">
        <v>80081.850000000006</v>
      </c>
      <c r="F473" s="201">
        <v>16400.86</v>
      </c>
      <c r="G473" s="201">
        <f>'Mail Merge'!$E473+'Mail Merge'!$F473</f>
        <v>96482.71</v>
      </c>
      <c r="H473" s="201">
        <v>0</v>
      </c>
      <c r="I473" s="201" t="s">
        <v>241</v>
      </c>
      <c r="J473" s="201">
        <f>IFERROR('Mail Merge'!$E473/'Mail Merge'!$D473,0)</f>
        <v>7280.1681818181823</v>
      </c>
      <c r="K473" s="201">
        <f>IFERROR('Mail Merge'!$F473/'Mail Merge'!$D473,0)</f>
        <v>1490.9872727272727</v>
      </c>
      <c r="L473" s="201">
        <f>IFERROR('Mail Merge'!$G473/'Mail Merge'!$D473,0)</f>
        <v>8771.1554545454546</v>
      </c>
      <c r="M473" s="201">
        <v>0</v>
      </c>
      <c r="N473" s="201" t="s">
        <v>241</v>
      </c>
      <c r="O473" s="201">
        <v>24268.560000000001</v>
      </c>
      <c r="P473" s="201">
        <v>985.61</v>
      </c>
      <c r="Q473" s="201">
        <f>'Mail Merge'!$O473+'Mail Merge'!$P473</f>
        <v>25254.170000000002</v>
      </c>
      <c r="R473" s="201"/>
      <c r="S473" s="201"/>
      <c r="T473" s="201"/>
      <c r="U473" s="201">
        <f>IF(AND('Mail Merge'!$I473="Did Not Meet",'Mail Merge'!$N473="Did Not Meet"),MIN(ABS('Mail Merge'!$H473),ABS('Mail Merge'!$M473),'Mail Merge'!$Q473),0)</f>
        <v>0</v>
      </c>
      <c r="V473" s="201" t="str">
        <f>IF(OR(IFERROR(SEARCH("Met",'Mail Merge'!$N473),0)&gt;0,IFERROR(SEARCH("Met",'Mail Merge'!$I473),0)&gt;0),"Met","Not Met")</f>
        <v>Met</v>
      </c>
    </row>
    <row r="474" spans="1:22" x14ac:dyDescent="0.35">
      <c r="A474" s="198" t="s">
        <v>100</v>
      </c>
      <c r="B474" s="199">
        <v>2206</v>
      </c>
      <c r="C474" s="199" t="s">
        <v>22</v>
      </c>
      <c r="D474" s="199">
        <v>623</v>
      </c>
      <c r="E474" s="199">
        <v>3470553.05</v>
      </c>
      <c r="F474" s="199">
        <v>975069.75</v>
      </c>
      <c r="G474" s="199">
        <f>'Mail Merge'!$E474+'Mail Merge'!$F474</f>
        <v>4445622.8</v>
      </c>
      <c r="H474" s="199">
        <v>0</v>
      </c>
      <c r="I474" s="199" t="s">
        <v>241</v>
      </c>
      <c r="J474" s="199">
        <f>IFERROR('Mail Merge'!$E474/'Mail Merge'!$D474,0)</f>
        <v>5570.7111556982336</v>
      </c>
      <c r="K474" s="199">
        <f>IFERROR('Mail Merge'!$F474/'Mail Merge'!$D474,0)</f>
        <v>1565.1199839486355</v>
      </c>
      <c r="L474" s="199">
        <f>IFERROR('Mail Merge'!$G474/'Mail Merge'!$D474,0)</f>
        <v>7135.8311396468698</v>
      </c>
      <c r="M474" s="199">
        <v>0</v>
      </c>
      <c r="N474" s="199" t="s">
        <v>240</v>
      </c>
      <c r="O474" s="199">
        <v>752372.39</v>
      </c>
      <c r="P474" s="199">
        <v>4802.96</v>
      </c>
      <c r="Q474" s="199">
        <f>'Mail Merge'!$O474+'Mail Merge'!$P474</f>
        <v>757175.35</v>
      </c>
      <c r="R474" s="199"/>
      <c r="S474" s="199"/>
      <c r="T474" s="199"/>
      <c r="U474" s="199">
        <f>IF(AND('Mail Merge'!$I474="Did Not Meet",'Mail Merge'!$N474="Did Not Meet"),MIN(ABS('Mail Merge'!$H474),ABS('Mail Merge'!$M474),'Mail Merge'!$Q474),0)</f>
        <v>0</v>
      </c>
      <c r="V474" s="199" t="str">
        <f>IF(OR(IFERROR(SEARCH("Met",'Mail Merge'!$N474),0)&gt;0,IFERROR(SEARCH("Met",'Mail Merge'!$I474),0)&gt;0),"Met","Not Met")</f>
        <v>Met</v>
      </c>
    </row>
    <row r="475" spans="1:22" x14ac:dyDescent="0.35">
      <c r="A475" s="200" t="s">
        <v>101</v>
      </c>
      <c r="B475" s="201">
        <v>2239</v>
      </c>
      <c r="C475" s="201" t="s">
        <v>22</v>
      </c>
      <c r="D475" s="201">
        <v>2678</v>
      </c>
      <c r="E475" s="201">
        <v>24137581.18</v>
      </c>
      <c r="F475" s="201">
        <v>4454383</v>
      </c>
      <c r="G475" s="201">
        <f>'Mail Merge'!$E475+'Mail Merge'!$F475</f>
        <v>28591964.18</v>
      </c>
      <c r="H475" s="201">
        <v>0</v>
      </c>
      <c r="I475" s="201" t="s">
        <v>241</v>
      </c>
      <c r="J475" s="201">
        <f>IFERROR('Mail Merge'!$E475/'Mail Merge'!$D475,0)</f>
        <v>9013.2864749813289</v>
      </c>
      <c r="K475" s="201">
        <f>IFERROR('Mail Merge'!$F475/'Mail Merge'!$D475,0)</f>
        <v>1663.324495892457</v>
      </c>
      <c r="L475" s="201">
        <f>IFERROR('Mail Merge'!$G475/'Mail Merge'!$D475,0)</f>
        <v>10676.610970873786</v>
      </c>
      <c r="M475" s="201">
        <v>0</v>
      </c>
      <c r="N475" s="201" t="s">
        <v>241</v>
      </c>
      <c r="O475" s="201">
        <v>2984346.08</v>
      </c>
      <c r="P475" s="201">
        <v>15473.7</v>
      </c>
      <c r="Q475" s="201">
        <f>'Mail Merge'!$O475+'Mail Merge'!$P475</f>
        <v>2999819.7800000003</v>
      </c>
      <c r="R475" s="201"/>
      <c r="S475" s="201"/>
      <c r="T475" s="201"/>
      <c r="U475" s="201">
        <f>IF(AND('Mail Merge'!$I475="Did Not Meet",'Mail Merge'!$N475="Did Not Meet"),MIN(ABS('Mail Merge'!$H475),ABS('Mail Merge'!$M475),'Mail Merge'!$Q475),0)</f>
        <v>0</v>
      </c>
      <c r="V475" s="201" t="str">
        <f>IF(OR(IFERROR(SEARCH("Met",'Mail Merge'!$N475),0)&gt;0,IFERROR(SEARCH("Met",'Mail Merge'!$I475),0)&gt;0),"Met","Not Met")</f>
        <v>Met</v>
      </c>
    </row>
    <row r="476" spans="1:22" x14ac:dyDescent="0.35">
      <c r="A476" s="198" t="s">
        <v>102</v>
      </c>
      <c r="B476" s="199">
        <v>2024</v>
      </c>
      <c r="C476" s="199" t="s">
        <v>22</v>
      </c>
      <c r="D476" s="199">
        <v>543</v>
      </c>
      <c r="E476" s="199">
        <v>3596025.64</v>
      </c>
      <c r="F476" s="199">
        <v>0</v>
      </c>
      <c r="G476" s="199">
        <f>'Mail Merge'!$E476+'Mail Merge'!$F476</f>
        <v>3596025.64</v>
      </c>
      <c r="H476" s="199">
        <v>0</v>
      </c>
      <c r="I476" s="199" t="s">
        <v>241</v>
      </c>
      <c r="J476" s="199">
        <f>IFERROR('Mail Merge'!$E476/'Mail Merge'!$D476,0)</f>
        <v>6622.5149907918967</v>
      </c>
      <c r="K476" s="199">
        <f>IFERROR('Mail Merge'!$F476/'Mail Merge'!$D476,0)</f>
        <v>0</v>
      </c>
      <c r="L476" s="199">
        <f>IFERROR('Mail Merge'!$G476/'Mail Merge'!$D476,0)</f>
        <v>6622.5149907918967</v>
      </c>
      <c r="M476" s="199">
        <v>0</v>
      </c>
      <c r="N476" s="199" t="s">
        <v>241</v>
      </c>
      <c r="O476" s="199">
        <v>691513.7</v>
      </c>
      <c r="P476" s="199">
        <v>7276.12</v>
      </c>
      <c r="Q476" s="199">
        <f>'Mail Merge'!$O476+'Mail Merge'!$P476</f>
        <v>698789.82</v>
      </c>
      <c r="R476" s="199"/>
      <c r="S476" s="199"/>
      <c r="T476" s="199"/>
      <c r="U476" s="199">
        <f>IF(AND('Mail Merge'!$I476="Did Not Meet",'Mail Merge'!$N476="Did Not Meet"),MIN(ABS('Mail Merge'!$H476),ABS('Mail Merge'!$M476),'Mail Merge'!$Q476),0)</f>
        <v>0</v>
      </c>
      <c r="V476" s="199" t="str">
        <f>IF(OR(IFERROR(SEARCH("Met",'Mail Merge'!$N476),0)&gt;0,IFERROR(SEARCH("Met",'Mail Merge'!$I476),0)&gt;0),"Met","Not Met")</f>
        <v>Met</v>
      </c>
    </row>
    <row r="477" spans="1:22" x14ac:dyDescent="0.35">
      <c r="A477" s="200" t="s">
        <v>103</v>
      </c>
      <c r="B477" s="201">
        <v>1895</v>
      </c>
      <c r="C477" s="201" t="s">
        <v>22</v>
      </c>
      <c r="D477" s="201">
        <v>7</v>
      </c>
      <c r="E477" s="201">
        <v>79065.23</v>
      </c>
      <c r="F477" s="201">
        <v>18629.259999999998</v>
      </c>
      <c r="G477" s="201">
        <f>'Mail Merge'!$E477+'Mail Merge'!$F477</f>
        <v>97694.489999999991</v>
      </c>
      <c r="H477" s="201">
        <v>0</v>
      </c>
      <c r="I477" s="201" t="s">
        <v>242</v>
      </c>
      <c r="J477" s="201">
        <f>IFERROR('Mail Merge'!$E477/'Mail Merge'!$D477,0)</f>
        <v>11295.032857142856</v>
      </c>
      <c r="K477" s="201">
        <f>IFERROR('Mail Merge'!$F477/'Mail Merge'!$D477,0)</f>
        <v>2661.3228571428567</v>
      </c>
      <c r="L477" s="201">
        <f>IFERROR('Mail Merge'!$G477/'Mail Merge'!$D477,0)</f>
        <v>13956.355714285713</v>
      </c>
      <c r="M477" s="201">
        <v>0</v>
      </c>
      <c r="N477" s="201" t="s">
        <v>241</v>
      </c>
      <c r="O477" s="201">
        <v>12715.59</v>
      </c>
      <c r="P477" s="201">
        <v>0</v>
      </c>
      <c r="Q477" s="201">
        <f>'Mail Merge'!$O477+'Mail Merge'!$P477</f>
        <v>12715.59</v>
      </c>
      <c r="R477" s="201"/>
      <c r="S477" s="201">
        <v>45224.31</v>
      </c>
      <c r="T477" s="201">
        <v>45224.31</v>
      </c>
      <c r="U477" s="201">
        <f>IF(AND('Mail Merge'!$I477="Did Not Meet",'Mail Merge'!$N477="Did Not Meet"),MIN(ABS('Mail Merge'!$H477),ABS('Mail Merge'!$M477),'Mail Merge'!$Q477),0)</f>
        <v>0</v>
      </c>
      <c r="V477" s="201" t="str">
        <f>IF(OR(IFERROR(SEARCH("Met",'Mail Merge'!$N477),0)&gt;0,IFERROR(SEARCH("Met",'Mail Merge'!$I477),0)&gt;0),"Met","Not Met")</f>
        <v>Met</v>
      </c>
    </row>
    <row r="478" spans="1:22" x14ac:dyDescent="0.35">
      <c r="A478" s="198" t="s">
        <v>104</v>
      </c>
      <c r="B478" s="199">
        <v>2215</v>
      </c>
      <c r="C478" s="199" t="s">
        <v>22</v>
      </c>
      <c r="D478" s="199">
        <v>50</v>
      </c>
      <c r="E478" s="199">
        <v>153535.65</v>
      </c>
      <c r="F478" s="199">
        <v>83175.759999999995</v>
      </c>
      <c r="G478" s="199">
        <f>'Mail Merge'!$E478+'Mail Merge'!$F478</f>
        <v>236711.40999999997</v>
      </c>
      <c r="H478" s="199">
        <v>0</v>
      </c>
      <c r="I478" s="199" t="s">
        <v>241</v>
      </c>
      <c r="J478" s="199">
        <f>IFERROR('Mail Merge'!$E478/'Mail Merge'!$D478,0)</f>
        <v>3070.7129999999997</v>
      </c>
      <c r="K478" s="199">
        <f>IFERROR('Mail Merge'!$F478/'Mail Merge'!$D478,0)</f>
        <v>1663.5151999999998</v>
      </c>
      <c r="L478" s="199">
        <f>IFERROR('Mail Merge'!$G478/'Mail Merge'!$D478,0)</f>
        <v>4734.2281999999996</v>
      </c>
      <c r="M478" s="199">
        <v>0</v>
      </c>
      <c r="N478" s="199" t="s">
        <v>240</v>
      </c>
      <c r="O478" s="199">
        <v>65724.509999999995</v>
      </c>
      <c r="P478" s="199">
        <v>511.3</v>
      </c>
      <c r="Q478" s="199">
        <f>'Mail Merge'!$O478+'Mail Merge'!$P478</f>
        <v>66235.81</v>
      </c>
      <c r="R478" s="199"/>
      <c r="S478" s="199"/>
      <c r="T478" s="199"/>
      <c r="U478" s="199">
        <f>IF(AND('Mail Merge'!$I478="Did Not Meet",'Mail Merge'!$N478="Did Not Meet"),MIN(ABS('Mail Merge'!$H478),ABS('Mail Merge'!$M478),'Mail Merge'!$Q478),0)</f>
        <v>0</v>
      </c>
      <c r="V478" s="199" t="str">
        <f>IF(OR(IFERROR(SEARCH("Met",'Mail Merge'!$N478),0)&gt;0,IFERROR(SEARCH("Met",'Mail Merge'!$I478),0)&gt;0),"Met","Not Met")</f>
        <v>Met</v>
      </c>
    </row>
    <row r="479" spans="1:22" x14ac:dyDescent="0.35">
      <c r="A479" s="200" t="s">
        <v>105</v>
      </c>
      <c r="B479" s="201">
        <v>3997</v>
      </c>
      <c r="C479" s="201" t="s">
        <v>22</v>
      </c>
      <c r="D479" s="201">
        <v>30</v>
      </c>
      <c r="E479" s="201">
        <v>108680.45</v>
      </c>
      <c r="F479" s="201">
        <v>44907.1</v>
      </c>
      <c r="G479" s="201">
        <f>'Mail Merge'!$E479+'Mail Merge'!$F479</f>
        <v>153587.54999999999</v>
      </c>
      <c r="H479" s="201">
        <v>0</v>
      </c>
      <c r="I479" s="201" t="s">
        <v>241</v>
      </c>
      <c r="J479" s="201">
        <f>IFERROR('Mail Merge'!$E479/'Mail Merge'!$D479,0)</f>
        <v>3622.6816666666664</v>
      </c>
      <c r="K479" s="201">
        <f>IFERROR('Mail Merge'!$F479/'Mail Merge'!$D479,0)</f>
        <v>1496.9033333333332</v>
      </c>
      <c r="L479" s="201">
        <f>IFERROR('Mail Merge'!$G479/'Mail Merge'!$D479,0)</f>
        <v>5119.585</v>
      </c>
      <c r="M479" s="201">
        <v>0</v>
      </c>
      <c r="N479" s="201" t="s">
        <v>240</v>
      </c>
      <c r="O479" s="201">
        <v>25690.01</v>
      </c>
      <c r="P479" s="201">
        <v>501.47</v>
      </c>
      <c r="Q479" s="201">
        <f>'Mail Merge'!$O479+'Mail Merge'!$P479</f>
        <v>26191.48</v>
      </c>
      <c r="R479" s="201"/>
      <c r="S479" s="201"/>
      <c r="T479" s="201"/>
      <c r="U479" s="201">
        <f>IF(AND('Mail Merge'!$I479="Did Not Meet",'Mail Merge'!$N479="Did Not Meet"),MIN(ABS('Mail Merge'!$H479),ABS('Mail Merge'!$M479),'Mail Merge'!$Q479),0)</f>
        <v>0</v>
      </c>
      <c r="V479" s="201" t="str">
        <f>IF(OR(IFERROR(SEARCH("Met",'Mail Merge'!$N479),0)&gt;0,IFERROR(SEARCH("Met",'Mail Merge'!$I479),0)&gt;0),"Met","Not Met")</f>
        <v>Met</v>
      </c>
    </row>
    <row r="480" spans="1:22" x14ac:dyDescent="0.35">
      <c r="A480" s="198" t="s">
        <v>106</v>
      </c>
      <c r="B480" s="199">
        <v>2053</v>
      </c>
      <c r="C480" s="199" t="s">
        <v>22</v>
      </c>
      <c r="D480" s="199">
        <v>383</v>
      </c>
      <c r="E480" s="199">
        <v>3110631.95</v>
      </c>
      <c r="F480" s="199">
        <v>897133.77</v>
      </c>
      <c r="G480" s="199">
        <f>'Mail Merge'!$E480+'Mail Merge'!$F480</f>
        <v>4007765.72</v>
      </c>
      <c r="H480" s="199">
        <v>0</v>
      </c>
      <c r="I480" s="199" t="s">
        <v>241</v>
      </c>
      <c r="J480" s="199">
        <f>IFERROR('Mail Merge'!$E480/'Mail Merge'!$D480,0)</f>
        <v>8121.7544386422978</v>
      </c>
      <c r="K480" s="199">
        <f>IFERROR('Mail Merge'!$F480/'Mail Merge'!$D480,0)</f>
        <v>2342.3858224543083</v>
      </c>
      <c r="L480" s="199">
        <f>IFERROR('Mail Merge'!$G480/'Mail Merge'!$D480,0)</f>
        <v>10464.140261096607</v>
      </c>
      <c r="M480" s="199">
        <v>0</v>
      </c>
      <c r="N480" s="199" t="s">
        <v>241</v>
      </c>
      <c r="O480" s="199">
        <v>470995.1</v>
      </c>
      <c r="P480" s="199">
        <v>7531.71</v>
      </c>
      <c r="Q480" s="199">
        <f>'Mail Merge'!$O480+'Mail Merge'!$P480</f>
        <v>478526.81</v>
      </c>
      <c r="R480" s="199"/>
      <c r="S480" s="199"/>
      <c r="T480" s="199"/>
      <c r="U480" s="199">
        <f>IF(AND('Mail Merge'!$I480="Did Not Meet",'Mail Merge'!$N480="Did Not Meet"),MIN(ABS('Mail Merge'!$H480),ABS('Mail Merge'!$M480),'Mail Merge'!$Q480),0)</f>
        <v>0</v>
      </c>
      <c r="V480" s="199" t="str">
        <f>IF(OR(IFERROR(SEARCH("Met",'Mail Merge'!$N480),0)&gt;0,IFERROR(SEARCH("Met",'Mail Merge'!$I480),0)&gt;0),"Met","Not Met")</f>
        <v>Met</v>
      </c>
    </row>
    <row r="481" spans="1:22" x14ac:dyDescent="0.35">
      <c r="A481" s="200" t="s">
        <v>107</v>
      </c>
      <c r="B481" s="201">
        <v>2140</v>
      </c>
      <c r="C481" s="201" t="s">
        <v>22</v>
      </c>
      <c r="D481" s="201">
        <v>165</v>
      </c>
      <c r="E481" s="201">
        <v>922243.43</v>
      </c>
      <c r="F481" s="201">
        <v>88033.29</v>
      </c>
      <c r="G481" s="201">
        <f>'Mail Merge'!$E481+'Mail Merge'!$F481</f>
        <v>1010276.7200000001</v>
      </c>
      <c r="H481" s="201">
        <v>0</v>
      </c>
      <c r="I481" s="201" t="s">
        <v>241</v>
      </c>
      <c r="J481" s="201">
        <f>IFERROR('Mail Merge'!$E481/'Mail Merge'!$D481,0)</f>
        <v>5589.3541212121218</v>
      </c>
      <c r="K481" s="201">
        <f>IFERROR('Mail Merge'!$F481/'Mail Merge'!$D481,0)</f>
        <v>533.53509090909085</v>
      </c>
      <c r="L481" s="201">
        <f>IFERROR('Mail Merge'!$G481/'Mail Merge'!$D481,0)</f>
        <v>6122.8892121212129</v>
      </c>
      <c r="M481" s="201">
        <v>0</v>
      </c>
      <c r="N481" s="201" t="s">
        <v>240</v>
      </c>
      <c r="O481" s="201">
        <v>157400.56</v>
      </c>
      <c r="P481" s="201">
        <v>837.57</v>
      </c>
      <c r="Q481" s="201">
        <f>'Mail Merge'!$O481+'Mail Merge'!$P481</f>
        <v>158238.13</v>
      </c>
      <c r="R481" s="201"/>
      <c r="S481" s="201"/>
      <c r="T481" s="201"/>
      <c r="U481" s="201">
        <f>IF(AND('Mail Merge'!$I481="Did Not Meet",'Mail Merge'!$N481="Did Not Meet"),MIN(ABS('Mail Merge'!$H481),ABS('Mail Merge'!$M481),'Mail Merge'!$Q481),0)</f>
        <v>0</v>
      </c>
      <c r="V481" s="201" t="str">
        <f>IF(OR(IFERROR(SEARCH("Met",'Mail Merge'!$N481),0)&gt;0,IFERROR(SEARCH("Met",'Mail Merge'!$I481),0)&gt;0),"Met","Not Met")</f>
        <v>Met</v>
      </c>
    </row>
    <row r="482" spans="1:22" x14ac:dyDescent="0.35">
      <c r="A482" s="198" t="s">
        <v>108</v>
      </c>
      <c r="B482" s="199">
        <v>1934</v>
      </c>
      <c r="C482" s="199" t="s">
        <v>22</v>
      </c>
      <c r="D482" s="199">
        <v>26</v>
      </c>
      <c r="E482" s="199">
        <v>217769.64</v>
      </c>
      <c r="F482" s="199">
        <v>41752</v>
      </c>
      <c r="G482" s="199">
        <f>'Mail Merge'!$E482+'Mail Merge'!$F482</f>
        <v>259521.64</v>
      </c>
      <c r="H482" s="199">
        <v>0</v>
      </c>
      <c r="I482" s="199" t="s">
        <v>241</v>
      </c>
      <c r="J482" s="199">
        <f>IFERROR('Mail Merge'!$E482/'Mail Merge'!$D482,0)</f>
        <v>8375.755384615386</v>
      </c>
      <c r="K482" s="199">
        <f>IFERROR('Mail Merge'!$F482/'Mail Merge'!$D482,0)</f>
        <v>1605.8461538461538</v>
      </c>
      <c r="L482" s="199">
        <f>IFERROR('Mail Merge'!$G482/'Mail Merge'!$D482,0)</f>
        <v>9981.6015384615384</v>
      </c>
      <c r="M482" s="199">
        <v>0</v>
      </c>
      <c r="N482" s="199" t="s">
        <v>240</v>
      </c>
      <c r="O482" s="199">
        <v>21120.05</v>
      </c>
      <c r="P482" s="199">
        <v>983.62</v>
      </c>
      <c r="Q482" s="199">
        <f>'Mail Merge'!$O482+'Mail Merge'!$P482</f>
        <v>22103.67</v>
      </c>
      <c r="R482" s="199"/>
      <c r="S482" s="199"/>
      <c r="T482" s="199"/>
      <c r="U482" s="199">
        <f>IF(AND('Mail Merge'!$I482="Did Not Meet",'Mail Merge'!$N482="Did Not Meet"),MIN(ABS('Mail Merge'!$H482),ABS('Mail Merge'!$M482),'Mail Merge'!$Q482),0)</f>
        <v>0</v>
      </c>
      <c r="V482" s="199" t="str">
        <f>IF(OR(IFERROR(SEARCH("Met",'Mail Merge'!$N482),0)&gt;0,IFERROR(SEARCH("Met",'Mail Merge'!$I482),0)&gt;0),"Met","Not Met")</f>
        <v>Met</v>
      </c>
    </row>
    <row r="483" spans="1:22" x14ac:dyDescent="0.35">
      <c r="A483" s="200" t="s">
        <v>109</v>
      </c>
      <c r="B483" s="201">
        <v>2008</v>
      </c>
      <c r="C483" s="201" t="s">
        <v>22</v>
      </c>
      <c r="D483" s="201">
        <v>86</v>
      </c>
      <c r="E483" s="201">
        <v>750789.22</v>
      </c>
      <c r="F483" s="201">
        <v>147620.10999999999</v>
      </c>
      <c r="G483" s="201">
        <f>'Mail Merge'!$E483+'Mail Merge'!$F483</f>
        <v>898409.33</v>
      </c>
      <c r="H483" s="201">
        <v>0</v>
      </c>
      <c r="I483" s="201" t="s">
        <v>242</v>
      </c>
      <c r="J483" s="201">
        <f>IFERROR('Mail Merge'!$E483/'Mail Merge'!$D483,0)</f>
        <v>8730.1072093023249</v>
      </c>
      <c r="K483" s="201">
        <f>IFERROR('Mail Merge'!$F483/'Mail Merge'!$D483,0)</f>
        <v>1716.512906976744</v>
      </c>
      <c r="L483" s="201">
        <f>IFERROR('Mail Merge'!$G483/'Mail Merge'!$D483,0)</f>
        <v>10446.620116279069</v>
      </c>
      <c r="M483" s="201">
        <v>0</v>
      </c>
      <c r="N483" s="201" t="s">
        <v>241</v>
      </c>
      <c r="O483" s="201">
        <v>150919.06</v>
      </c>
      <c r="P483" s="201">
        <v>2158.73</v>
      </c>
      <c r="Q483" s="201">
        <f>'Mail Merge'!$O483+'Mail Merge'!$P483</f>
        <v>153077.79</v>
      </c>
      <c r="R483" s="201"/>
      <c r="S483" s="201">
        <v>19134.080000000002</v>
      </c>
      <c r="T483" s="201">
        <v>19134.080000000002</v>
      </c>
      <c r="U483" s="201">
        <f>IF(AND('Mail Merge'!$I483="Did Not Meet",'Mail Merge'!$N483="Did Not Meet"),MIN(ABS('Mail Merge'!$H483),ABS('Mail Merge'!$M483),'Mail Merge'!$Q483),0)</f>
        <v>0</v>
      </c>
      <c r="V483" s="201" t="str">
        <f>IF(OR(IFERROR(SEARCH("Met",'Mail Merge'!$N483),0)&gt;0,IFERROR(SEARCH("Met",'Mail Merge'!$I483),0)&gt;0),"Met","Not Met")</f>
        <v>Met</v>
      </c>
    </row>
    <row r="484" spans="1:22" x14ac:dyDescent="0.35">
      <c r="A484" s="198" t="s">
        <v>110</v>
      </c>
      <c r="B484" s="199">
        <v>2107</v>
      </c>
      <c r="C484" s="199" t="s">
        <v>22</v>
      </c>
      <c r="D484" s="199">
        <v>9</v>
      </c>
      <c r="E484" s="199">
        <v>74509.7</v>
      </c>
      <c r="F484" s="199">
        <v>22278.02</v>
      </c>
      <c r="G484" s="199">
        <f>'Mail Merge'!$E484+'Mail Merge'!$F484</f>
        <v>96787.72</v>
      </c>
      <c r="H484" s="199">
        <v>0</v>
      </c>
      <c r="I484" s="199" t="s">
        <v>241</v>
      </c>
      <c r="J484" s="199">
        <f>IFERROR('Mail Merge'!$E484/'Mail Merge'!$D484,0)</f>
        <v>8278.8555555555558</v>
      </c>
      <c r="K484" s="199">
        <f>IFERROR('Mail Merge'!$F484/'Mail Merge'!$D484,0)</f>
        <v>2475.3355555555554</v>
      </c>
      <c r="L484" s="199">
        <f>IFERROR('Mail Merge'!$G484/'Mail Merge'!$D484,0)</f>
        <v>10754.191111111111</v>
      </c>
      <c r="M484" s="199">
        <v>0</v>
      </c>
      <c r="N484" s="199" t="s">
        <v>241</v>
      </c>
      <c r="O484" s="199">
        <v>17124.63</v>
      </c>
      <c r="P484" s="199">
        <v>492.3</v>
      </c>
      <c r="Q484" s="199">
        <f>'Mail Merge'!$O484+'Mail Merge'!$P484</f>
        <v>17616.93</v>
      </c>
      <c r="R484" s="199"/>
      <c r="S484" s="199"/>
      <c r="T484" s="199"/>
      <c r="U484" s="199">
        <f>IF(AND('Mail Merge'!$I484="Did Not Meet",'Mail Merge'!$N484="Did Not Meet"),MIN(ABS('Mail Merge'!$H484),ABS('Mail Merge'!$M484),'Mail Merge'!$Q484),0)</f>
        <v>0</v>
      </c>
      <c r="V484" s="199" t="str">
        <f>IF(OR(IFERROR(SEARCH("Met",'Mail Merge'!$N484),0)&gt;0,IFERROR(SEARCH("Met",'Mail Merge'!$I484),0)&gt;0),"Met","Not Met")</f>
        <v>Met</v>
      </c>
    </row>
    <row r="485" spans="1:22" x14ac:dyDescent="0.35">
      <c r="A485" s="200" t="s">
        <v>111</v>
      </c>
      <c r="B485" s="201">
        <v>2219</v>
      </c>
      <c r="C485" s="201" t="s">
        <v>22</v>
      </c>
      <c r="D485" s="201">
        <v>33</v>
      </c>
      <c r="E485" s="201">
        <v>105539.25</v>
      </c>
      <c r="F485" s="201">
        <v>110405.9</v>
      </c>
      <c r="G485" s="201">
        <f>'Mail Merge'!$E485+'Mail Merge'!$F485</f>
        <v>215945.15</v>
      </c>
      <c r="H485" s="201">
        <v>0</v>
      </c>
      <c r="I485" s="201" t="s">
        <v>240</v>
      </c>
      <c r="J485" s="201">
        <f>IFERROR('Mail Merge'!$E485/'Mail Merge'!$D485,0)</f>
        <v>3198.159090909091</v>
      </c>
      <c r="K485" s="201">
        <f>IFERROR('Mail Merge'!$F485/'Mail Merge'!$D485,0)</f>
        <v>3345.6333333333332</v>
      </c>
      <c r="L485" s="201">
        <f>IFERROR('Mail Merge'!$G485/'Mail Merge'!$D485,0)</f>
        <v>6543.7924242424242</v>
      </c>
      <c r="M485" s="201">
        <v>0</v>
      </c>
      <c r="N485" s="201" t="s">
        <v>240</v>
      </c>
      <c r="O485" s="201">
        <v>51750.34</v>
      </c>
      <c r="P485" s="201">
        <v>2448.59</v>
      </c>
      <c r="Q485" s="201">
        <f>'Mail Merge'!$O485+'Mail Merge'!$P485</f>
        <v>54198.929999999993</v>
      </c>
      <c r="R485" s="201"/>
      <c r="S485" s="201"/>
      <c r="T485" s="201"/>
      <c r="U485" s="201">
        <f>IF(AND('Mail Merge'!$I485="Did Not Meet",'Mail Merge'!$N485="Did Not Meet"),MIN(ABS('Mail Merge'!$H485),ABS('Mail Merge'!$M485),'Mail Merge'!$Q485),0)</f>
        <v>0</v>
      </c>
      <c r="V485" s="201" t="str">
        <f>IF(OR(IFERROR(SEARCH("Met",'Mail Merge'!$N485),0)&gt;0,IFERROR(SEARCH("Met",'Mail Merge'!$I485),0)&gt;0),"Met","Not Met")</f>
        <v>Not Met</v>
      </c>
    </row>
    <row r="486" spans="1:22" x14ac:dyDescent="0.35">
      <c r="A486" s="198" t="s">
        <v>112</v>
      </c>
      <c r="B486" s="199">
        <v>2091</v>
      </c>
      <c r="C486" s="199" t="s">
        <v>22</v>
      </c>
      <c r="D486" s="199">
        <v>224</v>
      </c>
      <c r="E486" s="199">
        <v>1530963.62</v>
      </c>
      <c r="F486" s="199">
        <v>531547</v>
      </c>
      <c r="G486" s="199">
        <f>'Mail Merge'!$E486+'Mail Merge'!$F486</f>
        <v>2062510.62</v>
      </c>
      <c r="H486" s="199">
        <v>0</v>
      </c>
      <c r="I486" s="199" t="s">
        <v>241</v>
      </c>
      <c r="J486" s="199">
        <f>IFERROR('Mail Merge'!$E486/'Mail Merge'!$D486,0)</f>
        <v>6834.6590178571432</v>
      </c>
      <c r="K486" s="199">
        <f>IFERROR('Mail Merge'!$F486/'Mail Merge'!$D486,0)</f>
        <v>2372.9776785714284</v>
      </c>
      <c r="L486" s="199">
        <f>IFERROR('Mail Merge'!$G486/'Mail Merge'!$D486,0)</f>
        <v>9207.6366964285717</v>
      </c>
      <c r="M486" s="199">
        <v>0</v>
      </c>
      <c r="N486" s="199" t="s">
        <v>241</v>
      </c>
      <c r="O486" s="199">
        <v>292806.71999999997</v>
      </c>
      <c r="P486" s="199">
        <v>4086.93</v>
      </c>
      <c r="Q486" s="199">
        <f>'Mail Merge'!$O486+'Mail Merge'!$P486</f>
        <v>296893.64999999997</v>
      </c>
      <c r="R486" s="199"/>
      <c r="S486" s="199"/>
      <c r="T486" s="199"/>
      <c r="U486" s="199">
        <f>IF(AND('Mail Merge'!$I486="Did Not Meet",'Mail Merge'!$N486="Did Not Meet"),MIN(ABS('Mail Merge'!$H486),ABS('Mail Merge'!$M486),'Mail Merge'!$Q486),0)</f>
        <v>0</v>
      </c>
      <c r="V486" s="199" t="str">
        <f>IF(OR(IFERROR(SEARCH("Met",'Mail Merge'!$N486),0)&gt;0,IFERROR(SEARCH("Met",'Mail Merge'!$I486),0)&gt;0),"Met","Not Met")</f>
        <v>Met</v>
      </c>
    </row>
    <row r="487" spans="1:22" x14ac:dyDescent="0.35">
      <c r="A487" s="200" t="s">
        <v>113</v>
      </c>
      <c r="B487" s="201">
        <v>2109</v>
      </c>
      <c r="C487" s="201" t="s">
        <v>22</v>
      </c>
      <c r="D487" s="201">
        <v>1</v>
      </c>
      <c r="E487" s="201">
        <v>0</v>
      </c>
      <c r="F487" s="201">
        <v>1355.26</v>
      </c>
      <c r="G487" s="201">
        <f>'Mail Merge'!$E487+'Mail Merge'!$F487</f>
        <v>1355.26</v>
      </c>
      <c r="H487" s="201">
        <v>0</v>
      </c>
      <c r="I487" s="201" t="s">
        <v>240</v>
      </c>
      <c r="J487" s="201">
        <f>IFERROR('Mail Merge'!$E487/'Mail Merge'!$D487,0)</f>
        <v>0</v>
      </c>
      <c r="K487" s="201">
        <f>IFERROR('Mail Merge'!$F487/'Mail Merge'!$D487,0)</f>
        <v>1355.26</v>
      </c>
      <c r="L487" s="201">
        <f>IFERROR('Mail Merge'!$G487/'Mail Merge'!$D487,0)</f>
        <v>1355.26</v>
      </c>
      <c r="M487" s="201">
        <v>0</v>
      </c>
      <c r="N487" s="201" t="s">
        <v>240</v>
      </c>
      <c r="O487" s="201">
        <v>647.85</v>
      </c>
      <c r="P487" s="201">
        <v>0.44</v>
      </c>
      <c r="Q487" s="201">
        <f>'Mail Merge'!$O487+'Mail Merge'!$P487</f>
        <v>648.29000000000008</v>
      </c>
      <c r="R487" s="201"/>
      <c r="S487" s="201"/>
      <c r="T487" s="201"/>
      <c r="U487" s="201">
        <f>IF(AND('Mail Merge'!$I487="Did Not Meet",'Mail Merge'!$N487="Did Not Meet"),MIN(ABS('Mail Merge'!$H487),ABS('Mail Merge'!$M487),'Mail Merge'!$Q487),0)</f>
        <v>0</v>
      </c>
      <c r="V487" s="201" t="str">
        <f>IF(OR(IFERROR(SEARCH("Met",'Mail Merge'!$N487),0)&gt;0,IFERROR(SEARCH("Met",'Mail Merge'!$I487),0)&gt;0),"Met","Not Met")</f>
        <v>Not Met</v>
      </c>
    </row>
    <row r="488" spans="1:22" x14ac:dyDescent="0.35">
      <c r="A488" s="198" t="s">
        <v>114</v>
      </c>
      <c r="B488" s="199">
        <v>2057</v>
      </c>
      <c r="C488" s="199" t="s">
        <v>22</v>
      </c>
      <c r="D488" s="199">
        <v>869</v>
      </c>
      <c r="E488" s="199">
        <v>4921933.49</v>
      </c>
      <c r="F488" s="199">
        <v>837318.82</v>
      </c>
      <c r="G488" s="199">
        <f>'Mail Merge'!$E488+'Mail Merge'!$F488</f>
        <v>5759252.3100000005</v>
      </c>
      <c r="H488" s="199">
        <v>0</v>
      </c>
      <c r="I488" s="199" t="s">
        <v>241</v>
      </c>
      <c r="J488" s="199">
        <f>IFERROR('Mail Merge'!$E488/'Mail Merge'!$D488,0)</f>
        <v>5663.9050517836595</v>
      </c>
      <c r="K488" s="199">
        <f>IFERROR('Mail Merge'!$F488/'Mail Merge'!$D488,0)</f>
        <v>963.54294591484461</v>
      </c>
      <c r="L488" s="199">
        <f>IFERROR('Mail Merge'!$G488/'Mail Merge'!$D488,0)</f>
        <v>6627.4479976985049</v>
      </c>
      <c r="M488" s="199">
        <v>0</v>
      </c>
      <c r="N488" s="199" t="s">
        <v>240</v>
      </c>
      <c r="O488" s="199">
        <v>1211652.81</v>
      </c>
      <c r="P488" s="199">
        <v>9285.06</v>
      </c>
      <c r="Q488" s="199">
        <f>'Mail Merge'!$O488+'Mail Merge'!$P488</f>
        <v>1220937.8700000001</v>
      </c>
      <c r="R488" s="199"/>
      <c r="S488" s="199"/>
      <c r="T488" s="199"/>
      <c r="U488" s="199">
        <f>IF(AND('Mail Merge'!$I488="Did Not Meet",'Mail Merge'!$N488="Did Not Meet"),MIN(ABS('Mail Merge'!$H488),ABS('Mail Merge'!$M488),'Mail Merge'!$Q488),0)</f>
        <v>0</v>
      </c>
      <c r="V488" s="199" t="str">
        <f>IF(OR(IFERROR(SEARCH("Met",'Mail Merge'!$N488),0)&gt;0,IFERROR(SEARCH("Met",'Mail Merge'!$I488),0)&gt;0),"Met","Not Met")</f>
        <v>Met</v>
      </c>
    </row>
    <row r="489" spans="1:22" x14ac:dyDescent="0.35">
      <c r="A489" s="200" t="s">
        <v>115</v>
      </c>
      <c r="B489" s="201">
        <v>2056</v>
      </c>
      <c r="C489" s="201" t="s">
        <v>22</v>
      </c>
      <c r="D489" s="201">
        <v>528</v>
      </c>
      <c r="E489" s="201">
        <v>3219052.85</v>
      </c>
      <c r="F489" s="201">
        <v>102219.45</v>
      </c>
      <c r="G489" s="201">
        <f>'Mail Merge'!$E489+'Mail Merge'!$F489</f>
        <v>3321272.3000000003</v>
      </c>
      <c r="H489" s="201">
        <v>0</v>
      </c>
      <c r="I489" s="201" t="s">
        <v>241</v>
      </c>
      <c r="J489" s="201">
        <f>IFERROR('Mail Merge'!$E489/'Mail Merge'!$D489,0)</f>
        <v>6096.6910037878788</v>
      </c>
      <c r="K489" s="201">
        <f>IFERROR('Mail Merge'!$F489/'Mail Merge'!$D489,0)</f>
        <v>193.59744318181816</v>
      </c>
      <c r="L489" s="201">
        <f>IFERROR('Mail Merge'!$G489/'Mail Merge'!$D489,0)</f>
        <v>6290.2884469696974</v>
      </c>
      <c r="M489" s="201">
        <v>0</v>
      </c>
      <c r="N489" s="201" t="s">
        <v>240</v>
      </c>
      <c r="O489" s="201">
        <v>641393.21</v>
      </c>
      <c r="P489" s="201">
        <v>7936.72</v>
      </c>
      <c r="Q489" s="201">
        <f>'Mail Merge'!$O489+'Mail Merge'!$P489</f>
        <v>649329.92999999993</v>
      </c>
      <c r="R489" s="201"/>
      <c r="S489" s="201"/>
      <c r="T489" s="201"/>
      <c r="U489" s="201">
        <f>IF(AND('Mail Merge'!$I489="Did Not Meet",'Mail Merge'!$N489="Did Not Meet"),MIN(ABS('Mail Merge'!$H489),ABS('Mail Merge'!$M489),'Mail Merge'!$Q489),0)</f>
        <v>0</v>
      </c>
      <c r="V489" s="201" t="str">
        <f>IF(OR(IFERROR(SEARCH("Met",'Mail Merge'!$N489),0)&gt;0,IFERROR(SEARCH("Met",'Mail Merge'!$I489),0)&gt;0),"Met","Not Met")</f>
        <v>Met</v>
      </c>
    </row>
    <row r="490" spans="1:22" x14ac:dyDescent="0.35">
      <c r="A490" s="198" t="s">
        <v>116</v>
      </c>
      <c r="B490" s="199">
        <v>2262</v>
      </c>
      <c r="C490" s="199" t="s">
        <v>22</v>
      </c>
      <c r="D490" s="199">
        <v>82</v>
      </c>
      <c r="E490" s="199">
        <v>494809.96</v>
      </c>
      <c r="F490" s="199">
        <v>95169</v>
      </c>
      <c r="G490" s="199">
        <f>'Mail Merge'!$E490+'Mail Merge'!$F490</f>
        <v>589978.96</v>
      </c>
      <c r="H490" s="199">
        <v>0</v>
      </c>
      <c r="I490" s="199" t="s">
        <v>240</v>
      </c>
      <c r="J490" s="199">
        <f>IFERROR('Mail Merge'!$E490/'Mail Merge'!$D490,0)</f>
        <v>6034.267804878049</v>
      </c>
      <c r="K490" s="199">
        <f>IFERROR('Mail Merge'!$F490/'Mail Merge'!$D490,0)</f>
        <v>1160.5975609756097</v>
      </c>
      <c r="L490" s="199">
        <f>IFERROR('Mail Merge'!$G490/'Mail Merge'!$D490,0)</f>
        <v>7194.8653658536577</v>
      </c>
      <c r="M490" s="199">
        <v>0</v>
      </c>
      <c r="N490" s="199" t="s">
        <v>240</v>
      </c>
      <c r="O490" s="199">
        <v>70841.789999999994</v>
      </c>
      <c r="P490" s="199">
        <v>2867.16</v>
      </c>
      <c r="Q490" s="199">
        <f>'Mail Merge'!$O490+'Mail Merge'!$P490</f>
        <v>73708.95</v>
      </c>
      <c r="R490" s="199"/>
      <c r="S490" s="199"/>
      <c r="T490" s="199"/>
      <c r="U490" s="199">
        <f>IF(AND('Mail Merge'!$I490="Did Not Meet",'Mail Merge'!$N490="Did Not Meet"),MIN(ABS('Mail Merge'!$H490),ABS('Mail Merge'!$M490),'Mail Merge'!$Q490),0)</f>
        <v>0</v>
      </c>
      <c r="V490" s="199" t="str">
        <f>IF(OR(IFERROR(SEARCH("Met",'Mail Merge'!$N490),0)&gt;0,IFERROR(SEARCH("Met",'Mail Merge'!$I490),0)&gt;0),"Met","Not Met")</f>
        <v>Not Met</v>
      </c>
    </row>
    <row r="491" spans="1:22" x14ac:dyDescent="0.35">
      <c r="A491" s="200" t="s">
        <v>117</v>
      </c>
      <c r="B491" s="201">
        <v>2212</v>
      </c>
      <c r="C491" s="201" t="s">
        <v>22</v>
      </c>
      <c r="D491" s="201">
        <v>302</v>
      </c>
      <c r="E491" s="201">
        <v>1924896.61</v>
      </c>
      <c r="F491" s="201">
        <v>492025.58</v>
      </c>
      <c r="G491" s="201">
        <f>'Mail Merge'!$E491+'Mail Merge'!$F491</f>
        <v>2416922.19</v>
      </c>
      <c r="H491" s="201">
        <v>0</v>
      </c>
      <c r="I491" s="201" t="s">
        <v>242</v>
      </c>
      <c r="J491" s="201">
        <f>IFERROR('Mail Merge'!$E491/'Mail Merge'!$D491,0)</f>
        <v>6373.829834437086</v>
      </c>
      <c r="K491" s="201">
        <f>IFERROR('Mail Merge'!$F491/'Mail Merge'!$D491,0)</f>
        <v>1629.2237748344371</v>
      </c>
      <c r="L491" s="201">
        <f>IFERROR('Mail Merge'!$G491/'Mail Merge'!$D491,0)</f>
        <v>8003.0536092715229</v>
      </c>
      <c r="M491" s="201">
        <v>0</v>
      </c>
      <c r="N491" s="201" t="s">
        <v>241</v>
      </c>
      <c r="O491" s="201">
        <v>418880.12</v>
      </c>
      <c r="P491" s="201">
        <v>2872.53</v>
      </c>
      <c r="Q491" s="201">
        <f>'Mail Merge'!$O491+'Mail Merge'!$P491</f>
        <v>421752.65</v>
      </c>
      <c r="R491" s="201"/>
      <c r="S491" s="201">
        <v>249115.79</v>
      </c>
      <c r="T491" s="201">
        <v>249115.79</v>
      </c>
      <c r="U491" s="201">
        <f>IF(AND('Mail Merge'!$I491="Did Not Meet",'Mail Merge'!$N491="Did Not Meet"),MIN(ABS('Mail Merge'!$H491),ABS('Mail Merge'!$M491),'Mail Merge'!$Q491),0)</f>
        <v>0</v>
      </c>
      <c r="V491" s="201" t="str">
        <f>IF(OR(IFERROR(SEARCH("Met",'Mail Merge'!$N491),0)&gt;0,IFERROR(SEARCH("Met",'Mail Merge'!$I491),0)&gt;0),"Met","Not Met")</f>
        <v>Met</v>
      </c>
    </row>
    <row r="492" spans="1:22" x14ac:dyDescent="0.35">
      <c r="A492" s="198" t="s">
        <v>118</v>
      </c>
      <c r="B492" s="199">
        <v>2059</v>
      </c>
      <c r="C492" s="199" t="s">
        <v>22</v>
      </c>
      <c r="D492" s="199">
        <v>96</v>
      </c>
      <c r="E492" s="199">
        <v>275579.67</v>
      </c>
      <c r="F492" s="199">
        <v>245667.59</v>
      </c>
      <c r="G492" s="199">
        <f>'Mail Merge'!$E492+'Mail Merge'!$F492</f>
        <v>521247.26</v>
      </c>
      <c r="H492" s="199">
        <v>0</v>
      </c>
      <c r="I492" s="199" t="s">
        <v>241</v>
      </c>
      <c r="J492" s="199">
        <f>IFERROR('Mail Merge'!$E492/'Mail Merge'!$D492,0)</f>
        <v>2870.6215625</v>
      </c>
      <c r="K492" s="199">
        <f>IFERROR('Mail Merge'!$F492/'Mail Merge'!$D492,0)</f>
        <v>2559.0373958333334</v>
      </c>
      <c r="L492" s="199">
        <f>IFERROR('Mail Merge'!$G492/'Mail Merge'!$D492,0)</f>
        <v>5429.6589583333334</v>
      </c>
      <c r="M492" s="199">
        <v>0</v>
      </c>
      <c r="N492" s="199" t="s">
        <v>240</v>
      </c>
      <c r="O492" s="199">
        <v>122979.75</v>
      </c>
      <c r="P492" s="199">
        <v>2716.98</v>
      </c>
      <c r="Q492" s="199">
        <f>'Mail Merge'!$O492+'Mail Merge'!$P492</f>
        <v>125696.73</v>
      </c>
      <c r="R492" s="199"/>
      <c r="S492" s="199"/>
      <c r="T492" s="199"/>
      <c r="U492" s="199">
        <f>IF(AND('Mail Merge'!$I492="Did Not Meet",'Mail Merge'!$N492="Did Not Meet"),MIN(ABS('Mail Merge'!$H492),ABS('Mail Merge'!$M492),'Mail Merge'!$Q492),0)</f>
        <v>0</v>
      </c>
      <c r="V492" s="199" t="str">
        <f>IF(OR(IFERROR(SEARCH("Met",'Mail Merge'!$N492),0)&gt;0,IFERROR(SEARCH("Met",'Mail Merge'!$I492),0)&gt;0),"Met","Not Met")</f>
        <v>Met</v>
      </c>
    </row>
    <row r="493" spans="1:22" x14ac:dyDescent="0.35">
      <c r="A493" s="200" t="s">
        <v>119</v>
      </c>
      <c r="B493" s="201">
        <v>1923</v>
      </c>
      <c r="C493" s="201" t="s">
        <v>22</v>
      </c>
      <c r="D493" s="201">
        <v>559</v>
      </c>
      <c r="E493" s="201">
        <v>8545406.4399999995</v>
      </c>
      <c r="F493" s="201">
        <v>406511</v>
      </c>
      <c r="G493" s="201">
        <f>'Mail Merge'!$E493+'Mail Merge'!$F493</f>
        <v>8951917.4399999995</v>
      </c>
      <c r="H493" s="201">
        <v>0</v>
      </c>
      <c r="I493" s="201" t="s">
        <v>241</v>
      </c>
      <c r="J493" s="201">
        <f>IFERROR('Mail Merge'!$E493/'Mail Merge'!$D493,0)</f>
        <v>15286.952486583183</v>
      </c>
      <c r="K493" s="201">
        <f>IFERROR('Mail Merge'!$F493/'Mail Merge'!$D493,0)</f>
        <v>727.21109123434701</v>
      </c>
      <c r="L493" s="201">
        <f>IFERROR('Mail Merge'!$G493/'Mail Merge'!$D493,0)</f>
        <v>16014.16357781753</v>
      </c>
      <c r="M493" s="201">
        <v>0</v>
      </c>
      <c r="N493" s="201" t="s">
        <v>241</v>
      </c>
      <c r="O493" s="201">
        <v>907411.42</v>
      </c>
      <c r="P493" s="201">
        <v>2919.15</v>
      </c>
      <c r="Q493" s="201">
        <f>'Mail Merge'!$O493+'Mail Merge'!$P493</f>
        <v>910330.57000000007</v>
      </c>
      <c r="R493" s="201"/>
      <c r="S493" s="201"/>
      <c r="T493" s="201"/>
      <c r="U493" s="201">
        <f>IF(AND('Mail Merge'!$I493="Did Not Meet",'Mail Merge'!$N493="Did Not Meet"),MIN(ABS('Mail Merge'!$H493),ABS('Mail Merge'!$M493),'Mail Merge'!$Q493),0)</f>
        <v>0</v>
      </c>
      <c r="V493" s="201" t="str">
        <f>IF(OR(IFERROR(SEARCH("Met",'Mail Merge'!$N493),0)&gt;0,IFERROR(SEARCH("Met",'Mail Merge'!$I493),0)&gt;0),"Met","Not Met")</f>
        <v>Met</v>
      </c>
    </row>
    <row r="494" spans="1:22" x14ac:dyDescent="0.35">
      <c r="A494" s="198" t="s">
        <v>120</v>
      </c>
      <c r="B494" s="199">
        <v>2101</v>
      </c>
      <c r="C494" s="199" t="s">
        <v>22</v>
      </c>
      <c r="D494" s="199">
        <v>606</v>
      </c>
      <c r="E494" s="199">
        <v>3907522.34</v>
      </c>
      <c r="F494" s="199">
        <v>487603</v>
      </c>
      <c r="G494" s="199">
        <f>'Mail Merge'!$E494+'Mail Merge'!$F494</f>
        <v>4395125.34</v>
      </c>
      <c r="H494" s="199">
        <v>0</v>
      </c>
      <c r="I494" s="199" t="s">
        <v>241</v>
      </c>
      <c r="J494" s="199">
        <f>IFERROR('Mail Merge'!$E494/'Mail Merge'!$D494,0)</f>
        <v>6448.0566666666664</v>
      </c>
      <c r="K494" s="199">
        <f>IFERROR('Mail Merge'!$F494/'Mail Merge'!$D494,0)</f>
        <v>804.62541254125415</v>
      </c>
      <c r="L494" s="199">
        <f>IFERROR('Mail Merge'!$G494/'Mail Merge'!$D494,0)</f>
        <v>7252.6820792079207</v>
      </c>
      <c r="M494" s="199">
        <v>0</v>
      </c>
      <c r="N494" s="199" t="s">
        <v>240</v>
      </c>
      <c r="O494" s="199">
        <v>770130.81</v>
      </c>
      <c r="P494" s="199">
        <v>8022.73</v>
      </c>
      <c r="Q494" s="199">
        <f>'Mail Merge'!$O494+'Mail Merge'!$P494</f>
        <v>778153.54</v>
      </c>
      <c r="R494" s="199"/>
      <c r="S494" s="199"/>
      <c r="T494" s="199"/>
      <c r="U494" s="199">
        <f>IF(AND('Mail Merge'!$I494="Did Not Meet",'Mail Merge'!$N494="Did Not Meet"),MIN(ABS('Mail Merge'!$H494),ABS('Mail Merge'!$M494),'Mail Merge'!$Q494),0)</f>
        <v>0</v>
      </c>
      <c r="V494" s="199" t="str">
        <f>IF(OR(IFERROR(SEARCH("Met",'Mail Merge'!$N494),0)&gt;0,IFERROR(SEARCH("Met",'Mail Merge'!$I494),0)&gt;0),"Met","Not Met")</f>
        <v>Met</v>
      </c>
    </row>
    <row r="495" spans="1:22" x14ac:dyDescent="0.35">
      <c r="A495" s="200" t="s">
        <v>121</v>
      </c>
      <c r="B495" s="201">
        <v>2097</v>
      </c>
      <c r="C495" s="201" t="s">
        <v>22</v>
      </c>
      <c r="D495" s="201">
        <v>627</v>
      </c>
      <c r="E495" s="201">
        <v>5585902.4400000004</v>
      </c>
      <c r="F495" s="201">
        <v>459315</v>
      </c>
      <c r="G495" s="201">
        <f>'Mail Merge'!$E495+'Mail Merge'!$F495</f>
        <v>6045217.4400000004</v>
      </c>
      <c r="H495" s="201">
        <v>0</v>
      </c>
      <c r="I495" s="201" t="s">
        <v>241</v>
      </c>
      <c r="J495" s="201">
        <f>IFERROR('Mail Merge'!$E495/'Mail Merge'!$D495,0)</f>
        <v>8908.935311004785</v>
      </c>
      <c r="K495" s="201">
        <f>IFERROR('Mail Merge'!$F495/'Mail Merge'!$D495,0)</f>
        <v>732.55980861244018</v>
      </c>
      <c r="L495" s="201">
        <f>IFERROR('Mail Merge'!$G495/'Mail Merge'!$D495,0)</f>
        <v>9641.495119617226</v>
      </c>
      <c r="M495" s="201">
        <v>0</v>
      </c>
      <c r="N495" s="201" t="s">
        <v>241</v>
      </c>
      <c r="O495" s="201">
        <v>924050.32</v>
      </c>
      <c r="P495" s="201">
        <v>10485.98</v>
      </c>
      <c r="Q495" s="201">
        <f>'Mail Merge'!$O495+'Mail Merge'!$P495</f>
        <v>934536.29999999993</v>
      </c>
      <c r="R495" s="201"/>
      <c r="S495" s="201"/>
      <c r="T495" s="201"/>
      <c r="U495" s="201">
        <f>IF(AND('Mail Merge'!$I495="Did Not Meet",'Mail Merge'!$N495="Did Not Meet"),MIN(ABS('Mail Merge'!$H495),ABS('Mail Merge'!$M495),'Mail Merge'!$Q495),0)</f>
        <v>0</v>
      </c>
      <c r="V495" s="201" t="str">
        <f>IF(OR(IFERROR(SEARCH("Met",'Mail Merge'!$N495),0)&gt;0,IFERROR(SEARCH("Met",'Mail Merge'!$I495),0)&gt;0),"Met","Not Met")</f>
        <v>Met</v>
      </c>
    </row>
    <row r="496" spans="1:22" x14ac:dyDescent="0.35">
      <c r="A496" s="198" t="s">
        <v>122</v>
      </c>
      <c r="B496" s="199">
        <v>2012</v>
      </c>
      <c r="C496" s="199" t="s">
        <v>22</v>
      </c>
      <c r="D496" s="199">
        <v>4</v>
      </c>
      <c r="E496" s="199">
        <v>30986.89</v>
      </c>
      <c r="F496" s="199">
        <v>55671.28</v>
      </c>
      <c r="G496" s="199">
        <f>'Mail Merge'!$E496+'Mail Merge'!$F496</f>
        <v>86658.17</v>
      </c>
      <c r="H496" s="199">
        <v>0</v>
      </c>
      <c r="I496" s="199" t="s">
        <v>240</v>
      </c>
      <c r="J496" s="199">
        <f>IFERROR('Mail Merge'!$E496/'Mail Merge'!$D496,0)</f>
        <v>7746.7224999999999</v>
      </c>
      <c r="K496" s="199">
        <f>IFERROR('Mail Merge'!$F496/'Mail Merge'!$D496,0)</f>
        <v>13917.82</v>
      </c>
      <c r="L496" s="199">
        <f>IFERROR('Mail Merge'!$G496/'Mail Merge'!$D496,0)</f>
        <v>21664.5425</v>
      </c>
      <c r="M496" s="199">
        <v>0</v>
      </c>
      <c r="N496" s="199" t="s">
        <v>240</v>
      </c>
      <c r="O496" s="199">
        <v>6741.56</v>
      </c>
      <c r="P496" s="199">
        <v>3.67</v>
      </c>
      <c r="Q496" s="199">
        <f>'Mail Merge'!$O496+'Mail Merge'!$P496</f>
        <v>6745.2300000000005</v>
      </c>
      <c r="R496" s="199"/>
      <c r="S496" s="199"/>
      <c r="T496" s="199"/>
      <c r="U496" s="199">
        <f>IF(AND('Mail Merge'!$I496="Did Not Meet",'Mail Merge'!$N496="Did Not Meet"),MIN(ABS('Mail Merge'!$H496),ABS('Mail Merge'!$M496),'Mail Merge'!$Q496),0)</f>
        <v>0</v>
      </c>
      <c r="V496" s="199" t="str">
        <f>IF(OR(IFERROR(SEARCH("Met",'Mail Merge'!$N496),0)&gt;0,IFERROR(SEARCH("Met",'Mail Merge'!$I496),0)&gt;0),"Met","Not Met")</f>
        <v>Not Met</v>
      </c>
    </row>
    <row r="497" spans="1:22" x14ac:dyDescent="0.35">
      <c r="A497" s="200" t="s">
        <v>123</v>
      </c>
      <c r="B497" s="201">
        <v>2092</v>
      </c>
      <c r="C497" s="201" t="s">
        <v>22</v>
      </c>
      <c r="D497" s="201">
        <v>58</v>
      </c>
      <c r="E497" s="201">
        <v>457973.27</v>
      </c>
      <c r="F497" s="201">
        <v>137920</v>
      </c>
      <c r="G497" s="201">
        <f>'Mail Merge'!$E497+'Mail Merge'!$F497</f>
        <v>595893.27</v>
      </c>
      <c r="H497" s="201">
        <v>0</v>
      </c>
      <c r="I497" s="201" t="s">
        <v>241</v>
      </c>
      <c r="J497" s="201">
        <f>IFERROR('Mail Merge'!$E497/'Mail Merge'!$D497,0)</f>
        <v>7896.0908620689661</v>
      </c>
      <c r="K497" s="201">
        <f>IFERROR('Mail Merge'!$F497/'Mail Merge'!$D497,0)</f>
        <v>2377.9310344827586</v>
      </c>
      <c r="L497" s="201">
        <f>IFERROR('Mail Merge'!$G497/'Mail Merge'!$D497,0)</f>
        <v>10274.021896551725</v>
      </c>
      <c r="M497" s="201">
        <v>0</v>
      </c>
      <c r="N497" s="201" t="s">
        <v>240</v>
      </c>
      <c r="O497" s="201">
        <v>57767.57</v>
      </c>
      <c r="P497" s="201">
        <v>296.32</v>
      </c>
      <c r="Q497" s="201">
        <f>'Mail Merge'!$O497+'Mail Merge'!$P497</f>
        <v>58063.89</v>
      </c>
      <c r="R497" s="201"/>
      <c r="S497" s="201"/>
      <c r="T497" s="201"/>
      <c r="U497" s="201">
        <f>IF(AND('Mail Merge'!$I497="Did Not Meet",'Mail Merge'!$N497="Did Not Meet"),MIN(ABS('Mail Merge'!$H497),ABS('Mail Merge'!$M497),'Mail Merge'!$Q497),0)</f>
        <v>0</v>
      </c>
      <c r="V497" s="201" t="str">
        <f>IF(OR(IFERROR(SEARCH("Met",'Mail Merge'!$N497),0)&gt;0,IFERROR(SEARCH("Met",'Mail Merge'!$I497),0)&gt;0),"Met","Not Met")</f>
        <v>Met</v>
      </c>
    </row>
    <row r="498" spans="1:22" x14ac:dyDescent="0.35">
      <c r="A498" s="198" t="s">
        <v>124</v>
      </c>
      <c r="B498" s="199">
        <v>2112</v>
      </c>
      <c r="C498" s="199" t="s">
        <v>22</v>
      </c>
      <c r="D498" s="199">
        <v>0</v>
      </c>
      <c r="E498" s="199">
        <v>0</v>
      </c>
      <c r="F498" s="199">
        <v>305.36</v>
      </c>
      <c r="G498" s="199">
        <f>'Mail Merge'!$E498+'Mail Merge'!$F498</f>
        <v>305.36</v>
      </c>
      <c r="H498" s="199">
        <v>0</v>
      </c>
      <c r="I498" s="199" t="s">
        <v>240</v>
      </c>
      <c r="J498" s="199">
        <f>IFERROR('Mail Merge'!$E498/'Mail Merge'!$D498,0)</f>
        <v>0</v>
      </c>
      <c r="K498" s="199">
        <f>IFERROR('Mail Merge'!$F498/'Mail Merge'!$D498,0)</f>
        <v>0</v>
      </c>
      <c r="L498" s="199">
        <f>IFERROR('Mail Merge'!$G498/'Mail Merge'!$D498,0)</f>
        <v>0</v>
      </c>
      <c r="M498" s="199">
        <v>0</v>
      </c>
      <c r="N498" s="199" t="s">
        <v>241</v>
      </c>
      <c r="O498" s="199">
        <v>801.64</v>
      </c>
      <c r="P498" s="199">
        <v>0.55000000000000004</v>
      </c>
      <c r="Q498" s="199">
        <f>'Mail Merge'!$O498+'Mail Merge'!$P498</f>
        <v>802.18999999999994</v>
      </c>
      <c r="R498" s="199"/>
      <c r="S498" s="199"/>
      <c r="T498" s="199"/>
      <c r="U498" s="199">
        <f>IF(AND('Mail Merge'!$I498="Did Not Meet",'Mail Merge'!$N498="Did Not Meet"),MIN(ABS('Mail Merge'!$H498),ABS('Mail Merge'!$M498),'Mail Merge'!$Q498),0)</f>
        <v>0</v>
      </c>
      <c r="V498" s="199" t="str">
        <f>IF(OR(IFERROR(SEARCH("Met",'Mail Merge'!$N498),0)&gt;0,IFERROR(SEARCH("Met",'Mail Merge'!$I498),0)&gt;0),"Met","Not Met")</f>
        <v>Met</v>
      </c>
    </row>
    <row r="499" spans="1:22" x14ac:dyDescent="0.35">
      <c r="A499" s="200" t="s">
        <v>125</v>
      </c>
      <c r="B499" s="201">
        <v>2085</v>
      </c>
      <c r="C499" s="201" t="s">
        <v>22</v>
      </c>
      <c r="D499" s="201">
        <v>35</v>
      </c>
      <c r="E499" s="201">
        <v>240773.74</v>
      </c>
      <c r="F499" s="201">
        <v>33202</v>
      </c>
      <c r="G499" s="201">
        <f>'Mail Merge'!$E499+'Mail Merge'!$F499</f>
        <v>273975.74</v>
      </c>
      <c r="H499" s="201">
        <v>0</v>
      </c>
      <c r="I499" s="201" t="s">
        <v>241</v>
      </c>
      <c r="J499" s="201">
        <f>IFERROR('Mail Merge'!$E499/'Mail Merge'!$D499,0)</f>
        <v>6879.2497142857137</v>
      </c>
      <c r="K499" s="201">
        <f>IFERROR('Mail Merge'!$F499/'Mail Merge'!$D499,0)</f>
        <v>948.62857142857138</v>
      </c>
      <c r="L499" s="201">
        <f>IFERROR('Mail Merge'!$G499/'Mail Merge'!$D499,0)</f>
        <v>7827.8782857142851</v>
      </c>
      <c r="M499" s="201">
        <v>0</v>
      </c>
      <c r="N499" s="201" t="s">
        <v>241</v>
      </c>
      <c r="O499" s="201">
        <v>56140.43</v>
      </c>
      <c r="P499" s="201">
        <v>736.98</v>
      </c>
      <c r="Q499" s="201">
        <f>'Mail Merge'!$O499+'Mail Merge'!$P499</f>
        <v>56877.41</v>
      </c>
      <c r="R499" s="201"/>
      <c r="S499" s="201"/>
      <c r="T499" s="201"/>
      <c r="U499" s="201">
        <f>IF(AND('Mail Merge'!$I499="Did Not Meet",'Mail Merge'!$N499="Did Not Meet"),MIN(ABS('Mail Merge'!$H499),ABS('Mail Merge'!$M499),'Mail Merge'!$Q499),0)</f>
        <v>0</v>
      </c>
      <c r="V499" s="201" t="str">
        <f>IF(OR(IFERROR(SEARCH("Met",'Mail Merge'!$N499),0)&gt;0,IFERROR(SEARCH("Met",'Mail Merge'!$I499),0)&gt;0),"Met","Not Met")</f>
        <v>Met</v>
      </c>
    </row>
    <row r="500" spans="1:22" x14ac:dyDescent="0.35">
      <c r="A500" s="198" t="s">
        <v>126</v>
      </c>
      <c r="B500" s="199">
        <v>2094</v>
      </c>
      <c r="C500" s="199" t="s">
        <v>22</v>
      </c>
      <c r="D500" s="199">
        <v>34</v>
      </c>
      <c r="E500" s="199">
        <v>137780.72</v>
      </c>
      <c r="F500" s="199">
        <v>44453</v>
      </c>
      <c r="G500" s="199">
        <f>'Mail Merge'!$E500+'Mail Merge'!$F500</f>
        <v>182233.72</v>
      </c>
      <c r="H500" s="199">
        <v>0</v>
      </c>
      <c r="I500" s="199" t="s">
        <v>240</v>
      </c>
      <c r="J500" s="199">
        <f>IFERROR('Mail Merge'!$E500/'Mail Merge'!$D500,0)</f>
        <v>4052.3741176470589</v>
      </c>
      <c r="K500" s="199">
        <f>IFERROR('Mail Merge'!$F500/'Mail Merge'!$D500,0)</f>
        <v>1307.4411764705883</v>
      </c>
      <c r="L500" s="199">
        <f>IFERROR('Mail Merge'!$G500/'Mail Merge'!$D500,0)</f>
        <v>5359.8152941176468</v>
      </c>
      <c r="M500" s="199">
        <v>0</v>
      </c>
      <c r="N500" s="199" t="s">
        <v>240</v>
      </c>
      <c r="O500" s="199">
        <v>38701.68</v>
      </c>
      <c r="P500" s="199">
        <v>549.08000000000004</v>
      </c>
      <c r="Q500" s="199">
        <f>'Mail Merge'!$O500+'Mail Merge'!$P500</f>
        <v>39250.76</v>
      </c>
      <c r="R500" s="199"/>
      <c r="S500" s="199"/>
      <c r="T500" s="199"/>
      <c r="U500" s="199">
        <f>IF(AND('Mail Merge'!$I500="Did Not Meet",'Mail Merge'!$N500="Did Not Meet"),MIN(ABS('Mail Merge'!$H500),ABS('Mail Merge'!$M500),'Mail Merge'!$Q500),0)</f>
        <v>0</v>
      </c>
      <c r="V500" s="199" t="str">
        <f>IF(OR(IFERROR(SEARCH("Met",'Mail Merge'!$N500),0)&gt;0,IFERROR(SEARCH("Met",'Mail Merge'!$I500),0)&gt;0),"Met","Not Met")</f>
        <v>Not Met</v>
      </c>
    </row>
    <row r="501" spans="1:22" x14ac:dyDescent="0.35">
      <c r="A501" s="200" t="s">
        <v>127</v>
      </c>
      <c r="B501" s="201">
        <v>2090</v>
      </c>
      <c r="C501" s="201" t="s">
        <v>22</v>
      </c>
      <c r="D501" s="201">
        <v>36</v>
      </c>
      <c r="E501" s="201">
        <v>228645.93</v>
      </c>
      <c r="F501" s="201">
        <v>74962</v>
      </c>
      <c r="G501" s="201">
        <f>'Mail Merge'!$E501+'Mail Merge'!$F501</f>
        <v>303607.93</v>
      </c>
      <c r="H501" s="201">
        <v>0</v>
      </c>
      <c r="I501" s="201" t="s">
        <v>241</v>
      </c>
      <c r="J501" s="201">
        <f>IFERROR('Mail Merge'!$E501/'Mail Merge'!$D501,0)</f>
        <v>6351.2758333333331</v>
      </c>
      <c r="K501" s="201">
        <f>IFERROR('Mail Merge'!$F501/'Mail Merge'!$D501,0)</f>
        <v>2082.2777777777778</v>
      </c>
      <c r="L501" s="201">
        <f>IFERROR('Mail Merge'!$G501/'Mail Merge'!$D501,0)</f>
        <v>8433.5536111111105</v>
      </c>
      <c r="M501" s="201">
        <v>0</v>
      </c>
      <c r="N501" s="201" t="s">
        <v>240</v>
      </c>
      <c r="O501" s="201">
        <v>45154.720000000001</v>
      </c>
      <c r="P501" s="201">
        <v>101.51</v>
      </c>
      <c r="Q501" s="201">
        <f>'Mail Merge'!$O501+'Mail Merge'!$P501</f>
        <v>45256.23</v>
      </c>
      <c r="R501" s="201"/>
      <c r="S501" s="201"/>
      <c r="T501" s="201"/>
      <c r="U501" s="201">
        <f>IF(AND('Mail Merge'!$I501="Did Not Meet",'Mail Merge'!$N501="Did Not Meet"),MIN(ABS('Mail Merge'!$H501),ABS('Mail Merge'!$M501),'Mail Merge'!$Q501),0)</f>
        <v>0</v>
      </c>
      <c r="V501" s="201" t="str">
        <f>IF(OR(IFERROR(SEARCH("Met",'Mail Merge'!$N501),0)&gt;0,IFERROR(SEARCH("Met",'Mail Merge'!$I501),0)&gt;0),"Met","Not Met")</f>
        <v>Met</v>
      </c>
    </row>
    <row r="502" spans="1:22" x14ac:dyDescent="0.35">
      <c r="A502" s="198" t="s">
        <v>128</v>
      </c>
      <c r="B502" s="199">
        <v>2256</v>
      </c>
      <c r="C502" s="199" t="s">
        <v>22</v>
      </c>
      <c r="D502" s="199">
        <v>800</v>
      </c>
      <c r="E502" s="199">
        <v>5531254.6399999997</v>
      </c>
      <c r="F502" s="199">
        <v>24517.759999999998</v>
      </c>
      <c r="G502" s="199">
        <f>'Mail Merge'!$E502+'Mail Merge'!$F502</f>
        <v>5555772.3999999994</v>
      </c>
      <c r="H502" s="199">
        <v>0</v>
      </c>
      <c r="I502" s="199" t="s">
        <v>241</v>
      </c>
      <c r="J502" s="199">
        <f>IFERROR('Mail Merge'!$E502/'Mail Merge'!$D502,0)</f>
        <v>6914.0682999999999</v>
      </c>
      <c r="K502" s="199">
        <f>IFERROR('Mail Merge'!$F502/'Mail Merge'!$D502,0)</f>
        <v>30.647199999999998</v>
      </c>
      <c r="L502" s="199">
        <f>IFERROR('Mail Merge'!$G502/'Mail Merge'!$D502,0)</f>
        <v>6944.7154999999993</v>
      </c>
      <c r="M502" s="199">
        <v>0</v>
      </c>
      <c r="N502" s="199" t="s">
        <v>241</v>
      </c>
      <c r="O502" s="199">
        <v>902436.23</v>
      </c>
      <c r="P502" s="199">
        <v>10122.65</v>
      </c>
      <c r="Q502" s="199">
        <f>'Mail Merge'!$O502+'Mail Merge'!$P502</f>
        <v>912558.88</v>
      </c>
      <c r="R502" s="199"/>
      <c r="S502" s="199"/>
      <c r="T502" s="199"/>
      <c r="U502" s="199">
        <f>IF(AND('Mail Merge'!$I502="Did Not Meet",'Mail Merge'!$N502="Did Not Meet"),MIN(ABS('Mail Merge'!$H502),ABS('Mail Merge'!$M502),'Mail Merge'!$Q502),0)</f>
        <v>0</v>
      </c>
      <c r="V502" s="199" t="str">
        <f>IF(OR(IFERROR(SEARCH("Met",'Mail Merge'!$N502),0)&gt;0,IFERROR(SEARCH("Met",'Mail Merge'!$I502),0)&gt;0),"Met","Not Met")</f>
        <v>Met</v>
      </c>
    </row>
    <row r="503" spans="1:22" x14ac:dyDescent="0.35">
      <c r="A503" s="200" t="s">
        <v>129</v>
      </c>
      <c r="B503" s="201">
        <v>2048</v>
      </c>
      <c r="C503" s="201" t="s">
        <v>22</v>
      </c>
      <c r="D503" s="201">
        <v>1472</v>
      </c>
      <c r="E503" s="201">
        <v>8613380.6999999993</v>
      </c>
      <c r="F503" s="201">
        <v>2944378.81</v>
      </c>
      <c r="G503" s="201">
        <f>'Mail Merge'!$E503+'Mail Merge'!$F503</f>
        <v>11557759.51</v>
      </c>
      <c r="H503" s="201">
        <v>0</v>
      </c>
      <c r="I503" s="201" t="s">
        <v>241</v>
      </c>
      <c r="J503" s="201">
        <f>IFERROR('Mail Merge'!$E503/'Mail Merge'!$D503,0)</f>
        <v>5851.4814538043474</v>
      </c>
      <c r="K503" s="201">
        <f>IFERROR('Mail Merge'!$F503/'Mail Merge'!$D503,0)</f>
        <v>2000.25734375</v>
      </c>
      <c r="L503" s="201">
        <f>IFERROR('Mail Merge'!$G503/'Mail Merge'!$D503,0)</f>
        <v>7851.7387975543479</v>
      </c>
      <c r="M503" s="201">
        <v>0</v>
      </c>
      <c r="N503" s="201" t="s">
        <v>240</v>
      </c>
      <c r="O503" s="201">
        <v>1970146.6</v>
      </c>
      <c r="P503" s="201">
        <v>20214.14</v>
      </c>
      <c r="Q503" s="201">
        <f>'Mail Merge'!$O503+'Mail Merge'!$P503</f>
        <v>1990360.74</v>
      </c>
      <c r="R503" s="201"/>
      <c r="S503" s="201"/>
      <c r="T503" s="201"/>
      <c r="U503" s="201">
        <f>IF(AND('Mail Merge'!$I503="Did Not Meet",'Mail Merge'!$N503="Did Not Meet"),MIN(ABS('Mail Merge'!$H503),ABS('Mail Merge'!$M503),'Mail Merge'!$Q503),0)</f>
        <v>0</v>
      </c>
      <c r="V503" s="201" t="str">
        <f>IF(OR(IFERROR(SEARCH("Met",'Mail Merge'!$N503),0)&gt;0,IFERROR(SEARCH("Met",'Mail Merge'!$I503),0)&gt;0),"Met","Not Met")</f>
        <v>Met</v>
      </c>
    </row>
    <row r="504" spans="1:22" x14ac:dyDescent="0.35">
      <c r="A504" s="198" t="s">
        <v>130</v>
      </c>
      <c r="B504" s="199">
        <v>2205</v>
      </c>
      <c r="C504" s="199" t="s">
        <v>22</v>
      </c>
      <c r="D504" s="199">
        <v>190</v>
      </c>
      <c r="E504" s="199">
        <v>1947572.32</v>
      </c>
      <c r="F504" s="199">
        <v>285452.94</v>
      </c>
      <c r="G504" s="199">
        <f>'Mail Merge'!$E504+'Mail Merge'!$F504</f>
        <v>2233025.2600000002</v>
      </c>
      <c r="H504" s="199">
        <v>0</v>
      </c>
      <c r="I504" s="199" t="s">
        <v>240</v>
      </c>
      <c r="J504" s="199">
        <f>IFERROR('Mail Merge'!$E504/'Mail Merge'!$D504,0)</f>
        <v>10250.380631578948</v>
      </c>
      <c r="K504" s="199">
        <f>IFERROR('Mail Merge'!$F504/'Mail Merge'!$D504,0)</f>
        <v>1502.3838947368422</v>
      </c>
      <c r="L504" s="199">
        <f>IFERROR('Mail Merge'!$G504/'Mail Merge'!$D504,0)</f>
        <v>11752.76452631579</v>
      </c>
      <c r="M504" s="199">
        <v>0</v>
      </c>
      <c r="N504" s="199" t="s">
        <v>240</v>
      </c>
      <c r="O504" s="199">
        <v>317387.37</v>
      </c>
      <c r="P504" s="199">
        <v>4727.5200000000004</v>
      </c>
      <c r="Q504" s="199">
        <f>'Mail Merge'!$O504+'Mail Merge'!$P504</f>
        <v>322114.89</v>
      </c>
      <c r="R504" s="199"/>
      <c r="S504" s="199"/>
      <c r="T504" s="199"/>
      <c r="U504" s="199">
        <f>IF(AND('Mail Merge'!$I504="Did Not Meet",'Mail Merge'!$N504="Did Not Meet"),MIN(ABS('Mail Merge'!$H504),ABS('Mail Merge'!$M504),'Mail Merge'!$Q504),0)</f>
        <v>0</v>
      </c>
      <c r="V504" s="199" t="str">
        <f>IF(OR(IFERROR(SEARCH("Met",'Mail Merge'!$N504),0)&gt;0,IFERROR(SEARCH("Met",'Mail Merge'!$I504),0)&gt;0),"Met","Not Met")</f>
        <v>Not Met</v>
      </c>
    </row>
    <row r="505" spans="1:22" x14ac:dyDescent="0.35">
      <c r="A505" s="200" t="s">
        <v>131</v>
      </c>
      <c r="B505" s="201">
        <v>2249</v>
      </c>
      <c r="C505" s="201" t="s">
        <v>22</v>
      </c>
      <c r="D505" s="201">
        <v>6</v>
      </c>
      <c r="E505" s="201">
        <v>8061.55</v>
      </c>
      <c r="F505" s="201">
        <v>26818</v>
      </c>
      <c r="G505" s="201">
        <f>'Mail Merge'!$E505+'Mail Merge'!$F505</f>
        <v>34879.550000000003</v>
      </c>
      <c r="H505" s="201">
        <v>0</v>
      </c>
      <c r="I505" s="201" t="s">
        <v>240</v>
      </c>
      <c r="J505" s="201">
        <f>IFERROR('Mail Merge'!$E505/'Mail Merge'!$D505,0)</f>
        <v>1343.5916666666667</v>
      </c>
      <c r="K505" s="201">
        <f>IFERROR('Mail Merge'!$F505/'Mail Merge'!$D505,0)</f>
        <v>4469.666666666667</v>
      </c>
      <c r="L505" s="201">
        <f>IFERROR('Mail Merge'!$G505/'Mail Merge'!$D505,0)</f>
        <v>5813.2583333333341</v>
      </c>
      <c r="M505" s="201">
        <v>0</v>
      </c>
      <c r="N505" s="201" t="s">
        <v>240</v>
      </c>
      <c r="O505" s="201">
        <v>14973.45</v>
      </c>
      <c r="P505" s="201">
        <v>6.7</v>
      </c>
      <c r="Q505" s="201">
        <f>'Mail Merge'!$O505+'Mail Merge'!$P505</f>
        <v>14980.150000000001</v>
      </c>
      <c r="R505" s="201"/>
      <c r="S505" s="201"/>
      <c r="T505" s="201"/>
      <c r="U505" s="201">
        <f>IF(AND('Mail Merge'!$I505="Did Not Meet",'Mail Merge'!$N505="Did Not Meet"),MIN(ABS('Mail Merge'!$H505),ABS('Mail Merge'!$M505),'Mail Merge'!$Q505),0)</f>
        <v>0</v>
      </c>
      <c r="V505" s="201" t="str">
        <f>IF(OR(IFERROR(SEARCH("Met",'Mail Merge'!$N505),0)&gt;0,IFERROR(SEARCH("Met",'Mail Merge'!$I505),0)&gt;0),"Met","Not Met")</f>
        <v>Not Met</v>
      </c>
    </row>
    <row r="506" spans="1:22" x14ac:dyDescent="0.35">
      <c r="A506" s="198" t="s">
        <v>132</v>
      </c>
      <c r="B506" s="199">
        <v>1925</v>
      </c>
      <c r="C506" s="199" t="s">
        <v>22</v>
      </c>
      <c r="D506" s="199">
        <v>427</v>
      </c>
      <c r="E506" s="199">
        <v>3274191.64</v>
      </c>
      <c r="F506" s="199">
        <v>498704</v>
      </c>
      <c r="G506" s="199">
        <f>'Mail Merge'!$E506+'Mail Merge'!$F506</f>
        <v>3772895.64</v>
      </c>
      <c r="H506" s="199">
        <v>0</v>
      </c>
      <c r="I506" s="199" t="s">
        <v>241</v>
      </c>
      <c r="J506" s="199">
        <f>IFERROR('Mail Merge'!$E506/'Mail Merge'!$D506,0)</f>
        <v>7667.8961124121779</v>
      </c>
      <c r="K506" s="199">
        <f>IFERROR('Mail Merge'!$F506/'Mail Merge'!$D506,0)</f>
        <v>1167.9250585480095</v>
      </c>
      <c r="L506" s="199">
        <f>IFERROR('Mail Merge'!$G506/'Mail Merge'!$D506,0)</f>
        <v>8835.8211709601874</v>
      </c>
      <c r="M506" s="199">
        <v>0</v>
      </c>
      <c r="N506" s="199" t="s">
        <v>241</v>
      </c>
      <c r="O506" s="199">
        <v>446089.45</v>
      </c>
      <c r="P506" s="199">
        <v>1889.42</v>
      </c>
      <c r="Q506" s="199">
        <f>'Mail Merge'!$O506+'Mail Merge'!$P506</f>
        <v>447978.87</v>
      </c>
      <c r="R506" s="199"/>
      <c r="S506" s="199">
        <v>77567</v>
      </c>
      <c r="T506" s="199">
        <v>77567</v>
      </c>
      <c r="U506" s="199">
        <f>IF(AND('Mail Merge'!$I506="Did Not Meet",'Mail Merge'!$N506="Did Not Meet"),MIN(ABS('Mail Merge'!$H506),ABS('Mail Merge'!$M506),'Mail Merge'!$Q506),0)</f>
        <v>0</v>
      </c>
      <c r="V506" s="199" t="str">
        <f>IF(OR(IFERROR(SEARCH("Met",'Mail Merge'!$N506),0)&gt;0,IFERROR(SEARCH("Met",'Mail Merge'!$I506),0)&gt;0),"Met","Not Met")</f>
        <v>Met</v>
      </c>
    </row>
    <row r="507" spans="1:22" x14ac:dyDescent="0.35">
      <c r="A507" s="200" t="s">
        <v>133</v>
      </c>
      <c r="B507" s="201">
        <v>1898</v>
      </c>
      <c r="C507" s="201" t="s">
        <v>22</v>
      </c>
      <c r="D507" s="201">
        <v>61</v>
      </c>
      <c r="E507" s="201">
        <v>587357.98</v>
      </c>
      <c r="F507" s="201">
        <v>40947</v>
      </c>
      <c r="G507" s="201">
        <f>'Mail Merge'!$E507+'Mail Merge'!$F507</f>
        <v>628304.98</v>
      </c>
      <c r="H507" s="201">
        <v>0</v>
      </c>
      <c r="I507" s="201" t="s">
        <v>240</v>
      </c>
      <c r="J507" s="201">
        <f>IFERROR('Mail Merge'!$E507/'Mail Merge'!$D507,0)</f>
        <v>9628.8193442622942</v>
      </c>
      <c r="K507" s="201">
        <f>IFERROR('Mail Merge'!$F507/'Mail Merge'!$D507,0)</f>
        <v>671.26229508196718</v>
      </c>
      <c r="L507" s="201">
        <f>IFERROR('Mail Merge'!$G507/'Mail Merge'!$D507,0)</f>
        <v>10300.081639344262</v>
      </c>
      <c r="M507" s="201">
        <v>0</v>
      </c>
      <c r="N507" s="201" t="s">
        <v>240</v>
      </c>
      <c r="O507" s="201">
        <v>78844.66</v>
      </c>
      <c r="P507" s="201">
        <v>749.97</v>
      </c>
      <c r="Q507" s="201">
        <f>'Mail Merge'!$O507+'Mail Merge'!$P507</f>
        <v>79594.63</v>
      </c>
      <c r="R507" s="201"/>
      <c r="S507" s="201"/>
      <c r="T507" s="201"/>
      <c r="U507" s="201">
        <f>IF(AND('Mail Merge'!$I507="Did Not Meet",'Mail Merge'!$N507="Did Not Meet"),MIN(ABS('Mail Merge'!$H507),ABS('Mail Merge'!$M507),'Mail Merge'!$Q507),0)</f>
        <v>0</v>
      </c>
      <c r="V507" s="201" t="str">
        <f>IF(OR(IFERROR(SEARCH("Met",'Mail Merge'!$N507),0)&gt;0,IFERROR(SEARCH("Met",'Mail Merge'!$I507),0)&gt;0),"Met","Not Met")</f>
        <v>Not Met</v>
      </c>
    </row>
    <row r="508" spans="1:22" x14ac:dyDescent="0.35">
      <c r="A508" s="198" t="s">
        <v>134</v>
      </c>
      <c r="B508" s="199">
        <v>2010</v>
      </c>
      <c r="C508" s="199" t="s">
        <v>22</v>
      </c>
      <c r="D508" s="199">
        <v>5</v>
      </c>
      <c r="E508" s="199">
        <v>2119</v>
      </c>
      <c r="F508" s="199">
        <v>93653.13</v>
      </c>
      <c r="G508" s="199">
        <f>'Mail Merge'!$E508+'Mail Merge'!$F508</f>
        <v>95772.13</v>
      </c>
      <c r="H508" s="199">
        <v>0</v>
      </c>
      <c r="I508" s="199" t="s">
        <v>241</v>
      </c>
      <c r="J508" s="199">
        <f>IFERROR('Mail Merge'!$E508/'Mail Merge'!$D508,0)</f>
        <v>423.8</v>
      </c>
      <c r="K508" s="199">
        <f>IFERROR('Mail Merge'!$F508/'Mail Merge'!$D508,0)</f>
        <v>18730.626</v>
      </c>
      <c r="L508" s="199">
        <f>IFERROR('Mail Merge'!$G508/'Mail Merge'!$D508,0)</f>
        <v>19154.425999999999</v>
      </c>
      <c r="M508" s="199">
        <v>0</v>
      </c>
      <c r="N508" s="199" t="s">
        <v>241</v>
      </c>
      <c r="O508" s="199">
        <v>8552.25</v>
      </c>
      <c r="P508" s="199">
        <v>486.98</v>
      </c>
      <c r="Q508" s="199">
        <f>'Mail Merge'!$O508+'Mail Merge'!$P508</f>
        <v>9039.23</v>
      </c>
      <c r="R508" s="199"/>
      <c r="S508" s="199"/>
      <c r="T508" s="199"/>
      <c r="U508" s="199">
        <f>IF(AND('Mail Merge'!$I508="Did Not Meet",'Mail Merge'!$N508="Did Not Meet"),MIN(ABS('Mail Merge'!$H508),ABS('Mail Merge'!$M508),'Mail Merge'!$Q508),0)</f>
        <v>0</v>
      </c>
      <c r="V508" s="199" t="str">
        <f>IF(OR(IFERROR(SEARCH("Met",'Mail Merge'!$N508),0)&gt;0,IFERROR(SEARCH("Met",'Mail Merge'!$I508),0)&gt;0),"Met","Not Met")</f>
        <v>Met</v>
      </c>
    </row>
    <row r="509" spans="1:22" x14ac:dyDescent="0.35">
      <c r="A509" s="200" t="s">
        <v>135</v>
      </c>
      <c r="B509" s="201">
        <v>2147</v>
      </c>
      <c r="C509" s="201" t="s">
        <v>22</v>
      </c>
      <c r="D509" s="201">
        <v>290</v>
      </c>
      <c r="E509" s="201">
        <v>1309154.74</v>
      </c>
      <c r="F509" s="201">
        <v>434957.55</v>
      </c>
      <c r="G509" s="201">
        <f>'Mail Merge'!$E509+'Mail Merge'!$F509</f>
        <v>1744112.29</v>
      </c>
      <c r="H509" s="201">
        <v>0</v>
      </c>
      <c r="I509" s="201" t="s">
        <v>240</v>
      </c>
      <c r="J509" s="201">
        <f>IFERROR('Mail Merge'!$E509/'Mail Merge'!$D509,0)</f>
        <v>4514.3266896551722</v>
      </c>
      <c r="K509" s="201">
        <f>IFERROR('Mail Merge'!$F509/'Mail Merge'!$D509,0)</f>
        <v>1499.8536206896551</v>
      </c>
      <c r="L509" s="201">
        <f>IFERROR('Mail Merge'!$G509/'Mail Merge'!$D509,0)</f>
        <v>6014.1803103448274</v>
      </c>
      <c r="M509" s="201">
        <v>0</v>
      </c>
      <c r="N509" s="201" t="s">
        <v>240</v>
      </c>
      <c r="O509" s="201">
        <v>328029.75</v>
      </c>
      <c r="P509" s="201">
        <v>1129.6400000000001</v>
      </c>
      <c r="Q509" s="201">
        <f>'Mail Merge'!$O509+'Mail Merge'!$P509</f>
        <v>329159.39</v>
      </c>
      <c r="R509" s="201"/>
      <c r="S509" s="201"/>
      <c r="T509" s="201"/>
      <c r="U509" s="201">
        <f>IF(AND('Mail Merge'!$I509="Did Not Meet",'Mail Merge'!$N509="Did Not Meet"),MIN(ABS('Mail Merge'!$H509),ABS('Mail Merge'!$M509),'Mail Merge'!$Q509),0)</f>
        <v>0</v>
      </c>
      <c r="V509" s="201" t="str">
        <f>IF(OR(IFERROR(SEARCH("Met",'Mail Merge'!$N509),0)&gt;0,IFERROR(SEARCH("Met",'Mail Merge'!$I509),0)&gt;0),"Met","Not Met")</f>
        <v>Not Met</v>
      </c>
    </row>
    <row r="510" spans="1:22" x14ac:dyDescent="0.35">
      <c r="A510" s="198" t="s">
        <v>136</v>
      </c>
      <c r="B510" s="199">
        <v>2145</v>
      </c>
      <c r="C510" s="199" t="s">
        <v>22</v>
      </c>
      <c r="D510" s="199">
        <v>74</v>
      </c>
      <c r="E510" s="199">
        <v>420453.17</v>
      </c>
      <c r="F510" s="199">
        <v>23339.91</v>
      </c>
      <c r="G510" s="199">
        <f>'Mail Merge'!$E510+'Mail Merge'!$F510</f>
        <v>443793.07999999996</v>
      </c>
      <c r="H510" s="199">
        <v>0</v>
      </c>
      <c r="I510" s="199" t="s">
        <v>240</v>
      </c>
      <c r="J510" s="199">
        <f>IFERROR('Mail Merge'!$E510/'Mail Merge'!$D510,0)</f>
        <v>5681.7995945945941</v>
      </c>
      <c r="K510" s="199">
        <f>IFERROR('Mail Merge'!$F510/'Mail Merge'!$D510,0)</f>
        <v>315.4041891891892</v>
      </c>
      <c r="L510" s="199">
        <f>IFERROR('Mail Merge'!$G510/'Mail Merge'!$D510,0)</f>
        <v>5997.2037837837834</v>
      </c>
      <c r="M510" s="199">
        <v>0</v>
      </c>
      <c r="N510" s="199" t="s">
        <v>240</v>
      </c>
      <c r="O510" s="199">
        <v>107003.99</v>
      </c>
      <c r="P510" s="199">
        <v>432.83</v>
      </c>
      <c r="Q510" s="199">
        <f>'Mail Merge'!$O510+'Mail Merge'!$P510</f>
        <v>107436.82</v>
      </c>
      <c r="R510" s="199"/>
      <c r="S510" s="199"/>
      <c r="T510" s="199"/>
      <c r="U510" s="199">
        <f>IF(AND('Mail Merge'!$I510="Did Not Meet",'Mail Merge'!$N510="Did Not Meet"),MIN(ABS('Mail Merge'!$H510),ABS('Mail Merge'!$M510),'Mail Merge'!$Q510),0)</f>
        <v>0</v>
      </c>
      <c r="V510" s="199" t="str">
        <f>IF(OR(IFERROR(SEARCH("Met",'Mail Merge'!$N510),0)&gt;0,IFERROR(SEARCH("Met",'Mail Merge'!$I510),0)&gt;0),"Met","Not Met")</f>
        <v>Not Met</v>
      </c>
    </row>
    <row r="511" spans="1:22" x14ac:dyDescent="0.35">
      <c r="A511" s="200" t="s">
        <v>137</v>
      </c>
      <c r="B511" s="201">
        <v>1968</v>
      </c>
      <c r="C511" s="201" t="s">
        <v>22</v>
      </c>
      <c r="D511" s="201">
        <v>86</v>
      </c>
      <c r="E511" s="201">
        <v>700051.23</v>
      </c>
      <c r="F511" s="201">
        <v>205137</v>
      </c>
      <c r="G511" s="201">
        <f>'Mail Merge'!$E511+'Mail Merge'!$F511</f>
        <v>905188.23</v>
      </c>
      <c r="H511" s="201">
        <v>0</v>
      </c>
      <c r="I511" s="201" t="s">
        <v>241</v>
      </c>
      <c r="J511" s="201">
        <f>IFERROR('Mail Merge'!$E511/'Mail Merge'!$D511,0)</f>
        <v>8140.1305813953486</v>
      </c>
      <c r="K511" s="201">
        <f>IFERROR('Mail Merge'!$F511/'Mail Merge'!$D511,0)</f>
        <v>2385.3139534883721</v>
      </c>
      <c r="L511" s="201">
        <f>IFERROR('Mail Merge'!$G511/'Mail Merge'!$D511,0)</f>
        <v>10525.44453488372</v>
      </c>
      <c r="M511" s="201">
        <v>0</v>
      </c>
      <c r="N511" s="201" t="s">
        <v>241</v>
      </c>
      <c r="O511" s="201">
        <v>150912.47</v>
      </c>
      <c r="P511" s="201">
        <v>980.78</v>
      </c>
      <c r="Q511" s="201">
        <f>'Mail Merge'!$O511+'Mail Merge'!$P511</f>
        <v>151893.25</v>
      </c>
      <c r="R511" s="201"/>
      <c r="S511" s="201"/>
      <c r="T511" s="201"/>
      <c r="U511" s="201">
        <f>IF(AND('Mail Merge'!$I511="Did Not Meet",'Mail Merge'!$N511="Did Not Meet"),MIN(ABS('Mail Merge'!$H511),ABS('Mail Merge'!$M511),'Mail Merge'!$Q511),0)</f>
        <v>0</v>
      </c>
      <c r="V511" s="201" t="str">
        <f>IF(OR(IFERROR(SEARCH("Met",'Mail Merge'!$N511),0)&gt;0,IFERROR(SEARCH("Met",'Mail Merge'!$I511),0)&gt;0),"Met","Not Met")</f>
        <v>Met</v>
      </c>
    </row>
    <row r="512" spans="1:22" x14ac:dyDescent="0.35">
      <c r="A512" s="198" t="s">
        <v>138</v>
      </c>
      <c r="B512" s="199">
        <v>2198</v>
      </c>
      <c r="C512" s="199" t="s">
        <v>22</v>
      </c>
      <c r="D512" s="199">
        <v>90</v>
      </c>
      <c r="E512" s="199">
        <v>1324903.9099999999</v>
      </c>
      <c r="F512" s="199">
        <v>176021</v>
      </c>
      <c r="G512" s="199">
        <f>'Mail Merge'!$E512+'Mail Merge'!$F512</f>
        <v>1500924.91</v>
      </c>
      <c r="H512" s="199">
        <v>0</v>
      </c>
      <c r="I512" s="199" t="s">
        <v>241</v>
      </c>
      <c r="J512" s="199">
        <f>IFERROR('Mail Merge'!$E512/'Mail Merge'!$D512,0)</f>
        <v>14721.154555555555</v>
      </c>
      <c r="K512" s="199">
        <f>IFERROR('Mail Merge'!$F512/'Mail Merge'!$D512,0)</f>
        <v>1955.7888888888888</v>
      </c>
      <c r="L512" s="199">
        <f>IFERROR('Mail Merge'!$G512/'Mail Merge'!$D512,0)</f>
        <v>16676.943444444445</v>
      </c>
      <c r="M512" s="199">
        <v>0</v>
      </c>
      <c r="N512" s="199" t="s">
        <v>240</v>
      </c>
      <c r="O512" s="199">
        <v>110162.68</v>
      </c>
      <c r="P512" s="199">
        <v>2427.12</v>
      </c>
      <c r="Q512" s="199">
        <f>'Mail Merge'!$O512+'Mail Merge'!$P512</f>
        <v>112589.79999999999</v>
      </c>
      <c r="R512" s="199"/>
      <c r="S512" s="199"/>
      <c r="T512" s="199"/>
      <c r="U512" s="199">
        <f>IF(AND('Mail Merge'!$I512="Did Not Meet",'Mail Merge'!$N512="Did Not Meet"),MIN(ABS('Mail Merge'!$H512),ABS('Mail Merge'!$M512),'Mail Merge'!$Q512),0)</f>
        <v>0</v>
      </c>
      <c r="V512" s="199" t="str">
        <f>IF(OR(IFERROR(SEARCH("Met",'Mail Merge'!$N512),0)&gt;0,IFERROR(SEARCH("Met",'Mail Merge'!$I512),0)&gt;0),"Met","Not Met")</f>
        <v>Met</v>
      </c>
    </row>
    <row r="513" spans="1:22" x14ac:dyDescent="0.35">
      <c r="A513" s="200" t="s">
        <v>139</v>
      </c>
      <c r="B513" s="201">
        <v>2199</v>
      </c>
      <c r="C513" s="201" t="s">
        <v>22</v>
      </c>
      <c r="D513" s="201">
        <v>79</v>
      </c>
      <c r="E513" s="201">
        <v>622521.32999999996</v>
      </c>
      <c r="F513" s="201">
        <v>90098</v>
      </c>
      <c r="G513" s="201">
        <f>'Mail Merge'!$E513+'Mail Merge'!$F513</f>
        <v>712619.33</v>
      </c>
      <c r="H513" s="201">
        <v>0</v>
      </c>
      <c r="I513" s="201" t="s">
        <v>241</v>
      </c>
      <c r="J513" s="201">
        <f>IFERROR('Mail Merge'!$E513/'Mail Merge'!$D513,0)</f>
        <v>7880.0168354430371</v>
      </c>
      <c r="K513" s="201">
        <f>IFERROR('Mail Merge'!$F513/'Mail Merge'!$D513,0)</f>
        <v>1140.4810126582279</v>
      </c>
      <c r="L513" s="201">
        <f>IFERROR('Mail Merge'!$G513/'Mail Merge'!$D513,0)</f>
        <v>9020.4978481012658</v>
      </c>
      <c r="M513" s="201">
        <v>0</v>
      </c>
      <c r="N513" s="201" t="s">
        <v>240</v>
      </c>
      <c r="O513" s="201">
        <v>107421.75</v>
      </c>
      <c r="P513" s="201">
        <v>0</v>
      </c>
      <c r="Q513" s="201">
        <f>'Mail Merge'!$O513+'Mail Merge'!$P513</f>
        <v>107421.75</v>
      </c>
      <c r="R513" s="201"/>
      <c r="S513" s="201"/>
      <c r="T513" s="201"/>
      <c r="U513" s="201">
        <f>IF(AND('Mail Merge'!$I513="Did Not Meet",'Mail Merge'!$N513="Did Not Meet"),MIN(ABS('Mail Merge'!$H513),ABS('Mail Merge'!$M513),'Mail Merge'!$Q513),0)</f>
        <v>0</v>
      </c>
      <c r="V513" s="201" t="str">
        <f>IF(OR(IFERROR(SEARCH("Met",'Mail Merge'!$N513),0)&gt;0,IFERROR(SEARCH("Met",'Mail Merge'!$I513),0)&gt;0),"Met","Not Met")</f>
        <v>Met</v>
      </c>
    </row>
    <row r="514" spans="1:22" x14ac:dyDescent="0.35">
      <c r="A514" s="198" t="s">
        <v>140</v>
      </c>
      <c r="B514" s="199">
        <v>2254</v>
      </c>
      <c r="C514" s="199" t="s">
        <v>22</v>
      </c>
      <c r="D514" s="199">
        <v>643</v>
      </c>
      <c r="E514" s="199">
        <v>5228563.79</v>
      </c>
      <c r="F514" s="199">
        <v>89674.15</v>
      </c>
      <c r="G514" s="199">
        <f>'Mail Merge'!$E514+'Mail Merge'!$F514</f>
        <v>5318237.9400000004</v>
      </c>
      <c r="H514" s="199">
        <v>0</v>
      </c>
      <c r="I514" s="199" t="s">
        <v>241</v>
      </c>
      <c r="J514" s="199">
        <f>IFERROR('Mail Merge'!$E514/'Mail Merge'!$D514,0)</f>
        <v>8131.5144479004666</v>
      </c>
      <c r="K514" s="199">
        <f>IFERROR('Mail Merge'!$F514/'Mail Merge'!$D514,0)</f>
        <v>139.46213063763608</v>
      </c>
      <c r="L514" s="199">
        <f>IFERROR('Mail Merge'!$G514/'Mail Merge'!$D514,0)</f>
        <v>8270.9765785381041</v>
      </c>
      <c r="M514" s="199">
        <v>0</v>
      </c>
      <c r="N514" s="199" t="s">
        <v>240</v>
      </c>
      <c r="O514" s="199">
        <v>787578.88</v>
      </c>
      <c r="P514" s="199">
        <v>5932.58</v>
      </c>
      <c r="Q514" s="199">
        <f>'Mail Merge'!$O514+'Mail Merge'!$P514</f>
        <v>793511.46</v>
      </c>
      <c r="R514" s="199"/>
      <c r="S514" s="199"/>
      <c r="T514" s="199"/>
      <c r="U514" s="199">
        <f>IF(AND('Mail Merge'!$I514="Did Not Meet",'Mail Merge'!$N514="Did Not Meet"),MIN(ABS('Mail Merge'!$H514),ABS('Mail Merge'!$M514),'Mail Merge'!$Q514),0)</f>
        <v>0</v>
      </c>
      <c r="V514" s="199" t="str">
        <f>IF(OR(IFERROR(SEARCH("Met",'Mail Merge'!$N514),0)&gt;0,IFERROR(SEARCH("Met",'Mail Merge'!$I514),0)&gt;0),"Met","Not Met")</f>
        <v>Met</v>
      </c>
    </row>
    <row r="515" spans="1:22" x14ac:dyDescent="0.35">
      <c r="A515" s="200" t="s">
        <v>141</v>
      </c>
      <c r="B515" s="201">
        <v>1966</v>
      </c>
      <c r="C515" s="201" t="s">
        <v>22</v>
      </c>
      <c r="D515" s="201">
        <v>492</v>
      </c>
      <c r="E515" s="201">
        <v>2893055.57</v>
      </c>
      <c r="F515" s="201">
        <v>825440</v>
      </c>
      <c r="G515" s="201">
        <f>'Mail Merge'!$E515+'Mail Merge'!$F515</f>
        <v>3718495.57</v>
      </c>
      <c r="H515" s="201">
        <v>0</v>
      </c>
      <c r="I515" s="201" t="s">
        <v>241</v>
      </c>
      <c r="J515" s="201">
        <f>IFERROR('Mail Merge'!$E515/'Mail Merge'!$D515,0)</f>
        <v>5880.194247967479</v>
      </c>
      <c r="K515" s="201">
        <f>IFERROR('Mail Merge'!$F515/'Mail Merge'!$D515,0)</f>
        <v>1677.7235772357724</v>
      </c>
      <c r="L515" s="201">
        <f>IFERROR('Mail Merge'!$G515/'Mail Merge'!$D515,0)</f>
        <v>7557.9178252032516</v>
      </c>
      <c r="M515" s="201">
        <v>0</v>
      </c>
      <c r="N515" s="201" t="s">
        <v>240</v>
      </c>
      <c r="O515" s="201">
        <v>536998.99</v>
      </c>
      <c r="P515" s="201">
        <v>4941.25</v>
      </c>
      <c r="Q515" s="201">
        <f>'Mail Merge'!$O515+'Mail Merge'!$P515</f>
        <v>541940.24</v>
      </c>
      <c r="R515" s="201"/>
      <c r="S515" s="201"/>
      <c r="T515" s="201"/>
      <c r="U515" s="201">
        <f>IF(AND('Mail Merge'!$I515="Did Not Meet",'Mail Merge'!$N515="Did Not Meet"),MIN(ABS('Mail Merge'!$H515),ABS('Mail Merge'!$M515),'Mail Merge'!$Q515),0)</f>
        <v>0</v>
      </c>
      <c r="V515" s="201" t="str">
        <f>IF(OR(IFERROR(SEARCH("Met",'Mail Merge'!$N515),0)&gt;0,IFERROR(SEARCH("Met",'Mail Merge'!$I515),0)&gt;0),"Met","Not Met")</f>
        <v>Met</v>
      </c>
    </row>
    <row r="516" spans="1:22" x14ac:dyDescent="0.35">
      <c r="A516" s="198" t="s">
        <v>142</v>
      </c>
      <c r="B516" s="199">
        <v>1924</v>
      </c>
      <c r="C516" s="199" t="s">
        <v>22</v>
      </c>
      <c r="D516" s="199">
        <v>2465</v>
      </c>
      <c r="E516" s="199">
        <v>16002137.75</v>
      </c>
      <c r="F516" s="199">
        <v>3220126</v>
      </c>
      <c r="G516" s="199">
        <f>'Mail Merge'!$E516+'Mail Merge'!$F516</f>
        <v>19222263.75</v>
      </c>
      <c r="H516" s="199">
        <v>0</v>
      </c>
      <c r="I516" s="199" t="s">
        <v>241</v>
      </c>
      <c r="J516" s="199">
        <f>IFERROR('Mail Merge'!$E516/'Mail Merge'!$D516,0)</f>
        <v>6491.7394523326575</v>
      </c>
      <c r="K516" s="199">
        <f>IFERROR('Mail Merge'!$F516/'Mail Merge'!$D516,0)</f>
        <v>1306.3391480730222</v>
      </c>
      <c r="L516" s="199">
        <f>IFERROR('Mail Merge'!$G516/'Mail Merge'!$D516,0)</f>
        <v>7798.0786004056799</v>
      </c>
      <c r="M516" s="199">
        <v>0</v>
      </c>
      <c r="N516" s="199" t="s">
        <v>241</v>
      </c>
      <c r="O516" s="199">
        <v>2594099.84</v>
      </c>
      <c r="P516" s="199">
        <v>20051.38</v>
      </c>
      <c r="Q516" s="199">
        <f>'Mail Merge'!$O516+'Mail Merge'!$P516</f>
        <v>2614151.2199999997</v>
      </c>
      <c r="R516" s="199"/>
      <c r="S516" s="199"/>
      <c r="T516" s="199"/>
      <c r="U516" s="199">
        <f>IF(AND('Mail Merge'!$I516="Did Not Meet",'Mail Merge'!$N516="Did Not Meet"),MIN(ABS('Mail Merge'!$H516),ABS('Mail Merge'!$M516),'Mail Merge'!$Q516),0)</f>
        <v>0</v>
      </c>
      <c r="V516" s="199" t="str">
        <f>IF(OR(IFERROR(SEARCH("Met",'Mail Merge'!$N516),0)&gt;0,IFERROR(SEARCH("Met",'Mail Merge'!$I516),0)&gt;0),"Met","Not Met")</f>
        <v>Met</v>
      </c>
    </row>
    <row r="517" spans="1:22" x14ac:dyDescent="0.35">
      <c r="A517" s="200" t="s">
        <v>143</v>
      </c>
      <c r="B517" s="201">
        <v>1996</v>
      </c>
      <c r="C517" s="201" t="s">
        <v>22</v>
      </c>
      <c r="D517" s="201">
        <v>48</v>
      </c>
      <c r="E517" s="201">
        <v>348495.09</v>
      </c>
      <c r="F517" s="201">
        <v>70600.34</v>
      </c>
      <c r="G517" s="201">
        <f>'Mail Merge'!$E517+'Mail Merge'!$F517</f>
        <v>419095.43000000005</v>
      </c>
      <c r="H517" s="201">
        <v>0</v>
      </c>
      <c r="I517" s="201" t="s">
        <v>242</v>
      </c>
      <c r="J517" s="201">
        <f>IFERROR('Mail Merge'!$E517/'Mail Merge'!$D517,0)</f>
        <v>7260.3143750000008</v>
      </c>
      <c r="K517" s="201">
        <f>IFERROR('Mail Merge'!$F517/'Mail Merge'!$D517,0)</f>
        <v>1470.8404166666667</v>
      </c>
      <c r="L517" s="201">
        <f>IFERROR('Mail Merge'!$G517/'Mail Merge'!$D517,0)</f>
        <v>8731.1547916666677</v>
      </c>
      <c r="M517" s="201">
        <v>0</v>
      </c>
      <c r="N517" s="201" t="s">
        <v>240</v>
      </c>
      <c r="O517" s="201">
        <v>57873.68</v>
      </c>
      <c r="P517" s="201">
        <v>1002.82</v>
      </c>
      <c r="Q517" s="201">
        <f>'Mail Merge'!$O517+'Mail Merge'!$P517</f>
        <v>58876.5</v>
      </c>
      <c r="R517" s="201"/>
      <c r="S517" s="201">
        <v>46573.29</v>
      </c>
      <c r="T517" s="201"/>
      <c r="U517" s="201">
        <f>IF(AND('Mail Merge'!$I517="Did Not Meet",'Mail Merge'!$N517="Did Not Meet"),MIN(ABS('Mail Merge'!$H517),ABS('Mail Merge'!$M517),'Mail Merge'!$Q517),0)</f>
        <v>0</v>
      </c>
      <c r="V517" s="201" t="str">
        <f>IF(OR(IFERROR(SEARCH("Met",'Mail Merge'!$N517),0)&gt;0,IFERROR(SEARCH("Met",'Mail Merge'!$I517),0)&gt;0),"Met","Not Met")</f>
        <v>Met</v>
      </c>
    </row>
    <row r="518" spans="1:22" x14ac:dyDescent="0.35">
      <c r="A518" s="198" t="s">
        <v>144</v>
      </c>
      <c r="B518" s="199">
        <v>2061</v>
      </c>
      <c r="C518" s="199" t="s">
        <v>22</v>
      </c>
      <c r="D518" s="199">
        <v>31</v>
      </c>
      <c r="E518" s="199">
        <v>147053.32</v>
      </c>
      <c r="F518" s="199">
        <v>51052.89</v>
      </c>
      <c r="G518" s="199">
        <f>'Mail Merge'!$E518+'Mail Merge'!$F518</f>
        <v>198106.21000000002</v>
      </c>
      <c r="H518" s="199">
        <v>0</v>
      </c>
      <c r="I518" s="199" t="s">
        <v>242</v>
      </c>
      <c r="J518" s="199">
        <f>IFERROR('Mail Merge'!$E518/'Mail Merge'!$D518,0)</f>
        <v>4743.6554838709681</v>
      </c>
      <c r="K518" s="199">
        <f>IFERROR('Mail Merge'!$F518/'Mail Merge'!$D518,0)</f>
        <v>1646.8674193548386</v>
      </c>
      <c r="L518" s="199">
        <f>IFERROR('Mail Merge'!$G518/'Mail Merge'!$D518,0)</f>
        <v>6390.5229032258076</v>
      </c>
      <c r="M518" s="199">
        <v>0</v>
      </c>
      <c r="N518" s="199" t="s">
        <v>241</v>
      </c>
      <c r="O518" s="199">
        <v>49593.88</v>
      </c>
      <c r="P518" s="199">
        <v>817.32</v>
      </c>
      <c r="Q518" s="199">
        <f>'Mail Merge'!$O518+'Mail Merge'!$P518</f>
        <v>50411.199999999997</v>
      </c>
      <c r="R518" s="199"/>
      <c r="S518" s="199">
        <v>18046.330000000002</v>
      </c>
      <c r="T518" s="199">
        <v>18046.330000000002</v>
      </c>
      <c r="U518" s="199">
        <f>IF(AND('Mail Merge'!$I518="Did Not Meet",'Mail Merge'!$N518="Did Not Meet"),MIN(ABS('Mail Merge'!$H518),ABS('Mail Merge'!$M518),'Mail Merge'!$Q518),0)</f>
        <v>0</v>
      </c>
      <c r="V518" s="199" t="str">
        <f>IF(OR(IFERROR(SEARCH("Met",'Mail Merge'!$N518),0)&gt;0,IFERROR(SEARCH("Met",'Mail Merge'!$I518),0)&gt;0),"Met","Not Met")</f>
        <v>Met</v>
      </c>
    </row>
    <row r="519" spans="1:22" x14ac:dyDescent="0.35">
      <c r="A519" s="200" t="s">
        <v>145</v>
      </c>
      <c r="B519" s="201">
        <v>2141</v>
      </c>
      <c r="C519" s="201" t="s">
        <v>22</v>
      </c>
      <c r="D519" s="201">
        <v>244</v>
      </c>
      <c r="E519" s="201">
        <v>2148928.6800000002</v>
      </c>
      <c r="F519" s="201">
        <v>136602.96</v>
      </c>
      <c r="G519" s="201">
        <f>'Mail Merge'!$E519+'Mail Merge'!$F519</f>
        <v>2285531.64</v>
      </c>
      <c r="H519" s="201">
        <v>0</v>
      </c>
      <c r="I519" s="201" t="s">
        <v>241</v>
      </c>
      <c r="J519" s="201">
        <f>IFERROR('Mail Merge'!$E519/'Mail Merge'!$D519,0)</f>
        <v>8807.0847540983614</v>
      </c>
      <c r="K519" s="201">
        <f>IFERROR('Mail Merge'!$F519/'Mail Merge'!$D519,0)</f>
        <v>559.84819672131141</v>
      </c>
      <c r="L519" s="201">
        <f>IFERROR('Mail Merge'!$G519/'Mail Merge'!$D519,0)</f>
        <v>9366.9329508196734</v>
      </c>
      <c r="M519" s="201">
        <v>0</v>
      </c>
      <c r="N519" s="201" t="s">
        <v>241</v>
      </c>
      <c r="O519" s="201">
        <v>271692.69</v>
      </c>
      <c r="P519" s="201">
        <v>3406.09</v>
      </c>
      <c r="Q519" s="201">
        <f>'Mail Merge'!$O519+'Mail Merge'!$P519</f>
        <v>275098.78000000003</v>
      </c>
      <c r="R519" s="201"/>
      <c r="S519" s="201"/>
      <c r="T519" s="201"/>
      <c r="U519" s="201">
        <f>IF(AND('Mail Merge'!$I519="Did Not Meet",'Mail Merge'!$N519="Did Not Meet"),MIN(ABS('Mail Merge'!$H519),ABS('Mail Merge'!$M519),'Mail Merge'!$Q519),0)</f>
        <v>0</v>
      </c>
      <c r="V519" s="201" t="str">
        <f>IF(OR(IFERROR(SEARCH("Met",'Mail Merge'!$N519),0)&gt;0,IFERROR(SEARCH("Met",'Mail Merge'!$I519),0)&gt;0),"Met","Not Met")</f>
        <v>Met</v>
      </c>
    </row>
    <row r="520" spans="1:22" x14ac:dyDescent="0.35">
      <c r="A520" s="198" t="s">
        <v>146</v>
      </c>
      <c r="B520" s="199">
        <v>2214</v>
      </c>
      <c r="C520" s="199" t="s">
        <v>22</v>
      </c>
      <c r="D520" s="199">
        <v>43</v>
      </c>
      <c r="E520" s="199">
        <v>175273.02</v>
      </c>
      <c r="F520" s="199">
        <v>23429.79</v>
      </c>
      <c r="G520" s="199">
        <f>'Mail Merge'!$E520+'Mail Merge'!$F520</f>
        <v>198702.81</v>
      </c>
      <c r="H520" s="199">
        <v>0</v>
      </c>
      <c r="I520" s="199" t="s">
        <v>241</v>
      </c>
      <c r="J520" s="199">
        <f>IFERROR('Mail Merge'!$E520/'Mail Merge'!$D520,0)</f>
        <v>4076.1167441860462</v>
      </c>
      <c r="K520" s="199">
        <f>IFERROR('Mail Merge'!$F520/'Mail Merge'!$D520,0)</f>
        <v>544.87883720930233</v>
      </c>
      <c r="L520" s="199">
        <f>IFERROR('Mail Merge'!$G520/'Mail Merge'!$D520,0)</f>
        <v>4620.9955813953484</v>
      </c>
      <c r="M520" s="199">
        <v>0</v>
      </c>
      <c r="N520" s="199" t="s">
        <v>241</v>
      </c>
      <c r="O520" s="199">
        <v>42937.52</v>
      </c>
      <c r="P520" s="199">
        <v>0</v>
      </c>
      <c r="Q520" s="199">
        <f>'Mail Merge'!$O520+'Mail Merge'!$P520</f>
        <v>42937.52</v>
      </c>
      <c r="R520" s="199"/>
      <c r="S520" s="199"/>
      <c r="T520" s="199"/>
      <c r="U520" s="199">
        <f>IF(AND('Mail Merge'!$I520="Did Not Meet",'Mail Merge'!$N520="Did Not Meet"),MIN(ABS('Mail Merge'!$H520),ABS('Mail Merge'!$M520),'Mail Merge'!$Q520),0)</f>
        <v>0</v>
      </c>
      <c r="V520" s="199" t="str">
        <f>IF(OR(IFERROR(SEARCH("Met",'Mail Merge'!$N520),0)&gt;0,IFERROR(SEARCH("Met",'Mail Merge'!$I520),0)&gt;0),"Met","Not Met")</f>
        <v>Met</v>
      </c>
    </row>
    <row r="521" spans="1:22" x14ac:dyDescent="0.35">
      <c r="A521" s="200" t="s">
        <v>147</v>
      </c>
      <c r="B521" s="201">
        <v>2143</v>
      </c>
      <c r="C521" s="201" t="s">
        <v>22</v>
      </c>
      <c r="D521" s="201">
        <v>281</v>
      </c>
      <c r="E521" s="201">
        <v>2248283.89</v>
      </c>
      <c r="F521" s="201">
        <v>133842.10999999999</v>
      </c>
      <c r="G521" s="201">
        <f>'Mail Merge'!$E521+'Mail Merge'!$F521</f>
        <v>2382126</v>
      </c>
      <c r="H521" s="201">
        <v>0</v>
      </c>
      <c r="I521" s="201" t="s">
        <v>241</v>
      </c>
      <c r="J521" s="201">
        <f>IFERROR('Mail Merge'!$E521/'Mail Merge'!$D521,0)</f>
        <v>8001.0102846975096</v>
      </c>
      <c r="K521" s="201">
        <f>IFERROR('Mail Merge'!$F521/'Mail Merge'!$D521,0)</f>
        <v>476.30644128113875</v>
      </c>
      <c r="L521" s="201">
        <f>IFERROR('Mail Merge'!$G521/'Mail Merge'!$D521,0)</f>
        <v>8477.3167259786478</v>
      </c>
      <c r="M521" s="201">
        <v>0</v>
      </c>
      <c r="N521" s="201" t="s">
        <v>240</v>
      </c>
      <c r="O521" s="201">
        <v>435085.03</v>
      </c>
      <c r="P521" s="201">
        <v>2605.19</v>
      </c>
      <c r="Q521" s="201">
        <f>'Mail Merge'!$O521+'Mail Merge'!$P521</f>
        <v>437690.22000000003</v>
      </c>
      <c r="R521" s="201"/>
      <c r="S521" s="201"/>
      <c r="T521" s="201"/>
      <c r="U521" s="201">
        <f>IF(AND('Mail Merge'!$I521="Did Not Meet",'Mail Merge'!$N521="Did Not Meet"),MIN(ABS('Mail Merge'!$H521),ABS('Mail Merge'!$M521),'Mail Merge'!$Q521),0)</f>
        <v>0</v>
      </c>
      <c r="V521" s="201" t="str">
        <f>IF(OR(IFERROR(SEARCH("Met",'Mail Merge'!$N521),0)&gt;0,IFERROR(SEARCH("Met",'Mail Merge'!$I521),0)&gt;0),"Met","Not Met")</f>
        <v>Met</v>
      </c>
    </row>
    <row r="522" spans="1:22" x14ac:dyDescent="0.35">
      <c r="A522" s="198" t="s">
        <v>148</v>
      </c>
      <c r="B522" s="199">
        <v>4131</v>
      </c>
      <c r="C522" s="199" t="s">
        <v>22</v>
      </c>
      <c r="D522" s="199">
        <v>421</v>
      </c>
      <c r="E522" s="199">
        <v>3404960.52</v>
      </c>
      <c r="F522" s="199">
        <v>0</v>
      </c>
      <c r="G522" s="199">
        <f>'Mail Merge'!$E522+'Mail Merge'!$F522</f>
        <v>3404960.52</v>
      </c>
      <c r="H522" s="199">
        <v>0</v>
      </c>
      <c r="I522" s="199" t="s">
        <v>241</v>
      </c>
      <c r="J522" s="199">
        <f>IFERROR('Mail Merge'!$E522/'Mail Merge'!$D522,0)</f>
        <v>8087.7922090261281</v>
      </c>
      <c r="K522" s="199">
        <f>IFERROR('Mail Merge'!$F522/'Mail Merge'!$D522,0)</f>
        <v>0</v>
      </c>
      <c r="L522" s="199">
        <f>IFERROR('Mail Merge'!$G522/'Mail Merge'!$D522,0)</f>
        <v>8087.7922090261281</v>
      </c>
      <c r="M522" s="199">
        <v>0</v>
      </c>
      <c r="N522" s="199" t="s">
        <v>241</v>
      </c>
      <c r="O522" s="199">
        <v>486169.66</v>
      </c>
      <c r="P522" s="199">
        <v>6265.93</v>
      </c>
      <c r="Q522" s="199">
        <f>'Mail Merge'!$O522+'Mail Merge'!$P522</f>
        <v>492435.58999999997</v>
      </c>
      <c r="R522" s="199"/>
      <c r="S522" s="199"/>
      <c r="T522" s="199"/>
      <c r="U522" s="199">
        <f>IF(AND('Mail Merge'!$I522="Did Not Meet",'Mail Merge'!$N522="Did Not Meet"),MIN(ABS('Mail Merge'!$H522),ABS('Mail Merge'!$M522),'Mail Merge'!$Q522),0)</f>
        <v>0</v>
      </c>
      <c r="V522" s="199" t="str">
        <f>IF(OR(IFERROR(SEARCH("Met",'Mail Merge'!$N522),0)&gt;0,IFERROR(SEARCH("Met",'Mail Merge'!$I522),0)&gt;0),"Met","Not Met")</f>
        <v>Met</v>
      </c>
    </row>
    <row r="523" spans="1:22" x14ac:dyDescent="0.35">
      <c r="A523" s="200" t="s">
        <v>149</v>
      </c>
      <c r="B523" s="201">
        <v>2110</v>
      </c>
      <c r="C523" s="201" t="s">
        <v>22</v>
      </c>
      <c r="D523" s="201">
        <v>162</v>
      </c>
      <c r="E523" s="201">
        <v>743016.46</v>
      </c>
      <c r="F523" s="201">
        <v>341281.56</v>
      </c>
      <c r="G523" s="201">
        <f>'Mail Merge'!$E523+'Mail Merge'!$F523</f>
        <v>1084298.02</v>
      </c>
      <c r="H523" s="201">
        <v>0</v>
      </c>
      <c r="I523" s="201" t="s">
        <v>241</v>
      </c>
      <c r="J523" s="201">
        <f>IFERROR('Mail Merge'!$E523/'Mail Merge'!$D523,0)</f>
        <v>4586.5213580246909</v>
      </c>
      <c r="K523" s="201">
        <f>IFERROR('Mail Merge'!$F523/'Mail Merge'!$D523,0)</f>
        <v>2106.6762962962962</v>
      </c>
      <c r="L523" s="201">
        <f>IFERROR('Mail Merge'!$G523/'Mail Merge'!$D523,0)</f>
        <v>6693.1976543209876</v>
      </c>
      <c r="M523" s="201">
        <v>0</v>
      </c>
      <c r="N523" s="201" t="s">
        <v>240</v>
      </c>
      <c r="O523" s="201">
        <v>208175.35</v>
      </c>
      <c r="P523" s="201">
        <v>406.96</v>
      </c>
      <c r="Q523" s="201">
        <f>'Mail Merge'!$O523+'Mail Merge'!$P523</f>
        <v>208582.31</v>
      </c>
      <c r="R523" s="201"/>
      <c r="S523" s="201"/>
      <c r="T523" s="201"/>
      <c r="U523" s="201">
        <f>IF(AND('Mail Merge'!$I523="Did Not Meet",'Mail Merge'!$N523="Did Not Meet"),MIN(ABS('Mail Merge'!$H523),ABS('Mail Merge'!$M523),'Mail Merge'!$Q523),0)</f>
        <v>0</v>
      </c>
      <c r="V523" s="201" t="str">
        <f>IF(OR(IFERROR(SEARCH("Met",'Mail Merge'!$N523),0)&gt;0,IFERROR(SEARCH("Met",'Mail Merge'!$I523),0)&gt;0),"Met","Not Met")</f>
        <v>Met</v>
      </c>
    </row>
    <row r="524" spans="1:22" x14ac:dyDescent="0.35">
      <c r="A524" s="198" t="s">
        <v>150</v>
      </c>
      <c r="B524" s="199">
        <v>1990</v>
      </c>
      <c r="C524" s="199" t="s">
        <v>22</v>
      </c>
      <c r="D524" s="199">
        <v>57</v>
      </c>
      <c r="E524" s="199">
        <v>331036.73</v>
      </c>
      <c r="F524" s="199">
        <v>100721</v>
      </c>
      <c r="G524" s="199">
        <f>'Mail Merge'!$E524+'Mail Merge'!$F524</f>
        <v>431757.73</v>
      </c>
      <c r="H524" s="199">
        <v>0</v>
      </c>
      <c r="I524" s="199" t="s">
        <v>241</v>
      </c>
      <c r="J524" s="199">
        <f>IFERROR('Mail Merge'!$E524/'Mail Merge'!$D524,0)</f>
        <v>5807.6619298245614</v>
      </c>
      <c r="K524" s="199">
        <f>IFERROR('Mail Merge'!$F524/'Mail Merge'!$D524,0)</f>
        <v>1767.0350877192982</v>
      </c>
      <c r="L524" s="199">
        <f>IFERROR('Mail Merge'!$G524/'Mail Merge'!$D524,0)</f>
        <v>7574.6970175438591</v>
      </c>
      <c r="M524" s="199">
        <v>0</v>
      </c>
      <c r="N524" s="199" t="s">
        <v>241</v>
      </c>
      <c r="O524" s="199">
        <v>92424.99</v>
      </c>
      <c r="P524" s="199">
        <v>2209.56</v>
      </c>
      <c r="Q524" s="199">
        <f>'Mail Merge'!$O524+'Mail Merge'!$P524</f>
        <v>94634.55</v>
      </c>
      <c r="R524" s="199"/>
      <c r="S524" s="199"/>
      <c r="T524" s="199"/>
      <c r="U524" s="199">
        <f>IF(AND('Mail Merge'!$I524="Did Not Meet",'Mail Merge'!$N524="Did Not Meet"),MIN(ABS('Mail Merge'!$H524),ABS('Mail Merge'!$M524),'Mail Merge'!$Q524),0)</f>
        <v>0</v>
      </c>
      <c r="V524" s="199" t="str">
        <f>IF(OR(IFERROR(SEARCH("Met",'Mail Merge'!$N524),0)&gt;0,IFERROR(SEARCH("Met",'Mail Merge'!$I524),0)&gt;0),"Met","Not Met")</f>
        <v>Met</v>
      </c>
    </row>
    <row r="525" spans="1:22" x14ac:dyDescent="0.35">
      <c r="A525" s="200" t="s">
        <v>151</v>
      </c>
      <c r="B525" s="201">
        <v>2093</v>
      </c>
      <c r="C525" s="201" t="s">
        <v>22</v>
      </c>
      <c r="D525" s="201">
        <v>78</v>
      </c>
      <c r="E525" s="201">
        <v>388283.82</v>
      </c>
      <c r="F525" s="201">
        <v>216907</v>
      </c>
      <c r="G525" s="201">
        <f>'Mail Merge'!$E525+'Mail Merge'!$F525</f>
        <v>605190.82000000007</v>
      </c>
      <c r="H525" s="201">
        <v>0</v>
      </c>
      <c r="I525" s="201" t="s">
        <v>242</v>
      </c>
      <c r="J525" s="201">
        <f>IFERROR('Mail Merge'!$E525/'Mail Merge'!$D525,0)</f>
        <v>4977.997692307692</v>
      </c>
      <c r="K525" s="201">
        <f>IFERROR('Mail Merge'!$F525/'Mail Merge'!$D525,0)</f>
        <v>2780.8589743589741</v>
      </c>
      <c r="L525" s="201">
        <f>IFERROR('Mail Merge'!$G525/'Mail Merge'!$D525,0)</f>
        <v>7758.8566666666675</v>
      </c>
      <c r="M525" s="201">
        <v>0</v>
      </c>
      <c r="N525" s="201" t="s">
        <v>241</v>
      </c>
      <c r="O525" s="201">
        <v>122587.27</v>
      </c>
      <c r="P525" s="201">
        <v>2562.1</v>
      </c>
      <c r="Q525" s="201">
        <f>'Mail Merge'!$O525+'Mail Merge'!$P525</f>
        <v>125149.37000000001</v>
      </c>
      <c r="R525" s="201"/>
      <c r="S525" s="201">
        <v>61652.91</v>
      </c>
      <c r="T525" s="201">
        <v>61652.91</v>
      </c>
      <c r="U525" s="201">
        <f>IF(AND('Mail Merge'!$I525="Did Not Meet",'Mail Merge'!$N525="Did Not Meet"),MIN(ABS('Mail Merge'!$H525),ABS('Mail Merge'!$M525),'Mail Merge'!$Q525),0)</f>
        <v>0</v>
      </c>
      <c r="V525" s="201" t="str">
        <f>IF(OR(IFERROR(SEARCH("Met",'Mail Merge'!$N525),0)&gt;0,IFERROR(SEARCH("Met",'Mail Merge'!$I525),0)&gt;0),"Met","Not Met")</f>
        <v>Met</v>
      </c>
    </row>
    <row r="526" spans="1:22" x14ac:dyDescent="0.35">
      <c r="A526" s="198" t="s">
        <v>152</v>
      </c>
      <c r="B526" s="199">
        <v>2108</v>
      </c>
      <c r="C526" s="199" t="s">
        <v>22</v>
      </c>
      <c r="D526" s="199">
        <v>316</v>
      </c>
      <c r="E526" s="199">
        <v>1688601.58</v>
      </c>
      <c r="F526" s="199">
        <v>660509.18000000005</v>
      </c>
      <c r="G526" s="199">
        <f>'Mail Merge'!$E526+'Mail Merge'!$F526</f>
        <v>2349110.7600000002</v>
      </c>
      <c r="H526" s="199">
        <v>0</v>
      </c>
      <c r="I526" s="199" t="s">
        <v>241</v>
      </c>
      <c r="J526" s="199">
        <f>IFERROR('Mail Merge'!$E526/'Mail Merge'!$D526,0)</f>
        <v>5343.6758860759492</v>
      </c>
      <c r="K526" s="199">
        <f>IFERROR('Mail Merge'!$F526/'Mail Merge'!$D526,0)</f>
        <v>2090.2189240506332</v>
      </c>
      <c r="L526" s="199">
        <f>IFERROR('Mail Merge'!$G526/'Mail Merge'!$D526,0)</f>
        <v>7433.8948101265833</v>
      </c>
      <c r="M526" s="199">
        <v>0</v>
      </c>
      <c r="N526" s="199" t="s">
        <v>240</v>
      </c>
      <c r="O526" s="199">
        <v>447185.09</v>
      </c>
      <c r="P526" s="199">
        <v>3848.8</v>
      </c>
      <c r="Q526" s="199">
        <f>'Mail Merge'!$O526+'Mail Merge'!$P526</f>
        <v>451033.89</v>
      </c>
      <c r="R526" s="199"/>
      <c r="S526" s="199"/>
      <c r="T526" s="199"/>
      <c r="U526" s="199">
        <f>IF(AND('Mail Merge'!$I526="Did Not Meet",'Mail Merge'!$N526="Did Not Meet"),MIN(ABS('Mail Merge'!$H526),ABS('Mail Merge'!$M526),'Mail Merge'!$Q526),0)</f>
        <v>0</v>
      </c>
      <c r="V526" s="199" t="str">
        <f>IF(OR(IFERROR(SEARCH("Met",'Mail Merge'!$N526),0)&gt;0,IFERROR(SEARCH("Met",'Mail Merge'!$I526),0)&gt;0),"Met","Not Met")</f>
        <v>Met</v>
      </c>
    </row>
    <row r="527" spans="1:22" x14ac:dyDescent="0.35">
      <c r="A527" s="200" t="s">
        <v>153</v>
      </c>
      <c r="B527" s="201">
        <v>1928</v>
      </c>
      <c r="C527" s="201" t="s">
        <v>22</v>
      </c>
      <c r="D527" s="201">
        <v>1195</v>
      </c>
      <c r="E527" s="201">
        <v>11157746.34</v>
      </c>
      <c r="F527" s="201">
        <v>1995343</v>
      </c>
      <c r="G527" s="201">
        <f>'Mail Merge'!$E527+'Mail Merge'!$F527</f>
        <v>13153089.34</v>
      </c>
      <c r="H527" s="201">
        <v>0</v>
      </c>
      <c r="I527" s="201" t="s">
        <v>241</v>
      </c>
      <c r="J527" s="201">
        <f>IFERROR('Mail Merge'!$E527/'Mail Merge'!$D527,0)</f>
        <v>9337.026225941423</v>
      </c>
      <c r="K527" s="201">
        <f>IFERROR('Mail Merge'!$F527/'Mail Merge'!$D527,0)</f>
        <v>1669.7430962343096</v>
      </c>
      <c r="L527" s="201">
        <f>IFERROR('Mail Merge'!$G527/'Mail Merge'!$D527,0)</f>
        <v>11006.769322175733</v>
      </c>
      <c r="M527" s="201">
        <v>0</v>
      </c>
      <c r="N527" s="201" t="s">
        <v>241</v>
      </c>
      <c r="O527" s="201">
        <v>1309725.19</v>
      </c>
      <c r="P527" s="201">
        <v>11829.2</v>
      </c>
      <c r="Q527" s="201">
        <f>'Mail Merge'!$O527+'Mail Merge'!$P527</f>
        <v>1321554.3899999999</v>
      </c>
      <c r="R527" s="201"/>
      <c r="S527" s="201"/>
      <c r="T527" s="201"/>
      <c r="U527" s="201">
        <f>IF(AND('Mail Merge'!$I527="Did Not Meet",'Mail Merge'!$N527="Did Not Meet"),MIN(ABS('Mail Merge'!$H527),ABS('Mail Merge'!$M527),'Mail Merge'!$Q527),0)</f>
        <v>0</v>
      </c>
      <c r="V527" s="201" t="str">
        <f>IF(OR(IFERROR(SEARCH("Met",'Mail Merge'!$N527),0)&gt;0,IFERROR(SEARCH("Met",'Mail Merge'!$I527),0)&gt;0),"Met","Not Met")</f>
        <v>Met</v>
      </c>
    </row>
    <row r="528" spans="1:22" x14ac:dyDescent="0.35">
      <c r="A528" s="198" t="s">
        <v>154</v>
      </c>
      <c r="B528" s="199">
        <v>1926</v>
      </c>
      <c r="C528" s="199" t="s">
        <v>22</v>
      </c>
      <c r="D528" s="199">
        <v>642</v>
      </c>
      <c r="E528" s="199">
        <v>5428718.8700000001</v>
      </c>
      <c r="F528" s="199">
        <v>617604</v>
      </c>
      <c r="G528" s="199">
        <f>'Mail Merge'!$E528+'Mail Merge'!$F528</f>
        <v>6046322.8700000001</v>
      </c>
      <c r="H528" s="199">
        <v>0</v>
      </c>
      <c r="I528" s="199" t="s">
        <v>242</v>
      </c>
      <c r="J528" s="199">
        <f>IFERROR('Mail Merge'!$E528/'Mail Merge'!$D528,0)</f>
        <v>8455.9483956386302</v>
      </c>
      <c r="K528" s="199">
        <f>IFERROR('Mail Merge'!$F528/'Mail Merge'!$D528,0)</f>
        <v>962</v>
      </c>
      <c r="L528" s="199">
        <f>IFERROR('Mail Merge'!$G528/'Mail Merge'!$D528,0)</f>
        <v>9417.9483956386302</v>
      </c>
      <c r="M528" s="199">
        <v>0</v>
      </c>
      <c r="N528" s="199" t="s">
        <v>241</v>
      </c>
      <c r="O528" s="199">
        <v>686492.98</v>
      </c>
      <c r="P528" s="199">
        <v>5764.61</v>
      </c>
      <c r="Q528" s="199">
        <f>'Mail Merge'!$O528+'Mail Merge'!$P528</f>
        <v>692257.59</v>
      </c>
      <c r="R528" s="199"/>
      <c r="S528" s="199">
        <v>374373.81</v>
      </c>
      <c r="T528" s="199">
        <v>374373.81</v>
      </c>
      <c r="U528" s="199">
        <f>IF(AND('Mail Merge'!$I528="Did Not Meet",'Mail Merge'!$N528="Did Not Meet"),MIN(ABS('Mail Merge'!$H528),ABS('Mail Merge'!$M528),'Mail Merge'!$Q528),0)</f>
        <v>0</v>
      </c>
      <c r="V528" s="199" t="str">
        <f>IF(OR(IFERROR(SEARCH("Met",'Mail Merge'!$N528),0)&gt;0,IFERROR(SEARCH("Met",'Mail Merge'!$I528),0)&gt;0),"Met","Not Met")</f>
        <v>Met</v>
      </c>
    </row>
    <row r="529" spans="1:22" x14ac:dyDescent="0.35">
      <c r="A529" s="200" t="s">
        <v>155</v>
      </c>
      <c r="B529" s="201">
        <v>2060</v>
      </c>
      <c r="C529" s="201" t="s">
        <v>22</v>
      </c>
      <c r="D529" s="201">
        <v>10</v>
      </c>
      <c r="E529" s="201">
        <v>20731.54</v>
      </c>
      <c r="F529" s="201">
        <v>41231.46</v>
      </c>
      <c r="G529" s="201">
        <f>'Mail Merge'!$E529+'Mail Merge'!$F529</f>
        <v>61963</v>
      </c>
      <c r="H529" s="201">
        <v>0</v>
      </c>
      <c r="I529" s="201" t="s">
        <v>241</v>
      </c>
      <c r="J529" s="201">
        <f>IFERROR('Mail Merge'!$E529/'Mail Merge'!$D529,0)</f>
        <v>2073.154</v>
      </c>
      <c r="K529" s="201">
        <f>IFERROR('Mail Merge'!$F529/'Mail Merge'!$D529,0)</f>
        <v>4123.1459999999997</v>
      </c>
      <c r="L529" s="201">
        <f>IFERROR('Mail Merge'!$G529/'Mail Merge'!$D529,0)</f>
        <v>6196.3</v>
      </c>
      <c r="M529" s="201">
        <v>0</v>
      </c>
      <c r="N529" s="201" t="s">
        <v>240</v>
      </c>
      <c r="O529" s="201">
        <v>22623.84</v>
      </c>
      <c r="P529" s="201">
        <v>0</v>
      </c>
      <c r="Q529" s="201">
        <f>'Mail Merge'!$O529+'Mail Merge'!$P529</f>
        <v>22623.84</v>
      </c>
      <c r="R529" s="201"/>
      <c r="S529" s="201"/>
      <c r="T529" s="201"/>
      <c r="U529" s="201">
        <f>IF(AND('Mail Merge'!$I529="Did Not Meet",'Mail Merge'!$N529="Did Not Meet"),MIN(ABS('Mail Merge'!$H529),ABS('Mail Merge'!$M529),'Mail Merge'!$Q529),0)</f>
        <v>0</v>
      </c>
      <c r="V529" s="201" t="str">
        <f>IF(OR(IFERROR(SEARCH("Met",'Mail Merge'!$N529),0)&gt;0,IFERROR(SEARCH("Met",'Mail Merge'!$I529),0)&gt;0),"Met","Not Met")</f>
        <v>Met</v>
      </c>
    </row>
    <row r="530" spans="1:22" x14ac:dyDescent="0.35">
      <c r="A530" s="198" t="s">
        <v>156</v>
      </c>
      <c r="B530" s="199">
        <v>2181</v>
      </c>
      <c r="C530" s="199" t="s">
        <v>22</v>
      </c>
      <c r="D530" s="199">
        <v>438</v>
      </c>
      <c r="E530" s="199">
        <v>4783196.0199999996</v>
      </c>
      <c r="F530" s="199">
        <v>747468</v>
      </c>
      <c r="G530" s="199">
        <f>'Mail Merge'!$E530+'Mail Merge'!$F530</f>
        <v>5530664.0199999996</v>
      </c>
      <c r="H530" s="199">
        <v>0</v>
      </c>
      <c r="I530" s="199" t="s">
        <v>241</v>
      </c>
      <c r="J530" s="199">
        <f>IFERROR('Mail Merge'!$E530/'Mail Merge'!$D530,0)</f>
        <v>10920.538858447488</v>
      </c>
      <c r="K530" s="199">
        <f>IFERROR('Mail Merge'!$F530/'Mail Merge'!$D530,0)</f>
        <v>1706.5479452054794</v>
      </c>
      <c r="L530" s="199">
        <f>IFERROR('Mail Merge'!$G530/'Mail Merge'!$D530,0)</f>
        <v>12627.086803652966</v>
      </c>
      <c r="M530" s="199">
        <v>0</v>
      </c>
      <c r="N530" s="199" t="s">
        <v>241</v>
      </c>
      <c r="O530" s="199">
        <v>621064.16</v>
      </c>
      <c r="P530" s="199">
        <v>4354.6099999999997</v>
      </c>
      <c r="Q530" s="199">
        <f>'Mail Merge'!$O530+'Mail Merge'!$P530</f>
        <v>625418.77</v>
      </c>
      <c r="R530" s="199"/>
      <c r="S530" s="199">
        <v>127989</v>
      </c>
      <c r="T530" s="199"/>
      <c r="U530" s="199">
        <f>IF(AND('Mail Merge'!$I530="Did Not Meet",'Mail Merge'!$N530="Did Not Meet"),MIN(ABS('Mail Merge'!$H530),ABS('Mail Merge'!$M530),'Mail Merge'!$Q530),0)</f>
        <v>0</v>
      </c>
      <c r="V530" s="199" t="str">
        <f>IF(OR(IFERROR(SEARCH("Met",'Mail Merge'!$N530),0)&gt;0,IFERROR(SEARCH("Met",'Mail Merge'!$I530),0)&gt;0),"Met","Not Met")</f>
        <v>Met</v>
      </c>
    </row>
    <row r="531" spans="1:22" x14ac:dyDescent="0.35">
      <c r="A531" s="200" t="s">
        <v>157</v>
      </c>
      <c r="B531" s="201">
        <v>2207</v>
      </c>
      <c r="C531" s="201" t="s">
        <v>22</v>
      </c>
      <c r="D531" s="201">
        <v>448</v>
      </c>
      <c r="E531" s="201">
        <v>3344964.63</v>
      </c>
      <c r="F531" s="201">
        <v>689616.81</v>
      </c>
      <c r="G531" s="201">
        <f>'Mail Merge'!$E531+'Mail Merge'!$F531</f>
        <v>4034581.44</v>
      </c>
      <c r="H531" s="201">
        <v>0</v>
      </c>
      <c r="I531" s="201" t="s">
        <v>241</v>
      </c>
      <c r="J531" s="201">
        <f>IFERROR('Mail Merge'!$E531/'Mail Merge'!$D531,0)</f>
        <v>7466.4389062499995</v>
      </c>
      <c r="K531" s="201">
        <f>IFERROR('Mail Merge'!$F531/'Mail Merge'!$D531,0)</f>
        <v>1539.3232366071429</v>
      </c>
      <c r="L531" s="201">
        <f>IFERROR('Mail Merge'!$G531/'Mail Merge'!$D531,0)</f>
        <v>9005.762142857142</v>
      </c>
      <c r="M531" s="201">
        <v>0</v>
      </c>
      <c r="N531" s="201" t="s">
        <v>241</v>
      </c>
      <c r="O531" s="201">
        <v>579171.78</v>
      </c>
      <c r="P531" s="201">
        <v>6514.76</v>
      </c>
      <c r="Q531" s="201">
        <f>'Mail Merge'!$O531+'Mail Merge'!$P531</f>
        <v>585686.54</v>
      </c>
      <c r="R531" s="201"/>
      <c r="S531" s="201"/>
      <c r="T531" s="201"/>
      <c r="U531" s="201">
        <f>IF(AND('Mail Merge'!$I531="Did Not Meet",'Mail Merge'!$N531="Did Not Meet"),MIN(ABS('Mail Merge'!$H531),ABS('Mail Merge'!$M531),'Mail Merge'!$Q531),0)</f>
        <v>0</v>
      </c>
      <c r="V531" s="201" t="str">
        <f>IF(OR(IFERROR(SEARCH("Met",'Mail Merge'!$N531),0)&gt;0,IFERROR(SEARCH("Met",'Mail Merge'!$I531),0)&gt;0),"Met","Not Met")</f>
        <v>Met</v>
      </c>
    </row>
    <row r="532" spans="1:22" x14ac:dyDescent="0.35">
      <c r="A532" s="198" t="s">
        <v>158</v>
      </c>
      <c r="B532" s="199">
        <v>2192</v>
      </c>
      <c r="C532" s="199" t="s">
        <v>22</v>
      </c>
      <c r="D532" s="199">
        <v>15</v>
      </c>
      <c r="E532" s="199">
        <v>203159.59</v>
      </c>
      <c r="F532" s="199">
        <v>58165.33</v>
      </c>
      <c r="G532" s="199">
        <f>'Mail Merge'!$E532+'Mail Merge'!$F532</f>
        <v>261324.91999999998</v>
      </c>
      <c r="H532" s="199">
        <v>0</v>
      </c>
      <c r="I532" s="199" t="s">
        <v>241</v>
      </c>
      <c r="J532" s="199">
        <f>IFERROR('Mail Merge'!$E532/'Mail Merge'!$D532,0)</f>
        <v>13543.972666666667</v>
      </c>
      <c r="K532" s="199">
        <f>IFERROR('Mail Merge'!$F532/'Mail Merge'!$D532,0)</f>
        <v>3877.6886666666669</v>
      </c>
      <c r="L532" s="199">
        <f>IFERROR('Mail Merge'!$G532/'Mail Merge'!$D532,0)</f>
        <v>17421.661333333333</v>
      </c>
      <c r="M532" s="199">
        <v>0</v>
      </c>
      <c r="N532" s="199" t="s">
        <v>240</v>
      </c>
      <c r="O532" s="199">
        <v>34333.53</v>
      </c>
      <c r="P532" s="199">
        <v>0</v>
      </c>
      <c r="Q532" s="199">
        <f>'Mail Merge'!$O532+'Mail Merge'!$P532</f>
        <v>34333.53</v>
      </c>
      <c r="R532" s="199"/>
      <c r="S532" s="199"/>
      <c r="T532" s="199"/>
      <c r="U532" s="199">
        <f>IF(AND('Mail Merge'!$I532="Did Not Meet",'Mail Merge'!$N532="Did Not Meet"),MIN(ABS('Mail Merge'!$H532),ABS('Mail Merge'!$M532),'Mail Merge'!$Q532),0)</f>
        <v>0</v>
      </c>
      <c r="V532" s="199" t="str">
        <f>IF(OR(IFERROR(SEARCH("Met",'Mail Merge'!$N532),0)&gt;0,IFERROR(SEARCH("Met",'Mail Merge'!$I532),0)&gt;0),"Met","Not Met")</f>
        <v>Met</v>
      </c>
    </row>
    <row r="533" spans="1:22" x14ac:dyDescent="0.35">
      <c r="A533" s="200" t="s">
        <v>160</v>
      </c>
      <c r="B533" s="201">
        <v>1900</v>
      </c>
      <c r="C533" s="201" t="s">
        <v>22</v>
      </c>
      <c r="D533" s="201">
        <v>172</v>
      </c>
      <c r="E533" s="201">
        <v>1096169.52</v>
      </c>
      <c r="F533" s="201">
        <v>104087</v>
      </c>
      <c r="G533" s="201">
        <f>'Mail Merge'!$E533+'Mail Merge'!$F533</f>
        <v>1200256.52</v>
      </c>
      <c r="H533" s="201">
        <v>0</v>
      </c>
      <c r="I533" s="201" t="s">
        <v>241</v>
      </c>
      <c r="J533" s="201">
        <f>IFERROR('Mail Merge'!$E533/'Mail Merge'!$D533,0)</f>
        <v>6373.078604651163</v>
      </c>
      <c r="K533" s="201">
        <f>IFERROR('Mail Merge'!$F533/'Mail Merge'!$D533,0)</f>
        <v>605.15697674418607</v>
      </c>
      <c r="L533" s="201">
        <f>IFERROR('Mail Merge'!$G533/'Mail Merge'!$D533,0)</f>
        <v>6978.2355813953491</v>
      </c>
      <c r="M533" s="201">
        <v>0</v>
      </c>
      <c r="N533" s="201" t="s">
        <v>241</v>
      </c>
      <c r="O533" s="201">
        <v>242392.19</v>
      </c>
      <c r="P533" s="201">
        <v>4909.84</v>
      </c>
      <c r="Q533" s="201">
        <f>'Mail Merge'!$O533+'Mail Merge'!$P533</f>
        <v>247302.03</v>
      </c>
      <c r="R533" s="201"/>
      <c r="S533" s="201"/>
      <c r="T533" s="201"/>
      <c r="U533" s="201">
        <f>IF(AND('Mail Merge'!$I533="Did Not Meet",'Mail Merge'!$N533="Did Not Meet"),MIN(ABS('Mail Merge'!$H533),ABS('Mail Merge'!$M533),'Mail Merge'!$Q533),0)</f>
        <v>0</v>
      </c>
      <c r="V533" s="201" t="str">
        <f>IF(OR(IFERROR(SEARCH("Met",'Mail Merge'!$N533),0)&gt;0,IFERROR(SEARCH("Met",'Mail Merge'!$I533),0)&gt;0),"Met","Not Met")</f>
        <v>Met</v>
      </c>
    </row>
    <row r="534" spans="1:22" x14ac:dyDescent="0.35">
      <c r="A534" s="198" t="s">
        <v>161</v>
      </c>
      <c r="B534" s="199">
        <v>2039</v>
      </c>
      <c r="C534" s="199" t="s">
        <v>22</v>
      </c>
      <c r="D534" s="199">
        <v>384</v>
      </c>
      <c r="E534" s="199">
        <v>2332448.34</v>
      </c>
      <c r="F534" s="199">
        <v>634547.84</v>
      </c>
      <c r="G534" s="199">
        <f>'Mail Merge'!$E534+'Mail Merge'!$F534</f>
        <v>2966996.1799999997</v>
      </c>
      <c r="H534" s="199">
        <v>0</v>
      </c>
      <c r="I534" s="199" t="s">
        <v>241</v>
      </c>
      <c r="J534" s="199">
        <f>IFERROR('Mail Merge'!$E534/'Mail Merge'!$D534,0)</f>
        <v>6074.0842187499993</v>
      </c>
      <c r="K534" s="199">
        <f>IFERROR('Mail Merge'!$F534/'Mail Merge'!$D534,0)</f>
        <v>1652.4683333333332</v>
      </c>
      <c r="L534" s="199">
        <f>IFERROR('Mail Merge'!$G534/'Mail Merge'!$D534,0)</f>
        <v>7726.5525520833326</v>
      </c>
      <c r="M534" s="199">
        <v>0</v>
      </c>
      <c r="N534" s="199" t="s">
        <v>240</v>
      </c>
      <c r="O534" s="199">
        <v>449565.42</v>
      </c>
      <c r="P534" s="199">
        <v>8756.93</v>
      </c>
      <c r="Q534" s="199">
        <f>'Mail Merge'!$O534+'Mail Merge'!$P534</f>
        <v>458322.35</v>
      </c>
      <c r="R534" s="199"/>
      <c r="S534" s="199"/>
      <c r="T534" s="199"/>
      <c r="U534" s="199">
        <f>IF(AND('Mail Merge'!$I534="Did Not Meet",'Mail Merge'!$N534="Did Not Meet"),MIN(ABS('Mail Merge'!$H534),ABS('Mail Merge'!$M534),'Mail Merge'!$Q534),0)</f>
        <v>0</v>
      </c>
      <c r="V534" s="199" t="str">
        <f>IF(OR(IFERROR(SEARCH("Met",'Mail Merge'!$N534),0)&gt;0,IFERROR(SEARCH("Met",'Mail Merge'!$I534),0)&gt;0),"Met","Not Met")</f>
        <v>Met</v>
      </c>
    </row>
    <row r="535" spans="1:22" x14ac:dyDescent="0.35">
      <c r="A535" s="200" t="s">
        <v>162</v>
      </c>
      <c r="B535" s="201">
        <v>2202</v>
      </c>
      <c r="C535" s="201" t="s">
        <v>22</v>
      </c>
      <c r="D535" s="201">
        <v>44</v>
      </c>
      <c r="E535" s="201">
        <v>245978.41</v>
      </c>
      <c r="F535" s="201">
        <v>66384.41</v>
      </c>
      <c r="G535" s="201">
        <f>'Mail Merge'!$E535+'Mail Merge'!$F535</f>
        <v>312362.82</v>
      </c>
      <c r="H535" s="201">
        <v>0</v>
      </c>
      <c r="I535" s="201" t="s">
        <v>240</v>
      </c>
      <c r="J535" s="201">
        <f>IFERROR('Mail Merge'!$E535/'Mail Merge'!$D535,0)</f>
        <v>5590.4184090909093</v>
      </c>
      <c r="K535" s="201">
        <f>IFERROR('Mail Merge'!$F535/'Mail Merge'!$D535,0)</f>
        <v>1508.7365909090911</v>
      </c>
      <c r="L535" s="201">
        <f>IFERROR('Mail Merge'!$G535/'Mail Merge'!$D535,0)</f>
        <v>7099.1549999999997</v>
      </c>
      <c r="M535" s="201">
        <v>0</v>
      </c>
      <c r="N535" s="201" t="s">
        <v>240</v>
      </c>
      <c r="O535" s="201">
        <v>72246.490000000005</v>
      </c>
      <c r="P535" s="201">
        <v>495.95</v>
      </c>
      <c r="Q535" s="201">
        <f>'Mail Merge'!$O535+'Mail Merge'!$P535</f>
        <v>72742.44</v>
      </c>
      <c r="R535" s="201"/>
      <c r="S535" s="201"/>
      <c r="T535" s="201"/>
      <c r="U535" s="201">
        <f>IF(AND('Mail Merge'!$I535="Did Not Meet",'Mail Merge'!$N535="Did Not Meet"),MIN(ABS('Mail Merge'!$H535),ABS('Mail Merge'!$M535),'Mail Merge'!$Q535),0)</f>
        <v>0</v>
      </c>
      <c r="V535" s="201" t="str">
        <f>IF(OR(IFERROR(SEARCH("Met",'Mail Merge'!$N535),0)&gt;0,IFERROR(SEARCH("Met",'Mail Merge'!$I535),0)&gt;0),"Met","Not Met")</f>
        <v>Not Met</v>
      </c>
    </row>
    <row r="536" spans="1:22" x14ac:dyDescent="0.35">
      <c r="A536" s="198" t="s">
        <v>163</v>
      </c>
      <c r="B536" s="199">
        <v>2016</v>
      </c>
      <c r="C536" s="199" t="s">
        <v>22</v>
      </c>
      <c r="D536" s="199">
        <v>3</v>
      </c>
      <c r="E536" s="199">
        <v>42551.98</v>
      </c>
      <c r="F536" s="199">
        <v>365</v>
      </c>
      <c r="G536" s="199">
        <f>'Mail Merge'!$E536+'Mail Merge'!$F536</f>
        <v>42916.98</v>
      </c>
      <c r="H536" s="199">
        <v>0</v>
      </c>
      <c r="I536" s="199" t="s">
        <v>241</v>
      </c>
      <c r="J536" s="199">
        <f>IFERROR('Mail Merge'!$E536/'Mail Merge'!$D536,0)</f>
        <v>14183.993333333334</v>
      </c>
      <c r="K536" s="199">
        <f>IFERROR('Mail Merge'!$F536/'Mail Merge'!$D536,0)</f>
        <v>121.66666666666667</v>
      </c>
      <c r="L536" s="199">
        <f>IFERROR('Mail Merge'!$G536/'Mail Merge'!$D536,0)</f>
        <v>14305.660000000002</v>
      </c>
      <c r="M536" s="199">
        <v>0</v>
      </c>
      <c r="N536" s="199" t="s">
        <v>240</v>
      </c>
      <c r="O536" s="199">
        <v>0</v>
      </c>
      <c r="P536" s="199">
        <v>0</v>
      </c>
      <c r="Q536" s="199">
        <f>'Mail Merge'!$O536+'Mail Merge'!$P536</f>
        <v>0</v>
      </c>
      <c r="R536" s="199"/>
      <c r="S536" s="199"/>
      <c r="T536" s="199"/>
      <c r="U536" s="199">
        <f>IF(AND('Mail Merge'!$I536="Did Not Meet",'Mail Merge'!$N536="Did Not Meet"),MIN(ABS('Mail Merge'!$H536),ABS('Mail Merge'!$M536),'Mail Merge'!$Q536),0)</f>
        <v>0</v>
      </c>
      <c r="V536" s="199" t="str">
        <f>IF(OR(IFERROR(SEARCH("Met",'Mail Merge'!$N536),0)&gt;0,IFERROR(SEARCH("Met",'Mail Merge'!$I536),0)&gt;0),"Met","Not Met")</f>
        <v>Met</v>
      </c>
    </row>
    <row r="537" spans="1:22" x14ac:dyDescent="0.35">
      <c r="A537" s="200" t="s">
        <v>164</v>
      </c>
      <c r="B537" s="201">
        <v>1897</v>
      </c>
      <c r="C537" s="201" t="s">
        <v>22</v>
      </c>
      <c r="D537" s="201">
        <v>28</v>
      </c>
      <c r="E537" s="201">
        <v>157932.15</v>
      </c>
      <c r="F537" s="201">
        <v>0</v>
      </c>
      <c r="G537" s="201">
        <f>'Mail Merge'!$E537+'Mail Merge'!$F537</f>
        <v>157932.15</v>
      </c>
      <c r="H537" s="201">
        <v>0</v>
      </c>
      <c r="I537" s="201" t="s">
        <v>241</v>
      </c>
      <c r="J537" s="201">
        <f>IFERROR('Mail Merge'!$E537/'Mail Merge'!$D537,0)</f>
        <v>5640.4339285714286</v>
      </c>
      <c r="K537" s="201">
        <f>IFERROR('Mail Merge'!$F537/'Mail Merge'!$D537,0)</f>
        <v>0</v>
      </c>
      <c r="L537" s="201">
        <f>IFERROR('Mail Merge'!$G537/'Mail Merge'!$D537,0)</f>
        <v>5640.4339285714286</v>
      </c>
      <c r="M537" s="201">
        <v>0</v>
      </c>
      <c r="N537" s="201" t="s">
        <v>240</v>
      </c>
      <c r="O537" s="201">
        <v>34327.050000000003</v>
      </c>
      <c r="P537" s="201">
        <v>16.22</v>
      </c>
      <c r="Q537" s="201">
        <f>'Mail Merge'!$O537+'Mail Merge'!$P537</f>
        <v>34343.270000000004</v>
      </c>
      <c r="R537" s="201"/>
      <c r="S537" s="201"/>
      <c r="T537" s="201"/>
      <c r="U537" s="201">
        <f>IF(AND('Mail Merge'!$I537="Did Not Meet",'Mail Merge'!$N537="Did Not Meet"),MIN(ABS('Mail Merge'!$H537),ABS('Mail Merge'!$M537),'Mail Merge'!$Q537),0)</f>
        <v>0</v>
      </c>
      <c r="V537" s="201" t="str">
        <f>IF(OR(IFERROR(SEARCH("Met",'Mail Merge'!$N537),0)&gt;0,IFERROR(SEARCH("Met",'Mail Merge'!$I537),0)&gt;0),"Met","Not Met")</f>
        <v>Met</v>
      </c>
    </row>
    <row r="538" spans="1:22" x14ac:dyDescent="0.35">
      <c r="A538" s="198" t="s">
        <v>165</v>
      </c>
      <c r="B538" s="199">
        <v>2047</v>
      </c>
      <c r="C538" s="199" t="s">
        <v>22</v>
      </c>
      <c r="D538" s="199">
        <v>2</v>
      </c>
      <c r="E538" s="199">
        <v>7641</v>
      </c>
      <c r="F538" s="199">
        <v>4818.3100000000004</v>
      </c>
      <c r="G538" s="199">
        <f>'Mail Merge'!$E538+'Mail Merge'!$F538</f>
        <v>12459.310000000001</v>
      </c>
      <c r="H538" s="199">
        <v>0</v>
      </c>
      <c r="I538" s="199" t="s">
        <v>242</v>
      </c>
      <c r="J538" s="199">
        <f>IFERROR('Mail Merge'!$E538/'Mail Merge'!$D538,0)</f>
        <v>3820.5</v>
      </c>
      <c r="K538" s="199">
        <f>IFERROR('Mail Merge'!$F538/'Mail Merge'!$D538,0)</f>
        <v>2409.1550000000002</v>
      </c>
      <c r="L538" s="199">
        <f>IFERROR('Mail Merge'!$G538/'Mail Merge'!$D538,0)</f>
        <v>6229.6550000000007</v>
      </c>
      <c r="M538" s="199">
        <v>0</v>
      </c>
      <c r="N538" s="199" t="s">
        <v>241</v>
      </c>
      <c r="O538" s="199">
        <v>9133.68</v>
      </c>
      <c r="P538" s="199">
        <v>974.51</v>
      </c>
      <c r="Q538" s="199">
        <f>'Mail Merge'!$O538+'Mail Merge'!$P538</f>
        <v>10108.19</v>
      </c>
      <c r="R538" s="199"/>
      <c r="S538" s="199">
        <v>9157.6200000000008</v>
      </c>
      <c r="T538" s="199">
        <v>9157.6200000000008</v>
      </c>
      <c r="U538" s="199">
        <f>IF(AND('Mail Merge'!$I538="Did Not Meet",'Mail Merge'!$N538="Did Not Meet"),MIN(ABS('Mail Merge'!$H538),ABS('Mail Merge'!$M538),'Mail Merge'!$Q538),0)</f>
        <v>0</v>
      </c>
      <c r="V538" s="199" t="str">
        <f>IF(OR(IFERROR(SEARCH("Met",'Mail Merge'!$N538),0)&gt;0,IFERROR(SEARCH("Met",'Mail Merge'!$I538),0)&gt;0),"Met","Not Met")</f>
        <v>Met</v>
      </c>
    </row>
    <row r="539" spans="1:22" x14ac:dyDescent="0.35">
      <c r="A539" s="200" t="s">
        <v>166</v>
      </c>
      <c r="B539" s="201">
        <v>2081</v>
      </c>
      <c r="C539" s="201" t="s">
        <v>22</v>
      </c>
      <c r="D539" s="201">
        <v>116</v>
      </c>
      <c r="E539" s="201">
        <v>1008186.87</v>
      </c>
      <c r="F539" s="201">
        <v>234437</v>
      </c>
      <c r="G539" s="201">
        <f>'Mail Merge'!$E539+'Mail Merge'!$F539</f>
        <v>1242623.8700000001</v>
      </c>
      <c r="H539" s="201">
        <v>0</v>
      </c>
      <c r="I539" s="201" t="s">
        <v>241</v>
      </c>
      <c r="J539" s="201">
        <f>IFERROR('Mail Merge'!$E539/'Mail Merge'!$D539,0)</f>
        <v>8691.2661206896555</v>
      </c>
      <c r="K539" s="201">
        <f>IFERROR('Mail Merge'!$F539/'Mail Merge'!$D539,0)</f>
        <v>2021.0086206896551</v>
      </c>
      <c r="L539" s="201">
        <f>IFERROR('Mail Merge'!$G539/'Mail Merge'!$D539,0)</f>
        <v>10712.274741379311</v>
      </c>
      <c r="M539" s="201">
        <v>0</v>
      </c>
      <c r="N539" s="201" t="s">
        <v>240</v>
      </c>
      <c r="O539" s="201">
        <v>154800.79999999999</v>
      </c>
      <c r="P539" s="201">
        <v>1149.77</v>
      </c>
      <c r="Q539" s="201">
        <f>'Mail Merge'!$O539+'Mail Merge'!$P539</f>
        <v>155950.56999999998</v>
      </c>
      <c r="R539" s="201"/>
      <c r="S539" s="201"/>
      <c r="T539" s="201"/>
      <c r="U539" s="201">
        <f>IF(AND('Mail Merge'!$I539="Did Not Meet",'Mail Merge'!$N539="Did Not Meet"),MIN(ABS('Mail Merge'!$H539),ABS('Mail Merge'!$M539),'Mail Merge'!$Q539),0)</f>
        <v>0</v>
      </c>
      <c r="V539" s="201" t="str">
        <f>IF(OR(IFERROR(SEARCH("Met",'Mail Merge'!$N539),0)&gt;0,IFERROR(SEARCH("Met",'Mail Merge'!$I539),0)&gt;0),"Met","Not Met")</f>
        <v>Met</v>
      </c>
    </row>
    <row r="540" spans="1:22" x14ac:dyDescent="0.35">
      <c r="A540" s="198" t="s">
        <v>167</v>
      </c>
      <c r="B540" s="199">
        <v>2062</v>
      </c>
      <c r="C540" s="199" t="s">
        <v>22</v>
      </c>
      <c r="D540" s="199">
        <v>1</v>
      </c>
      <c r="E540" s="199">
        <v>0</v>
      </c>
      <c r="F540" s="199">
        <v>9723.93</v>
      </c>
      <c r="G540" s="199">
        <f>'Mail Merge'!$E540+'Mail Merge'!$F540</f>
        <v>9723.93</v>
      </c>
      <c r="H540" s="199">
        <v>0</v>
      </c>
      <c r="I540" s="199" t="s">
        <v>240</v>
      </c>
      <c r="J540" s="199">
        <f>IFERROR('Mail Merge'!$E540/'Mail Merge'!$D540,0)</f>
        <v>0</v>
      </c>
      <c r="K540" s="199">
        <f>IFERROR('Mail Merge'!$F540/'Mail Merge'!$D540,0)</f>
        <v>9723.93</v>
      </c>
      <c r="L540" s="199">
        <f>IFERROR('Mail Merge'!$G540/'Mail Merge'!$D540,0)</f>
        <v>9723.93</v>
      </c>
      <c r="M540" s="199">
        <v>0</v>
      </c>
      <c r="N540" s="199" t="s">
        <v>240</v>
      </c>
      <c r="O540" s="199">
        <v>2700.2</v>
      </c>
      <c r="P540" s="199">
        <v>0.43</v>
      </c>
      <c r="Q540" s="199">
        <f>'Mail Merge'!$O540+'Mail Merge'!$P540</f>
        <v>2700.6299999999997</v>
      </c>
      <c r="R540" s="199"/>
      <c r="S540" s="199"/>
      <c r="T540" s="199"/>
      <c r="U540" s="199">
        <f>IF(AND('Mail Merge'!$I540="Did Not Meet",'Mail Merge'!$N540="Did Not Meet"),MIN(ABS('Mail Merge'!$H540),ABS('Mail Merge'!$M540),'Mail Merge'!$Q540),0)</f>
        <v>0</v>
      </c>
      <c r="V540" s="199" t="str">
        <f>IF(OR(IFERROR(SEARCH("Met",'Mail Merge'!$N540),0)&gt;0,IFERROR(SEARCH("Met",'Mail Merge'!$I540),0)&gt;0),"Met","Not Met")</f>
        <v>Not Met</v>
      </c>
    </row>
    <row r="541" spans="1:22" x14ac:dyDescent="0.35">
      <c r="A541" s="200" t="s">
        <v>168</v>
      </c>
      <c r="B541" s="201">
        <v>1973</v>
      </c>
      <c r="C541" s="201" t="s">
        <v>22</v>
      </c>
      <c r="D541" s="201">
        <v>24</v>
      </c>
      <c r="E541" s="201">
        <v>188375.75</v>
      </c>
      <c r="F541" s="201">
        <v>137201</v>
      </c>
      <c r="G541" s="201">
        <f>'Mail Merge'!$E541+'Mail Merge'!$F541</f>
        <v>325576.75</v>
      </c>
      <c r="H541" s="201">
        <v>0</v>
      </c>
      <c r="I541" s="201" t="s">
        <v>242</v>
      </c>
      <c r="J541" s="201">
        <f>IFERROR('Mail Merge'!$E541/'Mail Merge'!$D541,0)</f>
        <v>7848.989583333333</v>
      </c>
      <c r="K541" s="201">
        <f>IFERROR('Mail Merge'!$F541/'Mail Merge'!$D541,0)</f>
        <v>5716.708333333333</v>
      </c>
      <c r="L541" s="201">
        <f>IFERROR('Mail Merge'!$G541/'Mail Merge'!$D541,0)</f>
        <v>13565.697916666666</v>
      </c>
      <c r="M541" s="201">
        <v>0</v>
      </c>
      <c r="N541" s="201" t="s">
        <v>241</v>
      </c>
      <c r="O541" s="201">
        <v>66875.14</v>
      </c>
      <c r="P541" s="201">
        <v>817.13</v>
      </c>
      <c r="Q541" s="201">
        <f>'Mail Merge'!$O541+'Mail Merge'!$P541</f>
        <v>67692.27</v>
      </c>
      <c r="R541" s="201"/>
      <c r="S541" s="201">
        <v>109704.96000000001</v>
      </c>
      <c r="T541" s="201">
        <v>109704.96000000001</v>
      </c>
      <c r="U541" s="201">
        <f>IF(AND('Mail Merge'!$I541="Did Not Meet",'Mail Merge'!$N541="Did Not Meet"),MIN(ABS('Mail Merge'!$H541),ABS('Mail Merge'!$M541),'Mail Merge'!$Q541),0)</f>
        <v>0</v>
      </c>
      <c r="V541" s="201" t="str">
        <f>IF(OR(IFERROR(SEARCH("Met",'Mail Merge'!$N541),0)&gt;0,IFERROR(SEARCH("Met",'Mail Merge'!$I541),0)&gt;0),"Met","Not Met")</f>
        <v>Met</v>
      </c>
    </row>
    <row r="542" spans="1:22" x14ac:dyDescent="0.35">
      <c r="A542" s="198" t="s">
        <v>169</v>
      </c>
      <c r="B542" s="199">
        <v>2180</v>
      </c>
      <c r="C542" s="199" t="s">
        <v>22</v>
      </c>
      <c r="D542" s="199">
        <v>6691</v>
      </c>
      <c r="E542" s="199">
        <v>70860907.909999996</v>
      </c>
      <c r="F542" s="199">
        <v>1064006</v>
      </c>
      <c r="G542" s="199">
        <f>'Mail Merge'!$E542+'Mail Merge'!$F542</f>
        <v>71924913.909999996</v>
      </c>
      <c r="H542" s="199">
        <v>0</v>
      </c>
      <c r="I542" s="199" t="s">
        <v>241</v>
      </c>
      <c r="J542" s="199">
        <f>IFERROR('Mail Merge'!$E542/'Mail Merge'!$D542,0)</f>
        <v>10590.48093110148</v>
      </c>
      <c r="K542" s="199">
        <f>IFERROR('Mail Merge'!$F542/'Mail Merge'!$D542,0)</f>
        <v>159.02047526528173</v>
      </c>
      <c r="L542" s="199">
        <f>IFERROR('Mail Merge'!$G542/'Mail Merge'!$D542,0)</f>
        <v>10749.50140636676</v>
      </c>
      <c r="M542" s="199">
        <v>0</v>
      </c>
      <c r="N542" s="199" t="s">
        <v>240</v>
      </c>
      <c r="O542" s="199">
        <v>7754500.2400000002</v>
      </c>
      <c r="P542" s="199">
        <v>87302.29</v>
      </c>
      <c r="Q542" s="199">
        <f>'Mail Merge'!$O542+'Mail Merge'!$P542</f>
        <v>7841802.5300000003</v>
      </c>
      <c r="R542" s="199"/>
      <c r="S542" s="199"/>
      <c r="T542" s="199"/>
      <c r="U542" s="199">
        <f>IF(AND('Mail Merge'!$I542="Did Not Meet",'Mail Merge'!$N542="Did Not Meet"),MIN(ABS('Mail Merge'!$H542),ABS('Mail Merge'!$M542),'Mail Merge'!$Q542),0)</f>
        <v>0</v>
      </c>
      <c r="V542" s="199" t="str">
        <f>IF(OR(IFERROR(SEARCH("Met",'Mail Merge'!$N542),0)&gt;0,IFERROR(SEARCH("Met",'Mail Merge'!$I542),0)&gt;0),"Met","Not Met")</f>
        <v>Met</v>
      </c>
    </row>
    <row r="543" spans="1:22" x14ac:dyDescent="0.35">
      <c r="A543" s="200" t="s">
        <v>170</v>
      </c>
      <c r="B543" s="201">
        <v>1967</v>
      </c>
      <c r="C543" s="201" t="s">
        <v>22</v>
      </c>
      <c r="D543" s="201">
        <v>19</v>
      </c>
      <c r="E543" s="201">
        <v>127057.28</v>
      </c>
      <c r="F543" s="201">
        <v>32401</v>
      </c>
      <c r="G543" s="201">
        <f>'Mail Merge'!$E543+'Mail Merge'!$F543</f>
        <v>159458.28</v>
      </c>
      <c r="H543" s="201">
        <v>0</v>
      </c>
      <c r="I543" s="201" t="s">
        <v>241</v>
      </c>
      <c r="J543" s="201">
        <f>IFERROR('Mail Merge'!$E543/'Mail Merge'!$D543,0)</f>
        <v>6687.2252631578949</v>
      </c>
      <c r="K543" s="201">
        <f>IFERROR('Mail Merge'!$F543/'Mail Merge'!$D543,0)</f>
        <v>1705.3157894736842</v>
      </c>
      <c r="L543" s="201">
        <f>IFERROR('Mail Merge'!$G543/'Mail Merge'!$D543,0)</f>
        <v>8392.5410526315791</v>
      </c>
      <c r="M543" s="201">
        <v>0</v>
      </c>
      <c r="N543" s="201" t="s">
        <v>240</v>
      </c>
      <c r="O543" s="201">
        <v>26871.74</v>
      </c>
      <c r="P543" s="201">
        <v>11.02</v>
      </c>
      <c r="Q543" s="201">
        <f>'Mail Merge'!$O543+'Mail Merge'!$P543</f>
        <v>26882.760000000002</v>
      </c>
      <c r="R543" s="201"/>
      <c r="S543" s="201"/>
      <c r="T543" s="201"/>
      <c r="U543" s="201">
        <f>IF(AND('Mail Merge'!$I543="Did Not Meet",'Mail Merge'!$N543="Did Not Meet"),MIN(ABS('Mail Merge'!$H543),ABS('Mail Merge'!$M543),'Mail Merge'!$Q543),0)</f>
        <v>0</v>
      </c>
      <c r="V543" s="201" t="str">
        <f>IF(OR(IFERROR(SEARCH("Met",'Mail Merge'!$N543),0)&gt;0,IFERROR(SEARCH("Met",'Mail Merge'!$I543),0)&gt;0),"Met","Not Met")</f>
        <v>Met</v>
      </c>
    </row>
    <row r="544" spans="1:22" x14ac:dyDescent="0.35">
      <c r="A544" s="198" t="s">
        <v>171</v>
      </c>
      <c r="B544" s="199">
        <v>2009</v>
      </c>
      <c r="C544" s="199" t="s">
        <v>22</v>
      </c>
      <c r="D544" s="199">
        <v>25</v>
      </c>
      <c r="E544" s="199">
        <v>83252.759999999995</v>
      </c>
      <c r="F544" s="199">
        <v>99082.89</v>
      </c>
      <c r="G544" s="199">
        <f>'Mail Merge'!$E544+'Mail Merge'!$F544</f>
        <v>182335.65</v>
      </c>
      <c r="H544" s="199">
        <v>0</v>
      </c>
      <c r="I544" s="199" t="s">
        <v>240</v>
      </c>
      <c r="J544" s="199">
        <f>IFERROR('Mail Merge'!$E544/'Mail Merge'!$D544,0)</f>
        <v>3330.1103999999996</v>
      </c>
      <c r="K544" s="199">
        <f>IFERROR('Mail Merge'!$F544/'Mail Merge'!$D544,0)</f>
        <v>3963.3155999999999</v>
      </c>
      <c r="L544" s="199">
        <f>IFERROR('Mail Merge'!$G544/'Mail Merge'!$D544,0)</f>
        <v>7293.4259999999995</v>
      </c>
      <c r="M544" s="199">
        <v>0</v>
      </c>
      <c r="N544" s="199" t="s">
        <v>240</v>
      </c>
      <c r="O544" s="199">
        <v>29803.22</v>
      </c>
      <c r="P544" s="199">
        <v>977.65</v>
      </c>
      <c r="Q544" s="199">
        <f>'Mail Merge'!$O544+'Mail Merge'!$P544</f>
        <v>30780.870000000003</v>
      </c>
      <c r="R544" s="199"/>
      <c r="S544" s="199"/>
      <c r="T544" s="199"/>
      <c r="U544" s="199">
        <f>IF(AND('Mail Merge'!$I544="Did Not Meet",'Mail Merge'!$N544="Did Not Meet"),MIN(ABS('Mail Merge'!$H544),ABS('Mail Merge'!$M544),'Mail Merge'!$Q544),0)</f>
        <v>0</v>
      </c>
      <c r="V544" s="199" t="str">
        <f>IF(OR(IFERROR(SEARCH("Met",'Mail Merge'!$N544),0)&gt;0,IFERROR(SEARCH("Met",'Mail Merge'!$I544),0)&gt;0),"Met","Not Met")</f>
        <v>Not Met</v>
      </c>
    </row>
    <row r="545" spans="1:22" x14ac:dyDescent="0.35">
      <c r="A545" s="200" t="s">
        <v>172</v>
      </c>
      <c r="B545" s="201">
        <v>2045</v>
      </c>
      <c r="C545" s="201" t="s">
        <v>22</v>
      </c>
      <c r="D545" s="201">
        <v>38</v>
      </c>
      <c r="E545" s="201">
        <v>219075.17</v>
      </c>
      <c r="F545" s="201">
        <v>80062.25</v>
      </c>
      <c r="G545" s="201">
        <f>'Mail Merge'!$E545+'Mail Merge'!$F545</f>
        <v>299137.42000000004</v>
      </c>
      <c r="H545" s="201">
        <v>0</v>
      </c>
      <c r="I545" s="201" t="s">
        <v>241</v>
      </c>
      <c r="J545" s="201">
        <f>IFERROR('Mail Merge'!$E545/'Mail Merge'!$D545,0)</f>
        <v>5765.1360526315793</v>
      </c>
      <c r="K545" s="201">
        <f>IFERROR('Mail Merge'!$F545/'Mail Merge'!$D545,0)</f>
        <v>2106.9013157894738</v>
      </c>
      <c r="L545" s="201">
        <f>IFERROR('Mail Merge'!$G545/'Mail Merge'!$D545,0)</f>
        <v>7872.0373684210535</v>
      </c>
      <c r="M545" s="201">
        <v>0</v>
      </c>
      <c r="N545" s="201" t="s">
        <v>240</v>
      </c>
      <c r="O545" s="201">
        <v>44586.49</v>
      </c>
      <c r="P545" s="201">
        <v>0</v>
      </c>
      <c r="Q545" s="201">
        <f>'Mail Merge'!$O545+'Mail Merge'!$P545</f>
        <v>44586.49</v>
      </c>
      <c r="R545" s="201"/>
      <c r="S545" s="201"/>
      <c r="T545" s="201"/>
      <c r="U545" s="201">
        <f>IF(AND('Mail Merge'!$I545="Did Not Meet",'Mail Merge'!$N545="Did Not Meet"),MIN(ABS('Mail Merge'!$H545),ABS('Mail Merge'!$M545),'Mail Merge'!$Q545),0)</f>
        <v>0</v>
      </c>
      <c r="V545" s="201" t="str">
        <f>IF(OR(IFERROR(SEARCH("Met",'Mail Merge'!$N545),0)&gt;0,IFERROR(SEARCH("Met",'Mail Merge'!$I545),0)&gt;0),"Met","Not Met")</f>
        <v>Met</v>
      </c>
    </row>
    <row r="546" spans="1:22" x14ac:dyDescent="0.35">
      <c r="A546" s="198" t="s">
        <v>173</v>
      </c>
      <c r="B546" s="199">
        <v>1946</v>
      </c>
      <c r="C546" s="199" t="s">
        <v>22</v>
      </c>
      <c r="D546" s="199">
        <v>128</v>
      </c>
      <c r="E546" s="199">
        <v>1577030.52</v>
      </c>
      <c r="F546" s="199">
        <v>84804</v>
      </c>
      <c r="G546" s="199">
        <f>'Mail Merge'!$E546+'Mail Merge'!$F546</f>
        <v>1661834.52</v>
      </c>
      <c r="H546" s="199">
        <v>0</v>
      </c>
      <c r="I546" s="199" t="s">
        <v>241</v>
      </c>
      <c r="J546" s="199">
        <f>IFERROR('Mail Merge'!$E546/'Mail Merge'!$D546,0)</f>
        <v>12320.5509375</v>
      </c>
      <c r="K546" s="199">
        <f>IFERROR('Mail Merge'!$F546/'Mail Merge'!$D546,0)</f>
        <v>662.53125</v>
      </c>
      <c r="L546" s="199">
        <f>IFERROR('Mail Merge'!$G546/'Mail Merge'!$D546,0)</f>
        <v>12983.0821875</v>
      </c>
      <c r="M546" s="199">
        <v>0</v>
      </c>
      <c r="N546" s="199" t="s">
        <v>241</v>
      </c>
      <c r="O546" s="199">
        <v>207708.84</v>
      </c>
      <c r="P546" s="199">
        <v>1414.54</v>
      </c>
      <c r="Q546" s="199">
        <f>'Mail Merge'!$O546+'Mail Merge'!$P546</f>
        <v>209123.38</v>
      </c>
      <c r="R546" s="199"/>
      <c r="S546" s="199"/>
      <c r="T546" s="199"/>
      <c r="U546" s="199">
        <f>IF(AND('Mail Merge'!$I546="Did Not Meet",'Mail Merge'!$N546="Did Not Meet"),MIN(ABS('Mail Merge'!$H546),ABS('Mail Merge'!$M546),'Mail Merge'!$Q546),0)</f>
        <v>0</v>
      </c>
      <c r="V546" s="199" t="str">
        <f>IF(OR(IFERROR(SEARCH("Met",'Mail Merge'!$N546),0)&gt;0,IFERROR(SEARCH("Met",'Mail Merge'!$I546),0)&gt;0),"Met","Not Met")</f>
        <v>Met</v>
      </c>
    </row>
    <row r="547" spans="1:22" x14ac:dyDescent="0.35">
      <c r="A547" s="200" t="s">
        <v>174</v>
      </c>
      <c r="B547" s="201">
        <v>1977</v>
      </c>
      <c r="C547" s="201" t="s">
        <v>22</v>
      </c>
      <c r="D547" s="201">
        <v>955</v>
      </c>
      <c r="E547" s="201">
        <v>6434380.2199999997</v>
      </c>
      <c r="F547" s="201">
        <v>1208701.5900000001</v>
      </c>
      <c r="G547" s="201">
        <f>'Mail Merge'!$E547+'Mail Merge'!$F547</f>
        <v>7643081.8099999996</v>
      </c>
      <c r="H547" s="201">
        <v>0</v>
      </c>
      <c r="I547" s="201" t="s">
        <v>242</v>
      </c>
      <c r="J547" s="201">
        <f>IFERROR('Mail Merge'!$E547/'Mail Merge'!$D547,0)</f>
        <v>6737.5709109947638</v>
      </c>
      <c r="K547" s="201">
        <f>IFERROR('Mail Merge'!$F547/'Mail Merge'!$D547,0)</f>
        <v>1265.6561151832461</v>
      </c>
      <c r="L547" s="201">
        <f>IFERROR('Mail Merge'!$G547/'Mail Merge'!$D547,0)</f>
        <v>8003.2270261780104</v>
      </c>
      <c r="M547" s="201">
        <v>0</v>
      </c>
      <c r="N547" s="201" t="s">
        <v>242</v>
      </c>
      <c r="O547" s="201">
        <v>1002204.69</v>
      </c>
      <c r="P547" s="201">
        <v>5973.47</v>
      </c>
      <c r="Q547" s="201">
        <f>'Mail Merge'!$O547+'Mail Merge'!$P547</f>
        <v>1008178.1599999999</v>
      </c>
      <c r="R547" s="201"/>
      <c r="S547" s="201">
        <v>32675</v>
      </c>
      <c r="T547" s="201">
        <v>32675</v>
      </c>
      <c r="U547" s="201">
        <f>IF(AND('Mail Merge'!$I547="Did Not Meet",'Mail Merge'!$N547="Did Not Meet"),MIN(ABS('Mail Merge'!$H547),ABS('Mail Merge'!$M547),'Mail Merge'!$Q547),0)</f>
        <v>0</v>
      </c>
      <c r="V547" s="201" t="str">
        <f>IF(OR(IFERROR(SEARCH("Met",'Mail Merge'!$N547),0)&gt;0,IFERROR(SEARCH("Met",'Mail Merge'!$I547),0)&gt;0),"Met","Not Met")</f>
        <v>Met</v>
      </c>
    </row>
    <row r="548" spans="1:22" x14ac:dyDescent="0.35">
      <c r="A548" s="198" t="s">
        <v>175</v>
      </c>
      <c r="B548" s="199">
        <v>2001</v>
      </c>
      <c r="C548" s="199" t="s">
        <v>22</v>
      </c>
      <c r="D548" s="199">
        <v>85</v>
      </c>
      <c r="E548" s="199">
        <v>539771.42000000004</v>
      </c>
      <c r="F548" s="199">
        <v>308713</v>
      </c>
      <c r="G548" s="199">
        <f>'Mail Merge'!$E548+'Mail Merge'!$F548</f>
        <v>848484.42</v>
      </c>
      <c r="H548" s="199">
        <v>0</v>
      </c>
      <c r="I548" s="199" t="s">
        <v>241</v>
      </c>
      <c r="J548" s="199">
        <f>IFERROR('Mail Merge'!$E548/'Mail Merge'!$D548,0)</f>
        <v>6350.2520000000004</v>
      </c>
      <c r="K548" s="199">
        <f>IFERROR('Mail Merge'!$F548/'Mail Merge'!$D548,0)</f>
        <v>3631.9176470588236</v>
      </c>
      <c r="L548" s="199">
        <f>IFERROR('Mail Merge'!$G548/'Mail Merge'!$D548,0)</f>
        <v>9982.1696470588249</v>
      </c>
      <c r="M548" s="199">
        <v>0</v>
      </c>
      <c r="N548" s="199" t="s">
        <v>241</v>
      </c>
      <c r="O548" s="199">
        <v>132696.74</v>
      </c>
      <c r="P548" s="199">
        <v>3094.82</v>
      </c>
      <c r="Q548" s="199">
        <f>'Mail Merge'!$O548+'Mail Merge'!$P548</f>
        <v>135791.56</v>
      </c>
      <c r="R548" s="199"/>
      <c r="S548" s="199"/>
      <c r="T548" s="199"/>
      <c r="U548" s="199">
        <f>IF(AND('Mail Merge'!$I548="Did Not Meet",'Mail Merge'!$N548="Did Not Meet"),MIN(ABS('Mail Merge'!$H548),ABS('Mail Merge'!$M548),'Mail Merge'!$Q548),0)</f>
        <v>0</v>
      </c>
      <c r="V548" s="199" t="str">
        <f>IF(OR(IFERROR(SEARCH("Met",'Mail Merge'!$N548),0)&gt;0,IFERROR(SEARCH("Met",'Mail Merge'!$I548),0)&gt;0),"Met","Not Met")</f>
        <v>Met</v>
      </c>
    </row>
    <row r="549" spans="1:22" x14ac:dyDescent="0.35">
      <c r="A549" s="200" t="s">
        <v>176</v>
      </c>
      <c r="B549" s="201">
        <v>2182</v>
      </c>
      <c r="C549" s="201" t="s">
        <v>22</v>
      </c>
      <c r="D549" s="201">
        <v>1688</v>
      </c>
      <c r="E549" s="201">
        <v>15690582</v>
      </c>
      <c r="F549" s="201">
        <v>2172242</v>
      </c>
      <c r="G549" s="201">
        <f>'Mail Merge'!$E549+'Mail Merge'!$F549</f>
        <v>17862824</v>
      </c>
      <c r="H549" s="201">
        <v>0</v>
      </c>
      <c r="I549" s="201" t="s">
        <v>241</v>
      </c>
      <c r="J549" s="201">
        <f>IFERROR('Mail Merge'!$E549/'Mail Merge'!$D549,0)</f>
        <v>9295.3684834123214</v>
      </c>
      <c r="K549" s="201">
        <f>IFERROR('Mail Merge'!$F549/'Mail Merge'!$D549,0)</f>
        <v>1286.8732227488151</v>
      </c>
      <c r="L549" s="201">
        <f>IFERROR('Mail Merge'!$G549/'Mail Merge'!$D549,0)</f>
        <v>10582.241706161138</v>
      </c>
      <c r="M549" s="201">
        <v>0</v>
      </c>
      <c r="N549" s="201" t="s">
        <v>241</v>
      </c>
      <c r="O549" s="201">
        <v>1795033.23</v>
      </c>
      <c r="P549" s="201">
        <v>9509.94</v>
      </c>
      <c r="Q549" s="201">
        <f>'Mail Merge'!$O549+'Mail Merge'!$P549</f>
        <v>1804543.17</v>
      </c>
      <c r="R549" s="201"/>
      <c r="S549" s="201"/>
      <c r="T549" s="201"/>
      <c r="U549" s="201">
        <f>IF(AND('Mail Merge'!$I549="Did Not Meet",'Mail Merge'!$N549="Did Not Meet"),MIN(ABS('Mail Merge'!$H549),ABS('Mail Merge'!$M549),'Mail Merge'!$Q549),0)</f>
        <v>0</v>
      </c>
      <c r="V549" s="201" t="str">
        <f>IF(OR(IFERROR(SEARCH("Met",'Mail Merge'!$N549),0)&gt;0,IFERROR(SEARCH("Met",'Mail Merge'!$I549),0)&gt;0),"Met","Not Met")</f>
        <v>Met</v>
      </c>
    </row>
    <row r="550" spans="1:22" x14ac:dyDescent="0.35">
      <c r="A550" s="198" t="s">
        <v>177</v>
      </c>
      <c r="B550" s="199">
        <v>1999</v>
      </c>
      <c r="C550" s="199" t="s">
        <v>22</v>
      </c>
      <c r="D550" s="199">
        <v>63</v>
      </c>
      <c r="E550" s="199">
        <v>397661.48</v>
      </c>
      <c r="F550" s="199">
        <v>73359.02</v>
      </c>
      <c r="G550" s="199">
        <f>'Mail Merge'!$E550+'Mail Merge'!$F550</f>
        <v>471020.5</v>
      </c>
      <c r="H550" s="199">
        <v>0</v>
      </c>
      <c r="I550" s="199" t="s">
        <v>241</v>
      </c>
      <c r="J550" s="199">
        <f>IFERROR('Mail Merge'!$E550/'Mail Merge'!$D550,0)</f>
        <v>6312.0869841269841</v>
      </c>
      <c r="K550" s="199">
        <f>IFERROR('Mail Merge'!$F550/'Mail Merge'!$D550,0)</f>
        <v>1164.4288888888889</v>
      </c>
      <c r="L550" s="199">
        <f>IFERROR('Mail Merge'!$G550/'Mail Merge'!$D550,0)</f>
        <v>7476.5158730158728</v>
      </c>
      <c r="M550" s="199">
        <v>0</v>
      </c>
      <c r="N550" s="199" t="s">
        <v>241</v>
      </c>
      <c r="O550" s="199">
        <v>67978.42</v>
      </c>
      <c r="P550" s="199">
        <v>116.17</v>
      </c>
      <c r="Q550" s="199">
        <f>'Mail Merge'!$O550+'Mail Merge'!$P550</f>
        <v>68094.59</v>
      </c>
      <c r="R550" s="199"/>
      <c r="S550" s="199"/>
      <c r="T550" s="199"/>
      <c r="U550" s="199">
        <f>IF(AND('Mail Merge'!$I550="Did Not Meet",'Mail Merge'!$N550="Did Not Meet"),MIN(ABS('Mail Merge'!$H550),ABS('Mail Merge'!$M550),'Mail Merge'!$Q550),0)</f>
        <v>0</v>
      </c>
      <c r="V550" s="199" t="str">
        <f>IF(OR(IFERROR(SEARCH("Met",'Mail Merge'!$N550),0)&gt;0,IFERROR(SEARCH("Met",'Mail Merge'!$I550),0)&gt;0),"Met","Not Met")</f>
        <v>Met</v>
      </c>
    </row>
    <row r="551" spans="1:22" x14ac:dyDescent="0.35">
      <c r="A551" s="200" t="s">
        <v>178</v>
      </c>
      <c r="B551" s="201">
        <v>2188</v>
      </c>
      <c r="C551" s="201" t="s">
        <v>22</v>
      </c>
      <c r="D551" s="201">
        <v>61</v>
      </c>
      <c r="E551" s="201">
        <v>260318.97</v>
      </c>
      <c r="F551" s="201">
        <v>117356</v>
      </c>
      <c r="G551" s="201">
        <f>'Mail Merge'!$E551+'Mail Merge'!$F551</f>
        <v>377674.97</v>
      </c>
      <c r="H551" s="201">
        <v>0</v>
      </c>
      <c r="I551" s="201" t="s">
        <v>241</v>
      </c>
      <c r="J551" s="201">
        <f>IFERROR('Mail Merge'!$E551/'Mail Merge'!$D551,0)</f>
        <v>4267.5240983606554</v>
      </c>
      <c r="K551" s="201">
        <f>IFERROR('Mail Merge'!$F551/'Mail Merge'!$D551,0)</f>
        <v>1923.8688524590164</v>
      </c>
      <c r="L551" s="201">
        <f>IFERROR('Mail Merge'!$G551/'Mail Merge'!$D551,0)</f>
        <v>6191.3929508196716</v>
      </c>
      <c r="M551" s="201">
        <v>0</v>
      </c>
      <c r="N551" s="201" t="s">
        <v>240</v>
      </c>
      <c r="O551" s="201">
        <v>67902.960000000006</v>
      </c>
      <c r="P551" s="201">
        <v>0</v>
      </c>
      <c r="Q551" s="201">
        <f>'Mail Merge'!$O551+'Mail Merge'!$P551</f>
        <v>67902.960000000006</v>
      </c>
      <c r="R551" s="201"/>
      <c r="S551" s="201"/>
      <c r="T551" s="201"/>
      <c r="U551" s="201">
        <f>IF(AND('Mail Merge'!$I551="Did Not Meet",'Mail Merge'!$N551="Did Not Meet"),MIN(ABS('Mail Merge'!$H551),ABS('Mail Merge'!$M551),'Mail Merge'!$Q551),0)</f>
        <v>0</v>
      </c>
      <c r="V551" s="201" t="str">
        <f>IF(OR(IFERROR(SEARCH("Met",'Mail Merge'!$N551),0)&gt;0,IFERROR(SEARCH("Met",'Mail Merge'!$I551),0)&gt;0),"Met","Not Met")</f>
        <v>Met</v>
      </c>
    </row>
    <row r="552" spans="1:22" x14ac:dyDescent="0.35">
      <c r="A552" s="198" t="s">
        <v>179</v>
      </c>
      <c r="B552" s="199">
        <v>2044</v>
      </c>
      <c r="C552" s="199" t="s">
        <v>22</v>
      </c>
      <c r="D552" s="199">
        <v>162</v>
      </c>
      <c r="E552" s="199">
        <v>963765.08</v>
      </c>
      <c r="F552" s="199">
        <v>435577.74</v>
      </c>
      <c r="G552" s="199">
        <f>'Mail Merge'!$E552+'Mail Merge'!$F552</f>
        <v>1399342.8199999998</v>
      </c>
      <c r="H552" s="199">
        <v>0</v>
      </c>
      <c r="I552" s="199" t="s">
        <v>241</v>
      </c>
      <c r="J552" s="199">
        <f>IFERROR('Mail Merge'!$E552/'Mail Merge'!$D552,0)</f>
        <v>5949.1671604938265</v>
      </c>
      <c r="K552" s="199">
        <f>IFERROR('Mail Merge'!$F552/'Mail Merge'!$D552,0)</f>
        <v>2688.7514814814813</v>
      </c>
      <c r="L552" s="199">
        <f>IFERROR('Mail Merge'!$G552/'Mail Merge'!$D552,0)</f>
        <v>8637.9186419753078</v>
      </c>
      <c r="M552" s="199">
        <v>0</v>
      </c>
      <c r="N552" s="199" t="s">
        <v>240</v>
      </c>
      <c r="O552" s="199">
        <v>171416.8</v>
      </c>
      <c r="P552" s="199">
        <v>981.41</v>
      </c>
      <c r="Q552" s="199">
        <f>'Mail Merge'!$O552+'Mail Merge'!$P552</f>
        <v>172398.21</v>
      </c>
      <c r="R552" s="199"/>
      <c r="S552" s="199"/>
      <c r="T552" s="199"/>
      <c r="U552" s="199">
        <f>IF(AND('Mail Merge'!$I552="Did Not Meet",'Mail Merge'!$N552="Did Not Meet"),MIN(ABS('Mail Merge'!$H552),ABS('Mail Merge'!$M552),'Mail Merge'!$Q552),0)</f>
        <v>0</v>
      </c>
      <c r="V552" s="199" t="str">
        <f>IF(OR(IFERROR(SEARCH("Met",'Mail Merge'!$N552),0)&gt;0,IFERROR(SEARCH("Met",'Mail Merge'!$I552),0)&gt;0),"Met","Not Met")</f>
        <v>Met</v>
      </c>
    </row>
    <row r="553" spans="1:22" x14ac:dyDescent="0.35">
      <c r="A553" s="200" t="s">
        <v>180</v>
      </c>
      <c r="B553" s="201">
        <v>2142</v>
      </c>
      <c r="C553" s="201" t="s">
        <v>22</v>
      </c>
      <c r="D553" s="201">
        <v>5888</v>
      </c>
      <c r="E553" s="201">
        <v>60205044.960000001</v>
      </c>
      <c r="F553" s="201">
        <v>0</v>
      </c>
      <c r="G553" s="201">
        <f>'Mail Merge'!$E553+'Mail Merge'!$F553</f>
        <v>60205044.960000001</v>
      </c>
      <c r="H553" s="201">
        <v>0</v>
      </c>
      <c r="I553" s="201" t="s">
        <v>241</v>
      </c>
      <c r="J553" s="201">
        <f>IFERROR('Mail Merge'!$E553/'Mail Merge'!$D553,0)</f>
        <v>10225.04160326087</v>
      </c>
      <c r="K553" s="201">
        <f>IFERROR('Mail Merge'!$F553/'Mail Merge'!$D553,0)</f>
        <v>0</v>
      </c>
      <c r="L553" s="201">
        <f>IFERROR('Mail Merge'!$G553/'Mail Merge'!$D553,0)</f>
        <v>10225.04160326087</v>
      </c>
      <c r="M553" s="201">
        <v>0</v>
      </c>
      <c r="N553" s="201" t="s">
        <v>241</v>
      </c>
      <c r="O553" s="201">
        <v>6818716.1600000001</v>
      </c>
      <c r="P553" s="201">
        <v>37629.06</v>
      </c>
      <c r="Q553" s="201">
        <f>'Mail Merge'!$O553+'Mail Merge'!$P553</f>
        <v>6856345.2199999997</v>
      </c>
      <c r="R553" s="201"/>
      <c r="S553" s="201"/>
      <c r="T553" s="201"/>
      <c r="U553" s="201">
        <f>IF(AND('Mail Merge'!$I553="Did Not Meet",'Mail Merge'!$N553="Did Not Meet"),MIN(ABS('Mail Merge'!$H553),ABS('Mail Merge'!$M553),'Mail Merge'!$Q553),0)</f>
        <v>0</v>
      </c>
      <c r="V553" s="201" t="str">
        <f>IF(OR(IFERROR(SEARCH("Met",'Mail Merge'!$N553),0)&gt;0,IFERROR(SEARCH("Met",'Mail Merge'!$I553),0)&gt;0),"Met","Not Met")</f>
        <v>Met</v>
      </c>
    </row>
    <row r="554" spans="1:22" x14ac:dyDescent="0.35">
      <c r="A554" s="198" t="s">
        <v>181</v>
      </c>
      <c r="B554" s="199">
        <v>2104</v>
      </c>
      <c r="C554" s="199" t="s">
        <v>22</v>
      </c>
      <c r="D554" s="199">
        <v>78</v>
      </c>
      <c r="E554" s="199">
        <v>504534.53</v>
      </c>
      <c r="F554" s="199">
        <v>77990</v>
      </c>
      <c r="G554" s="199">
        <f>'Mail Merge'!$E554+'Mail Merge'!$F554</f>
        <v>582524.53</v>
      </c>
      <c r="H554" s="199">
        <v>0</v>
      </c>
      <c r="I554" s="199" t="s">
        <v>240</v>
      </c>
      <c r="J554" s="199">
        <f>IFERROR('Mail Merge'!$E554/'Mail Merge'!$D554,0)</f>
        <v>6468.3914102564104</v>
      </c>
      <c r="K554" s="199">
        <f>IFERROR('Mail Merge'!$F554/'Mail Merge'!$D554,0)</f>
        <v>999.87179487179492</v>
      </c>
      <c r="L554" s="199">
        <f>IFERROR('Mail Merge'!$G554/'Mail Merge'!$D554,0)</f>
        <v>7468.2632051282053</v>
      </c>
      <c r="M554" s="199">
        <v>0</v>
      </c>
      <c r="N554" s="199" t="s">
        <v>240</v>
      </c>
      <c r="O554" s="199">
        <v>140313.53</v>
      </c>
      <c r="P554" s="199">
        <v>2476.86</v>
      </c>
      <c r="Q554" s="199">
        <f>'Mail Merge'!$O554+'Mail Merge'!$P554</f>
        <v>142790.38999999998</v>
      </c>
      <c r="R554" s="199"/>
      <c r="S554" s="199"/>
      <c r="T554" s="199"/>
      <c r="U554" s="199">
        <f>IF(AND('Mail Merge'!$I554="Did Not Meet",'Mail Merge'!$N554="Did Not Meet"),MIN(ABS('Mail Merge'!$H554),ABS('Mail Merge'!$M554),'Mail Merge'!$Q554),0)</f>
        <v>0</v>
      </c>
      <c r="V554" s="199" t="str">
        <f>IF(OR(IFERROR(SEARCH("Met",'Mail Merge'!$N554),0)&gt;0,IFERROR(SEARCH("Met",'Mail Merge'!$I554),0)&gt;0),"Met","Not Met")</f>
        <v>Not Met</v>
      </c>
    </row>
    <row r="555" spans="1:22" x14ac:dyDescent="0.35">
      <c r="A555" s="200" t="s">
        <v>182</v>
      </c>
      <c r="B555" s="201">
        <v>1944</v>
      </c>
      <c r="C555" s="201" t="s">
        <v>22</v>
      </c>
      <c r="D555" s="201">
        <v>246</v>
      </c>
      <c r="E555" s="201">
        <v>2248605.9</v>
      </c>
      <c r="F555" s="201">
        <v>247860</v>
      </c>
      <c r="G555" s="201">
        <f>'Mail Merge'!$E555+'Mail Merge'!$F555</f>
        <v>2496465.9</v>
      </c>
      <c r="H555" s="201">
        <v>0</v>
      </c>
      <c r="I555" s="201" t="s">
        <v>241</v>
      </c>
      <c r="J555" s="201">
        <f>IFERROR('Mail Merge'!$E555/'Mail Merge'!$D555,0)</f>
        <v>9140.674390243903</v>
      </c>
      <c r="K555" s="201">
        <f>IFERROR('Mail Merge'!$F555/'Mail Merge'!$D555,0)</f>
        <v>1007.560975609756</v>
      </c>
      <c r="L555" s="201">
        <f>IFERROR('Mail Merge'!$G555/'Mail Merge'!$D555,0)</f>
        <v>10148.235365853658</v>
      </c>
      <c r="M555" s="201">
        <v>0</v>
      </c>
      <c r="N555" s="201" t="s">
        <v>241</v>
      </c>
      <c r="O555" s="201">
        <v>333644.37</v>
      </c>
      <c r="P555" s="201">
        <v>1357.12</v>
      </c>
      <c r="Q555" s="201">
        <f>'Mail Merge'!$O555+'Mail Merge'!$P555</f>
        <v>335001.49</v>
      </c>
      <c r="R555" s="201"/>
      <c r="S555" s="201"/>
      <c r="T555" s="201"/>
      <c r="U555" s="201">
        <f>IF(AND('Mail Merge'!$I555="Did Not Meet",'Mail Merge'!$N555="Did Not Meet"),MIN(ABS('Mail Merge'!$H555),ABS('Mail Merge'!$M555),'Mail Merge'!$Q555),0)</f>
        <v>0</v>
      </c>
      <c r="V555" s="201" t="str">
        <f>IF(OR(IFERROR(SEARCH("Met",'Mail Merge'!$N555),0)&gt;0,IFERROR(SEARCH("Met",'Mail Merge'!$I555),0)&gt;0),"Met","Not Met")</f>
        <v>Met</v>
      </c>
    </row>
    <row r="556" spans="1:22" x14ac:dyDescent="0.35">
      <c r="A556" s="198" t="s">
        <v>183</v>
      </c>
      <c r="B556" s="199">
        <v>2103</v>
      </c>
      <c r="C556" s="199" t="s">
        <v>22</v>
      </c>
      <c r="D556" s="199">
        <v>428</v>
      </c>
      <c r="E556" s="199">
        <v>1714681.51</v>
      </c>
      <c r="F556" s="199">
        <v>342270</v>
      </c>
      <c r="G556" s="199">
        <f>'Mail Merge'!$E556+'Mail Merge'!$F556</f>
        <v>2056951.51</v>
      </c>
      <c r="H556" s="199">
        <v>0</v>
      </c>
      <c r="I556" s="199" t="s">
        <v>241</v>
      </c>
      <c r="J556" s="199">
        <f>IFERROR('Mail Merge'!$E556/'Mail Merge'!$D556,0)</f>
        <v>4006.265210280374</v>
      </c>
      <c r="K556" s="199">
        <f>IFERROR('Mail Merge'!$F556/'Mail Merge'!$D556,0)</f>
        <v>799.69626168224295</v>
      </c>
      <c r="L556" s="199">
        <f>IFERROR('Mail Merge'!$G556/'Mail Merge'!$D556,0)</f>
        <v>4805.961471962617</v>
      </c>
      <c r="M556" s="199">
        <v>0</v>
      </c>
      <c r="N556" s="199" t="s">
        <v>240</v>
      </c>
      <c r="O556" s="199">
        <v>399624.13</v>
      </c>
      <c r="P556" s="199">
        <v>0</v>
      </c>
      <c r="Q556" s="199">
        <f>'Mail Merge'!$O556+'Mail Merge'!$P556</f>
        <v>399624.13</v>
      </c>
      <c r="R556" s="199"/>
      <c r="S556" s="199"/>
      <c r="T556" s="199"/>
      <c r="U556" s="199">
        <f>IF(AND('Mail Merge'!$I556="Did Not Meet",'Mail Merge'!$N556="Did Not Meet"),MIN(ABS('Mail Merge'!$H556),ABS('Mail Merge'!$M556),'Mail Merge'!$Q556),0)</f>
        <v>0</v>
      </c>
      <c r="V556" s="199" t="str">
        <f>IF(OR(IFERROR(SEARCH("Met",'Mail Merge'!$N556),0)&gt;0,IFERROR(SEARCH("Met",'Mail Merge'!$I556),0)&gt;0),"Met","Not Met")</f>
        <v>Met</v>
      </c>
    </row>
    <row r="557" spans="1:22" x14ac:dyDescent="0.35">
      <c r="A557" s="200" t="s">
        <v>184</v>
      </c>
      <c r="B557" s="201">
        <v>1935</v>
      </c>
      <c r="C557" s="201" t="s">
        <v>22</v>
      </c>
      <c r="D557" s="201">
        <v>256</v>
      </c>
      <c r="E557" s="201">
        <v>2151432.8199999998</v>
      </c>
      <c r="F557" s="201">
        <v>442544</v>
      </c>
      <c r="G557" s="201">
        <f>'Mail Merge'!$E557+'Mail Merge'!$F557</f>
        <v>2593976.8199999998</v>
      </c>
      <c r="H557" s="201">
        <v>0</v>
      </c>
      <c r="I557" s="201" t="s">
        <v>241</v>
      </c>
      <c r="J557" s="201">
        <f>IFERROR('Mail Merge'!$E557/'Mail Merge'!$D557,0)</f>
        <v>8404.0344531249993</v>
      </c>
      <c r="K557" s="201">
        <f>IFERROR('Mail Merge'!$F557/'Mail Merge'!$D557,0)</f>
        <v>1728.6875</v>
      </c>
      <c r="L557" s="201">
        <f>IFERROR('Mail Merge'!$G557/'Mail Merge'!$D557,0)</f>
        <v>10132.721953124999</v>
      </c>
      <c r="M557" s="201">
        <v>0</v>
      </c>
      <c r="N557" s="201" t="s">
        <v>241</v>
      </c>
      <c r="O557" s="201">
        <v>222612.79</v>
      </c>
      <c r="P557" s="201">
        <v>2272.0100000000002</v>
      </c>
      <c r="Q557" s="201">
        <f>'Mail Merge'!$O557+'Mail Merge'!$P557</f>
        <v>224884.80000000002</v>
      </c>
      <c r="R557" s="201"/>
      <c r="S557" s="201"/>
      <c r="T557" s="201"/>
      <c r="U557" s="201">
        <f>IF(AND('Mail Merge'!$I557="Did Not Meet",'Mail Merge'!$N557="Did Not Meet"),MIN(ABS('Mail Merge'!$H557),ABS('Mail Merge'!$M557),'Mail Merge'!$Q557),0)</f>
        <v>0</v>
      </c>
      <c r="V557" s="201" t="str">
        <f>IF(OR(IFERROR(SEARCH("Met",'Mail Merge'!$N557),0)&gt;0,IFERROR(SEARCH("Met",'Mail Merge'!$I557),0)&gt;0),"Met","Not Met")</f>
        <v>Met</v>
      </c>
    </row>
    <row r="558" spans="1:22" x14ac:dyDescent="0.35">
      <c r="A558" s="198" t="s">
        <v>185</v>
      </c>
      <c r="B558" s="199">
        <v>2257</v>
      </c>
      <c r="C558" s="199" t="s">
        <v>22</v>
      </c>
      <c r="D558" s="199">
        <v>127</v>
      </c>
      <c r="E558" s="199">
        <v>856520.71</v>
      </c>
      <c r="F558" s="199">
        <v>14406.09</v>
      </c>
      <c r="G558" s="199">
        <f>'Mail Merge'!$E558+'Mail Merge'!$F558</f>
        <v>870926.79999999993</v>
      </c>
      <c r="H558" s="199">
        <v>0</v>
      </c>
      <c r="I558" s="199" t="s">
        <v>240</v>
      </c>
      <c r="J558" s="199">
        <f>IFERROR('Mail Merge'!$E558/'Mail Merge'!$D558,0)</f>
        <v>6744.2575590551178</v>
      </c>
      <c r="K558" s="199">
        <f>IFERROR('Mail Merge'!$F558/'Mail Merge'!$D558,0)</f>
        <v>113.43377952755905</v>
      </c>
      <c r="L558" s="199">
        <f>IFERROR('Mail Merge'!$G558/'Mail Merge'!$D558,0)</f>
        <v>6857.6913385826765</v>
      </c>
      <c r="M558" s="199">
        <v>0</v>
      </c>
      <c r="N558" s="199" t="s">
        <v>240</v>
      </c>
      <c r="O558" s="199">
        <v>174885.72</v>
      </c>
      <c r="P558" s="199">
        <v>1692.37</v>
      </c>
      <c r="Q558" s="199">
        <f>'Mail Merge'!$O558+'Mail Merge'!$P558</f>
        <v>176578.09</v>
      </c>
      <c r="R558" s="199"/>
      <c r="S558" s="199"/>
      <c r="T558" s="199"/>
      <c r="U558" s="199">
        <f>IF(AND('Mail Merge'!$I558="Did Not Meet",'Mail Merge'!$N558="Did Not Meet"),MIN(ABS('Mail Merge'!$H558),ABS('Mail Merge'!$M558),'Mail Merge'!$Q558),0)</f>
        <v>0</v>
      </c>
      <c r="V558" s="199" t="str">
        <f>IF(OR(IFERROR(SEARCH("Met",'Mail Merge'!$N558),0)&gt;0,IFERROR(SEARCH("Met",'Mail Merge'!$I558),0)&gt;0),"Met","Not Met")</f>
        <v>Not Met</v>
      </c>
    </row>
    <row r="559" spans="1:22" x14ac:dyDescent="0.35">
      <c r="A559" s="200" t="s">
        <v>186</v>
      </c>
      <c r="B559" s="201">
        <v>2195</v>
      </c>
      <c r="C559" s="201" t="s">
        <v>22</v>
      </c>
      <c r="D559" s="201">
        <v>43</v>
      </c>
      <c r="E559" s="201">
        <v>183713.56</v>
      </c>
      <c r="F559" s="201">
        <v>171934</v>
      </c>
      <c r="G559" s="201">
        <f>'Mail Merge'!$E559+'Mail Merge'!$F559</f>
        <v>355647.56</v>
      </c>
      <c r="H559" s="201">
        <v>0</v>
      </c>
      <c r="I559" s="201" t="s">
        <v>240</v>
      </c>
      <c r="J559" s="201">
        <f>IFERROR('Mail Merge'!$E559/'Mail Merge'!$D559,0)</f>
        <v>4272.408372093023</v>
      </c>
      <c r="K559" s="201">
        <f>IFERROR('Mail Merge'!$F559/'Mail Merge'!$D559,0)</f>
        <v>3998.4651162790697</v>
      </c>
      <c r="L559" s="201">
        <f>IFERROR('Mail Merge'!$G559/'Mail Merge'!$D559,0)</f>
        <v>8270.8734883720936</v>
      </c>
      <c r="M559" s="201">
        <v>0</v>
      </c>
      <c r="N559" s="201" t="s">
        <v>240</v>
      </c>
      <c r="O559" s="201">
        <v>52249.55</v>
      </c>
      <c r="P559" s="201">
        <v>0</v>
      </c>
      <c r="Q559" s="201">
        <f>'Mail Merge'!$O559+'Mail Merge'!$P559</f>
        <v>52249.55</v>
      </c>
      <c r="R559" s="201"/>
      <c r="S559" s="201"/>
      <c r="T559" s="201"/>
      <c r="U559" s="201">
        <f>IF(AND('Mail Merge'!$I559="Did Not Meet",'Mail Merge'!$N559="Did Not Meet"),MIN(ABS('Mail Merge'!$H559),ABS('Mail Merge'!$M559),'Mail Merge'!$Q559),0)</f>
        <v>0</v>
      </c>
      <c r="V559" s="201" t="str">
        <f>IF(OR(IFERROR(SEARCH("Met",'Mail Merge'!$N559),0)&gt;0,IFERROR(SEARCH("Met",'Mail Merge'!$I559),0)&gt;0),"Met","Not Met")</f>
        <v>Not Met</v>
      </c>
    </row>
    <row r="560" spans="1:22" x14ac:dyDescent="0.35">
      <c r="A560" s="198" t="s">
        <v>187</v>
      </c>
      <c r="B560" s="199">
        <v>2244</v>
      </c>
      <c r="C560" s="199" t="s">
        <v>22</v>
      </c>
      <c r="D560" s="199">
        <v>503</v>
      </c>
      <c r="E560" s="199">
        <v>3419832.67</v>
      </c>
      <c r="F560" s="199">
        <v>648607</v>
      </c>
      <c r="G560" s="199">
        <f>'Mail Merge'!$E560+'Mail Merge'!$F560</f>
        <v>4068439.67</v>
      </c>
      <c r="H560" s="199">
        <v>0</v>
      </c>
      <c r="I560" s="199" t="s">
        <v>241</v>
      </c>
      <c r="J560" s="199">
        <f>IFERROR('Mail Merge'!$E560/'Mail Merge'!$D560,0)</f>
        <v>6798.8721073558645</v>
      </c>
      <c r="K560" s="199">
        <f>IFERROR('Mail Merge'!$F560/'Mail Merge'!$D560,0)</f>
        <v>1289.4771371769384</v>
      </c>
      <c r="L560" s="199">
        <f>IFERROR('Mail Merge'!$G560/'Mail Merge'!$D560,0)</f>
        <v>8088.3492445328029</v>
      </c>
      <c r="M560" s="199">
        <v>0</v>
      </c>
      <c r="N560" s="199" t="s">
        <v>241</v>
      </c>
      <c r="O560" s="199">
        <v>657771.93999999994</v>
      </c>
      <c r="P560" s="199">
        <v>2096.6799999999998</v>
      </c>
      <c r="Q560" s="199">
        <f>'Mail Merge'!$O560+'Mail Merge'!$P560</f>
        <v>659868.62</v>
      </c>
      <c r="R560" s="199"/>
      <c r="S560" s="199"/>
      <c r="T560" s="199"/>
      <c r="U560" s="199">
        <f>IF(AND('Mail Merge'!$I560="Did Not Meet",'Mail Merge'!$N560="Did Not Meet"),MIN(ABS('Mail Merge'!$H560),ABS('Mail Merge'!$M560),'Mail Merge'!$Q560),0)</f>
        <v>0</v>
      </c>
      <c r="V560" s="199" t="str">
        <f>IF(OR(IFERROR(SEARCH("Met",'Mail Merge'!$N560),0)&gt;0,IFERROR(SEARCH("Met",'Mail Merge'!$I560),0)&gt;0),"Met","Not Met")</f>
        <v>Met</v>
      </c>
    </row>
    <row r="561" spans="1:22" x14ac:dyDescent="0.35">
      <c r="A561" s="200" t="s">
        <v>188</v>
      </c>
      <c r="B561" s="201">
        <v>2138</v>
      </c>
      <c r="C561" s="201" t="s">
        <v>22</v>
      </c>
      <c r="D561" s="201">
        <v>472</v>
      </c>
      <c r="E561" s="201">
        <v>3551676.03</v>
      </c>
      <c r="F561" s="201">
        <v>285574.2</v>
      </c>
      <c r="G561" s="201">
        <f>'Mail Merge'!$E561+'Mail Merge'!$F561</f>
        <v>3837250.23</v>
      </c>
      <c r="H561" s="201">
        <v>0</v>
      </c>
      <c r="I561" s="201" t="s">
        <v>241</v>
      </c>
      <c r="J561" s="201">
        <f>IFERROR('Mail Merge'!$E561/'Mail Merge'!$D561,0)</f>
        <v>7524.7373516949147</v>
      </c>
      <c r="K561" s="201">
        <f>IFERROR('Mail Merge'!$F561/'Mail Merge'!$D561,0)</f>
        <v>605.03008474576279</v>
      </c>
      <c r="L561" s="201">
        <f>IFERROR('Mail Merge'!$G561/'Mail Merge'!$D561,0)</f>
        <v>8129.7674364406776</v>
      </c>
      <c r="M561" s="201">
        <v>0</v>
      </c>
      <c r="N561" s="201" t="s">
        <v>241</v>
      </c>
      <c r="O561" s="201">
        <v>522391.36</v>
      </c>
      <c r="P561" s="201">
        <v>5885.07</v>
      </c>
      <c r="Q561" s="201">
        <f>'Mail Merge'!$O561+'Mail Merge'!$P561</f>
        <v>528276.42999999993</v>
      </c>
      <c r="R561" s="201"/>
      <c r="S561" s="201"/>
      <c r="T561" s="201"/>
      <c r="U561" s="201">
        <f>IF(AND('Mail Merge'!$I561="Did Not Meet",'Mail Merge'!$N561="Did Not Meet"),MIN(ABS('Mail Merge'!$H561),ABS('Mail Merge'!$M561),'Mail Merge'!$Q561),0)</f>
        <v>0</v>
      </c>
      <c r="V561" s="201" t="str">
        <f>IF(OR(IFERROR(SEARCH("Met",'Mail Merge'!$N561),0)&gt;0,IFERROR(SEARCH("Met",'Mail Merge'!$I561),0)&gt;0),"Met","Not Met")</f>
        <v>Met</v>
      </c>
    </row>
    <row r="562" spans="1:22" x14ac:dyDescent="0.35">
      <c r="A562" s="198" t="s">
        <v>189</v>
      </c>
      <c r="B562" s="199">
        <v>1978</v>
      </c>
      <c r="C562" s="199" t="s">
        <v>22</v>
      </c>
      <c r="D562" s="199">
        <v>124</v>
      </c>
      <c r="E562" s="199">
        <v>787439.35</v>
      </c>
      <c r="F562" s="199">
        <v>107685.23</v>
      </c>
      <c r="G562" s="199">
        <f>'Mail Merge'!$E562+'Mail Merge'!$F562</f>
        <v>895124.58</v>
      </c>
      <c r="H562" s="199">
        <v>0</v>
      </c>
      <c r="I562" s="199" t="s">
        <v>241</v>
      </c>
      <c r="J562" s="199">
        <f>IFERROR('Mail Merge'!$E562/'Mail Merge'!$D562,0)</f>
        <v>6350.3173387096776</v>
      </c>
      <c r="K562" s="199">
        <f>IFERROR('Mail Merge'!$F562/'Mail Merge'!$D562,0)</f>
        <v>868.42927419354839</v>
      </c>
      <c r="L562" s="199">
        <f>IFERROR('Mail Merge'!$G562/'Mail Merge'!$D562,0)</f>
        <v>7218.7466129032255</v>
      </c>
      <c r="M562" s="199">
        <v>0</v>
      </c>
      <c r="N562" s="199" t="s">
        <v>241</v>
      </c>
      <c r="O562" s="199">
        <v>202865.83</v>
      </c>
      <c r="P562" s="199">
        <v>1691.03</v>
      </c>
      <c r="Q562" s="199">
        <f>'Mail Merge'!$O562+'Mail Merge'!$P562</f>
        <v>204556.86</v>
      </c>
      <c r="R562" s="199"/>
      <c r="S562" s="199"/>
      <c r="T562" s="199"/>
      <c r="U562" s="199">
        <f>IF(AND('Mail Merge'!$I562="Did Not Meet",'Mail Merge'!$N562="Did Not Meet"),MIN(ABS('Mail Merge'!$H562),ABS('Mail Merge'!$M562),'Mail Merge'!$Q562),0)</f>
        <v>0</v>
      </c>
      <c r="V562" s="199" t="str">
        <f>IF(OR(IFERROR(SEARCH("Met",'Mail Merge'!$N562),0)&gt;0,IFERROR(SEARCH("Met",'Mail Merge'!$I562),0)&gt;0),"Met","Not Met")</f>
        <v>Met</v>
      </c>
    </row>
    <row r="563" spans="1:22" x14ac:dyDescent="0.35">
      <c r="A563" s="200" t="s">
        <v>190</v>
      </c>
      <c r="B563" s="201">
        <v>2096</v>
      </c>
      <c r="C563" s="201" t="s">
        <v>22</v>
      </c>
      <c r="D563" s="201">
        <v>193</v>
      </c>
      <c r="E563" s="201">
        <v>1325156.33</v>
      </c>
      <c r="F563" s="201">
        <v>506682</v>
      </c>
      <c r="G563" s="201">
        <f>'Mail Merge'!$E563+'Mail Merge'!$F563</f>
        <v>1831838.33</v>
      </c>
      <c r="H563" s="201">
        <v>0</v>
      </c>
      <c r="I563" s="201" t="s">
        <v>241</v>
      </c>
      <c r="J563" s="201">
        <f>IFERROR('Mail Merge'!$E563/'Mail Merge'!$D563,0)</f>
        <v>6866.0949740932647</v>
      </c>
      <c r="K563" s="201">
        <f>IFERROR('Mail Merge'!$F563/'Mail Merge'!$D563,0)</f>
        <v>2625.2953367875648</v>
      </c>
      <c r="L563" s="201">
        <f>IFERROR('Mail Merge'!$G563/'Mail Merge'!$D563,0)</f>
        <v>9491.3903108808299</v>
      </c>
      <c r="M563" s="201">
        <v>0</v>
      </c>
      <c r="N563" s="201" t="s">
        <v>241</v>
      </c>
      <c r="O563" s="201">
        <v>189352.3</v>
      </c>
      <c r="P563" s="201">
        <v>3314.9</v>
      </c>
      <c r="Q563" s="201">
        <f>'Mail Merge'!$O563+'Mail Merge'!$P563</f>
        <v>192667.19999999998</v>
      </c>
      <c r="R563" s="201"/>
      <c r="S563" s="201"/>
      <c r="T563" s="201"/>
      <c r="U563" s="201">
        <f>IF(AND('Mail Merge'!$I563="Did Not Meet",'Mail Merge'!$N563="Did Not Meet"),MIN(ABS('Mail Merge'!$H563),ABS('Mail Merge'!$M563),'Mail Merge'!$Q563),0)</f>
        <v>0</v>
      </c>
      <c r="V563" s="201" t="str">
        <f>IF(OR(IFERROR(SEARCH("Met",'Mail Merge'!$N563),0)&gt;0,IFERROR(SEARCH("Met",'Mail Merge'!$I563),0)&gt;0),"Met","Not Met")</f>
        <v>Met</v>
      </c>
    </row>
    <row r="564" spans="1:22" x14ac:dyDescent="0.35">
      <c r="A564" s="198" t="s">
        <v>191</v>
      </c>
      <c r="B564" s="199">
        <v>2022</v>
      </c>
      <c r="C564" s="199" t="s">
        <v>22</v>
      </c>
      <c r="D564" s="199">
        <v>4</v>
      </c>
      <c r="E564" s="199">
        <v>9354.1</v>
      </c>
      <c r="F564" s="199">
        <v>716</v>
      </c>
      <c r="G564" s="199">
        <f>'Mail Merge'!$E564+'Mail Merge'!$F564</f>
        <v>10070.1</v>
      </c>
      <c r="H564" s="199">
        <v>0</v>
      </c>
      <c r="I564" s="199" t="s">
        <v>241</v>
      </c>
      <c r="J564" s="199">
        <f>IFERROR('Mail Merge'!$E564/'Mail Merge'!$D564,0)</f>
        <v>2338.5250000000001</v>
      </c>
      <c r="K564" s="199">
        <f>IFERROR('Mail Merge'!$F564/'Mail Merge'!$D564,0)</f>
        <v>179</v>
      </c>
      <c r="L564" s="199">
        <f>IFERROR('Mail Merge'!$G564/'Mail Merge'!$D564,0)</f>
        <v>2517.5250000000001</v>
      </c>
      <c r="M564" s="199">
        <v>0</v>
      </c>
      <c r="N564" s="199" t="s">
        <v>240</v>
      </c>
      <c r="O564" s="199">
        <v>2440.1999999999998</v>
      </c>
      <c r="P564" s="199">
        <v>0.61</v>
      </c>
      <c r="Q564" s="199">
        <f>'Mail Merge'!$O564+'Mail Merge'!$P564</f>
        <v>2440.81</v>
      </c>
      <c r="R564" s="199"/>
      <c r="S564" s="199"/>
      <c r="T564" s="199"/>
      <c r="U564" s="199">
        <f>IF(AND('Mail Merge'!$I564="Did Not Meet",'Mail Merge'!$N564="Did Not Meet"),MIN(ABS('Mail Merge'!$H564),ABS('Mail Merge'!$M564),'Mail Merge'!$Q564),0)</f>
        <v>0</v>
      </c>
      <c r="V564" s="199" t="str">
        <f>IF(OR(IFERROR(SEARCH("Met",'Mail Merge'!$N564),0)&gt;0,IFERROR(SEARCH("Met",'Mail Merge'!$I564),0)&gt;0),"Met","Not Met")</f>
        <v>Met</v>
      </c>
    </row>
    <row r="565" spans="1:22" x14ac:dyDescent="0.35">
      <c r="A565" s="200" t="s">
        <v>192</v>
      </c>
      <c r="B565" s="201">
        <v>2087</v>
      </c>
      <c r="C565" s="201" t="s">
        <v>22</v>
      </c>
      <c r="D565" s="201">
        <v>445</v>
      </c>
      <c r="E565" s="201">
        <v>2940772.06</v>
      </c>
      <c r="F565" s="201">
        <v>828187</v>
      </c>
      <c r="G565" s="201">
        <f>'Mail Merge'!$E565+'Mail Merge'!$F565</f>
        <v>3768959.06</v>
      </c>
      <c r="H565" s="201">
        <v>0</v>
      </c>
      <c r="I565" s="201" t="s">
        <v>241</v>
      </c>
      <c r="J565" s="201">
        <f>IFERROR('Mail Merge'!$E565/'Mail Merge'!$D565,0)</f>
        <v>6608.4765393258431</v>
      </c>
      <c r="K565" s="201">
        <f>IFERROR('Mail Merge'!$F565/'Mail Merge'!$D565,0)</f>
        <v>1861.094382022472</v>
      </c>
      <c r="L565" s="201">
        <f>IFERROR('Mail Merge'!$G565/'Mail Merge'!$D565,0)</f>
        <v>8469.5709213483151</v>
      </c>
      <c r="M565" s="201">
        <v>0</v>
      </c>
      <c r="N565" s="201" t="s">
        <v>241</v>
      </c>
      <c r="O565" s="201">
        <v>519927.8</v>
      </c>
      <c r="P565" s="201">
        <v>3462.56</v>
      </c>
      <c r="Q565" s="201">
        <f>'Mail Merge'!$O565+'Mail Merge'!$P565</f>
        <v>523390.36</v>
      </c>
      <c r="R565" s="201"/>
      <c r="S565" s="201"/>
      <c r="T565" s="201"/>
      <c r="U565" s="201">
        <f>IF(AND('Mail Merge'!$I565="Did Not Meet",'Mail Merge'!$N565="Did Not Meet"),MIN(ABS('Mail Merge'!$H565),ABS('Mail Merge'!$M565),'Mail Merge'!$Q565),0)</f>
        <v>0</v>
      </c>
      <c r="V565" s="201" t="str">
        <f>IF(OR(IFERROR(SEARCH("Met",'Mail Merge'!$N565),0)&gt;0,IFERROR(SEARCH("Met",'Mail Merge'!$I565),0)&gt;0),"Met","Not Met")</f>
        <v>Met</v>
      </c>
    </row>
    <row r="566" spans="1:22" x14ac:dyDescent="0.35">
      <c r="A566" s="198" t="s">
        <v>193</v>
      </c>
      <c r="B566" s="199">
        <v>1994</v>
      </c>
      <c r="C566" s="199" t="s">
        <v>22</v>
      </c>
      <c r="D566" s="199">
        <v>205</v>
      </c>
      <c r="E566" s="199">
        <v>1800938.35</v>
      </c>
      <c r="F566" s="199">
        <v>304512.90000000002</v>
      </c>
      <c r="G566" s="199">
        <f>'Mail Merge'!$E566+'Mail Merge'!$F566</f>
        <v>2105451.25</v>
      </c>
      <c r="H566" s="199">
        <v>0</v>
      </c>
      <c r="I566" s="199" t="s">
        <v>242</v>
      </c>
      <c r="J566" s="199">
        <f>IFERROR('Mail Merge'!$E566/'Mail Merge'!$D566,0)</f>
        <v>8785.0651219512201</v>
      </c>
      <c r="K566" s="199">
        <f>IFERROR('Mail Merge'!$F566/'Mail Merge'!$D566,0)</f>
        <v>1485.4287804878049</v>
      </c>
      <c r="L566" s="199">
        <f>IFERROR('Mail Merge'!$G566/'Mail Merge'!$D566,0)</f>
        <v>10270.493902439024</v>
      </c>
      <c r="M566" s="199">
        <v>0</v>
      </c>
      <c r="N566" s="199" t="s">
        <v>241</v>
      </c>
      <c r="O566" s="199">
        <v>313348.23</v>
      </c>
      <c r="P566" s="199">
        <v>3017.05</v>
      </c>
      <c r="Q566" s="199">
        <f>'Mail Merge'!$O566+'Mail Merge'!$P566</f>
        <v>316365.27999999997</v>
      </c>
      <c r="R566" s="199"/>
      <c r="S566" s="199">
        <v>222633.56</v>
      </c>
      <c r="T566" s="199">
        <v>222633.56</v>
      </c>
      <c r="U566" s="199">
        <f>IF(AND('Mail Merge'!$I566="Did Not Meet",'Mail Merge'!$N566="Did Not Meet"),MIN(ABS('Mail Merge'!$H566),ABS('Mail Merge'!$M566),'Mail Merge'!$Q566),0)</f>
        <v>0</v>
      </c>
      <c r="V566" s="199" t="str">
        <f>IF(OR(IFERROR(SEARCH("Met",'Mail Merge'!$N566),0)&gt;0,IFERROR(SEARCH("Met",'Mail Merge'!$I566),0)&gt;0),"Met","Not Met")</f>
        <v>Met</v>
      </c>
    </row>
    <row r="567" spans="1:22" x14ac:dyDescent="0.35">
      <c r="A567" s="200" t="s">
        <v>194</v>
      </c>
      <c r="B567" s="201">
        <v>2225</v>
      </c>
      <c r="C567" s="201" t="s">
        <v>22</v>
      </c>
      <c r="D567" s="201">
        <v>34</v>
      </c>
      <c r="E567" s="201">
        <v>177996.83</v>
      </c>
      <c r="F567" s="201">
        <v>48646</v>
      </c>
      <c r="G567" s="201">
        <f>'Mail Merge'!$E567+'Mail Merge'!$F567</f>
        <v>226642.83</v>
      </c>
      <c r="H567" s="201">
        <v>0</v>
      </c>
      <c r="I567" s="201" t="s">
        <v>241</v>
      </c>
      <c r="J567" s="201">
        <f>IFERROR('Mail Merge'!$E567/'Mail Merge'!$D567,0)</f>
        <v>5235.2008823529404</v>
      </c>
      <c r="K567" s="201">
        <f>IFERROR('Mail Merge'!$F567/'Mail Merge'!$D567,0)</f>
        <v>1430.7647058823529</v>
      </c>
      <c r="L567" s="201">
        <f>IFERROR('Mail Merge'!$G567/'Mail Merge'!$D567,0)</f>
        <v>6665.9655882352936</v>
      </c>
      <c r="M567" s="201">
        <v>0</v>
      </c>
      <c r="N567" s="201" t="s">
        <v>241</v>
      </c>
      <c r="O567" s="201">
        <v>51812.71</v>
      </c>
      <c r="P567" s="201">
        <v>0</v>
      </c>
      <c r="Q567" s="201">
        <f>'Mail Merge'!$O567+'Mail Merge'!$P567</f>
        <v>51812.71</v>
      </c>
      <c r="R567" s="201"/>
      <c r="S567" s="201"/>
      <c r="T567" s="201"/>
      <c r="U567" s="201">
        <f>IF(AND('Mail Merge'!$I567="Did Not Meet",'Mail Merge'!$N567="Did Not Meet"),MIN(ABS('Mail Merge'!$H567),ABS('Mail Merge'!$M567),'Mail Merge'!$Q567),0)</f>
        <v>0</v>
      </c>
      <c r="V567" s="201" t="str">
        <f>IF(OR(IFERROR(SEARCH("Met",'Mail Merge'!$N567),0)&gt;0,IFERROR(SEARCH("Met",'Mail Merge'!$I567),0)&gt;0),"Met","Not Met")</f>
        <v>Met</v>
      </c>
    </row>
    <row r="568" spans="1:22" x14ac:dyDescent="0.35">
      <c r="A568" s="198" t="s">
        <v>195</v>
      </c>
      <c r="B568" s="199">
        <v>2247</v>
      </c>
      <c r="C568" s="199" t="s">
        <v>22</v>
      </c>
      <c r="D568" s="199">
        <v>5</v>
      </c>
      <c r="E568" s="199">
        <v>24217.27</v>
      </c>
      <c r="F568" s="199">
        <v>17879</v>
      </c>
      <c r="G568" s="199">
        <f>'Mail Merge'!$E568+'Mail Merge'!$F568</f>
        <v>42096.270000000004</v>
      </c>
      <c r="H568" s="199">
        <v>0</v>
      </c>
      <c r="I568" s="199" t="s">
        <v>240</v>
      </c>
      <c r="J568" s="199">
        <f>IFERROR('Mail Merge'!$E568/'Mail Merge'!$D568,0)</f>
        <v>4843.4539999999997</v>
      </c>
      <c r="K568" s="199">
        <f>IFERROR('Mail Merge'!$F568/'Mail Merge'!$D568,0)</f>
        <v>3575.8</v>
      </c>
      <c r="L568" s="199">
        <f>IFERROR('Mail Merge'!$G568/'Mail Merge'!$D568,0)</f>
        <v>8419.2540000000008</v>
      </c>
      <c r="M568" s="199">
        <v>0</v>
      </c>
      <c r="N568" s="199" t="s">
        <v>240</v>
      </c>
      <c r="O568" s="199">
        <v>3956.82</v>
      </c>
      <c r="P568" s="199">
        <v>0</v>
      </c>
      <c r="Q568" s="199">
        <f>'Mail Merge'!$O568+'Mail Merge'!$P568</f>
        <v>3956.82</v>
      </c>
      <c r="R568" s="199"/>
      <c r="S568" s="199"/>
      <c r="T568" s="199"/>
      <c r="U568" s="199">
        <f>IF(AND('Mail Merge'!$I568="Did Not Meet",'Mail Merge'!$N568="Did Not Meet"),MIN(ABS('Mail Merge'!$H568),ABS('Mail Merge'!$M568),'Mail Merge'!$Q568),0)</f>
        <v>0</v>
      </c>
      <c r="V568" s="199" t="str">
        <f>IF(OR(IFERROR(SEARCH("Met",'Mail Merge'!$N568),0)&gt;0,IFERROR(SEARCH("Met",'Mail Merge'!$I568),0)&gt;0),"Met","Not Met")</f>
        <v>Not Met</v>
      </c>
    </row>
    <row r="569" spans="1:22" x14ac:dyDescent="0.35">
      <c r="A569" s="200" t="s">
        <v>196</v>
      </c>
      <c r="B569" s="201">
        <v>2083</v>
      </c>
      <c r="C569" s="201" t="s">
        <v>22</v>
      </c>
      <c r="D569" s="201">
        <v>1506</v>
      </c>
      <c r="E569" s="201">
        <v>13074619.300000001</v>
      </c>
      <c r="F569" s="201">
        <v>2749096</v>
      </c>
      <c r="G569" s="201">
        <f>'Mail Merge'!$E569+'Mail Merge'!$F569</f>
        <v>15823715.300000001</v>
      </c>
      <c r="H569" s="201">
        <v>0</v>
      </c>
      <c r="I569" s="201" t="s">
        <v>241</v>
      </c>
      <c r="J569" s="201">
        <f>IFERROR('Mail Merge'!$E569/'Mail Merge'!$D569,0)</f>
        <v>8681.6861221779545</v>
      </c>
      <c r="K569" s="201">
        <f>IFERROR('Mail Merge'!$F569/'Mail Merge'!$D569,0)</f>
        <v>1825.4289508632139</v>
      </c>
      <c r="L569" s="201">
        <f>IFERROR('Mail Merge'!$G569/'Mail Merge'!$D569,0)</f>
        <v>10507.11507304117</v>
      </c>
      <c r="M569" s="201">
        <v>0</v>
      </c>
      <c r="N569" s="201" t="s">
        <v>241</v>
      </c>
      <c r="O569" s="201">
        <v>1840439.26</v>
      </c>
      <c r="P569" s="201">
        <v>18291.62</v>
      </c>
      <c r="Q569" s="201">
        <f>'Mail Merge'!$O569+'Mail Merge'!$P569</f>
        <v>1858730.8800000001</v>
      </c>
      <c r="R569" s="201"/>
      <c r="S569" s="201"/>
      <c r="T569" s="201"/>
      <c r="U569" s="201">
        <f>IF(AND('Mail Merge'!$I569="Did Not Meet",'Mail Merge'!$N569="Did Not Meet"),MIN(ABS('Mail Merge'!$H569),ABS('Mail Merge'!$M569),'Mail Merge'!$Q569),0)</f>
        <v>0</v>
      </c>
      <c r="V569" s="201" t="str">
        <f>IF(OR(IFERROR(SEARCH("Met",'Mail Merge'!$N569),0)&gt;0,IFERROR(SEARCH("Met",'Mail Merge'!$I569),0)&gt;0),"Met","Not Met")</f>
        <v>Met</v>
      </c>
    </row>
    <row r="570" spans="1:22" x14ac:dyDescent="0.35">
      <c r="A570" s="198" t="s">
        <v>197</v>
      </c>
      <c r="B570" s="199">
        <v>1948</v>
      </c>
      <c r="C570" s="199" t="s">
        <v>22</v>
      </c>
      <c r="D570" s="199">
        <v>472</v>
      </c>
      <c r="E570" s="199">
        <v>3373778.05</v>
      </c>
      <c r="F570" s="199">
        <v>660165</v>
      </c>
      <c r="G570" s="199">
        <f>'Mail Merge'!$E570+'Mail Merge'!$F570</f>
        <v>4033943.05</v>
      </c>
      <c r="H570" s="199">
        <v>0</v>
      </c>
      <c r="I570" s="199" t="s">
        <v>242</v>
      </c>
      <c r="J570" s="199">
        <f>IFERROR('Mail Merge'!$E570/'Mail Merge'!$D570,0)</f>
        <v>7147.8348516949145</v>
      </c>
      <c r="K570" s="199">
        <f>IFERROR('Mail Merge'!$F570/'Mail Merge'!$D570,0)</f>
        <v>1398.6546610169491</v>
      </c>
      <c r="L570" s="199">
        <f>IFERROR('Mail Merge'!$G570/'Mail Merge'!$D570,0)</f>
        <v>8546.4895127118634</v>
      </c>
      <c r="M570" s="199">
        <v>0</v>
      </c>
      <c r="N570" s="199" t="s">
        <v>241</v>
      </c>
      <c r="O570" s="199">
        <v>560265.63</v>
      </c>
      <c r="P570" s="199">
        <v>6948.81</v>
      </c>
      <c r="Q570" s="199">
        <f>'Mail Merge'!$O570+'Mail Merge'!$P570</f>
        <v>567214.44000000006</v>
      </c>
      <c r="R570" s="199"/>
      <c r="S570" s="199">
        <v>151260.60999999999</v>
      </c>
      <c r="T570" s="199">
        <v>151260.60999999999</v>
      </c>
      <c r="U570" s="199">
        <f>IF(AND('Mail Merge'!$I570="Did Not Meet",'Mail Merge'!$N570="Did Not Meet"),MIN(ABS('Mail Merge'!$H570),ABS('Mail Merge'!$M570),'Mail Merge'!$Q570),0)</f>
        <v>0</v>
      </c>
      <c r="V570" s="199" t="str">
        <f>IF(OR(IFERROR(SEARCH("Met",'Mail Merge'!$N570),0)&gt;0,IFERROR(SEARCH("Met",'Mail Merge'!$I570),0)&gt;0),"Met","Not Met")</f>
        <v>Met</v>
      </c>
    </row>
    <row r="571" spans="1:22" x14ac:dyDescent="0.35">
      <c r="A571" s="200" t="s">
        <v>198</v>
      </c>
      <c r="B571" s="201">
        <v>2144</v>
      </c>
      <c r="C571" s="201" t="s">
        <v>22</v>
      </c>
      <c r="D571" s="201">
        <v>33</v>
      </c>
      <c r="E571" s="201">
        <v>297351.71999999997</v>
      </c>
      <c r="F571" s="201">
        <v>22806.61</v>
      </c>
      <c r="G571" s="201">
        <f>'Mail Merge'!$E571+'Mail Merge'!$F571</f>
        <v>320158.32999999996</v>
      </c>
      <c r="H571" s="201">
        <v>0</v>
      </c>
      <c r="I571" s="201" t="s">
        <v>241</v>
      </c>
      <c r="J571" s="201">
        <f>IFERROR('Mail Merge'!$E571/'Mail Merge'!$D571,0)</f>
        <v>9010.6581818181803</v>
      </c>
      <c r="K571" s="201">
        <f>IFERROR('Mail Merge'!$F571/'Mail Merge'!$D571,0)</f>
        <v>691.10939393939395</v>
      </c>
      <c r="L571" s="201">
        <f>IFERROR('Mail Merge'!$G571/'Mail Merge'!$D571,0)</f>
        <v>9701.7675757575744</v>
      </c>
      <c r="M571" s="201">
        <v>0</v>
      </c>
      <c r="N571" s="201" t="s">
        <v>241</v>
      </c>
      <c r="O571" s="201">
        <v>46915.41</v>
      </c>
      <c r="P571" s="201">
        <v>0</v>
      </c>
      <c r="Q571" s="201">
        <f>'Mail Merge'!$O571+'Mail Merge'!$P571</f>
        <v>46915.41</v>
      </c>
      <c r="R571" s="201"/>
      <c r="S571" s="201"/>
      <c r="T571" s="201"/>
      <c r="U571" s="201">
        <f>IF(AND('Mail Merge'!$I571="Did Not Meet",'Mail Merge'!$N571="Did Not Meet"),MIN(ABS('Mail Merge'!$H571),ABS('Mail Merge'!$M571),'Mail Merge'!$Q571),0)</f>
        <v>0</v>
      </c>
      <c r="V571" s="201" t="str">
        <f>IF(OR(IFERROR(SEARCH("Met",'Mail Merge'!$N571),0)&gt;0,IFERROR(SEARCH("Met",'Mail Merge'!$I571),0)&gt;0),"Met","Not Met")</f>
        <v>Met</v>
      </c>
    </row>
    <row r="572" spans="1:22" x14ac:dyDescent="0.35">
      <c r="A572" s="198" t="s">
        <v>199</v>
      </c>
      <c r="B572" s="199">
        <v>2209</v>
      </c>
      <c r="C572" s="199" t="s">
        <v>22</v>
      </c>
      <c r="D572" s="199">
        <v>73</v>
      </c>
      <c r="E572" s="199">
        <v>458044.95</v>
      </c>
      <c r="F572" s="199">
        <v>102310.08</v>
      </c>
      <c r="G572" s="199">
        <f>'Mail Merge'!$E572+'Mail Merge'!$F572</f>
        <v>560355.03</v>
      </c>
      <c r="H572" s="199">
        <v>0</v>
      </c>
      <c r="I572" s="199" t="s">
        <v>240</v>
      </c>
      <c r="J572" s="199">
        <f>IFERROR('Mail Merge'!$E572/'Mail Merge'!$D572,0)</f>
        <v>6274.5883561643841</v>
      </c>
      <c r="K572" s="199">
        <f>IFERROR('Mail Merge'!$F572/'Mail Merge'!$D572,0)</f>
        <v>1401.5079452054795</v>
      </c>
      <c r="L572" s="199">
        <f>IFERROR('Mail Merge'!$G572/'Mail Merge'!$D572,0)</f>
        <v>7676.0963013698638</v>
      </c>
      <c r="M572" s="199">
        <v>0</v>
      </c>
      <c r="N572" s="199" t="s">
        <v>240</v>
      </c>
      <c r="O572" s="199">
        <v>91384.03</v>
      </c>
      <c r="P572" s="199">
        <v>634.85</v>
      </c>
      <c r="Q572" s="199">
        <f>'Mail Merge'!$O572+'Mail Merge'!$P572</f>
        <v>92018.880000000005</v>
      </c>
      <c r="R572" s="199"/>
      <c r="S572" s="199"/>
      <c r="T572" s="199"/>
      <c r="U572" s="199">
        <f>IF(AND('Mail Merge'!$I572="Did Not Meet",'Mail Merge'!$N572="Did Not Meet"),MIN(ABS('Mail Merge'!$H572),ABS('Mail Merge'!$M572),'Mail Merge'!$Q572),0)</f>
        <v>0</v>
      </c>
      <c r="V572" s="199" t="str">
        <f>IF(OR(IFERROR(SEARCH("Met",'Mail Merge'!$N572),0)&gt;0,IFERROR(SEARCH("Met",'Mail Merge'!$I572),0)&gt;0),"Met","Not Met")</f>
        <v>Not Met</v>
      </c>
    </row>
    <row r="573" spans="1:22" x14ac:dyDescent="0.35">
      <c r="A573" s="200" t="s">
        <v>200</v>
      </c>
      <c r="B573" s="201">
        <v>2018</v>
      </c>
      <c r="C573" s="201" t="s">
        <v>22</v>
      </c>
      <c r="D573" s="201">
        <v>1</v>
      </c>
      <c r="E573" s="201">
        <v>9078.9</v>
      </c>
      <c r="F573" s="201">
        <v>1880</v>
      </c>
      <c r="G573" s="201">
        <f>'Mail Merge'!$E573+'Mail Merge'!$F573</f>
        <v>10958.9</v>
      </c>
      <c r="H573" s="201">
        <v>0</v>
      </c>
      <c r="I573" s="201" t="s">
        <v>242</v>
      </c>
      <c r="J573" s="201">
        <f>IFERROR('Mail Merge'!$E573/'Mail Merge'!$D573,0)</f>
        <v>9078.9</v>
      </c>
      <c r="K573" s="201">
        <f>IFERROR('Mail Merge'!$F573/'Mail Merge'!$D573,0)</f>
        <v>1880</v>
      </c>
      <c r="L573" s="201">
        <f>IFERROR('Mail Merge'!$G573/'Mail Merge'!$D573,0)</f>
        <v>10958.9</v>
      </c>
      <c r="M573" s="201">
        <v>0</v>
      </c>
      <c r="N573" s="201" t="s">
        <v>241</v>
      </c>
      <c r="O573" s="201">
        <v>0</v>
      </c>
      <c r="P573" s="201">
        <v>0</v>
      </c>
      <c r="Q573" s="201">
        <f>'Mail Merge'!$O573+'Mail Merge'!$P573</f>
        <v>0</v>
      </c>
      <c r="R573" s="201"/>
      <c r="S573" s="201">
        <v>6300</v>
      </c>
      <c r="T573" s="201">
        <v>6300</v>
      </c>
      <c r="U573" s="201">
        <f>IF(AND('Mail Merge'!$I573="Did Not Meet",'Mail Merge'!$N573="Did Not Meet"),MIN(ABS('Mail Merge'!$H573),ABS('Mail Merge'!$M573),'Mail Merge'!$Q573),0)</f>
        <v>0</v>
      </c>
      <c r="V573" s="201" t="str">
        <f>IF(OR(IFERROR(SEARCH("Met",'Mail Merge'!$N573),0)&gt;0,IFERROR(SEARCH("Met",'Mail Merge'!$I573),0)&gt;0),"Met","Not Met")</f>
        <v>Met</v>
      </c>
    </row>
    <row r="574" spans="1:22" x14ac:dyDescent="0.35">
      <c r="A574" s="198" t="s">
        <v>201</v>
      </c>
      <c r="B574" s="199">
        <v>2003</v>
      </c>
      <c r="C574" s="199" t="s">
        <v>22</v>
      </c>
      <c r="D574" s="199">
        <v>159</v>
      </c>
      <c r="E574" s="199">
        <v>1012763.78</v>
      </c>
      <c r="F574" s="199">
        <v>268560.95</v>
      </c>
      <c r="G574" s="199">
        <f>'Mail Merge'!$E574+'Mail Merge'!$F574</f>
        <v>1281324.73</v>
      </c>
      <c r="H574" s="199">
        <v>0</v>
      </c>
      <c r="I574" s="199" t="s">
        <v>241</v>
      </c>
      <c r="J574" s="199">
        <f>IFERROR('Mail Merge'!$E574/'Mail Merge'!$D574,0)</f>
        <v>6369.5835220125791</v>
      </c>
      <c r="K574" s="199">
        <f>IFERROR('Mail Merge'!$F574/'Mail Merge'!$D574,0)</f>
        <v>1689.0625786163523</v>
      </c>
      <c r="L574" s="199">
        <f>IFERROR('Mail Merge'!$G574/'Mail Merge'!$D574,0)</f>
        <v>8058.646100628931</v>
      </c>
      <c r="M574" s="199">
        <v>0</v>
      </c>
      <c r="N574" s="199" t="s">
        <v>241</v>
      </c>
      <c r="O574" s="199">
        <v>225878.62</v>
      </c>
      <c r="P574" s="199">
        <v>2631.46</v>
      </c>
      <c r="Q574" s="199">
        <f>'Mail Merge'!$O574+'Mail Merge'!$P574</f>
        <v>228510.07999999999</v>
      </c>
      <c r="R574" s="199"/>
      <c r="S574" s="199"/>
      <c r="T574" s="199"/>
      <c r="U574" s="199">
        <f>IF(AND('Mail Merge'!$I574="Did Not Meet",'Mail Merge'!$N574="Did Not Meet"),MIN(ABS('Mail Merge'!$H574),ABS('Mail Merge'!$M574),'Mail Merge'!$Q574),0)</f>
        <v>0</v>
      </c>
      <c r="V574" s="199" t="str">
        <f>IF(OR(IFERROR(SEARCH("Met",'Mail Merge'!$N574),0)&gt;0,IFERROR(SEARCH("Met",'Mail Merge'!$I574),0)&gt;0),"Met","Not Met")</f>
        <v>Met</v>
      </c>
    </row>
    <row r="575" spans="1:22" x14ac:dyDescent="0.35">
      <c r="A575" s="200" t="s">
        <v>202</v>
      </c>
      <c r="B575" s="201">
        <v>2102</v>
      </c>
      <c r="C575" s="201" t="s">
        <v>22</v>
      </c>
      <c r="D575" s="201">
        <v>394</v>
      </c>
      <c r="E575" s="201">
        <v>2068911.51</v>
      </c>
      <c r="F575" s="201">
        <v>304026</v>
      </c>
      <c r="G575" s="201">
        <f>'Mail Merge'!$E575+'Mail Merge'!$F575</f>
        <v>2372937.5099999998</v>
      </c>
      <c r="H575" s="201">
        <v>0</v>
      </c>
      <c r="I575" s="201" t="s">
        <v>241</v>
      </c>
      <c r="J575" s="201">
        <f>IFERROR('Mail Merge'!$E575/'Mail Merge'!$D575,0)</f>
        <v>5251.0444416243654</v>
      </c>
      <c r="K575" s="201">
        <f>IFERROR('Mail Merge'!$F575/'Mail Merge'!$D575,0)</f>
        <v>771.63959390862942</v>
      </c>
      <c r="L575" s="201">
        <f>IFERROR('Mail Merge'!$G575/'Mail Merge'!$D575,0)</f>
        <v>6022.6840355329941</v>
      </c>
      <c r="M575" s="201">
        <v>0</v>
      </c>
      <c r="N575" s="201" t="s">
        <v>240</v>
      </c>
      <c r="O575" s="201">
        <v>400798.95</v>
      </c>
      <c r="P575" s="201">
        <v>5059.97</v>
      </c>
      <c r="Q575" s="201">
        <f>'Mail Merge'!$O575+'Mail Merge'!$P575</f>
        <v>405858.92</v>
      </c>
      <c r="R575" s="201"/>
      <c r="S575" s="201"/>
      <c r="T575" s="201"/>
      <c r="U575" s="201">
        <f>IF(AND('Mail Merge'!$I575="Did Not Meet",'Mail Merge'!$N575="Did Not Meet"),MIN(ABS('Mail Merge'!$H575),ABS('Mail Merge'!$M575),'Mail Merge'!$Q575),0)</f>
        <v>0</v>
      </c>
      <c r="V575" s="201" t="str">
        <f>IF(OR(IFERROR(SEARCH("Met",'Mail Merge'!$N575),0)&gt;0,IFERROR(SEARCH("Met",'Mail Merge'!$I575),0)&gt;0),"Met","Not Met")</f>
        <v>Met</v>
      </c>
    </row>
    <row r="576" spans="1:22" x14ac:dyDescent="0.35">
      <c r="A576" s="198" t="s">
        <v>203</v>
      </c>
      <c r="B576" s="199">
        <v>2055</v>
      </c>
      <c r="C576" s="199" t="s">
        <v>22</v>
      </c>
      <c r="D576" s="199">
        <v>606</v>
      </c>
      <c r="E576" s="199">
        <v>5334442.83</v>
      </c>
      <c r="F576" s="199">
        <v>274749.17</v>
      </c>
      <c r="G576" s="199">
        <f>'Mail Merge'!$E576+'Mail Merge'!$F576</f>
        <v>5609192</v>
      </c>
      <c r="H576" s="199">
        <v>0</v>
      </c>
      <c r="I576" s="199" t="s">
        <v>241</v>
      </c>
      <c r="J576" s="199">
        <f>IFERROR('Mail Merge'!$E576/'Mail Merge'!$D576,0)</f>
        <v>8802.7109405940591</v>
      </c>
      <c r="K576" s="199">
        <f>IFERROR('Mail Merge'!$F576/'Mail Merge'!$D576,0)</f>
        <v>453.38146864686468</v>
      </c>
      <c r="L576" s="199">
        <f>IFERROR('Mail Merge'!$G576/'Mail Merge'!$D576,0)</f>
        <v>9256.0924092409241</v>
      </c>
      <c r="M576" s="199">
        <v>0</v>
      </c>
      <c r="N576" s="199" t="s">
        <v>240</v>
      </c>
      <c r="O576" s="199">
        <v>873309.29</v>
      </c>
      <c r="P576" s="199">
        <v>7461.14</v>
      </c>
      <c r="Q576" s="199">
        <f>'Mail Merge'!$O576+'Mail Merge'!$P576</f>
        <v>880770.43</v>
      </c>
      <c r="R576" s="199"/>
      <c r="S576" s="199"/>
      <c r="T576" s="199"/>
      <c r="U576" s="199">
        <f>IF(AND('Mail Merge'!$I576="Did Not Meet",'Mail Merge'!$N576="Did Not Meet"),MIN(ABS('Mail Merge'!$H576),ABS('Mail Merge'!$M576),'Mail Merge'!$Q576),0)</f>
        <v>0</v>
      </c>
      <c r="V576" s="199" t="str">
        <f>IF(OR(IFERROR(SEARCH("Met",'Mail Merge'!$N576),0)&gt;0,IFERROR(SEARCH("Met",'Mail Merge'!$I576),0)&gt;0),"Met","Not Met")</f>
        <v>Met</v>
      </c>
    </row>
    <row r="577" spans="1:22" x14ac:dyDescent="0.35">
      <c r="A577" s="200" t="s">
        <v>204</v>
      </c>
      <c r="B577" s="201">
        <v>2242</v>
      </c>
      <c r="C577" s="201" t="s">
        <v>22</v>
      </c>
      <c r="D577" s="201">
        <v>1291</v>
      </c>
      <c r="E577" s="201">
        <v>9641492.2200000007</v>
      </c>
      <c r="F577" s="201">
        <v>1573920</v>
      </c>
      <c r="G577" s="201">
        <f>'Mail Merge'!$E577+'Mail Merge'!$F577</f>
        <v>11215412.220000001</v>
      </c>
      <c r="H577" s="201">
        <v>0</v>
      </c>
      <c r="I577" s="201" t="s">
        <v>241</v>
      </c>
      <c r="J577" s="201">
        <f>IFERROR('Mail Merge'!$E577/'Mail Merge'!$D577,0)</f>
        <v>7468.2356467854379</v>
      </c>
      <c r="K577" s="201">
        <f>IFERROR('Mail Merge'!$F577/'Mail Merge'!$D577,0)</f>
        <v>1219.1479473276529</v>
      </c>
      <c r="L577" s="201">
        <f>IFERROR('Mail Merge'!$G577/'Mail Merge'!$D577,0)</f>
        <v>8687.383594113091</v>
      </c>
      <c r="M577" s="201">
        <v>0</v>
      </c>
      <c r="N577" s="201" t="s">
        <v>241</v>
      </c>
      <c r="O577" s="201">
        <v>1981793.01</v>
      </c>
      <c r="P577" s="201">
        <v>9971.56</v>
      </c>
      <c r="Q577" s="201">
        <f>'Mail Merge'!$O577+'Mail Merge'!$P577</f>
        <v>1991764.57</v>
      </c>
      <c r="R577" s="201"/>
      <c r="S577" s="201"/>
      <c r="T577" s="201"/>
      <c r="U577" s="201">
        <f>IF(AND('Mail Merge'!$I577="Did Not Meet",'Mail Merge'!$N577="Did Not Meet"),MIN(ABS('Mail Merge'!$H577),ABS('Mail Merge'!$M577),'Mail Merge'!$Q577),0)</f>
        <v>0</v>
      </c>
      <c r="V577" s="201" t="str">
        <f>IF(OR(IFERROR(SEARCH("Met",'Mail Merge'!$N577),0)&gt;0,IFERROR(SEARCH("Met",'Mail Merge'!$I577),0)&gt;0),"Met","Not Met")</f>
        <v>Met</v>
      </c>
    </row>
    <row r="578" spans="1:22" x14ac:dyDescent="0.35">
      <c r="A578" s="198" t="s">
        <v>205</v>
      </c>
      <c r="B578" s="199">
        <v>2197</v>
      </c>
      <c r="C578" s="199" t="s">
        <v>22</v>
      </c>
      <c r="D578" s="199">
        <v>254</v>
      </c>
      <c r="E578" s="199">
        <v>2323791.58</v>
      </c>
      <c r="F578" s="199">
        <v>216873</v>
      </c>
      <c r="G578" s="199">
        <f>'Mail Merge'!$E578+'Mail Merge'!$F578</f>
        <v>2540664.58</v>
      </c>
      <c r="H578" s="199">
        <v>0</v>
      </c>
      <c r="I578" s="199" t="s">
        <v>241</v>
      </c>
      <c r="J578" s="199">
        <f>IFERROR('Mail Merge'!$E578/'Mail Merge'!$D578,0)</f>
        <v>9148.785748031496</v>
      </c>
      <c r="K578" s="199">
        <f>IFERROR('Mail Merge'!$F578/'Mail Merge'!$D578,0)</f>
        <v>853.83070866141736</v>
      </c>
      <c r="L578" s="199">
        <f>IFERROR('Mail Merge'!$G578/'Mail Merge'!$D578,0)</f>
        <v>10002.616456692913</v>
      </c>
      <c r="M578" s="199">
        <v>0</v>
      </c>
      <c r="N578" s="199" t="s">
        <v>240</v>
      </c>
      <c r="O578" s="199">
        <v>353319.19</v>
      </c>
      <c r="P578" s="199">
        <v>2929.32</v>
      </c>
      <c r="Q578" s="199">
        <f>'Mail Merge'!$O578+'Mail Merge'!$P578</f>
        <v>356248.51</v>
      </c>
      <c r="R578" s="199"/>
      <c r="S578" s="199"/>
      <c r="T578" s="199"/>
      <c r="U578" s="199">
        <f>IF(AND('Mail Merge'!$I578="Did Not Meet",'Mail Merge'!$N578="Did Not Meet"),MIN(ABS('Mail Merge'!$H578),ABS('Mail Merge'!$M578),'Mail Merge'!$Q578),0)</f>
        <v>0</v>
      </c>
      <c r="V578" s="199" t="str">
        <f>IF(OR(IFERROR(SEARCH("Met",'Mail Merge'!$N578),0)&gt;0,IFERROR(SEARCH("Met",'Mail Merge'!$I578),0)&gt;0),"Met","Not Met")</f>
        <v>Met</v>
      </c>
    </row>
    <row r="579" spans="1:22" x14ac:dyDescent="0.35">
      <c r="A579" s="200" t="s">
        <v>206</v>
      </c>
      <c r="B579" s="201">
        <v>2222</v>
      </c>
      <c r="C579" s="201" t="s">
        <v>22</v>
      </c>
      <c r="D579" s="201">
        <v>0</v>
      </c>
      <c r="E579" s="201">
        <v>0</v>
      </c>
      <c r="F579" s="201">
        <v>3700</v>
      </c>
      <c r="G579" s="201">
        <f>'Mail Merge'!$E579+'Mail Merge'!$F579</f>
        <v>3700</v>
      </c>
      <c r="H579" s="201">
        <v>0</v>
      </c>
      <c r="I579" s="201" t="s">
        <v>241</v>
      </c>
      <c r="J579" s="201">
        <f>IFERROR('Mail Merge'!$E579/'Mail Merge'!$D579,0)</f>
        <v>0</v>
      </c>
      <c r="K579" s="201">
        <f>IFERROR('Mail Merge'!$F579/'Mail Merge'!$D579,0)</f>
        <v>0</v>
      </c>
      <c r="L579" s="201">
        <f>IFERROR('Mail Merge'!$G579/'Mail Merge'!$D579,0)</f>
        <v>0</v>
      </c>
      <c r="M579" s="201">
        <v>0</v>
      </c>
      <c r="N579" s="201" t="s">
        <v>241</v>
      </c>
      <c r="O579" s="201">
        <v>2494.44</v>
      </c>
      <c r="P579" s="201">
        <v>0.28999999999999998</v>
      </c>
      <c r="Q579" s="201">
        <f>'Mail Merge'!$O579+'Mail Merge'!$P579</f>
        <v>2494.73</v>
      </c>
      <c r="R579" s="201"/>
      <c r="S579" s="201"/>
      <c r="T579" s="201"/>
      <c r="U579" s="201">
        <f>IF(AND('Mail Merge'!$I579="Did Not Meet",'Mail Merge'!$N579="Did Not Meet"),MIN(ABS('Mail Merge'!$H579),ABS('Mail Merge'!$M579),'Mail Merge'!$Q579),0)</f>
        <v>0</v>
      </c>
      <c r="V579" s="201" t="str">
        <f>IF(OR(IFERROR(SEARCH("Met",'Mail Merge'!$N579),0)&gt;0,IFERROR(SEARCH("Met",'Mail Merge'!$I579),0)&gt;0),"Met","Not Met")</f>
        <v>Met</v>
      </c>
    </row>
    <row r="580" spans="1:22" x14ac:dyDescent="0.35">
      <c r="A580" s="198" t="s">
        <v>207</v>
      </c>
      <c r="B580" s="199">
        <v>2210</v>
      </c>
      <c r="C580" s="199" t="s">
        <v>22</v>
      </c>
      <c r="D580" s="199">
        <v>4</v>
      </c>
      <c r="E580" s="199">
        <v>4116.75</v>
      </c>
      <c r="F580" s="199">
        <v>5857.45</v>
      </c>
      <c r="G580" s="199">
        <f>'Mail Merge'!$E580+'Mail Merge'!$F580</f>
        <v>9974.2000000000007</v>
      </c>
      <c r="H580" s="199">
        <v>0</v>
      </c>
      <c r="I580" s="199" t="s">
        <v>240</v>
      </c>
      <c r="J580" s="199">
        <f>IFERROR('Mail Merge'!$E580/'Mail Merge'!$D580,0)</f>
        <v>1029.1875</v>
      </c>
      <c r="K580" s="199">
        <f>IFERROR('Mail Merge'!$F580/'Mail Merge'!$D580,0)</f>
        <v>1464.3625</v>
      </c>
      <c r="L580" s="199">
        <f>IFERROR('Mail Merge'!$G580/'Mail Merge'!$D580,0)</f>
        <v>2493.5500000000002</v>
      </c>
      <c r="M580" s="199">
        <v>0</v>
      </c>
      <c r="N580" s="199" t="s">
        <v>240</v>
      </c>
      <c r="O580" s="199">
        <v>9045.11</v>
      </c>
      <c r="P580" s="199">
        <v>4.0599999999999996</v>
      </c>
      <c r="Q580" s="199">
        <f>'Mail Merge'!$O580+'Mail Merge'!$P580</f>
        <v>9049.17</v>
      </c>
      <c r="R580" s="199"/>
      <c r="S580" s="199"/>
      <c r="T580" s="199"/>
      <c r="U580" s="199">
        <f>IF(AND('Mail Merge'!$I580="Did Not Meet",'Mail Merge'!$N580="Did Not Meet"),MIN(ABS('Mail Merge'!$H580),ABS('Mail Merge'!$M580),'Mail Merge'!$Q580),0)</f>
        <v>0</v>
      </c>
      <c r="V580" s="199" t="str">
        <f>IF(OR(IFERROR(SEARCH("Met",'Mail Merge'!$N580),0)&gt;0,IFERROR(SEARCH("Met",'Mail Merge'!$I580),0)&gt;0),"Met","Not Met")</f>
        <v>Not Met</v>
      </c>
    </row>
    <row r="581" spans="1:22" x14ac:dyDescent="0.35">
      <c r="A581" s="200" t="s">
        <v>208</v>
      </c>
      <c r="B581" s="201">
        <v>2204</v>
      </c>
      <c r="C581" s="201" t="s">
        <v>22</v>
      </c>
      <c r="D581" s="201">
        <v>144</v>
      </c>
      <c r="E581" s="201">
        <v>1205550.78</v>
      </c>
      <c r="F581" s="201">
        <v>214773.07</v>
      </c>
      <c r="G581" s="201">
        <f>'Mail Merge'!$E581+'Mail Merge'!$F581</f>
        <v>1420323.85</v>
      </c>
      <c r="H581" s="201">
        <v>0</v>
      </c>
      <c r="I581" s="201" t="s">
        <v>241</v>
      </c>
      <c r="J581" s="201">
        <f>IFERROR('Mail Merge'!$E581/'Mail Merge'!$D581,0)</f>
        <v>8371.8804166666669</v>
      </c>
      <c r="K581" s="201">
        <f>IFERROR('Mail Merge'!$F581/'Mail Merge'!$D581,0)</f>
        <v>1491.4796527777778</v>
      </c>
      <c r="L581" s="201">
        <f>IFERROR('Mail Merge'!$G581/'Mail Merge'!$D581,0)</f>
        <v>9863.3600694444449</v>
      </c>
      <c r="M581" s="201">
        <v>0</v>
      </c>
      <c r="N581" s="201" t="s">
        <v>241</v>
      </c>
      <c r="O581" s="201">
        <v>212750.79</v>
      </c>
      <c r="P581" s="201">
        <v>1568.25</v>
      </c>
      <c r="Q581" s="201">
        <f>'Mail Merge'!$O581+'Mail Merge'!$P581</f>
        <v>214319.04</v>
      </c>
      <c r="R581" s="201"/>
      <c r="S581" s="201"/>
      <c r="T581" s="201"/>
      <c r="U581" s="201">
        <f>IF(AND('Mail Merge'!$I581="Did Not Meet",'Mail Merge'!$N581="Did Not Meet"),MIN(ABS('Mail Merge'!$H581),ABS('Mail Merge'!$M581),'Mail Merge'!$Q581),0)</f>
        <v>0</v>
      </c>
      <c r="V581" s="201" t="str">
        <f>IF(OR(IFERROR(SEARCH("Met",'Mail Merge'!$N581),0)&gt;0,IFERROR(SEARCH("Met",'Mail Merge'!$I581),0)&gt;0),"Met","Not Met")</f>
        <v>Met</v>
      </c>
    </row>
    <row r="582" spans="1:22" x14ac:dyDescent="0.35">
      <c r="A582" s="198" t="s">
        <v>209</v>
      </c>
      <c r="B582" s="199">
        <v>2213</v>
      </c>
      <c r="C582" s="199" t="s">
        <v>22</v>
      </c>
      <c r="D582" s="199">
        <v>50</v>
      </c>
      <c r="E582" s="199">
        <v>313810.42</v>
      </c>
      <c r="F582" s="199">
        <v>126911.36</v>
      </c>
      <c r="G582" s="199">
        <f>'Mail Merge'!$E582+'Mail Merge'!$F582</f>
        <v>440721.77999999997</v>
      </c>
      <c r="H582" s="199">
        <v>0</v>
      </c>
      <c r="I582" s="199" t="s">
        <v>242</v>
      </c>
      <c r="J582" s="199">
        <f>IFERROR('Mail Merge'!$E582/'Mail Merge'!$D582,0)</f>
        <v>6276.2083999999995</v>
      </c>
      <c r="K582" s="199">
        <f>IFERROR('Mail Merge'!$F582/'Mail Merge'!$D582,0)</f>
        <v>2538.2271999999998</v>
      </c>
      <c r="L582" s="199">
        <f>IFERROR('Mail Merge'!$G582/'Mail Merge'!$D582,0)</f>
        <v>8814.4355999999989</v>
      </c>
      <c r="M582" s="199">
        <v>0</v>
      </c>
      <c r="N582" s="199" t="s">
        <v>242</v>
      </c>
      <c r="O582" s="199">
        <v>65845.89</v>
      </c>
      <c r="P582" s="199">
        <v>283.45</v>
      </c>
      <c r="Q582" s="199">
        <f>'Mail Merge'!$O582+'Mail Merge'!$P582</f>
        <v>66129.34</v>
      </c>
      <c r="R582" s="199"/>
      <c r="S582" s="199">
        <v>26578.78</v>
      </c>
      <c r="T582" s="199">
        <v>26578.78</v>
      </c>
      <c r="U582" s="199">
        <f>IF(AND('Mail Merge'!$I582="Did Not Meet",'Mail Merge'!$N582="Did Not Meet"),MIN(ABS('Mail Merge'!$H582),ABS('Mail Merge'!$M582),'Mail Merge'!$Q582),0)</f>
        <v>0</v>
      </c>
      <c r="V582" s="199" t="str">
        <f>IF(OR(IFERROR(SEARCH("Met",'Mail Merge'!$N582),0)&gt;0,IFERROR(SEARCH("Met",'Mail Merge'!$I582),0)&gt;0),"Met","Not Met")</f>
        <v>Met</v>
      </c>
    </row>
    <row r="583" spans="1:22" x14ac:dyDescent="0.35">
      <c r="A583" s="200" t="s">
        <v>210</v>
      </c>
      <c r="B583" s="201">
        <v>2116</v>
      </c>
      <c r="C583" s="201" t="s">
        <v>22</v>
      </c>
      <c r="D583" s="201">
        <v>106</v>
      </c>
      <c r="E583" s="201">
        <v>594509.34</v>
      </c>
      <c r="F583" s="201">
        <v>265747.28999999998</v>
      </c>
      <c r="G583" s="201">
        <f>'Mail Merge'!$E583+'Mail Merge'!$F583</f>
        <v>860256.62999999989</v>
      </c>
      <c r="H583" s="201">
        <v>0</v>
      </c>
      <c r="I583" s="201" t="s">
        <v>241</v>
      </c>
      <c r="J583" s="201">
        <f>IFERROR('Mail Merge'!$E583/'Mail Merge'!$D583,0)</f>
        <v>5608.5786792452827</v>
      </c>
      <c r="K583" s="201">
        <f>IFERROR('Mail Merge'!$F583/'Mail Merge'!$D583,0)</f>
        <v>2507.0499056603771</v>
      </c>
      <c r="L583" s="201">
        <f>IFERROR('Mail Merge'!$G583/'Mail Merge'!$D583,0)</f>
        <v>8115.6285849056594</v>
      </c>
      <c r="M583" s="201">
        <v>0</v>
      </c>
      <c r="N583" s="201" t="s">
        <v>241</v>
      </c>
      <c r="O583" s="201">
        <v>154748.81</v>
      </c>
      <c r="P583" s="201">
        <v>475.58</v>
      </c>
      <c r="Q583" s="201">
        <f>'Mail Merge'!$O583+'Mail Merge'!$P583</f>
        <v>155224.38999999998</v>
      </c>
      <c r="R583" s="201"/>
      <c r="S583" s="201"/>
      <c r="T583" s="201"/>
      <c r="U583" s="201">
        <f>IF(AND('Mail Merge'!$I583="Did Not Meet",'Mail Merge'!$N583="Did Not Meet"),MIN(ABS('Mail Merge'!$H583),ABS('Mail Merge'!$M583),'Mail Merge'!$Q583),0)</f>
        <v>0</v>
      </c>
      <c r="V583" s="201" t="str">
        <f>IF(OR(IFERROR(SEARCH("Met",'Mail Merge'!$N583),0)&gt;0,IFERROR(SEARCH("Met",'Mail Merge'!$I583),0)&gt;0),"Met","Not Met")</f>
        <v>Met</v>
      </c>
    </row>
    <row r="584" spans="1:22" x14ac:dyDescent="0.35">
      <c r="A584" s="198" t="s">
        <v>211</v>
      </c>
      <c r="B584" s="199">
        <v>1947</v>
      </c>
      <c r="C584" s="199" t="s">
        <v>22</v>
      </c>
      <c r="D584" s="199">
        <v>88</v>
      </c>
      <c r="E584" s="199">
        <v>764207.13</v>
      </c>
      <c r="F584" s="199">
        <v>140187</v>
      </c>
      <c r="G584" s="199">
        <f>'Mail Merge'!$E584+'Mail Merge'!$F584</f>
        <v>904394.13</v>
      </c>
      <c r="H584" s="199">
        <v>0</v>
      </c>
      <c r="I584" s="199" t="s">
        <v>241</v>
      </c>
      <c r="J584" s="199">
        <f>IFERROR('Mail Merge'!$E584/'Mail Merge'!$D584,0)</f>
        <v>8684.1719318181822</v>
      </c>
      <c r="K584" s="199">
        <f>IFERROR('Mail Merge'!$F584/'Mail Merge'!$D584,0)</f>
        <v>1593.034090909091</v>
      </c>
      <c r="L584" s="199">
        <f>IFERROR('Mail Merge'!$G584/'Mail Merge'!$D584,0)</f>
        <v>10277.206022727272</v>
      </c>
      <c r="M584" s="199">
        <v>0</v>
      </c>
      <c r="N584" s="199" t="s">
        <v>241</v>
      </c>
      <c r="O584" s="199">
        <v>107448.75</v>
      </c>
      <c r="P584" s="199">
        <v>1540.41</v>
      </c>
      <c r="Q584" s="199">
        <f>'Mail Merge'!$O584+'Mail Merge'!$P584</f>
        <v>108989.16</v>
      </c>
      <c r="R584" s="199"/>
      <c r="S584" s="199"/>
      <c r="T584" s="199"/>
      <c r="U584" s="199">
        <f>IF(AND('Mail Merge'!$I584="Did Not Meet",'Mail Merge'!$N584="Did Not Meet"),MIN(ABS('Mail Merge'!$H584),ABS('Mail Merge'!$M584),'Mail Merge'!$Q584),0)</f>
        <v>0</v>
      </c>
      <c r="V584" s="199" t="str">
        <f>IF(OR(IFERROR(SEARCH("Met",'Mail Merge'!$N584),0)&gt;0,IFERROR(SEARCH("Met",'Mail Merge'!$I584),0)&gt;0),"Met","Not Met")</f>
        <v>Met</v>
      </c>
    </row>
    <row r="585" spans="1:22" x14ac:dyDescent="0.35">
      <c r="A585" s="200" t="s">
        <v>212</v>
      </c>
      <c r="B585" s="201">
        <v>2220</v>
      </c>
      <c r="C585" s="201" t="s">
        <v>22</v>
      </c>
      <c r="D585" s="201">
        <v>28</v>
      </c>
      <c r="E585" s="201">
        <v>76708.37</v>
      </c>
      <c r="F585" s="201">
        <v>130114.47</v>
      </c>
      <c r="G585" s="201">
        <f>'Mail Merge'!$E585+'Mail Merge'!$F585</f>
        <v>206822.84</v>
      </c>
      <c r="H585" s="201">
        <v>0</v>
      </c>
      <c r="I585" s="201" t="s">
        <v>240</v>
      </c>
      <c r="J585" s="201">
        <f>IFERROR('Mail Merge'!$E585/'Mail Merge'!$D585,0)</f>
        <v>2739.5846428571426</v>
      </c>
      <c r="K585" s="201">
        <f>IFERROR('Mail Merge'!$F585/'Mail Merge'!$D585,0)</f>
        <v>4646.9453571428576</v>
      </c>
      <c r="L585" s="201">
        <f>IFERROR('Mail Merge'!$G585/'Mail Merge'!$D585,0)</f>
        <v>7386.53</v>
      </c>
      <c r="M585" s="201">
        <v>0</v>
      </c>
      <c r="N585" s="201" t="s">
        <v>240</v>
      </c>
      <c r="O585" s="201">
        <v>57196.25</v>
      </c>
      <c r="P585" s="201">
        <v>654.11</v>
      </c>
      <c r="Q585" s="201">
        <f>'Mail Merge'!$O585+'Mail Merge'!$P585</f>
        <v>57850.36</v>
      </c>
      <c r="R585" s="201"/>
      <c r="S585" s="201"/>
      <c r="T585" s="201"/>
      <c r="U585" s="201">
        <f>IF(AND('Mail Merge'!$I585="Did Not Meet",'Mail Merge'!$N585="Did Not Meet"),MIN(ABS('Mail Merge'!$H585),ABS('Mail Merge'!$M585),'Mail Merge'!$Q585),0)</f>
        <v>0</v>
      </c>
      <c r="V585" s="201" t="str">
        <f>IF(OR(IFERROR(SEARCH("Met",'Mail Merge'!$N585),0)&gt;0,IFERROR(SEARCH("Met",'Mail Merge'!$I585),0)&gt;0),"Met","Not Met")</f>
        <v>Not Met</v>
      </c>
    </row>
    <row r="586" spans="1:22" x14ac:dyDescent="0.35">
      <c r="A586" s="198" t="s">
        <v>213</v>
      </c>
      <c r="B586" s="199">
        <v>1936</v>
      </c>
      <c r="C586" s="199" t="s">
        <v>22</v>
      </c>
      <c r="D586" s="199">
        <v>149</v>
      </c>
      <c r="E586" s="199">
        <v>1200932.97</v>
      </c>
      <c r="F586" s="199">
        <v>235785</v>
      </c>
      <c r="G586" s="199">
        <f>'Mail Merge'!$E586+'Mail Merge'!$F586</f>
        <v>1436717.97</v>
      </c>
      <c r="H586" s="199">
        <v>0</v>
      </c>
      <c r="I586" s="199" t="s">
        <v>241</v>
      </c>
      <c r="J586" s="199">
        <f>IFERROR('Mail Merge'!$E586/'Mail Merge'!$D586,0)</f>
        <v>8059.9528187919459</v>
      </c>
      <c r="K586" s="199">
        <f>IFERROR('Mail Merge'!$F586/'Mail Merge'!$D586,0)</f>
        <v>1582.4496644295302</v>
      </c>
      <c r="L586" s="199">
        <f>IFERROR('Mail Merge'!$G586/'Mail Merge'!$D586,0)</f>
        <v>9642.4024832214764</v>
      </c>
      <c r="M586" s="199">
        <v>0</v>
      </c>
      <c r="N586" s="199" t="s">
        <v>241</v>
      </c>
      <c r="O586" s="199">
        <v>136884.76999999999</v>
      </c>
      <c r="P586" s="199">
        <v>1235.6400000000001</v>
      </c>
      <c r="Q586" s="199">
        <f>'Mail Merge'!$O586+'Mail Merge'!$P586</f>
        <v>138120.41</v>
      </c>
      <c r="R586" s="199"/>
      <c r="S586" s="199"/>
      <c r="T586" s="199"/>
      <c r="U586" s="199">
        <f>IF(AND('Mail Merge'!$I586="Did Not Meet",'Mail Merge'!$N586="Did Not Meet"),MIN(ABS('Mail Merge'!$H586),ABS('Mail Merge'!$M586),'Mail Merge'!$Q586),0)</f>
        <v>0</v>
      </c>
      <c r="V586" s="199" t="str">
        <f>IF(OR(IFERROR(SEARCH("Met",'Mail Merge'!$N586),0)&gt;0,IFERROR(SEARCH("Met",'Mail Merge'!$I586),0)&gt;0),"Met","Not Met")</f>
        <v>Met</v>
      </c>
    </row>
    <row r="587" spans="1:22" x14ac:dyDescent="0.35">
      <c r="A587" s="200" t="s">
        <v>214</v>
      </c>
      <c r="B587" s="201">
        <v>1922</v>
      </c>
      <c r="C587" s="201" t="s">
        <v>22</v>
      </c>
      <c r="D587" s="201">
        <v>857</v>
      </c>
      <c r="E587" s="201">
        <v>6187501.8899999997</v>
      </c>
      <c r="F587" s="201">
        <v>415338</v>
      </c>
      <c r="G587" s="201">
        <f>'Mail Merge'!$E587+'Mail Merge'!$F587</f>
        <v>6602839.8899999997</v>
      </c>
      <c r="H587" s="201">
        <v>0</v>
      </c>
      <c r="I587" s="201" t="s">
        <v>241</v>
      </c>
      <c r="J587" s="201">
        <f>IFERROR('Mail Merge'!$E587/'Mail Merge'!$D587,0)</f>
        <v>7219.9555309218204</v>
      </c>
      <c r="K587" s="201">
        <f>IFERROR('Mail Merge'!$F587/'Mail Merge'!$D587,0)</f>
        <v>484.64177362893815</v>
      </c>
      <c r="L587" s="201">
        <f>IFERROR('Mail Merge'!$G587/'Mail Merge'!$D587,0)</f>
        <v>7704.5973045507581</v>
      </c>
      <c r="M587" s="201">
        <v>0</v>
      </c>
      <c r="N587" s="201" t="s">
        <v>241</v>
      </c>
      <c r="O587" s="201">
        <v>1215053.27</v>
      </c>
      <c r="P587" s="201">
        <v>8268.76</v>
      </c>
      <c r="Q587" s="201">
        <f>'Mail Merge'!$O587+'Mail Merge'!$P587</f>
        <v>1223322.03</v>
      </c>
      <c r="R587" s="201"/>
      <c r="S587" s="201"/>
      <c r="T587" s="201"/>
      <c r="U587" s="201">
        <f>IF(AND('Mail Merge'!$I587="Did Not Meet",'Mail Merge'!$N587="Did Not Meet"),MIN(ABS('Mail Merge'!$H587),ABS('Mail Merge'!$M587),'Mail Merge'!$Q587),0)</f>
        <v>0</v>
      </c>
      <c r="V587" s="201" t="str">
        <f>IF(OR(IFERROR(SEARCH("Met",'Mail Merge'!$N587),0)&gt;0,IFERROR(SEARCH("Met",'Mail Merge'!$I587),0)&gt;0),"Met","Not Met")</f>
        <v>Met</v>
      </c>
    </row>
    <row r="588" spans="1:22" x14ac:dyDescent="0.35">
      <c r="A588" s="198" t="s">
        <v>215</v>
      </c>
      <c r="B588" s="199">
        <v>2255</v>
      </c>
      <c r="C588" s="199" t="s">
        <v>22</v>
      </c>
      <c r="D588" s="199">
        <v>112</v>
      </c>
      <c r="E588" s="199">
        <v>887643.83</v>
      </c>
      <c r="F588" s="199">
        <v>132408.54999999999</v>
      </c>
      <c r="G588" s="199">
        <f>'Mail Merge'!$E588+'Mail Merge'!$F588</f>
        <v>1020052.3799999999</v>
      </c>
      <c r="H588" s="199">
        <v>0</v>
      </c>
      <c r="I588" s="199" t="s">
        <v>241</v>
      </c>
      <c r="J588" s="199">
        <f>IFERROR('Mail Merge'!$E588/'Mail Merge'!$D588,0)</f>
        <v>7925.3913392857139</v>
      </c>
      <c r="K588" s="199">
        <f>IFERROR('Mail Merge'!$F588/'Mail Merge'!$D588,0)</f>
        <v>1182.2191964285714</v>
      </c>
      <c r="L588" s="199">
        <f>IFERROR('Mail Merge'!$G588/'Mail Merge'!$D588,0)</f>
        <v>9107.6105357142842</v>
      </c>
      <c r="M588" s="199">
        <v>0</v>
      </c>
      <c r="N588" s="199" t="s">
        <v>241</v>
      </c>
      <c r="O588" s="199">
        <v>208358.84</v>
      </c>
      <c r="P588" s="199">
        <v>2504.66</v>
      </c>
      <c r="Q588" s="199">
        <f>'Mail Merge'!$O588+'Mail Merge'!$P588</f>
        <v>210863.5</v>
      </c>
      <c r="R588" s="199"/>
      <c r="S588" s="199"/>
      <c r="T588" s="199"/>
      <c r="U588" s="199">
        <f>IF(AND('Mail Merge'!$I588="Did Not Meet",'Mail Merge'!$N588="Did Not Meet"),MIN(ABS('Mail Merge'!$H588),ABS('Mail Merge'!$M588),'Mail Merge'!$Q588),0)</f>
        <v>0</v>
      </c>
      <c r="V588" s="199" t="str">
        <f>IF(OR(IFERROR(SEARCH("Met",'Mail Merge'!$N588),0)&gt;0,IFERROR(SEARCH("Met",'Mail Merge'!$I588),0)&gt;0),"Met","Not Met")</f>
        <v>Met</v>
      </c>
    </row>
    <row r="589" spans="1:22" x14ac:dyDescent="0.35">
      <c r="A589" s="200" t="s">
        <v>216</v>
      </c>
      <c r="B589" s="201">
        <v>2002</v>
      </c>
      <c r="C589" s="201" t="s">
        <v>22</v>
      </c>
      <c r="D589" s="201">
        <v>196</v>
      </c>
      <c r="E589" s="201">
        <v>1492513.56</v>
      </c>
      <c r="F589" s="201">
        <v>242135.26</v>
      </c>
      <c r="G589" s="201">
        <f>'Mail Merge'!$E589+'Mail Merge'!$F589</f>
        <v>1734648.82</v>
      </c>
      <c r="H589" s="201">
        <v>0</v>
      </c>
      <c r="I589" s="201" t="s">
        <v>241</v>
      </c>
      <c r="J589" s="201">
        <f>IFERROR('Mail Merge'!$E589/'Mail Merge'!$D589,0)</f>
        <v>7614.865102040817</v>
      </c>
      <c r="K589" s="201">
        <f>IFERROR('Mail Merge'!$F589/'Mail Merge'!$D589,0)</f>
        <v>1235.3839795918368</v>
      </c>
      <c r="L589" s="201">
        <f>IFERROR('Mail Merge'!$G589/'Mail Merge'!$D589,0)</f>
        <v>8850.2490816326535</v>
      </c>
      <c r="M589" s="201">
        <v>0</v>
      </c>
      <c r="N589" s="201" t="s">
        <v>241</v>
      </c>
      <c r="O589" s="201">
        <v>275912.64</v>
      </c>
      <c r="P589" s="201">
        <v>5229.9799999999996</v>
      </c>
      <c r="Q589" s="201">
        <f>'Mail Merge'!$O589+'Mail Merge'!$P589</f>
        <v>281142.62</v>
      </c>
      <c r="R589" s="201"/>
      <c r="S589" s="201"/>
      <c r="T589" s="201"/>
      <c r="U589" s="201">
        <f>IF(AND('Mail Merge'!$I589="Did Not Meet",'Mail Merge'!$N589="Did Not Meet"),MIN(ABS('Mail Merge'!$H589),ABS('Mail Merge'!$M589),'Mail Merge'!$Q589),0)</f>
        <v>0</v>
      </c>
      <c r="V589" s="201" t="str">
        <f>IF(OR(IFERROR(SEARCH("Met",'Mail Merge'!$N589),0)&gt;0,IFERROR(SEARCH("Met",'Mail Merge'!$I589),0)&gt;0),"Met","Not Met")</f>
        <v>Met</v>
      </c>
    </row>
    <row r="590" spans="1:22" x14ac:dyDescent="0.35">
      <c r="A590" s="198" t="s">
        <v>217</v>
      </c>
      <c r="B590" s="199">
        <v>2146</v>
      </c>
      <c r="C590" s="199" t="s">
        <v>22</v>
      </c>
      <c r="D590" s="199">
        <v>650</v>
      </c>
      <c r="E590" s="199">
        <v>5141284.4800000004</v>
      </c>
      <c r="F590" s="199">
        <v>237535.48</v>
      </c>
      <c r="G590" s="199">
        <f>'Mail Merge'!$E590+'Mail Merge'!$F590</f>
        <v>5378819.9600000009</v>
      </c>
      <c r="H590" s="199">
        <v>0</v>
      </c>
      <c r="I590" s="199" t="s">
        <v>240</v>
      </c>
      <c r="J590" s="199">
        <f>IFERROR('Mail Merge'!$E590/'Mail Merge'!$D590,0)</f>
        <v>7909.6684307692312</v>
      </c>
      <c r="K590" s="199">
        <f>IFERROR('Mail Merge'!$F590/'Mail Merge'!$D590,0)</f>
        <v>365.43920000000003</v>
      </c>
      <c r="L590" s="199">
        <f>IFERROR('Mail Merge'!$G590/'Mail Merge'!$D590,0)</f>
        <v>8275.1076307692329</v>
      </c>
      <c r="M590" s="199">
        <v>0</v>
      </c>
      <c r="N590" s="199" t="s">
        <v>240</v>
      </c>
      <c r="O590" s="199">
        <v>735737.81</v>
      </c>
      <c r="P590" s="199">
        <v>3178.98</v>
      </c>
      <c r="Q590" s="199">
        <f>'Mail Merge'!$O590+'Mail Merge'!$P590</f>
        <v>738916.79</v>
      </c>
      <c r="R590" s="199"/>
      <c r="S590" s="199"/>
      <c r="T590" s="199"/>
      <c r="U590" s="199">
        <f>IF(AND('Mail Merge'!$I590="Did Not Meet",'Mail Merge'!$N590="Did Not Meet"),MIN(ABS('Mail Merge'!$H590),ABS('Mail Merge'!$M590),'Mail Merge'!$Q590),0)</f>
        <v>0</v>
      </c>
      <c r="V590" s="199" t="str">
        <f>IF(OR(IFERROR(SEARCH("Met",'Mail Merge'!$N590),0)&gt;0,IFERROR(SEARCH("Met",'Mail Merge'!$I590),0)&gt;0),"Met","Not Met")</f>
        <v>Not Met</v>
      </c>
    </row>
    <row r="591" spans="1:22" x14ac:dyDescent="0.35">
      <c r="A591" s="200" t="s">
        <v>218</v>
      </c>
      <c r="B591" s="201">
        <v>2251</v>
      </c>
      <c r="C591" s="201" t="s">
        <v>22</v>
      </c>
      <c r="D591" s="201">
        <v>164</v>
      </c>
      <c r="E591" s="201">
        <v>1027670.1</v>
      </c>
      <c r="F591" s="201">
        <v>44686.64</v>
      </c>
      <c r="G591" s="201">
        <f>'Mail Merge'!$E591+'Mail Merge'!$F591</f>
        <v>1072356.74</v>
      </c>
      <c r="H591" s="201">
        <v>0</v>
      </c>
      <c r="I591" s="201" t="s">
        <v>241</v>
      </c>
      <c r="J591" s="201">
        <f>IFERROR('Mail Merge'!$E591/'Mail Merge'!$D591,0)</f>
        <v>6266.2810975609755</v>
      </c>
      <c r="K591" s="201">
        <f>IFERROR('Mail Merge'!$F591/'Mail Merge'!$D591,0)</f>
        <v>272.47951219512197</v>
      </c>
      <c r="L591" s="201">
        <f>IFERROR('Mail Merge'!$G591/'Mail Merge'!$D591,0)</f>
        <v>6538.7606097560974</v>
      </c>
      <c r="M591" s="201">
        <v>0</v>
      </c>
      <c r="N591" s="201" t="s">
        <v>240</v>
      </c>
      <c r="O591" s="201">
        <v>203130.29</v>
      </c>
      <c r="P591" s="201">
        <v>2305.41</v>
      </c>
      <c r="Q591" s="201">
        <f>'Mail Merge'!$O591+'Mail Merge'!$P591</f>
        <v>205435.7</v>
      </c>
      <c r="R591" s="201"/>
      <c r="S591" s="201"/>
      <c r="T591" s="201"/>
      <c r="U591" s="201">
        <f>IF(AND('Mail Merge'!$I591="Did Not Meet",'Mail Merge'!$N591="Did Not Meet"),MIN(ABS('Mail Merge'!$H591),ABS('Mail Merge'!$M591),'Mail Merge'!$Q591),0)</f>
        <v>0</v>
      </c>
      <c r="V591" s="201" t="str">
        <f>IF(OR(IFERROR(SEARCH("Met",'Mail Merge'!$N591),0)&gt;0,IFERROR(SEARCH("Met",'Mail Merge'!$I591),0)&gt;0),"Met","Not Met")</f>
        <v>Met</v>
      </c>
    </row>
    <row r="592" spans="1:22" x14ac:dyDescent="0.35">
      <c r="A592" s="198" t="s">
        <v>219</v>
      </c>
      <c r="B592" s="199">
        <v>1997</v>
      </c>
      <c r="C592" s="199" t="s">
        <v>22</v>
      </c>
      <c r="D592" s="199">
        <v>37</v>
      </c>
      <c r="E592" s="199">
        <v>212102.74</v>
      </c>
      <c r="F592" s="199">
        <v>47491.76</v>
      </c>
      <c r="G592" s="199">
        <f>'Mail Merge'!$E592+'Mail Merge'!$F592</f>
        <v>259594.5</v>
      </c>
      <c r="H592" s="199">
        <v>0</v>
      </c>
      <c r="I592" s="199" t="s">
        <v>241</v>
      </c>
      <c r="J592" s="199">
        <f>IFERROR('Mail Merge'!$E592/'Mail Merge'!$D592,0)</f>
        <v>5732.5064864864862</v>
      </c>
      <c r="K592" s="199">
        <f>IFERROR('Mail Merge'!$F592/'Mail Merge'!$D592,0)</f>
        <v>1283.5610810810811</v>
      </c>
      <c r="L592" s="199">
        <f>IFERROR('Mail Merge'!$G592/'Mail Merge'!$D592,0)</f>
        <v>7016.0675675675675</v>
      </c>
      <c r="M592" s="199">
        <v>0</v>
      </c>
      <c r="N592" s="199" t="s">
        <v>241</v>
      </c>
      <c r="O592" s="199">
        <v>67487.990000000005</v>
      </c>
      <c r="P592" s="199">
        <v>493.43</v>
      </c>
      <c r="Q592" s="199">
        <f>'Mail Merge'!$O592+'Mail Merge'!$P592</f>
        <v>67981.42</v>
      </c>
      <c r="R592" s="199"/>
      <c r="S592" s="199"/>
      <c r="T592" s="199"/>
      <c r="U592" s="199">
        <f>IF(AND('Mail Merge'!$I592="Did Not Meet",'Mail Merge'!$N592="Did Not Meet"),MIN(ABS('Mail Merge'!$H592),ABS('Mail Merge'!$M592),'Mail Merge'!$Q592),0)</f>
        <v>0</v>
      </c>
      <c r="V592" s="199" t="str">
        <f>IF(OR(IFERROR(SEARCH("Met",'Mail Merge'!$N592),0)&gt;0,IFERROR(SEARCH("Met",'Mail Merge'!$I592),0)&gt;0),"Met","Not Met")</f>
        <v>Met</v>
      </c>
    </row>
    <row r="593" spans="1:22" x14ac:dyDescent="0.35">
      <c r="A593" s="200" t="s">
        <v>14</v>
      </c>
      <c r="B593" s="201">
        <v>2063</v>
      </c>
      <c r="C593" s="201" t="s">
        <v>31</v>
      </c>
      <c r="D593" s="201">
        <v>2</v>
      </c>
      <c r="E593" s="201">
        <v>4555.24</v>
      </c>
      <c r="F593" s="201">
        <v>11447.59</v>
      </c>
      <c r="G593" s="201">
        <f>'Mail Merge'!$E593+'Mail Merge'!$F593</f>
        <v>16002.83</v>
      </c>
      <c r="H593" s="201">
        <v>0</v>
      </c>
      <c r="I593" s="201" t="s">
        <v>240</v>
      </c>
      <c r="J593" s="201">
        <f>IFERROR('Mail Merge'!$E593/'Mail Merge'!$D593,0)</f>
        <v>2277.62</v>
      </c>
      <c r="K593" s="201">
        <f>IFERROR('Mail Merge'!$F593/'Mail Merge'!$D593,0)</f>
        <v>5723.7950000000001</v>
      </c>
      <c r="L593" s="201">
        <f>IFERROR('Mail Merge'!$G593/'Mail Merge'!$D593,0)</f>
        <v>8001.415</v>
      </c>
      <c r="M593" s="201">
        <v>0</v>
      </c>
      <c r="N593" s="201" t="s">
        <v>240</v>
      </c>
      <c r="O593" s="201">
        <v>3360.18</v>
      </c>
      <c r="P593" s="201">
        <v>466.97</v>
      </c>
      <c r="Q593" s="201">
        <f>'Mail Merge'!$O593+'Mail Merge'!$P593</f>
        <v>3827.1499999999996</v>
      </c>
      <c r="R593" s="201"/>
      <c r="S593" s="201"/>
      <c r="T593" s="201"/>
      <c r="U593" s="201">
        <f>IF(AND('Mail Merge'!$I593="Did Not Meet",'Mail Merge'!$N593="Did Not Meet"),MIN(ABS('Mail Merge'!$H593),ABS('Mail Merge'!$M593),'Mail Merge'!$Q593),0)</f>
        <v>0</v>
      </c>
      <c r="V593" s="201" t="str">
        <f>IF(OR(IFERROR(SEARCH("Met",'Mail Merge'!$N593),0)&gt;0,IFERROR(SEARCH("Met",'Mail Merge'!$I593),0)&gt;0),"Met","Not Met")</f>
        <v>Not Met</v>
      </c>
    </row>
    <row r="594" spans="1:22" x14ac:dyDescent="0.35">
      <c r="A594" s="198" t="s">
        <v>17</v>
      </c>
      <c r="B594" s="199">
        <v>2113</v>
      </c>
      <c r="C594" s="199" t="s">
        <v>31</v>
      </c>
      <c r="D594" s="199">
        <v>33</v>
      </c>
      <c r="E594" s="199">
        <v>199283.56</v>
      </c>
      <c r="F594" s="199">
        <v>72325.38</v>
      </c>
      <c r="G594" s="199">
        <f>'Mail Merge'!$E594+'Mail Merge'!$F594</f>
        <v>271608.94</v>
      </c>
      <c r="H594" s="199">
        <v>0</v>
      </c>
      <c r="I594" s="199" t="s">
        <v>241</v>
      </c>
      <c r="J594" s="199">
        <f>IFERROR('Mail Merge'!$E594/'Mail Merge'!$D594,0)</f>
        <v>6038.8957575757577</v>
      </c>
      <c r="K594" s="199">
        <f>IFERROR('Mail Merge'!$F594/'Mail Merge'!$D594,0)</f>
        <v>2191.6781818181821</v>
      </c>
      <c r="L594" s="199">
        <f>IFERROR('Mail Merge'!$G594/'Mail Merge'!$D594,0)</f>
        <v>8230.5739393939402</v>
      </c>
      <c r="M594" s="199">
        <v>0</v>
      </c>
      <c r="N594" s="199" t="s">
        <v>241</v>
      </c>
      <c r="O594" s="199">
        <v>43330.62</v>
      </c>
      <c r="P594" s="199">
        <v>0</v>
      </c>
      <c r="Q594" s="199">
        <f>'Mail Merge'!$O594+'Mail Merge'!$P594</f>
        <v>43330.62</v>
      </c>
      <c r="R594" s="199"/>
      <c r="S594" s="199"/>
      <c r="T594" s="199"/>
      <c r="U594" s="199">
        <f>IF(AND('Mail Merge'!$I594="Did Not Meet",'Mail Merge'!$N594="Did Not Meet"),MIN(ABS('Mail Merge'!$H594),ABS('Mail Merge'!$M594),'Mail Merge'!$Q594),0)</f>
        <v>0</v>
      </c>
      <c r="V594" s="199" t="str">
        <f>IF(OR(IFERROR(SEARCH("Met",'Mail Merge'!$N594),0)&gt;0,IFERROR(SEARCH("Met",'Mail Merge'!$I594),0)&gt;0),"Met","Not Met")</f>
        <v>Met</v>
      </c>
    </row>
    <row r="595" spans="1:22" x14ac:dyDescent="0.35">
      <c r="A595" s="200" t="s">
        <v>20</v>
      </c>
      <c r="B595" s="201">
        <v>1899</v>
      </c>
      <c r="C595" s="201" t="s">
        <v>31</v>
      </c>
      <c r="D595" s="201">
        <v>21</v>
      </c>
      <c r="E595" s="201">
        <v>197116.28</v>
      </c>
      <c r="F595" s="201">
        <v>14068</v>
      </c>
      <c r="G595" s="201">
        <f>'Mail Merge'!$E595+'Mail Merge'!$F595</f>
        <v>211184.28</v>
      </c>
      <c r="H595" s="201">
        <v>0</v>
      </c>
      <c r="I595" s="201" t="s">
        <v>241</v>
      </c>
      <c r="J595" s="201">
        <f>IFERROR('Mail Merge'!$E595/'Mail Merge'!$D595,0)</f>
        <v>9386.4895238095232</v>
      </c>
      <c r="K595" s="201">
        <f>IFERROR('Mail Merge'!$F595/'Mail Merge'!$D595,0)</f>
        <v>669.90476190476193</v>
      </c>
      <c r="L595" s="201">
        <f>IFERROR('Mail Merge'!$G595/'Mail Merge'!$D595,0)</f>
        <v>10056.394285714287</v>
      </c>
      <c r="M595" s="201">
        <v>0</v>
      </c>
      <c r="N595" s="201" t="s">
        <v>241</v>
      </c>
      <c r="O595" s="201">
        <v>27179.23</v>
      </c>
      <c r="P595" s="201">
        <v>1120.72</v>
      </c>
      <c r="Q595" s="201">
        <f>'Mail Merge'!$O595+'Mail Merge'!$P595</f>
        <v>28299.95</v>
      </c>
      <c r="R595" s="201"/>
      <c r="S595" s="201"/>
      <c r="T595" s="201"/>
      <c r="U595" s="201">
        <f>IF(AND('Mail Merge'!$I595="Did Not Meet",'Mail Merge'!$N595="Did Not Meet"),MIN(ABS('Mail Merge'!$H595),ABS('Mail Merge'!$M595),'Mail Merge'!$Q595),0)</f>
        <v>0</v>
      </c>
      <c r="V595" s="201" t="str">
        <f>IF(OR(IFERROR(SEARCH("Met",'Mail Merge'!$N595),0)&gt;0,IFERROR(SEARCH("Met",'Mail Merge'!$I595),0)&gt;0),"Met","Not Met")</f>
        <v>Met</v>
      </c>
    </row>
    <row r="596" spans="1:22" x14ac:dyDescent="0.35">
      <c r="A596" s="198" t="s">
        <v>21</v>
      </c>
      <c r="B596" s="199">
        <v>2252</v>
      </c>
      <c r="C596" s="199" t="s">
        <v>31</v>
      </c>
      <c r="D596" s="199">
        <v>108</v>
      </c>
      <c r="E596" s="199">
        <v>634375.93999999994</v>
      </c>
      <c r="F596" s="199">
        <v>139515.54999999999</v>
      </c>
      <c r="G596" s="199">
        <f>'Mail Merge'!$E596+'Mail Merge'!$F596</f>
        <v>773891.49</v>
      </c>
      <c r="H596" s="199">
        <v>0</v>
      </c>
      <c r="I596" s="199" t="s">
        <v>241</v>
      </c>
      <c r="J596" s="199">
        <f>IFERROR('Mail Merge'!$E596/'Mail Merge'!$D596,0)</f>
        <v>5873.8512962962959</v>
      </c>
      <c r="K596" s="199">
        <f>IFERROR('Mail Merge'!$F596/'Mail Merge'!$D596,0)</f>
        <v>1291.8106481481479</v>
      </c>
      <c r="L596" s="199">
        <f>IFERROR('Mail Merge'!$G596/'Mail Merge'!$D596,0)</f>
        <v>7165.6619444444441</v>
      </c>
      <c r="M596" s="199">
        <v>0</v>
      </c>
      <c r="N596" s="199" t="s">
        <v>240</v>
      </c>
      <c r="O596" s="199">
        <v>145481.56</v>
      </c>
      <c r="P596" s="199">
        <v>2490.5</v>
      </c>
      <c r="Q596" s="199">
        <f>'Mail Merge'!$O596+'Mail Merge'!$P596</f>
        <v>147972.06</v>
      </c>
      <c r="R596" s="199"/>
      <c r="S596" s="199"/>
      <c r="T596" s="199"/>
      <c r="U596" s="199">
        <f>IF(AND('Mail Merge'!$I596="Did Not Meet",'Mail Merge'!$N596="Did Not Meet"),MIN(ABS('Mail Merge'!$H596),ABS('Mail Merge'!$M596),'Mail Merge'!$Q596),0)</f>
        <v>0</v>
      </c>
      <c r="V596" s="199" t="str">
        <f>IF(OR(IFERROR(SEARCH("Met",'Mail Merge'!$N596),0)&gt;0,IFERROR(SEARCH("Met",'Mail Merge'!$I596),0)&gt;0),"Met","Not Met")</f>
        <v>Met</v>
      </c>
    </row>
    <row r="597" spans="1:22" x14ac:dyDescent="0.35">
      <c r="A597" s="200" t="s">
        <v>23</v>
      </c>
      <c r="B597" s="201">
        <v>2111</v>
      </c>
      <c r="C597" s="201" t="s">
        <v>31</v>
      </c>
      <c r="D597" s="201">
        <v>8</v>
      </c>
      <c r="E597" s="201">
        <v>9473.66</v>
      </c>
      <c r="F597" s="201">
        <v>9983.07</v>
      </c>
      <c r="G597" s="201">
        <f>'Mail Merge'!$E597+'Mail Merge'!$F597</f>
        <v>19456.73</v>
      </c>
      <c r="H597" s="201">
        <v>0</v>
      </c>
      <c r="I597" s="201" t="s">
        <v>240</v>
      </c>
      <c r="J597" s="201">
        <f>IFERROR('Mail Merge'!$E597/'Mail Merge'!$D597,0)</f>
        <v>1184.2075</v>
      </c>
      <c r="K597" s="201">
        <f>IFERROR('Mail Merge'!$F597/'Mail Merge'!$D597,0)</f>
        <v>1247.88375</v>
      </c>
      <c r="L597" s="201">
        <f>IFERROR('Mail Merge'!$G597/'Mail Merge'!$D597,0)</f>
        <v>2432.0912499999999</v>
      </c>
      <c r="M597" s="201">
        <v>0</v>
      </c>
      <c r="N597" s="201" t="s">
        <v>240</v>
      </c>
      <c r="O597" s="201">
        <v>17760.689999999999</v>
      </c>
      <c r="P597" s="201">
        <v>0</v>
      </c>
      <c r="Q597" s="201">
        <f>'Mail Merge'!$O597+'Mail Merge'!$P597</f>
        <v>17760.689999999999</v>
      </c>
      <c r="R597" s="201"/>
      <c r="S597" s="201"/>
      <c r="T597" s="201"/>
      <c r="U597" s="201">
        <f>IF(AND('Mail Merge'!$I597="Did Not Meet",'Mail Merge'!$N597="Did Not Meet"),MIN(ABS('Mail Merge'!$H597),ABS('Mail Merge'!$M597),'Mail Merge'!$Q597),0)</f>
        <v>0</v>
      </c>
      <c r="V597" s="201" t="str">
        <f>IF(OR(IFERROR(SEARCH("Met",'Mail Merge'!$N597),0)&gt;0,IFERROR(SEARCH("Met",'Mail Merge'!$I597),0)&gt;0),"Met","Not Met")</f>
        <v>Not Met</v>
      </c>
    </row>
    <row r="598" spans="1:22" x14ac:dyDescent="0.35">
      <c r="A598" s="198" t="s">
        <v>24</v>
      </c>
      <c r="B598" s="199">
        <v>2005</v>
      </c>
      <c r="C598" s="199" t="s">
        <v>31</v>
      </c>
      <c r="D598" s="199">
        <v>24</v>
      </c>
      <c r="E598" s="199">
        <v>32300.14</v>
      </c>
      <c r="F598" s="199">
        <v>77186</v>
      </c>
      <c r="G598" s="199">
        <f>'Mail Merge'!$E598+'Mail Merge'!$F598</f>
        <v>109486.14</v>
      </c>
      <c r="H598" s="199">
        <v>0</v>
      </c>
      <c r="I598" s="199" t="s">
        <v>240</v>
      </c>
      <c r="J598" s="199">
        <f>IFERROR('Mail Merge'!$E598/'Mail Merge'!$D598,0)</f>
        <v>1345.8391666666666</v>
      </c>
      <c r="K598" s="199">
        <f>IFERROR('Mail Merge'!$F598/'Mail Merge'!$D598,0)</f>
        <v>3216.0833333333335</v>
      </c>
      <c r="L598" s="199">
        <f>IFERROR('Mail Merge'!$G598/'Mail Merge'!$D598,0)</f>
        <v>4561.9224999999997</v>
      </c>
      <c r="M598" s="199">
        <v>0</v>
      </c>
      <c r="N598" s="199" t="s">
        <v>240</v>
      </c>
      <c r="O598" s="199">
        <v>23213.8</v>
      </c>
      <c r="P598" s="199">
        <v>0</v>
      </c>
      <c r="Q598" s="199">
        <f>'Mail Merge'!$O598+'Mail Merge'!$P598</f>
        <v>23213.8</v>
      </c>
      <c r="R598" s="199"/>
      <c r="S598" s="199"/>
      <c r="T598" s="199"/>
      <c r="U598" s="199">
        <f>IF(AND('Mail Merge'!$I598="Did Not Meet",'Mail Merge'!$N598="Did Not Meet"),MIN(ABS('Mail Merge'!$H598),ABS('Mail Merge'!$M598),'Mail Merge'!$Q598),0)</f>
        <v>0</v>
      </c>
      <c r="V598" s="199" t="str">
        <f>IF(OR(IFERROR(SEARCH("Met",'Mail Merge'!$N598),0)&gt;0,IFERROR(SEARCH("Met",'Mail Merge'!$I598),0)&gt;0),"Met","Not Met")</f>
        <v>Not Met</v>
      </c>
    </row>
    <row r="599" spans="1:22" x14ac:dyDescent="0.35">
      <c r="A599" s="200" t="s">
        <v>25</v>
      </c>
      <c r="B599" s="201">
        <v>2115</v>
      </c>
      <c r="C599" s="201" t="s">
        <v>31</v>
      </c>
      <c r="D599" s="201">
        <v>0</v>
      </c>
      <c r="E599" s="201">
        <v>0</v>
      </c>
      <c r="F599" s="201">
        <v>1252.58</v>
      </c>
      <c r="G599" s="201">
        <f>'Mail Merge'!$E599+'Mail Merge'!$F599</f>
        <v>1252.58</v>
      </c>
      <c r="H599" s="201">
        <v>0</v>
      </c>
      <c r="I599" s="201" t="s">
        <v>240</v>
      </c>
      <c r="J599" s="201">
        <f>IFERROR('Mail Merge'!$E599/'Mail Merge'!$D599,0)</f>
        <v>0</v>
      </c>
      <c r="K599" s="201">
        <f>IFERROR('Mail Merge'!$F599/'Mail Merge'!$D599,0)</f>
        <v>0</v>
      </c>
      <c r="L599" s="201">
        <f>IFERROR('Mail Merge'!$G599/'Mail Merge'!$D599,0)</f>
        <v>0</v>
      </c>
      <c r="M599" s="201">
        <v>0</v>
      </c>
      <c r="N599" s="201" t="s">
        <v>241</v>
      </c>
      <c r="O599" s="201">
        <v>2663.36</v>
      </c>
      <c r="P599" s="201">
        <v>0</v>
      </c>
      <c r="Q599" s="201">
        <f>'Mail Merge'!$O599+'Mail Merge'!$P599</f>
        <v>2663.36</v>
      </c>
      <c r="R599" s="201"/>
      <c r="S599" s="201"/>
      <c r="T599" s="201"/>
      <c r="U599" s="201">
        <f>IF(AND('Mail Merge'!$I599="Did Not Meet",'Mail Merge'!$N599="Did Not Meet"),MIN(ABS('Mail Merge'!$H599),ABS('Mail Merge'!$M599),'Mail Merge'!$Q599),0)</f>
        <v>0</v>
      </c>
      <c r="V599" s="201" t="str">
        <f>IF(OR(IFERROR(SEARCH("Met",'Mail Merge'!$N599),0)&gt;0,IFERROR(SEARCH("Met",'Mail Merge'!$I599),0)&gt;0),"Met","Not Met")</f>
        <v>Met</v>
      </c>
    </row>
    <row r="600" spans="1:22" x14ac:dyDescent="0.35">
      <c r="A600" s="198" t="s">
        <v>26</v>
      </c>
      <c r="B600" s="199">
        <v>2041</v>
      </c>
      <c r="C600" s="199" t="s">
        <v>31</v>
      </c>
      <c r="D600" s="199">
        <v>325</v>
      </c>
      <c r="E600" s="199">
        <v>2055739.72</v>
      </c>
      <c r="F600" s="199">
        <v>409545.2</v>
      </c>
      <c r="G600" s="199">
        <f>'Mail Merge'!$E600+'Mail Merge'!$F600</f>
        <v>2465284.92</v>
      </c>
      <c r="H600" s="199">
        <v>0</v>
      </c>
      <c r="I600" s="199" t="s">
        <v>241</v>
      </c>
      <c r="J600" s="199">
        <f>IFERROR('Mail Merge'!$E600/'Mail Merge'!$D600,0)</f>
        <v>6325.3529846153842</v>
      </c>
      <c r="K600" s="199">
        <f>IFERROR('Mail Merge'!$F600/'Mail Merge'!$D600,0)</f>
        <v>1260.139076923077</v>
      </c>
      <c r="L600" s="199">
        <f>IFERROR('Mail Merge'!$G600/'Mail Merge'!$D600,0)</f>
        <v>7585.4920615384617</v>
      </c>
      <c r="M600" s="199">
        <v>0</v>
      </c>
      <c r="N600" s="199" t="s">
        <v>241</v>
      </c>
      <c r="O600" s="199">
        <v>420629.8</v>
      </c>
      <c r="P600" s="199">
        <v>3296.26</v>
      </c>
      <c r="Q600" s="199">
        <f>'Mail Merge'!$O600+'Mail Merge'!$P600</f>
        <v>423926.06</v>
      </c>
      <c r="R600" s="199"/>
      <c r="S600" s="199"/>
      <c r="T600" s="199"/>
      <c r="U600" s="199">
        <f>IF(AND('Mail Merge'!$I600="Did Not Meet",'Mail Merge'!$N600="Did Not Meet"),MIN(ABS('Mail Merge'!$H600),ABS('Mail Merge'!$M600),'Mail Merge'!$Q600),0)</f>
        <v>0</v>
      </c>
      <c r="V600" s="199" t="str">
        <f>IF(OR(IFERROR(SEARCH("Met",'Mail Merge'!$N600),0)&gt;0,IFERROR(SEARCH("Met",'Mail Merge'!$I600),0)&gt;0),"Met","Not Met")</f>
        <v>Met</v>
      </c>
    </row>
    <row r="601" spans="1:22" x14ac:dyDescent="0.35">
      <c r="A601" s="200" t="s">
        <v>27</v>
      </c>
      <c r="B601" s="201">
        <v>2051</v>
      </c>
      <c r="C601" s="201" t="s">
        <v>31</v>
      </c>
      <c r="D601" s="201">
        <v>0</v>
      </c>
      <c r="E601" s="201">
        <v>0</v>
      </c>
      <c r="F601" s="201">
        <v>8354.9</v>
      </c>
      <c r="G601" s="201">
        <f>'Mail Merge'!$E601+'Mail Merge'!$F601</f>
        <v>8354.9</v>
      </c>
      <c r="H601" s="201">
        <v>0</v>
      </c>
      <c r="I601" s="201" t="s">
        <v>241</v>
      </c>
      <c r="J601" s="201">
        <f>IFERROR('Mail Merge'!$E601/'Mail Merge'!$D601,0)</f>
        <v>0</v>
      </c>
      <c r="K601" s="201">
        <f>IFERROR('Mail Merge'!$F601/'Mail Merge'!$D601,0)</f>
        <v>0</v>
      </c>
      <c r="L601" s="201">
        <f>IFERROR('Mail Merge'!$G601/'Mail Merge'!$D601,0)</f>
        <v>0</v>
      </c>
      <c r="M601" s="201">
        <v>0</v>
      </c>
      <c r="N601" s="201" t="s">
        <v>241</v>
      </c>
      <c r="O601" s="201">
        <v>1154.52</v>
      </c>
      <c r="P601" s="201">
        <v>0</v>
      </c>
      <c r="Q601" s="201">
        <f>'Mail Merge'!$O601+'Mail Merge'!$P601</f>
        <v>1154.52</v>
      </c>
      <c r="R601" s="201"/>
      <c r="S601" s="201"/>
      <c r="T601" s="201"/>
      <c r="U601" s="201">
        <f>IF(AND('Mail Merge'!$I601="Did Not Meet",'Mail Merge'!$N601="Did Not Meet"),MIN(ABS('Mail Merge'!$H601),ABS('Mail Merge'!$M601),'Mail Merge'!$Q601),0)</f>
        <v>0</v>
      </c>
      <c r="V601" s="201" t="str">
        <f>IF(OR(IFERROR(SEARCH("Met",'Mail Merge'!$N601),0)&gt;0,IFERROR(SEARCH("Met",'Mail Merge'!$I601),0)&gt;0),"Met","Not Met")</f>
        <v>Met</v>
      </c>
    </row>
    <row r="602" spans="1:22" x14ac:dyDescent="0.35">
      <c r="A602" s="198" t="s">
        <v>28</v>
      </c>
      <c r="B602" s="199">
        <v>1933</v>
      </c>
      <c r="C602" s="199" t="s">
        <v>31</v>
      </c>
      <c r="D602" s="199">
        <v>276</v>
      </c>
      <c r="E602" s="199">
        <v>1978954.56</v>
      </c>
      <c r="F602" s="199">
        <v>416884</v>
      </c>
      <c r="G602" s="199">
        <f>'Mail Merge'!$E602+'Mail Merge'!$F602</f>
        <v>2395838.56</v>
      </c>
      <c r="H602" s="199">
        <v>0</v>
      </c>
      <c r="I602" s="199" t="s">
        <v>241</v>
      </c>
      <c r="J602" s="199">
        <f>IFERROR('Mail Merge'!$E602/'Mail Merge'!$D602,0)</f>
        <v>7170.1252173913044</v>
      </c>
      <c r="K602" s="199">
        <f>IFERROR('Mail Merge'!$F602/'Mail Merge'!$D602,0)</f>
        <v>1510.4492753623188</v>
      </c>
      <c r="L602" s="199">
        <f>IFERROR('Mail Merge'!$G602/'Mail Merge'!$D602,0)</f>
        <v>8680.5744927536234</v>
      </c>
      <c r="M602" s="199">
        <v>0</v>
      </c>
      <c r="N602" s="199" t="s">
        <v>240</v>
      </c>
      <c r="O602" s="199">
        <v>247815.43</v>
      </c>
      <c r="P602" s="199">
        <v>2197.5100000000002</v>
      </c>
      <c r="Q602" s="199">
        <f>'Mail Merge'!$O602+'Mail Merge'!$P602</f>
        <v>250012.94</v>
      </c>
      <c r="R602" s="199"/>
      <c r="S602" s="199"/>
      <c r="T602" s="199"/>
      <c r="U602" s="199">
        <f>IF(AND('Mail Merge'!$I602="Did Not Meet",'Mail Merge'!$N602="Did Not Meet"),MIN(ABS('Mail Merge'!$H602),ABS('Mail Merge'!$M602),'Mail Merge'!$Q602),0)</f>
        <v>0</v>
      </c>
      <c r="V602" s="199" t="str">
        <f>IF(OR(IFERROR(SEARCH("Met",'Mail Merge'!$N602),0)&gt;0,IFERROR(SEARCH("Met",'Mail Merge'!$I602),0)&gt;0),"Met","Not Met")</f>
        <v>Met</v>
      </c>
    </row>
    <row r="603" spans="1:22" x14ac:dyDescent="0.35">
      <c r="A603" s="200" t="s">
        <v>29</v>
      </c>
      <c r="B603" s="201">
        <v>2208</v>
      </c>
      <c r="C603" s="201" t="s">
        <v>31</v>
      </c>
      <c r="D603" s="201">
        <v>75</v>
      </c>
      <c r="E603" s="201">
        <v>343400.56</v>
      </c>
      <c r="F603" s="201">
        <v>120248.39</v>
      </c>
      <c r="G603" s="201">
        <f>'Mail Merge'!$E603+'Mail Merge'!$F603</f>
        <v>463648.95</v>
      </c>
      <c r="H603" s="201">
        <v>0</v>
      </c>
      <c r="I603" s="201" t="s">
        <v>241</v>
      </c>
      <c r="J603" s="201">
        <f>IFERROR('Mail Merge'!$E603/'Mail Merge'!$D603,0)</f>
        <v>4578.674133333333</v>
      </c>
      <c r="K603" s="201">
        <f>IFERROR('Mail Merge'!$F603/'Mail Merge'!$D603,0)</f>
        <v>1603.3118666666667</v>
      </c>
      <c r="L603" s="201">
        <f>IFERROR('Mail Merge'!$G603/'Mail Merge'!$D603,0)</f>
        <v>6181.9859999999999</v>
      </c>
      <c r="M603" s="201">
        <v>0</v>
      </c>
      <c r="N603" s="201" t="s">
        <v>241</v>
      </c>
      <c r="O603" s="201">
        <v>92225.52</v>
      </c>
      <c r="P603" s="201">
        <v>1867.88</v>
      </c>
      <c r="Q603" s="201">
        <f>'Mail Merge'!$O603+'Mail Merge'!$P603</f>
        <v>94093.400000000009</v>
      </c>
      <c r="R603" s="201"/>
      <c r="S603" s="201"/>
      <c r="T603" s="201"/>
      <c r="U603" s="201">
        <f>IF(AND('Mail Merge'!$I603="Did Not Meet",'Mail Merge'!$N603="Did Not Meet"),MIN(ABS('Mail Merge'!$H603),ABS('Mail Merge'!$M603),'Mail Merge'!$Q603),0)</f>
        <v>0</v>
      </c>
      <c r="V603" s="201" t="str">
        <f>IF(OR(IFERROR(SEARCH("Met",'Mail Merge'!$N603),0)&gt;0,IFERROR(SEARCH("Met",'Mail Merge'!$I603),0)&gt;0),"Met","Not Met")</f>
        <v>Met</v>
      </c>
    </row>
    <row r="604" spans="1:22" x14ac:dyDescent="0.35">
      <c r="A604" s="198" t="s">
        <v>30</v>
      </c>
      <c r="B604" s="199">
        <v>1894</v>
      </c>
      <c r="C604" s="199" t="s">
        <v>31</v>
      </c>
      <c r="D604" s="199">
        <v>281</v>
      </c>
      <c r="E604" s="199">
        <v>2156425.85</v>
      </c>
      <c r="F604" s="199">
        <v>0</v>
      </c>
      <c r="G604" s="199">
        <f>'Mail Merge'!$E604+'Mail Merge'!$F604</f>
        <v>2156425.85</v>
      </c>
      <c r="H604" s="199">
        <v>0</v>
      </c>
      <c r="I604" s="199" t="s">
        <v>241</v>
      </c>
      <c r="J604" s="199">
        <f>IFERROR('Mail Merge'!$E604/'Mail Merge'!$D604,0)</f>
        <v>7674.1133451957303</v>
      </c>
      <c r="K604" s="199">
        <f>IFERROR('Mail Merge'!$F604/'Mail Merge'!$D604,0)</f>
        <v>0</v>
      </c>
      <c r="L604" s="199">
        <f>IFERROR('Mail Merge'!$G604/'Mail Merge'!$D604,0)</f>
        <v>7674.1133451957303</v>
      </c>
      <c r="M604" s="199">
        <v>0</v>
      </c>
      <c r="N604" s="199" t="s">
        <v>241</v>
      </c>
      <c r="O604" s="199">
        <v>359068.5</v>
      </c>
      <c r="P604" s="199">
        <v>3693.31</v>
      </c>
      <c r="Q604" s="199">
        <f>'Mail Merge'!$O604+'Mail Merge'!$P604</f>
        <v>362761.81</v>
      </c>
      <c r="R604" s="199"/>
      <c r="S604" s="199"/>
      <c r="T604" s="199"/>
      <c r="U604" s="199">
        <f>IF(AND('Mail Merge'!$I604="Did Not Meet",'Mail Merge'!$N604="Did Not Meet"),MIN(ABS('Mail Merge'!$H604),ABS('Mail Merge'!$M604),'Mail Merge'!$Q604),0)</f>
        <v>0</v>
      </c>
      <c r="V604" s="199" t="str">
        <f>IF(OR(IFERROR(SEARCH("Met",'Mail Merge'!$N604),0)&gt;0,IFERROR(SEARCH("Met",'Mail Merge'!$I604),0)&gt;0),"Met","Not Met")</f>
        <v>Met</v>
      </c>
    </row>
    <row r="605" spans="1:22" x14ac:dyDescent="0.35">
      <c r="A605" s="200" t="s">
        <v>32</v>
      </c>
      <c r="B605" s="201">
        <v>1969</v>
      </c>
      <c r="C605" s="201" t="s">
        <v>31</v>
      </c>
      <c r="D605" s="201">
        <v>85</v>
      </c>
      <c r="E605" s="201">
        <v>565455.96</v>
      </c>
      <c r="F605" s="201">
        <v>526574</v>
      </c>
      <c r="G605" s="201">
        <f>'Mail Merge'!$E605+'Mail Merge'!$F605</f>
        <v>1092029.96</v>
      </c>
      <c r="H605" s="201">
        <v>0</v>
      </c>
      <c r="I605" s="201" t="s">
        <v>242</v>
      </c>
      <c r="J605" s="201">
        <f>IFERROR('Mail Merge'!$E605/'Mail Merge'!$D605,0)</f>
        <v>6652.4230588235287</v>
      </c>
      <c r="K605" s="201">
        <f>IFERROR('Mail Merge'!$F605/'Mail Merge'!$D605,0)</f>
        <v>6194.9882352941177</v>
      </c>
      <c r="L605" s="201">
        <f>IFERROR('Mail Merge'!$G605/'Mail Merge'!$D605,0)</f>
        <v>12847.411294117646</v>
      </c>
      <c r="M605" s="201">
        <v>0</v>
      </c>
      <c r="N605" s="201" t="s">
        <v>241</v>
      </c>
      <c r="O605" s="201">
        <v>136961.57999999999</v>
      </c>
      <c r="P605" s="201">
        <v>1926.25</v>
      </c>
      <c r="Q605" s="201">
        <f>'Mail Merge'!$O605+'Mail Merge'!$P605</f>
        <v>138887.82999999999</v>
      </c>
      <c r="R605" s="201"/>
      <c r="S605" s="201">
        <v>74466.09</v>
      </c>
      <c r="T605" s="201">
        <v>74466.09</v>
      </c>
      <c r="U605" s="201">
        <f>IF(AND('Mail Merge'!$I605="Did Not Meet",'Mail Merge'!$N605="Did Not Meet"),MIN(ABS('Mail Merge'!$H605),ABS('Mail Merge'!$M605),'Mail Merge'!$Q605),0)</f>
        <v>0</v>
      </c>
      <c r="V605" s="201" t="str">
        <f>IF(OR(IFERROR(SEARCH("Met",'Mail Merge'!$N605),0)&gt;0,IFERROR(SEARCH("Met",'Mail Merge'!$I605),0)&gt;0),"Met","Not Met")</f>
        <v>Met</v>
      </c>
    </row>
    <row r="606" spans="1:22" x14ac:dyDescent="0.35">
      <c r="A606" s="198" t="s">
        <v>33</v>
      </c>
      <c r="B606" s="199">
        <v>2240</v>
      </c>
      <c r="C606" s="199" t="s">
        <v>31</v>
      </c>
      <c r="D606" s="199">
        <v>159</v>
      </c>
      <c r="E606" s="199">
        <v>1316256.76</v>
      </c>
      <c r="F606" s="199">
        <v>267189</v>
      </c>
      <c r="G606" s="199">
        <f>'Mail Merge'!$E606+'Mail Merge'!$F606</f>
        <v>1583445.76</v>
      </c>
      <c r="H606" s="199">
        <v>0</v>
      </c>
      <c r="I606" s="199" t="s">
        <v>241</v>
      </c>
      <c r="J606" s="199">
        <f>IFERROR('Mail Merge'!$E606/'Mail Merge'!$D606,0)</f>
        <v>8278.3444025157241</v>
      </c>
      <c r="K606" s="199">
        <f>IFERROR('Mail Merge'!$F606/'Mail Merge'!$D606,0)</f>
        <v>1680.433962264151</v>
      </c>
      <c r="L606" s="199">
        <f>IFERROR('Mail Merge'!$G606/'Mail Merge'!$D606,0)</f>
        <v>9958.7783647798751</v>
      </c>
      <c r="M606" s="199">
        <v>0</v>
      </c>
      <c r="N606" s="199" t="s">
        <v>240</v>
      </c>
      <c r="O606" s="199">
        <v>182155.81</v>
      </c>
      <c r="P606" s="199">
        <v>700.46</v>
      </c>
      <c r="Q606" s="199">
        <f>'Mail Merge'!$O606+'Mail Merge'!$P606</f>
        <v>182856.27</v>
      </c>
      <c r="R606" s="199"/>
      <c r="S606" s="199"/>
      <c r="T606" s="199"/>
      <c r="U606" s="199">
        <f>IF(AND('Mail Merge'!$I606="Did Not Meet",'Mail Merge'!$N606="Did Not Meet"),MIN(ABS('Mail Merge'!$H606),ABS('Mail Merge'!$M606),'Mail Merge'!$Q606),0)</f>
        <v>0</v>
      </c>
      <c r="V606" s="199" t="str">
        <f>IF(OR(IFERROR(SEARCH("Met",'Mail Merge'!$N606),0)&gt;0,IFERROR(SEARCH("Met",'Mail Merge'!$I606),0)&gt;0),"Met","Not Met")</f>
        <v>Met</v>
      </c>
    </row>
    <row r="607" spans="1:22" x14ac:dyDescent="0.35">
      <c r="A607" s="200" t="s">
        <v>34</v>
      </c>
      <c r="B607" s="201">
        <v>2243</v>
      </c>
      <c r="C607" s="201" t="s">
        <v>31</v>
      </c>
      <c r="D607" s="201">
        <v>4878</v>
      </c>
      <c r="E607" s="201">
        <v>45337082.700000003</v>
      </c>
      <c r="F607" s="201">
        <v>3779043</v>
      </c>
      <c r="G607" s="201">
        <f>'Mail Merge'!$E607+'Mail Merge'!$F607</f>
        <v>49116125.700000003</v>
      </c>
      <c r="H607" s="201">
        <v>0</v>
      </c>
      <c r="I607" s="201" t="s">
        <v>241</v>
      </c>
      <c r="J607" s="201">
        <f>IFERROR('Mail Merge'!$E607/'Mail Merge'!$D607,0)</f>
        <v>9294.1948954489544</v>
      </c>
      <c r="K607" s="201">
        <f>IFERROR('Mail Merge'!$F607/'Mail Merge'!$D607,0)</f>
        <v>774.71156211562118</v>
      </c>
      <c r="L607" s="201">
        <f>IFERROR('Mail Merge'!$G607/'Mail Merge'!$D607,0)</f>
        <v>10068.906457564577</v>
      </c>
      <c r="M607" s="201">
        <v>0</v>
      </c>
      <c r="N607" s="201" t="s">
        <v>241</v>
      </c>
      <c r="O607" s="201">
        <v>6214263.71</v>
      </c>
      <c r="P607" s="201">
        <v>24778.76</v>
      </c>
      <c r="Q607" s="201">
        <f>'Mail Merge'!$O607+'Mail Merge'!$P607</f>
        <v>6239042.4699999997</v>
      </c>
      <c r="R607" s="201"/>
      <c r="S607" s="201"/>
      <c r="T607" s="201"/>
      <c r="U607" s="201">
        <f>IF(AND('Mail Merge'!$I607="Did Not Meet",'Mail Merge'!$N607="Did Not Meet"),MIN(ABS('Mail Merge'!$H607),ABS('Mail Merge'!$M607),'Mail Merge'!$Q607),0)</f>
        <v>0</v>
      </c>
      <c r="V607" s="201" t="str">
        <f>IF(OR(IFERROR(SEARCH("Met",'Mail Merge'!$N607),0)&gt;0,IFERROR(SEARCH("Met",'Mail Merge'!$I607),0)&gt;0),"Met","Not Met")</f>
        <v>Met</v>
      </c>
    </row>
    <row r="608" spans="1:22" x14ac:dyDescent="0.35">
      <c r="A608" s="198" t="s">
        <v>35</v>
      </c>
      <c r="B608" s="199">
        <v>1976</v>
      </c>
      <c r="C608" s="199" t="s">
        <v>31</v>
      </c>
      <c r="D608" s="199">
        <v>2020</v>
      </c>
      <c r="E608" s="199">
        <v>17187057</v>
      </c>
      <c r="F608" s="199">
        <v>2692128.05</v>
      </c>
      <c r="G608" s="199">
        <f>'Mail Merge'!$E608+'Mail Merge'!$F608</f>
        <v>19879185.050000001</v>
      </c>
      <c r="H608" s="199">
        <v>0</v>
      </c>
      <c r="I608" s="199" t="s">
        <v>241</v>
      </c>
      <c r="J608" s="199">
        <f>IFERROR('Mail Merge'!$E608/'Mail Merge'!$D608,0)</f>
        <v>8508.4440594059397</v>
      </c>
      <c r="K608" s="199">
        <f>IFERROR('Mail Merge'!$F608/'Mail Merge'!$D608,0)</f>
        <v>1332.7366584158415</v>
      </c>
      <c r="L608" s="199">
        <f>IFERROR('Mail Merge'!$G608/'Mail Merge'!$D608,0)</f>
        <v>9841.1807178217823</v>
      </c>
      <c r="M608" s="199">
        <v>0</v>
      </c>
      <c r="N608" s="199" t="s">
        <v>241</v>
      </c>
      <c r="O608" s="199">
        <v>2503100.92</v>
      </c>
      <c r="P608" s="199">
        <v>15923.69</v>
      </c>
      <c r="Q608" s="199">
        <f>'Mail Merge'!$O608+'Mail Merge'!$P608</f>
        <v>2519024.61</v>
      </c>
      <c r="R608" s="199"/>
      <c r="S608" s="199"/>
      <c r="T608" s="199"/>
      <c r="U608" s="199">
        <f>IF(AND('Mail Merge'!$I608="Did Not Meet",'Mail Merge'!$N608="Did Not Meet"),MIN(ABS('Mail Merge'!$H608),ABS('Mail Merge'!$M608),'Mail Merge'!$Q608),0)</f>
        <v>0</v>
      </c>
      <c r="V608" s="199" t="str">
        <f>IF(OR(IFERROR(SEARCH("Met",'Mail Merge'!$N608),0)&gt;0,IFERROR(SEARCH("Met",'Mail Merge'!$I608),0)&gt;0),"Met","Not Met")</f>
        <v>Met</v>
      </c>
    </row>
    <row r="609" spans="1:22" x14ac:dyDescent="0.35">
      <c r="A609" s="200" t="s">
        <v>36</v>
      </c>
      <c r="B609" s="201">
        <v>2088</v>
      </c>
      <c r="C609" s="201" t="s">
        <v>31</v>
      </c>
      <c r="D609" s="201">
        <v>914</v>
      </c>
      <c r="E609" s="201">
        <v>7845532.8700000001</v>
      </c>
      <c r="F609" s="201">
        <v>899444</v>
      </c>
      <c r="G609" s="201">
        <f>'Mail Merge'!$E609+'Mail Merge'!$F609</f>
        <v>8744976.870000001</v>
      </c>
      <c r="H609" s="201">
        <v>0</v>
      </c>
      <c r="I609" s="201" t="s">
        <v>241</v>
      </c>
      <c r="J609" s="201">
        <f>IFERROR('Mail Merge'!$E609/'Mail Merge'!$D609,0)</f>
        <v>8583.7339934354495</v>
      </c>
      <c r="K609" s="201">
        <f>IFERROR('Mail Merge'!$F609/'Mail Merge'!$D609,0)</f>
        <v>984.074398249453</v>
      </c>
      <c r="L609" s="201">
        <f>IFERROR('Mail Merge'!$G609/'Mail Merge'!$D609,0)</f>
        <v>9567.8083916849027</v>
      </c>
      <c r="M609" s="201">
        <v>0</v>
      </c>
      <c r="N609" s="201" t="s">
        <v>241</v>
      </c>
      <c r="O609" s="201">
        <v>974947.16</v>
      </c>
      <c r="P609" s="201">
        <v>8338.76</v>
      </c>
      <c r="Q609" s="201">
        <f>'Mail Merge'!$O609+'Mail Merge'!$P609</f>
        <v>983285.92</v>
      </c>
      <c r="R609" s="201"/>
      <c r="S609" s="201"/>
      <c r="T609" s="201"/>
      <c r="U609" s="201">
        <f>IF(AND('Mail Merge'!$I609="Did Not Meet",'Mail Merge'!$N609="Did Not Meet"),MIN(ABS('Mail Merge'!$H609),ABS('Mail Merge'!$M609),'Mail Merge'!$Q609),0)</f>
        <v>0</v>
      </c>
      <c r="V609" s="201" t="str">
        <f>IF(OR(IFERROR(SEARCH("Met",'Mail Merge'!$N609),0)&gt;0,IFERROR(SEARCH("Met",'Mail Merge'!$I609),0)&gt;0),"Met","Not Met")</f>
        <v>Met</v>
      </c>
    </row>
    <row r="610" spans="1:22" x14ac:dyDescent="0.35">
      <c r="A610" s="198" t="s">
        <v>37</v>
      </c>
      <c r="B610" s="199">
        <v>2095</v>
      </c>
      <c r="C610" s="199" t="s">
        <v>31</v>
      </c>
      <c r="D610" s="199">
        <v>38</v>
      </c>
      <c r="E610" s="199">
        <v>237932.38</v>
      </c>
      <c r="F610" s="199">
        <v>51587</v>
      </c>
      <c r="G610" s="199">
        <f>'Mail Merge'!$E610+'Mail Merge'!$F610</f>
        <v>289519.38</v>
      </c>
      <c r="H610" s="199">
        <v>0</v>
      </c>
      <c r="I610" s="199" t="s">
        <v>241</v>
      </c>
      <c r="J610" s="199">
        <f>IFERROR('Mail Merge'!$E610/'Mail Merge'!$D610,0)</f>
        <v>6261.3784210526319</v>
      </c>
      <c r="K610" s="199">
        <f>IFERROR('Mail Merge'!$F610/'Mail Merge'!$D610,0)</f>
        <v>1357.5526315789473</v>
      </c>
      <c r="L610" s="199">
        <f>IFERROR('Mail Merge'!$G610/'Mail Merge'!$D610,0)</f>
        <v>7618.9310526315794</v>
      </c>
      <c r="M610" s="199">
        <v>0</v>
      </c>
      <c r="N610" s="199" t="s">
        <v>240</v>
      </c>
      <c r="O610" s="199">
        <v>42116.86</v>
      </c>
      <c r="P610" s="199">
        <v>466.97</v>
      </c>
      <c r="Q610" s="199">
        <f>'Mail Merge'!$O610+'Mail Merge'!$P610</f>
        <v>42583.83</v>
      </c>
      <c r="R610" s="199"/>
      <c r="S610" s="199"/>
      <c r="T610" s="199"/>
      <c r="U610" s="199">
        <f>IF(AND('Mail Merge'!$I610="Did Not Meet",'Mail Merge'!$N610="Did Not Meet"),MIN(ABS('Mail Merge'!$H610),ABS('Mail Merge'!$M610),'Mail Merge'!$Q610),0)</f>
        <v>0</v>
      </c>
      <c r="V610" s="199" t="str">
        <f>IF(OR(IFERROR(SEARCH("Met",'Mail Merge'!$N610),0)&gt;0,IFERROR(SEARCH("Met",'Mail Merge'!$I610),0)&gt;0),"Met","Not Met")</f>
        <v>Met</v>
      </c>
    </row>
    <row r="611" spans="1:22" x14ac:dyDescent="0.35">
      <c r="A611" s="200" t="s">
        <v>38</v>
      </c>
      <c r="B611" s="201">
        <v>2052</v>
      </c>
      <c r="C611" s="201" t="s">
        <v>31</v>
      </c>
      <c r="D611" s="201">
        <v>0</v>
      </c>
      <c r="E611" s="201">
        <v>2149.75</v>
      </c>
      <c r="F611" s="201">
        <v>15426.87</v>
      </c>
      <c r="G611" s="201">
        <f>'Mail Merge'!$E611+'Mail Merge'!$F611</f>
        <v>17576.620000000003</v>
      </c>
      <c r="H611" s="201">
        <v>0</v>
      </c>
      <c r="I611" s="201" t="s">
        <v>240</v>
      </c>
      <c r="J611" s="201">
        <f>IFERROR('Mail Merge'!$E611/'Mail Merge'!$D611,0)</f>
        <v>0</v>
      </c>
      <c r="K611" s="201">
        <f>IFERROR('Mail Merge'!$F611/'Mail Merge'!$D611,0)</f>
        <v>0</v>
      </c>
      <c r="L611" s="201">
        <f>IFERROR('Mail Merge'!$G611/'Mail Merge'!$D611,0)</f>
        <v>0</v>
      </c>
      <c r="M611" s="201">
        <v>0</v>
      </c>
      <c r="N611" s="201" t="s">
        <v>240</v>
      </c>
      <c r="O611" s="201">
        <v>4085.38</v>
      </c>
      <c r="P611" s="201">
        <v>0</v>
      </c>
      <c r="Q611" s="201">
        <f>'Mail Merge'!$O611+'Mail Merge'!$P611</f>
        <v>4085.38</v>
      </c>
      <c r="R611" s="201"/>
      <c r="S611" s="201"/>
      <c r="T611" s="201"/>
      <c r="U611" s="201">
        <f>IF(AND('Mail Merge'!$I611="Did Not Meet",'Mail Merge'!$N611="Did Not Meet"),MIN(ABS('Mail Merge'!$H611),ABS('Mail Merge'!$M611),'Mail Merge'!$Q611),0)</f>
        <v>0</v>
      </c>
      <c r="V611" s="201" t="str">
        <f>IF(OR(IFERROR(SEARCH("Met",'Mail Merge'!$N611),0)&gt;0,IFERROR(SEARCH("Met",'Mail Merge'!$I611),0)&gt;0),"Met","Not Met")</f>
        <v>Not Met</v>
      </c>
    </row>
    <row r="612" spans="1:22" x14ac:dyDescent="0.35">
      <c r="A612" s="198" t="s">
        <v>39</v>
      </c>
      <c r="B612" s="199">
        <v>1974</v>
      </c>
      <c r="C612" s="199" t="s">
        <v>31</v>
      </c>
      <c r="D612" s="199">
        <v>180</v>
      </c>
      <c r="E612" s="199">
        <v>1197957.83</v>
      </c>
      <c r="F612" s="199">
        <v>358513</v>
      </c>
      <c r="G612" s="199">
        <f>'Mail Merge'!$E612+'Mail Merge'!$F612</f>
        <v>1556470.83</v>
      </c>
      <c r="H612" s="199">
        <v>0</v>
      </c>
      <c r="I612" s="199" t="s">
        <v>241</v>
      </c>
      <c r="J612" s="199">
        <f>IFERROR('Mail Merge'!$E612/'Mail Merge'!$D612,0)</f>
        <v>6655.3212777777781</v>
      </c>
      <c r="K612" s="199">
        <f>IFERROR('Mail Merge'!$F612/'Mail Merge'!$D612,0)</f>
        <v>1991.7388888888888</v>
      </c>
      <c r="L612" s="199">
        <f>IFERROR('Mail Merge'!$G612/'Mail Merge'!$D612,0)</f>
        <v>8647.0601666666662</v>
      </c>
      <c r="M612" s="199">
        <v>0</v>
      </c>
      <c r="N612" s="199" t="s">
        <v>240</v>
      </c>
      <c r="O612" s="199">
        <v>239878.06</v>
      </c>
      <c r="P612" s="199">
        <v>2708.43</v>
      </c>
      <c r="Q612" s="199">
        <f>'Mail Merge'!$O612+'Mail Merge'!$P612</f>
        <v>242586.49</v>
      </c>
      <c r="R612" s="199"/>
      <c r="S612" s="199"/>
      <c r="T612" s="199"/>
      <c r="U612" s="199">
        <f>IF(AND('Mail Merge'!$I612="Did Not Meet",'Mail Merge'!$N612="Did Not Meet"),MIN(ABS('Mail Merge'!$H612),ABS('Mail Merge'!$M612),'Mail Merge'!$Q612),0)</f>
        <v>0</v>
      </c>
      <c r="V612" s="199" t="str">
        <f>IF(OR(IFERROR(SEARCH("Met",'Mail Merge'!$N612),0)&gt;0,IFERROR(SEARCH("Met",'Mail Merge'!$I612),0)&gt;0),"Met","Not Met")</f>
        <v>Met</v>
      </c>
    </row>
    <row r="613" spans="1:22" x14ac:dyDescent="0.35">
      <c r="A613" s="200" t="s">
        <v>40</v>
      </c>
      <c r="B613" s="201">
        <v>1896</v>
      </c>
      <c r="C613" s="201" t="s">
        <v>31</v>
      </c>
      <c r="D613" s="201">
        <v>2</v>
      </c>
      <c r="E613" s="201">
        <v>47036</v>
      </c>
      <c r="F613" s="201">
        <v>13863</v>
      </c>
      <c r="G613" s="201">
        <f>'Mail Merge'!$E613+'Mail Merge'!$F613</f>
        <v>60899</v>
      </c>
      <c r="H613" s="201">
        <v>0</v>
      </c>
      <c r="I613" s="201" t="s">
        <v>241</v>
      </c>
      <c r="J613" s="201">
        <f>IFERROR('Mail Merge'!$E613/'Mail Merge'!$D613,0)</f>
        <v>23518</v>
      </c>
      <c r="K613" s="201">
        <f>IFERROR('Mail Merge'!$F613/'Mail Merge'!$D613,0)</f>
        <v>6931.5</v>
      </c>
      <c r="L613" s="201">
        <f>IFERROR('Mail Merge'!$G613/'Mail Merge'!$D613,0)</f>
        <v>30449.5</v>
      </c>
      <c r="M613" s="201">
        <v>0</v>
      </c>
      <c r="N613" s="201" t="s">
        <v>241</v>
      </c>
      <c r="O613" s="201">
        <v>13243.72</v>
      </c>
      <c r="P613" s="201">
        <v>0</v>
      </c>
      <c r="Q613" s="201">
        <f>'Mail Merge'!$O613+'Mail Merge'!$P613</f>
        <v>13243.72</v>
      </c>
      <c r="R613" s="201"/>
      <c r="S613" s="201"/>
      <c r="T613" s="201"/>
      <c r="U613" s="201">
        <f>IF(AND('Mail Merge'!$I613="Did Not Meet",'Mail Merge'!$N613="Did Not Meet"),MIN(ABS('Mail Merge'!$H613),ABS('Mail Merge'!$M613),'Mail Merge'!$Q613),0)</f>
        <v>0</v>
      </c>
      <c r="V613" s="201" t="str">
        <f>IF(OR(IFERROR(SEARCH("Met",'Mail Merge'!$N613),0)&gt;0,IFERROR(SEARCH("Met",'Mail Merge'!$I613),0)&gt;0),"Met","Not Met")</f>
        <v>Met</v>
      </c>
    </row>
    <row r="614" spans="1:22" x14ac:dyDescent="0.35">
      <c r="A614" s="198" t="s">
        <v>42</v>
      </c>
      <c r="B614" s="199">
        <v>2046</v>
      </c>
      <c r="C614" s="199" t="s">
        <v>31</v>
      </c>
      <c r="D614" s="199">
        <v>28</v>
      </c>
      <c r="E614" s="199">
        <v>167155.35999999999</v>
      </c>
      <c r="F614" s="199">
        <v>53824.97</v>
      </c>
      <c r="G614" s="199">
        <f>'Mail Merge'!$E614+'Mail Merge'!$F614</f>
        <v>220980.33</v>
      </c>
      <c r="H614" s="199">
        <v>0</v>
      </c>
      <c r="I614" s="199" t="s">
        <v>241</v>
      </c>
      <c r="J614" s="199">
        <f>IFERROR('Mail Merge'!$E614/'Mail Merge'!$D614,0)</f>
        <v>5969.8342857142852</v>
      </c>
      <c r="K614" s="199">
        <f>IFERROR('Mail Merge'!$F614/'Mail Merge'!$D614,0)</f>
        <v>1922.3203571428571</v>
      </c>
      <c r="L614" s="199">
        <f>IFERROR('Mail Merge'!$G614/'Mail Merge'!$D614,0)</f>
        <v>7892.1546428571428</v>
      </c>
      <c r="M614" s="199">
        <v>0</v>
      </c>
      <c r="N614" s="199" t="s">
        <v>240</v>
      </c>
      <c r="O614" s="199">
        <v>21637.46</v>
      </c>
      <c r="P614" s="199">
        <v>155.66</v>
      </c>
      <c r="Q614" s="199">
        <f>'Mail Merge'!$O614+'Mail Merge'!$P614</f>
        <v>21793.119999999999</v>
      </c>
      <c r="R614" s="199"/>
      <c r="S614" s="199"/>
      <c r="T614" s="199"/>
      <c r="U614" s="199">
        <f>IF(AND('Mail Merge'!$I614="Did Not Meet",'Mail Merge'!$N614="Did Not Meet"),MIN(ABS('Mail Merge'!$H614),ABS('Mail Merge'!$M614),'Mail Merge'!$Q614),0)</f>
        <v>0</v>
      </c>
      <c r="V614" s="199" t="str">
        <f>IF(OR(IFERROR(SEARCH("Met",'Mail Merge'!$N614),0)&gt;0,IFERROR(SEARCH("Met",'Mail Merge'!$I614),0)&gt;0),"Met","Not Met")</f>
        <v>Met</v>
      </c>
    </row>
    <row r="615" spans="1:22" x14ac:dyDescent="0.35">
      <c r="A615" s="200" t="s">
        <v>43</v>
      </c>
      <c r="B615" s="201">
        <v>1995</v>
      </c>
      <c r="C615" s="201" t="s">
        <v>31</v>
      </c>
      <c r="D615" s="201">
        <v>33</v>
      </c>
      <c r="E615" s="201">
        <v>154869.07999999999</v>
      </c>
      <c r="F615" s="201">
        <v>46693.39</v>
      </c>
      <c r="G615" s="201">
        <f>'Mail Merge'!$E615+'Mail Merge'!$F615</f>
        <v>201562.46999999997</v>
      </c>
      <c r="H615" s="201">
        <v>0</v>
      </c>
      <c r="I615" s="201" t="s">
        <v>241</v>
      </c>
      <c r="J615" s="201">
        <f>IFERROR('Mail Merge'!$E615/'Mail Merge'!$D615,0)</f>
        <v>4693.0024242424242</v>
      </c>
      <c r="K615" s="201">
        <f>IFERROR('Mail Merge'!$F615/'Mail Merge'!$D615,0)</f>
        <v>1414.9512121212122</v>
      </c>
      <c r="L615" s="201">
        <f>IFERROR('Mail Merge'!$G615/'Mail Merge'!$D615,0)</f>
        <v>6107.9536363636353</v>
      </c>
      <c r="M615" s="201">
        <v>0</v>
      </c>
      <c r="N615" s="201" t="s">
        <v>240</v>
      </c>
      <c r="O615" s="201">
        <v>35051.83</v>
      </c>
      <c r="P615" s="201">
        <v>0</v>
      </c>
      <c r="Q615" s="201">
        <f>'Mail Merge'!$O615+'Mail Merge'!$P615</f>
        <v>35051.83</v>
      </c>
      <c r="R615" s="201"/>
      <c r="S615" s="201"/>
      <c r="T615" s="201"/>
      <c r="U615" s="201">
        <f>IF(AND('Mail Merge'!$I615="Did Not Meet",'Mail Merge'!$N615="Did Not Meet"),MIN(ABS('Mail Merge'!$H615),ABS('Mail Merge'!$M615),'Mail Merge'!$Q615),0)</f>
        <v>0</v>
      </c>
      <c r="V615" s="201" t="str">
        <f>IF(OR(IFERROR(SEARCH("Met",'Mail Merge'!$N615),0)&gt;0,IFERROR(SEARCH("Met",'Mail Merge'!$I615),0)&gt;0),"Met","Not Met")</f>
        <v>Met</v>
      </c>
    </row>
    <row r="616" spans="1:22" x14ac:dyDescent="0.35">
      <c r="A616" s="198" t="s">
        <v>44</v>
      </c>
      <c r="B616" s="199">
        <v>1929</v>
      </c>
      <c r="C616" s="199" t="s">
        <v>31</v>
      </c>
      <c r="D616" s="199">
        <v>524</v>
      </c>
      <c r="E616" s="199">
        <v>4585404.3099999996</v>
      </c>
      <c r="F616" s="199">
        <v>767768</v>
      </c>
      <c r="G616" s="199">
        <f>'Mail Merge'!$E616+'Mail Merge'!$F616</f>
        <v>5353172.3099999996</v>
      </c>
      <c r="H616" s="199">
        <v>0</v>
      </c>
      <c r="I616" s="199" t="s">
        <v>241</v>
      </c>
      <c r="J616" s="199">
        <f>IFERROR('Mail Merge'!$E616/'Mail Merge'!$D616,0)</f>
        <v>8750.7715839694647</v>
      </c>
      <c r="K616" s="199">
        <f>IFERROR('Mail Merge'!$F616/'Mail Merge'!$D616,0)</f>
        <v>1465.206106870229</v>
      </c>
      <c r="L616" s="199">
        <f>IFERROR('Mail Merge'!$G616/'Mail Merge'!$D616,0)</f>
        <v>10215.977690839694</v>
      </c>
      <c r="M616" s="199">
        <v>0</v>
      </c>
      <c r="N616" s="199" t="s">
        <v>241</v>
      </c>
      <c r="O616" s="199">
        <v>730547.38</v>
      </c>
      <c r="P616" s="199">
        <v>3113.13</v>
      </c>
      <c r="Q616" s="199">
        <f>'Mail Merge'!$O616+'Mail Merge'!$P616</f>
        <v>733660.51</v>
      </c>
      <c r="R616" s="199"/>
      <c r="S616" s="199"/>
      <c r="T616" s="199"/>
      <c r="U616" s="199">
        <f>IF(AND('Mail Merge'!$I616="Did Not Meet",'Mail Merge'!$N616="Did Not Meet"),MIN(ABS('Mail Merge'!$H616),ABS('Mail Merge'!$M616),'Mail Merge'!$Q616),0)</f>
        <v>0</v>
      </c>
      <c r="V616" s="199" t="str">
        <f>IF(OR(IFERROR(SEARCH("Met",'Mail Merge'!$N616),0)&gt;0,IFERROR(SEARCH("Met",'Mail Merge'!$I616),0)&gt;0),"Met","Not Met")</f>
        <v>Met</v>
      </c>
    </row>
    <row r="617" spans="1:22" x14ac:dyDescent="0.35">
      <c r="A617" s="200" t="s">
        <v>45</v>
      </c>
      <c r="B617" s="201">
        <v>2139</v>
      </c>
      <c r="C617" s="201" t="s">
        <v>31</v>
      </c>
      <c r="D617" s="201">
        <v>319</v>
      </c>
      <c r="E617" s="201">
        <v>2530194.23</v>
      </c>
      <c r="F617" s="201">
        <v>96839.82</v>
      </c>
      <c r="G617" s="201">
        <f>'Mail Merge'!$E617+'Mail Merge'!$F617</f>
        <v>2627034.0499999998</v>
      </c>
      <c r="H617" s="201">
        <v>0</v>
      </c>
      <c r="I617" s="201" t="s">
        <v>241</v>
      </c>
      <c r="J617" s="201">
        <f>IFERROR('Mail Merge'!$E617/'Mail Merge'!$D617,0)</f>
        <v>7931.6433542319746</v>
      </c>
      <c r="K617" s="201">
        <f>IFERROR('Mail Merge'!$F617/'Mail Merge'!$D617,0)</f>
        <v>303.5731034482759</v>
      </c>
      <c r="L617" s="201">
        <f>IFERROR('Mail Merge'!$G617/'Mail Merge'!$D617,0)</f>
        <v>8235.2164576802497</v>
      </c>
      <c r="M617" s="201">
        <v>0</v>
      </c>
      <c r="N617" s="201" t="s">
        <v>240</v>
      </c>
      <c r="O617" s="201">
        <v>357921.15</v>
      </c>
      <c r="P617" s="201">
        <v>3602.34</v>
      </c>
      <c r="Q617" s="201">
        <f>'Mail Merge'!$O617+'Mail Merge'!$P617</f>
        <v>361523.49000000005</v>
      </c>
      <c r="R617" s="201"/>
      <c r="S617" s="201"/>
      <c r="T617" s="201"/>
      <c r="U617" s="201">
        <f>IF(AND('Mail Merge'!$I617="Did Not Meet",'Mail Merge'!$N617="Did Not Meet"),MIN(ABS('Mail Merge'!$H617),ABS('Mail Merge'!$M617),'Mail Merge'!$Q617),0)</f>
        <v>0</v>
      </c>
      <c r="V617" s="201" t="str">
        <f>IF(OR(IFERROR(SEARCH("Met",'Mail Merge'!$N617),0)&gt;0,IFERROR(SEARCH("Met",'Mail Merge'!$I617),0)&gt;0),"Met","Not Met")</f>
        <v>Met</v>
      </c>
    </row>
    <row r="618" spans="1:22" x14ac:dyDescent="0.35">
      <c r="A618" s="198" t="s">
        <v>46</v>
      </c>
      <c r="B618" s="199">
        <v>2185</v>
      </c>
      <c r="C618" s="199" t="s">
        <v>31</v>
      </c>
      <c r="D618" s="199">
        <v>848</v>
      </c>
      <c r="E618" s="199">
        <v>9092074.6999999993</v>
      </c>
      <c r="F618" s="199">
        <v>1236939.3400000001</v>
      </c>
      <c r="G618" s="199">
        <f>'Mail Merge'!$E618+'Mail Merge'!$F618</f>
        <v>10329014.039999999</v>
      </c>
      <c r="H618" s="199">
        <v>0</v>
      </c>
      <c r="I618" s="199" t="s">
        <v>241</v>
      </c>
      <c r="J618" s="199">
        <f>IFERROR('Mail Merge'!$E618/'Mail Merge'!$D618,0)</f>
        <v>10721.786202830188</v>
      </c>
      <c r="K618" s="199">
        <f>IFERROR('Mail Merge'!$F618/'Mail Merge'!$D618,0)</f>
        <v>1458.6548820754717</v>
      </c>
      <c r="L618" s="199">
        <f>IFERROR('Mail Merge'!$G618/'Mail Merge'!$D618,0)</f>
        <v>12180.441084905658</v>
      </c>
      <c r="M618" s="199">
        <v>0</v>
      </c>
      <c r="N618" s="199" t="s">
        <v>241</v>
      </c>
      <c r="O618" s="199">
        <v>934924.94</v>
      </c>
      <c r="P618" s="199">
        <v>7004.56</v>
      </c>
      <c r="Q618" s="199">
        <f>'Mail Merge'!$O618+'Mail Merge'!$P618</f>
        <v>941929.5</v>
      </c>
      <c r="R618" s="199"/>
      <c r="S618" s="199"/>
      <c r="T618" s="199"/>
      <c r="U618" s="199">
        <f>IF(AND('Mail Merge'!$I618="Did Not Meet",'Mail Merge'!$N618="Did Not Meet"),MIN(ABS('Mail Merge'!$H618),ABS('Mail Merge'!$M618),'Mail Merge'!$Q618),0)</f>
        <v>0</v>
      </c>
      <c r="V618" s="199" t="str">
        <f>IF(OR(IFERROR(SEARCH("Met",'Mail Merge'!$N618),0)&gt;0,IFERROR(SEARCH("Met",'Mail Merge'!$I618),0)&gt;0),"Met","Not Met")</f>
        <v>Met</v>
      </c>
    </row>
    <row r="619" spans="1:22" x14ac:dyDescent="0.35">
      <c r="A619" s="200" t="s">
        <v>47</v>
      </c>
      <c r="B619" s="201">
        <v>1972</v>
      </c>
      <c r="C619" s="201" t="s">
        <v>31</v>
      </c>
      <c r="D619" s="201">
        <v>48</v>
      </c>
      <c r="E619" s="201">
        <v>311535.7</v>
      </c>
      <c r="F619" s="201">
        <v>235019</v>
      </c>
      <c r="G619" s="201">
        <f>'Mail Merge'!$E619+'Mail Merge'!$F619</f>
        <v>546554.69999999995</v>
      </c>
      <c r="H619" s="201">
        <v>0</v>
      </c>
      <c r="I619" s="201" t="s">
        <v>242</v>
      </c>
      <c r="J619" s="201">
        <f>IFERROR('Mail Merge'!$E619/'Mail Merge'!$D619,0)</f>
        <v>6490.3270833333336</v>
      </c>
      <c r="K619" s="201">
        <f>IFERROR('Mail Merge'!$F619/'Mail Merge'!$D619,0)</f>
        <v>4896.229166666667</v>
      </c>
      <c r="L619" s="201">
        <f>IFERROR('Mail Merge'!$G619/'Mail Merge'!$D619,0)</f>
        <v>11386.55625</v>
      </c>
      <c r="M619" s="201">
        <v>0</v>
      </c>
      <c r="N619" s="201" t="s">
        <v>241</v>
      </c>
      <c r="O619" s="201">
        <v>103971.45</v>
      </c>
      <c r="P619" s="201">
        <v>747.15</v>
      </c>
      <c r="Q619" s="201">
        <f>'Mail Merge'!$O619+'Mail Merge'!$P619</f>
        <v>104718.59999999999</v>
      </c>
      <c r="R619" s="201"/>
      <c r="S619" s="201">
        <v>21864.55</v>
      </c>
      <c r="T619" s="201">
        <v>21864.55</v>
      </c>
      <c r="U619" s="201">
        <f>IF(AND('Mail Merge'!$I619="Did Not Meet",'Mail Merge'!$N619="Did Not Meet"),MIN(ABS('Mail Merge'!$H619),ABS('Mail Merge'!$M619),'Mail Merge'!$Q619),0)</f>
        <v>0</v>
      </c>
      <c r="V619" s="201" t="str">
        <f>IF(OR(IFERROR(SEARCH("Met",'Mail Merge'!$N619),0)&gt;0,IFERROR(SEARCH("Met",'Mail Merge'!$I619),0)&gt;0),"Met","Not Met")</f>
        <v>Met</v>
      </c>
    </row>
    <row r="620" spans="1:22" x14ac:dyDescent="0.35">
      <c r="A620" s="198" t="s">
        <v>48</v>
      </c>
      <c r="B620" s="199">
        <v>2105</v>
      </c>
      <c r="C620" s="199" t="s">
        <v>31</v>
      </c>
      <c r="D620" s="199">
        <v>108</v>
      </c>
      <c r="E620" s="199">
        <v>523377.94</v>
      </c>
      <c r="F620" s="199">
        <v>77625</v>
      </c>
      <c r="G620" s="199">
        <f>'Mail Merge'!$E620+'Mail Merge'!$F620</f>
        <v>601002.93999999994</v>
      </c>
      <c r="H620" s="199">
        <v>0</v>
      </c>
      <c r="I620" s="199" t="s">
        <v>240</v>
      </c>
      <c r="J620" s="199">
        <f>IFERROR('Mail Merge'!$E620/'Mail Merge'!$D620,0)</f>
        <v>4846.0920370370368</v>
      </c>
      <c r="K620" s="199">
        <f>IFERROR('Mail Merge'!$F620/'Mail Merge'!$D620,0)</f>
        <v>718.75</v>
      </c>
      <c r="L620" s="199">
        <f>IFERROR('Mail Merge'!$G620/'Mail Merge'!$D620,0)</f>
        <v>5564.8420370370368</v>
      </c>
      <c r="M620" s="199">
        <v>0</v>
      </c>
      <c r="N620" s="199" t="s">
        <v>240</v>
      </c>
      <c r="O620" s="199">
        <v>108214.08</v>
      </c>
      <c r="P620" s="199">
        <v>1494.31</v>
      </c>
      <c r="Q620" s="199">
        <f>'Mail Merge'!$O620+'Mail Merge'!$P620</f>
        <v>109708.39</v>
      </c>
      <c r="R620" s="199"/>
      <c r="S620" s="199"/>
      <c r="T620" s="199"/>
      <c r="U620" s="199">
        <f>IF(AND('Mail Merge'!$I620="Did Not Meet",'Mail Merge'!$N620="Did Not Meet"),MIN(ABS('Mail Merge'!$H620),ABS('Mail Merge'!$M620),'Mail Merge'!$Q620),0)</f>
        <v>0</v>
      </c>
      <c r="V620" s="199" t="str">
        <f>IF(OR(IFERROR(SEARCH("Met",'Mail Merge'!$N620),0)&gt;0,IFERROR(SEARCH("Met",'Mail Merge'!$I620),0)&gt;0),"Met","Not Met")</f>
        <v>Not Met</v>
      </c>
    </row>
    <row r="621" spans="1:22" x14ac:dyDescent="0.35">
      <c r="A621" s="200" t="s">
        <v>49</v>
      </c>
      <c r="B621" s="201">
        <v>2042</v>
      </c>
      <c r="C621" s="201" t="s">
        <v>31</v>
      </c>
      <c r="D621" s="201">
        <v>625</v>
      </c>
      <c r="E621" s="201">
        <v>3324148.62</v>
      </c>
      <c r="F621" s="201">
        <v>1148428.94</v>
      </c>
      <c r="G621" s="201">
        <f>'Mail Merge'!$E621+'Mail Merge'!$F621</f>
        <v>4472577.5600000005</v>
      </c>
      <c r="H621" s="201">
        <v>0</v>
      </c>
      <c r="I621" s="201" t="s">
        <v>241</v>
      </c>
      <c r="J621" s="201">
        <f>IFERROR('Mail Merge'!$E621/'Mail Merge'!$D621,0)</f>
        <v>5318.6377920000004</v>
      </c>
      <c r="K621" s="201">
        <f>IFERROR('Mail Merge'!$F621/'Mail Merge'!$D621,0)</f>
        <v>1837.486304</v>
      </c>
      <c r="L621" s="201">
        <f>IFERROR('Mail Merge'!$G621/'Mail Merge'!$D621,0)</f>
        <v>7156.1240960000005</v>
      </c>
      <c r="M621" s="201">
        <v>0</v>
      </c>
      <c r="N621" s="201" t="s">
        <v>240</v>
      </c>
      <c r="O621" s="201">
        <v>635601.91</v>
      </c>
      <c r="P621" s="201">
        <v>9650.73</v>
      </c>
      <c r="Q621" s="201">
        <f>'Mail Merge'!$O621+'Mail Merge'!$P621</f>
        <v>645252.64</v>
      </c>
      <c r="R621" s="201"/>
      <c r="S621" s="201"/>
      <c r="T621" s="201"/>
      <c r="U621" s="201">
        <f>IF(AND('Mail Merge'!$I621="Did Not Meet",'Mail Merge'!$N621="Did Not Meet"),MIN(ABS('Mail Merge'!$H621),ABS('Mail Merge'!$M621),'Mail Merge'!$Q621),0)</f>
        <v>0</v>
      </c>
      <c r="V621" s="201" t="str">
        <f>IF(OR(IFERROR(SEARCH("Met",'Mail Merge'!$N621),0)&gt;0,IFERROR(SEARCH("Met",'Mail Merge'!$I621),0)&gt;0),"Met","Not Met")</f>
        <v>Met</v>
      </c>
    </row>
    <row r="622" spans="1:22" x14ac:dyDescent="0.35">
      <c r="A622" s="198" t="s">
        <v>50</v>
      </c>
      <c r="B622" s="199">
        <v>2191</v>
      </c>
      <c r="C622" s="199" t="s">
        <v>31</v>
      </c>
      <c r="D622" s="199">
        <v>356</v>
      </c>
      <c r="E622" s="199">
        <v>4577816.9000000004</v>
      </c>
      <c r="F622" s="199">
        <v>347168.79</v>
      </c>
      <c r="G622" s="199">
        <f>'Mail Merge'!$E622+'Mail Merge'!$F622</f>
        <v>4924985.6900000004</v>
      </c>
      <c r="H622" s="199">
        <v>0</v>
      </c>
      <c r="I622" s="199" t="s">
        <v>241</v>
      </c>
      <c r="J622" s="199">
        <f>IFERROR('Mail Merge'!$E622/'Mail Merge'!$D622,0)</f>
        <v>12859.036235955056</v>
      </c>
      <c r="K622" s="199">
        <f>IFERROR('Mail Merge'!$F622/'Mail Merge'!$D622,0)</f>
        <v>975.1932303370786</v>
      </c>
      <c r="L622" s="199">
        <f>IFERROR('Mail Merge'!$G622/'Mail Merge'!$D622,0)</f>
        <v>13834.229466292136</v>
      </c>
      <c r="M622" s="199">
        <v>0</v>
      </c>
      <c r="N622" s="199" t="s">
        <v>241</v>
      </c>
      <c r="O622" s="199">
        <v>370661.81</v>
      </c>
      <c r="P622" s="199">
        <v>2110.96</v>
      </c>
      <c r="Q622" s="199">
        <f>'Mail Merge'!$O622+'Mail Merge'!$P622</f>
        <v>372772.77</v>
      </c>
      <c r="R622" s="199"/>
      <c r="S622" s="199"/>
      <c r="T622" s="199"/>
      <c r="U622" s="199">
        <f>IF(AND('Mail Merge'!$I622="Did Not Meet",'Mail Merge'!$N622="Did Not Meet"),MIN(ABS('Mail Merge'!$H622),ABS('Mail Merge'!$M622),'Mail Merge'!$Q622),0)</f>
        <v>0</v>
      </c>
      <c r="V622" s="199" t="str">
        <f>IF(OR(IFERROR(SEARCH("Met",'Mail Merge'!$N622),0)&gt;0,IFERROR(SEARCH("Met",'Mail Merge'!$I622),0)&gt;0),"Met","Not Met")</f>
        <v>Met</v>
      </c>
    </row>
    <row r="623" spans="1:22" x14ac:dyDescent="0.35">
      <c r="A623" s="200" t="s">
        <v>51</v>
      </c>
      <c r="B623" s="201">
        <v>1945</v>
      </c>
      <c r="C623" s="201" t="s">
        <v>31</v>
      </c>
      <c r="D623" s="201">
        <v>116</v>
      </c>
      <c r="E623" s="201">
        <v>897057.74</v>
      </c>
      <c r="F623" s="201">
        <v>184139</v>
      </c>
      <c r="G623" s="201">
        <f>'Mail Merge'!$E623+'Mail Merge'!$F623</f>
        <v>1081196.74</v>
      </c>
      <c r="H623" s="201">
        <v>0</v>
      </c>
      <c r="I623" s="201" t="s">
        <v>240</v>
      </c>
      <c r="J623" s="201">
        <f>IFERROR('Mail Merge'!$E623/'Mail Merge'!$D623,0)</f>
        <v>7733.2563793103445</v>
      </c>
      <c r="K623" s="201">
        <f>IFERROR('Mail Merge'!$F623/'Mail Merge'!$D623,0)</f>
        <v>1587.405172413793</v>
      </c>
      <c r="L623" s="201">
        <f>IFERROR('Mail Merge'!$G623/'Mail Merge'!$D623,0)</f>
        <v>9320.6615517241371</v>
      </c>
      <c r="M623" s="201">
        <v>0</v>
      </c>
      <c r="N623" s="201" t="s">
        <v>240</v>
      </c>
      <c r="O623" s="201">
        <v>124780.55</v>
      </c>
      <c r="P623" s="201">
        <v>2490.5100000000002</v>
      </c>
      <c r="Q623" s="201">
        <f>'Mail Merge'!$O623+'Mail Merge'!$P623</f>
        <v>127271.06</v>
      </c>
      <c r="R623" s="201"/>
      <c r="S623" s="201"/>
      <c r="T623" s="201"/>
      <c r="U623" s="201">
        <f>IF(AND('Mail Merge'!$I623="Did Not Meet",'Mail Merge'!$N623="Did Not Meet"),MIN(ABS('Mail Merge'!$H623),ABS('Mail Merge'!$M623),'Mail Merge'!$Q623),0)</f>
        <v>0</v>
      </c>
      <c r="V623" s="201" t="str">
        <f>IF(OR(IFERROR(SEARCH("Met",'Mail Merge'!$N623),0)&gt;0,IFERROR(SEARCH("Met",'Mail Merge'!$I623),0)&gt;0),"Met","Not Met")</f>
        <v>Not Met</v>
      </c>
    </row>
    <row r="624" spans="1:22" x14ac:dyDescent="0.35">
      <c r="A624" s="198" t="s">
        <v>52</v>
      </c>
      <c r="B624" s="199">
        <v>1927</v>
      </c>
      <c r="C624" s="199" t="s">
        <v>31</v>
      </c>
      <c r="D624" s="199">
        <v>82</v>
      </c>
      <c r="E624" s="199">
        <v>728304.8</v>
      </c>
      <c r="F624" s="199">
        <v>221253</v>
      </c>
      <c r="G624" s="199">
        <f>'Mail Merge'!$E624+'Mail Merge'!$F624</f>
        <v>949557.8</v>
      </c>
      <c r="H624" s="199">
        <v>0</v>
      </c>
      <c r="I624" s="199" t="s">
        <v>241</v>
      </c>
      <c r="J624" s="199">
        <f>IFERROR('Mail Merge'!$E624/'Mail Merge'!$D624,0)</f>
        <v>8881.7658536585368</v>
      </c>
      <c r="K624" s="199">
        <f>IFERROR('Mail Merge'!$F624/'Mail Merge'!$D624,0)</f>
        <v>2698.2073170731705</v>
      </c>
      <c r="L624" s="199">
        <f>IFERROR('Mail Merge'!$G624/'Mail Merge'!$D624,0)</f>
        <v>11579.973170731708</v>
      </c>
      <c r="M624" s="199">
        <v>0</v>
      </c>
      <c r="N624" s="199" t="s">
        <v>240</v>
      </c>
      <c r="O624" s="199">
        <v>125142.78</v>
      </c>
      <c r="P624" s="199">
        <v>1712.23</v>
      </c>
      <c r="Q624" s="199">
        <f>'Mail Merge'!$O624+'Mail Merge'!$P624</f>
        <v>126855.01</v>
      </c>
      <c r="R624" s="199"/>
      <c r="S624" s="199"/>
      <c r="T624" s="199"/>
      <c r="U624" s="199">
        <f>IF(AND('Mail Merge'!$I624="Did Not Meet",'Mail Merge'!$N624="Did Not Meet"),MIN(ABS('Mail Merge'!$H624),ABS('Mail Merge'!$M624),'Mail Merge'!$Q624),0)</f>
        <v>0</v>
      </c>
      <c r="V624" s="199" t="str">
        <f>IF(OR(IFERROR(SEARCH("Met",'Mail Merge'!$N624),0)&gt;0,IFERROR(SEARCH("Met",'Mail Merge'!$I624),0)&gt;0),"Met","Not Met")</f>
        <v>Met</v>
      </c>
    </row>
    <row r="625" spans="1:22" x14ac:dyDescent="0.35">
      <c r="A625" s="200" t="s">
        <v>53</v>
      </c>
      <c r="B625" s="201">
        <v>2006</v>
      </c>
      <c r="C625" s="201" t="s">
        <v>31</v>
      </c>
      <c r="D625" s="201">
        <v>18</v>
      </c>
      <c r="E625" s="201">
        <v>4210.09</v>
      </c>
      <c r="F625" s="201">
        <v>120843</v>
      </c>
      <c r="G625" s="201">
        <f>'Mail Merge'!$E625+'Mail Merge'!$F625</f>
        <v>125053.09</v>
      </c>
      <c r="H625" s="201">
        <v>0</v>
      </c>
      <c r="I625" s="201" t="s">
        <v>240</v>
      </c>
      <c r="J625" s="201">
        <f>IFERROR('Mail Merge'!$E625/'Mail Merge'!$D625,0)</f>
        <v>233.89388888888891</v>
      </c>
      <c r="K625" s="201">
        <f>IFERROR('Mail Merge'!$F625/'Mail Merge'!$D625,0)</f>
        <v>6713.5</v>
      </c>
      <c r="L625" s="201">
        <f>IFERROR('Mail Merge'!$G625/'Mail Merge'!$D625,0)</f>
        <v>6947.3938888888888</v>
      </c>
      <c r="M625" s="201">
        <v>0</v>
      </c>
      <c r="N625" s="201" t="s">
        <v>240</v>
      </c>
      <c r="O625" s="201">
        <v>24306.75</v>
      </c>
      <c r="P625" s="201">
        <v>0</v>
      </c>
      <c r="Q625" s="201">
        <f>'Mail Merge'!$O625+'Mail Merge'!$P625</f>
        <v>24306.75</v>
      </c>
      <c r="R625" s="201"/>
      <c r="S625" s="201"/>
      <c r="T625" s="201"/>
      <c r="U625" s="201">
        <f>IF(AND('Mail Merge'!$I625="Did Not Meet",'Mail Merge'!$N625="Did Not Meet"),MIN(ABS('Mail Merge'!$H625),ABS('Mail Merge'!$M625),'Mail Merge'!$Q625),0)</f>
        <v>0</v>
      </c>
      <c r="V625" s="201" t="str">
        <f>IF(OR(IFERROR(SEARCH("Met",'Mail Merge'!$N625),0)&gt;0,IFERROR(SEARCH("Met",'Mail Merge'!$I625),0)&gt;0),"Met","Not Met")</f>
        <v>Not Met</v>
      </c>
    </row>
    <row r="626" spans="1:22" x14ac:dyDescent="0.35">
      <c r="A626" s="198" t="s">
        <v>54</v>
      </c>
      <c r="B626" s="199">
        <v>1965</v>
      </c>
      <c r="C626" s="199" t="s">
        <v>31</v>
      </c>
      <c r="D626" s="199">
        <v>485</v>
      </c>
      <c r="E626" s="199">
        <v>3633016.25</v>
      </c>
      <c r="F626" s="199">
        <v>1458673</v>
      </c>
      <c r="G626" s="199">
        <f>'Mail Merge'!$E626+'Mail Merge'!$F626</f>
        <v>5091689.25</v>
      </c>
      <c r="H626" s="199">
        <v>0</v>
      </c>
      <c r="I626" s="199" t="s">
        <v>241</v>
      </c>
      <c r="J626" s="199">
        <f>IFERROR('Mail Merge'!$E626/'Mail Merge'!$D626,0)</f>
        <v>7490.7551546391751</v>
      </c>
      <c r="K626" s="199">
        <f>IFERROR('Mail Merge'!$F626/'Mail Merge'!$D626,0)</f>
        <v>3007.5731958762885</v>
      </c>
      <c r="L626" s="199">
        <f>IFERROR('Mail Merge'!$G626/'Mail Merge'!$D626,0)</f>
        <v>10498.328350515463</v>
      </c>
      <c r="M626" s="199">
        <v>0</v>
      </c>
      <c r="N626" s="199" t="s">
        <v>241</v>
      </c>
      <c r="O626" s="199">
        <v>612068.41</v>
      </c>
      <c r="P626" s="199">
        <v>4196.97</v>
      </c>
      <c r="Q626" s="199">
        <f>'Mail Merge'!$O626+'Mail Merge'!$P626</f>
        <v>616265.38</v>
      </c>
      <c r="R626" s="199"/>
      <c r="S626" s="199"/>
      <c r="T626" s="199"/>
      <c r="U626" s="199">
        <f>IF(AND('Mail Merge'!$I626="Did Not Meet",'Mail Merge'!$N626="Did Not Meet"),MIN(ABS('Mail Merge'!$H626),ABS('Mail Merge'!$M626),'Mail Merge'!$Q626),0)</f>
        <v>0</v>
      </c>
      <c r="V626" s="199" t="str">
        <f>IF(OR(IFERROR(SEARCH("Met",'Mail Merge'!$N626),0)&gt;0,IFERROR(SEARCH("Met",'Mail Merge'!$I626),0)&gt;0),"Met","Not Met")</f>
        <v>Met</v>
      </c>
    </row>
    <row r="627" spans="1:22" x14ac:dyDescent="0.35">
      <c r="A627" s="200" t="s">
        <v>55</v>
      </c>
      <c r="B627" s="201">
        <v>1964</v>
      </c>
      <c r="C627" s="201" t="s">
        <v>31</v>
      </c>
      <c r="D627" s="201">
        <v>88</v>
      </c>
      <c r="E627" s="201">
        <v>544540.39</v>
      </c>
      <c r="F627" s="201">
        <v>566909</v>
      </c>
      <c r="G627" s="201">
        <f>'Mail Merge'!$E627+'Mail Merge'!$F627</f>
        <v>1111449.3900000001</v>
      </c>
      <c r="H627" s="201">
        <v>0</v>
      </c>
      <c r="I627" s="201" t="s">
        <v>241</v>
      </c>
      <c r="J627" s="201">
        <f>IFERROR('Mail Merge'!$E627/'Mail Merge'!$D627,0)</f>
        <v>6187.9589772727277</v>
      </c>
      <c r="K627" s="201">
        <f>IFERROR('Mail Merge'!$F627/'Mail Merge'!$D627,0)</f>
        <v>6442.147727272727</v>
      </c>
      <c r="L627" s="201">
        <f>IFERROR('Mail Merge'!$G627/'Mail Merge'!$D627,0)</f>
        <v>12630.106704545457</v>
      </c>
      <c r="M627" s="201">
        <v>0</v>
      </c>
      <c r="N627" s="201" t="s">
        <v>241</v>
      </c>
      <c r="O627" s="201">
        <v>151221.01</v>
      </c>
      <c r="P627" s="201">
        <v>3152.05</v>
      </c>
      <c r="Q627" s="201">
        <f>'Mail Merge'!$O627+'Mail Merge'!$P627</f>
        <v>154373.06</v>
      </c>
      <c r="R627" s="201"/>
      <c r="S627" s="201"/>
      <c r="T627" s="201"/>
      <c r="U627" s="201">
        <f>IF(AND('Mail Merge'!$I627="Did Not Meet",'Mail Merge'!$N627="Did Not Meet"),MIN(ABS('Mail Merge'!$H627),ABS('Mail Merge'!$M627),'Mail Merge'!$Q627),0)</f>
        <v>0</v>
      </c>
      <c r="V627" s="201" t="str">
        <f>IF(OR(IFERROR(SEARCH("Met",'Mail Merge'!$N627),0)&gt;0,IFERROR(SEARCH("Met",'Mail Merge'!$I627),0)&gt;0),"Met","Not Met")</f>
        <v>Met</v>
      </c>
    </row>
    <row r="628" spans="1:22" x14ac:dyDescent="0.35">
      <c r="A628" s="198" t="s">
        <v>56</v>
      </c>
      <c r="B628" s="199">
        <v>2186</v>
      </c>
      <c r="C628" s="199" t="s">
        <v>31</v>
      </c>
      <c r="D628" s="199">
        <v>101</v>
      </c>
      <c r="E628" s="199">
        <v>617557.6</v>
      </c>
      <c r="F628" s="199">
        <v>306536.11</v>
      </c>
      <c r="G628" s="199">
        <f>'Mail Merge'!$E628+'Mail Merge'!$F628</f>
        <v>924093.71</v>
      </c>
      <c r="H628" s="199">
        <v>0</v>
      </c>
      <c r="I628" s="199" t="s">
        <v>241</v>
      </c>
      <c r="J628" s="199">
        <f>IFERROR('Mail Merge'!$E628/'Mail Merge'!$D628,0)</f>
        <v>6114.4316831683163</v>
      </c>
      <c r="K628" s="199">
        <f>IFERROR('Mail Merge'!$F628/'Mail Merge'!$D628,0)</f>
        <v>3035.0109900990096</v>
      </c>
      <c r="L628" s="199">
        <f>IFERROR('Mail Merge'!$G628/'Mail Merge'!$D628,0)</f>
        <v>9149.4426732673255</v>
      </c>
      <c r="M628" s="199">
        <v>0</v>
      </c>
      <c r="N628" s="199" t="s">
        <v>240</v>
      </c>
      <c r="O628" s="199">
        <v>156261.73000000001</v>
      </c>
      <c r="P628" s="199">
        <v>1225.8</v>
      </c>
      <c r="Q628" s="199">
        <f>'Mail Merge'!$O628+'Mail Merge'!$P628</f>
        <v>157487.53</v>
      </c>
      <c r="R628" s="199"/>
      <c r="S628" s="199"/>
      <c r="T628" s="199"/>
      <c r="U628" s="199">
        <f>IF(AND('Mail Merge'!$I628="Did Not Meet",'Mail Merge'!$N628="Did Not Meet"),MIN(ABS('Mail Merge'!$H628),ABS('Mail Merge'!$M628),'Mail Merge'!$Q628),0)</f>
        <v>0</v>
      </c>
      <c r="V628" s="199" t="str">
        <f>IF(OR(IFERROR(SEARCH("Met",'Mail Merge'!$N628),0)&gt;0,IFERROR(SEARCH("Met",'Mail Merge'!$I628),0)&gt;0),"Met","Not Met")</f>
        <v>Met</v>
      </c>
    </row>
    <row r="629" spans="1:22" x14ac:dyDescent="0.35">
      <c r="A629" s="200" t="s">
        <v>58</v>
      </c>
      <c r="B629" s="201">
        <v>1901</v>
      </c>
      <c r="C629" s="201" t="s">
        <v>31</v>
      </c>
      <c r="D629" s="201">
        <v>687</v>
      </c>
      <c r="E629" s="201">
        <v>6628244.5499999998</v>
      </c>
      <c r="F629" s="201">
        <v>714362</v>
      </c>
      <c r="G629" s="201">
        <f>'Mail Merge'!$E629+'Mail Merge'!$F629</f>
        <v>7342606.5499999998</v>
      </c>
      <c r="H629" s="201">
        <v>0</v>
      </c>
      <c r="I629" s="201" t="s">
        <v>241</v>
      </c>
      <c r="J629" s="201">
        <f>IFERROR('Mail Merge'!$E629/'Mail Merge'!$D629,0)</f>
        <v>9648.0997816593881</v>
      </c>
      <c r="K629" s="201">
        <f>IFERROR('Mail Merge'!$F629/'Mail Merge'!$D629,0)</f>
        <v>1039.8282387190684</v>
      </c>
      <c r="L629" s="201">
        <f>IFERROR('Mail Merge'!$G629/'Mail Merge'!$D629,0)</f>
        <v>10687.928020378456</v>
      </c>
      <c r="M629" s="201">
        <v>0</v>
      </c>
      <c r="N629" s="201" t="s">
        <v>241</v>
      </c>
      <c r="O629" s="201">
        <v>946017.9</v>
      </c>
      <c r="P629" s="201">
        <v>9037.67</v>
      </c>
      <c r="Q629" s="201">
        <f>'Mail Merge'!$O629+'Mail Merge'!$P629</f>
        <v>955055.57000000007</v>
      </c>
      <c r="R629" s="201"/>
      <c r="S629" s="201"/>
      <c r="T629" s="201"/>
      <c r="U629" s="201">
        <f>IF(AND('Mail Merge'!$I629="Did Not Meet",'Mail Merge'!$N629="Did Not Meet"),MIN(ABS('Mail Merge'!$H629),ABS('Mail Merge'!$M629),'Mail Merge'!$Q629),0)</f>
        <v>0</v>
      </c>
      <c r="V629" s="201" t="str">
        <f>IF(OR(IFERROR(SEARCH("Met",'Mail Merge'!$N629),0)&gt;0,IFERROR(SEARCH("Met",'Mail Merge'!$I629),0)&gt;0),"Met","Not Met")</f>
        <v>Met</v>
      </c>
    </row>
    <row r="630" spans="1:22" x14ac:dyDescent="0.35">
      <c r="A630" s="198" t="s">
        <v>59</v>
      </c>
      <c r="B630" s="199">
        <v>2216</v>
      </c>
      <c r="C630" s="199" t="s">
        <v>31</v>
      </c>
      <c r="D630" s="199">
        <v>28</v>
      </c>
      <c r="E630" s="199">
        <v>117920.18</v>
      </c>
      <c r="F630" s="199">
        <v>58139</v>
      </c>
      <c r="G630" s="199">
        <f>'Mail Merge'!$E630+'Mail Merge'!$F630</f>
        <v>176059.18</v>
      </c>
      <c r="H630" s="199">
        <v>0</v>
      </c>
      <c r="I630" s="199" t="s">
        <v>241</v>
      </c>
      <c r="J630" s="199">
        <f>IFERROR('Mail Merge'!$E630/'Mail Merge'!$D630,0)</f>
        <v>4211.4349999999995</v>
      </c>
      <c r="K630" s="199">
        <f>IFERROR('Mail Merge'!$F630/'Mail Merge'!$D630,0)</f>
        <v>2076.3928571428573</v>
      </c>
      <c r="L630" s="199">
        <f>IFERROR('Mail Merge'!$G630/'Mail Merge'!$D630,0)</f>
        <v>6287.8278571428573</v>
      </c>
      <c r="M630" s="199">
        <v>0</v>
      </c>
      <c r="N630" s="199" t="s">
        <v>240</v>
      </c>
      <c r="O630" s="199">
        <v>43304.31</v>
      </c>
      <c r="P630" s="199">
        <v>1400.91</v>
      </c>
      <c r="Q630" s="199">
        <f>'Mail Merge'!$O630+'Mail Merge'!$P630</f>
        <v>44705.22</v>
      </c>
      <c r="R630" s="199"/>
      <c r="S630" s="199"/>
      <c r="T630" s="199"/>
      <c r="U630" s="199">
        <f>IF(AND('Mail Merge'!$I630="Did Not Meet",'Mail Merge'!$N630="Did Not Meet"),MIN(ABS('Mail Merge'!$H630),ABS('Mail Merge'!$M630),'Mail Merge'!$Q630),0)</f>
        <v>0</v>
      </c>
      <c r="V630" s="199" t="str">
        <f>IF(OR(IFERROR(SEARCH("Met",'Mail Merge'!$N630),0)&gt;0,IFERROR(SEARCH("Met",'Mail Merge'!$I630),0)&gt;0),"Met","Not Met")</f>
        <v>Met</v>
      </c>
    </row>
    <row r="631" spans="1:22" x14ac:dyDescent="0.35">
      <c r="A631" s="200" t="s">
        <v>60</v>
      </c>
      <c r="B631" s="201">
        <v>2086</v>
      </c>
      <c r="C631" s="201" t="s">
        <v>31</v>
      </c>
      <c r="D631" s="201">
        <v>221</v>
      </c>
      <c r="E631" s="201">
        <v>1552494.22</v>
      </c>
      <c r="F631" s="201">
        <v>674023</v>
      </c>
      <c r="G631" s="201">
        <f>'Mail Merge'!$E631+'Mail Merge'!$F631</f>
        <v>2226517.2199999997</v>
      </c>
      <c r="H631" s="201">
        <v>0</v>
      </c>
      <c r="I631" s="201" t="s">
        <v>242</v>
      </c>
      <c r="J631" s="201">
        <f>IFERROR('Mail Merge'!$E631/'Mail Merge'!$D631,0)</f>
        <v>7024.8607239819003</v>
      </c>
      <c r="K631" s="201">
        <f>IFERROR('Mail Merge'!$F631/'Mail Merge'!$D631,0)</f>
        <v>3049.8778280542988</v>
      </c>
      <c r="L631" s="201">
        <f>IFERROR('Mail Merge'!$G631/'Mail Merge'!$D631,0)</f>
        <v>10074.738552036199</v>
      </c>
      <c r="M631" s="201">
        <v>0</v>
      </c>
      <c r="N631" s="201" t="s">
        <v>241</v>
      </c>
      <c r="O631" s="201">
        <v>212375.77</v>
      </c>
      <c r="P631" s="201">
        <v>1323.09</v>
      </c>
      <c r="Q631" s="201">
        <f>'Mail Merge'!$O631+'Mail Merge'!$P631</f>
        <v>213698.86</v>
      </c>
      <c r="R631" s="201"/>
      <c r="S631" s="201">
        <v>255210.18</v>
      </c>
      <c r="T631" s="201">
        <v>255210.18</v>
      </c>
      <c r="U631" s="201">
        <f>IF(AND('Mail Merge'!$I631="Did Not Meet",'Mail Merge'!$N631="Did Not Meet"),MIN(ABS('Mail Merge'!$H631),ABS('Mail Merge'!$M631),'Mail Merge'!$Q631),0)</f>
        <v>0</v>
      </c>
      <c r="V631" s="201" t="str">
        <f>IF(OR(IFERROR(SEARCH("Met",'Mail Merge'!$N631),0)&gt;0,IFERROR(SEARCH("Met",'Mail Merge'!$I631),0)&gt;0),"Met","Not Met")</f>
        <v>Met</v>
      </c>
    </row>
    <row r="632" spans="1:22" x14ac:dyDescent="0.35">
      <c r="A632" s="198" t="s">
        <v>61</v>
      </c>
      <c r="B632" s="199">
        <v>1970</v>
      </c>
      <c r="C632" s="199" t="s">
        <v>31</v>
      </c>
      <c r="D632" s="199">
        <v>428</v>
      </c>
      <c r="E632" s="199">
        <v>3175845.73</v>
      </c>
      <c r="F632" s="199">
        <v>205450.19</v>
      </c>
      <c r="G632" s="199">
        <f>'Mail Merge'!$E632+'Mail Merge'!$F632</f>
        <v>3381295.92</v>
      </c>
      <c r="H632" s="199">
        <v>0</v>
      </c>
      <c r="I632" s="199" t="s">
        <v>241</v>
      </c>
      <c r="J632" s="199">
        <f>IFERROR('Mail Merge'!$E632/'Mail Merge'!$D632,0)</f>
        <v>7420.2003037383174</v>
      </c>
      <c r="K632" s="199">
        <f>IFERROR('Mail Merge'!$F632/'Mail Merge'!$D632,0)</f>
        <v>480.02380841121499</v>
      </c>
      <c r="L632" s="199">
        <f>IFERROR('Mail Merge'!$G632/'Mail Merge'!$D632,0)</f>
        <v>7900.2241121495326</v>
      </c>
      <c r="M632" s="199">
        <v>0</v>
      </c>
      <c r="N632" s="199" t="s">
        <v>241</v>
      </c>
      <c r="O632" s="199">
        <v>554733.39</v>
      </c>
      <c r="P632" s="199">
        <v>7381.14</v>
      </c>
      <c r="Q632" s="199">
        <f>'Mail Merge'!$O632+'Mail Merge'!$P632</f>
        <v>562114.53</v>
      </c>
      <c r="R632" s="199"/>
      <c r="S632" s="199"/>
      <c r="T632" s="199"/>
      <c r="U632" s="199">
        <f>IF(AND('Mail Merge'!$I632="Did Not Meet",'Mail Merge'!$N632="Did Not Meet"),MIN(ABS('Mail Merge'!$H632),ABS('Mail Merge'!$M632),'Mail Merge'!$Q632),0)</f>
        <v>0</v>
      </c>
      <c r="V632" s="199" t="str">
        <f>IF(OR(IFERROR(SEARCH("Met",'Mail Merge'!$N632),0)&gt;0,IFERROR(SEARCH("Met",'Mail Merge'!$I632),0)&gt;0),"Met","Not Met")</f>
        <v>Met</v>
      </c>
    </row>
    <row r="633" spans="1:22" x14ac:dyDescent="0.35">
      <c r="A633" s="200" t="s">
        <v>62</v>
      </c>
      <c r="B633" s="201">
        <v>2089</v>
      </c>
      <c r="C633" s="201" t="s">
        <v>31</v>
      </c>
      <c r="D633" s="201">
        <v>52</v>
      </c>
      <c r="E633" s="201">
        <v>406092.02</v>
      </c>
      <c r="F633" s="201">
        <v>141550</v>
      </c>
      <c r="G633" s="201">
        <f>'Mail Merge'!$E633+'Mail Merge'!$F633</f>
        <v>547642.02</v>
      </c>
      <c r="H633" s="201">
        <v>0</v>
      </c>
      <c r="I633" s="201" t="s">
        <v>242</v>
      </c>
      <c r="J633" s="201">
        <f>IFERROR('Mail Merge'!$E633/'Mail Merge'!$D633,0)</f>
        <v>7809.4619230769231</v>
      </c>
      <c r="K633" s="201">
        <f>IFERROR('Mail Merge'!$F633/'Mail Merge'!$D633,0)</f>
        <v>2722.1153846153848</v>
      </c>
      <c r="L633" s="201">
        <f>IFERROR('Mail Merge'!$G633/'Mail Merge'!$D633,0)</f>
        <v>10531.577307692309</v>
      </c>
      <c r="M633" s="201">
        <v>0</v>
      </c>
      <c r="N633" s="201" t="s">
        <v>240</v>
      </c>
      <c r="O633" s="201">
        <v>58607.73</v>
      </c>
      <c r="P633" s="201">
        <v>311.31</v>
      </c>
      <c r="Q633" s="201">
        <f>'Mail Merge'!$O633+'Mail Merge'!$P633</f>
        <v>58919.040000000001</v>
      </c>
      <c r="R633" s="201"/>
      <c r="S633" s="201">
        <v>20961.97</v>
      </c>
      <c r="T633" s="201"/>
      <c r="U633" s="201">
        <f>IF(AND('Mail Merge'!$I633="Did Not Meet",'Mail Merge'!$N633="Did Not Meet"),MIN(ABS('Mail Merge'!$H633),ABS('Mail Merge'!$M633),'Mail Merge'!$Q633),0)</f>
        <v>0</v>
      </c>
      <c r="V633" s="201" t="str">
        <f>IF(OR(IFERROR(SEARCH("Met",'Mail Merge'!$N633),0)&gt;0,IFERROR(SEARCH("Met",'Mail Merge'!$I633),0)&gt;0),"Met","Not Met")</f>
        <v>Met</v>
      </c>
    </row>
    <row r="634" spans="1:22" x14ac:dyDescent="0.35">
      <c r="A634" s="198" t="s">
        <v>63</v>
      </c>
      <c r="B634" s="199">
        <v>2050</v>
      </c>
      <c r="C634" s="199" t="s">
        <v>31</v>
      </c>
      <c r="D634" s="199">
        <v>84</v>
      </c>
      <c r="E634" s="199">
        <v>623105.76</v>
      </c>
      <c r="F634" s="199">
        <v>234106.46</v>
      </c>
      <c r="G634" s="199">
        <f>'Mail Merge'!$E634+'Mail Merge'!$F634</f>
        <v>857212.22</v>
      </c>
      <c r="H634" s="199">
        <v>0</v>
      </c>
      <c r="I634" s="199" t="s">
        <v>241</v>
      </c>
      <c r="J634" s="199">
        <f>IFERROR('Mail Merge'!$E634/'Mail Merge'!$D634,0)</f>
        <v>7417.9257142857141</v>
      </c>
      <c r="K634" s="199">
        <f>IFERROR('Mail Merge'!$F634/'Mail Merge'!$D634,0)</f>
        <v>2786.9816666666666</v>
      </c>
      <c r="L634" s="199">
        <f>IFERROR('Mail Merge'!$G634/'Mail Merge'!$D634,0)</f>
        <v>10204.90738095238</v>
      </c>
      <c r="M634" s="199">
        <v>0</v>
      </c>
      <c r="N634" s="199" t="s">
        <v>240</v>
      </c>
      <c r="O634" s="199">
        <v>110616.08</v>
      </c>
      <c r="P634" s="199">
        <v>1494.31</v>
      </c>
      <c r="Q634" s="199">
        <f>'Mail Merge'!$O634+'Mail Merge'!$P634</f>
        <v>112110.39</v>
      </c>
      <c r="R634" s="199"/>
      <c r="S634" s="199"/>
      <c r="T634" s="199"/>
      <c r="U634" s="199">
        <f>IF(AND('Mail Merge'!$I634="Did Not Meet",'Mail Merge'!$N634="Did Not Meet"),MIN(ABS('Mail Merge'!$H634),ABS('Mail Merge'!$M634),'Mail Merge'!$Q634),0)</f>
        <v>0</v>
      </c>
      <c r="V634" s="199" t="str">
        <f>IF(OR(IFERROR(SEARCH("Met",'Mail Merge'!$N634),0)&gt;0,IFERROR(SEARCH("Met",'Mail Merge'!$I634),0)&gt;0),"Met","Not Met")</f>
        <v>Met</v>
      </c>
    </row>
    <row r="635" spans="1:22" x14ac:dyDescent="0.35">
      <c r="A635" s="200" t="s">
        <v>64</v>
      </c>
      <c r="B635" s="201">
        <v>2190</v>
      </c>
      <c r="C635" s="201" t="s">
        <v>31</v>
      </c>
      <c r="D635" s="201">
        <v>428</v>
      </c>
      <c r="E635" s="201">
        <v>3658481.75</v>
      </c>
      <c r="F635" s="201">
        <v>271947.86</v>
      </c>
      <c r="G635" s="201">
        <f>'Mail Merge'!$E635+'Mail Merge'!$F635</f>
        <v>3930429.61</v>
      </c>
      <c r="H635" s="201">
        <v>0</v>
      </c>
      <c r="I635" s="201" t="s">
        <v>241</v>
      </c>
      <c r="J635" s="201">
        <f>IFERROR('Mail Merge'!$E635/'Mail Merge'!$D635,0)</f>
        <v>8547.8545560747662</v>
      </c>
      <c r="K635" s="201">
        <f>IFERROR('Mail Merge'!$F635/'Mail Merge'!$D635,0)</f>
        <v>635.39219626168222</v>
      </c>
      <c r="L635" s="201">
        <f>IFERROR('Mail Merge'!$G635/'Mail Merge'!$D635,0)</f>
        <v>9183.2467523364485</v>
      </c>
      <c r="M635" s="201">
        <v>0</v>
      </c>
      <c r="N635" s="201" t="s">
        <v>241</v>
      </c>
      <c r="O635" s="201">
        <v>437238.78</v>
      </c>
      <c r="P635" s="201">
        <v>4856.49</v>
      </c>
      <c r="Q635" s="201">
        <f>'Mail Merge'!$O635+'Mail Merge'!$P635</f>
        <v>442095.27</v>
      </c>
      <c r="R635" s="201"/>
      <c r="S635" s="201"/>
      <c r="T635" s="201"/>
      <c r="U635" s="201">
        <f>IF(AND('Mail Merge'!$I635="Did Not Meet",'Mail Merge'!$N635="Did Not Meet"),MIN(ABS('Mail Merge'!$H635),ABS('Mail Merge'!$M635),'Mail Merge'!$Q635),0)</f>
        <v>0</v>
      </c>
      <c r="V635" s="201" t="str">
        <f>IF(OR(IFERROR(SEARCH("Met",'Mail Merge'!$N635),0)&gt;0,IFERROR(SEARCH("Met",'Mail Merge'!$I635),0)&gt;0),"Met","Not Met")</f>
        <v>Met</v>
      </c>
    </row>
    <row r="636" spans="1:22" x14ac:dyDescent="0.35">
      <c r="A636" s="198" t="s">
        <v>65</v>
      </c>
      <c r="B636" s="199">
        <v>2187</v>
      </c>
      <c r="C636" s="199" t="s">
        <v>31</v>
      </c>
      <c r="D636" s="199">
        <v>1391</v>
      </c>
      <c r="E636" s="199">
        <v>11228096.84</v>
      </c>
      <c r="F636" s="199">
        <v>1606524.81</v>
      </c>
      <c r="G636" s="199">
        <f>'Mail Merge'!$E636+'Mail Merge'!$F636</f>
        <v>12834621.65</v>
      </c>
      <c r="H636" s="199">
        <v>0</v>
      </c>
      <c r="I636" s="199" t="s">
        <v>241</v>
      </c>
      <c r="J636" s="199">
        <f>IFERROR('Mail Merge'!$E636/'Mail Merge'!$D636,0)</f>
        <v>8071.9603450754848</v>
      </c>
      <c r="K636" s="199">
        <f>IFERROR('Mail Merge'!$F636/'Mail Merge'!$D636,0)</f>
        <v>1154.9423508267434</v>
      </c>
      <c r="L636" s="199">
        <f>IFERROR('Mail Merge'!$G636/'Mail Merge'!$D636,0)</f>
        <v>9226.9026959022285</v>
      </c>
      <c r="M636" s="199">
        <v>0</v>
      </c>
      <c r="N636" s="199" t="s">
        <v>241</v>
      </c>
      <c r="O636" s="199">
        <v>1595010.64</v>
      </c>
      <c r="P636" s="199">
        <v>9946.7000000000007</v>
      </c>
      <c r="Q636" s="199">
        <f>'Mail Merge'!$O636+'Mail Merge'!$P636</f>
        <v>1604957.3399999999</v>
      </c>
      <c r="R636" s="199"/>
      <c r="S636" s="199"/>
      <c r="T636" s="199"/>
      <c r="U636" s="199">
        <f>IF(AND('Mail Merge'!$I636="Did Not Meet",'Mail Merge'!$N636="Did Not Meet"),MIN(ABS('Mail Merge'!$H636),ABS('Mail Merge'!$M636),'Mail Merge'!$Q636),0)</f>
        <v>0</v>
      </c>
      <c r="V636" s="199" t="str">
        <f>IF(OR(IFERROR(SEARCH("Met",'Mail Merge'!$N636),0)&gt;0,IFERROR(SEARCH("Met",'Mail Merge'!$I636),0)&gt;0),"Met","Not Met")</f>
        <v>Met</v>
      </c>
    </row>
    <row r="637" spans="1:22" x14ac:dyDescent="0.35">
      <c r="A637" s="200" t="s">
        <v>66</v>
      </c>
      <c r="B637" s="201">
        <v>2253</v>
      </c>
      <c r="C637" s="201" t="s">
        <v>31</v>
      </c>
      <c r="D637" s="201">
        <v>121</v>
      </c>
      <c r="E637" s="201">
        <v>894977.75</v>
      </c>
      <c r="F637" s="201">
        <v>29356.73</v>
      </c>
      <c r="G637" s="201">
        <f>'Mail Merge'!$E637+'Mail Merge'!$F637</f>
        <v>924334.48</v>
      </c>
      <c r="H637" s="201">
        <v>0</v>
      </c>
      <c r="I637" s="201" t="s">
        <v>241</v>
      </c>
      <c r="J637" s="201">
        <f>IFERROR('Mail Merge'!$E637/'Mail Merge'!$D637,0)</f>
        <v>7396.5103305785124</v>
      </c>
      <c r="K637" s="201">
        <f>IFERROR('Mail Merge'!$F637/'Mail Merge'!$D637,0)</f>
        <v>242.61760330578511</v>
      </c>
      <c r="L637" s="201">
        <f>IFERROR('Mail Merge'!$G637/'Mail Merge'!$D637,0)</f>
        <v>7639.1279338842978</v>
      </c>
      <c r="M637" s="201">
        <v>0</v>
      </c>
      <c r="N637" s="201" t="s">
        <v>241</v>
      </c>
      <c r="O637" s="201">
        <v>142103.85999999999</v>
      </c>
      <c r="P637" s="201">
        <v>1293.1500000000001</v>
      </c>
      <c r="Q637" s="201">
        <f>'Mail Merge'!$O637+'Mail Merge'!$P637</f>
        <v>143397.00999999998</v>
      </c>
      <c r="R637" s="201"/>
      <c r="S637" s="201"/>
      <c r="T637" s="201"/>
      <c r="U637" s="201">
        <f>IF(AND('Mail Merge'!$I637="Did Not Meet",'Mail Merge'!$N637="Did Not Meet"),MIN(ABS('Mail Merge'!$H637),ABS('Mail Merge'!$M637),'Mail Merge'!$Q637),0)</f>
        <v>0</v>
      </c>
      <c r="V637" s="201" t="str">
        <f>IF(OR(IFERROR(SEARCH("Met",'Mail Merge'!$N637),0)&gt;0,IFERROR(SEARCH("Met",'Mail Merge'!$I637),0)&gt;0),"Met","Not Met")</f>
        <v>Met</v>
      </c>
    </row>
    <row r="638" spans="1:22" x14ac:dyDescent="0.35">
      <c r="A638" s="198" t="s">
        <v>67</v>
      </c>
      <c r="B638" s="199">
        <v>2011</v>
      </c>
      <c r="C638" s="199" t="s">
        <v>31</v>
      </c>
      <c r="D638" s="199">
        <v>10</v>
      </c>
      <c r="E638" s="199">
        <v>10474.56</v>
      </c>
      <c r="F638" s="199">
        <v>79739.009999999995</v>
      </c>
      <c r="G638" s="199">
        <f>'Mail Merge'!$E638+'Mail Merge'!$F638</f>
        <v>90213.569999999992</v>
      </c>
      <c r="H638" s="199">
        <v>0</v>
      </c>
      <c r="I638" s="199" t="s">
        <v>240</v>
      </c>
      <c r="J638" s="199">
        <f>IFERROR('Mail Merge'!$E638/'Mail Merge'!$D638,0)</f>
        <v>1047.4559999999999</v>
      </c>
      <c r="K638" s="199">
        <f>IFERROR('Mail Merge'!$F638/'Mail Merge'!$D638,0)</f>
        <v>7973.9009999999998</v>
      </c>
      <c r="L638" s="199">
        <f>IFERROR('Mail Merge'!$G638/'Mail Merge'!$D638,0)</f>
        <v>9021.357</v>
      </c>
      <c r="M638" s="199">
        <v>0</v>
      </c>
      <c r="N638" s="199" t="s">
        <v>240</v>
      </c>
      <c r="O638" s="199">
        <v>8951.1200000000008</v>
      </c>
      <c r="P638" s="199">
        <v>933.94</v>
      </c>
      <c r="Q638" s="199">
        <f>'Mail Merge'!$O638+'Mail Merge'!$P638</f>
        <v>9885.0600000000013</v>
      </c>
      <c r="R638" s="199"/>
      <c r="S638" s="199"/>
      <c r="T638" s="199"/>
      <c r="U638" s="199">
        <f>IF(AND('Mail Merge'!$I638="Did Not Meet",'Mail Merge'!$N638="Did Not Meet"),MIN(ABS('Mail Merge'!$H638),ABS('Mail Merge'!$M638),'Mail Merge'!$Q638),0)</f>
        <v>0</v>
      </c>
      <c r="V638" s="199" t="str">
        <f>IF(OR(IFERROR(SEARCH("Met",'Mail Merge'!$N638),0)&gt;0,IFERROR(SEARCH("Met",'Mail Merge'!$I638),0)&gt;0),"Met","Not Met")</f>
        <v>Not Met</v>
      </c>
    </row>
    <row r="639" spans="1:22" x14ac:dyDescent="0.35">
      <c r="A639" s="200" t="s">
        <v>68</v>
      </c>
      <c r="B639" s="201">
        <v>2017</v>
      </c>
      <c r="C639" s="201" t="s">
        <v>31</v>
      </c>
      <c r="D639" s="201">
        <v>0</v>
      </c>
      <c r="E639" s="201">
        <v>0</v>
      </c>
      <c r="F639" s="201">
        <v>3821</v>
      </c>
      <c r="G639" s="201">
        <f>'Mail Merge'!$E639+'Mail Merge'!$F639</f>
        <v>3821</v>
      </c>
      <c r="H639" s="201">
        <v>0</v>
      </c>
      <c r="I639" s="201" t="s">
        <v>240</v>
      </c>
      <c r="J639" s="201">
        <f>IFERROR('Mail Merge'!$E639/'Mail Merge'!$D639,0)</f>
        <v>0</v>
      </c>
      <c r="K639" s="201">
        <f>IFERROR('Mail Merge'!$F639/'Mail Merge'!$D639,0)</f>
        <v>0</v>
      </c>
      <c r="L639" s="201">
        <f>IFERROR('Mail Merge'!$G639/'Mail Merge'!$D639,0)</f>
        <v>0</v>
      </c>
      <c r="M639" s="201">
        <v>0</v>
      </c>
      <c r="N639" s="201" t="s">
        <v>240</v>
      </c>
      <c r="O639" s="201">
        <v>1945.33</v>
      </c>
      <c r="P639" s="201">
        <v>0</v>
      </c>
      <c r="Q639" s="201">
        <f>'Mail Merge'!$O639+'Mail Merge'!$P639</f>
        <v>1945.33</v>
      </c>
      <c r="R639" s="201"/>
      <c r="S639" s="201"/>
      <c r="T639" s="201"/>
      <c r="U639" s="201">
        <f>IF(AND('Mail Merge'!$I639="Did Not Meet",'Mail Merge'!$N639="Did Not Meet"),MIN(ABS('Mail Merge'!$H639),ABS('Mail Merge'!$M639),'Mail Merge'!$Q639),0)</f>
        <v>0</v>
      </c>
      <c r="V639" s="201" t="str">
        <f>IF(OR(IFERROR(SEARCH("Met",'Mail Merge'!$N639),0)&gt;0,IFERROR(SEARCH("Met",'Mail Merge'!$I639),0)&gt;0),"Met","Not Met")</f>
        <v>Not Met</v>
      </c>
    </row>
    <row r="640" spans="1:22" x14ac:dyDescent="0.35">
      <c r="A640" s="198" t="s">
        <v>69</v>
      </c>
      <c r="B640" s="199">
        <v>2021</v>
      </c>
      <c r="C640" s="199" t="s">
        <v>31</v>
      </c>
      <c r="D640" s="199">
        <v>0</v>
      </c>
      <c r="E640" s="199">
        <v>3817</v>
      </c>
      <c r="F640" s="199">
        <v>760</v>
      </c>
      <c r="G640" s="199">
        <f>'Mail Merge'!$E640+'Mail Merge'!$F640</f>
        <v>4577</v>
      </c>
      <c r="H640" s="199">
        <v>0</v>
      </c>
      <c r="I640" s="199"/>
      <c r="J640" s="199">
        <f>IFERROR('Mail Merge'!$E640/'Mail Merge'!$D640,0)</f>
        <v>0</v>
      </c>
      <c r="K640" s="199">
        <f>IFERROR('Mail Merge'!$F640/'Mail Merge'!$D640,0)</f>
        <v>0</v>
      </c>
      <c r="L640" s="199">
        <f>IFERROR('Mail Merge'!$G640/'Mail Merge'!$D640,0)</f>
        <v>0</v>
      </c>
      <c r="M640" s="199">
        <v>0</v>
      </c>
      <c r="N640" s="199"/>
      <c r="O640" s="199">
        <v>0</v>
      </c>
      <c r="P640" s="199">
        <v>0</v>
      </c>
      <c r="Q640" s="199">
        <f>'Mail Merge'!$O640+'Mail Merge'!$P640</f>
        <v>0</v>
      </c>
      <c r="R640" s="199"/>
      <c r="S640" s="199"/>
      <c r="T640" s="199"/>
      <c r="U640" s="199">
        <f>IF(AND('Mail Merge'!$I640="Did Not Meet",'Mail Merge'!$N640="Did Not Meet"),MIN(ABS('Mail Merge'!$H640),ABS('Mail Merge'!$M640),'Mail Merge'!$Q640),0)</f>
        <v>0</v>
      </c>
      <c r="V640" s="199" t="str">
        <f>IF(OR(IFERROR(SEARCH("Met",'Mail Merge'!$N640),0)&gt;0,IFERROR(SEARCH("Met",'Mail Merge'!$I640),0)&gt;0),"Met","Not Met")</f>
        <v>Not Met</v>
      </c>
    </row>
    <row r="641" spans="1:22" x14ac:dyDescent="0.35">
      <c r="A641" s="200" t="s">
        <v>70</v>
      </c>
      <c r="B641" s="201">
        <v>1993</v>
      </c>
      <c r="C641" s="201" t="s">
        <v>31</v>
      </c>
      <c r="D641" s="201">
        <v>22</v>
      </c>
      <c r="E641" s="201">
        <v>143785.93</v>
      </c>
      <c r="F641" s="201">
        <v>38962.559999999998</v>
      </c>
      <c r="G641" s="201">
        <f>'Mail Merge'!$E641+'Mail Merge'!$F641</f>
        <v>182748.49</v>
      </c>
      <c r="H641" s="201">
        <v>0</v>
      </c>
      <c r="I641" s="201" t="s">
        <v>241</v>
      </c>
      <c r="J641" s="201">
        <f>IFERROR('Mail Merge'!$E641/'Mail Merge'!$D641,0)</f>
        <v>6535.7240909090906</v>
      </c>
      <c r="K641" s="201">
        <f>IFERROR('Mail Merge'!$F641/'Mail Merge'!$D641,0)</f>
        <v>1771.0254545454545</v>
      </c>
      <c r="L641" s="201">
        <f>IFERROR('Mail Merge'!$G641/'Mail Merge'!$D641,0)</f>
        <v>8306.7495454545442</v>
      </c>
      <c r="M641" s="201">
        <v>0</v>
      </c>
      <c r="N641" s="201" t="s">
        <v>240</v>
      </c>
      <c r="O641" s="201">
        <v>46855.69</v>
      </c>
      <c r="P641" s="201">
        <v>0</v>
      </c>
      <c r="Q641" s="201">
        <f>'Mail Merge'!$O641+'Mail Merge'!$P641</f>
        <v>46855.69</v>
      </c>
      <c r="R641" s="201"/>
      <c r="S641" s="201"/>
      <c r="T641" s="201"/>
      <c r="U641" s="201">
        <f>IF(AND('Mail Merge'!$I641="Did Not Meet",'Mail Merge'!$N641="Did Not Meet"),MIN(ABS('Mail Merge'!$H641),ABS('Mail Merge'!$M641),'Mail Merge'!$Q641),0)</f>
        <v>0</v>
      </c>
      <c r="V641" s="201" t="str">
        <f>IF(OR(IFERROR(SEARCH("Met",'Mail Merge'!$N641),0)&gt;0,IFERROR(SEARCH("Met",'Mail Merge'!$I641),0)&gt;0),"Met","Not Met")</f>
        <v>Met</v>
      </c>
    </row>
    <row r="642" spans="1:22" x14ac:dyDescent="0.35">
      <c r="A642" s="198" t="s">
        <v>71</v>
      </c>
      <c r="B642" s="199">
        <v>1991</v>
      </c>
      <c r="C642" s="199" t="s">
        <v>31</v>
      </c>
      <c r="D642" s="199">
        <v>684</v>
      </c>
      <c r="E642" s="199">
        <v>5035313.58</v>
      </c>
      <c r="F642" s="199">
        <v>1273734.6499999999</v>
      </c>
      <c r="G642" s="199">
        <f>'Mail Merge'!$E642+'Mail Merge'!$F642</f>
        <v>6309048.2300000004</v>
      </c>
      <c r="H642" s="199">
        <v>0</v>
      </c>
      <c r="I642" s="199" t="s">
        <v>241</v>
      </c>
      <c r="J642" s="199">
        <f>IFERROR('Mail Merge'!$E642/'Mail Merge'!$D642,0)</f>
        <v>7361.5695614035085</v>
      </c>
      <c r="K642" s="199">
        <f>IFERROR('Mail Merge'!$F642/'Mail Merge'!$D642,0)</f>
        <v>1862.1851608187133</v>
      </c>
      <c r="L642" s="199">
        <f>IFERROR('Mail Merge'!$G642/'Mail Merge'!$D642,0)</f>
        <v>9223.754722222222</v>
      </c>
      <c r="M642" s="199">
        <v>0</v>
      </c>
      <c r="N642" s="199" t="s">
        <v>241</v>
      </c>
      <c r="O642" s="199">
        <v>1009327.15</v>
      </c>
      <c r="P642" s="199">
        <v>11661.65</v>
      </c>
      <c r="Q642" s="199">
        <f>'Mail Merge'!$O642+'Mail Merge'!$P642</f>
        <v>1020988.8</v>
      </c>
      <c r="R642" s="199"/>
      <c r="S642" s="199"/>
      <c r="T642" s="199"/>
      <c r="U642" s="199">
        <f>IF(AND('Mail Merge'!$I642="Did Not Meet",'Mail Merge'!$N642="Did Not Meet"),MIN(ABS('Mail Merge'!$H642),ABS('Mail Merge'!$M642),'Mail Merge'!$Q642),0)</f>
        <v>0</v>
      </c>
      <c r="V642" s="199" t="str">
        <f>IF(OR(IFERROR(SEARCH("Met",'Mail Merge'!$N642),0)&gt;0,IFERROR(SEARCH("Met",'Mail Merge'!$I642),0)&gt;0),"Met","Not Met")</f>
        <v>Met</v>
      </c>
    </row>
    <row r="643" spans="1:22" x14ac:dyDescent="0.35">
      <c r="A643" s="200" t="s">
        <v>72</v>
      </c>
      <c r="B643" s="201">
        <v>2019</v>
      </c>
      <c r="C643" s="201" t="s">
        <v>31</v>
      </c>
      <c r="D643" s="201">
        <v>2</v>
      </c>
      <c r="E643" s="201">
        <v>5595</v>
      </c>
      <c r="F643" s="201">
        <v>3641</v>
      </c>
      <c r="G643" s="201">
        <f>'Mail Merge'!$E643+'Mail Merge'!$F643</f>
        <v>9236</v>
      </c>
      <c r="H643" s="201">
        <v>0</v>
      </c>
      <c r="I643" s="201" t="s">
        <v>240</v>
      </c>
      <c r="J643" s="201">
        <f>IFERROR('Mail Merge'!$E643/'Mail Merge'!$D643,0)</f>
        <v>2797.5</v>
      </c>
      <c r="K643" s="201">
        <f>IFERROR('Mail Merge'!$F643/'Mail Merge'!$D643,0)</f>
        <v>1820.5</v>
      </c>
      <c r="L643" s="201">
        <f>IFERROR('Mail Merge'!$G643/'Mail Merge'!$D643,0)</f>
        <v>4618</v>
      </c>
      <c r="M643" s="201">
        <v>0</v>
      </c>
      <c r="N643" s="201" t="s">
        <v>240</v>
      </c>
      <c r="O643" s="201">
        <v>2329.42</v>
      </c>
      <c r="P643" s="201">
        <v>0</v>
      </c>
      <c r="Q643" s="201">
        <f>'Mail Merge'!$O643+'Mail Merge'!$P643</f>
        <v>2329.42</v>
      </c>
      <c r="R643" s="201"/>
      <c r="S643" s="201"/>
      <c r="T643" s="201"/>
      <c r="U643" s="201">
        <f>IF(AND('Mail Merge'!$I643="Did Not Meet",'Mail Merge'!$N643="Did Not Meet"),MIN(ABS('Mail Merge'!$H643),ABS('Mail Merge'!$M643),'Mail Merge'!$Q643),0)</f>
        <v>0</v>
      </c>
      <c r="V643" s="201" t="str">
        <f>IF(OR(IFERROR(SEARCH("Met",'Mail Merge'!$N643),0)&gt;0,IFERROR(SEARCH("Met",'Mail Merge'!$I643),0)&gt;0),"Met","Not Met")</f>
        <v>Not Met</v>
      </c>
    </row>
    <row r="644" spans="1:22" x14ac:dyDescent="0.35">
      <c r="A644" s="198" t="s">
        <v>73</v>
      </c>
      <c r="B644" s="199">
        <v>2229</v>
      </c>
      <c r="C644" s="199" t="s">
        <v>31</v>
      </c>
      <c r="D644" s="199">
        <v>36</v>
      </c>
      <c r="E644" s="199">
        <v>184754.47</v>
      </c>
      <c r="F644" s="199">
        <v>0</v>
      </c>
      <c r="G644" s="199">
        <f>'Mail Merge'!$E644+'Mail Merge'!$F644</f>
        <v>184754.47</v>
      </c>
      <c r="H644" s="199">
        <v>0</v>
      </c>
      <c r="I644" s="199" t="s">
        <v>242</v>
      </c>
      <c r="J644" s="199">
        <f>IFERROR('Mail Merge'!$E644/'Mail Merge'!$D644,0)</f>
        <v>5132.0686111111108</v>
      </c>
      <c r="K644" s="199">
        <f>IFERROR('Mail Merge'!$F644/'Mail Merge'!$D644,0)</f>
        <v>0</v>
      </c>
      <c r="L644" s="199">
        <f>IFERROR('Mail Merge'!$G644/'Mail Merge'!$D644,0)</f>
        <v>5132.0686111111108</v>
      </c>
      <c r="M644" s="199">
        <v>0</v>
      </c>
      <c r="N644" s="199" t="s">
        <v>240</v>
      </c>
      <c r="O644" s="199">
        <v>37686.67</v>
      </c>
      <c r="P644" s="199">
        <v>280.18</v>
      </c>
      <c r="Q644" s="199">
        <f>'Mail Merge'!$O644+'Mail Merge'!$P644</f>
        <v>37966.85</v>
      </c>
      <c r="R644" s="199"/>
      <c r="S644" s="199">
        <v>14358.37</v>
      </c>
      <c r="T644" s="199"/>
      <c r="U644" s="199">
        <f>IF(AND('Mail Merge'!$I644="Did Not Meet",'Mail Merge'!$N644="Did Not Meet"),MIN(ABS('Mail Merge'!$H644),ABS('Mail Merge'!$M644),'Mail Merge'!$Q644),0)</f>
        <v>0</v>
      </c>
      <c r="V644" s="199" t="str">
        <f>IF(OR(IFERROR(SEARCH("Met",'Mail Merge'!$N644),0)&gt;0,IFERROR(SEARCH("Met",'Mail Merge'!$I644),0)&gt;0),"Met","Not Met")</f>
        <v>Met</v>
      </c>
    </row>
    <row r="645" spans="1:22" x14ac:dyDescent="0.35">
      <c r="A645" s="200" t="s">
        <v>74</v>
      </c>
      <c r="B645" s="201">
        <v>2043</v>
      </c>
      <c r="C645" s="201" t="s">
        <v>31</v>
      </c>
      <c r="D645" s="201">
        <v>515</v>
      </c>
      <c r="E645" s="201">
        <v>2772120.21</v>
      </c>
      <c r="F645" s="201">
        <v>1064313.58</v>
      </c>
      <c r="G645" s="201">
        <f>'Mail Merge'!$E645+'Mail Merge'!$F645</f>
        <v>3836433.79</v>
      </c>
      <c r="H645" s="201">
        <v>0</v>
      </c>
      <c r="I645" s="201" t="s">
        <v>241</v>
      </c>
      <c r="J645" s="201">
        <f>IFERROR('Mail Merge'!$E645/'Mail Merge'!$D645,0)</f>
        <v>5382.7576893203886</v>
      </c>
      <c r="K645" s="201">
        <f>IFERROR('Mail Merge'!$F645/'Mail Merge'!$D645,0)</f>
        <v>2066.6283106796118</v>
      </c>
      <c r="L645" s="201">
        <f>IFERROR('Mail Merge'!$G645/'Mail Merge'!$D645,0)</f>
        <v>7449.3860000000004</v>
      </c>
      <c r="M645" s="201">
        <v>0</v>
      </c>
      <c r="N645" s="201" t="s">
        <v>240</v>
      </c>
      <c r="O645" s="201">
        <v>640368.26</v>
      </c>
      <c r="P645" s="201">
        <v>6064.55</v>
      </c>
      <c r="Q645" s="201">
        <f>'Mail Merge'!$O645+'Mail Merge'!$P645</f>
        <v>646432.81000000006</v>
      </c>
      <c r="R645" s="201"/>
      <c r="S645" s="201"/>
      <c r="T645" s="201"/>
      <c r="U645" s="201">
        <f>IF(AND('Mail Merge'!$I645="Did Not Meet",'Mail Merge'!$N645="Did Not Meet"),MIN(ABS('Mail Merge'!$H645),ABS('Mail Merge'!$M645),'Mail Merge'!$Q645),0)</f>
        <v>0</v>
      </c>
      <c r="V645" s="201" t="str">
        <f>IF(OR(IFERROR(SEARCH("Met",'Mail Merge'!$N645),0)&gt;0,IFERROR(SEARCH("Met",'Mail Merge'!$I645),0)&gt;0),"Met","Not Met")</f>
        <v>Met</v>
      </c>
    </row>
    <row r="646" spans="1:22" x14ac:dyDescent="0.35">
      <c r="A646" s="198" t="s">
        <v>75</v>
      </c>
      <c r="B646" s="199">
        <v>2203</v>
      </c>
      <c r="C646" s="199" t="s">
        <v>31</v>
      </c>
      <c r="D646" s="199">
        <v>30</v>
      </c>
      <c r="E646" s="199">
        <v>152460.85</v>
      </c>
      <c r="F646" s="199">
        <v>48255.02</v>
      </c>
      <c r="G646" s="199">
        <f>'Mail Merge'!$E646+'Mail Merge'!$F646</f>
        <v>200715.87</v>
      </c>
      <c r="H646" s="199">
        <v>0</v>
      </c>
      <c r="I646" s="199" t="s">
        <v>241</v>
      </c>
      <c r="J646" s="199">
        <f>IFERROR('Mail Merge'!$E646/'Mail Merge'!$D646,0)</f>
        <v>5082.0283333333336</v>
      </c>
      <c r="K646" s="199">
        <f>IFERROR('Mail Merge'!$F646/'Mail Merge'!$D646,0)</f>
        <v>1608.5006666666666</v>
      </c>
      <c r="L646" s="199">
        <f>IFERROR('Mail Merge'!$G646/'Mail Merge'!$D646,0)</f>
        <v>6690.5289999999995</v>
      </c>
      <c r="M646" s="199">
        <v>0</v>
      </c>
      <c r="N646" s="199" t="s">
        <v>241</v>
      </c>
      <c r="O646" s="199">
        <v>34492.699999999997</v>
      </c>
      <c r="P646" s="199">
        <v>233.49</v>
      </c>
      <c r="Q646" s="199">
        <f>'Mail Merge'!$O646+'Mail Merge'!$P646</f>
        <v>34726.189999999995</v>
      </c>
      <c r="R646" s="199"/>
      <c r="S646" s="199"/>
      <c r="T646" s="199"/>
      <c r="U646" s="199">
        <f>IF(AND('Mail Merge'!$I646="Did Not Meet",'Mail Merge'!$N646="Did Not Meet"),MIN(ABS('Mail Merge'!$H646),ABS('Mail Merge'!$M646),'Mail Merge'!$Q646),0)</f>
        <v>0</v>
      </c>
      <c r="V646" s="199" t="str">
        <f>IF(OR(IFERROR(SEARCH("Met",'Mail Merge'!$N646),0)&gt;0,IFERROR(SEARCH("Met",'Mail Merge'!$I646),0)&gt;0),"Met","Not Met")</f>
        <v>Met</v>
      </c>
    </row>
    <row r="647" spans="1:22" x14ac:dyDescent="0.35">
      <c r="A647" s="200" t="s">
        <v>76</v>
      </c>
      <c r="B647" s="201">
        <v>2217</v>
      </c>
      <c r="C647" s="201" t="s">
        <v>31</v>
      </c>
      <c r="D647" s="201">
        <v>54</v>
      </c>
      <c r="E647" s="201">
        <v>392292.89</v>
      </c>
      <c r="F647" s="201">
        <v>117539</v>
      </c>
      <c r="G647" s="201">
        <f>'Mail Merge'!$E647+'Mail Merge'!$F647</f>
        <v>509831.89</v>
      </c>
      <c r="H647" s="201">
        <v>0</v>
      </c>
      <c r="I647" s="201" t="s">
        <v>241</v>
      </c>
      <c r="J647" s="201">
        <f>IFERROR('Mail Merge'!$E647/'Mail Merge'!$D647,0)</f>
        <v>7264.6831481481486</v>
      </c>
      <c r="K647" s="201">
        <f>IFERROR('Mail Merge'!$F647/'Mail Merge'!$D647,0)</f>
        <v>2176.6481481481483</v>
      </c>
      <c r="L647" s="201">
        <f>IFERROR('Mail Merge'!$G647/'Mail Merge'!$D647,0)</f>
        <v>9441.3312962962973</v>
      </c>
      <c r="M647" s="201">
        <v>0</v>
      </c>
      <c r="N647" s="201" t="s">
        <v>241</v>
      </c>
      <c r="O647" s="201">
        <v>66598.94</v>
      </c>
      <c r="P647" s="201">
        <v>58.37</v>
      </c>
      <c r="Q647" s="201">
        <f>'Mail Merge'!$O647+'Mail Merge'!$P647</f>
        <v>66657.31</v>
      </c>
      <c r="R647" s="201"/>
      <c r="S647" s="201"/>
      <c r="T647" s="201"/>
      <c r="U647" s="201">
        <f>IF(AND('Mail Merge'!$I647="Did Not Meet",'Mail Merge'!$N647="Did Not Meet"),MIN(ABS('Mail Merge'!$H647),ABS('Mail Merge'!$M647),'Mail Merge'!$Q647),0)</f>
        <v>0</v>
      </c>
      <c r="V647" s="201" t="str">
        <f>IF(OR(IFERROR(SEARCH("Met",'Mail Merge'!$N647),0)&gt;0,IFERROR(SEARCH("Met",'Mail Merge'!$I647),0)&gt;0),"Met","Not Met")</f>
        <v>Met</v>
      </c>
    </row>
    <row r="648" spans="1:22" x14ac:dyDescent="0.35">
      <c r="A648" s="198" t="s">
        <v>77</v>
      </c>
      <c r="B648" s="199">
        <v>1998</v>
      </c>
      <c r="C648" s="199" t="s">
        <v>31</v>
      </c>
      <c r="D648" s="199">
        <v>43</v>
      </c>
      <c r="E648" s="199">
        <v>79231.66</v>
      </c>
      <c r="F648" s="199">
        <v>53359.89</v>
      </c>
      <c r="G648" s="199">
        <f>'Mail Merge'!$E648+'Mail Merge'!$F648</f>
        <v>132591.54999999999</v>
      </c>
      <c r="H648" s="199">
        <v>0</v>
      </c>
      <c r="I648" s="199" t="s">
        <v>241</v>
      </c>
      <c r="J648" s="199">
        <f>IFERROR('Mail Merge'!$E648/'Mail Merge'!$D648,0)</f>
        <v>1842.5967441860466</v>
      </c>
      <c r="K648" s="199">
        <f>IFERROR('Mail Merge'!$F648/'Mail Merge'!$D648,0)</f>
        <v>1240.9276744186047</v>
      </c>
      <c r="L648" s="199">
        <f>IFERROR('Mail Merge'!$G648/'Mail Merge'!$D648,0)</f>
        <v>3083.5244186046507</v>
      </c>
      <c r="M648" s="199">
        <v>0</v>
      </c>
      <c r="N648" s="199" t="s">
        <v>240</v>
      </c>
      <c r="O648" s="199">
        <v>43072.26</v>
      </c>
      <c r="P648" s="199">
        <v>466.97</v>
      </c>
      <c r="Q648" s="199">
        <f>'Mail Merge'!$O648+'Mail Merge'!$P648</f>
        <v>43539.23</v>
      </c>
      <c r="R648" s="199"/>
      <c r="S648" s="199"/>
      <c r="T648" s="199"/>
      <c r="U648" s="199">
        <f>IF(AND('Mail Merge'!$I648="Did Not Meet",'Mail Merge'!$N648="Did Not Meet"),MIN(ABS('Mail Merge'!$H648),ABS('Mail Merge'!$M648),'Mail Merge'!$Q648),0)</f>
        <v>0</v>
      </c>
      <c r="V648" s="199" t="str">
        <f>IF(OR(IFERROR(SEARCH("Met",'Mail Merge'!$N648),0)&gt;0,IFERROR(SEARCH("Met",'Mail Merge'!$I648),0)&gt;0),"Met","Not Met")</f>
        <v>Met</v>
      </c>
    </row>
    <row r="649" spans="1:22" x14ac:dyDescent="0.35">
      <c r="A649" s="200" t="s">
        <v>78</v>
      </c>
      <c r="B649" s="201">
        <v>2221</v>
      </c>
      <c r="C649" s="201" t="s">
        <v>31</v>
      </c>
      <c r="D649" s="201">
        <v>50</v>
      </c>
      <c r="E649" s="201">
        <v>87.99</v>
      </c>
      <c r="F649" s="201">
        <v>279538.34000000003</v>
      </c>
      <c r="G649" s="201">
        <f>'Mail Merge'!$E649+'Mail Merge'!$F649</f>
        <v>279626.33</v>
      </c>
      <c r="H649" s="201">
        <v>0</v>
      </c>
      <c r="I649" s="201" t="s">
        <v>240</v>
      </c>
      <c r="J649" s="201">
        <f>IFERROR('Mail Merge'!$E649/'Mail Merge'!$D649,0)</f>
        <v>1.7597999999999998</v>
      </c>
      <c r="K649" s="201">
        <f>IFERROR('Mail Merge'!$F649/'Mail Merge'!$D649,0)</f>
        <v>5590.7668000000003</v>
      </c>
      <c r="L649" s="201">
        <f>IFERROR('Mail Merge'!$G649/'Mail Merge'!$D649,0)</f>
        <v>5592.5266000000001</v>
      </c>
      <c r="M649" s="201">
        <v>0</v>
      </c>
      <c r="N649" s="201" t="s">
        <v>240</v>
      </c>
      <c r="O649" s="201">
        <v>79708.570000000007</v>
      </c>
      <c r="P649" s="201">
        <v>933.94</v>
      </c>
      <c r="Q649" s="201">
        <f>'Mail Merge'!$O649+'Mail Merge'!$P649</f>
        <v>80642.510000000009</v>
      </c>
      <c r="R649" s="201"/>
      <c r="S649" s="201"/>
      <c r="T649" s="201"/>
      <c r="U649" s="201">
        <f>IF(AND('Mail Merge'!$I649="Did Not Meet",'Mail Merge'!$N649="Did Not Meet"),MIN(ABS('Mail Merge'!$H649),ABS('Mail Merge'!$M649),'Mail Merge'!$Q649),0)</f>
        <v>0</v>
      </c>
      <c r="V649" s="201" t="str">
        <f>IF(OR(IFERROR(SEARCH("Met",'Mail Merge'!$N649),0)&gt;0,IFERROR(SEARCH("Met",'Mail Merge'!$I649),0)&gt;0),"Met","Not Met")</f>
        <v>Not Met</v>
      </c>
    </row>
    <row r="650" spans="1:22" x14ac:dyDescent="0.35">
      <c r="A650" s="198" t="s">
        <v>79</v>
      </c>
      <c r="B650" s="199">
        <v>1930</v>
      </c>
      <c r="C650" s="199" t="s">
        <v>31</v>
      </c>
      <c r="D650" s="199">
        <v>329</v>
      </c>
      <c r="E650" s="199">
        <v>2172498.2200000002</v>
      </c>
      <c r="F650" s="199">
        <v>655716</v>
      </c>
      <c r="G650" s="199">
        <f>'Mail Merge'!$E650+'Mail Merge'!$F650</f>
        <v>2828214.22</v>
      </c>
      <c r="H650" s="199">
        <v>0</v>
      </c>
      <c r="I650" s="199" t="s">
        <v>242</v>
      </c>
      <c r="J650" s="199">
        <f>IFERROR('Mail Merge'!$E650/'Mail Merge'!$D650,0)</f>
        <v>6603.3380547112465</v>
      </c>
      <c r="K650" s="199">
        <f>IFERROR('Mail Merge'!$F650/'Mail Merge'!$D650,0)</f>
        <v>1993.0577507598784</v>
      </c>
      <c r="L650" s="199">
        <f>IFERROR('Mail Merge'!$G650/'Mail Merge'!$D650,0)</f>
        <v>8596.3958054711256</v>
      </c>
      <c r="M650" s="199">
        <v>0</v>
      </c>
      <c r="N650" s="199" t="s">
        <v>240</v>
      </c>
      <c r="O650" s="199">
        <v>423666.16</v>
      </c>
      <c r="P650" s="199">
        <v>3244.21</v>
      </c>
      <c r="Q650" s="199">
        <f>'Mail Merge'!$O650+'Mail Merge'!$P650</f>
        <v>426910.37</v>
      </c>
      <c r="R650" s="199"/>
      <c r="S650" s="199">
        <v>453289.49</v>
      </c>
      <c r="T650" s="199"/>
      <c r="U650" s="199">
        <f>IF(AND('Mail Merge'!$I650="Did Not Meet",'Mail Merge'!$N650="Did Not Meet"),MIN(ABS('Mail Merge'!$H650),ABS('Mail Merge'!$M650),'Mail Merge'!$Q650),0)</f>
        <v>0</v>
      </c>
      <c r="V650" s="199" t="str">
        <f>IF(OR(IFERROR(SEARCH("Met",'Mail Merge'!$N650),0)&gt;0,IFERROR(SEARCH("Met",'Mail Merge'!$I650),0)&gt;0),"Met","Not Met")</f>
        <v>Met</v>
      </c>
    </row>
    <row r="651" spans="1:22" x14ac:dyDescent="0.35">
      <c r="A651" s="200" t="s">
        <v>80</v>
      </c>
      <c r="B651" s="201">
        <v>2082</v>
      </c>
      <c r="C651" s="201" t="s">
        <v>31</v>
      </c>
      <c r="D651" s="201">
        <v>0</v>
      </c>
      <c r="E651" s="201">
        <v>19870099.620000001</v>
      </c>
      <c r="F651" s="201">
        <v>2191335</v>
      </c>
      <c r="G651" s="201">
        <f>'Mail Merge'!$E651+'Mail Merge'!$F651</f>
        <v>22061434.620000001</v>
      </c>
      <c r="H651" s="201">
        <v>0</v>
      </c>
      <c r="I651" s="201" t="s">
        <v>241</v>
      </c>
      <c r="J651" s="201">
        <f>IFERROR('Mail Merge'!$E651/'Mail Merge'!$D651,0)</f>
        <v>0</v>
      </c>
      <c r="K651" s="201">
        <f>IFERROR('Mail Merge'!$F651/'Mail Merge'!$D651,0)</f>
        <v>0</v>
      </c>
      <c r="L651" s="201">
        <f>IFERROR('Mail Merge'!$G651/'Mail Merge'!$D651,0)</f>
        <v>0</v>
      </c>
      <c r="M651" s="201">
        <v>0</v>
      </c>
      <c r="N651" s="201" t="s">
        <v>241</v>
      </c>
      <c r="O651" s="201">
        <v>2856915.81</v>
      </c>
      <c r="P651" s="201">
        <v>27343.72</v>
      </c>
      <c r="Q651" s="201">
        <f>'Mail Merge'!$O651+'Mail Merge'!$P651</f>
        <v>2884259.5300000003</v>
      </c>
      <c r="R651" s="201"/>
      <c r="S651" s="201"/>
      <c r="T651" s="201"/>
      <c r="U651" s="201">
        <f>IF(AND('Mail Merge'!$I651="Did Not Meet",'Mail Merge'!$N651="Did Not Meet"),MIN(ABS('Mail Merge'!$H651),ABS('Mail Merge'!$M651),'Mail Merge'!$Q651),0)</f>
        <v>0</v>
      </c>
      <c r="V651" s="201" t="str">
        <f>IF(OR(IFERROR(SEARCH("Met",'Mail Merge'!$N651),0)&gt;0,IFERROR(SEARCH("Met",'Mail Merge'!$I651),0)&gt;0),"Met","Not Met")</f>
        <v>Met</v>
      </c>
    </row>
    <row r="652" spans="1:22" x14ac:dyDescent="0.35">
      <c r="A652" s="198" t="s">
        <v>81</v>
      </c>
      <c r="B652" s="199">
        <v>2193</v>
      </c>
      <c r="C652" s="199" t="s">
        <v>31</v>
      </c>
      <c r="D652" s="199">
        <v>32</v>
      </c>
      <c r="E652" s="199">
        <v>314375.7</v>
      </c>
      <c r="F652" s="199">
        <v>26128.9</v>
      </c>
      <c r="G652" s="199">
        <f>'Mail Merge'!$E652+'Mail Merge'!$F652</f>
        <v>340504.60000000003</v>
      </c>
      <c r="H652" s="199">
        <v>0</v>
      </c>
      <c r="I652" s="199" t="s">
        <v>241</v>
      </c>
      <c r="J652" s="199">
        <f>IFERROR('Mail Merge'!$E652/'Mail Merge'!$D652,0)</f>
        <v>9824.2406250000004</v>
      </c>
      <c r="K652" s="199">
        <f>IFERROR('Mail Merge'!$F652/'Mail Merge'!$D652,0)</f>
        <v>816.52812500000005</v>
      </c>
      <c r="L652" s="199">
        <f>IFERROR('Mail Merge'!$G652/'Mail Merge'!$D652,0)</f>
        <v>10640.768750000001</v>
      </c>
      <c r="M652" s="199">
        <v>0</v>
      </c>
      <c r="N652" s="199" t="s">
        <v>241</v>
      </c>
      <c r="O652" s="199">
        <v>35322.53</v>
      </c>
      <c r="P652" s="199">
        <v>0</v>
      </c>
      <c r="Q652" s="199">
        <f>'Mail Merge'!$O652+'Mail Merge'!$P652</f>
        <v>35322.53</v>
      </c>
      <c r="R652" s="199"/>
      <c r="S652" s="199"/>
      <c r="T652" s="199"/>
      <c r="U652" s="199">
        <f>IF(AND('Mail Merge'!$I652="Did Not Meet",'Mail Merge'!$N652="Did Not Meet"),MIN(ABS('Mail Merge'!$H652),ABS('Mail Merge'!$M652),'Mail Merge'!$Q652),0)</f>
        <v>0</v>
      </c>
      <c r="V652" s="199" t="str">
        <f>IF(OR(IFERROR(SEARCH("Met",'Mail Merge'!$N652),0)&gt;0,IFERROR(SEARCH("Met",'Mail Merge'!$I652),0)&gt;0),"Met","Not Met")</f>
        <v>Met</v>
      </c>
    </row>
    <row r="653" spans="1:22" x14ac:dyDescent="0.35">
      <c r="A653" s="200" t="s">
        <v>82</v>
      </c>
      <c r="B653" s="201">
        <v>2084</v>
      </c>
      <c r="C653" s="201" t="s">
        <v>31</v>
      </c>
      <c r="D653" s="201">
        <v>262</v>
      </c>
      <c r="E653" s="201">
        <v>2404404.71</v>
      </c>
      <c r="F653" s="201">
        <v>516214</v>
      </c>
      <c r="G653" s="201">
        <f>'Mail Merge'!$E653+'Mail Merge'!$F653</f>
        <v>2920618.71</v>
      </c>
      <c r="H653" s="201">
        <v>0</v>
      </c>
      <c r="I653" s="201" t="s">
        <v>241</v>
      </c>
      <c r="J653" s="201">
        <f>IFERROR('Mail Merge'!$E653/'Mail Merge'!$D653,0)</f>
        <v>9177.1172137404574</v>
      </c>
      <c r="K653" s="201">
        <f>IFERROR('Mail Merge'!$F653/'Mail Merge'!$D653,0)</f>
        <v>1970.2824427480916</v>
      </c>
      <c r="L653" s="201">
        <f>IFERROR('Mail Merge'!$G653/'Mail Merge'!$D653,0)</f>
        <v>11147.399656488549</v>
      </c>
      <c r="M653" s="201">
        <v>0</v>
      </c>
      <c r="N653" s="201" t="s">
        <v>241</v>
      </c>
      <c r="O653" s="201">
        <v>277232.24</v>
      </c>
      <c r="P653" s="201">
        <v>840.55</v>
      </c>
      <c r="Q653" s="201">
        <f>'Mail Merge'!$O653+'Mail Merge'!$P653</f>
        <v>278072.78999999998</v>
      </c>
      <c r="R653" s="201"/>
      <c r="S653" s="201"/>
      <c r="T653" s="201"/>
      <c r="U653" s="201">
        <f>IF(AND('Mail Merge'!$I653="Did Not Meet",'Mail Merge'!$N653="Did Not Meet"),MIN(ABS('Mail Merge'!$H653),ABS('Mail Merge'!$M653),'Mail Merge'!$Q653),0)</f>
        <v>0</v>
      </c>
      <c r="V653" s="201" t="str">
        <f>IF(OR(IFERROR(SEARCH("Met",'Mail Merge'!$N653),0)&gt;0,IFERROR(SEARCH("Met",'Mail Merge'!$I653),0)&gt;0),"Met","Not Met")</f>
        <v>Met</v>
      </c>
    </row>
    <row r="654" spans="1:22" x14ac:dyDescent="0.35">
      <c r="A654" s="198" t="s">
        <v>83</v>
      </c>
      <c r="B654" s="199">
        <v>2241</v>
      </c>
      <c r="C654" s="199" t="s">
        <v>31</v>
      </c>
      <c r="D654" s="199">
        <v>871</v>
      </c>
      <c r="E654" s="199">
        <v>9883826.1500000004</v>
      </c>
      <c r="F654" s="199">
        <v>689621</v>
      </c>
      <c r="G654" s="199">
        <f>'Mail Merge'!$E654+'Mail Merge'!$F654</f>
        <v>10573447.15</v>
      </c>
      <c r="H654" s="199">
        <v>0</v>
      </c>
      <c r="I654" s="199" t="s">
        <v>241</v>
      </c>
      <c r="J654" s="199">
        <f>IFERROR('Mail Merge'!$E654/'Mail Merge'!$D654,0)</f>
        <v>11347.676406429391</v>
      </c>
      <c r="K654" s="199">
        <f>IFERROR('Mail Merge'!$F654/'Mail Merge'!$D654,0)</f>
        <v>791.75774971297358</v>
      </c>
      <c r="L654" s="199">
        <f>IFERROR('Mail Merge'!$G654/'Mail Merge'!$D654,0)</f>
        <v>12139.434156142366</v>
      </c>
      <c r="M654" s="199">
        <v>0</v>
      </c>
      <c r="N654" s="199" t="s">
        <v>240</v>
      </c>
      <c r="O654" s="199">
        <v>853502.3</v>
      </c>
      <c r="P654" s="199">
        <v>5217.57</v>
      </c>
      <c r="Q654" s="199">
        <f>'Mail Merge'!$O654+'Mail Merge'!$P654</f>
        <v>858719.87</v>
      </c>
      <c r="R654" s="199"/>
      <c r="S654" s="199"/>
      <c r="T654" s="199"/>
      <c r="U654" s="199">
        <f>IF(AND('Mail Merge'!$I654="Did Not Meet",'Mail Merge'!$N654="Did Not Meet"),MIN(ABS('Mail Merge'!$H654),ABS('Mail Merge'!$M654),'Mail Merge'!$Q654),0)</f>
        <v>0</v>
      </c>
      <c r="V654" s="199" t="str">
        <f>IF(OR(IFERROR(SEARCH("Met",'Mail Merge'!$N654),0)&gt;0,IFERROR(SEARCH("Met",'Mail Merge'!$I654),0)&gt;0),"Met","Not Met")</f>
        <v>Met</v>
      </c>
    </row>
    <row r="655" spans="1:22" x14ac:dyDescent="0.35">
      <c r="A655" s="200" t="s">
        <v>84</v>
      </c>
      <c r="B655" s="201">
        <v>2248</v>
      </c>
      <c r="C655" s="201" t="s">
        <v>31</v>
      </c>
      <c r="D655" s="201">
        <v>19</v>
      </c>
      <c r="E655" s="201">
        <v>85371.44</v>
      </c>
      <c r="F655" s="201">
        <v>87725</v>
      </c>
      <c r="G655" s="201">
        <f>'Mail Merge'!$E655+'Mail Merge'!$F655</f>
        <v>173096.44</v>
      </c>
      <c r="H655" s="201">
        <v>0</v>
      </c>
      <c r="I655" s="201" t="s">
        <v>241</v>
      </c>
      <c r="J655" s="201">
        <f>IFERROR('Mail Merge'!$E655/'Mail Merge'!$D655,0)</f>
        <v>4493.233684210526</v>
      </c>
      <c r="K655" s="201">
        <f>IFERROR('Mail Merge'!$F655/'Mail Merge'!$D655,0)</f>
        <v>4617.105263157895</v>
      </c>
      <c r="L655" s="201">
        <f>IFERROR('Mail Merge'!$G655/'Mail Merge'!$D655,0)</f>
        <v>9110.3389473684219</v>
      </c>
      <c r="M655" s="201">
        <v>0</v>
      </c>
      <c r="N655" s="201" t="s">
        <v>241</v>
      </c>
      <c r="O655" s="201">
        <v>26496.09</v>
      </c>
      <c r="P655" s="201">
        <v>0</v>
      </c>
      <c r="Q655" s="201">
        <f>'Mail Merge'!$O655+'Mail Merge'!$P655</f>
        <v>26496.09</v>
      </c>
      <c r="R655" s="201"/>
      <c r="S655" s="201"/>
      <c r="T655" s="201"/>
      <c r="U655" s="201">
        <f>IF(AND('Mail Merge'!$I655="Did Not Meet",'Mail Merge'!$N655="Did Not Meet"),MIN(ABS('Mail Merge'!$H655),ABS('Mail Merge'!$M655),'Mail Merge'!$Q655),0)</f>
        <v>0</v>
      </c>
      <c r="V655" s="201" t="str">
        <f>IF(OR(IFERROR(SEARCH("Met",'Mail Merge'!$N655),0)&gt;0,IFERROR(SEARCH("Met",'Mail Merge'!$I655),0)&gt;0),"Met","Not Met")</f>
        <v>Met</v>
      </c>
    </row>
    <row r="656" spans="1:22" x14ac:dyDescent="0.35">
      <c r="A656" s="198" t="s">
        <v>85</v>
      </c>
      <c r="B656" s="199">
        <v>2020</v>
      </c>
      <c r="C656" s="199" t="s">
        <v>31</v>
      </c>
      <c r="D656" s="199">
        <v>6</v>
      </c>
      <c r="E656" s="199">
        <v>19453.2</v>
      </c>
      <c r="F656" s="199">
        <v>3500</v>
      </c>
      <c r="G656" s="199">
        <f>'Mail Merge'!$E656+'Mail Merge'!$F656</f>
        <v>22953.200000000001</v>
      </c>
      <c r="H656" s="199">
        <v>0</v>
      </c>
      <c r="I656" s="199" t="s">
        <v>241</v>
      </c>
      <c r="J656" s="199">
        <f>IFERROR('Mail Merge'!$E656/'Mail Merge'!$D656,0)</f>
        <v>3242.2000000000003</v>
      </c>
      <c r="K656" s="199">
        <f>IFERROR('Mail Merge'!$F656/'Mail Merge'!$D656,0)</f>
        <v>583.33333333333337</v>
      </c>
      <c r="L656" s="199">
        <f>IFERROR('Mail Merge'!$G656/'Mail Merge'!$D656,0)</f>
        <v>3825.5333333333333</v>
      </c>
      <c r="M656" s="199">
        <v>0</v>
      </c>
      <c r="N656" s="199" t="s">
        <v>240</v>
      </c>
      <c r="O656" s="199">
        <v>0</v>
      </c>
      <c r="P656" s="199">
        <v>0</v>
      </c>
      <c r="Q656" s="199">
        <f>'Mail Merge'!$O656+'Mail Merge'!$P656</f>
        <v>0</v>
      </c>
      <c r="R656" s="199"/>
      <c r="S656" s="199"/>
      <c r="T656" s="199"/>
      <c r="U656" s="199">
        <f>IF(AND('Mail Merge'!$I656="Did Not Meet",'Mail Merge'!$N656="Did Not Meet"),MIN(ABS('Mail Merge'!$H656),ABS('Mail Merge'!$M656),'Mail Merge'!$Q656),0)</f>
        <v>0</v>
      </c>
      <c r="V656" s="199" t="str">
        <f>IF(OR(IFERROR(SEARCH("Met",'Mail Merge'!$N656),0)&gt;0,IFERROR(SEARCH("Met",'Mail Merge'!$I656),0)&gt;0),"Met","Not Met")</f>
        <v>Met</v>
      </c>
    </row>
    <row r="657" spans="1:22" x14ac:dyDescent="0.35">
      <c r="A657" s="200" t="s">
        <v>86</v>
      </c>
      <c r="B657" s="201">
        <v>2245</v>
      </c>
      <c r="C657" s="201" t="s">
        <v>31</v>
      </c>
      <c r="D657" s="201">
        <v>90</v>
      </c>
      <c r="E657" s="201">
        <v>819012.13</v>
      </c>
      <c r="F657" s="201">
        <v>32255</v>
      </c>
      <c r="G657" s="201">
        <f>'Mail Merge'!$E657+'Mail Merge'!$F657</f>
        <v>851267.13</v>
      </c>
      <c r="H657" s="201">
        <v>0</v>
      </c>
      <c r="I657" s="201" t="s">
        <v>241</v>
      </c>
      <c r="J657" s="201">
        <f>IFERROR('Mail Merge'!$E657/'Mail Merge'!$D657,0)</f>
        <v>9100.1347777777773</v>
      </c>
      <c r="K657" s="201">
        <f>IFERROR('Mail Merge'!$F657/'Mail Merge'!$D657,0)</f>
        <v>358.38888888888891</v>
      </c>
      <c r="L657" s="201">
        <f>IFERROR('Mail Merge'!$G657/'Mail Merge'!$D657,0)</f>
        <v>9458.523666666666</v>
      </c>
      <c r="M657" s="201">
        <v>0</v>
      </c>
      <c r="N657" s="201" t="s">
        <v>240</v>
      </c>
      <c r="O657" s="201">
        <v>86877.87</v>
      </c>
      <c r="P657" s="201">
        <v>1167.43</v>
      </c>
      <c r="Q657" s="201">
        <f>'Mail Merge'!$O657+'Mail Merge'!$P657</f>
        <v>88045.299999999988</v>
      </c>
      <c r="R657" s="201"/>
      <c r="S657" s="201"/>
      <c r="T657" s="201"/>
      <c r="U657" s="201">
        <f>IF(AND('Mail Merge'!$I657="Did Not Meet",'Mail Merge'!$N657="Did Not Meet"),MIN(ABS('Mail Merge'!$H657),ABS('Mail Merge'!$M657),'Mail Merge'!$Q657),0)</f>
        <v>0</v>
      </c>
      <c r="V657" s="201" t="str">
        <f>IF(OR(IFERROR(SEARCH("Met",'Mail Merge'!$N657),0)&gt;0,IFERROR(SEARCH("Met",'Mail Merge'!$I657),0)&gt;0),"Met","Not Met")</f>
        <v>Met</v>
      </c>
    </row>
    <row r="658" spans="1:22" x14ac:dyDescent="0.35">
      <c r="A658" s="198" t="s">
        <v>87</v>
      </c>
      <c r="B658" s="199">
        <v>2137</v>
      </c>
      <c r="C658" s="199" t="s">
        <v>31</v>
      </c>
      <c r="D658" s="199">
        <v>156</v>
      </c>
      <c r="E658" s="199">
        <v>1341933.8899999999</v>
      </c>
      <c r="F658" s="199">
        <v>80362.41</v>
      </c>
      <c r="G658" s="199">
        <f>'Mail Merge'!$E658+'Mail Merge'!$F658</f>
        <v>1422296.2999999998</v>
      </c>
      <c r="H658" s="199">
        <v>0</v>
      </c>
      <c r="I658" s="199" t="s">
        <v>241</v>
      </c>
      <c r="J658" s="199">
        <f>IFERROR('Mail Merge'!$E658/'Mail Merge'!$D658,0)</f>
        <v>8602.140320512819</v>
      </c>
      <c r="K658" s="199">
        <f>IFERROR('Mail Merge'!$F658/'Mail Merge'!$D658,0)</f>
        <v>515.14365384615382</v>
      </c>
      <c r="L658" s="199">
        <f>IFERROR('Mail Merge'!$G658/'Mail Merge'!$D658,0)</f>
        <v>9117.2839743589739</v>
      </c>
      <c r="M658" s="199">
        <v>0</v>
      </c>
      <c r="N658" s="199" t="s">
        <v>241</v>
      </c>
      <c r="O658" s="199">
        <v>200711.6</v>
      </c>
      <c r="P658" s="199">
        <v>1508.67</v>
      </c>
      <c r="Q658" s="199">
        <f>'Mail Merge'!$O658+'Mail Merge'!$P658</f>
        <v>202220.27000000002</v>
      </c>
      <c r="R658" s="199"/>
      <c r="S658" s="199"/>
      <c r="T658" s="199"/>
      <c r="U658" s="199">
        <f>IF(AND('Mail Merge'!$I658="Did Not Meet",'Mail Merge'!$N658="Did Not Meet"),MIN(ABS('Mail Merge'!$H658),ABS('Mail Merge'!$M658),'Mail Merge'!$Q658),0)</f>
        <v>0</v>
      </c>
      <c r="V658" s="199" t="str">
        <f>IF(OR(IFERROR(SEARCH("Met",'Mail Merge'!$N658),0)&gt;0,IFERROR(SEARCH("Met",'Mail Merge'!$I658),0)&gt;0),"Met","Not Met")</f>
        <v>Met</v>
      </c>
    </row>
    <row r="659" spans="1:22" x14ac:dyDescent="0.35">
      <c r="A659" s="200" t="s">
        <v>88</v>
      </c>
      <c r="B659" s="201">
        <v>1931</v>
      </c>
      <c r="C659" s="201" t="s">
        <v>31</v>
      </c>
      <c r="D659" s="201">
        <v>296</v>
      </c>
      <c r="E659" s="201">
        <v>2668219</v>
      </c>
      <c r="F659" s="201">
        <v>297195</v>
      </c>
      <c r="G659" s="201">
        <f>'Mail Merge'!$E659+'Mail Merge'!$F659</f>
        <v>2965414</v>
      </c>
      <c r="H659" s="201">
        <v>0</v>
      </c>
      <c r="I659" s="201" t="s">
        <v>241</v>
      </c>
      <c r="J659" s="201">
        <f>IFERROR('Mail Merge'!$E659/'Mail Merge'!$D659,0)</f>
        <v>9014.2533783783783</v>
      </c>
      <c r="K659" s="201">
        <f>IFERROR('Mail Merge'!$F659/'Mail Merge'!$D659,0)</f>
        <v>1004.0371621621622</v>
      </c>
      <c r="L659" s="201">
        <f>IFERROR('Mail Merge'!$G659/'Mail Merge'!$D659,0)</f>
        <v>10018.29054054054</v>
      </c>
      <c r="M659" s="201">
        <v>0</v>
      </c>
      <c r="N659" s="201" t="s">
        <v>241</v>
      </c>
      <c r="O659" s="201">
        <v>353232.47</v>
      </c>
      <c r="P659" s="201">
        <v>922.55</v>
      </c>
      <c r="Q659" s="201">
        <f>'Mail Merge'!$O659+'Mail Merge'!$P659</f>
        <v>354155.01999999996</v>
      </c>
      <c r="R659" s="201"/>
      <c r="S659" s="201"/>
      <c r="T659" s="201"/>
      <c r="U659" s="201">
        <f>IF(AND('Mail Merge'!$I659="Did Not Meet",'Mail Merge'!$N659="Did Not Meet"),MIN(ABS('Mail Merge'!$H659),ABS('Mail Merge'!$M659),'Mail Merge'!$Q659),0)</f>
        <v>0</v>
      </c>
      <c r="V659" s="201" t="str">
        <f>IF(OR(IFERROR(SEARCH("Met",'Mail Merge'!$N659),0)&gt;0,IFERROR(SEARCH("Met",'Mail Merge'!$I659),0)&gt;0),"Met","Not Met")</f>
        <v>Met</v>
      </c>
    </row>
    <row r="660" spans="1:22" x14ac:dyDescent="0.35">
      <c r="A660" s="198" t="s">
        <v>89</v>
      </c>
      <c r="B660" s="199">
        <v>2000</v>
      </c>
      <c r="C660" s="199" t="s">
        <v>31</v>
      </c>
      <c r="D660" s="199">
        <v>39</v>
      </c>
      <c r="E660" s="199">
        <v>463014.26</v>
      </c>
      <c r="F660" s="199">
        <v>56618.98</v>
      </c>
      <c r="G660" s="199">
        <f>'Mail Merge'!$E660+'Mail Merge'!$F660</f>
        <v>519633.24</v>
      </c>
      <c r="H660" s="199">
        <v>0</v>
      </c>
      <c r="I660" s="199" t="s">
        <v>241</v>
      </c>
      <c r="J660" s="199">
        <f>IFERROR('Mail Merge'!$E660/'Mail Merge'!$D660,0)</f>
        <v>11872.160512820514</v>
      </c>
      <c r="K660" s="199">
        <f>IFERROR('Mail Merge'!$F660/'Mail Merge'!$D660,0)</f>
        <v>1451.7687179487179</v>
      </c>
      <c r="L660" s="199">
        <f>IFERROR('Mail Merge'!$G660/'Mail Merge'!$D660,0)</f>
        <v>13323.92923076923</v>
      </c>
      <c r="M660" s="199">
        <v>0</v>
      </c>
      <c r="N660" s="199" t="s">
        <v>241</v>
      </c>
      <c r="O660" s="199">
        <v>57515.360000000001</v>
      </c>
      <c r="P660" s="199">
        <v>233.49</v>
      </c>
      <c r="Q660" s="199">
        <f>'Mail Merge'!$O660+'Mail Merge'!$P660</f>
        <v>57748.85</v>
      </c>
      <c r="R660" s="199"/>
      <c r="S660" s="199"/>
      <c r="T660" s="199"/>
      <c r="U660" s="199">
        <f>IF(AND('Mail Merge'!$I660="Did Not Meet",'Mail Merge'!$N660="Did Not Meet"),MIN(ABS('Mail Merge'!$H660),ABS('Mail Merge'!$M660),'Mail Merge'!$Q660),0)</f>
        <v>0</v>
      </c>
      <c r="V660" s="199" t="str">
        <f>IF(OR(IFERROR(SEARCH("Met",'Mail Merge'!$N660),0)&gt;0,IFERROR(SEARCH("Met",'Mail Merge'!$I660),0)&gt;0),"Met","Not Met")</f>
        <v>Met</v>
      </c>
    </row>
    <row r="661" spans="1:22" x14ac:dyDescent="0.35">
      <c r="A661" s="200" t="s">
        <v>90</v>
      </c>
      <c r="B661" s="201">
        <v>1992</v>
      </c>
      <c r="C661" s="201" t="s">
        <v>31</v>
      </c>
      <c r="D661" s="201">
        <v>76</v>
      </c>
      <c r="E661" s="201">
        <v>515417.41</v>
      </c>
      <c r="F661" s="201">
        <v>124571.25</v>
      </c>
      <c r="G661" s="201">
        <f>'Mail Merge'!$E661+'Mail Merge'!$F661</f>
        <v>639988.65999999992</v>
      </c>
      <c r="H661" s="201">
        <v>0</v>
      </c>
      <c r="I661" s="201" t="s">
        <v>241</v>
      </c>
      <c r="J661" s="201">
        <f>IFERROR('Mail Merge'!$E661/'Mail Merge'!$D661,0)</f>
        <v>6781.808026315789</v>
      </c>
      <c r="K661" s="201">
        <f>IFERROR('Mail Merge'!$F661/'Mail Merge'!$D661,0)</f>
        <v>1639.0953947368421</v>
      </c>
      <c r="L661" s="201">
        <f>IFERROR('Mail Merge'!$G661/'Mail Merge'!$D661,0)</f>
        <v>8420.9034210526297</v>
      </c>
      <c r="M661" s="201">
        <v>0</v>
      </c>
      <c r="N661" s="201" t="s">
        <v>240</v>
      </c>
      <c r="O661" s="201">
        <v>146653.37</v>
      </c>
      <c r="P661" s="201">
        <v>0</v>
      </c>
      <c r="Q661" s="201">
        <f>'Mail Merge'!$O661+'Mail Merge'!$P661</f>
        <v>146653.37</v>
      </c>
      <c r="R661" s="201"/>
      <c r="S661" s="201"/>
      <c r="T661" s="201"/>
      <c r="U661" s="201">
        <f>IF(AND('Mail Merge'!$I661="Did Not Meet",'Mail Merge'!$N661="Did Not Meet"),MIN(ABS('Mail Merge'!$H661),ABS('Mail Merge'!$M661),'Mail Merge'!$Q661),0)</f>
        <v>0</v>
      </c>
      <c r="V661" s="201" t="str">
        <f>IF(OR(IFERROR(SEARCH("Met",'Mail Merge'!$N661),0)&gt;0,IFERROR(SEARCH("Met",'Mail Merge'!$I661),0)&gt;0),"Met","Not Met")</f>
        <v>Met</v>
      </c>
    </row>
    <row r="662" spans="1:22" x14ac:dyDescent="0.35">
      <c r="A662" s="198" t="s">
        <v>91</v>
      </c>
      <c r="B662" s="199">
        <v>2054</v>
      </c>
      <c r="C662" s="199" t="s">
        <v>31</v>
      </c>
      <c r="D662" s="199">
        <v>636</v>
      </c>
      <c r="E662" s="199">
        <v>4398058.0199999996</v>
      </c>
      <c r="F662" s="199">
        <v>264105.19</v>
      </c>
      <c r="G662" s="199">
        <f>'Mail Merge'!$E662+'Mail Merge'!$F662</f>
        <v>4662163.21</v>
      </c>
      <c r="H662" s="199">
        <v>0</v>
      </c>
      <c r="I662" s="199" t="s">
        <v>241</v>
      </c>
      <c r="J662" s="199">
        <f>IFERROR('Mail Merge'!$E662/'Mail Merge'!$D662,0)</f>
        <v>6915.185566037735</v>
      </c>
      <c r="K662" s="199">
        <f>IFERROR('Mail Merge'!$F662/'Mail Merge'!$D662,0)</f>
        <v>415.2597327044025</v>
      </c>
      <c r="L662" s="199">
        <f>IFERROR('Mail Merge'!$G662/'Mail Merge'!$D662,0)</f>
        <v>7330.4452987421382</v>
      </c>
      <c r="M662" s="199">
        <v>0</v>
      </c>
      <c r="N662" s="199" t="s">
        <v>241</v>
      </c>
      <c r="O662" s="199">
        <v>725120.07</v>
      </c>
      <c r="P662" s="199">
        <v>6872.4</v>
      </c>
      <c r="Q662" s="199">
        <f>'Mail Merge'!$O662+'Mail Merge'!$P662</f>
        <v>731992.47</v>
      </c>
      <c r="R662" s="199"/>
      <c r="S662" s="199"/>
      <c r="T662" s="199"/>
      <c r="U662" s="199">
        <f>IF(AND('Mail Merge'!$I662="Did Not Meet",'Mail Merge'!$N662="Did Not Meet"),MIN(ABS('Mail Merge'!$H662),ABS('Mail Merge'!$M662),'Mail Merge'!$Q662),0)</f>
        <v>0</v>
      </c>
      <c r="V662" s="199" t="str">
        <f>IF(OR(IFERROR(SEARCH("Met",'Mail Merge'!$N662),0)&gt;0,IFERROR(SEARCH("Met",'Mail Merge'!$I662),0)&gt;0),"Met","Not Met")</f>
        <v>Met</v>
      </c>
    </row>
    <row r="663" spans="1:22" x14ac:dyDescent="0.35">
      <c r="A663" s="200" t="s">
        <v>92</v>
      </c>
      <c r="B663" s="201">
        <v>2100</v>
      </c>
      <c r="C663" s="201" t="s">
        <v>31</v>
      </c>
      <c r="D663" s="201">
        <v>1242</v>
      </c>
      <c r="E663" s="201">
        <v>10797024.98</v>
      </c>
      <c r="F663" s="201">
        <v>919007</v>
      </c>
      <c r="G663" s="201">
        <f>'Mail Merge'!$E663+'Mail Merge'!$F663</f>
        <v>11716031.98</v>
      </c>
      <c r="H663" s="201">
        <v>0</v>
      </c>
      <c r="I663" s="201" t="s">
        <v>241</v>
      </c>
      <c r="J663" s="201">
        <f>IFERROR('Mail Merge'!$E663/'Mail Merge'!$D663,0)</f>
        <v>8693.2568276972634</v>
      </c>
      <c r="K663" s="201">
        <f>IFERROR('Mail Merge'!$F663/'Mail Merge'!$D663,0)</f>
        <v>739.94122383252818</v>
      </c>
      <c r="L663" s="201">
        <f>IFERROR('Mail Merge'!$G663/'Mail Merge'!$D663,0)</f>
        <v>9433.198051529791</v>
      </c>
      <c r="M663" s="201">
        <v>0</v>
      </c>
      <c r="N663" s="201" t="s">
        <v>241</v>
      </c>
      <c r="O663" s="201">
        <v>1377331.91</v>
      </c>
      <c r="P663" s="201">
        <v>15311.87</v>
      </c>
      <c r="Q663" s="201">
        <f>'Mail Merge'!$O663+'Mail Merge'!$P663</f>
        <v>1392643.78</v>
      </c>
      <c r="R663" s="201"/>
      <c r="S663" s="201"/>
      <c r="T663" s="201"/>
      <c r="U663" s="201">
        <f>IF(AND('Mail Merge'!$I663="Did Not Meet",'Mail Merge'!$N663="Did Not Meet"),MIN(ABS('Mail Merge'!$H663),ABS('Mail Merge'!$M663),'Mail Merge'!$Q663),0)</f>
        <v>0</v>
      </c>
      <c r="V663" s="201" t="str">
        <f>IF(OR(IFERROR(SEARCH("Met",'Mail Merge'!$N663),0)&gt;0,IFERROR(SEARCH("Met",'Mail Merge'!$I663),0)&gt;0),"Met","Not Met")</f>
        <v>Met</v>
      </c>
    </row>
    <row r="664" spans="1:22" x14ac:dyDescent="0.35">
      <c r="A664" s="198" t="s">
        <v>93</v>
      </c>
      <c r="B664" s="199">
        <v>2183</v>
      </c>
      <c r="C664" s="199" t="s">
        <v>31</v>
      </c>
      <c r="D664" s="199">
        <v>1392</v>
      </c>
      <c r="E664" s="199">
        <v>14232908.16</v>
      </c>
      <c r="F664" s="199">
        <v>252896.64000000001</v>
      </c>
      <c r="G664" s="199">
        <f>'Mail Merge'!$E664+'Mail Merge'!$F664</f>
        <v>14485804.800000001</v>
      </c>
      <c r="H664" s="199">
        <v>0</v>
      </c>
      <c r="I664" s="199" t="s">
        <v>241</v>
      </c>
      <c r="J664" s="199">
        <f>IFERROR('Mail Merge'!$E664/'Mail Merge'!$D664,0)</f>
        <v>10224.790344827587</v>
      </c>
      <c r="K664" s="199">
        <f>IFERROR('Mail Merge'!$F664/'Mail Merge'!$D664,0)</f>
        <v>181.67862068965519</v>
      </c>
      <c r="L664" s="199">
        <f>IFERROR('Mail Merge'!$G664/'Mail Merge'!$D664,0)</f>
        <v>10406.468965517242</v>
      </c>
      <c r="M664" s="199">
        <v>0</v>
      </c>
      <c r="N664" s="199" t="s">
        <v>240</v>
      </c>
      <c r="O664" s="199">
        <v>1963620.33</v>
      </c>
      <c r="P664" s="199">
        <v>15007.19</v>
      </c>
      <c r="Q664" s="199">
        <f>'Mail Merge'!$O664+'Mail Merge'!$P664</f>
        <v>1978627.52</v>
      </c>
      <c r="R664" s="199"/>
      <c r="S664" s="199"/>
      <c r="T664" s="199"/>
      <c r="U664" s="199">
        <f>IF(AND('Mail Merge'!$I664="Did Not Meet",'Mail Merge'!$N664="Did Not Meet"),MIN(ABS('Mail Merge'!$H664),ABS('Mail Merge'!$M664),'Mail Merge'!$Q664),0)</f>
        <v>0</v>
      </c>
      <c r="V664" s="199" t="str">
        <f>IF(OR(IFERROR(SEARCH("Met",'Mail Merge'!$N664),0)&gt;0,IFERROR(SEARCH("Met",'Mail Merge'!$I664),0)&gt;0),"Met","Not Met")</f>
        <v>Met</v>
      </c>
    </row>
    <row r="665" spans="1:22" x14ac:dyDescent="0.35">
      <c r="A665" s="200" t="s">
        <v>94</v>
      </c>
      <c r="B665" s="201">
        <v>2014</v>
      </c>
      <c r="C665" s="201" t="s">
        <v>31</v>
      </c>
      <c r="D665" s="201">
        <v>113</v>
      </c>
      <c r="E665" s="201">
        <v>1141224.8500000001</v>
      </c>
      <c r="F665" s="201">
        <v>223839</v>
      </c>
      <c r="G665" s="201">
        <f>'Mail Merge'!$E665+'Mail Merge'!$F665</f>
        <v>1365063.85</v>
      </c>
      <c r="H665" s="201">
        <v>0</v>
      </c>
      <c r="I665" s="201" t="s">
        <v>241</v>
      </c>
      <c r="J665" s="201">
        <f>IFERROR('Mail Merge'!$E665/'Mail Merge'!$D665,0)</f>
        <v>10099.334955752212</v>
      </c>
      <c r="K665" s="201">
        <f>IFERROR('Mail Merge'!$F665/'Mail Merge'!$D665,0)</f>
        <v>1980.8761061946902</v>
      </c>
      <c r="L665" s="201">
        <f>IFERROR('Mail Merge'!$G665/'Mail Merge'!$D665,0)</f>
        <v>12080.211061946904</v>
      </c>
      <c r="M665" s="201">
        <v>0</v>
      </c>
      <c r="N665" s="201" t="s">
        <v>241</v>
      </c>
      <c r="O665" s="201">
        <v>173967.44</v>
      </c>
      <c r="P665" s="201">
        <v>2957.48</v>
      </c>
      <c r="Q665" s="201">
        <f>'Mail Merge'!$O665+'Mail Merge'!$P665</f>
        <v>176924.92</v>
      </c>
      <c r="R665" s="201"/>
      <c r="S665" s="201"/>
      <c r="T665" s="201"/>
      <c r="U665" s="201">
        <f>IF(AND('Mail Merge'!$I665="Did Not Meet",'Mail Merge'!$N665="Did Not Meet"),MIN(ABS('Mail Merge'!$H665),ABS('Mail Merge'!$M665),'Mail Merge'!$Q665),0)</f>
        <v>0</v>
      </c>
      <c r="V665" s="201" t="str">
        <f>IF(OR(IFERROR(SEARCH("Met",'Mail Merge'!$N665),0)&gt;0,IFERROR(SEARCH("Met",'Mail Merge'!$I665),0)&gt;0),"Met","Not Met")</f>
        <v>Met</v>
      </c>
    </row>
    <row r="666" spans="1:22" x14ac:dyDescent="0.35">
      <c r="A666" s="198" t="s">
        <v>95</v>
      </c>
      <c r="B666" s="199">
        <v>2015</v>
      </c>
      <c r="C666" s="199" t="s">
        <v>31</v>
      </c>
      <c r="D666" s="199">
        <v>5</v>
      </c>
      <c r="E666" s="199">
        <v>98178.75</v>
      </c>
      <c r="F666" s="199">
        <v>9300</v>
      </c>
      <c r="G666" s="199">
        <f>'Mail Merge'!$E666+'Mail Merge'!$F666</f>
        <v>107478.75</v>
      </c>
      <c r="H666" s="199">
        <v>0</v>
      </c>
      <c r="I666" s="199" t="s">
        <v>241</v>
      </c>
      <c r="J666" s="199">
        <f>IFERROR('Mail Merge'!$E666/'Mail Merge'!$D666,0)</f>
        <v>19635.75</v>
      </c>
      <c r="K666" s="199">
        <f>IFERROR('Mail Merge'!$F666/'Mail Merge'!$D666,0)</f>
        <v>1860</v>
      </c>
      <c r="L666" s="199">
        <f>IFERROR('Mail Merge'!$G666/'Mail Merge'!$D666,0)</f>
        <v>21495.75</v>
      </c>
      <c r="M666" s="199">
        <v>0</v>
      </c>
      <c r="N666" s="199" t="s">
        <v>241</v>
      </c>
      <c r="O666" s="199">
        <v>10911.91</v>
      </c>
      <c r="P666" s="199">
        <v>0</v>
      </c>
      <c r="Q666" s="199">
        <f>'Mail Merge'!$O666+'Mail Merge'!$P666</f>
        <v>10911.91</v>
      </c>
      <c r="R666" s="199"/>
      <c r="S666" s="199"/>
      <c r="T666" s="199"/>
      <c r="U666" s="199">
        <f>IF(AND('Mail Merge'!$I666="Did Not Meet",'Mail Merge'!$N666="Did Not Meet"),MIN(ABS('Mail Merge'!$H666),ABS('Mail Merge'!$M666),'Mail Merge'!$Q666),0)</f>
        <v>0</v>
      </c>
      <c r="V666" s="199" t="str">
        <f>IF(OR(IFERROR(SEARCH("Met",'Mail Merge'!$N666),0)&gt;0,IFERROR(SEARCH("Met",'Mail Merge'!$I666),0)&gt;0),"Met","Not Met")</f>
        <v>Met</v>
      </c>
    </row>
    <row r="667" spans="1:22" x14ac:dyDescent="0.35">
      <c r="A667" s="200" t="s">
        <v>96</v>
      </c>
      <c r="B667" s="201">
        <v>2023</v>
      </c>
      <c r="C667" s="201" t="s">
        <v>31</v>
      </c>
      <c r="D667" s="201">
        <v>0</v>
      </c>
      <c r="E667" s="201">
        <v>0</v>
      </c>
      <c r="F667" s="201">
        <v>11049</v>
      </c>
      <c r="G667" s="201">
        <f>'Mail Merge'!$E667+'Mail Merge'!$F667</f>
        <v>11049</v>
      </c>
      <c r="H667" s="201">
        <v>0</v>
      </c>
      <c r="I667" s="201" t="s">
        <v>240</v>
      </c>
      <c r="J667" s="201">
        <f>IFERROR('Mail Merge'!$E667/'Mail Merge'!$D667,0)</f>
        <v>0</v>
      </c>
      <c r="K667" s="201">
        <f>IFERROR('Mail Merge'!$F667/'Mail Merge'!$D667,0)</f>
        <v>0</v>
      </c>
      <c r="L667" s="201">
        <f>IFERROR('Mail Merge'!$G667/'Mail Merge'!$D667,0)</f>
        <v>0</v>
      </c>
      <c r="M667" s="201">
        <v>0</v>
      </c>
      <c r="N667" s="201" t="s">
        <v>240</v>
      </c>
      <c r="O667" s="201">
        <v>14336.89</v>
      </c>
      <c r="P667" s="201">
        <v>0</v>
      </c>
      <c r="Q667" s="201">
        <f>'Mail Merge'!$O667+'Mail Merge'!$P667</f>
        <v>14336.89</v>
      </c>
      <c r="R667" s="201"/>
      <c r="S667" s="201"/>
      <c r="T667" s="201"/>
      <c r="U667" s="201">
        <f>IF(AND('Mail Merge'!$I667="Did Not Meet",'Mail Merge'!$N667="Did Not Meet"),MIN(ABS('Mail Merge'!$H667),ABS('Mail Merge'!$M667),'Mail Merge'!$Q667),0)</f>
        <v>0</v>
      </c>
      <c r="V667" s="201" t="str">
        <f>IF(OR(IFERROR(SEARCH("Met",'Mail Merge'!$N667),0)&gt;0,IFERROR(SEARCH("Met",'Mail Merge'!$I667),0)&gt;0),"Met","Not Met")</f>
        <v>Not Met</v>
      </c>
    </row>
    <row r="668" spans="1:22" x14ac:dyDescent="0.35">
      <c r="A668" s="198" t="s">
        <v>97</v>
      </c>
      <c r="B668" s="199">
        <v>2114</v>
      </c>
      <c r="C668" s="199" t="s">
        <v>31</v>
      </c>
      <c r="D668" s="199">
        <v>16</v>
      </c>
      <c r="E668" s="199">
        <v>38493.71</v>
      </c>
      <c r="F668" s="199">
        <v>30633.62</v>
      </c>
      <c r="G668" s="199">
        <f>'Mail Merge'!$E668+'Mail Merge'!$F668</f>
        <v>69127.33</v>
      </c>
      <c r="H668" s="199">
        <v>0</v>
      </c>
      <c r="I668" s="199" t="s">
        <v>241</v>
      </c>
      <c r="J668" s="199">
        <f>IFERROR('Mail Merge'!$E668/'Mail Merge'!$D668,0)</f>
        <v>2405.8568749999999</v>
      </c>
      <c r="K668" s="199">
        <f>IFERROR('Mail Merge'!$F668/'Mail Merge'!$D668,0)</f>
        <v>1914.6012499999999</v>
      </c>
      <c r="L668" s="199">
        <f>IFERROR('Mail Merge'!$G668/'Mail Merge'!$D668,0)</f>
        <v>4320.4581250000001</v>
      </c>
      <c r="M668" s="199">
        <v>0</v>
      </c>
      <c r="N668" s="199" t="s">
        <v>240</v>
      </c>
      <c r="O668" s="199">
        <v>15266.14</v>
      </c>
      <c r="P668" s="199">
        <v>933.94</v>
      </c>
      <c r="Q668" s="199">
        <f>'Mail Merge'!$O668+'Mail Merge'!$P668</f>
        <v>16200.08</v>
      </c>
      <c r="R668" s="199"/>
      <c r="S668" s="199"/>
      <c r="T668" s="199"/>
      <c r="U668" s="199">
        <f>IF(AND('Mail Merge'!$I668="Did Not Meet",'Mail Merge'!$N668="Did Not Meet"),MIN(ABS('Mail Merge'!$H668),ABS('Mail Merge'!$M668),'Mail Merge'!$Q668),0)</f>
        <v>0</v>
      </c>
      <c r="V668" s="199" t="str">
        <f>IF(OR(IFERROR(SEARCH("Met",'Mail Merge'!$N668),0)&gt;0,IFERROR(SEARCH("Met",'Mail Merge'!$I668),0)&gt;0),"Met","Not Met")</f>
        <v>Met</v>
      </c>
    </row>
    <row r="669" spans="1:22" x14ac:dyDescent="0.35">
      <c r="A669" s="200" t="s">
        <v>98</v>
      </c>
      <c r="B669" s="201">
        <v>2099</v>
      </c>
      <c r="C669" s="201" t="s">
        <v>31</v>
      </c>
      <c r="D669" s="201">
        <v>137</v>
      </c>
      <c r="E669" s="201">
        <v>1097821.58</v>
      </c>
      <c r="F669" s="201">
        <v>103473</v>
      </c>
      <c r="G669" s="201">
        <f>'Mail Merge'!$E669+'Mail Merge'!$F669</f>
        <v>1201294.58</v>
      </c>
      <c r="H669" s="201">
        <v>0</v>
      </c>
      <c r="I669" s="201" t="s">
        <v>241</v>
      </c>
      <c r="J669" s="201">
        <f>IFERROR('Mail Merge'!$E669/'Mail Merge'!$D669,0)</f>
        <v>8013.2962043795624</v>
      </c>
      <c r="K669" s="201">
        <f>IFERROR('Mail Merge'!$F669/'Mail Merge'!$D669,0)</f>
        <v>755.27737226277372</v>
      </c>
      <c r="L669" s="201">
        <f>IFERROR('Mail Merge'!$G669/'Mail Merge'!$D669,0)</f>
        <v>8768.5735766423368</v>
      </c>
      <c r="M669" s="201">
        <v>0</v>
      </c>
      <c r="N669" s="201" t="s">
        <v>241</v>
      </c>
      <c r="O669" s="201">
        <v>133508.07999999999</v>
      </c>
      <c r="P669" s="201">
        <v>538.80999999999995</v>
      </c>
      <c r="Q669" s="201">
        <f>'Mail Merge'!$O669+'Mail Merge'!$P669</f>
        <v>134046.88999999998</v>
      </c>
      <c r="R669" s="201"/>
      <c r="S669" s="201"/>
      <c r="T669" s="201"/>
      <c r="U669" s="201">
        <f>IF(AND('Mail Merge'!$I669="Did Not Meet",'Mail Merge'!$N669="Did Not Meet"),MIN(ABS('Mail Merge'!$H669),ABS('Mail Merge'!$M669),'Mail Merge'!$Q669),0)</f>
        <v>0</v>
      </c>
      <c r="V669" s="201" t="str">
        <f>IF(OR(IFERROR(SEARCH("Met",'Mail Merge'!$N669),0)&gt;0,IFERROR(SEARCH("Met",'Mail Merge'!$I669),0)&gt;0),"Met","Not Met")</f>
        <v>Met</v>
      </c>
    </row>
    <row r="670" spans="1:22" x14ac:dyDescent="0.35">
      <c r="A670" s="198" t="s">
        <v>99</v>
      </c>
      <c r="B670" s="199">
        <v>2201</v>
      </c>
      <c r="C670" s="199" t="s">
        <v>31</v>
      </c>
      <c r="D670" s="199">
        <v>13</v>
      </c>
      <c r="E670" s="199">
        <v>65298.35</v>
      </c>
      <c r="F670" s="199">
        <v>21014.28</v>
      </c>
      <c r="G670" s="199">
        <f>'Mail Merge'!$E670+'Mail Merge'!$F670</f>
        <v>86312.63</v>
      </c>
      <c r="H670" s="199">
        <v>0</v>
      </c>
      <c r="I670" s="199" t="s">
        <v>240</v>
      </c>
      <c r="J670" s="199">
        <f>IFERROR('Mail Merge'!$E670/'Mail Merge'!$D670,0)</f>
        <v>5022.95</v>
      </c>
      <c r="K670" s="199">
        <f>IFERROR('Mail Merge'!$F670/'Mail Merge'!$D670,0)</f>
        <v>1616.4830769230769</v>
      </c>
      <c r="L670" s="199">
        <f>IFERROR('Mail Merge'!$G670/'Mail Merge'!$D670,0)</f>
        <v>6639.4330769230774</v>
      </c>
      <c r="M670" s="199">
        <v>0</v>
      </c>
      <c r="N670" s="199" t="s">
        <v>240</v>
      </c>
      <c r="O670" s="199">
        <v>21396.9</v>
      </c>
      <c r="P670" s="199">
        <v>933.94</v>
      </c>
      <c r="Q670" s="199">
        <f>'Mail Merge'!$O670+'Mail Merge'!$P670</f>
        <v>22330.84</v>
      </c>
      <c r="R670" s="199"/>
      <c r="S670" s="199"/>
      <c r="T670" s="199"/>
      <c r="U670" s="199">
        <f>IF(AND('Mail Merge'!$I670="Did Not Meet",'Mail Merge'!$N670="Did Not Meet"),MIN(ABS('Mail Merge'!$H670),ABS('Mail Merge'!$M670),'Mail Merge'!$Q670),0)</f>
        <v>0</v>
      </c>
      <c r="V670" s="199" t="str">
        <f>IF(OR(IFERROR(SEARCH("Met",'Mail Merge'!$N670),0)&gt;0,IFERROR(SEARCH("Met",'Mail Merge'!$I670),0)&gt;0),"Met","Not Met")</f>
        <v>Not Met</v>
      </c>
    </row>
    <row r="671" spans="1:22" x14ac:dyDescent="0.35">
      <c r="A671" s="200" t="s">
        <v>100</v>
      </c>
      <c r="B671" s="201">
        <v>2206</v>
      </c>
      <c r="C671" s="201" t="s">
        <v>31</v>
      </c>
      <c r="D671" s="201">
        <v>626</v>
      </c>
      <c r="E671" s="201">
        <v>3472439.49</v>
      </c>
      <c r="F671" s="201">
        <v>1004404.91</v>
      </c>
      <c r="G671" s="201">
        <f>'Mail Merge'!$E671+'Mail Merge'!$F671</f>
        <v>4476844.4000000004</v>
      </c>
      <c r="H671" s="201">
        <v>0</v>
      </c>
      <c r="I671" s="201" t="s">
        <v>241</v>
      </c>
      <c r="J671" s="201">
        <f>IFERROR('Mail Merge'!$E671/'Mail Merge'!$D671,0)</f>
        <v>5547.0279392971252</v>
      </c>
      <c r="K671" s="201">
        <f>IFERROR('Mail Merge'!$F671/'Mail Merge'!$D671,0)</f>
        <v>1604.4806869009585</v>
      </c>
      <c r="L671" s="201">
        <f>IFERROR('Mail Merge'!$G671/'Mail Merge'!$D671,0)</f>
        <v>7151.5086261980832</v>
      </c>
      <c r="M671" s="201">
        <v>0</v>
      </c>
      <c r="N671" s="201" t="s">
        <v>240</v>
      </c>
      <c r="O671" s="201">
        <v>706672.12</v>
      </c>
      <c r="P671" s="201">
        <v>5012.1499999999996</v>
      </c>
      <c r="Q671" s="201">
        <f>'Mail Merge'!$O671+'Mail Merge'!$P671</f>
        <v>711684.27</v>
      </c>
      <c r="R671" s="201"/>
      <c r="S671" s="201"/>
      <c r="T671" s="201"/>
      <c r="U671" s="201">
        <f>IF(AND('Mail Merge'!$I671="Did Not Meet",'Mail Merge'!$N671="Did Not Meet"),MIN(ABS('Mail Merge'!$H671),ABS('Mail Merge'!$M671),'Mail Merge'!$Q671),0)</f>
        <v>0</v>
      </c>
      <c r="V671" s="201" t="str">
        <f>IF(OR(IFERROR(SEARCH("Met",'Mail Merge'!$N671),0)&gt;0,IFERROR(SEARCH("Met",'Mail Merge'!$I671),0)&gt;0),"Met","Not Met")</f>
        <v>Met</v>
      </c>
    </row>
    <row r="672" spans="1:22" x14ac:dyDescent="0.35">
      <c r="A672" s="198" t="s">
        <v>101</v>
      </c>
      <c r="B672" s="199">
        <v>2239</v>
      </c>
      <c r="C672" s="199" t="s">
        <v>31</v>
      </c>
      <c r="D672" s="199">
        <v>2679</v>
      </c>
      <c r="E672" s="199">
        <v>24952249.719999999</v>
      </c>
      <c r="F672" s="199">
        <v>4083326</v>
      </c>
      <c r="G672" s="199">
        <f>'Mail Merge'!$E672+'Mail Merge'!$F672</f>
        <v>29035575.719999999</v>
      </c>
      <c r="H672" s="199">
        <v>0</v>
      </c>
      <c r="I672" s="199" t="s">
        <v>241</v>
      </c>
      <c r="J672" s="199">
        <f>IFERROR('Mail Merge'!$E672/'Mail Merge'!$D672,0)</f>
        <v>9314.0163195222085</v>
      </c>
      <c r="K672" s="199">
        <f>IFERROR('Mail Merge'!$F672/'Mail Merge'!$D672,0)</f>
        <v>1524.1978350130646</v>
      </c>
      <c r="L672" s="199">
        <f>IFERROR('Mail Merge'!$G672/'Mail Merge'!$D672,0)</f>
        <v>10838.214154535273</v>
      </c>
      <c r="M672" s="199">
        <v>0</v>
      </c>
      <c r="N672" s="199" t="s">
        <v>241</v>
      </c>
      <c r="O672" s="199">
        <v>2745168.91</v>
      </c>
      <c r="P672" s="199">
        <v>14148.98</v>
      </c>
      <c r="Q672" s="199">
        <f>'Mail Merge'!$O672+'Mail Merge'!$P672</f>
        <v>2759317.89</v>
      </c>
      <c r="R672" s="199"/>
      <c r="S672" s="199"/>
      <c r="T672" s="199"/>
      <c r="U672" s="199">
        <f>IF(AND('Mail Merge'!$I672="Did Not Meet",'Mail Merge'!$N672="Did Not Meet"),MIN(ABS('Mail Merge'!$H672),ABS('Mail Merge'!$M672),'Mail Merge'!$Q672),0)</f>
        <v>0</v>
      </c>
      <c r="V672" s="199" t="str">
        <f>IF(OR(IFERROR(SEARCH("Met",'Mail Merge'!$N672),0)&gt;0,IFERROR(SEARCH("Met",'Mail Merge'!$I672),0)&gt;0),"Met","Not Met")</f>
        <v>Met</v>
      </c>
    </row>
    <row r="673" spans="1:22" x14ac:dyDescent="0.35">
      <c r="A673" s="200" t="s">
        <v>102</v>
      </c>
      <c r="B673" s="201">
        <v>2024</v>
      </c>
      <c r="C673" s="201" t="s">
        <v>31</v>
      </c>
      <c r="D673" s="201">
        <v>554</v>
      </c>
      <c r="E673" s="201">
        <v>3599067.69</v>
      </c>
      <c r="F673" s="201">
        <v>0</v>
      </c>
      <c r="G673" s="201">
        <f>'Mail Merge'!$E673+'Mail Merge'!$F673</f>
        <v>3599067.69</v>
      </c>
      <c r="H673" s="201">
        <v>0</v>
      </c>
      <c r="I673" s="201" t="s">
        <v>241</v>
      </c>
      <c r="J673" s="201">
        <f>IFERROR('Mail Merge'!$E673/'Mail Merge'!$D673,0)</f>
        <v>6496.5120758122739</v>
      </c>
      <c r="K673" s="201">
        <f>IFERROR('Mail Merge'!$F673/'Mail Merge'!$D673,0)</f>
        <v>0</v>
      </c>
      <c r="L673" s="201">
        <f>IFERROR('Mail Merge'!$G673/'Mail Merge'!$D673,0)</f>
        <v>6496.5120758122739</v>
      </c>
      <c r="M673" s="201">
        <v>0</v>
      </c>
      <c r="N673" s="201" t="s">
        <v>240</v>
      </c>
      <c r="O673" s="201">
        <v>661433.18000000005</v>
      </c>
      <c r="P673" s="201">
        <v>6768.71</v>
      </c>
      <c r="Q673" s="201">
        <f>'Mail Merge'!$O673+'Mail Merge'!$P673</f>
        <v>668201.89</v>
      </c>
      <c r="R673" s="201"/>
      <c r="S673" s="201"/>
      <c r="T673" s="201"/>
      <c r="U673" s="201">
        <f>IF(AND('Mail Merge'!$I673="Did Not Meet",'Mail Merge'!$N673="Did Not Meet"),MIN(ABS('Mail Merge'!$H673),ABS('Mail Merge'!$M673),'Mail Merge'!$Q673),0)</f>
        <v>0</v>
      </c>
      <c r="V673" s="201" t="str">
        <f>IF(OR(IFERROR(SEARCH("Met",'Mail Merge'!$N673),0)&gt;0,IFERROR(SEARCH("Met",'Mail Merge'!$I673),0)&gt;0),"Met","Not Met")</f>
        <v>Met</v>
      </c>
    </row>
    <row r="674" spans="1:22" x14ac:dyDescent="0.35">
      <c r="A674" s="198" t="s">
        <v>103</v>
      </c>
      <c r="B674" s="199">
        <v>1895</v>
      </c>
      <c r="C674" s="199" t="s">
        <v>31</v>
      </c>
      <c r="D674" s="199">
        <v>8</v>
      </c>
      <c r="E674" s="199">
        <v>82073.09</v>
      </c>
      <c r="F674" s="199">
        <v>18817.79</v>
      </c>
      <c r="G674" s="199">
        <f>'Mail Merge'!$E674+'Mail Merge'!$F674</f>
        <v>100890.88</v>
      </c>
      <c r="H674" s="199">
        <v>0</v>
      </c>
      <c r="I674" s="199" t="s">
        <v>241</v>
      </c>
      <c r="J674" s="199">
        <f>IFERROR('Mail Merge'!$E674/'Mail Merge'!$D674,0)</f>
        <v>10259.13625</v>
      </c>
      <c r="K674" s="199">
        <f>IFERROR('Mail Merge'!$F674/'Mail Merge'!$D674,0)</f>
        <v>2352.2237500000001</v>
      </c>
      <c r="L674" s="199">
        <f>IFERROR('Mail Merge'!$G674/'Mail Merge'!$D674,0)</f>
        <v>12611.36</v>
      </c>
      <c r="M674" s="199">
        <v>0</v>
      </c>
      <c r="N674" s="199" t="s">
        <v>240</v>
      </c>
      <c r="O674" s="199">
        <v>12360.7</v>
      </c>
      <c r="P674" s="199">
        <v>933.94</v>
      </c>
      <c r="Q674" s="199">
        <f>'Mail Merge'!$O674+'Mail Merge'!$P674</f>
        <v>13294.640000000001</v>
      </c>
      <c r="R674" s="199"/>
      <c r="S674" s="199"/>
      <c r="T674" s="199"/>
      <c r="U674" s="199">
        <f>IF(AND('Mail Merge'!$I674="Did Not Meet",'Mail Merge'!$N674="Did Not Meet"),MIN(ABS('Mail Merge'!$H674),ABS('Mail Merge'!$M674),'Mail Merge'!$Q674),0)</f>
        <v>0</v>
      </c>
      <c r="V674" s="199" t="str">
        <f>IF(OR(IFERROR(SEARCH("Met",'Mail Merge'!$N674),0)&gt;0,IFERROR(SEARCH("Met",'Mail Merge'!$I674),0)&gt;0),"Met","Not Met")</f>
        <v>Met</v>
      </c>
    </row>
    <row r="675" spans="1:22" x14ac:dyDescent="0.35">
      <c r="A675" s="200" t="s">
        <v>104</v>
      </c>
      <c r="B675" s="201">
        <v>2215</v>
      </c>
      <c r="C675" s="201" t="s">
        <v>31</v>
      </c>
      <c r="D675" s="201">
        <v>47</v>
      </c>
      <c r="E675" s="201">
        <v>155636.97</v>
      </c>
      <c r="F675" s="201">
        <v>83176</v>
      </c>
      <c r="G675" s="201">
        <f>'Mail Merge'!$E675+'Mail Merge'!$F675</f>
        <v>238812.97</v>
      </c>
      <c r="H675" s="201">
        <v>0</v>
      </c>
      <c r="I675" s="201" t="s">
        <v>241</v>
      </c>
      <c r="J675" s="201">
        <f>IFERROR('Mail Merge'!$E675/'Mail Merge'!$D675,0)</f>
        <v>3311.4248936170211</v>
      </c>
      <c r="K675" s="201">
        <f>IFERROR('Mail Merge'!$F675/'Mail Merge'!$D675,0)</f>
        <v>1769.7021276595744</v>
      </c>
      <c r="L675" s="201">
        <f>IFERROR('Mail Merge'!$G675/'Mail Merge'!$D675,0)</f>
        <v>5081.1270212765958</v>
      </c>
      <c r="M675" s="201">
        <v>0</v>
      </c>
      <c r="N675" s="201" t="s">
        <v>240</v>
      </c>
      <c r="O675" s="201">
        <v>67388.63</v>
      </c>
      <c r="P675" s="201">
        <v>466.97</v>
      </c>
      <c r="Q675" s="201">
        <f>'Mail Merge'!$O675+'Mail Merge'!$P675</f>
        <v>67855.600000000006</v>
      </c>
      <c r="R675" s="201"/>
      <c r="S675" s="201"/>
      <c r="T675" s="201"/>
      <c r="U675" s="201">
        <f>IF(AND('Mail Merge'!$I675="Did Not Meet",'Mail Merge'!$N675="Did Not Meet"),MIN(ABS('Mail Merge'!$H675),ABS('Mail Merge'!$M675),'Mail Merge'!$Q675),0)</f>
        <v>0</v>
      </c>
      <c r="V675" s="201" t="str">
        <f>IF(OR(IFERROR(SEARCH("Met",'Mail Merge'!$N675),0)&gt;0,IFERROR(SEARCH("Met",'Mail Merge'!$I675),0)&gt;0),"Met","Not Met")</f>
        <v>Met</v>
      </c>
    </row>
    <row r="676" spans="1:22" x14ac:dyDescent="0.35">
      <c r="A676" s="198" t="s">
        <v>105</v>
      </c>
      <c r="B676" s="199">
        <v>3997</v>
      </c>
      <c r="C676" s="199" t="s">
        <v>31</v>
      </c>
      <c r="D676" s="199">
        <v>33</v>
      </c>
      <c r="E676" s="199">
        <v>116491.3</v>
      </c>
      <c r="F676" s="199">
        <v>52924.87</v>
      </c>
      <c r="G676" s="199">
        <f>'Mail Merge'!$E676+'Mail Merge'!$F676</f>
        <v>169416.17</v>
      </c>
      <c r="H676" s="199">
        <v>0</v>
      </c>
      <c r="I676" s="199" t="s">
        <v>241</v>
      </c>
      <c r="J676" s="199">
        <f>IFERROR('Mail Merge'!$E676/'Mail Merge'!$D676,0)</f>
        <v>3530.0393939393939</v>
      </c>
      <c r="K676" s="199">
        <f>IFERROR('Mail Merge'!$F676/'Mail Merge'!$D676,0)</f>
        <v>1603.7839393939394</v>
      </c>
      <c r="L676" s="199">
        <f>IFERROR('Mail Merge'!$G676/'Mail Merge'!$D676,0)</f>
        <v>5133.8233333333337</v>
      </c>
      <c r="M676" s="199">
        <v>0</v>
      </c>
      <c r="N676" s="199" t="s">
        <v>240</v>
      </c>
      <c r="O676" s="199">
        <v>25161.08</v>
      </c>
      <c r="P676" s="199">
        <v>466.97</v>
      </c>
      <c r="Q676" s="199">
        <f>'Mail Merge'!$O676+'Mail Merge'!$P676</f>
        <v>25628.050000000003</v>
      </c>
      <c r="R676" s="199"/>
      <c r="S676" s="199"/>
      <c r="T676" s="199"/>
      <c r="U676" s="199">
        <f>IF(AND('Mail Merge'!$I676="Did Not Meet",'Mail Merge'!$N676="Did Not Meet"),MIN(ABS('Mail Merge'!$H676),ABS('Mail Merge'!$M676),'Mail Merge'!$Q676),0)</f>
        <v>0</v>
      </c>
      <c r="V676" s="199" t="str">
        <f>IF(OR(IFERROR(SEARCH("Met",'Mail Merge'!$N676),0)&gt;0,IFERROR(SEARCH("Met",'Mail Merge'!$I676),0)&gt;0),"Met","Not Met")</f>
        <v>Met</v>
      </c>
    </row>
    <row r="677" spans="1:22" x14ac:dyDescent="0.35">
      <c r="A677" s="200" t="s">
        <v>106</v>
      </c>
      <c r="B677" s="201">
        <v>2053</v>
      </c>
      <c r="C677" s="201" t="s">
        <v>31</v>
      </c>
      <c r="D677" s="201">
        <v>428</v>
      </c>
      <c r="E677" s="201">
        <v>3186639.53</v>
      </c>
      <c r="F677" s="201">
        <v>970094.57</v>
      </c>
      <c r="G677" s="201">
        <f>'Mail Merge'!$E677+'Mail Merge'!$F677</f>
        <v>4156734.0999999996</v>
      </c>
      <c r="H677" s="201">
        <v>0</v>
      </c>
      <c r="I677" s="201" t="s">
        <v>241</v>
      </c>
      <c r="J677" s="201">
        <f>IFERROR('Mail Merge'!$E677/'Mail Merge'!$D677,0)</f>
        <v>7445.4194626168219</v>
      </c>
      <c r="K677" s="201">
        <f>IFERROR('Mail Merge'!$F677/'Mail Merge'!$D677,0)</f>
        <v>2266.5760981308408</v>
      </c>
      <c r="L677" s="201">
        <f>IFERROR('Mail Merge'!$G677/'Mail Merge'!$D677,0)</f>
        <v>9711.9955607476622</v>
      </c>
      <c r="M677" s="201">
        <v>0</v>
      </c>
      <c r="N677" s="201" t="s">
        <v>240</v>
      </c>
      <c r="O677" s="201">
        <v>459972.23</v>
      </c>
      <c r="P677" s="201">
        <v>11288.74</v>
      </c>
      <c r="Q677" s="201">
        <f>'Mail Merge'!$O677+'Mail Merge'!$P677</f>
        <v>471260.97</v>
      </c>
      <c r="R677" s="201"/>
      <c r="S677" s="201"/>
      <c r="T677" s="201"/>
      <c r="U677" s="201">
        <f>IF(AND('Mail Merge'!$I677="Did Not Meet",'Mail Merge'!$N677="Did Not Meet"),MIN(ABS('Mail Merge'!$H677),ABS('Mail Merge'!$M677),'Mail Merge'!$Q677),0)</f>
        <v>0</v>
      </c>
      <c r="V677" s="201" t="str">
        <f>IF(OR(IFERROR(SEARCH("Met",'Mail Merge'!$N677),0)&gt;0,IFERROR(SEARCH("Met",'Mail Merge'!$I677),0)&gt;0),"Met","Not Met")</f>
        <v>Met</v>
      </c>
    </row>
    <row r="678" spans="1:22" x14ac:dyDescent="0.35">
      <c r="A678" s="198" t="s">
        <v>107</v>
      </c>
      <c r="B678" s="199">
        <v>2140</v>
      </c>
      <c r="C678" s="199" t="s">
        <v>31</v>
      </c>
      <c r="D678" s="199">
        <v>144</v>
      </c>
      <c r="E678" s="199">
        <v>1063452.45</v>
      </c>
      <c r="F678" s="199">
        <v>74659.05</v>
      </c>
      <c r="G678" s="199">
        <f>'Mail Merge'!$E678+'Mail Merge'!$F678</f>
        <v>1138111.5</v>
      </c>
      <c r="H678" s="199">
        <v>0</v>
      </c>
      <c r="I678" s="199" t="s">
        <v>241</v>
      </c>
      <c r="J678" s="199">
        <f>IFERROR('Mail Merge'!$E678/'Mail Merge'!$D678,0)</f>
        <v>7385.0864583333332</v>
      </c>
      <c r="K678" s="199">
        <f>IFERROR('Mail Merge'!$F678/'Mail Merge'!$D678,0)</f>
        <v>518.46562500000005</v>
      </c>
      <c r="L678" s="199">
        <f>IFERROR('Mail Merge'!$G678/'Mail Merge'!$D678,0)</f>
        <v>7903.552083333333</v>
      </c>
      <c r="M678" s="199">
        <v>0</v>
      </c>
      <c r="N678" s="199" t="s">
        <v>241</v>
      </c>
      <c r="O678" s="199">
        <v>143397.69</v>
      </c>
      <c r="P678" s="199">
        <v>500.33</v>
      </c>
      <c r="Q678" s="199">
        <f>'Mail Merge'!$O678+'Mail Merge'!$P678</f>
        <v>143898.01999999999</v>
      </c>
      <c r="R678" s="199"/>
      <c r="S678" s="199"/>
      <c r="T678" s="199"/>
      <c r="U678" s="199">
        <f>IF(AND('Mail Merge'!$I678="Did Not Meet",'Mail Merge'!$N678="Did Not Meet"),MIN(ABS('Mail Merge'!$H678),ABS('Mail Merge'!$M678),'Mail Merge'!$Q678),0)</f>
        <v>0</v>
      </c>
      <c r="V678" s="199" t="str">
        <f>IF(OR(IFERROR(SEARCH("Met",'Mail Merge'!$N678),0)&gt;0,IFERROR(SEARCH("Met",'Mail Merge'!$I678),0)&gt;0),"Met","Not Met")</f>
        <v>Met</v>
      </c>
    </row>
    <row r="679" spans="1:22" x14ac:dyDescent="0.35">
      <c r="A679" s="200" t="s">
        <v>108</v>
      </c>
      <c r="B679" s="201">
        <v>1934</v>
      </c>
      <c r="C679" s="201" t="s">
        <v>31</v>
      </c>
      <c r="D679" s="201">
        <v>21</v>
      </c>
      <c r="E679" s="201">
        <v>244718.63</v>
      </c>
      <c r="F679" s="201">
        <v>36039</v>
      </c>
      <c r="G679" s="201">
        <f>'Mail Merge'!$E679+'Mail Merge'!$F679</f>
        <v>280757.63</v>
      </c>
      <c r="H679" s="201">
        <v>0</v>
      </c>
      <c r="I679" s="201" t="s">
        <v>241</v>
      </c>
      <c r="J679" s="201">
        <f>IFERROR('Mail Merge'!$E679/'Mail Merge'!$D679,0)</f>
        <v>11653.268095238096</v>
      </c>
      <c r="K679" s="201">
        <f>IFERROR('Mail Merge'!$F679/'Mail Merge'!$D679,0)</f>
        <v>1716.1428571428571</v>
      </c>
      <c r="L679" s="201">
        <f>IFERROR('Mail Merge'!$G679/'Mail Merge'!$D679,0)</f>
        <v>13369.410952380953</v>
      </c>
      <c r="M679" s="201">
        <v>0</v>
      </c>
      <c r="N679" s="201" t="s">
        <v>241</v>
      </c>
      <c r="O679" s="201">
        <v>18897.59</v>
      </c>
      <c r="P679" s="201">
        <v>0</v>
      </c>
      <c r="Q679" s="201">
        <f>'Mail Merge'!$O679+'Mail Merge'!$P679</f>
        <v>18897.59</v>
      </c>
      <c r="R679" s="201"/>
      <c r="S679" s="201"/>
      <c r="T679" s="201"/>
      <c r="U679" s="201">
        <f>IF(AND('Mail Merge'!$I679="Did Not Meet",'Mail Merge'!$N679="Did Not Meet"),MIN(ABS('Mail Merge'!$H679),ABS('Mail Merge'!$M679),'Mail Merge'!$Q679),0)</f>
        <v>0</v>
      </c>
      <c r="V679" s="201" t="str">
        <f>IF(OR(IFERROR(SEARCH("Met",'Mail Merge'!$N679),0)&gt;0,IFERROR(SEARCH("Met",'Mail Merge'!$I679),0)&gt;0),"Met","Not Met")</f>
        <v>Met</v>
      </c>
    </row>
    <row r="680" spans="1:22" x14ac:dyDescent="0.35">
      <c r="A680" s="198" t="s">
        <v>109</v>
      </c>
      <c r="B680" s="199">
        <v>2008</v>
      </c>
      <c r="C680" s="199" t="s">
        <v>31</v>
      </c>
      <c r="D680" s="199">
        <v>86</v>
      </c>
      <c r="E680" s="199">
        <v>666680.77</v>
      </c>
      <c r="F680" s="199">
        <v>120621.92</v>
      </c>
      <c r="G680" s="199">
        <f>'Mail Merge'!$E680+'Mail Merge'!$F680</f>
        <v>787302.69000000006</v>
      </c>
      <c r="H680" s="199">
        <v>0</v>
      </c>
      <c r="I680" s="199" t="s">
        <v>240</v>
      </c>
      <c r="J680" s="199">
        <f>IFERROR('Mail Merge'!$E680/'Mail Merge'!$D680,0)</f>
        <v>7752.1019767441867</v>
      </c>
      <c r="K680" s="199">
        <f>IFERROR('Mail Merge'!$F680/'Mail Merge'!$D680,0)</f>
        <v>1402.5804651162791</v>
      </c>
      <c r="L680" s="199">
        <f>IFERROR('Mail Merge'!$G680/'Mail Merge'!$D680,0)</f>
        <v>9154.6824418604665</v>
      </c>
      <c r="M680" s="199">
        <v>0</v>
      </c>
      <c r="N680" s="199" t="s">
        <v>240</v>
      </c>
      <c r="O680" s="199">
        <v>130955.63</v>
      </c>
      <c r="P680" s="199">
        <v>1284.17</v>
      </c>
      <c r="Q680" s="199">
        <f>'Mail Merge'!$O680+'Mail Merge'!$P680</f>
        <v>132239.80000000002</v>
      </c>
      <c r="R680" s="199"/>
      <c r="S680" s="199"/>
      <c r="T680" s="199"/>
      <c r="U680" s="199">
        <f>IF(AND('Mail Merge'!$I680="Did Not Meet",'Mail Merge'!$N680="Did Not Meet"),MIN(ABS('Mail Merge'!$H680),ABS('Mail Merge'!$M680),'Mail Merge'!$Q680),0)</f>
        <v>0</v>
      </c>
      <c r="V680" s="199" t="str">
        <f>IF(OR(IFERROR(SEARCH("Met",'Mail Merge'!$N680),0)&gt;0,IFERROR(SEARCH("Met",'Mail Merge'!$I680),0)&gt;0),"Met","Not Met")</f>
        <v>Not Met</v>
      </c>
    </row>
    <row r="681" spans="1:22" x14ac:dyDescent="0.35">
      <c r="A681" s="200" t="s">
        <v>110</v>
      </c>
      <c r="B681" s="201">
        <v>2107</v>
      </c>
      <c r="C681" s="201" t="s">
        <v>31</v>
      </c>
      <c r="D681" s="201">
        <v>11</v>
      </c>
      <c r="E681" s="201">
        <v>61129.599999999999</v>
      </c>
      <c r="F681" s="201">
        <v>24252.16</v>
      </c>
      <c r="G681" s="201">
        <f>'Mail Merge'!$E681+'Mail Merge'!$F681</f>
        <v>85381.759999999995</v>
      </c>
      <c r="H681" s="201">
        <v>0</v>
      </c>
      <c r="I681" s="201" t="s">
        <v>240</v>
      </c>
      <c r="J681" s="201">
        <f>IFERROR('Mail Merge'!$E681/'Mail Merge'!$D681,0)</f>
        <v>5557.2363636363634</v>
      </c>
      <c r="K681" s="201">
        <f>IFERROR('Mail Merge'!$F681/'Mail Merge'!$D681,0)</f>
        <v>2204.741818181818</v>
      </c>
      <c r="L681" s="201">
        <f>IFERROR('Mail Merge'!$G681/'Mail Merge'!$D681,0)</f>
        <v>7761.9781818181809</v>
      </c>
      <c r="M681" s="201">
        <v>0</v>
      </c>
      <c r="N681" s="201" t="s">
        <v>240</v>
      </c>
      <c r="O681" s="201">
        <v>13844.84</v>
      </c>
      <c r="P681" s="201">
        <v>466.97</v>
      </c>
      <c r="Q681" s="201">
        <f>'Mail Merge'!$O681+'Mail Merge'!$P681</f>
        <v>14311.81</v>
      </c>
      <c r="R681" s="201"/>
      <c r="S681" s="201"/>
      <c r="T681" s="201"/>
      <c r="U681" s="201">
        <f>IF(AND('Mail Merge'!$I681="Did Not Meet",'Mail Merge'!$N681="Did Not Meet"),MIN(ABS('Mail Merge'!$H681),ABS('Mail Merge'!$M681),'Mail Merge'!$Q681),0)</f>
        <v>0</v>
      </c>
      <c r="V681" s="201" t="str">
        <f>IF(OR(IFERROR(SEARCH("Met",'Mail Merge'!$N681),0)&gt;0,IFERROR(SEARCH("Met",'Mail Merge'!$I681),0)&gt;0),"Met","Not Met")</f>
        <v>Not Met</v>
      </c>
    </row>
    <row r="682" spans="1:22" x14ac:dyDescent="0.35">
      <c r="A682" s="198" t="s">
        <v>111</v>
      </c>
      <c r="B682" s="199">
        <v>2219</v>
      </c>
      <c r="C682" s="199" t="s">
        <v>31</v>
      </c>
      <c r="D682" s="199">
        <v>33</v>
      </c>
      <c r="E682" s="199">
        <v>107302.73</v>
      </c>
      <c r="F682" s="199">
        <v>150748.26999999999</v>
      </c>
      <c r="G682" s="199">
        <f>'Mail Merge'!$E682+'Mail Merge'!$F682</f>
        <v>258051</v>
      </c>
      <c r="H682" s="199">
        <v>0</v>
      </c>
      <c r="I682" s="199" t="s">
        <v>241</v>
      </c>
      <c r="J682" s="199">
        <f>IFERROR('Mail Merge'!$E682/'Mail Merge'!$D682,0)</f>
        <v>3251.5978787878785</v>
      </c>
      <c r="K682" s="199">
        <f>IFERROR('Mail Merge'!$F682/'Mail Merge'!$D682,0)</f>
        <v>4568.1293939393936</v>
      </c>
      <c r="L682" s="199">
        <f>IFERROR('Mail Merge'!$G682/'Mail Merge'!$D682,0)</f>
        <v>7819.727272727273</v>
      </c>
      <c r="M682" s="199">
        <v>0</v>
      </c>
      <c r="N682" s="199" t="s">
        <v>240</v>
      </c>
      <c r="O682" s="199">
        <v>44706.47</v>
      </c>
      <c r="P682" s="199">
        <v>0</v>
      </c>
      <c r="Q682" s="199">
        <f>'Mail Merge'!$O682+'Mail Merge'!$P682</f>
        <v>44706.47</v>
      </c>
      <c r="R682" s="199"/>
      <c r="S682" s="199"/>
      <c r="T682" s="199"/>
      <c r="U682" s="199">
        <f>IF(AND('Mail Merge'!$I682="Did Not Meet",'Mail Merge'!$N682="Did Not Meet"),MIN(ABS('Mail Merge'!$H682),ABS('Mail Merge'!$M682),'Mail Merge'!$Q682),0)</f>
        <v>0</v>
      </c>
      <c r="V682" s="199" t="str">
        <f>IF(OR(IFERROR(SEARCH("Met",'Mail Merge'!$N682),0)&gt;0,IFERROR(SEARCH("Met",'Mail Merge'!$I682),0)&gt;0),"Met","Not Met")</f>
        <v>Met</v>
      </c>
    </row>
    <row r="683" spans="1:22" x14ac:dyDescent="0.35">
      <c r="A683" s="200" t="s">
        <v>112</v>
      </c>
      <c r="B683" s="201">
        <v>2091</v>
      </c>
      <c r="C683" s="201" t="s">
        <v>31</v>
      </c>
      <c r="D683" s="201">
        <v>212</v>
      </c>
      <c r="E683" s="201">
        <v>1487620.24</v>
      </c>
      <c r="F683" s="201">
        <v>515545</v>
      </c>
      <c r="G683" s="201">
        <f>'Mail Merge'!$E683+'Mail Merge'!$F683</f>
        <v>2003165.24</v>
      </c>
      <c r="H683" s="201">
        <v>0</v>
      </c>
      <c r="I683" s="201" t="s">
        <v>242</v>
      </c>
      <c r="J683" s="201">
        <f>IFERROR('Mail Merge'!$E683/'Mail Merge'!$D683,0)</f>
        <v>7017.0766037735848</v>
      </c>
      <c r="K683" s="201">
        <f>IFERROR('Mail Merge'!$F683/'Mail Merge'!$D683,0)</f>
        <v>2431.816037735849</v>
      </c>
      <c r="L683" s="201">
        <f>IFERROR('Mail Merge'!$G683/'Mail Merge'!$D683,0)</f>
        <v>9448.8926415094338</v>
      </c>
      <c r="M683" s="201">
        <v>0</v>
      </c>
      <c r="N683" s="201" t="s">
        <v>241</v>
      </c>
      <c r="O683" s="201">
        <v>284912.03999999998</v>
      </c>
      <c r="P683" s="201">
        <v>3677.4</v>
      </c>
      <c r="Q683" s="201">
        <f>'Mail Merge'!$O683+'Mail Merge'!$P683</f>
        <v>288589.44</v>
      </c>
      <c r="R683" s="201"/>
      <c r="S683" s="201">
        <v>110491.64</v>
      </c>
      <c r="T683" s="201">
        <v>110491.64</v>
      </c>
      <c r="U683" s="201">
        <f>IF(AND('Mail Merge'!$I683="Did Not Meet",'Mail Merge'!$N683="Did Not Meet"),MIN(ABS('Mail Merge'!$H683),ABS('Mail Merge'!$M683),'Mail Merge'!$Q683),0)</f>
        <v>0</v>
      </c>
      <c r="V683" s="201" t="str">
        <f>IF(OR(IFERROR(SEARCH("Met",'Mail Merge'!$N683),0)&gt;0,IFERROR(SEARCH("Met",'Mail Merge'!$I683),0)&gt;0),"Met","Not Met")</f>
        <v>Met</v>
      </c>
    </row>
    <row r="684" spans="1:22" x14ac:dyDescent="0.35">
      <c r="A684" s="198" t="s">
        <v>113</v>
      </c>
      <c r="B684" s="199">
        <v>2109</v>
      </c>
      <c r="C684" s="199" t="s">
        <v>31</v>
      </c>
      <c r="D684" s="199">
        <v>1</v>
      </c>
      <c r="E684" s="199">
        <v>0</v>
      </c>
      <c r="F684" s="199">
        <v>1505.55</v>
      </c>
      <c r="G684" s="199">
        <f>'Mail Merge'!$E684+'Mail Merge'!$F684</f>
        <v>1505.55</v>
      </c>
      <c r="H684" s="199">
        <v>0</v>
      </c>
      <c r="I684" s="199" t="s">
        <v>241</v>
      </c>
      <c r="J684" s="199">
        <f>IFERROR('Mail Merge'!$E684/'Mail Merge'!$D684,0)</f>
        <v>0</v>
      </c>
      <c r="K684" s="199">
        <f>IFERROR('Mail Merge'!$F684/'Mail Merge'!$D684,0)</f>
        <v>1505.55</v>
      </c>
      <c r="L684" s="199">
        <f>IFERROR('Mail Merge'!$G684/'Mail Merge'!$D684,0)</f>
        <v>1505.55</v>
      </c>
      <c r="M684" s="199">
        <v>0</v>
      </c>
      <c r="N684" s="199" t="s">
        <v>241</v>
      </c>
      <c r="O684" s="199">
        <v>547.1</v>
      </c>
      <c r="P684" s="199">
        <v>0</v>
      </c>
      <c r="Q684" s="199">
        <f>'Mail Merge'!$O684+'Mail Merge'!$P684</f>
        <v>547.1</v>
      </c>
      <c r="R684" s="199"/>
      <c r="S684" s="199"/>
      <c r="T684" s="199"/>
      <c r="U684" s="199">
        <f>IF(AND('Mail Merge'!$I684="Did Not Meet",'Mail Merge'!$N684="Did Not Meet"),MIN(ABS('Mail Merge'!$H684),ABS('Mail Merge'!$M684),'Mail Merge'!$Q684),0)</f>
        <v>0</v>
      </c>
      <c r="V684" s="199" t="str">
        <f>IF(OR(IFERROR(SEARCH("Met",'Mail Merge'!$N684),0)&gt;0,IFERROR(SEARCH("Met",'Mail Merge'!$I684),0)&gt;0),"Met","Not Met")</f>
        <v>Met</v>
      </c>
    </row>
    <row r="685" spans="1:22" x14ac:dyDescent="0.35">
      <c r="A685" s="200" t="s">
        <v>114</v>
      </c>
      <c r="B685" s="201">
        <v>2057</v>
      </c>
      <c r="C685" s="201" t="s">
        <v>31</v>
      </c>
      <c r="D685" s="201">
        <v>880</v>
      </c>
      <c r="E685" s="201">
        <v>5212918.5</v>
      </c>
      <c r="F685" s="201">
        <v>942590.94</v>
      </c>
      <c r="G685" s="201">
        <f>'Mail Merge'!$E685+'Mail Merge'!$F685</f>
        <v>6155509.4399999995</v>
      </c>
      <c r="H685" s="201">
        <v>0</v>
      </c>
      <c r="I685" s="201" t="s">
        <v>241</v>
      </c>
      <c r="J685" s="201">
        <f>IFERROR('Mail Merge'!$E685/'Mail Merge'!$D685,0)</f>
        <v>5923.7710227272728</v>
      </c>
      <c r="K685" s="201">
        <f>IFERROR('Mail Merge'!$F685/'Mail Merge'!$D685,0)</f>
        <v>1071.126068181818</v>
      </c>
      <c r="L685" s="201">
        <f>IFERROR('Mail Merge'!$G685/'Mail Merge'!$D685,0)</f>
        <v>6994.8970909090904</v>
      </c>
      <c r="M685" s="201">
        <v>0</v>
      </c>
      <c r="N685" s="201" t="s">
        <v>241</v>
      </c>
      <c r="O685" s="201">
        <v>1152579</v>
      </c>
      <c r="P685" s="201">
        <v>9185.18</v>
      </c>
      <c r="Q685" s="201">
        <f>'Mail Merge'!$O685+'Mail Merge'!$P685</f>
        <v>1161764.18</v>
      </c>
      <c r="R685" s="201"/>
      <c r="S685" s="201"/>
      <c r="T685" s="201"/>
      <c r="U685" s="201">
        <f>IF(AND('Mail Merge'!$I685="Did Not Meet",'Mail Merge'!$N685="Did Not Meet"),MIN(ABS('Mail Merge'!$H685),ABS('Mail Merge'!$M685),'Mail Merge'!$Q685),0)</f>
        <v>0</v>
      </c>
      <c r="V685" s="201" t="str">
        <f>IF(OR(IFERROR(SEARCH("Met",'Mail Merge'!$N685),0)&gt;0,IFERROR(SEARCH("Met",'Mail Merge'!$I685),0)&gt;0),"Met","Not Met")</f>
        <v>Met</v>
      </c>
    </row>
    <row r="686" spans="1:22" x14ac:dyDescent="0.35">
      <c r="A686" s="198" t="s">
        <v>115</v>
      </c>
      <c r="B686" s="199">
        <v>2056</v>
      </c>
      <c r="C686" s="199" t="s">
        <v>31</v>
      </c>
      <c r="D686" s="199">
        <v>510</v>
      </c>
      <c r="E686" s="199">
        <v>3215724.31</v>
      </c>
      <c r="F686" s="199">
        <v>107355.57</v>
      </c>
      <c r="G686" s="199">
        <f>'Mail Merge'!$E686+'Mail Merge'!$F686</f>
        <v>3323079.88</v>
      </c>
      <c r="H686" s="199">
        <v>0</v>
      </c>
      <c r="I686" s="199" t="s">
        <v>241</v>
      </c>
      <c r="J686" s="199">
        <f>IFERROR('Mail Merge'!$E686/'Mail Merge'!$D686,0)</f>
        <v>6305.3417843137258</v>
      </c>
      <c r="K686" s="199">
        <f>IFERROR('Mail Merge'!$F686/'Mail Merge'!$D686,0)</f>
        <v>210.50111764705883</v>
      </c>
      <c r="L686" s="199">
        <f>IFERROR('Mail Merge'!$G686/'Mail Merge'!$D686,0)</f>
        <v>6515.8429019607838</v>
      </c>
      <c r="M686" s="199">
        <v>0</v>
      </c>
      <c r="N686" s="199" t="s">
        <v>241</v>
      </c>
      <c r="O686" s="199">
        <v>609463.37</v>
      </c>
      <c r="P686" s="199">
        <v>7020.47</v>
      </c>
      <c r="Q686" s="199">
        <f>'Mail Merge'!$O686+'Mail Merge'!$P686</f>
        <v>616483.83999999997</v>
      </c>
      <c r="R686" s="199"/>
      <c r="S686" s="199"/>
      <c r="T686" s="199"/>
      <c r="U686" s="199">
        <f>IF(AND('Mail Merge'!$I686="Did Not Meet",'Mail Merge'!$N686="Did Not Meet"),MIN(ABS('Mail Merge'!$H686),ABS('Mail Merge'!$M686),'Mail Merge'!$Q686),0)</f>
        <v>0</v>
      </c>
      <c r="V686" s="199" t="str">
        <f>IF(OR(IFERROR(SEARCH("Met",'Mail Merge'!$N686),0)&gt;0,IFERROR(SEARCH("Met",'Mail Merge'!$I686),0)&gt;0),"Met","Not Met")</f>
        <v>Met</v>
      </c>
    </row>
    <row r="687" spans="1:22" x14ac:dyDescent="0.35">
      <c r="A687" s="200" t="s">
        <v>116</v>
      </c>
      <c r="B687" s="201">
        <v>2262</v>
      </c>
      <c r="C687" s="201" t="s">
        <v>31</v>
      </c>
      <c r="D687" s="201">
        <v>85</v>
      </c>
      <c r="E687" s="201">
        <v>506265.48</v>
      </c>
      <c r="F687" s="201">
        <v>67338</v>
      </c>
      <c r="G687" s="201">
        <f>'Mail Merge'!$E687+'Mail Merge'!$F687</f>
        <v>573603.48</v>
      </c>
      <c r="H687" s="201">
        <v>0</v>
      </c>
      <c r="I687" s="201" t="s">
        <v>240</v>
      </c>
      <c r="J687" s="201">
        <f>IFERROR('Mail Merge'!$E687/'Mail Merge'!$D687,0)</f>
        <v>5956.0644705882351</v>
      </c>
      <c r="K687" s="201">
        <f>IFERROR('Mail Merge'!$F687/'Mail Merge'!$D687,0)</f>
        <v>792.21176470588239</v>
      </c>
      <c r="L687" s="201">
        <f>IFERROR('Mail Merge'!$G687/'Mail Merge'!$D687,0)</f>
        <v>6748.2762352941172</v>
      </c>
      <c r="M687" s="201">
        <v>0</v>
      </c>
      <c r="N687" s="201" t="s">
        <v>240</v>
      </c>
      <c r="O687" s="201">
        <v>73108.78</v>
      </c>
      <c r="P687" s="201">
        <v>1961.28</v>
      </c>
      <c r="Q687" s="201">
        <f>'Mail Merge'!$O687+'Mail Merge'!$P687</f>
        <v>75070.06</v>
      </c>
      <c r="R687" s="201"/>
      <c r="S687" s="201"/>
      <c r="T687" s="201"/>
      <c r="U687" s="201">
        <f>IF(AND('Mail Merge'!$I687="Did Not Meet",'Mail Merge'!$N687="Did Not Meet"),MIN(ABS('Mail Merge'!$H687),ABS('Mail Merge'!$M687),'Mail Merge'!$Q687),0)</f>
        <v>0</v>
      </c>
      <c r="V687" s="201" t="str">
        <f>IF(OR(IFERROR(SEARCH("Met",'Mail Merge'!$N687),0)&gt;0,IFERROR(SEARCH("Met",'Mail Merge'!$I687),0)&gt;0),"Met","Not Met")</f>
        <v>Not Met</v>
      </c>
    </row>
    <row r="688" spans="1:22" x14ac:dyDescent="0.35">
      <c r="A688" s="198" t="s">
        <v>117</v>
      </c>
      <c r="B688" s="199">
        <v>2212</v>
      </c>
      <c r="C688" s="199" t="s">
        <v>31</v>
      </c>
      <c r="D688" s="199">
        <v>278</v>
      </c>
      <c r="E688" s="199">
        <v>2164007.5499999998</v>
      </c>
      <c r="F688" s="199">
        <v>307151.69</v>
      </c>
      <c r="G688" s="199">
        <f>'Mail Merge'!$E688+'Mail Merge'!$F688</f>
        <v>2471159.2399999998</v>
      </c>
      <c r="H688" s="199">
        <v>0</v>
      </c>
      <c r="I688" s="199" t="s">
        <v>241</v>
      </c>
      <c r="J688" s="199">
        <f>IFERROR('Mail Merge'!$E688/'Mail Merge'!$D688,0)</f>
        <v>7784.1998201438846</v>
      </c>
      <c r="K688" s="199">
        <f>IFERROR('Mail Merge'!$F688/'Mail Merge'!$D688,0)</f>
        <v>1104.8621942446043</v>
      </c>
      <c r="L688" s="199">
        <f>IFERROR('Mail Merge'!$G688/'Mail Merge'!$D688,0)</f>
        <v>8889.062014388488</v>
      </c>
      <c r="M688" s="199">
        <v>0</v>
      </c>
      <c r="N688" s="199" t="s">
        <v>241</v>
      </c>
      <c r="O688" s="199">
        <v>404747.89</v>
      </c>
      <c r="P688" s="199">
        <v>2101.37</v>
      </c>
      <c r="Q688" s="199">
        <f>'Mail Merge'!$O688+'Mail Merge'!$P688</f>
        <v>406849.26</v>
      </c>
      <c r="R688" s="199"/>
      <c r="S688" s="199"/>
      <c r="T688" s="199"/>
      <c r="U688" s="199">
        <f>IF(AND('Mail Merge'!$I688="Did Not Meet",'Mail Merge'!$N688="Did Not Meet"),MIN(ABS('Mail Merge'!$H688),ABS('Mail Merge'!$M688),'Mail Merge'!$Q688),0)</f>
        <v>0</v>
      </c>
      <c r="V688" s="199" t="str">
        <f>IF(OR(IFERROR(SEARCH("Met",'Mail Merge'!$N688),0)&gt;0,IFERROR(SEARCH("Met",'Mail Merge'!$I688),0)&gt;0),"Met","Not Met")</f>
        <v>Met</v>
      </c>
    </row>
    <row r="689" spans="1:22" x14ac:dyDescent="0.35">
      <c r="A689" s="200" t="s">
        <v>118</v>
      </c>
      <c r="B689" s="201">
        <v>2059</v>
      </c>
      <c r="C689" s="201" t="s">
        <v>31</v>
      </c>
      <c r="D689" s="201">
        <v>91</v>
      </c>
      <c r="E689" s="201">
        <v>281019.31</v>
      </c>
      <c r="F689" s="201">
        <v>240500</v>
      </c>
      <c r="G689" s="201">
        <f>'Mail Merge'!$E689+'Mail Merge'!$F689</f>
        <v>521519.31</v>
      </c>
      <c r="H689" s="201">
        <v>0</v>
      </c>
      <c r="I689" s="201" t="s">
        <v>241</v>
      </c>
      <c r="J689" s="201">
        <f>IFERROR('Mail Merge'!$E689/'Mail Merge'!$D689,0)</f>
        <v>3088.1242857142856</v>
      </c>
      <c r="K689" s="201">
        <f>IFERROR('Mail Merge'!$F689/'Mail Merge'!$D689,0)</f>
        <v>2642.8571428571427</v>
      </c>
      <c r="L689" s="201">
        <f>IFERROR('Mail Merge'!$G689/'Mail Merge'!$D689,0)</f>
        <v>5730.9814285714283</v>
      </c>
      <c r="M689" s="201">
        <v>0</v>
      </c>
      <c r="N689" s="201" t="s">
        <v>241</v>
      </c>
      <c r="O689" s="201">
        <v>115957.53</v>
      </c>
      <c r="P689" s="201">
        <v>700.46</v>
      </c>
      <c r="Q689" s="201">
        <f>'Mail Merge'!$O689+'Mail Merge'!$P689</f>
        <v>116657.99</v>
      </c>
      <c r="R689" s="201"/>
      <c r="S689" s="201"/>
      <c r="T689" s="201"/>
      <c r="U689" s="201">
        <f>IF(AND('Mail Merge'!$I689="Did Not Meet",'Mail Merge'!$N689="Did Not Meet"),MIN(ABS('Mail Merge'!$H689),ABS('Mail Merge'!$M689),'Mail Merge'!$Q689),0)</f>
        <v>0</v>
      </c>
      <c r="V689" s="201" t="str">
        <f>IF(OR(IFERROR(SEARCH("Met",'Mail Merge'!$N689),0)&gt;0,IFERROR(SEARCH("Met",'Mail Merge'!$I689),0)&gt;0),"Met","Not Met")</f>
        <v>Met</v>
      </c>
    </row>
    <row r="690" spans="1:22" x14ac:dyDescent="0.35">
      <c r="A690" s="198" t="s">
        <v>119</v>
      </c>
      <c r="B690" s="199">
        <v>1923</v>
      </c>
      <c r="C690" s="199" t="s">
        <v>31</v>
      </c>
      <c r="D690" s="199">
        <v>582</v>
      </c>
      <c r="E690" s="199">
        <v>9033671.7400000002</v>
      </c>
      <c r="F690" s="199">
        <v>320462</v>
      </c>
      <c r="G690" s="199">
        <f>'Mail Merge'!$E690+'Mail Merge'!$F690</f>
        <v>9354133.7400000002</v>
      </c>
      <c r="H690" s="199">
        <v>0</v>
      </c>
      <c r="I690" s="199" t="s">
        <v>241</v>
      </c>
      <c r="J690" s="199">
        <f>IFERROR('Mail Merge'!$E690/'Mail Merge'!$D690,0)</f>
        <v>15521.772749140893</v>
      </c>
      <c r="K690" s="199">
        <f>IFERROR('Mail Merge'!$F690/'Mail Merge'!$D690,0)</f>
        <v>550.62199312714779</v>
      </c>
      <c r="L690" s="199">
        <f>IFERROR('Mail Merge'!$G690/'Mail Merge'!$D690,0)</f>
        <v>16072.394742268041</v>
      </c>
      <c r="M690" s="199">
        <v>0</v>
      </c>
      <c r="N690" s="199" t="s">
        <v>241</v>
      </c>
      <c r="O690" s="199">
        <v>909773.55</v>
      </c>
      <c r="P690" s="199">
        <v>3555.53</v>
      </c>
      <c r="Q690" s="199">
        <f>'Mail Merge'!$O690+'Mail Merge'!$P690</f>
        <v>913329.08000000007</v>
      </c>
      <c r="R690" s="199"/>
      <c r="S690" s="199"/>
      <c r="T690" s="199"/>
      <c r="U690" s="199">
        <f>IF(AND('Mail Merge'!$I690="Did Not Meet",'Mail Merge'!$N690="Did Not Meet"),MIN(ABS('Mail Merge'!$H690),ABS('Mail Merge'!$M690),'Mail Merge'!$Q690),0)</f>
        <v>0</v>
      </c>
      <c r="V690" s="199" t="str">
        <f>IF(OR(IFERROR(SEARCH("Met",'Mail Merge'!$N690),0)&gt;0,IFERROR(SEARCH("Met",'Mail Merge'!$I690),0)&gt;0),"Met","Not Met")</f>
        <v>Met</v>
      </c>
    </row>
    <row r="691" spans="1:22" x14ac:dyDescent="0.35">
      <c r="A691" s="200" t="s">
        <v>120</v>
      </c>
      <c r="B691" s="201">
        <v>2101</v>
      </c>
      <c r="C691" s="201" t="s">
        <v>31</v>
      </c>
      <c r="D691" s="201">
        <v>611</v>
      </c>
      <c r="E691" s="201">
        <v>4108155.42</v>
      </c>
      <c r="F691" s="201">
        <v>561579</v>
      </c>
      <c r="G691" s="201">
        <f>'Mail Merge'!$E691+'Mail Merge'!$F691</f>
        <v>4669734.42</v>
      </c>
      <c r="H691" s="201">
        <v>0</v>
      </c>
      <c r="I691" s="201" t="s">
        <v>241</v>
      </c>
      <c r="J691" s="201">
        <f>IFERROR('Mail Merge'!$E691/'Mail Merge'!$D691,0)</f>
        <v>6723.6586252045827</v>
      </c>
      <c r="K691" s="201">
        <f>IFERROR('Mail Merge'!$F691/'Mail Merge'!$D691,0)</f>
        <v>919.11456628477902</v>
      </c>
      <c r="L691" s="201">
        <f>IFERROR('Mail Merge'!$G691/'Mail Merge'!$D691,0)</f>
        <v>7642.773191489362</v>
      </c>
      <c r="M691" s="201">
        <v>0</v>
      </c>
      <c r="N691" s="201" t="s">
        <v>241</v>
      </c>
      <c r="O691" s="201">
        <v>720556.18</v>
      </c>
      <c r="P691" s="201">
        <v>5776.36</v>
      </c>
      <c r="Q691" s="201">
        <f>'Mail Merge'!$O691+'Mail Merge'!$P691</f>
        <v>726332.54</v>
      </c>
      <c r="R691" s="201"/>
      <c r="S691" s="201"/>
      <c r="T691" s="201"/>
      <c r="U691" s="201">
        <f>IF(AND('Mail Merge'!$I691="Did Not Meet",'Mail Merge'!$N691="Did Not Meet"),MIN(ABS('Mail Merge'!$H691),ABS('Mail Merge'!$M691),'Mail Merge'!$Q691),0)</f>
        <v>0</v>
      </c>
      <c r="V691" s="201" t="str">
        <f>IF(OR(IFERROR(SEARCH("Met",'Mail Merge'!$N691),0)&gt;0,IFERROR(SEARCH("Met",'Mail Merge'!$I691),0)&gt;0),"Met","Not Met")</f>
        <v>Met</v>
      </c>
    </row>
    <row r="692" spans="1:22" x14ac:dyDescent="0.35">
      <c r="A692" s="198" t="s">
        <v>121</v>
      </c>
      <c r="B692" s="199">
        <v>2097</v>
      </c>
      <c r="C692" s="199" t="s">
        <v>31</v>
      </c>
      <c r="D692" s="199">
        <v>662</v>
      </c>
      <c r="E692" s="199">
        <v>5910993.5199999996</v>
      </c>
      <c r="F692" s="199">
        <v>493324</v>
      </c>
      <c r="G692" s="199">
        <f>'Mail Merge'!$E692+'Mail Merge'!$F692</f>
        <v>6404317.5199999996</v>
      </c>
      <c r="H692" s="199">
        <v>0</v>
      </c>
      <c r="I692" s="199" t="s">
        <v>241</v>
      </c>
      <c r="J692" s="199">
        <f>IFERROR('Mail Merge'!$E692/'Mail Merge'!$D692,0)</f>
        <v>8928.9932326283979</v>
      </c>
      <c r="K692" s="199">
        <f>IFERROR('Mail Merge'!$F692/'Mail Merge'!$D692,0)</f>
        <v>745.20241691842898</v>
      </c>
      <c r="L692" s="199">
        <f>IFERROR('Mail Merge'!$G692/'Mail Merge'!$D692,0)</f>
        <v>9674.1956495468276</v>
      </c>
      <c r="M692" s="199">
        <v>0</v>
      </c>
      <c r="N692" s="199" t="s">
        <v>241</v>
      </c>
      <c r="O692" s="199">
        <v>891207.24</v>
      </c>
      <c r="P692" s="199">
        <v>13459.73</v>
      </c>
      <c r="Q692" s="199">
        <f>'Mail Merge'!$O692+'Mail Merge'!$P692</f>
        <v>904666.97</v>
      </c>
      <c r="R692" s="199"/>
      <c r="S692" s="199"/>
      <c r="T692" s="199"/>
      <c r="U692" s="199">
        <f>IF(AND('Mail Merge'!$I692="Did Not Meet",'Mail Merge'!$N692="Did Not Meet"),MIN(ABS('Mail Merge'!$H692),ABS('Mail Merge'!$M692),'Mail Merge'!$Q692),0)</f>
        <v>0</v>
      </c>
      <c r="V692" s="199" t="str">
        <f>IF(OR(IFERROR(SEARCH("Met",'Mail Merge'!$N692),0)&gt;0,IFERROR(SEARCH("Met",'Mail Merge'!$I692),0)&gt;0),"Met","Not Met")</f>
        <v>Met</v>
      </c>
    </row>
    <row r="693" spans="1:22" x14ac:dyDescent="0.35">
      <c r="A693" s="200" t="s">
        <v>122</v>
      </c>
      <c r="B693" s="201">
        <v>2012</v>
      </c>
      <c r="C693" s="201" t="s">
        <v>31</v>
      </c>
      <c r="D693" s="201">
        <v>2</v>
      </c>
      <c r="E693" s="201">
        <v>27351.200000000001</v>
      </c>
      <c r="F693" s="201">
        <v>65341.440000000002</v>
      </c>
      <c r="G693" s="201">
        <f>'Mail Merge'!$E693+'Mail Merge'!$F693</f>
        <v>92692.64</v>
      </c>
      <c r="H693" s="201">
        <v>0</v>
      </c>
      <c r="I693" s="201" t="s">
        <v>242</v>
      </c>
      <c r="J693" s="201">
        <f>IFERROR('Mail Merge'!$E693/'Mail Merge'!$D693,0)</f>
        <v>13675.6</v>
      </c>
      <c r="K693" s="201">
        <f>IFERROR('Mail Merge'!$F693/'Mail Merge'!$D693,0)</f>
        <v>32670.720000000001</v>
      </c>
      <c r="L693" s="201">
        <f>IFERROR('Mail Merge'!$G693/'Mail Merge'!$D693,0)</f>
        <v>46346.32</v>
      </c>
      <c r="M693" s="201">
        <v>0</v>
      </c>
      <c r="N693" s="201" t="s">
        <v>241</v>
      </c>
      <c r="O693" s="201">
        <v>3894.8</v>
      </c>
      <c r="P693" s="201">
        <v>0</v>
      </c>
      <c r="Q693" s="201">
        <f>'Mail Merge'!$O693+'Mail Merge'!$P693</f>
        <v>3894.8</v>
      </c>
      <c r="R693" s="201"/>
      <c r="S693" s="201">
        <v>43329.09</v>
      </c>
      <c r="T693" s="201">
        <v>43329.09</v>
      </c>
      <c r="U693" s="201">
        <f>IF(AND('Mail Merge'!$I693="Did Not Meet",'Mail Merge'!$N693="Did Not Meet"),MIN(ABS('Mail Merge'!$H693),ABS('Mail Merge'!$M693),'Mail Merge'!$Q693),0)</f>
        <v>0</v>
      </c>
      <c r="V693" s="201" t="str">
        <f>IF(OR(IFERROR(SEARCH("Met",'Mail Merge'!$N693),0)&gt;0,IFERROR(SEARCH("Met",'Mail Merge'!$I693),0)&gt;0),"Met","Not Met")</f>
        <v>Met</v>
      </c>
    </row>
    <row r="694" spans="1:22" x14ac:dyDescent="0.35">
      <c r="A694" s="198" t="s">
        <v>123</v>
      </c>
      <c r="B694" s="199">
        <v>2092</v>
      </c>
      <c r="C694" s="199" t="s">
        <v>31</v>
      </c>
      <c r="D694" s="199">
        <v>48</v>
      </c>
      <c r="E694" s="199">
        <v>416743.41</v>
      </c>
      <c r="F694" s="199">
        <v>185541</v>
      </c>
      <c r="G694" s="199">
        <f>'Mail Merge'!$E694+'Mail Merge'!$F694</f>
        <v>602284.40999999992</v>
      </c>
      <c r="H694" s="199">
        <v>0</v>
      </c>
      <c r="I694" s="199" t="s">
        <v>241</v>
      </c>
      <c r="J694" s="199">
        <f>IFERROR('Mail Merge'!$E694/'Mail Merge'!$D694,0)</f>
        <v>8682.1543750000001</v>
      </c>
      <c r="K694" s="199">
        <f>IFERROR('Mail Merge'!$F694/'Mail Merge'!$D694,0)</f>
        <v>3865.4375</v>
      </c>
      <c r="L694" s="199">
        <f>IFERROR('Mail Merge'!$G694/'Mail Merge'!$D694,0)</f>
        <v>12547.591874999998</v>
      </c>
      <c r="M694" s="199">
        <v>0</v>
      </c>
      <c r="N694" s="199" t="s">
        <v>241</v>
      </c>
      <c r="O694" s="199">
        <v>58979.07</v>
      </c>
      <c r="P694" s="199">
        <v>350.23</v>
      </c>
      <c r="Q694" s="199">
        <f>'Mail Merge'!$O694+'Mail Merge'!$P694</f>
        <v>59329.3</v>
      </c>
      <c r="R694" s="199"/>
      <c r="S694" s="199"/>
      <c r="T694" s="199"/>
      <c r="U694" s="199">
        <f>IF(AND('Mail Merge'!$I694="Did Not Meet",'Mail Merge'!$N694="Did Not Meet"),MIN(ABS('Mail Merge'!$H694),ABS('Mail Merge'!$M694),'Mail Merge'!$Q694),0)</f>
        <v>0</v>
      </c>
      <c r="V694" s="199" t="str">
        <f>IF(OR(IFERROR(SEARCH("Met",'Mail Merge'!$N694),0)&gt;0,IFERROR(SEARCH("Met",'Mail Merge'!$I694),0)&gt;0),"Met","Not Met")</f>
        <v>Met</v>
      </c>
    </row>
    <row r="695" spans="1:22" x14ac:dyDescent="0.35">
      <c r="A695" s="200" t="s">
        <v>124</v>
      </c>
      <c r="B695" s="201">
        <v>2112</v>
      </c>
      <c r="C695" s="201" t="s">
        <v>31</v>
      </c>
      <c r="D695" s="201">
        <v>0</v>
      </c>
      <c r="E695" s="201">
        <v>0</v>
      </c>
      <c r="F695" s="201">
        <v>283.62</v>
      </c>
      <c r="G695" s="201">
        <f>'Mail Merge'!$E695+'Mail Merge'!$F695</f>
        <v>283.62</v>
      </c>
      <c r="H695" s="201">
        <v>0</v>
      </c>
      <c r="I695" s="201" t="s">
        <v>240</v>
      </c>
      <c r="J695" s="201">
        <f>IFERROR('Mail Merge'!$E695/'Mail Merge'!$D695,0)</f>
        <v>0</v>
      </c>
      <c r="K695" s="201">
        <f>IFERROR('Mail Merge'!$F695/'Mail Merge'!$D695,0)</f>
        <v>0</v>
      </c>
      <c r="L695" s="201">
        <f>IFERROR('Mail Merge'!$G695/'Mail Merge'!$D695,0)</f>
        <v>0</v>
      </c>
      <c r="M695" s="201">
        <v>0</v>
      </c>
      <c r="N695" s="201" t="s">
        <v>241</v>
      </c>
      <c r="O695" s="201">
        <v>1125.75</v>
      </c>
      <c r="P695" s="201">
        <v>0</v>
      </c>
      <c r="Q695" s="201">
        <f>'Mail Merge'!$O695+'Mail Merge'!$P695</f>
        <v>1125.75</v>
      </c>
      <c r="R695" s="201"/>
      <c r="S695" s="201"/>
      <c r="T695" s="201"/>
      <c r="U695" s="201">
        <f>IF(AND('Mail Merge'!$I695="Did Not Meet",'Mail Merge'!$N695="Did Not Meet"),MIN(ABS('Mail Merge'!$H695),ABS('Mail Merge'!$M695),'Mail Merge'!$Q695),0)</f>
        <v>0</v>
      </c>
      <c r="V695" s="201" t="str">
        <f>IF(OR(IFERROR(SEARCH("Met",'Mail Merge'!$N695),0)&gt;0,IFERROR(SEARCH("Met",'Mail Merge'!$I695),0)&gt;0),"Met","Not Met")</f>
        <v>Met</v>
      </c>
    </row>
    <row r="696" spans="1:22" x14ac:dyDescent="0.35">
      <c r="A696" s="198" t="s">
        <v>125</v>
      </c>
      <c r="B696" s="199">
        <v>2085</v>
      </c>
      <c r="C696" s="199" t="s">
        <v>31</v>
      </c>
      <c r="D696" s="199">
        <v>36</v>
      </c>
      <c r="E696" s="199">
        <v>174123.83</v>
      </c>
      <c r="F696" s="199">
        <v>49859</v>
      </c>
      <c r="G696" s="199">
        <f>'Mail Merge'!$E696+'Mail Merge'!$F696</f>
        <v>223982.83</v>
      </c>
      <c r="H696" s="199">
        <v>0</v>
      </c>
      <c r="I696" s="199" t="s">
        <v>240</v>
      </c>
      <c r="J696" s="199">
        <f>IFERROR('Mail Merge'!$E696/'Mail Merge'!$D696,0)</f>
        <v>4836.7730555555554</v>
      </c>
      <c r="K696" s="199">
        <f>IFERROR('Mail Merge'!$F696/'Mail Merge'!$D696,0)</f>
        <v>1384.9722222222222</v>
      </c>
      <c r="L696" s="199">
        <f>IFERROR('Mail Merge'!$G696/'Mail Merge'!$D696,0)</f>
        <v>6221.7452777777771</v>
      </c>
      <c r="M696" s="199">
        <v>0</v>
      </c>
      <c r="N696" s="199" t="s">
        <v>240</v>
      </c>
      <c r="O696" s="199">
        <v>51763.57</v>
      </c>
      <c r="P696" s="199">
        <v>466.97</v>
      </c>
      <c r="Q696" s="199">
        <f>'Mail Merge'!$O696+'Mail Merge'!$P696</f>
        <v>52230.54</v>
      </c>
      <c r="R696" s="199"/>
      <c r="S696" s="199"/>
      <c r="T696" s="199"/>
      <c r="U696" s="199">
        <f>IF(AND('Mail Merge'!$I696="Did Not Meet",'Mail Merge'!$N696="Did Not Meet"),MIN(ABS('Mail Merge'!$H696),ABS('Mail Merge'!$M696),'Mail Merge'!$Q696),0)</f>
        <v>0</v>
      </c>
      <c r="V696" s="199" t="str">
        <f>IF(OR(IFERROR(SEARCH("Met",'Mail Merge'!$N696),0)&gt;0,IFERROR(SEARCH("Met",'Mail Merge'!$I696),0)&gt;0),"Met","Not Met")</f>
        <v>Not Met</v>
      </c>
    </row>
    <row r="697" spans="1:22" x14ac:dyDescent="0.35">
      <c r="A697" s="200" t="s">
        <v>126</v>
      </c>
      <c r="B697" s="201">
        <v>2094</v>
      </c>
      <c r="C697" s="201" t="s">
        <v>31</v>
      </c>
      <c r="D697" s="201">
        <v>35</v>
      </c>
      <c r="E697" s="201">
        <v>168375.92</v>
      </c>
      <c r="F697" s="201">
        <v>65748</v>
      </c>
      <c r="G697" s="201">
        <f>'Mail Merge'!$E697+'Mail Merge'!$F697</f>
        <v>234123.92</v>
      </c>
      <c r="H697" s="201">
        <v>0</v>
      </c>
      <c r="I697" s="201" t="s">
        <v>240</v>
      </c>
      <c r="J697" s="201">
        <f>IFERROR('Mail Merge'!$E697/'Mail Merge'!$D697,0)</f>
        <v>4810.7405714285715</v>
      </c>
      <c r="K697" s="201">
        <f>IFERROR('Mail Merge'!$F697/'Mail Merge'!$D697,0)</f>
        <v>1878.5142857142857</v>
      </c>
      <c r="L697" s="201">
        <f>IFERROR('Mail Merge'!$G697/'Mail Merge'!$D697,0)</f>
        <v>6689.2548571428579</v>
      </c>
      <c r="M697" s="201">
        <v>0</v>
      </c>
      <c r="N697" s="201" t="s">
        <v>240</v>
      </c>
      <c r="O697" s="201">
        <v>39109.089999999997</v>
      </c>
      <c r="P697" s="201">
        <v>400.26</v>
      </c>
      <c r="Q697" s="201">
        <f>'Mail Merge'!$O697+'Mail Merge'!$P697</f>
        <v>39509.35</v>
      </c>
      <c r="R697" s="201"/>
      <c r="S697" s="201"/>
      <c r="T697" s="201"/>
      <c r="U697" s="201">
        <f>IF(AND('Mail Merge'!$I697="Did Not Meet",'Mail Merge'!$N697="Did Not Meet"),MIN(ABS('Mail Merge'!$H697),ABS('Mail Merge'!$M697),'Mail Merge'!$Q697),0)</f>
        <v>0</v>
      </c>
      <c r="V697" s="201" t="str">
        <f>IF(OR(IFERROR(SEARCH("Met",'Mail Merge'!$N697),0)&gt;0,IFERROR(SEARCH("Met",'Mail Merge'!$I697),0)&gt;0),"Met","Not Met")</f>
        <v>Not Met</v>
      </c>
    </row>
    <row r="698" spans="1:22" x14ac:dyDescent="0.35">
      <c r="A698" s="198" t="s">
        <v>127</v>
      </c>
      <c r="B698" s="199">
        <v>2090</v>
      </c>
      <c r="C698" s="199" t="s">
        <v>31</v>
      </c>
      <c r="D698" s="199">
        <v>40</v>
      </c>
      <c r="E698" s="199">
        <v>237310.66</v>
      </c>
      <c r="F698" s="199">
        <v>122562</v>
      </c>
      <c r="G698" s="199">
        <f>'Mail Merge'!$E698+'Mail Merge'!$F698</f>
        <v>359872.66000000003</v>
      </c>
      <c r="H698" s="199">
        <v>0</v>
      </c>
      <c r="I698" s="199" t="s">
        <v>241</v>
      </c>
      <c r="J698" s="199">
        <f>IFERROR('Mail Merge'!$E698/'Mail Merge'!$D698,0)</f>
        <v>5932.7664999999997</v>
      </c>
      <c r="K698" s="199">
        <f>IFERROR('Mail Merge'!$F698/'Mail Merge'!$D698,0)</f>
        <v>3064.05</v>
      </c>
      <c r="L698" s="199">
        <f>IFERROR('Mail Merge'!$G698/'Mail Merge'!$D698,0)</f>
        <v>8996.8165000000008</v>
      </c>
      <c r="M698" s="199">
        <v>0</v>
      </c>
      <c r="N698" s="199" t="s">
        <v>240</v>
      </c>
      <c r="O698" s="199">
        <v>44502.16</v>
      </c>
      <c r="P698" s="199">
        <v>0</v>
      </c>
      <c r="Q698" s="199">
        <f>'Mail Merge'!$O698+'Mail Merge'!$P698</f>
        <v>44502.16</v>
      </c>
      <c r="R698" s="199"/>
      <c r="S698" s="199"/>
      <c r="T698" s="199"/>
      <c r="U698" s="199">
        <f>IF(AND('Mail Merge'!$I698="Did Not Meet",'Mail Merge'!$N698="Did Not Meet"),MIN(ABS('Mail Merge'!$H698),ABS('Mail Merge'!$M698),'Mail Merge'!$Q698),0)</f>
        <v>0</v>
      </c>
      <c r="V698" s="199" t="str">
        <f>IF(OR(IFERROR(SEARCH("Met",'Mail Merge'!$N698),0)&gt;0,IFERROR(SEARCH("Met",'Mail Merge'!$I698),0)&gt;0),"Met","Not Met")</f>
        <v>Met</v>
      </c>
    </row>
    <row r="699" spans="1:22" x14ac:dyDescent="0.35">
      <c r="A699" s="200" t="s">
        <v>128</v>
      </c>
      <c r="B699" s="201">
        <v>2256</v>
      </c>
      <c r="C699" s="201" t="s">
        <v>31</v>
      </c>
      <c r="D699" s="201">
        <v>819</v>
      </c>
      <c r="E699" s="201">
        <v>5799983.7699999996</v>
      </c>
      <c r="F699" s="201">
        <v>0</v>
      </c>
      <c r="G699" s="201">
        <f>'Mail Merge'!$E699+'Mail Merge'!$F699</f>
        <v>5799983.7699999996</v>
      </c>
      <c r="H699" s="201">
        <v>0</v>
      </c>
      <c r="I699" s="201" t="s">
        <v>241</v>
      </c>
      <c r="J699" s="201">
        <f>IFERROR('Mail Merge'!$E699/'Mail Merge'!$D699,0)</f>
        <v>7081.7872649572646</v>
      </c>
      <c r="K699" s="201">
        <f>IFERROR('Mail Merge'!$F699/'Mail Merge'!$D699,0)</f>
        <v>0</v>
      </c>
      <c r="L699" s="201">
        <f>IFERROR('Mail Merge'!$G699/'Mail Merge'!$D699,0)</f>
        <v>7081.7872649572646</v>
      </c>
      <c r="M699" s="201">
        <v>0</v>
      </c>
      <c r="N699" s="201" t="s">
        <v>241</v>
      </c>
      <c r="O699" s="201">
        <v>848595.53</v>
      </c>
      <c r="P699" s="201">
        <v>10589.56</v>
      </c>
      <c r="Q699" s="201">
        <f>'Mail Merge'!$O699+'Mail Merge'!$P699</f>
        <v>859185.09000000008</v>
      </c>
      <c r="R699" s="201"/>
      <c r="S699" s="201"/>
      <c r="T699" s="201"/>
      <c r="U699" s="201">
        <f>IF(AND('Mail Merge'!$I699="Did Not Meet",'Mail Merge'!$N699="Did Not Meet"),MIN(ABS('Mail Merge'!$H699),ABS('Mail Merge'!$M699),'Mail Merge'!$Q699),0)</f>
        <v>0</v>
      </c>
      <c r="V699" s="201" t="str">
        <f>IF(OR(IFERROR(SEARCH("Met",'Mail Merge'!$N699),0)&gt;0,IFERROR(SEARCH("Met",'Mail Merge'!$I699),0)&gt;0),"Met","Not Met")</f>
        <v>Met</v>
      </c>
    </row>
    <row r="700" spans="1:22" x14ac:dyDescent="0.35">
      <c r="A700" s="198" t="s">
        <v>129</v>
      </c>
      <c r="B700" s="199">
        <v>2048</v>
      </c>
      <c r="C700" s="199" t="s">
        <v>31</v>
      </c>
      <c r="D700" s="199">
        <v>1574</v>
      </c>
      <c r="E700" s="199">
        <v>9382139.0600000005</v>
      </c>
      <c r="F700" s="199">
        <v>2945359.39</v>
      </c>
      <c r="G700" s="199">
        <f>'Mail Merge'!$E700+'Mail Merge'!$F700</f>
        <v>12327498.450000001</v>
      </c>
      <c r="H700" s="199">
        <v>0</v>
      </c>
      <c r="I700" s="199" t="s">
        <v>241</v>
      </c>
      <c r="J700" s="199">
        <f>IFERROR('Mail Merge'!$E700/'Mail Merge'!$D700,0)</f>
        <v>5960.6982592121985</v>
      </c>
      <c r="K700" s="199">
        <f>IFERROR('Mail Merge'!$F700/'Mail Merge'!$D700,0)</f>
        <v>1871.2575540025414</v>
      </c>
      <c r="L700" s="199">
        <f>IFERROR('Mail Merge'!$G700/'Mail Merge'!$D700,0)</f>
        <v>7831.9558132147404</v>
      </c>
      <c r="M700" s="199">
        <v>0</v>
      </c>
      <c r="N700" s="199" t="s">
        <v>240</v>
      </c>
      <c r="O700" s="199">
        <v>1921592.53</v>
      </c>
      <c r="P700" s="199">
        <v>21321.02</v>
      </c>
      <c r="Q700" s="199">
        <f>'Mail Merge'!$O700+'Mail Merge'!$P700</f>
        <v>1942913.55</v>
      </c>
      <c r="R700" s="199"/>
      <c r="S700" s="199"/>
      <c r="T700" s="199"/>
      <c r="U700" s="199">
        <f>IF(AND('Mail Merge'!$I700="Did Not Meet",'Mail Merge'!$N700="Did Not Meet"),MIN(ABS('Mail Merge'!$H700),ABS('Mail Merge'!$M700),'Mail Merge'!$Q700),0)</f>
        <v>0</v>
      </c>
      <c r="V700" s="199" t="str">
        <f>IF(OR(IFERROR(SEARCH("Met",'Mail Merge'!$N700),0)&gt;0,IFERROR(SEARCH("Met",'Mail Merge'!$I700),0)&gt;0),"Met","Not Met")</f>
        <v>Met</v>
      </c>
    </row>
    <row r="701" spans="1:22" x14ac:dyDescent="0.35">
      <c r="A701" s="200" t="s">
        <v>130</v>
      </c>
      <c r="B701" s="201">
        <v>2205</v>
      </c>
      <c r="C701" s="201" t="s">
        <v>31</v>
      </c>
      <c r="D701" s="201">
        <v>185</v>
      </c>
      <c r="E701" s="201">
        <v>1734688.04</v>
      </c>
      <c r="F701" s="201">
        <v>346894.19</v>
      </c>
      <c r="G701" s="201">
        <f>'Mail Merge'!$E701+'Mail Merge'!$F701</f>
        <v>2081582.23</v>
      </c>
      <c r="H701" s="201">
        <v>0</v>
      </c>
      <c r="I701" s="201" t="s">
        <v>240</v>
      </c>
      <c r="J701" s="201">
        <f>IFERROR('Mail Merge'!$E701/'Mail Merge'!$D701,0)</f>
        <v>9376.6921081081091</v>
      </c>
      <c r="K701" s="201">
        <f>IFERROR('Mail Merge'!$F701/'Mail Merge'!$D701,0)</f>
        <v>1875.1037297297298</v>
      </c>
      <c r="L701" s="201">
        <f>IFERROR('Mail Merge'!$G701/'Mail Merge'!$D701,0)</f>
        <v>11251.795837837837</v>
      </c>
      <c r="M701" s="201">
        <v>0</v>
      </c>
      <c r="N701" s="201" t="s">
        <v>240</v>
      </c>
      <c r="O701" s="201">
        <v>284203.68</v>
      </c>
      <c r="P701" s="201">
        <v>3156.08</v>
      </c>
      <c r="Q701" s="201">
        <f>'Mail Merge'!$O701+'Mail Merge'!$P701</f>
        <v>287359.76</v>
      </c>
      <c r="R701" s="201"/>
      <c r="S701" s="201"/>
      <c r="T701" s="201"/>
      <c r="U701" s="201">
        <f>IF(AND('Mail Merge'!$I701="Did Not Meet",'Mail Merge'!$N701="Did Not Meet"),MIN(ABS('Mail Merge'!$H701),ABS('Mail Merge'!$M701),'Mail Merge'!$Q701),0)</f>
        <v>0</v>
      </c>
      <c r="V701" s="201" t="str">
        <f>IF(OR(IFERROR(SEARCH("Met",'Mail Merge'!$N701),0)&gt;0,IFERROR(SEARCH("Met",'Mail Merge'!$I701),0)&gt;0),"Met","Not Met")</f>
        <v>Not Met</v>
      </c>
    </row>
    <row r="702" spans="1:22" x14ac:dyDescent="0.35">
      <c r="A702" s="198" t="s">
        <v>131</v>
      </c>
      <c r="B702" s="199">
        <v>2249</v>
      </c>
      <c r="C702" s="199" t="s">
        <v>31</v>
      </c>
      <c r="D702" s="199">
        <v>5</v>
      </c>
      <c r="E702" s="199">
        <v>23402.87</v>
      </c>
      <c r="F702" s="199">
        <v>23086</v>
      </c>
      <c r="G702" s="199">
        <f>'Mail Merge'!$E702+'Mail Merge'!$F702</f>
        <v>46488.869999999995</v>
      </c>
      <c r="H702" s="199">
        <v>0</v>
      </c>
      <c r="I702" s="199" t="s">
        <v>240</v>
      </c>
      <c r="J702" s="199">
        <f>IFERROR('Mail Merge'!$E702/'Mail Merge'!$D702,0)</f>
        <v>4680.5739999999996</v>
      </c>
      <c r="K702" s="199">
        <f>IFERROR('Mail Merge'!$F702/'Mail Merge'!$D702,0)</f>
        <v>4617.2</v>
      </c>
      <c r="L702" s="199">
        <f>IFERROR('Mail Merge'!$G702/'Mail Merge'!$D702,0)</f>
        <v>9297.7739999999994</v>
      </c>
      <c r="M702" s="199">
        <v>0</v>
      </c>
      <c r="N702" s="199" t="s">
        <v>241</v>
      </c>
      <c r="O702" s="199">
        <v>12791.66</v>
      </c>
      <c r="P702" s="199">
        <v>0</v>
      </c>
      <c r="Q702" s="199">
        <f>'Mail Merge'!$O702+'Mail Merge'!$P702</f>
        <v>12791.66</v>
      </c>
      <c r="R702" s="199"/>
      <c r="S702" s="199"/>
      <c r="T702" s="199"/>
      <c r="U702" s="199">
        <f>IF(AND('Mail Merge'!$I702="Did Not Meet",'Mail Merge'!$N702="Did Not Meet"),MIN(ABS('Mail Merge'!$H702),ABS('Mail Merge'!$M702),'Mail Merge'!$Q702),0)</f>
        <v>0</v>
      </c>
      <c r="V702" s="199" t="str">
        <f>IF(OR(IFERROR(SEARCH("Met",'Mail Merge'!$N702),0)&gt;0,IFERROR(SEARCH("Met",'Mail Merge'!$I702),0)&gt;0),"Met","Not Met")</f>
        <v>Met</v>
      </c>
    </row>
    <row r="703" spans="1:22" x14ac:dyDescent="0.35">
      <c r="A703" s="200" t="s">
        <v>132</v>
      </c>
      <c r="B703" s="201">
        <v>1925</v>
      </c>
      <c r="C703" s="201" t="s">
        <v>31</v>
      </c>
      <c r="D703" s="201">
        <v>405</v>
      </c>
      <c r="E703" s="201">
        <v>3086064.55</v>
      </c>
      <c r="F703" s="201">
        <v>441620</v>
      </c>
      <c r="G703" s="201">
        <f>'Mail Merge'!$E703+'Mail Merge'!$F703</f>
        <v>3527684.55</v>
      </c>
      <c r="H703" s="201">
        <v>0</v>
      </c>
      <c r="I703" s="201" t="s">
        <v>240</v>
      </c>
      <c r="J703" s="201">
        <f>IFERROR('Mail Merge'!$E703/'Mail Merge'!$D703,0)</f>
        <v>7619.912469135802</v>
      </c>
      <c r="K703" s="201">
        <f>IFERROR('Mail Merge'!$F703/'Mail Merge'!$D703,0)</f>
        <v>1090.4197530864199</v>
      </c>
      <c r="L703" s="201">
        <f>IFERROR('Mail Merge'!$G703/'Mail Merge'!$D703,0)</f>
        <v>8710.3322222222214</v>
      </c>
      <c r="M703" s="201">
        <v>0</v>
      </c>
      <c r="N703" s="201" t="s">
        <v>240</v>
      </c>
      <c r="O703" s="201">
        <v>408059.34</v>
      </c>
      <c r="P703" s="201">
        <v>3117.34</v>
      </c>
      <c r="Q703" s="201">
        <f>'Mail Merge'!$O703+'Mail Merge'!$P703</f>
        <v>411176.68000000005</v>
      </c>
      <c r="R703" s="201"/>
      <c r="S703" s="201"/>
      <c r="T703" s="201"/>
      <c r="U703" s="201">
        <f>IF(AND('Mail Merge'!$I703="Did Not Meet",'Mail Merge'!$N703="Did Not Meet"),MIN(ABS('Mail Merge'!$H703),ABS('Mail Merge'!$M703),'Mail Merge'!$Q703),0)</f>
        <v>0</v>
      </c>
      <c r="V703" s="201" t="str">
        <f>IF(OR(IFERROR(SEARCH("Met",'Mail Merge'!$N703),0)&gt;0,IFERROR(SEARCH("Met",'Mail Merge'!$I703),0)&gt;0),"Met","Not Met")</f>
        <v>Not Met</v>
      </c>
    </row>
    <row r="704" spans="1:22" x14ac:dyDescent="0.35">
      <c r="A704" s="198" t="s">
        <v>133</v>
      </c>
      <c r="B704" s="199">
        <v>1898</v>
      </c>
      <c r="C704" s="199" t="s">
        <v>31</v>
      </c>
      <c r="D704" s="199">
        <v>65</v>
      </c>
      <c r="E704" s="199">
        <v>661955.43999999994</v>
      </c>
      <c r="F704" s="199">
        <v>47810</v>
      </c>
      <c r="G704" s="199">
        <f>'Mail Merge'!$E704+'Mail Merge'!$F704</f>
        <v>709765.44</v>
      </c>
      <c r="H704" s="199">
        <v>0</v>
      </c>
      <c r="I704" s="199" t="s">
        <v>240</v>
      </c>
      <c r="J704" s="199">
        <f>IFERROR('Mail Merge'!$E704/'Mail Merge'!$D704,0)</f>
        <v>10183.929846153846</v>
      </c>
      <c r="K704" s="199">
        <f>IFERROR('Mail Merge'!$F704/'Mail Merge'!$D704,0)</f>
        <v>735.53846153846155</v>
      </c>
      <c r="L704" s="199">
        <f>IFERROR('Mail Merge'!$G704/'Mail Merge'!$D704,0)</f>
        <v>10919.468307692307</v>
      </c>
      <c r="M704" s="199">
        <v>0</v>
      </c>
      <c r="N704" s="199" t="s">
        <v>240</v>
      </c>
      <c r="O704" s="199">
        <v>65195.45</v>
      </c>
      <c r="P704" s="199">
        <v>0</v>
      </c>
      <c r="Q704" s="199">
        <f>'Mail Merge'!$O704+'Mail Merge'!$P704</f>
        <v>65195.45</v>
      </c>
      <c r="R704" s="199"/>
      <c r="S704" s="199"/>
      <c r="T704" s="199"/>
      <c r="U704" s="199">
        <f>IF(AND('Mail Merge'!$I704="Did Not Meet",'Mail Merge'!$N704="Did Not Meet"),MIN(ABS('Mail Merge'!$H704),ABS('Mail Merge'!$M704),'Mail Merge'!$Q704),0)</f>
        <v>0</v>
      </c>
      <c r="V704" s="199" t="str">
        <f>IF(OR(IFERROR(SEARCH("Met",'Mail Merge'!$N704),0)&gt;0,IFERROR(SEARCH("Met",'Mail Merge'!$I704),0)&gt;0),"Met","Not Met")</f>
        <v>Not Met</v>
      </c>
    </row>
    <row r="705" spans="1:22" x14ac:dyDescent="0.35">
      <c r="A705" s="200" t="s">
        <v>134</v>
      </c>
      <c r="B705" s="201">
        <v>2010</v>
      </c>
      <c r="C705" s="201" t="s">
        <v>31</v>
      </c>
      <c r="D705" s="201">
        <v>9</v>
      </c>
      <c r="E705" s="201">
        <v>0</v>
      </c>
      <c r="F705" s="201">
        <v>102359.53</v>
      </c>
      <c r="G705" s="201">
        <f>'Mail Merge'!$E705+'Mail Merge'!$F705</f>
        <v>102359.53</v>
      </c>
      <c r="H705" s="201">
        <v>0</v>
      </c>
      <c r="I705" s="201" t="s">
        <v>241</v>
      </c>
      <c r="J705" s="201">
        <f>IFERROR('Mail Merge'!$E705/'Mail Merge'!$D705,0)</f>
        <v>0</v>
      </c>
      <c r="K705" s="201">
        <f>IFERROR('Mail Merge'!$F705/'Mail Merge'!$D705,0)</f>
        <v>11373.281111111111</v>
      </c>
      <c r="L705" s="201">
        <f>IFERROR('Mail Merge'!$G705/'Mail Merge'!$D705,0)</f>
        <v>11373.281111111111</v>
      </c>
      <c r="M705" s="201">
        <v>0</v>
      </c>
      <c r="N705" s="201" t="s">
        <v>240</v>
      </c>
      <c r="O705" s="201">
        <v>7325.04</v>
      </c>
      <c r="P705" s="201">
        <v>560.36</v>
      </c>
      <c r="Q705" s="201">
        <f>'Mail Merge'!$O705+'Mail Merge'!$P705</f>
        <v>7885.4</v>
      </c>
      <c r="R705" s="201"/>
      <c r="S705" s="201"/>
      <c r="T705" s="201"/>
      <c r="U705" s="201">
        <f>IF(AND('Mail Merge'!$I705="Did Not Meet",'Mail Merge'!$N705="Did Not Meet"),MIN(ABS('Mail Merge'!$H705),ABS('Mail Merge'!$M705),'Mail Merge'!$Q705),0)</f>
        <v>0</v>
      </c>
      <c r="V705" s="201" t="str">
        <f>IF(OR(IFERROR(SEARCH("Met",'Mail Merge'!$N705),0)&gt;0,IFERROR(SEARCH("Met",'Mail Merge'!$I705),0)&gt;0),"Met","Not Met")</f>
        <v>Met</v>
      </c>
    </row>
    <row r="706" spans="1:22" x14ac:dyDescent="0.35">
      <c r="A706" s="198" t="s">
        <v>135</v>
      </c>
      <c r="B706" s="199">
        <v>2147</v>
      </c>
      <c r="C706" s="199" t="s">
        <v>31</v>
      </c>
      <c r="D706" s="199">
        <v>256</v>
      </c>
      <c r="E706" s="199">
        <v>1363829.46</v>
      </c>
      <c r="F706" s="199">
        <v>411666.06</v>
      </c>
      <c r="G706" s="199">
        <f>'Mail Merge'!$E706+'Mail Merge'!$F706</f>
        <v>1775495.52</v>
      </c>
      <c r="H706" s="199">
        <v>0</v>
      </c>
      <c r="I706" s="199" t="s">
        <v>242</v>
      </c>
      <c r="J706" s="199">
        <f>IFERROR('Mail Merge'!$E706/'Mail Merge'!$D706,0)</f>
        <v>5327.4588281249999</v>
      </c>
      <c r="K706" s="199">
        <f>IFERROR('Mail Merge'!$F706/'Mail Merge'!$D706,0)</f>
        <v>1608.070546875</v>
      </c>
      <c r="L706" s="199">
        <f>IFERROR('Mail Merge'!$G706/'Mail Merge'!$D706,0)</f>
        <v>6935.5293750000001</v>
      </c>
      <c r="M706" s="199">
        <v>0</v>
      </c>
      <c r="N706" s="199" t="s">
        <v>241</v>
      </c>
      <c r="O706" s="199">
        <v>317853.67</v>
      </c>
      <c r="P706" s="199">
        <v>1541</v>
      </c>
      <c r="Q706" s="199">
        <f>'Mail Merge'!$O706+'Mail Merge'!$P706</f>
        <v>319394.67</v>
      </c>
      <c r="R706" s="199"/>
      <c r="S706" s="199">
        <v>204482.13</v>
      </c>
      <c r="T706" s="199">
        <v>204482.13</v>
      </c>
      <c r="U706" s="199">
        <f>IF(AND('Mail Merge'!$I706="Did Not Meet",'Mail Merge'!$N706="Did Not Meet"),MIN(ABS('Mail Merge'!$H706),ABS('Mail Merge'!$M706),'Mail Merge'!$Q706),0)</f>
        <v>0</v>
      </c>
      <c r="V706" s="199" t="str">
        <f>IF(OR(IFERROR(SEARCH("Met",'Mail Merge'!$N706),0)&gt;0,IFERROR(SEARCH("Met",'Mail Merge'!$I706),0)&gt;0),"Met","Not Met")</f>
        <v>Met</v>
      </c>
    </row>
    <row r="707" spans="1:22" x14ac:dyDescent="0.35">
      <c r="A707" s="200" t="s">
        <v>136</v>
      </c>
      <c r="B707" s="201">
        <v>2145</v>
      </c>
      <c r="C707" s="201" t="s">
        <v>31</v>
      </c>
      <c r="D707" s="201">
        <v>70</v>
      </c>
      <c r="E707" s="201">
        <v>450181.16</v>
      </c>
      <c r="F707" s="201">
        <v>58703.519999999997</v>
      </c>
      <c r="G707" s="201">
        <f>'Mail Merge'!$E707+'Mail Merge'!$F707</f>
        <v>508884.68</v>
      </c>
      <c r="H707" s="201">
        <v>0</v>
      </c>
      <c r="I707" s="201" t="s">
        <v>241</v>
      </c>
      <c r="J707" s="201">
        <f>IFERROR('Mail Merge'!$E707/'Mail Merge'!$D707,0)</f>
        <v>6431.1594285714282</v>
      </c>
      <c r="K707" s="201">
        <f>IFERROR('Mail Merge'!$F707/'Mail Merge'!$D707,0)</f>
        <v>838.62171428571423</v>
      </c>
      <c r="L707" s="201">
        <f>IFERROR('Mail Merge'!$G707/'Mail Merge'!$D707,0)</f>
        <v>7269.7811428571431</v>
      </c>
      <c r="M707" s="201">
        <v>0</v>
      </c>
      <c r="N707" s="201" t="s">
        <v>241</v>
      </c>
      <c r="O707" s="201">
        <v>122412.88</v>
      </c>
      <c r="P707" s="201">
        <v>2451.6</v>
      </c>
      <c r="Q707" s="201">
        <f>'Mail Merge'!$O707+'Mail Merge'!$P707</f>
        <v>124864.48000000001</v>
      </c>
      <c r="R707" s="201"/>
      <c r="S707" s="201"/>
      <c r="T707" s="201"/>
      <c r="U707" s="201">
        <f>IF(AND('Mail Merge'!$I707="Did Not Meet",'Mail Merge'!$N707="Did Not Meet"),MIN(ABS('Mail Merge'!$H707),ABS('Mail Merge'!$M707),'Mail Merge'!$Q707),0)</f>
        <v>0</v>
      </c>
      <c r="V707" s="201" t="str">
        <f>IF(OR(IFERROR(SEARCH("Met",'Mail Merge'!$N707),0)&gt;0,IFERROR(SEARCH("Met",'Mail Merge'!$I707),0)&gt;0),"Met","Not Met")</f>
        <v>Met</v>
      </c>
    </row>
    <row r="708" spans="1:22" x14ac:dyDescent="0.35">
      <c r="A708" s="198" t="s">
        <v>137</v>
      </c>
      <c r="B708" s="199">
        <v>1968</v>
      </c>
      <c r="C708" s="199" t="s">
        <v>31</v>
      </c>
      <c r="D708" s="199">
        <v>75</v>
      </c>
      <c r="E708" s="199">
        <v>664089.77</v>
      </c>
      <c r="F708" s="199">
        <v>169003</v>
      </c>
      <c r="G708" s="199">
        <f>'Mail Merge'!$E708+'Mail Merge'!$F708</f>
        <v>833092.77</v>
      </c>
      <c r="H708" s="199">
        <v>0</v>
      </c>
      <c r="I708" s="199" t="s">
        <v>242</v>
      </c>
      <c r="J708" s="199">
        <f>IFERROR('Mail Merge'!$E708/'Mail Merge'!$D708,0)</f>
        <v>8854.5302666666666</v>
      </c>
      <c r="K708" s="199">
        <f>IFERROR('Mail Merge'!$F708/'Mail Merge'!$D708,0)</f>
        <v>2253.3733333333334</v>
      </c>
      <c r="L708" s="199">
        <f>IFERROR('Mail Merge'!$G708/'Mail Merge'!$D708,0)</f>
        <v>11107.9036</v>
      </c>
      <c r="M708" s="199">
        <v>0</v>
      </c>
      <c r="N708" s="199" t="s">
        <v>241</v>
      </c>
      <c r="O708" s="199">
        <v>140101.23000000001</v>
      </c>
      <c r="P708" s="199">
        <v>1018.84</v>
      </c>
      <c r="Q708" s="199">
        <f>'Mail Merge'!$O708+'Mail Merge'!$P708</f>
        <v>141120.07</v>
      </c>
      <c r="R708" s="199"/>
      <c r="S708" s="199">
        <v>115779.89</v>
      </c>
      <c r="T708" s="199">
        <v>115779.89</v>
      </c>
      <c r="U708" s="199">
        <f>IF(AND('Mail Merge'!$I708="Did Not Meet",'Mail Merge'!$N708="Did Not Meet"),MIN(ABS('Mail Merge'!$H708),ABS('Mail Merge'!$M708),'Mail Merge'!$Q708),0)</f>
        <v>0</v>
      </c>
      <c r="V708" s="199" t="str">
        <f>IF(OR(IFERROR(SEARCH("Met",'Mail Merge'!$N708),0)&gt;0,IFERROR(SEARCH("Met",'Mail Merge'!$I708),0)&gt;0),"Met","Not Met")</f>
        <v>Met</v>
      </c>
    </row>
    <row r="709" spans="1:22" x14ac:dyDescent="0.35">
      <c r="A709" s="200" t="s">
        <v>138</v>
      </c>
      <c r="B709" s="201">
        <v>2198</v>
      </c>
      <c r="C709" s="201" t="s">
        <v>31</v>
      </c>
      <c r="D709" s="201">
        <v>84</v>
      </c>
      <c r="E709" s="201">
        <v>1249810.8999999999</v>
      </c>
      <c r="F709" s="201">
        <v>187221</v>
      </c>
      <c r="G709" s="201">
        <f>'Mail Merge'!$E709+'Mail Merge'!$F709</f>
        <v>1437031.9</v>
      </c>
      <c r="H709" s="201">
        <v>0</v>
      </c>
      <c r="I709" s="201" t="s">
        <v>242</v>
      </c>
      <c r="J709" s="201">
        <f>IFERROR('Mail Merge'!$E709/'Mail Merge'!$D709,0)</f>
        <v>14878.701190476189</v>
      </c>
      <c r="K709" s="201">
        <f>IFERROR('Mail Merge'!$F709/'Mail Merge'!$D709,0)</f>
        <v>2228.8214285714284</v>
      </c>
      <c r="L709" s="201">
        <f>IFERROR('Mail Merge'!$G709/'Mail Merge'!$D709,0)</f>
        <v>17107.522619047617</v>
      </c>
      <c r="M709" s="201">
        <v>0</v>
      </c>
      <c r="N709" s="201" t="s">
        <v>240</v>
      </c>
      <c r="O709" s="201">
        <v>105385.63</v>
      </c>
      <c r="P709" s="201">
        <v>2547.11</v>
      </c>
      <c r="Q709" s="201">
        <f>'Mail Merge'!$O709+'Mail Merge'!$P709</f>
        <v>107932.74</v>
      </c>
      <c r="R709" s="201"/>
      <c r="S709" s="201">
        <v>100061.66</v>
      </c>
      <c r="T709" s="201"/>
      <c r="U709" s="201">
        <f>IF(AND('Mail Merge'!$I709="Did Not Meet",'Mail Merge'!$N709="Did Not Meet"),MIN(ABS('Mail Merge'!$H709),ABS('Mail Merge'!$M709),'Mail Merge'!$Q709),0)</f>
        <v>0</v>
      </c>
      <c r="V709" s="201" t="str">
        <f>IF(OR(IFERROR(SEARCH("Met",'Mail Merge'!$N709),0)&gt;0,IFERROR(SEARCH("Met",'Mail Merge'!$I709),0)&gt;0),"Met","Not Met")</f>
        <v>Met</v>
      </c>
    </row>
    <row r="710" spans="1:22" x14ac:dyDescent="0.35">
      <c r="A710" s="198" t="s">
        <v>139</v>
      </c>
      <c r="B710" s="199">
        <v>2199</v>
      </c>
      <c r="C710" s="199" t="s">
        <v>31</v>
      </c>
      <c r="D710" s="199">
        <v>78</v>
      </c>
      <c r="E710" s="199">
        <v>693600.4</v>
      </c>
      <c r="F710" s="199">
        <v>93172</v>
      </c>
      <c r="G710" s="199">
        <f>'Mail Merge'!$E710+'Mail Merge'!$F710</f>
        <v>786772.4</v>
      </c>
      <c r="H710" s="199">
        <v>0</v>
      </c>
      <c r="I710" s="199" t="s">
        <v>241</v>
      </c>
      <c r="J710" s="199">
        <f>IFERROR('Mail Merge'!$E710/'Mail Merge'!$D710,0)</f>
        <v>8892.3128205128214</v>
      </c>
      <c r="K710" s="199">
        <f>IFERROR('Mail Merge'!$F710/'Mail Merge'!$D710,0)</f>
        <v>1194.5128205128206</v>
      </c>
      <c r="L710" s="199">
        <f>IFERROR('Mail Merge'!$G710/'Mail Merge'!$D710,0)</f>
        <v>10086.825641025642</v>
      </c>
      <c r="M710" s="199">
        <v>0</v>
      </c>
      <c r="N710" s="199" t="s">
        <v>241</v>
      </c>
      <c r="O710" s="199">
        <v>99337.64</v>
      </c>
      <c r="P710" s="199">
        <v>1245.25</v>
      </c>
      <c r="Q710" s="199">
        <f>'Mail Merge'!$O710+'Mail Merge'!$P710</f>
        <v>100582.89</v>
      </c>
      <c r="R710" s="199"/>
      <c r="S710" s="199"/>
      <c r="T710" s="199"/>
      <c r="U710" s="199">
        <f>IF(AND('Mail Merge'!$I710="Did Not Meet",'Mail Merge'!$N710="Did Not Meet"),MIN(ABS('Mail Merge'!$H710),ABS('Mail Merge'!$M710),'Mail Merge'!$Q710),0)</f>
        <v>0</v>
      </c>
      <c r="V710" s="199" t="str">
        <f>IF(OR(IFERROR(SEARCH("Met",'Mail Merge'!$N710),0)&gt;0,IFERROR(SEARCH("Met",'Mail Merge'!$I710),0)&gt;0),"Met","Not Met")</f>
        <v>Met</v>
      </c>
    </row>
    <row r="711" spans="1:22" x14ac:dyDescent="0.35">
      <c r="A711" s="200" t="s">
        <v>140</v>
      </c>
      <c r="B711" s="201">
        <v>2254</v>
      </c>
      <c r="C711" s="201" t="s">
        <v>31</v>
      </c>
      <c r="D711" s="201">
        <v>648</v>
      </c>
      <c r="E711" s="201">
        <v>5866251.0599999996</v>
      </c>
      <c r="F711" s="201">
        <v>42964.14</v>
      </c>
      <c r="G711" s="201">
        <f>'Mail Merge'!$E711+'Mail Merge'!$F711</f>
        <v>5909215.1999999993</v>
      </c>
      <c r="H711" s="201">
        <v>0</v>
      </c>
      <c r="I711" s="201" t="s">
        <v>241</v>
      </c>
      <c r="J711" s="201">
        <f>IFERROR('Mail Merge'!$E711/'Mail Merge'!$D711,0)</f>
        <v>9052.8565740740742</v>
      </c>
      <c r="K711" s="201">
        <f>IFERROR('Mail Merge'!$F711/'Mail Merge'!$D711,0)</f>
        <v>66.302685185185183</v>
      </c>
      <c r="L711" s="201">
        <f>IFERROR('Mail Merge'!$G711/'Mail Merge'!$D711,0)</f>
        <v>9119.1592592592588</v>
      </c>
      <c r="M711" s="201">
        <v>0</v>
      </c>
      <c r="N711" s="201" t="s">
        <v>241</v>
      </c>
      <c r="O711" s="201">
        <v>745115.52</v>
      </c>
      <c r="P711" s="201">
        <v>7782.84</v>
      </c>
      <c r="Q711" s="201">
        <f>'Mail Merge'!$O711+'Mail Merge'!$P711</f>
        <v>752898.36</v>
      </c>
      <c r="R711" s="201"/>
      <c r="S711" s="201"/>
      <c r="T711" s="201"/>
      <c r="U711" s="201">
        <f>IF(AND('Mail Merge'!$I711="Did Not Meet",'Mail Merge'!$N711="Did Not Meet"),MIN(ABS('Mail Merge'!$H711),ABS('Mail Merge'!$M711),'Mail Merge'!$Q711),0)</f>
        <v>0</v>
      </c>
      <c r="V711" s="201" t="str">
        <f>IF(OR(IFERROR(SEARCH("Met",'Mail Merge'!$N711),0)&gt;0,IFERROR(SEARCH("Met",'Mail Merge'!$I711),0)&gt;0),"Met","Not Met")</f>
        <v>Met</v>
      </c>
    </row>
    <row r="712" spans="1:22" x14ac:dyDescent="0.35">
      <c r="A712" s="198" t="s">
        <v>141</v>
      </c>
      <c r="B712" s="199">
        <v>1966</v>
      </c>
      <c r="C712" s="199" t="s">
        <v>31</v>
      </c>
      <c r="D712" s="199">
        <v>541</v>
      </c>
      <c r="E712" s="199">
        <v>3256412.56</v>
      </c>
      <c r="F712" s="199">
        <v>780972</v>
      </c>
      <c r="G712" s="199">
        <f>'Mail Merge'!$E712+'Mail Merge'!$F712</f>
        <v>4037384.56</v>
      </c>
      <c r="H712" s="199">
        <v>0</v>
      </c>
      <c r="I712" s="199" t="s">
        <v>241</v>
      </c>
      <c r="J712" s="199">
        <f>IFERROR('Mail Merge'!$E712/'Mail Merge'!$D712,0)</f>
        <v>6019.2468761552682</v>
      </c>
      <c r="K712" s="199">
        <f>IFERROR('Mail Merge'!$F712/'Mail Merge'!$D712,0)</f>
        <v>1443.5711645101665</v>
      </c>
      <c r="L712" s="199">
        <f>IFERROR('Mail Merge'!$G712/'Mail Merge'!$D712,0)</f>
        <v>7462.8180406654346</v>
      </c>
      <c r="M712" s="199">
        <v>0</v>
      </c>
      <c r="N712" s="199" t="s">
        <v>240</v>
      </c>
      <c r="O712" s="199">
        <v>497014.65</v>
      </c>
      <c r="P712" s="199">
        <v>3932.39</v>
      </c>
      <c r="Q712" s="199">
        <f>'Mail Merge'!$O712+'Mail Merge'!$P712</f>
        <v>500947.04000000004</v>
      </c>
      <c r="R712" s="199"/>
      <c r="S712" s="199"/>
      <c r="T712" s="199"/>
      <c r="U712" s="199">
        <f>IF(AND('Mail Merge'!$I712="Did Not Meet",'Mail Merge'!$N712="Did Not Meet"),MIN(ABS('Mail Merge'!$H712),ABS('Mail Merge'!$M712),'Mail Merge'!$Q712),0)</f>
        <v>0</v>
      </c>
      <c r="V712" s="199" t="str">
        <f>IF(OR(IFERROR(SEARCH("Met",'Mail Merge'!$N712),0)&gt;0,IFERROR(SEARCH("Met",'Mail Merge'!$I712),0)&gt;0),"Met","Not Met")</f>
        <v>Met</v>
      </c>
    </row>
    <row r="713" spans="1:22" x14ac:dyDescent="0.35">
      <c r="A713" s="200" t="s">
        <v>142</v>
      </c>
      <c r="B713" s="201">
        <v>1924</v>
      </c>
      <c r="C713" s="201" t="s">
        <v>31</v>
      </c>
      <c r="D713" s="201">
        <v>2464</v>
      </c>
      <c r="E713" s="201">
        <v>16994234.09</v>
      </c>
      <c r="F713" s="201">
        <v>3168982</v>
      </c>
      <c r="G713" s="201">
        <f>'Mail Merge'!$E713+'Mail Merge'!$F713</f>
        <v>20163216.09</v>
      </c>
      <c r="H713" s="201">
        <v>0</v>
      </c>
      <c r="I713" s="201" t="s">
        <v>241</v>
      </c>
      <c r="J713" s="201">
        <f>IFERROR('Mail Merge'!$E713/'Mail Merge'!$D713,0)</f>
        <v>6897.010588474026</v>
      </c>
      <c r="K713" s="201">
        <f>IFERROR('Mail Merge'!$F713/'Mail Merge'!$D713,0)</f>
        <v>1286.1128246753246</v>
      </c>
      <c r="L713" s="201">
        <f>IFERROR('Mail Merge'!$G713/'Mail Merge'!$D713,0)</f>
        <v>8183.1234131493502</v>
      </c>
      <c r="M713" s="201">
        <v>0</v>
      </c>
      <c r="N713" s="201" t="s">
        <v>241</v>
      </c>
      <c r="O713" s="201">
        <v>2382020.2000000002</v>
      </c>
      <c r="P713" s="201">
        <v>13553.33</v>
      </c>
      <c r="Q713" s="201">
        <f>'Mail Merge'!$O713+'Mail Merge'!$P713</f>
        <v>2395573.5300000003</v>
      </c>
      <c r="R713" s="201"/>
      <c r="S713" s="201"/>
      <c r="T713" s="201"/>
      <c r="U713" s="201">
        <f>IF(AND('Mail Merge'!$I713="Did Not Meet",'Mail Merge'!$N713="Did Not Meet"),MIN(ABS('Mail Merge'!$H713),ABS('Mail Merge'!$M713),'Mail Merge'!$Q713),0)</f>
        <v>0</v>
      </c>
      <c r="V713" s="201" t="str">
        <f>IF(OR(IFERROR(SEARCH("Met",'Mail Merge'!$N713),0)&gt;0,IFERROR(SEARCH("Met",'Mail Merge'!$I713),0)&gt;0),"Met","Not Met")</f>
        <v>Met</v>
      </c>
    </row>
    <row r="714" spans="1:22" x14ac:dyDescent="0.35">
      <c r="A714" s="198" t="s">
        <v>143</v>
      </c>
      <c r="B714" s="199">
        <v>1996</v>
      </c>
      <c r="C714" s="199" t="s">
        <v>31</v>
      </c>
      <c r="D714" s="199">
        <v>37</v>
      </c>
      <c r="E714" s="199">
        <v>306786.15999999997</v>
      </c>
      <c r="F714" s="199">
        <v>48172.58</v>
      </c>
      <c r="G714" s="199">
        <f>'Mail Merge'!$E714+'Mail Merge'!$F714</f>
        <v>354958.74</v>
      </c>
      <c r="H714" s="199">
        <v>0</v>
      </c>
      <c r="I714" s="199" t="s">
        <v>242</v>
      </c>
      <c r="J714" s="199">
        <f>IFERROR('Mail Merge'!$E714/'Mail Merge'!$D714,0)</f>
        <v>8291.5178378378369</v>
      </c>
      <c r="K714" s="199">
        <f>IFERROR('Mail Merge'!$F714/'Mail Merge'!$D714,0)</f>
        <v>1301.9616216216216</v>
      </c>
      <c r="L714" s="199">
        <f>IFERROR('Mail Merge'!$G714/'Mail Merge'!$D714,0)</f>
        <v>9593.4794594594587</v>
      </c>
      <c r="M714" s="199">
        <v>0</v>
      </c>
      <c r="N714" s="199" t="s">
        <v>242</v>
      </c>
      <c r="O714" s="199">
        <v>61841.67</v>
      </c>
      <c r="P714" s="199">
        <v>0</v>
      </c>
      <c r="Q714" s="199">
        <f>'Mail Merge'!$O714+'Mail Merge'!$P714</f>
        <v>61841.67</v>
      </c>
      <c r="R714" s="199"/>
      <c r="S714" s="199">
        <v>96042.7</v>
      </c>
      <c r="T714" s="199">
        <v>142615.99</v>
      </c>
      <c r="U714" s="199">
        <f>IF(AND('Mail Merge'!$I714="Did Not Meet",'Mail Merge'!$N714="Did Not Meet"),MIN(ABS('Mail Merge'!$H714),ABS('Mail Merge'!$M714),'Mail Merge'!$Q714),0)</f>
        <v>0</v>
      </c>
      <c r="V714" s="199" t="str">
        <f>IF(OR(IFERROR(SEARCH("Met",'Mail Merge'!$N714),0)&gt;0,IFERROR(SEARCH("Met",'Mail Merge'!$I714),0)&gt;0),"Met","Not Met")</f>
        <v>Met</v>
      </c>
    </row>
    <row r="715" spans="1:22" x14ac:dyDescent="0.35">
      <c r="A715" s="200" t="s">
        <v>144</v>
      </c>
      <c r="B715" s="201">
        <v>2061</v>
      </c>
      <c r="C715" s="201" t="s">
        <v>31</v>
      </c>
      <c r="D715" s="201">
        <v>42</v>
      </c>
      <c r="E715" s="201">
        <v>208258.15</v>
      </c>
      <c r="F715" s="201">
        <v>56355.86</v>
      </c>
      <c r="G715" s="201">
        <f>'Mail Merge'!$E715+'Mail Merge'!$F715</f>
        <v>264614.01</v>
      </c>
      <c r="H715" s="201">
        <v>0</v>
      </c>
      <c r="I715" s="201" t="s">
        <v>241</v>
      </c>
      <c r="J715" s="201">
        <f>IFERROR('Mail Merge'!$E715/'Mail Merge'!$D715,0)</f>
        <v>4958.5273809523806</v>
      </c>
      <c r="K715" s="201">
        <f>IFERROR('Mail Merge'!$F715/'Mail Merge'!$D715,0)</f>
        <v>1341.8061904761905</v>
      </c>
      <c r="L715" s="201">
        <f>IFERROR('Mail Merge'!$G715/'Mail Merge'!$D715,0)</f>
        <v>6300.3335714285713</v>
      </c>
      <c r="M715" s="201">
        <v>0</v>
      </c>
      <c r="N715" s="201" t="s">
        <v>240</v>
      </c>
      <c r="O715" s="201">
        <v>48445.89</v>
      </c>
      <c r="P715" s="201">
        <v>0</v>
      </c>
      <c r="Q715" s="201">
        <f>'Mail Merge'!$O715+'Mail Merge'!$P715</f>
        <v>48445.89</v>
      </c>
      <c r="R715" s="201"/>
      <c r="S715" s="201"/>
      <c r="T715" s="201"/>
      <c r="U715" s="201">
        <f>IF(AND('Mail Merge'!$I715="Did Not Meet",'Mail Merge'!$N715="Did Not Meet"),MIN(ABS('Mail Merge'!$H715),ABS('Mail Merge'!$M715),'Mail Merge'!$Q715),0)</f>
        <v>0</v>
      </c>
      <c r="V715" s="201" t="str">
        <f>IF(OR(IFERROR(SEARCH("Met",'Mail Merge'!$N715),0)&gt;0,IFERROR(SEARCH("Met",'Mail Merge'!$I715),0)&gt;0),"Met","Not Met")</f>
        <v>Met</v>
      </c>
    </row>
    <row r="716" spans="1:22" x14ac:dyDescent="0.35">
      <c r="A716" s="198" t="s">
        <v>145</v>
      </c>
      <c r="B716" s="199">
        <v>2141</v>
      </c>
      <c r="C716" s="199" t="s">
        <v>31</v>
      </c>
      <c r="D716" s="199">
        <v>271</v>
      </c>
      <c r="E716" s="199">
        <v>2300662.08</v>
      </c>
      <c r="F716" s="199">
        <v>217205.69</v>
      </c>
      <c r="G716" s="199">
        <f>'Mail Merge'!$E716+'Mail Merge'!$F716</f>
        <v>2517867.77</v>
      </c>
      <c r="H716" s="199">
        <v>0</v>
      </c>
      <c r="I716" s="199" t="s">
        <v>241</v>
      </c>
      <c r="J716" s="199">
        <f>IFERROR('Mail Merge'!$E716/'Mail Merge'!$D716,0)</f>
        <v>8489.5279704797049</v>
      </c>
      <c r="K716" s="199">
        <f>IFERROR('Mail Merge'!$F716/'Mail Merge'!$D716,0)</f>
        <v>801.49701107011072</v>
      </c>
      <c r="L716" s="199">
        <f>IFERROR('Mail Merge'!$G716/'Mail Merge'!$D716,0)</f>
        <v>9291.0249815498155</v>
      </c>
      <c r="M716" s="199">
        <v>0</v>
      </c>
      <c r="N716" s="199" t="s">
        <v>240</v>
      </c>
      <c r="O716" s="199">
        <v>244795.49</v>
      </c>
      <c r="P716" s="199">
        <v>2134.7199999999998</v>
      </c>
      <c r="Q716" s="199">
        <f>'Mail Merge'!$O716+'Mail Merge'!$P716</f>
        <v>246930.21</v>
      </c>
      <c r="R716" s="199"/>
      <c r="S716" s="199"/>
      <c r="T716" s="199"/>
      <c r="U716" s="199">
        <f>IF(AND('Mail Merge'!$I716="Did Not Meet",'Mail Merge'!$N716="Did Not Meet"),MIN(ABS('Mail Merge'!$H716),ABS('Mail Merge'!$M716),'Mail Merge'!$Q716),0)</f>
        <v>0</v>
      </c>
      <c r="V716" s="199" t="str">
        <f>IF(OR(IFERROR(SEARCH("Met",'Mail Merge'!$N716),0)&gt;0,IFERROR(SEARCH("Met",'Mail Merge'!$I716),0)&gt;0),"Met","Not Met")</f>
        <v>Met</v>
      </c>
    </row>
    <row r="717" spans="1:22" x14ac:dyDescent="0.35">
      <c r="A717" s="200" t="s">
        <v>146</v>
      </c>
      <c r="B717" s="201">
        <v>2214</v>
      </c>
      <c r="C717" s="201" t="s">
        <v>31</v>
      </c>
      <c r="D717" s="201">
        <v>41</v>
      </c>
      <c r="E717" s="201">
        <v>152182.32</v>
      </c>
      <c r="F717" s="201">
        <v>46521</v>
      </c>
      <c r="G717" s="201">
        <f>'Mail Merge'!$E717+'Mail Merge'!$F717</f>
        <v>198703.32</v>
      </c>
      <c r="H717" s="201">
        <v>0</v>
      </c>
      <c r="I717" s="201" t="s">
        <v>241</v>
      </c>
      <c r="J717" s="201">
        <f>IFERROR('Mail Merge'!$E717/'Mail Merge'!$D717,0)</f>
        <v>3711.7639024390246</v>
      </c>
      <c r="K717" s="201">
        <f>IFERROR('Mail Merge'!$F717/'Mail Merge'!$D717,0)</f>
        <v>1134.6585365853659</v>
      </c>
      <c r="L717" s="201">
        <f>IFERROR('Mail Merge'!$G717/'Mail Merge'!$D717,0)</f>
        <v>4846.4224390243908</v>
      </c>
      <c r="M717" s="201">
        <v>0</v>
      </c>
      <c r="N717" s="201" t="s">
        <v>241</v>
      </c>
      <c r="O717" s="201">
        <v>41051.54</v>
      </c>
      <c r="P717" s="201">
        <v>466.97</v>
      </c>
      <c r="Q717" s="201">
        <f>'Mail Merge'!$O717+'Mail Merge'!$P717</f>
        <v>41518.51</v>
      </c>
      <c r="R717" s="201"/>
      <c r="S717" s="201"/>
      <c r="T717" s="201"/>
      <c r="U717" s="201">
        <f>IF(AND('Mail Merge'!$I717="Did Not Meet",'Mail Merge'!$N717="Did Not Meet"),MIN(ABS('Mail Merge'!$H717),ABS('Mail Merge'!$M717),'Mail Merge'!$Q717),0)</f>
        <v>0</v>
      </c>
      <c r="V717" s="201" t="str">
        <f>IF(OR(IFERROR(SEARCH("Met",'Mail Merge'!$N717),0)&gt;0,IFERROR(SEARCH("Met",'Mail Merge'!$I717),0)&gt;0),"Met","Not Met")</f>
        <v>Met</v>
      </c>
    </row>
    <row r="718" spans="1:22" x14ac:dyDescent="0.35">
      <c r="A718" s="198" t="s">
        <v>147</v>
      </c>
      <c r="B718" s="199">
        <v>2143</v>
      </c>
      <c r="C718" s="199" t="s">
        <v>31</v>
      </c>
      <c r="D718" s="199">
        <v>272</v>
      </c>
      <c r="E718" s="199">
        <v>2357813.33</v>
      </c>
      <c r="F718" s="199">
        <v>171607.38</v>
      </c>
      <c r="G718" s="199">
        <f>'Mail Merge'!$E718+'Mail Merge'!$F718</f>
        <v>2529420.71</v>
      </c>
      <c r="H718" s="199">
        <v>0</v>
      </c>
      <c r="I718" s="199" t="s">
        <v>241</v>
      </c>
      <c r="J718" s="199">
        <f>IFERROR('Mail Merge'!$E718/'Mail Merge'!$D718,0)</f>
        <v>8668.4313602941183</v>
      </c>
      <c r="K718" s="199">
        <f>IFERROR('Mail Merge'!$F718/'Mail Merge'!$D718,0)</f>
        <v>630.90948529411764</v>
      </c>
      <c r="L718" s="199">
        <f>IFERROR('Mail Merge'!$G718/'Mail Merge'!$D718,0)</f>
        <v>9299.3408455882345</v>
      </c>
      <c r="M718" s="199">
        <v>0</v>
      </c>
      <c r="N718" s="199" t="s">
        <v>241</v>
      </c>
      <c r="O718" s="199">
        <v>400523.82</v>
      </c>
      <c r="P718" s="199">
        <v>1355.72</v>
      </c>
      <c r="Q718" s="199">
        <f>'Mail Merge'!$O718+'Mail Merge'!$P718</f>
        <v>401879.54</v>
      </c>
      <c r="R718" s="199"/>
      <c r="S718" s="199"/>
      <c r="T718" s="199"/>
      <c r="U718" s="199">
        <f>IF(AND('Mail Merge'!$I718="Did Not Meet",'Mail Merge'!$N718="Did Not Meet"),MIN(ABS('Mail Merge'!$H718),ABS('Mail Merge'!$M718),'Mail Merge'!$Q718),0)</f>
        <v>0</v>
      </c>
      <c r="V718" s="199" t="str">
        <f>IF(OR(IFERROR(SEARCH("Met",'Mail Merge'!$N718),0)&gt;0,IFERROR(SEARCH("Met",'Mail Merge'!$I718),0)&gt;0),"Met","Not Met")</f>
        <v>Met</v>
      </c>
    </row>
    <row r="719" spans="1:22" x14ac:dyDescent="0.35">
      <c r="A719" s="200" t="s">
        <v>148</v>
      </c>
      <c r="B719" s="201">
        <v>4131</v>
      </c>
      <c r="C719" s="201" t="s">
        <v>31</v>
      </c>
      <c r="D719" s="201">
        <v>429</v>
      </c>
      <c r="E719" s="201">
        <v>3526966.89</v>
      </c>
      <c r="F719" s="201">
        <v>0</v>
      </c>
      <c r="G719" s="201">
        <f>'Mail Merge'!$E719+'Mail Merge'!$F719</f>
        <v>3526966.89</v>
      </c>
      <c r="H719" s="201">
        <v>0</v>
      </c>
      <c r="I719" s="201" t="s">
        <v>241</v>
      </c>
      <c r="J719" s="201">
        <f>IFERROR('Mail Merge'!$E719/'Mail Merge'!$D719,0)</f>
        <v>8221.3680419580414</v>
      </c>
      <c r="K719" s="201">
        <f>IFERROR('Mail Merge'!$F719/'Mail Merge'!$D719,0)</f>
        <v>0</v>
      </c>
      <c r="L719" s="201">
        <f>IFERROR('Mail Merge'!$G719/'Mail Merge'!$D719,0)</f>
        <v>8221.3680419580414</v>
      </c>
      <c r="M719" s="201">
        <v>0</v>
      </c>
      <c r="N719" s="201" t="s">
        <v>241</v>
      </c>
      <c r="O719" s="201">
        <v>462276.77</v>
      </c>
      <c r="P719" s="201">
        <v>5564.73</v>
      </c>
      <c r="Q719" s="201">
        <f>'Mail Merge'!$O719+'Mail Merge'!$P719</f>
        <v>467841.5</v>
      </c>
      <c r="R719" s="201"/>
      <c r="S719" s="201"/>
      <c r="T719" s="201"/>
      <c r="U719" s="201">
        <f>IF(AND('Mail Merge'!$I719="Did Not Meet",'Mail Merge'!$N719="Did Not Meet"),MIN(ABS('Mail Merge'!$H719),ABS('Mail Merge'!$M719),'Mail Merge'!$Q719),0)</f>
        <v>0</v>
      </c>
      <c r="V719" s="201" t="str">
        <f>IF(OR(IFERROR(SEARCH("Met",'Mail Merge'!$N719),0)&gt;0,IFERROR(SEARCH("Met",'Mail Merge'!$I719),0)&gt;0),"Met","Not Met")</f>
        <v>Met</v>
      </c>
    </row>
    <row r="720" spans="1:22" x14ac:dyDescent="0.35">
      <c r="A720" s="198" t="s">
        <v>149</v>
      </c>
      <c r="B720" s="199">
        <v>2110</v>
      </c>
      <c r="C720" s="199" t="s">
        <v>31</v>
      </c>
      <c r="D720" s="199">
        <v>156</v>
      </c>
      <c r="E720" s="199">
        <v>737399.91</v>
      </c>
      <c r="F720" s="199">
        <v>350892.04</v>
      </c>
      <c r="G720" s="199">
        <f>'Mail Merge'!$E720+'Mail Merge'!$F720</f>
        <v>1088291.95</v>
      </c>
      <c r="H720" s="199">
        <v>0</v>
      </c>
      <c r="I720" s="199" t="s">
        <v>241</v>
      </c>
      <c r="J720" s="199">
        <f>IFERROR('Mail Merge'!$E720/'Mail Merge'!$D720,0)</f>
        <v>4726.9225000000006</v>
      </c>
      <c r="K720" s="199">
        <f>IFERROR('Mail Merge'!$F720/'Mail Merge'!$D720,0)</f>
        <v>2249.3079487179484</v>
      </c>
      <c r="L720" s="199">
        <f>IFERROR('Mail Merge'!$G720/'Mail Merge'!$D720,0)</f>
        <v>6976.2304487179481</v>
      </c>
      <c r="M720" s="199">
        <v>0</v>
      </c>
      <c r="N720" s="199" t="s">
        <v>240</v>
      </c>
      <c r="O720" s="199">
        <v>193402.79</v>
      </c>
      <c r="P720" s="199">
        <v>1751.14</v>
      </c>
      <c r="Q720" s="199">
        <f>'Mail Merge'!$O720+'Mail Merge'!$P720</f>
        <v>195153.93000000002</v>
      </c>
      <c r="R720" s="199"/>
      <c r="S720" s="199"/>
      <c r="T720" s="199"/>
      <c r="U720" s="199">
        <f>IF(AND('Mail Merge'!$I720="Did Not Meet",'Mail Merge'!$N720="Did Not Meet"),MIN(ABS('Mail Merge'!$H720),ABS('Mail Merge'!$M720),'Mail Merge'!$Q720),0)</f>
        <v>0</v>
      </c>
      <c r="V720" s="199" t="str">
        <f>IF(OR(IFERROR(SEARCH("Met",'Mail Merge'!$N720),0)&gt;0,IFERROR(SEARCH("Met",'Mail Merge'!$I720),0)&gt;0),"Met","Not Met")</f>
        <v>Met</v>
      </c>
    </row>
    <row r="721" spans="1:22" x14ac:dyDescent="0.35">
      <c r="A721" s="200" t="s">
        <v>150</v>
      </c>
      <c r="B721" s="201">
        <v>1990</v>
      </c>
      <c r="C721" s="201" t="s">
        <v>31</v>
      </c>
      <c r="D721" s="201">
        <v>55</v>
      </c>
      <c r="E721" s="201">
        <v>343880.96000000002</v>
      </c>
      <c r="F721" s="201">
        <v>107797.97</v>
      </c>
      <c r="G721" s="201">
        <f>'Mail Merge'!$E721+'Mail Merge'!$F721</f>
        <v>451678.93000000005</v>
      </c>
      <c r="H721" s="201">
        <v>0</v>
      </c>
      <c r="I721" s="201" t="s">
        <v>241</v>
      </c>
      <c r="J721" s="201">
        <f>IFERROR('Mail Merge'!$E721/'Mail Merge'!$D721,0)</f>
        <v>6252.3810909090917</v>
      </c>
      <c r="K721" s="201">
        <f>IFERROR('Mail Merge'!$F721/'Mail Merge'!$D721,0)</f>
        <v>1959.9630909090909</v>
      </c>
      <c r="L721" s="201">
        <f>IFERROR('Mail Merge'!$G721/'Mail Merge'!$D721,0)</f>
        <v>8212.3441818181836</v>
      </c>
      <c r="M721" s="201">
        <v>0</v>
      </c>
      <c r="N721" s="201" t="s">
        <v>241</v>
      </c>
      <c r="O721" s="201">
        <v>87786.96</v>
      </c>
      <c r="P721" s="201">
        <v>700.46</v>
      </c>
      <c r="Q721" s="201">
        <f>'Mail Merge'!$O721+'Mail Merge'!$P721</f>
        <v>88487.420000000013</v>
      </c>
      <c r="R721" s="201"/>
      <c r="S721" s="201"/>
      <c r="T721" s="201"/>
      <c r="U721" s="201">
        <f>IF(AND('Mail Merge'!$I721="Did Not Meet",'Mail Merge'!$N721="Did Not Meet"),MIN(ABS('Mail Merge'!$H721),ABS('Mail Merge'!$M721),'Mail Merge'!$Q721),0)</f>
        <v>0</v>
      </c>
      <c r="V721" s="201" t="str">
        <f>IF(OR(IFERROR(SEARCH("Met",'Mail Merge'!$N721),0)&gt;0,IFERROR(SEARCH("Met",'Mail Merge'!$I721),0)&gt;0),"Met","Not Met")</f>
        <v>Met</v>
      </c>
    </row>
    <row r="722" spans="1:22" x14ac:dyDescent="0.35">
      <c r="A722" s="198" t="s">
        <v>151</v>
      </c>
      <c r="B722" s="199">
        <v>2093</v>
      </c>
      <c r="C722" s="199" t="s">
        <v>31</v>
      </c>
      <c r="D722" s="199">
        <v>100</v>
      </c>
      <c r="E722" s="199">
        <v>355262.56</v>
      </c>
      <c r="F722" s="199">
        <v>256385</v>
      </c>
      <c r="G722" s="199">
        <f>'Mail Merge'!$E722+'Mail Merge'!$F722</f>
        <v>611647.56000000006</v>
      </c>
      <c r="H722" s="199">
        <v>0</v>
      </c>
      <c r="I722" s="199" t="s">
        <v>241</v>
      </c>
      <c r="J722" s="199">
        <f>IFERROR('Mail Merge'!$E722/'Mail Merge'!$D722,0)</f>
        <v>3552.6255999999998</v>
      </c>
      <c r="K722" s="199">
        <f>IFERROR('Mail Merge'!$F722/'Mail Merge'!$D722,0)</f>
        <v>2563.85</v>
      </c>
      <c r="L722" s="199">
        <f>IFERROR('Mail Merge'!$G722/'Mail Merge'!$D722,0)</f>
        <v>6116.4756000000007</v>
      </c>
      <c r="M722" s="199">
        <v>0</v>
      </c>
      <c r="N722" s="199" t="s">
        <v>240</v>
      </c>
      <c r="O722" s="199">
        <v>113915.81</v>
      </c>
      <c r="P722" s="199">
        <v>1470.96</v>
      </c>
      <c r="Q722" s="199">
        <f>'Mail Merge'!$O722+'Mail Merge'!$P722</f>
        <v>115386.77</v>
      </c>
      <c r="R722" s="199"/>
      <c r="S722" s="199"/>
      <c r="T722" s="199"/>
      <c r="U722" s="199">
        <f>IF(AND('Mail Merge'!$I722="Did Not Meet",'Mail Merge'!$N722="Did Not Meet"),MIN(ABS('Mail Merge'!$H722),ABS('Mail Merge'!$M722),'Mail Merge'!$Q722),0)</f>
        <v>0</v>
      </c>
      <c r="V722" s="199" t="str">
        <f>IF(OR(IFERROR(SEARCH("Met",'Mail Merge'!$N722),0)&gt;0,IFERROR(SEARCH("Met",'Mail Merge'!$I722),0)&gt;0),"Met","Not Met")</f>
        <v>Met</v>
      </c>
    </row>
    <row r="723" spans="1:22" x14ac:dyDescent="0.35">
      <c r="A723" s="200" t="s">
        <v>152</v>
      </c>
      <c r="B723" s="201">
        <v>2108</v>
      </c>
      <c r="C723" s="201" t="s">
        <v>31</v>
      </c>
      <c r="D723" s="201">
        <v>325</v>
      </c>
      <c r="E723" s="201">
        <v>1774450.72</v>
      </c>
      <c r="F723" s="201">
        <v>557014.06000000006</v>
      </c>
      <c r="G723" s="201">
        <f>'Mail Merge'!$E723+'Mail Merge'!$F723</f>
        <v>2331464.7800000003</v>
      </c>
      <c r="H723" s="201">
        <v>0</v>
      </c>
      <c r="I723" s="201" t="s">
        <v>242</v>
      </c>
      <c r="J723" s="201">
        <f>IFERROR('Mail Merge'!$E723/'Mail Merge'!$D723,0)</f>
        <v>5459.8483692307691</v>
      </c>
      <c r="K723" s="201">
        <f>IFERROR('Mail Merge'!$F723/'Mail Merge'!$D723,0)</f>
        <v>1713.8894153846156</v>
      </c>
      <c r="L723" s="201">
        <f>IFERROR('Mail Merge'!$G723/'Mail Merge'!$D723,0)</f>
        <v>7173.7377846153859</v>
      </c>
      <c r="M723" s="201">
        <v>0</v>
      </c>
      <c r="N723" s="201" t="s">
        <v>240</v>
      </c>
      <c r="O723" s="201">
        <v>449370.86</v>
      </c>
      <c r="P723" s="201">
        <v>2842.43</v>
      </c>
      <c r="Q723" s="201">
        <f>'Mail Merge'!$O723+'Mail Merge'!$P723</f>
        <v>452213.29</v>
      </c>
      <c r="R723" s="201"/>
      <c r="S723" s="201">
        <v>50569.04</v>
      </c>
      <c r="T723" s="201"/>
      <c r="U723" s="201">
        <f>IF(AND('Mail Merge'!$I723="Did Not Meet",'Mail Merge'!$N723="Did Not Meet"),MIN(ABS('Mail Merge'!$H723),ABS('Mail Merge'!$M723),'Mail Merge'!$Q723),0)</f>
        <v>0</v>
      </c>
      <c r="V723" s="201" t="str">
        <f>IF(OR(IFERROR(SEARCH("Met",'Mail Merge'!$N723),0)&gt;0,IFERROR(SEARCH("Met",'Mail Merge'!$I723),0)&gt;0),"Met","Not Met")</f>
        <v>Met</v>
      </c>
    </row>
    <row r="724" spans="1:22" x14ac:dyDescent="0.35">
      <c r="A724" s="198" t="s">
        <v>153</v>
      </c>
      <c r="B724" s="199">
        <v>1928</v>
      </c>
      <c r="C724" s="199" t="s">
        <v>31</v>
      </c>
      <c r="D724" s="199">
        <v>1263</v>
      </c>
      <c r="E724" s="199">
        <v>12137911.109999999</v>
      </c>
      <c r="F724" s="199">
        <v>2132684</v>
      </c>
      <c r="G724" s="199">
        <f>'Mail Merge'!$E724+'Mail Merge'!$F724</f>
        <v>14270595.109999999</v>
      </c>
      <c r="H724" s="199">
        <v>0</v>
      </c>
      <c r="I724" s="199" t="s">
        <v>241</v>
      </c>
      <c r="J724" s="199">
        <f>IFERROR('Mail Merge'!$E724/'Mail Merge'!$D724,0)</f>
        <v>9610.3809263657949</v>
      </c>
      <c r="K724" s="199">
        <f>IFERROR('Mail Merge'!$F724/'Mail Merge'!$D724,0)</f>
        <v>1688.5859065716547</v>
      </c>
      <c r="L724" s="199">
        <f>IFERROR('Mail Merge'!$G724/'Mail Merge'!$D724,0)</f>
        <v>11298.966832937451</v>
      </c>
      <c r="M724" s="199">
        <v>0</v>
      </c>
      <c r="N724" s="199" t="s">
        <v>241</v>
      </c>
      <c r="O724" s="199">
        <v>1232258.97</v>
      </c>
      <c r="P724" s="199">
        <v>10866.53</v>
      </c>
      <c r="Q724" s="199">
        <f>'Mail Merge'!$O724+'Mail Merge'!$P724</f>
        <v>1243125.5</v>
      </c>
      <c r="R724" s="199"/>
      <c r="S724" s="199"/>
      <c r="T724" s="199"/>
      <c r="U724" s="199">
        <f>IF(AND('Mail Merge'!$I724="Did Not Meet",'Mail Merge'!$N724="Did Not Meet"),MIN(ABS('Mail Merge'!$H724),ABS('Mail Merge'!$M724),'Mail Merge'!$Q724),0)</f>
        <v>0</v>
      </c>
      <c r="V724" s="199" t="str">
        <f>IF(OR(IFERROR(SEARCH("Met",'Mail Merge'!$N724),0)&gt;0,IFERROR(SEARCH("Met",'Mail Merge'!$I724),0)&gt;0),"Met","Not Met")</f>
        <v>Met</v>
      </c>
    </row>
    <row r="725" spans="1:22" x14ac:dyDescent="0.35">
      <c r="A725" s="200" t="s">
        <v>154</v>
      </c>
      <c r="B725" s="201">
        <v>1926</v>
      </c>
      <c r="C725" s="201" t="s">
        <v>31</v>
      </c>
      <c r="D725" s="201">
        <v>584</v>
      </c>
      <c r="E725" s="201">
        <v>5642009.1100000003</v>
      </c>
      <c r="F725" s="201">
        <v>690942</v>
      </c>
      <c r="G725" s="201">
        <f>'Mail Merge'!$E725+'Mail Merge'!$F725</f>
        <v>6332951.1100000003</v>
      </c>
      <c r="H725" s="201">
        <v>0</v>
      </c>
      <c r="I725" s="201" t="s">
        <v>241</v>
      </c>
      <c r="J725" s="201">
        <f>IFERROR('Mail Merge'!$E725/'Mail Merge'!$D725,0)</f>
        <v>9660.9745034246589</v>
      </c>
      <c r="K725" s="201">
        <f>IFERROR('Mail Merge'!$F725/'Mail Merge'!$D725,0)</f>
        <v>1183.1198630136987</v>
      </c>
      <c r="L725" s="201">
        <f>IFERROR('Mail Merge'!$G725/'Mail Merge'!$D725,0)</f>
        <v>10844.094366438358</v>
      </c>
      <c r="M725" s="201">
        <v>0</v>
      </c>
      <c r="N725" s="201" t="s">
        <v>241</v>
      </c>
      <c r="O725" s="201">
        <v>633105.25</v>
      </c>
      <c r="P725" s="201">
        <v>3179.85</v>
      </c>
      <c r="Q725" s="201">
        <f>'Mail Merge'!$O725+'Mail Merge'!$P725</f>
        <v>636285.1</v>
      </c>
      <c r="R725" s="201"/>
      <c r="S725" s="201"/>
      <c r="T725" s="201"/>
      <c r="U725" s="201">
        <f>IF(AND('Mail Merge'!$I725="Did Not Meet",'Mail Merge'!$N725="Did Not Meet"),MIN(ABS('Mail Merge'!$H725),ABS('Mail Merge'!$M725),'Mail Merge'!$Q725),0)</f>
        <v>0</v>
      </c>
      <c r="V725" s="201" t="str">
        <f>IF(OR(IFERROR(SEARCH("Met",'Mail Merge'!$N725),0)&gt;0,IFERROR(SEARCH("Met",'Mail Merge'!$I725),0)&gt;0),"Met","Not Met")</f>
        <v>Met</v>
      </c>
    </row>
    <row r="726" spans="1:22" x14ac:dyDescent="0.35">
      <c r="A726" s="198" t="s">
        <v>155</v>
      </c>
      <c r="B726" s="199">
        <v>2060</v>
      </c>
      <c r="C726" s="199" t="s">
        <v>31</v>
      </c>
      <c r="D726" s="199">
        <v>20</v>
      </c>
      <c r="E726" s="199">
        <v>31185.69</v>
      </c>
      <c r="F726" s="199">
        <v>47182.09</v>
      </c>
      <c r="G726" s="199">
        <f>'Mail Merge'!$E726+'Mail Merge'!$F726</f>
        <v>78367.78</v>
      </c>
      <c r="H726" s="199">
        <v>0</v>
      </c>
      <c r="I726" s="199" t="s">
        <v>241</v>
      </c>
      <c r="J726" s="199">
        <f>IFERROR('Mail Merge'!$E726/'Mail Merge'!$D726,0)</f>
        <v>1559.2845</v>
      </c>
      <c r="K726" s="199">
        <f>IFERROR('Mail Merge'!$F726/'Mail Merge'!$D726,0)</f>
        <v>2359.1044999999999</v>
      </c>
      <c r="L726" s="199">
        <f>IFERROR('Mail Merge'!$G726/'Mail Merge'!$D726,0)</f>
        <v>3918.3890000000001</v>
      </c>
      <c r="M726" s="199">
        <v>0</v>
      </c>
      <c r="N726" s="199" t="s">
        <v>240</v>
      </c>
      <c r="O726" s="199">
        <v>30465.8</v>
      </c>
      <c r="P726" s="199">
        <v>466.97</v>
      </c>
      <c r="Q726" s="199">
        <f>'Mail Merge'!$O726+'Mail Merge'!$P726</f>
        <v>30932.77</v>
      </c>
      <c r="R726" s="199"/>
      <c r="S726" s="199"/>
      <c r="T726" s="199"/>
      <c r="U726" s="199">
        <f>IF(AND('Mail Merge'!$I726="Did Not Meet",'Mail Merge'!$N726="Did Not Meet"),MIN(ABS('Mail Merge'!$H726),ABS('Mail Merge'!$M726),'Mail Merge'!$Q726),0)</f>
        <v>0</v>
      </c>
      <c r="V726" s="199" t="str">
        <f>IF(OR(IFERROR(SEARCH("Met",'Mail Merge'!$N726),0)&gt;0,IFERROR(SEARCH("Met",'Mail Merge'!$I726),0)&gt;0),"Met","Not Met")</f>
        <v>Met</v>
      </c>
    </row>
    <row r="727" spans="1:22" x14ac:dyDescent="0.35">
      <c r="A727" s="200" t="s">
        <v>156</v>
      </c>
      <c r="B727" s="201">
        <v>2181</v>
      </c>
      <c r="C727" s="201" t="s">
        <v>31</v>
      </c>
      <c r="D727" s="201">
        <v>476</v>
      </c>
      <c r="E727" s="201">
        <v>5476706.6200000001</v>
      </c>
      <c r="F727" s="201">
        <v>900059.2</v>
      </c>
      <c r="G727" s="201">
        <f>'Mail Merge'!$E727+'Mail Merge'!$F727</f>
        <v>6376765.8200000003</v>
      </c>
      <c r="H727" s="201">
        <v>0</v>
      </c>
      <c r="I727" s="201" t="s">
        <v>241</v>
      </c>
      <c r="J727" s="201">
        <f>IFERROR('Mail Merge'!$E727/'Mail Merge'!$D727,0)</f>
        <v>11505.686176470588</v>
      </c>
      <c r="K727" s="201">
        <f>IFERROR('Mail Merge'!$F727/'Mail Merge'!$D727,0)</f>
        <v>1890.8806722689076</v>
      </c>
      <c r="L727" s="201">
        <f>IFERROR('Mail Merge'!$G727/'Mail Merge'!$D727,0)</f>
        <v>13396.566848739496</v>
      </c>
      <c r="M727" s="201">
        <v>0</v>
      </c>
      <c r="N727" s="201" t="s">
        <v>241</v>
      </c>
      <c r="O727" s="201">
        <v>560753.34</v>
      </c>
      <c r="P727" s="201">
        <v>2615.04</v>
      </c>
      <c r="Q727" s="201">
        <f>'Mail Merge'!$O727+'Mail Merge'!$P727</f>
        <v>563368.38</v>
      </c>
      <c r="R727" s="201"/>
      <c r="S727" s="201"/>
      <c r="T727" s="201"/>
      <c r="U727" s="201">
        <f>IF(AND('Mail Merge'!$I727="Did Not Meet",'Mail Merge'!$N727="Did Not Meet"),MIN(ABS('Mail Merge'!$H727),ABS('Mail Merge'!$M727),'Mail Merge'!$Q727),0)</f>
        <v>0</v>
      </c>
      <c r="V727" s="201" t="str">
        <f>IF(OR(IFERROR(SEARCH("Met",'Mail Merge'!$N727),0)&gt;0,IFERROR(SEARCH("Met",'Mail Merge'!$I727),0)&gt;0),"Met","Not Met")</f>
        <v>Met</v>
      </c>
    </row>
    <row r="728" spans="1:22" x14ac:dyDescent="0.35">
      <c r="A728" s="198" t="s">
        <v>157</v>
      </c>
      <c r="B728" s="199">
        <v>2207</v>
      </c>
      <c r="C728" s="199" t="s">
        <v>31</v>
      </c>
      <c r="D728" s="199">
        <v>447</v>
      </c>
      <c r="E728" s="199">
        <v>3365397.87</v>
      </c>
      <c r="F728" s="199">
        <v>717209.7</v>
      </c>
      <c r="G728" s="199">
        <f>'Mail Merge'!$E728+'Mail Merge'!$F728</f>
        <v>4082607.5700000003</v>
      </c>
      <c r="H728" s="199">
        <v>0</v>
      </c>
      <c r="I728" s="199" t="s">
        <v>241</v>
      </c>
      <c r="J728" s="199">
        <f>IFERROR('Mail Merge'!$E728/'Mail Merge'!$D728,0)</f>
        <v>7528.8542953020133</v>
      </c>
      <c r="K728" s="199">
        <f>IFERROR('Mail Merge'!$F728/'Mail Merge'!$D728,0)</f>
        <v>1604.4959731543622</v>
      </c>
      <c r="L728" s="199">
        <f>IFERROR('Mail Merge'!$G728/'Mail Merge'!$D728,0)</f>
        <v>9133.3502684563773</v>
      </c>
      <c r="M728" s="199">
        <v>0</v>
      </c>
      <c r="N728" s="199" t="s">
        <v>241</v>
      </c>
      <c r="O728" s="199">
        <v>553617.31999999995</v>
      </c>
      <c r="P728" s="199">
        <v>6003.9</v>
      </c>
      <c r="Q728" s="199">
        <f>'Mail Merge'!$O728+'Mail Merge'!$P728</f>
        <v>559621.22</v>
      </c>
      <c r="R728" s="199"/>
      <c r="S728" s="199"/>
      <c r="T728" s="199"/>
      <c r="U728" s="199">
        <f>IF(AND('Mail Merge'!$I728="Did Not Meet",'Mail Merge'!$N728="Did Not Meet"),MIN(ABS('Mail Merge'!$H728),ABS('Mail Merge'!$M728),'Mail Merge'!$Q728),0)</f>
        <v>0</v>
      </c>
      <c r="V728" s="199" t="str">
        <f>IF(OR(IFERROR(SEARCH("Met",'Mail Merge'!$N728),0)&gt;0,IFERROR(SEARCH("Met",'Mail Merge'!$I728),0)&gt;0),"Met","Not Met")</f>
        <v>Met</v>
      </c>
    </row>
    <row r="729" spans="1:22" x14ac:dyDescent="0.35">
      <c r="A729" s="200" t="s">
        <v>158</v>
      </c>
      <c r="B729" s="201">
        <v>2192</v>
      </c>
      <c r="C729" s="201" t="s">
        <v>31</v>
      </c>
      <c r="D729" s="201">
        <v>14</v>
      </c>
      <c r="E729" s="201">
        <v>165159.96</v>
      </c>
      <c r="F729" s="201">
        <v>55893.49</v>
      </c>
      <c r="G729" s="201">
        <f>'Mail Merge'!$E729+'Mail Merge'!$F729</f>
        <v>221053.44999999998</v>
      </c>
      <c r="H729" s="201">
        <v>0</v>
      </c>
      <c r="I729" s="201" t="s">
        <v>240</v>
      </c>
      <c r="J729" s="201">
        <f>IFERROR('Mail Merge'!$E729/'Mail Merge'!$D729,0)</f>
        <v>11797.14</v>
      </c>
      <c r="K729" s="201">
        <f>IFERROR('Mail Merge'!$F729/'Mail Merge'!$D729,0)</f>
        <v>3992.3921428571425</v>
      </c>
      <c r="L729" s="201">
        <f>IFERROR('Mail Merge'!$G729/'Mail Merge'!$D729,0)</f>
        <v>15789.532142857142</v>
      </c>
      <c r="M729" s="201">
        <v>0</v>
      </c>
      <c r="N729" s="201" t="s">
        <v>240</v>
      </c>
      <c r="O729" s="201">
        <v>37176.32</v>
      </c>
      <c r="P729" s="201">
        <v>933.94</v>
      </c>
      <c r="Q729" s="201">
        <f>'Mail Merge'!$O729+'Mail Merge'!$P729</f>
        <v>38110.26</v>
      </c>
      <c r="R729" s="201"/>
      <c r="S729" s="201"/>
      <c r="T729" s="201"/>
      <c r="U729" s="201">
        <f>IF(AND('Mail Merge'!$I729="Did Not Meet",'Mail Merge'!$N729="Did Not Meet"),MIN(ABS('Mail Merge'!$H729),ABS('Mail Merge'!$M729),'Mail Merge'!$Q729),0)</f>
        <v>0</v>
      </c>
      <c r="V729" s="201" t="str">
        <f>IF(OR(IFERROR(SEARCH("Met",'Mail Merge'!$N729),0)&gt;0,IFERROR(SEARCH("Met",'Mail Merge'!$I729),0)&gt;0),"Met","Not Met")</f>
        <v>Not Met</v>
      </c>
    </row>
    <row r="730" spans="1:22" x14ac:dyDescent="0.35">
      <c r="A730" s="198" t="s">
        <v>160</v>
      </c>
      <c r="B730" s="199">
        <v>1900</v>
      </c>
      <c r="C730" s="199" t="s">
        <v>31</v>
      </c>
      <c r="D730" s="199">
        <v>182</v>
      </c>
      <c r="E730" s="199">
        <v>1093117.45</v>
      </c>
      <c r="F730" s="199">
        <v>110772</v>
      </c>
      <c r="G730" s="199">
        <f>'Mail Merge'!$E730+'Mail Merge'!$F730</f>
        <v>1203889.45</v>
      </c>
      <c r="H730" s="199">
        <v>0</v>
      </c>
      <c r="I730" s="199" t="s">
        <v>241</v>
      </c>
      <c r="J730" s="199">
        <f>IFERROR('Mail Merge'!$E730/'Mail Merge'!$D730,0)</f>
        <v>6006.1398351648349</v>
      </c>
      <c r="K730" s="199">
        <f>IFERROR('Mail Merge'!$F730/'Mail Merge'!$D730,0)</f>
        <v>608.63736263736268</v>
      </c>
      <c r="L730" s="199">
        <f>IFERROR('Mail Merge'!$G730/'Mail Merge'!$D730,0)</f>
        <v>6614.7771978021974</v>
      </c>
      <c r="M730" s="199">
        <v>0</v>
      </c>
      <c r="N730" s="199" t="s">
        <v>240</v>
      </c>
      <c r="O730" s="199">
        <v>218189.71</v>
      </c>
      <c r="P730" s="199">
        <v>3237.66</v>
      </c>
      <c r="Q730" s="199">
        <f>'Mail Merge'!$O730+'Mail Merge'!$P730</f>
        <v>221427.37</v>
      </c>
      <c r="R730" s="199"/>
      <c r="S730" s="199"/>
      <c r="T730" s="199"/>
      <c r="U730" s="199">
        <f>IF(AND('Mail Merge'!$I730="Did Not Meet",'Mail Merge'!$N730="Did Not Meet"),MIN(ABS('Mail Merge'!$H730),ABS('Mail Merge'!$M730),'Mail Merge'!$Q730),0)</f>
        <v>0</v>
      </c>
      <c r="V730" s="199" t="str">
        <f>IF(OR(IFERROR(SEARCH("Met",'Mail Merge'!$N730),0)&gt;0,IFERROR(SEARCH("Met",'Mail Merge'!$I730),0)&gt;0),"Met","Not Met")</f>
        <v>Met</v>
      </c>
    </row>
    <row r="731" spans="1:22" x14ac:dyDescent="0.35">
      <c r="A731" s="200" t="s">
        <v>161</v>
      </c>
      <c r="B731" s="201">
        <v>2039</v>
      </c>
      <c r="C731" s="201" t="s">
        <v>31</v>
      </c>
      <c r="D731" s="201">
        <v>403</v>
      </c>
      <c r="E731" s="201">
        <v>2408292.7999999998</v>
      </c>
      <c r="F731" s="201">
        <v>689997.78</v>
      </c>
      <c r="G731" s="201">
        <f>'Mail Merge'!$E731+'Mail Merge'!$F731</f>
        <v>3098290.58</v>
      </c>
      <c r="H731" s="201">
        <v>0</v>
      </c>
      <c r="I731" s="201" t="s">
        <v>241</v>
      </c>
      <c r="J731" s="201">
        <f>IFERROR('Mail Merge'!$E731/'Mail Merge'!$D731,0)</f>
        <v>5975.9126550868477</v>
      </c>
      <c r="K731" s="201">
        <f>IFERROR('Mail Merge'!$F731/'Mail Merge'!$D731,0)</f>
        <v>1712.153300248139</v>
      </c>
      <c r="L731" s="201">
        <f>IFERROR('Mail Merge'!$G731/'Mail Merge'!$D731,0)</f>
        <v>7688.0659553349878</v>
      </c>
      <c r="M731" s="201">
        <v>0</v>
      </c>
      <c r="N731" s="201" t="s">
        <v>240</v>
      </c>
      <c r="O731" s="201">
        <v>408194.61</v>
      </c>
      <c r="P731" s="201">
        <v>2928.3</v>
      </c>
      <c r="Q731" s="201">
        <f>'Mail Merge'!$O731+'Mail Merge'!$P731</f>
        <v>411122.91</v>
      </c>
      <c r="R731" s="201"/>
      <c r="S731" s="201"/>
      <c r="T731" s="201"/>
      <c r="U731" s="201">
        <f>IF(AND('Mail Merge'!$I731="Did Not Meet",'Mail Merge'!$N731="Did Not Meet"),MIN(ABS('Mail Merge'!$H731),ABS('Mail Merge'!$M731),'Mail Merge'!$Q731),0)</f>
        <v>0</v>
      </c>
      <c r="V731" s="201" t="str">
        <f>IF(OR(IFERROR(SEARCH("Met",'Mail Merge'!$N731),0)&gt;0,IFERROR(SEARCH("Met",'Mail Merge'!$I731),0)&gt;0),"Met","Not Met")</f>
        <v>Met</v>
      </c>
    </row>
    <row r="732" spans="1:22" x14ac:dyDescent="0.35">
      <c r="A732" s="198" t="s">
        <v>162</v>
      </c>
      <c r="B732" s="199">
        <v>2202</v>
      </c>
      <c r="C732" s="199" t="s">
        <v>31</v>
      </c>
      <c r="D732" s="199">
        <v>42</v>
      </c>
      <c r="E732" s="199">
        <v>264840.61</v>
      </c>
      <c r="F732" s="199">
        <v>67323.539999999994</v>
      </c>
      <c r="G732" s="199">
        <f>'Mail Merge'!$E732+'Mail Merge'!$F732</f>
        <v>332164.14999999997</v>
      </c>
      <c r="H732" s="199">
        <v>0</v>
      </c>
      <c r="I732" s="199" t="s">
        <v>241</v>
      </c>
      <c r="J732" s="199">
        <f>IFERROR('Mail Merge'!$E732/'Mail Merge'!$D732,0)</f>
        <v>6305.7288095238091</v>
      </c>
      <c r="K732" s="199">
        <f>IFERROR('Mail Merge'!$F732/'Mail Merge'!$D732,0)</f>
        <v>1602.9414285714283</v>
      </c>
      <c r="L732" s="199">
        <f>IFERROR('Mail Merge'!$G732/'Mail Merge'!$D732,0)</f>
        <v>7908.6702380952374</v>
      </c>
      <c r="M732" s="199">
        <v>0</v>
      </c>
      <c r="N732" s="199" t="s">
        <v>240</v>
      </c>
      <c r="O732" s="199">
        <v>67366.42</v>
      </c>
      <c r="P732" s="199">
        <v>466.98</v>
      </c>
      <c r="Q732" s="199">
        <f>'Mail Merge'!$O732+'Mail Merge'!$P732</f>
        <v>67833.399999999994</v>
      </c>
      <c r="R732" s="199"/>
      <c r="S732" s="199"/>
      <c r="T732" s="199"/>
      <c r="U732" s="199">
        <f>IF(AND('Mail Merge'!$I732="Did Not Meet",'Mail Merge'!$N732="Did Not Meet"),MIN(ABS('Mail Merge'!$H732),ABS('Mail Merge'!$M732),'Mail Merge'!$Q732),0)</f>
        <v>0</v>
      </c>
      <c r="V732" s="199" t="str">
        <f>IF(OR(IFERROR(SEARCH("Met",'Mail Merge'!$N732),0)&gt;0,IFERROR(SEARCH("Met",'Mail Merge'!$I732),0)&gt;0),"Met","Not Met")</f>
        <v>Met</v>
      </c>
    </row>
    <row r="733" spans="1:22" x14ac:dyDescent="0.35">
      <c r="A733" s="200" t="s">
        <v>163</v>
      </c>
      <c r="B733" s="201">
        <v>2016</v>
      </c>
      <c r="C733" s="201" t="s">
        <v>31</v>
      </c>
      <c r="D733" s="201">
        <v>2</v>
      </c>
      <c r="E733" s="201">
        <v>46795</v>
      </c>
      <c r="F733" s="201">
        <v>3543</v>
      </c>
      <c r="G733" s="201">
        <f>'Mail Merge'!$E733+'Mail Merge'!$F733</f>
        <v>50338</v>
      </c>
      <c r="H733" s="201">
        <v>0</v>
      </c>
      <c r="I733" s="201" t="s">
        <v>241</v>
      </c>
      <c r="J733" s="201">
        <f>IFERROR('Mail Merge'!$E733/'Mail Merge'!$D733,0)</f>
        <v>23397.5</v>
      </c>
      <c r="K733" s="201">
        <f>IFERROR('Mail Merge'!$F733/'Mail Merge'!$D733,0)</f>
        <v>1771.5</v>
      </c>
      <c r="L733" s="201">
        <f>IFERROR('Mail Merge'!$G733/'Mail Merge'!$D733,0)</f>
        <v>25169</v>
      </c>
      <c r="M733" s="201">
        <v>0</v>
      </c>
      <c r="N733" s="201" t="s">
        <v>241</v>
      </c>
      <c r="O733" s="201">
        <v>0</v>
      </c>
      <c r="P733" s="201">
        <v>0</v>
      </c>
      <c r="Q733" s="201">
        <f>'Mail Merge'!$O733+'Mail Merge'!$P733</f>
        <v>0</v>
      </c>
      <c r="R733" s="201"/>
      <c r="S733" s="201"/>
      <c r="T733" s="201"/>
      <c r="U733" s="201">
        <f>IF(AND('Mail Merge'!$I733="Did Not Meet",'Mail Merge'!$N733="Did Not Meet"),MIN(ABS('Mail Merge'!$H733),ABS('Mail Merge'!$M733),'Mail Merge'!$Q733),0)</f>
        <v>0</v>
      </c>
      <c r="V733" s="201" t="str">
        <f>IF(OR(IFERROR(SEARCH("Met",'Mail Merge'!$N733),0)&gt;0,IFERROR(SEARCH("Met",'Mail Merge'!$I733),0)&gt;0),"Met","Not Met")</f>
        <v>Met</v>
      </c>
    </row>
    <row r="734" spans="1:22" x14ac:dyDescent="0.35">
      <c r="A734" s="198" t="s">
        <v>164</v>
      </c>
      <c r="B734" s="199">
        <v>1897</v>
      </c>
      <c r="C734" s="199" t="s">
        <v>31</v>
      </c>
      <c r="D734" s="199">
        <v>33</v>
      </c>
      <c r="E734" s="199">
        <v>157958.12</v>
      </c>
      <c r="F734" s="199">
        <v>0</v>
      </c>
      <c r="G734" s="199">
        <f>'Mail Merge'!$E734+'Mail Merge'!$F734</f>
        <v>157958.12</v>
      </c>
      <c r="H734" s="199">
        <v>0</v>
      </c>
      <c r="I734" s="199" t="s">
        <v>241</v>
      </c>
      <c r="J734" s="199">
        <f>IFERROR('Mail Merge'!$E734/'Mail Merge'!$D734,0)</f>
        <v>4786.6096969696964</v>
      </c>
      <c r="K734" s="199">
        <f>IFERROR('Mail Merge'!$F734/'Mail Merge'!$D734,0)</f>
        <v>0</v>
      </c>
      <c r="L734" s="199">
        <f>IFERROR('Mail Merge'!$G734/'Mail Merge'!$D734,0)</f>
        <v>4786.6096969696964</v>
      </c>
      <c r="M734" s="199">
        <v>0</v>
      </c>
      <c r="N734" s="199" t="s">
        <v>240</v>
      </c>
      <c r="O734" s="199">
        <v>33007.94</v>
      </c>
      <c r="P734" s="199">
        <v>0</v>
      </c>
      <c r="Q734" s="199">
        <f>'Mail Merge'!$O734+'Mail Merge'!$P734</f>
        <v>33007.94</v>
      </c>
      <c r="R734" s="199"/>
      <c r="S734" s="199"/>
      <c r="T734" s="199"/>
      <c r="U734" s="199">
        <f>IF(AND('Mail Merge'!$I734="Did Not Meet",'Mail Merge'!$N734="Did Not Meet"),MIN(ABS('Mail Merge'!$H734),ABS('Mail Merge'!$M734),'Mail Merge'!$Q734),0)</f>
        <v>0</v>
      </c>
      <c r="V734" s="199" t="str">
        <f>IF(OR(IFERROR(SEARCH("Met",'Mail Merge'!$N734),0)&gt;0,IFERROR(SEARCH("Met",'Mail Merge'!$I734),0)&gt;0),"Met","Not Met")</f>
        <v>Met</v>
      </c>
    </row>
    <row r="735" spans="1:22" x14ac:dyDescent="0.35">
      <c r="A735" s="200" t="s">
        <v>165</v>
      </c>
      <c r="B735" s="201">
        <v>2047</v>
      </c>
      <c r="C735" s="201" t="s">
        <v>31</v>
      </c>
      <c r="D735" s="201">
        <v>3</v>
      </c>
      <c r="E735" s="201">
        <v>10937</v>
      </c>
      <c r="F735" s="201">
        <v>3904.63</v>
      </c>
      <c r="G735" s="201">
        <f>'Mail Merge'!$E735+'Mail Merge'!$F735</f>
        <v>14841.630000000001</v>
      </c>
      <c r="H735" s="201">
        <v>0</v>
      </c>
      <c r="I735" s="201" t="s">
        <v>241</v>
      </c>
      <c r="J735" s="201">
        <f>IFERROR('Mail Merge'!$E735/'Mail Merge'!$D735,0)</f>
        <v>3645.6666666666665</v>
      </c>
      <c r="K735" s="201">
        <f>IFERROR('Mail Merge'!$F735/'Mail Merge'!$D735,0)</f>
        <v>1301.5433333333333</v>
      </c>
      <c r="L735" s="201">
        <f>IFERROR('Mail Merge'!$G735/'Mail Merge'!$D735,0)</f>
        <v>4947.21</v>
      </c>
      <c r="M735" s="201">
        <v>0</v>
      </c>
      <c r="N735" s="201" t="s">
        <v>240</v>
      </c>
      <c r="O735" s="201">
        <v>8189.1</v>
      </c>
      <c r="P735" s="201">
        <v>933.94</v>
      </c>
      <c r="Q735" s="201">
        <f>'Mail Merge'!$O735+'Mail Merge'!$P735</f>
        <v>9123.0400000000009</v>
      </c>
      <c r="R735" s="201"/>
      <c r="S735" s="201"/>
      <c r="T735" s="201"/>
      <c r="U735" s="201">
        <f>IF(AND('Mail Merge'!$I735="Did Not Meet",'Mail Merge'!$N735="Did Not Meet"),MIN(ABS('Mail Merge'!$H735),ABS('Mail Merge'!$M735),'Mail Merge'!$Q735),0)</f>
        <v>0</v>
      </c>
      <c r="V735" s="201" t="str">
        <f>IF(OR(IFERROR(SEARCH("Met",'Mail Merge'!$N735),0)&gt;0,IFERROR(SEARCH("Met",'Mail Merge'!$I735),0)&gt;0),"Met","Not Met")</f>
        <v>Met</v>
      </c>
    </row>
    <row r="736" spans="1:22" x14ac:dyDescent="0.35">
      <c r="A736" s="198" t="s">
        <v>166</v>
      </c>
      <c r="B736" s="199">
        <v>2081</v>
      </c>
      <c r="C736" s="199" t="s">
        <v>31</v>
      </c>
      <c r="D736" s="199">
        <v>111</v>
      </c>
      <c r="E736" s="199">
        <v>933624.67</v>
      </c>
      <c r="F736" s="199">
        <v>311208</v>
      </c>
      <c r="G736" s="199">
        <f>'Mail Merge'!$E736+'Mail Merge'!$F736</f>
        <v>1244832.67</v>
      </c>
      <c r="H736" s="199">
        <v>0</v>
      </c>
      <c r="I736" s="199" t="s">
        <v>241</v>
      </c>
      <c r="J736" s="199">
        <f>IFERROR('Mail Merge'!$E736/'Mail Merge'!$D736,0)</f>
        <v>8411.0330630630633</v>
      </c>
      <c r="K736" s="199">
        <f>IFERROR('Mail Merge'!$F736/'Mail Merge'!$D736,0)</f>
        <v>2803.6756756756758</v>
      </c>
      <c r="L736" s="199">
        <f>IFERROR('Mail Merge'!$G736/'Mail Merge'!$D736,0)</f>
        <v>11214.708738738738</v>
      </c>
      <c r="M736" s="199">
        <v>0</v>
      </c>
      <c r="N736" s="199" t="s">
        <v>240</v>
      </c>
      <c r="O736" s="199">
        <v>153254.13</v>
      </c>
      <c r="P736" s="199">
        <v>933.94</v>
      </c>
      <c r="Q736" s="199">
        <f>'Mail Merge'!$O736+'Mail Merge'!$P736</f>
        <v>154188.07</v>
      </c>
      <c r="R736" s="199"/>
      <c r="S736" s="199"/>
      <c r="T736" s="199"/>
      <c r="U736" s="199">
        <f>IF(AND('Mail Merge'!$I736="Did Not Meet",'Mail Merge'!$N736="Did Not Meet"),MIN(ABS('Mail Merge'!$H736),ABS('Mail Merge'!$M736),'Mail Merge'!$Q736),0)</f>
        <v>0</v>
      </c>
      <c r="V736" s="199" t="str">
        <f>IF(OR(IFERROR(SEARCH("Met",'Mail Merge'!$N736),0)&gt;0,IFERROR(SEARCH("Met",'Mail Merge'!$I736),0)&gt;0),"Met","Not Met")</f>
        <v>Met</v>
      </c>
    </row>
    <row r="737" spans="1:22" x14ac:dyDescent="0.35">
      <c r="A737" s="200" t="s">
        <v>167</v>
      </c>
      <c r="B737" s="201">
        <v>2062</v>
      </c>
      <c r="C737" s="201" t="s">
        <v>31</v>
      </c>
      <c r="D737" s="201">
        <v>1</v>
      </c>
      <c r="E737" s="201">
        <v>0</v>
      </c>
      <c r="F737" s="201">
        <v>11535.49</v>
      </c>
      <c r="G737" s="201">
        <f>'Mail Merge'!$E737+'Mail Merge'!$F737</f>
        <v>11535.49</v>
      </c>
      <c r="H737" s="201">
        <v>0</v>
      </c>
      <c r="I737" s="201" t="s">
        <v>240</v>
      </c>
      <c r="J737" s="201">
        <f>IFERROR('Mail Merge'!$E737/'Mail Merge'!$D737,0)</f>
        <v>0</v>
      </c>
      <c r="K737" s="201">
        <f>IFERROR('Mail Merge'!$F737/'Mail Merge'!$D737,0)</f>
        <v>11535.49</v>
      </c>
      <c r="L737" s="201">
        <f>IFERROR('Mail Merge'!$G737/'Mail Merge'!$D737,0)</f>
        <v>11535.49</v>
      </c>
      <c r="M737" s="201">
        <v>0</v>
      </c>
      <c r="N737" s="201" t="s">
        <v>240</v>
      </c>
      <c r="O737" s="201">
        <v>2533.63</v>
      </c>
      <c r="P737" s="201">
        <v>0</v>
      </c>
      <c r="Q737" s="201">
        <f>'Mail Merge'!$O737+'Mail Merge'!$P737</f>
        <v>2533.63</v>
      </c>
      <c r="R737" s="201"/>
      <c r="S737" s="201"/>
      <c r="T737" s="201"/>
      <c r="U737" s="201">
        <f>IF(AND('Mail Merge'!$I737="Did Not Meet",'Mail Merge'!$N737="Did Not Meet"),MIN(ABS('Mail Merge'!$H737),ABS('Mail Merge'!$M737),'Mail Merge'!$Q737),0)</f>
        <v>0</v>
      </c>
      <c r="V737" s="201" t="str">
        <f>IF(OR(IFERROR(SEARCH("Met",'Mail Merge'!$N737),0)&gt;0,IFERROR(SEARCH("Met",'Mail Merge'!$I737),0)&gt;0),"Met","Not Met")</f>
        <v>Not Met</v>
      </c>
    </row>
    <row r="738" spans="1:22" x14ac:dyDescent="0.35">
      <c r="A738" s="198" t="s">
        <v>168</v>
      </c>
      <c r="B738" s="199">
        <v>1973</v>
      </c>
      <c r="C738" s="199" t="s">
        <v>31</v>
      </c>
      <c r="D738" s="199">
        <v>26</v>
      </c>
      <c r="E738" s="199">
        <v>222410.94</v>
      </c>
      <c r="F738" s="199">
        <v>85220</v>
      </c>
      <c r="G738" s="199">
        <f>'Mail Merge'!$E738+'Mail Merge'!$F738</f>
        <v>307630.94</v>
      </c>
      <c r="H738" s="199">
        <v>0</v>
      </c>
      <c r="I738" s="199" t="s">
        <v>242</v>
      </c>
      <c r="J738" s="199">
        <f>IFERROR('Mail Merge'!$E738/'Mail Merge'!$D738,0)</f>
        <v>8554.2669230769225</v>
      </c>
      <c r="K738" s="199">
        <f>IFERROR('Mail Merge'!$F738/'Mail Merge'!$D738,0)</f>
        <v>3277.6923076923076</v>
      </c>
      <c r="L738" s="199">
        <f>IFERROR('Mail Merge'!$G738/'Mail Merge'!$D738,0)</f>
        <v>11831.959230769231</v>
      </c>
      <c r="M738" s="199">
        <v>0</v>
      </c>
      <c r="N738" s="199" t="s">
        <v>240</v>
      </c>
      <c r="O738" s="199">
        <v>59144.29</v>
      </c>
      <c r="P738" s="199">
        <v>583.71</v>
      </c>
      <c r="Q738" s="199">
        <f>'Mail Merge'!$O738+'Mail Merge'!$P738</f>
        <v>59728</v>
      </c>
      <c r="R738" s="199"/>
      <c r="S738" s="199">
        <v>34562</v>
      </c>
      <c r="T738" s="199"/>
      <c r="U738" s="199">
        <f>IF(AND('Mail Merge'!$I738="Did Not Meet",'Mail Merge'!$N738="Did Not Meet"),MIN(ABS('Mail Merge'!$H738),ABS('Mail Merge'!$M738),'Mail Merge'!$Q738),0)</f>
        <v>0</v>
      </c>
      <c r="V738" s="199" t="str">
        <f>IF(OR(IFERROR(SEARCH("Met",'Mail Merge'!$N738),0)&gt;0,IFERROR(SEARCH("Met",'Mail Merge'!$I738),0)&gt;0),"Met","Not Met")</f>
        <v>Met</v>
      </c>
    </row>
    <row r="739" spans="1:22" x14ac:dyDescent="0.35">
      <c r="A739" s="200" t="s">
        <v>169</v>
      </c>
      <c r="B739" s="201">
        <v>2180</v>
      </c>
      <c r="C739" s="201" t="s">
        <v>31</v>
      </c>
      <c r="D739" s="201">
        <v>6653</v>
      </c>
      <c r="E739" s="201">
        <v>73352834.519999996</v>
      </c>
      <c r="F739" s="201">
        <v>1309092.4099999999</v>
      </c>
      <c r="G739" s="201">
        <f>'Mail Merge'!$E739+'Mail Merge'!$F739</f>
        <v>74661926.929999992</v>
      </c>
      <c r="H739" s="201">
        <v>0</v>
      </c>
      <c r="I739" s="201" t="s">
        <v>241</v>
      </c>
      <c r="J739" s="201">
        <f>IFERROR('Mail Merge'!$E739/'Mail Merge'!$D739,0)</f>
        <v>11025.527509394258</v>
      </c>
      <c r="K739" s="201">
        <f>IFERROR('Mail Merge'!$F739/'Mail Merge'!$D739,0)</f>
        <v>196.76723433037725</v>
      </c>
      <c r="L739" s="201">
        <f>IFERROR('Mail Merge'!$G739/'Mail Merge'!$D739,0)</f>
        <v>11222.294743724635</v>
      </c>
      <c r="M739" s="201">
        <v>0</v>
      </c>
      <c r="N739" s="201" t="s">
        <v>241</v>
      </c>
      <c r="O739" s="201">
        <v>7246356.7199999997</v>
      </c>
      <c r="P739" s="201">
        <v>93391.15</v>
      </c>
      <c r="Q739" s="201">
        <f>'Mail Merge'!$O739+'Mail Merge'!$P739</f>
        <v>7339747.8700000001</v>
      </c>
      <c r="R739" s="201"/>
      <c r="S739" s="201"/>
      <c r="T739" s="201"/>
      <c r="U739" s="201">
        <f>IF(AND('Mail Merge'!$I739="Did Not Meet",'Mail Merge'!$N739="Did Not Meet"),MIN(ABS('Mail Merge'!$H739),ABS('Mail Merge'!$M739),'Mail Merge'!$Q739),0)</f>
        <v>0</v>
      </c>
      <c r="V739" s="201" t="str">
        <f>IF(OR(IFERROR(SEARCH("Met",'Mail Merge'!$N739),0)&gt;0,IFERROR(SEARCH("Met",'Mail Merge'!$I739),0)&gt;0),"Met","Not Met")</f>
        <v>Met</v>
      </c>
    </row>
    <row r="740" spans="1:22" x14ac:dyDescent="0.35">
      <c r="A740" s="198" t="s">
        <v>170</v>
      </c>
      <c r="B740" s="199">
        <v>1967</v>
      </c>
      <c r="C740" s="199" t="s">
        <v>31</v>
      </c>
      <c r="D740" s="199">
        <v>18</v>
      </c>
      <c r="E740" s="199">
        <v>134264.59</v>
      </c>
      <c r="F740" s="199">
        <v>29191</v>
      </c>
      <c r="G740" s="199">
        <f>'Mail Merge'!$E740+'Mail Merge'!$F740</f>
        <v>163455.59</v>
      </c>
      <c r="H740" s="199">
        <v>0</v>
      </c>
      <c r="I740" s="199" t="s">
        <v>241</v>
      </c>
      <c r="J740" s="199">
        <f>IFERROR('Mail Merge'!$E740/'Mail Merge'!$D740,0)</f>
        <v>7459.1438888888888</v>
      </c>
      <c r="K740" s="199">
        <f>IFERROR('Mail Merge'!$F740/'Mail Merge'!$D740,0)</f>
        <v>1621.7222222222222</v>
      </c>
      <c r="L740" s="199">
        <f>IFERROR('Mail Merge'!$G740/'Mail Merge'!$D740,0)</f>
        <v>9080.8661111111105</v>
      </c>
      <c r="M740" s="199">
        <v>0</v>
      </c>
      <c r="N740" s="199" t="s">
        <v>240</v>
      </c>
      <c r="O740" s="199">
        <v>24311.759999999998</v>
      </c>
      <c r="P740" s="199">
        <v>0</v>
      </c>
      <c r="Q740" s="199">
        <f>'Mail Merge'!$O740+'Mail Merge'!$P740</f>
        <v>24311.759999999998</v>
      </c>
      <c r="R740" s="199"/>
      <c r="S740" s="199"/>
      <c r="T740" s="199"/>
      <c r="U740" s="199">
        <f>IF(AND('Mail Merge'!$I740="Did Not Meet",'Mail Merge'!$N740="Did Not Meet"),MIN(ABS('Mail Merge'!$H740),ABS('Mail Merge'!$M740),'Mail Merge'!$Q740),0)</f>
        <v>0</v>
      </c>
      <c r="V740" s="199" t="str">
        <f>IF(OR(IFERROR(SEARCH("Met",'Mail Merge'!$N740),0)&gt;0,IFERROR(SEARCH("Met",'Mail Merge'!$I740),0)&gt;0),"Met","Not Met")</f>
        <v>Met</v>
      </c>
    </row>
    <row r="741" spans="1:22" x14ac:dyDescent="0.35">
      <c r="A741" s="200" t="s">
        <v>171</v>
      </c>
      <c r="B741" s="201">
        <v>2009</v>
      </c>
      <c r="C741" s="201" t="s">
        <v>31</v>
      </c>
      <c r="D741" s="201">
        <v>30</v>
      </c>
      <c r="E741" s="201">
        <v>88576.84</v>
      </c>
      <c r="F741" s="201">
        <v>107652.51</v>
      </c>
      <c r="G741" s="201">
        <f>'Mail Merge'!$E741+'Mail Merge'!$F741</f>
        <v>196229.34999999998</v>
      </c>
      <c r="H741" s="201">
        <v>0</v>
      </c>
      <c r="I741" s="201" t="s">
        <v>240</v>
      </c>
      <c r="J741" s="201">
        <f>IFERROR('Mail Merge'!$E741/'Mail Merge'!$D741,0)</f>
        <v>2952.5613333333331</v>
      </c>
      <c r="K741" s="201">
        <f>IFERROR('Mail Merge'!$F741/'Mail Merge'!$D741,0)</f>
        <v>3588.4169999999999</v>
      </c>
      <c r="L741" s="201">
        <f>IFERROR('Mail Merge'!$G741/'Mail Merge'!$D741,0)</f>
        <v>6540.9783333333326</v>
      </c>
      <c r="M741" s="201">
        <v>0</v>
      </c>
      <c r="N741" s="201" t="s">
        <v>240</v>
      </c>
      <c r="O741" s="201">
        <v>23415.73</v>
      </c>
      <c r="P741" s="201">
        <v>0</v>
      </c>
      <c r="Q741" s="201">
        <f>'Mail Merge'!$O741+'Mail Merge'!$P741</f>
        <v>23415.73</v>
      </c>
      <c r="R741" s="201"/>
      <c r="S741" s="201"/>
      <c r="T741" s="201"/>
      <c r="U741" s="201">
        <f>IF(AND('Mail Merge'!$I741="Did Not Meet",'Mail Merge'!$N741="Did Not Meet"),MIN(ABS('Mail Merge'!$H741),ABS('Mail Merge'!$M741),'Mail Merge'!$Q741),0)</f>
        <v>0</v>
      </c>
      <c r="V741" s="201" t="str">
        <f>IF(OR(IFERROR(SEARCH("Met",'Mail Merge'!$N741),0)&gt;0,IFERROR(SEARCH("Met",'Mail Merge'!$I741),0)&gt;0),"Met","Not Met")</f>
        <v>Not Met</v>
      </c>
    </row>
    <row r="742" spans="1:22" x14ac:dyDescent="0.35">
      <c r="A742" s="198" t="s">
        <v>172</v>
      </c>
      <c r="B742" s="199">
        <v>2045</v>
      </c>
      <c r="C742" s="199" t="s">
        <v>31</v>
      </c>
      <c r="D742" s="199">
        <v>28</v>
      </c>
      <c r="E742" s="199">
        <v>155178.23999999999</v>
      </c>
      <c r="F742" s="199">
        <v>66678.789999999994</v>
      </c>
      <c r="G742" s="199">
        <f>'Mail Merge'!$E742+'Mail Merge'!$F742</f>
        <v>221857.02999999997</v>
      </c>
      <c r="H742" s="199">
        <v>0</v>
      </c>
      <c r="I742" s="199" t="s">
        <v>242</v>
      </c>
      <c r="J742" s="199">
        <f>IFERROR('Mail Merge'!$E742/'Mail Merge'!$D742,0)</f>
        <v>5542.08</v>
      </c>
      <c r="K742" s="199">
        <f>IFERROR('Mail Merge'!$F742/'Mail Merge'!$D742,0)</f>
        <v>2381.3853571428567</v>
      </c>
      <c r="L742" s="199">
        <f>IFERROR('Mail Merge'!$G742/'Mail Merge'!$D742,0)</f>
        <v>7923.4653571428562</v>
      </c>
      <c r="M742" s="199">
        <v>0</v>
      </c>
      <c r="N742" s="199" t="s">
        <v>240</v>
      </c>
      <c r="O742" s="199">
        <v>36812.589999999997</v>
      </c>
      <c r="P742" s="199">
        <v>933.94</v>
      </c>
      <c r="Q742" s="199">
        <f>'Mail Merge'!$O742+'Mail Merge'!$P742</f>
        <v>37746.53</v>
      </c>
      <c r="R742" s="199"/>
      <c r="S742" s="199">
        <v>78720.37</v>
      </c>
      <c r="T742" s="199"/>
      <c r="U742" s="199">
        <f>IF(AND('Mail Merge'!$I742="Did Not Meet",'Mail Merge'!$N742="Did Not Meet"),MIN(ABS('Mail Merge'!$H742),ABS('Mail Merge'!$M742),'Mail Merge'!$Q742),0)</f>
        <v>0</v>
      </c>
      <c r="V742" s="199" t="str">
        <f>IF(OR(IFERROR(SEARCH("Met",'Mail Merge'!$N742),0)&gt;0,IFERROR(SEARCH("Met",'Mail Merge'!$I742),0)&gt;0),"Met","Not Met")</f>
        <v>Met</v>
      </c>
    </row>
    <row r="743" spans="1:22" x14ac:dyDescent="0.35">
      <c r="A743" s="200" t="s">
        <v>173</v>
      </c>
      <c r="B743" s="201">
        <v>1946</v>
      </c>
      <c r="C743" s="201" t="s">
        <v>31</v>
      </c>
      <c r="D743" s="201">
        <v>117</v>
      </c>
      <c r="E743" s="201">
        <v>1505353.18</v>
      </c>
      <c r="F743" s="201">
        <v>98063</v>
      </c>
      <c r="G743" s="201">
        <f>'Mail Merge'!$E743+'Mail Merge'!$F743</f>
        <v>1603416.18</v>
      </c>
      <c r="H743" s="201">
        <v>0</v>
      </c>
      <c r="I743" s="201" t="s">
        <v>242</v>
      </c>
      <c r="J743" s="201">
        <f>IFERROR('Mail Merge'!$E743/'Mail Merge'!$D743,0)</f>
        <v>12866.266495726495</v>
      </c>
      <c r="K743" s="201">
        <f>IFERROR('Mail Merge'!$F743/'Mail Merge'!$D743,0)</f>
        <v>838.14529914529919</v>
      </c>
      <c r="L743" s="201">
        <f>IFERROR('Mail Merge'!$G743/'Mail Merge'!$D743,0)</f>
        <v>13704.411794871794</v>
      </c>
      <c r="M743" s="201">
        <v>0</v>
      </c>
      <c r="N743" s="201" t="s">
        <v>241</v>
      </c>
      <c r="O743" s="201">
        <v>197094.16</v>
      </c>
      <c r="P743" s="201">
        <v>2334.85</v>
      </c>
      <c r="Q743" s="201">
        <f>'Mail Merge'!$O743+'Mail Merge'!$P743</f>
        <v>199429.01</v>
      </c>
      <c r="R743" s="201"/>
      <c r="S743" s="201">
        <v>142813.9</v>
      </c>
      <c r="T743" s="201">
        <v>142813.9</v>
      </c>
      <c r="U743" s="201">
        <f>IF(AND('Mail Merge'!$I743="Did Not Meet",'Mail Merge'!$N743="Did Not Meet"),MIN(ABS('Mail Merge'!$H743),ABS('Mail Merge'!$M743),'Mail Merge'!$Q743),0)</f>
        <v>0</v>
      </c>
      <c r="V743" s="201" t="str">
        <f>IF(OR(IFERROR(SEARCH("Met",'Mail Merge'!$N743),0)&gt;0,IFERROR(SEARCH("Met",'Mail Merge'!$I743),0)&gt;0),"Met","Not Met")</f>
        <v>Met</v>
      </c>
    </row>
    <row r="744" spans="1:22" x14ac:dyDescent="0.35">
      <c r="A744" s="198" t="s">
        <v>174</v>
      </c>
      <c r="B744" s="199">
        <v>1977</v>
      </c>
      <c r="C744" s="199" t="s">
        <v>31</v>
      </c>
      <c r="D744" s="199">
        <v>947</v>
      </c>
      <c r="E744" s="199">
        <v>7082376.2300000004</v>
      </c>
      <c r="F744" s="199">
        <v>1161176.08</v>
      </c>
      <c r="G744" s="199">
        <f>'Mail Merge'!$E744+'Mail Merge'!$F744</f>
        <v>8243552.3100000005</v>
      </c>
      <c r="H744" s="199">
        <v>0</v>
      </c>
      <c r="I744" s="199" t="s">
        <v>241</v>
      </c>
      <c r="J744" s="199">
        <f>IFERROR('Mail Merge'!$E744/'Mail Merge'!$D744,0)</f>
        <v>7478.7499788806763</v>
      </c>
      <c r="K744" s="199">
        <f>IFERROR('Mail Merge'!$F744/'Mail Merge'!$D744,0)</f>
        <v>1226.1627032734953</v>
      </c>
      <c r="L744" s="199">
        <f>IFERROR('Mail Merge'!$G744/'Mail Merge'!$D744,0)</f>
        <v>8704.9126821541722</v>
      </c>
      <c r="M744" s="199">
        <v>0</v>
      </c>
      <c r="N744" s="199" t="s">
        <v>241</v>
      </c>
      <c r="O744" s="199">
        <v>963026.69</v>
      </c>
      <c r="P744" s="199">
        <v>5983.06</v>
      </c>
      <c r="Q744" s="199">
        <f>'Mail Merge'!$O744+'Mail Merge'!$P744</f>
        <v>969009.75</v>
      </c>
      <c r="R744" s="199"/>
      <c r="S744" s="199"/>
      <c r="T744" s="199"/>
      <c r="U744" s="199">
        <f>IF(AND('Mail Merge'!$I744="Did Not Meet",'Mail Merge'!$N744="Did Not Meet"),MIN(ABS('Mail Merge'!$H744),ABS('Mail Merge'!$M744),'Mail Merge'!$Q744),0)</f>
        <v>0</v>
      </c>
      <c r="V744" s="199" t="str">
        <f>IF(OR(IFERROR(SEARCH("Met",'Mail Merge'!$N744),0)&gt;0,IFERROR(SEARCH("Met",'Mail Merge'!$I744),0)&gt;0),"Met","Not Met")</f>
        <v>Met</v>
      </c>
    </row>
    <row r="745" spans="1:22" x14ac:dyDescent="0.35">
      <c r="A745" s="200" t="s">
        <v>175</v>
      </c>
      <c r="B745" s="201">
        <v>2001</v>
      </c>
      <c r="C745" s="201" t="s">
        <v>31</v>
      </c>
      <c r="D745" s="201">
        <v>89</v>
      </c>
      <c r="E745" s="201">
        <v>489489.79</v>
      </c>
      <c r="F745" s="201">
        <v>345964</v>
      </c>
      <c r="G745" s="201">
        <f>'Mail Merge'!$E745+'Mail Merge'!$F745</f>
        <v>835453.79</v>
      </c>
      <c r="H745" s="201">
        <v>0</v>
      </c>
      <c r="I745" s="201" t="s">
        <v>240</v>
      </c>
      <c r="J745" s="201">
        <f>IFERROR('Mail Merge'!$E745/'Mail Merge'!$D745,0)</f>
        <v>5499.8852808988759</v>
      </c>
      <c r="K745" s="201">
        <f>IFERROR('Mail Merge'!$F745/'Mail Merge'!$D745,0)</f>
        <v>3887.2359550561796</v>
      </c>
      <c r="L745" s="201">
        <f>IFERROR('Mail Merge'!$G745/'Mail Merge'!$D745,0)</f>
        <v>9387.1212359550573</v>
      </c>
      <c r="M745" s="201">
        <v>0</v>
      </c>
      <c r="N745" s="201" t="s">
        <v>240</v>
      </c>
      <c r="O745" s="201">
        <v>115242.79</v>
      </c>
      <c r="P745" s="201">
        <v>887.24</v>
      </c>
      <c r="Q745" s="201">
        <f>'Mail Merge'!$O745+'Mail Merge'!$P745</f>
        <v>116130.03</v>
      </c>
      <c r="R745" s="201"/>
      <c r="S745" s="201"/>
      <c r="T745" s="201"/>
      <c r="U745" s="201">
        <f>IF(AND('Mail Merge'!$I745="Did Not Meet",'Mail Merge'!$N745="Did Not Meet"),MIN(ABS('Mail Merge'!$H745),ABS('Mail Merge'!$M745),'Mail Merge'!$Q745),0)</f>
        <v>0</v>
      </c>
      <c r="V745" s="201" t="str">
        <f>IF(OR(IFERROR(SEARCH("Met",'Mail Merge'!$N745),0)&gt;0,IFERROR(SEARCH("Met",'Mail Merge'!$I745),0)&gt;0),"Met","Not Met")</f>
        <v>Not Met</v>
      </c>
    </row>
    <row r="746" spans="1:22" x14ac:dyDescent="0.35">
      <c r="A746" s="198" t="s">
        <v>176</v>
      </c>
      <c r="B746" s="199">
        <v>2182</v>
      </c>
      <c r="C746" s="199" t="s">
        <v>31</v>
      </c>
      <c r="D746" s="199">
        <v>1720</v>
      </c>
      <c r="E746" s="199">
        <v>15987512</v>
      </c>
      <c r="F746" s="199">
        <v>1903883.19</v>
      </c>
      <c r="G746" s="199">
        <f>'Mail Merge'!$E746+'Mail Merge'!$F746</f>
        <v>17891395.190000001</v>
      </c>
      <c r="H746" s="199">
        <v>0</v>
      </c>
      <c r="I746" s="199" t="s">
        <v>240</v>
      </c>
      <c r="J746" s="199">
        <f>IFERROR('Mail Merge'!$E746/'Mail Merge'!$D746,0)</f>
        <v>9295.0651162790691</v>
      </c>
      <c r="K746" s="199">
        <f>IFERROR('Mail Merge'!$F746/'Mail Merge'!$D746,0)</f>
        <v>1106.9088313953489</v>
      </c>
      <c r="L746" s="199">
        <f>IFERROR('Mail Merge'!$G746/'Mail Merge'!$D746,0)</f>
        <v>10401.97394767442</v>
      </c>
      <c r="M746" s="199">
        <v>0</v>
      </c>
      <c r="N746" s="199" t="s">
        <v>240</v>
      </c>
      <c r="O746" s="199">
        <v>1672335.92</v>
      </c>
      <c r="P746" s="199">
        <v>8329.74</v>
      </c>
      <c r="Q746" s="199">
        <f>'Mail Merge'!$O746+'Mail Merge'!$P746</f>
        <v>1680665.66</v>
      </c>
      <c r="R746" s="199"/>
      <c r="S746" s="199"/>
      <c r="T746" s="199"/>
      <c r="U746" s="199">
        <f>IF(AND('Mail Merge'!$I746="Did Not Meet",'Mail Merge'!$N746="Did Not Meet"),MIN(ABS('Mail Merge'!$H746),ABS('Mail Merge'!$M746),'Mail Merge'!$Q746),0)</f>
        <v>0</v>
      </c>
      <c r="V746" s="199" t="str">
        <f>IF(OR(IFERROR(SEARCH("Met",'Mail Merge'!$N746),0)&gt;0,IFERROR(SEARCH("Met",'Mail Merge'!$I746),0)&gt;0),"Met","Not Met")</f>
        <v>Not Met</v>
      </c>
    </row>
    <row r="747" spans="1:22" x14ac:dyDescent="0.35">
      <c r="A747" s="200" t="s">
        <v>177</v>
      </c>
      <c r="B747" s="201">
        <v>1999</v>
      </c>
      <c r="C747" s="201" t="s">
        <v>31</v>
      </c>
      <c r="D747" s="201">
        <v>61</v>
      </c>
      <c r="E747" s="201">
        <v>507592.7</v>
      </c>
      <c r="F747" s="201">
        <v>80413.679999999993</v>
      </c>
      <c r="G747" s="201">
        <f>'Mail Merge'!$E747+'Mail Merge'!$F747</f>
        <v>588006.38</v>
      </c>
      <c r="H747" s="201">
        <v>0</v>
      </c>
      <c r="I747" s="201" t="s">
        <v>241</v>
      </c>
      <c r="J747" s="201">
        <f>IFERROR('Mail Merge'!$E747/'Mail Merge'!$D747,0)</f>
        <v>8321.1918032786889</v>
      </c>
      <c r="K747" s="201">
        <f>IFERROR('Mail Merge'!$F747/'Mail Merge'!$D747,0)</f>
        <v>1318.2570491803278</v>
      </c>
      <c r="L747" s="201">
        <f>IFERROR('Mail Merge'!$G747/'Mail Merge'!$D747,0)</f>
        <v>9639.4488524590161</v>
      </c>
      <c r="M747" s="201">
        <v>0</v>
      </c>
      <c r="N747" s="201" t="s">
        <v>241</v>
      </c>
      <c r="O747" s="201">
        <v>70386.11</v>
      </c>
      <c r="P747" s="201">
        <v>400.26</v>
      </c>
      <c r="Q747" s="201">
        <f>'Mail Merge'!$O747+'Mail Merge'!$P747</f>
        <v>70786.37</v>
      </c>
      <c r="R747" s="201"/>
      <c r="S747" s="201"/>
      <c r="T747" s="201"/>
      <c r="U747" s="201">
        <f>IF(AND('Mail Merge'!$I747="Did Not Meet",'Mail Merge'!$N747="Did Not Meet"),MIN(ABS('Mail Merge'!$H747),ABS('Mail Merge'!$M747),'Mail Merge'!$Q747),0)</f>
        <v>0</v>
      </c>
      <c r="V747" s="201" t="str">
        <f>IF(OR(IFERROR(SEARCH("Met",'Mail Merge'!$N747),0)&gt;0,IFERROR(SEARCH("Met",'Mail Merge'!$I747),0)&gt;0),"Met","Not Met")</f>
        <v>Met</v>
      </c>
    </row>
    <row r="748" spans="1:22" x14ac:dyDescent="0.35">
      <c r="A748" s="198" t="s">
        <v>178</v>
      </c>
      <c r="B748" s="199">
        <v>2188</v>
      </c>
      <c r="C748" s="199" t="s">
        <v>31</v>
      </c>
      <c r="D748" s="199">
        <v>51</v>
      </c>
      <c r="E748" s="199">
        <v>324936.74</v>
      </c>
      <c r="F748" s="199">
        <v>145103.32999999999</v>
      </c>
      <c r="G748" s="199">
        <f>'Mail Merge'!$E748+'Mail Merge'!$F748</f>
        <v>470040.06999999995</v>
      </c>
      <c r="H748" s="199">
        <v>0</v>
      </c>
      <c r="I748" s="199" t="s">
        <v>241</v>
      </c>
      <c r="J748" s="199">
        <f>IFERROR('Mail Merge'!$E748/'Mail Merge'!$D748,0)</f>
        <v>6371.3086274509806</v>
      </c>
      <c r="K748" s="199">
        <f>IFERROR('Mail Merge'!$F748/'Mail Merge'!$D748,0)</f>
        <v>2845.163333333333</v>
      </c>
      <c r="L748" s="199">
        <f>IFERROR('Mail Merge'!$G748/'Mail Merge'!$D748,0)</f>
        <v>9216.4719607843126</v>
      </c>
      <c r="M748" s="199">
        <v>0</v>
      </c>
      <c r="N748" s="199" t="s">
        <v>241</v>
      </c>
      <c r="O748" s="199">
        <v>65612.83</v>
      </c>
      <c r="P748" s="199">
        <v>280.18</v>
      </c>
      <c r="Q748" s="199">
        <f>'Mail Merge'!$O748+'Mail Merge'!$P748</f>
        <v>65893.009999999995</v>
      </c>
      <c r="R748" s="199"/>
      <c r="S748" s="199"/>
      <c r="T748" s="199">
        <v>11107.74</v>
      </c>
      <c r="U748" s="199">
        <f>IF(AND('Mail Merge'!$I748="Did Not Meet",'Mail Merge'!$N748="Did Not Meet"),MIN(ABS('Mail Merge'!$H748),ABS('Mail Merge'!$M748),'Mail Merge'!$Q748),0)</f>
        <v>0</v>
      </c>
      <c r="V748" s="199" t="str">
        <f>IF(OR(IFERROR(SEARCH("Met",'Mail Merge'!$N748),0)&gt;0,IFERROR(SEARCH("Met",'Mail Merge'!$I748),0)&gt;0),"Met","Not Met")</f>
        <v>Met</v>
      </c>
    </row>
    <row r="749" spans="1:22" x14ac:dyDescent="0.35">
      <c r="A749" s="200" t="s">
        <v>179</v>
      </c>
      <c r="B749" s="201">
        <v>2044</v>
      </c>
      <c r="C749" s="201" t="s">
        <v>31</v>
      </c>
      <c r="D749" s="201">
        <v>162</v>
      </c>
      <c r="E749" s="201">
        <v>958127.99</v>
      </c>
      <c r="F749" s="201">
        <v>441754.74</v>
      </c>
      <c r="G749" s="201">
        <f>'Mail Merge'!$E749+'Mail Merge'!$F749</f>
        <v>1399882.73</v>
      </c>
      <c r="H749" s="201">
        <v>0</v>
      </c>
      <c r="I749" s="201" t="s">
        <v>241</v>
      </c>
      <c r="J749" s="201">
        <f>IFERROR('Mail Merge'!$E749/'Mail Merge'!$D749,0)</f>
        <v>5914.3703086419755</v>
      </c>
      <c r="K749" s="201">
        <f>IFERROR('Mail Merge'!$F749/'Mail Merge'!$D749,0)</f>
        <v>2726.8811111111108</v>
      </c>
      <c r="L749" s="201">
        <f>IFERROR('Mail Merge'!$G749/'Mail Merge'!$D749,0)</f>
        <v>8641.2514197530854</v>
      </c>
      <c r="M749" s="201">
        <v>0</v>
      </c>
      <c r="N749" s="201" t="s">
        <v>240</v>
      </c>
      <c r="O749" s="201">
        <v>156224.91</v>
      </c>
      <c r="P749" s="201">
        <v>0</v>
      </c>
      <c r="Q749" s="201">
        <f>'Mail Merge'!$O749+'Mail Merge'!$P749</f>
        <v>156224.91</v>
      </c>
      <c r="R749" s="201"/>
      <c r="S749" s="201"/>
      <c r="T749" s="201"/>
      <c r="U749" s="201">
        <f>IF(AND('Mail Merge'!$I749="Did Not Meet",'Mail Merge'!$N749="Did Not Meet"),MIN(ABS('Mail Merge'!$H749),ABS('Mail Merge'!$M749),'Mail Merge'!$Q749),0)</f>
        <v>0</v>
      </c>
      <c r="V749" s="201" t="str">
        <f>IF(OR(IFERROR(SEARCH("Met",'Mail Merge'!$N749),0)&gt;0,IFERROR(SEARCH("Met",'Mail Merge'!$I749),0)&gt;0),"Met","Not Met")</f>
        <v>Met</v>
      </c>
    </row>
    <row r="750" spans="1:22" x14ac:dyDescent="0.35">
      <c r="A750" s="198" t="s">
        <v>180</v>
      </c>
      <c r="B750" s="199">
        <v>2142</v>
      </c>
      <c r="C750" s="199" t="s">
        <v>31</v>
      </c>
      <c r="D750" s="199">
        <v>6149</v>
      </c>
      <c r="E750" s="199">
        <v>65922600.469999999</v>
      </c>
      <c r="F750" s="199">
        <v>0</v>
      </c>
      <c r="G750" s="199">
        <f>'Mail Merge'!$E750+'Mail Merge'!$F750</f>
        <v>65922600.469999999</v>
      </c>
      <c r="H750" s="199">
        <v>0</v>
      </c>
      <c r="I750" s="199" t="s">
        <v>241</v>
      </c>
      <c r="J750" s="199">
        <f>IFERROR('Mail Merge'!$E750/'Mail Merge'!$D750,0)</f>
        <v>10720.86525776549</v>
      </c>
      <c r="K750" s="199">
        <f>IFERROR('Mail Merge'!$F750/'Mail Merge'!$D750,0)</f>
        <v>0</v>
      </c>
      <c r="L750" s="199">
        <f>IFERROR('Mail Merge'!$G750/'Mail Merge'!$D750,0)</f>
        <v>10720.86525776549</v>
      </c>
      <c r="M750" s="199">
        <v>0</v>
      </c>
      <c r="N750" s="199" t="s">
        <v>241</v>
      </c>
      <c r="O750" s="199">
        <v>6319306.9699999997</v>
      </c>
      <c r="P750" s="199">
        <v>35398.03</v>
      </c>
      <c r="Q750" s="199">
        <f>'Mail Merge'!$O750+'Mail Merge'!$P750</f>
        <v>6354705</v>
      </c>
      <c r="R750" s="199"/>
      <c r="S750" s="199"/>
      <c r="T750" s="199"/>
      <c r="U750" s="199">
        <f>IF(AND('Mail Merge'!$I750="Did Not Meet",'Mail Merge'!$N750="Did Not Meet"),MIN(ABS('Mail Merge'!$H750),ABS('Mail Merge'!$M750),'Mail Merge'!$Q750),0)</f>
        <v>0</v>
      </c>
      <c r="V750" s="199" t="str">
        <f>IF(OR(IFERROR(SEARCH("Met",'Mail Merge'!$N750),0)&gt;0,IFERROR(SEARCH("Met",'Mail Merge'!$I750),0)&gt;0),"Met","Not Met")</f>
        <v>Met</v>
      </c>
    </row>
    <row r="751" spans="1:22" x14ac:dyDescent="0.35">
      <c r="A751" s="200" t="s">
        <v>181</v>
      </c>
      <c r="B751" s="201">
        <v>2104</v>
      </c>
      <c r="C751" s="201" t="s">
        <v>31</v>
      </c>
      <c r="D751" s="201">
        <v>72</v>
      </c>
      <c r="E751" s="201">
        <v>490289.57</v>
      </c>
      <c r="F751" s="201">
        <v>75592</v>
      </c>
      <c r="G751" s="201">
        <f>'Mail Merge'!$E751+'Mail Merge'!$F751</f>
        <v>565881.57000000007</v>
      </c>
      <c r="H751" s="201">
        <v>0</v>
      </c>
      <c r="I751" s="201" t="s">
        <v>240</v>
      </c>
      <c r="J751" s="201">
        <f>IFERROR('Mail Merge'!$E751/'Mail Merge'!$D751,0)</f>
        <v>6809.5773611111108</v>
      </c>
      <c r="K751" s="201">
        <f>IFERROR('Mail Merge'!$F751/'Mail Merge'!$D751,0)</f>
        <v>1049.8888888888889</v>
      </c>
      <c r="L751" s="201">
        <f>IFERROR('Mail Merge'!$G751/'Mail Merge'!$D751,0)</f>
        <v>7859.4662500000013</v>
      </c>
      <c r="M751" s="201">
        <v>0</v>
      </c>
      <c r="N751" s="201" t="s">
        <v>241</v>
      </c>
      <c r="O751" s="201">
        <v>135797.51999999999</v>
      </c>
      <c r="P751" s="201">
        <v>1167.43</v>
      </c>
      <c r="Q751" s="201">
        <f>'Mail Merge'!$O751+'Mail Merge'!$P751</f>
        <v>136964.94999999998</v>
      </c>
      <c r="R751" s="201"/>
      <c r="S751" s="201"/>
      <c r="T751" s="201"/>
      <c r="U751" s="201">
        <f>IF(AND('Mail Merge'!$I751="Did Not Meet",'Mail Merge'!$N751="Did Not Meet"),MIN(ABS('Mail Merge'!$H751),ABS('Mail Merge'!$M751),'Mail Merge'!$Q751),0)</f>
        <v>0</v>
      </c>
      <c r="V751" s="201" t="str">
        <f>IF(OR(IFERROR(SEARCH("Met",'Mail Merge'!$N751),0)&gt;0,IFERROR(SEARCH("Met",'Mail Merge'!$I751),0)&gt;0),"Met","Not Met")</f>
        <v>Met</v>
      </c>
    </row>
    <row r="752" spans="1:22" x14ac:dyDescent="0.35">
      <c r="A752" s="198" t="s">
        <v>182</v>
      </c>
      <c r="B752" s="199">
        <v>1944</v>
      </c>
      <c r="C752" s="199" t="s">
        <v>31</v>
      </c>
      <c r="D752" s="199">
        <v>255</v>
      </c>
      <c r="E752" s="199">
        <v>2305883.98</v>
      </c>
      <c r="F752" s="199">
        <v>268858</v>
      </c>
      <c r="G752" s="199">
        <f>'Mail Merge'!$E752+'Mail Merge'!$F752</f>
        <v>2574741.98</v>
      </c>
      <c r="H752" s="199">
        <v>0</v>
      </c>
      <c r="I752" s="199" t="s">
        <v>241</v>
      </c>
      <c r="J752" s="199">
        <f>IFERROR('Mail Merge'!$E752/'Mail Merge'!$D752,0)</f>
        <v>9042.6822745098034</v>
      </c>
      <c r="K752" s="199">
        <f>IFERROR('Mail Merge'!$F752/'Mail Merge'!$D752,0)</f>
        <v>1054.3450980392156</v>
      </c>
      <c r="L752" s="199">
        <f>IFERROR('Mail Merge'!$G752/'Mail Merge'!$D752,0)</f>
        <v>10097.027372549019</v>
      </c>
      <c r="M752" s="199">
        <v>0</v>
      </c>
      <c r="N752" s="199" t="s">
        <v>240</v>
      </c>
      <c r="O752" s="199">
        <v>318574.25</v>
      </c>
      <c r="P752" s="199">
        <v>2428.25</v>
      </c>
      <c r="Q752" s="199">
        <f>'Mail Merge'!$O752+'Mail Merge'!$P752</f>
        <v>321002.5</v>
      </c>
      <c r="R752" s="199"/>
      <c r="S752" s="199"/>
      <c r="T752" s="199"/>
      <c r="U752" s="199">
        <f>IF(AND('Mail Merge'!$I752="Did Not Meet",'Mail Merge'!$N752="Did Not Meet"),MIN(ABS('Mail Merge'!$H752),ABS('Mail Merge'!$M752),'Mail Merge'!$Q752),0)</f>
        <v>0</v>
      </c>
      <c r="V752" s="199" t="str">
        <f>IF(OR(IFERROR(SEARCH("Met",'Mail Merge'!$N752),0)&gt;0,IFERROR(SEARCH("Met",'Mail Merge'!$I752),0)&gt;0),"Met","Not Met")</f>
        <v>Met</v>
      </c>
    </row>
    <row r="753" spans="1:22" x14ac:dyDescent="0.35">
      <c r="A753" s="200" t="s">
        <v>183</v>
      </c>
      <c r="B753" s="201">
        <v>2103</v>
      </c>
      <c r="C753" s="201" t="s">
        <v>31</v>
      </c>
      <c r="D753" s="201">
        <v>487</v>
      </c>
      <c r="E753" s="201">
        <v>2294188.85</v>
      </c>
      <c r="F753" s="201">
        <v>430526</v>
      </c>
      <c r="G753" s="201">
        <f>'Mail Merge'!$E753+'Mail Merge'!$F753</f>
        <v>2724714.85</v>
      </c>
      <c r="H753" s="201">
        <v>0</v>
      </c>
      <c r="I753" s="201" t="s">
        <v>241</v>
      </c>
      <c r="J753" s="201">
        <f>IFERROR('Mail Merge'!$E753/'Mail Merge'!$D753,0)</f>
        <v>4710.8600616016429</v>
      </c>
      <c r="K753" s="201">
        <f>IFERROR('Mail Merge'!$F753/'Mail Merge'!$D753,0)</f>
        <v>884.03696098562625</v>
      </c>
      <c r="L753" s="201">
        <f>IFERROR('Mail Merge'!$G753/'Mail Merge'!$D753,0)</f>
        <v>5594.897022587269</v>
      </c>
      <c r="M753" s="201">
        <v>0</v>
      </c>
      <c r="N753" s="201" t="s">
        <v>241</v>
      </c>
      <c r="O753" s="201">
        <v>390787.33</v>
      </c>
      <c r="P753" s="201">
        <v>933.95</v>
      </c>
      <c r="Q753" s="201">
        <f>'Mail Merge'!$O753+'Mail Merge'!$P753</f>
        <v>391721.28</v>
      </c>
      <c r="R753" s="201"/>
      <c r="S753" s="201"/>
      <c r="T753" s="201"/>
      <c r="U753" s="201">
        <f>IF(AND('Mail Merge'!$I753="Did Not Meet",'Mail Merge'!$N753="Did Not Meet"),MIN(ABS('Mail Merge'!$H753),ABS('Mail Merge'!$M753),'Mail Merge'!$Q753),0)</f>
        <v>0</v>
      </c>
      <c r="V753" s="201" t="str">
        <f>IF(OR(IFERROR(SEARCH("Met",'Mail Merge'!$N753),0)&gt;0,IFERROR(SEARCH("Met",'Mail Merge'!$I753),0)&gt;0),"Met","Not Met")</f>
        <v>Met</v>
      </c>
    </row>
    <row r="754" spans="1:22" x14ac:dyDescent="0.35">
      <c r="A754" s="198" t="s">
        <v>184</v>
      </c>
      <c r="B754" s="199">
        <v>1935</v>
      </c>
      <c r="C754" s="199" t="s">
        <v>31</v>
      </c>
      <c r="D754" s="199">
        <v>248</v>
      </c>
      <c r="E754" s="199">
        <v>1965024.78</v>
      </c>
      <c r="F754" s="199">
        <v>364183</v>
      </c>
      <c r="G754" s="199">
        <f>'Mail Merge'!$E754+'Mail Merge'!$F754</f>
        <v>2329207.7800000003</v>
      </c>
      <c r="H754" s="199">
        <v>0</v>
      </c>
      <c r="I754" s="199" t="s">
        <v>240</v>
      </c>
      <c r="J754" s="199">
        <f>IFERROR('Mail Merge'!$E754/'Mail Merge'!$D754,0)</f>
        <v>7923.4870161290328</v>
      </c>
      <c r="K754" s="199">
        <f>IFERROR('Mail Merge'!$F754/'Mail Merge'!$D754,0)</f>
        <v>1468.4798387096773</v>
      </c>
      <c r="L754" s="199">
        <f>IFERROR('Mail Merge'!$G754/'Mail Merge'!$D754,0)</f>
        <v>9391.9668548387108</v>
      </c>
      <c r="M754" s="199">
        <v>0</v>
      </c>
      <c r="N754" s="199" t="s">
        <v>240</v>
      </c>
      <c r="O754" s="199">
        <v>224599.25</v>
      </c>
      <c r="P754" s="199">
        <v>3195.06</v>
      </c>
      <c r="Q754" s="199">
        <f>'Mail Merge'!$O754+'Mail Merge'!$P754</f>
        <v>227794.31</v>
      </c>
      <c r="R754" s="199"/>
      <c r="S754" s="199"/>
      <c r="T754" s="199"/>
      <c r="U754" s="199">
        <f>IF(AND('Mail Merge'!$I754="Did Not Meet",'Mail Merge'!$N754="Did Not Meet"),MIN(ABS('Mail Merge'!$H754),ABS('Mail Merge'!$M754),'Mail Merge'!$Q754),0)</f>
        <v>0</v>
      </c>
      <c r="V754" s="199" t="str">
        <f>IF(OR(IFERROR(SEARCH("Met",'Mail Merge'!$N754),0)&gt;0,IFERROR(SEARCH("Met",'Mail Merge'!$I754),0)&gt;0),"Met","Not Met")</f>
        <v>Not Met</v>
      </c>
    </row>
    <row r="755" spans="1:22" x14ac:dyDescent="0.35">
      <c r="A755" s="200" t="s">
        <v>185</v>
      </c>
      <c r="B755" s="201">
        <v>2257</v>
      </c>
      <c r="C755" s="201" t="s">
        <v>31</v>
      </c>
      <c r="D755" s="201">
        <v>124</v>
      </c>
      <c r="E755" s="201">
        <v>931398.31</v>
      </c>
      <c r="F755" s="201">
        <v>31260.48</v>
      </c>
      <c r="G755" s="201">
        <f>'Mail Merge'!$E755+'Mail Merge'!$F755</f>
        <v>962658.79</v>
      </c>
      <c r="H755" s="201">
        <v>0</v>
      </c>
      <c r="I755" s="201" t="s">
        <v>241</v>
      </c>
      <c r="J755" s="201">
        <f>IFERROR('Mail Merge'!$E755/'Mail Merge'!$D755,0)</f>
        <v>7511.2766935483878</v>
      </c>
      <c r="K755" s="201">
        <f>IFERROR('Mail Merge'!$F755/'Mail Merge'!$D755,0)</f>
        <v>252.10064516129032</v>
      </c>
      <c r="L755" s="201">
        <f>IFERROR('Mail Merge'!$G755/'Mail Merge'!$D755,0)</f>
        <v>7763.377338709678</v>
      </c>
      <c r="M755" s="201">
        <v>0</v>
      </c>
      <c r="N755" s="201" t="s">
        <v>242</v>
      </c>
      <c r="O755" s="201">
        <v>161960.46</v>
      </c>
      <c r="P755" s="201">
        <v>1751.14</v>
      </c>
      <c r="Q755" s="201">
        <f>'Mail Merge'!$O755+'Mail Merge'!$P755</f>
        <v>163711.6</v>
      </c>
      <c r="R755" s="201"/>
      <c r="S755" s="201">
        <v>80130.070000000007</v>
      </c>
      <c r="T755" s="201">
        <v>80130.070000000007</v>
      </c>
      <c r="U755" s="201">
        <f>IF(AND('Mail Merge'!$I755="Did Not Meet",'Mail Merge'!$N755="Did Not Meet"),MIN(ABS('Mail Merge'!$H755),ABS('Mail Merge'!$M755),'Mail Merge'!$Q755),0)</f>
        <v>0</v>
      </c>
      <c r="V755" s="201" t="str">
        <f>IF(OR(IFERROR(SEARCH("Met",'Mail Merge'!$N755),0)&gt;0,IFERROR(SEARCH("Met",'Mail Merge'!$I755),0)&gt;0),"Met","Not Met")</f>
        <v>Met</v>
      </c>
    </row>
    <row r="756" spans="1:22" x14ac:dyDescent="0.35">
      <c r="A756" s="198" t="s">
        <v>186</v>
      </c>
      <c r="B756" s="199">
        <v>2195</v>
      </c>
      <c r="C756" s="199" t="s">
        <v>31</v>
      </c>
      <c r="D756" s="199">
        <v>32</v>
      </c>
      <c r="E756" s="199">
        <v>209087.06</v>
      </c>
      <c r="F756" s="199">
        <v>148177</v>
      </c>
      <c r="G756" s="199">
        <f>'Mail Merge'!$E756+'Mail Merge'!$F756</f>
        <v>357264.06</v>
      </c>
      <c r="H756" s="199">
        <v>0</v>
      </c>
      <c r="I756" s="199" t="s">
        <v>242</v>
      </c>
      <c r="J756" s="199">
        <f>IFERROR('Mail Merge'!$E756/'Mail Merge'!$D756,0)</f>
        <v>6533.9706249999999</v>
      </c>
      <c r="K756" s="199">
        <f>IFERROR('Mail Merge'!$F756/'Mail Merge'!$D756,0)</f>
        <v>4630.53125</v>
      </c>
      <c r="L756" s="199">
        <f>IFERROR('Mail Merge'!$G756/'Mail Merge'!$D756,0)</f>
        <v>11164.501875</v>
      </c>
      <c r="M756" s="199">
        <v>0</v>
      </c>
      <c r="N756" s="199" t="s">
        <v>241</v>
      </c>
      <c r="O756" s="199">
        <v>48664.44</v>
      </c>
      <c r="P756" s="199">
        <v>140.09</v>
      </c>
      <c r="Q756" s="199">
        <f>'Mail Merge'!$O756+'Mail Merge'!$P756</f>
        <v>48804.53</v>
      </c>
      <c r="R756" s="199"/>
      <c r="S756" s="199">
        <v>90979.61</v>
      </c>
      <c r="T756" s="199">
        <v>90979.61</v>
      </c>
      <c r="U756" s="199">
        <f>IF(AND('Mail Merge'!$I756="Did Not Meet",'Mail Merge'!$N756="Did Not Meet"),MIN(ABS('Mail Merge'!$H756),ABS('Mail Merge'!$M756),'Mail Merge'!$Q756),0)</f>
        <v>0</v>
      </c>
      <c r="V756" s="199" t="str">
        <f>IF(OR(IFERROR(SEARCH("Met",'Mail Merge'!$N756),0)&gt;0,IFERROR(SEARCH("Met",'Mail Merge'!$I756),0)&gt;0),"Met","Not Met")</f>
        <v>Met</v>
      </c>
    </row>
    <row r="757" spans="1:22" x14ac:dyDescent="0.35">
      <c r="A757" s="200" t="s">
        <v>187</v>
      </c>
      <c r="B757" s="201">
        <v>2244</v>
      </c>
      <c r="C757" s="201" t="s">
        <v>31</v>
      </c>
      <c r="D757" s="201">
        <v>549</v>
      </c>
      <c r="E757" s="201">
        <v>3747751.22</v>
      </c>
      <c r="F757" s="201">
        <v>708862</v>
      </c>
      <c r="G757" s="201">
        <f>'Mail Merge'!$E757+'Mail Merge'!$F757</f>
        <v>4456613.2200000007</v>
      </c>
      <c r="H757" s="201">
        <v>0</v>
      </c>
      <c r="I757" s="201" t="s">
        <v>241</v>
      </c>
      <c r="J757" s="201">
        <f>IFERROR('Mail Merge'!$E757/'Mail Merge'!$D757,0)</f>
        <v>6826.50495446266</v>
      </c>
      <c r="K757" s="201">
        <f>IFERROR('Mail Merge'!$F757/'Mail Merge'!$D757,0)</f>
        <v>1291.1876138433515</v>
      </c>
      <c r="L757" s="201">
        <f>IFERROR('Mail Merge'!$G757/'Mail Merge'!$D757,0)</f>
        <v>8117.6925683060117</v>
      </c>
      <c r="M757" s="201">
        <v>0</v>
      </c>
      <c r="N757" s="201" t="s">
        <v>241</v>
      </c>
      <c r="O757" s="201">
        <v>601702.5</v>
      </c>
      <c r="P757" s="201">
        <v>1219.8399999999999</v>
      </c>
      <c r="Q757" s="201">
        <f>'Mail Merge'!$O757+'Mail Merge'!$P757</f>
        <v>602922.34</v>
      </c>
      <c r="R757" s="201"/>
      <c r="S757" s="201"/>
      <c r="T757" s="201"/>
      <c r="U757" s="201">
        <f>IF(AND('Mail Merge'!$I757="Did Not Meet",'Mail Merge'!$N757="Did Not Meet"),MIN(ABS('Mail Merge'!$H757),ABS('Mail Merge'!$M757),'Mail Merge'!$Q757),0)</f>
        <v>0</v>
      </c>
      <c r="V757" s="201" t="str">
        <f>IF(OR(IFERROR(SEARCH("Met",'Mail Merge'!$N757),0)&gt;0,IFERROR(SEARCH("Met",'Mail Merge'!$I757),0)&gt;0),"Met","Not Met")</f>
        <v>Met</v>
      </c>
    </row>
    <row r="758" spans="1:22" x14ac:dyDescent="0.35">
      <c r="A758" s="198" t="s">
        <v>188</v>
      </c>
      <c r="B758" s="199">
        <v>2138</v>
      </c>
      <c r="C758" s="199" t="s">
        <v>31</v>
      </c>
      <c r="D758" s="199">
        <v>484</v>
      </c>
      <c r="E758" s="199">
        <v>3633600.1</v>
      </c>
      <c r="F758" s="199">
        <v>296805.56</v>
      </c>
      <c r="G758" s="199">
        <f>'Mail Merge'!$E758+'Mail Merge'!$F758</f>
        <v>3930405.66</v>
      </c>
      <c r="H758" s="199">
        <v>0</v>
      </c>
      <c r="I758" s="199" t="s">
        <v>241</v>
      </c>
      <c r="J758" s="199">
        <f>IFERROR('Mail Merge'!$E758/'Mail Merge'!$D758,0)</f>
        <v>7507.4382231404961</v>
      </c>
      <c r="K758" s="199">
        <f>IFERROR('Mail Merge'!$F758/'Mail Merge'!$D758,0)</f>
        <v>613.23462809917351</v>
      </c>
      <c r="L758" s="199">
        <f>IFERROR('Mail Merge'!$G758/'Mail Merge'!$D758,0)</f>
        <v>8120.6728512396694</v>
      </c>
      <c r="M758" s="199">
        <v>0</v>
      </c>
      <c r="N758" s="199" t="s">
        <v>240</v>
      </c>
      <c r="O758" s="199">
        <v>499950.51</v>
      </c>
      <c r="P758" s="199">
        <v>4932.37</v>
      </c>
      <c r="Q758" s="199">
        <f>'Mail Merge'!$O758+'Mail Merge'!$P758</f>
        <v>504882.88</v>
      </c>
      <c r="R758" s="199"/>
      <c r="S758" s="199"/>
      <c r="T758" s="199"/>
      <c r="U758" s="199">
        <f>IF(AND('Mail Merge'!$I758="Did Not Meet",'Mail Merge'!$N758="Did Not Meet"),MIN(ABS('Mail Merge'!$H758),ABS('Mail Merge'!$M758),'Mail Merge'!$Q758),0)</f>
        <v>0</v>
      </c>
      <c r="V758" s="199" t="str">
        <f>IF(OR(IFERROR(SEARCH("Met",'Mail Merge'!$N758),0)&gt;0,IFERROR(SEARCH("Met",'Mail Merge'!$I758),0)&gt;0),"Met","Not Met")</f>
        <v>Met</v>
      </c>
    </row>
    <row r="759" spans="1:22" x14ac:dyDescent="0.35">
      <c r="A759" s="200" t="s">
        <v>189</v>
      </c>
      <c r="B759" s="201">
        <v>1978</v>
      </c>
      <c r="C759" s="201" t="s">
        <v>31</v>
      </c>
      <c r="D759" s="201">
        <v>115</v>
      </c>
      <c r="E759" s="201">
        <v>794037.54</v>
      </c>
      <c r="F759" s="201">
        <v>109962.49</v>
      </c>
      <c r="G759" s="201">
        <f>'Mail Merge'!$E759+'Mail Merge'!$F759</f>
        <v>904000.03</v>
      </c>
      <c r="H759" s="201">
        <v>0</v>
      </c>
      <c r="I759" s="201" t="s">
        <v>241</v>
      </c>
      <c r="J759" s="201">
        <f>IFERROR('Mail Merge'!$E759/'Mail Merge'!$D759,0)</f>
        <v>6904.6742608695658</v>
      </c>
      <c r="K759" s="201">
        <f>IFERROR('Mail Merge'!$F759/'Mail Merge'!$D759,0)</f>
        <v>956.19556521739139</v>
      </c>
      <c r="L759" s="201">
        <f>IFERROR('Mail Merge'!$G759/'Mail Merge'!$D759,0)</f>
        <v>7860.8698260869569</v>
      </c>
      <c r="M759" s="201">
        <v>0</v>
      </c>
      <c r="N759" s="201" t="s">
        <v>241</v>
      </c>
      <c r="O759" s="201">
        <v>177969.82</v>
      </c>
      <c r="P759" s="201">
        <v>389.14</v>
      </c>
      <c r="Q759" s="201">
        <f>'Mail Merge'!$O759+'Mail Merge'!$P759</f>
        <v>178358.96000000002</v>
      </c>
      <c r="R759" s="201"/>
      <c r="S759" s="201"/>
      <c r="T759" s="201"/>
      <c r="U759" s="201">
        <f>IF(AND('Mail Merge'!$I759="Did Not Meet",'Mail Merge'!$N759="Did Not Meet"),MIN(ABS('Mail Merge'!$H759),ABS('Mail Merge'!$M759),'Mail Merge'!$Q759),0)</f>
        <v>0</v>
      </c>
      <c r="V759" s="201" t="str">
        <f>IF(OR(IFERROR(SEARCH("Met",'Mail Merge'!$N759),0)&gt;0,IFERROR(SEARCH("Met",'Mail Merge'!$I759),0)&gt;0),"Met","Not Met")</f>
        <v>Met</v>
      </c>
    </row>
    <row r="760" spans="1:22" x14ac:dyDescent="0.35">
      <c r="A760" s="198" t="s">
        <v>190</v>
      </c>
      <c r="B760" s="199">
        <v>2096</v>
      </c>
      <c r="C760" s="199" t="s">
        <v>31</v>
      </c>
      <c r="D760" s="199">
        <v>180</v>
      </c>
      <c r="E760" s="199">
        <v>1343494.33</v>
      </c>
      <c r="F760" s="199">
        <v>499627</v>
      </c>
      <c r="G760" s="199">
        <f>'Mail Merge'!$E760+'Mail Merge'!$F760</f>
        <v>1843121.33</v>
      </c>
      <c r="H760" s="199">
        <v>0</v>
      </c>
      <c r="I760" s="199" t="s">
        <v>241</v>
      </c>
      <c r="J760" s="199">
        <f>IFERROR('Mail Merge'!$E760/'Mail Merge'!$D760,0)</f>
        <v>7463.8573888888895</v>
      </c>
      <c r="K760" s="199">
        <f>IFERROR('Mail Merge'!$F760/'Mail Merge'!$D760,0)</f>
        <v>2775.7055555555557</v>
      </c>
      <c r="L760" s="199">
        <f>IFERROR('Mail Merge'!$G760/'Mail Merge'!$D760,0)</f>
        <v>10239.562944444446</v>
      </c>
      <c r="M760" s="199">
        <v>0</v>
      </c>
      <c r="N760" s="199" t="s">
        <v>241</v>
      </c>
      <c r="O760" s="199">
        <v>186659.79</v>
      </c>
      <c r="P760" s="199">
        <v>4047.08</v>
      </c>
      <c r="Q760" s="199">
        <f>'Mail Merge'!$O760+'Mail Merge'!$P760</f>
        <v>190706.87</v>
      </c>
      <c r="R760" s="199"/>
      <c r="S760" s="199"/>
      <c r="T760" s="199"/>
      <c r="U760" s="199">
        <f>IF(AND('Mail Merge'!$I760="Did Not Meet",'Mail Merge'!$N760="Did Not Meet"),MIN(ABS('Mail Merge'!$H760),ABS('Mail Merge'!$M760),'Mail Merge'!$Q760),0)</f>
        <v>0</v>
      </c>
      <c r="V760" s="199" t="str">
        <f>IF(OR(IFERROR(SEARCH("Met",'Mail Merge'!$N760),0)&gt;0,IFERROR(SEARCH("Met",'Mail Merge'!$I760),0)&gt;0),"Met","Not Met")</f>
        <v>Met</v>
      </c>
    </row>
    <row r="761" spans="1:22" x14ac:dyDescent="0.35">
      <c r="A761" s="200" t="s">
        <v>191</v>
      </c>
      <c r="B761" s="201">
        <v>2022</v>
      </c>
      <c r="C761" s="201" t="s">
        <v>31</v>
      </c>
      <c r="D761" s="201">
        <v>3</v>
      </c>
      <c r="E761" s="201">
        <v>4688.8999999999996</v>
      </c>
      <c r="F761" s="201">
        <v>3544</v>
      </c>
      <c r="G761" s="201">
        <f>'Mail Merge'!$E761+'Mail Merge'!$F761</f>
        <v>8232.9</v>
      </c>
      <c r="H761" s="201">
        <v>0</v>
      </c>
      <c r="I761" s="201" t="s">
        <v>242</v>
      </c>
      <c r="J761" s="201">
        <f>IFERROR('Mail Merge'!$E761/'Mail Merge'!$D761,0)</f>
        <v>1562.9666666666665</v>
      </c>
      <c r="K761" s="201">
        <f>IFERROR('Mail Merge'!$F761/'Mail Merge'!$D761,0)</f>
        <v>1181.3333333333333</v>
      </c>
      <c r="L761" s="201">
        <f>IFERROR('Mail Merge'!$G761/'Mail Merge'!$D761,0)</f>
        <v>2744.2999999999997</v>
      </c>
      <c r="M761" s="201">
        <v>0</v>
      </c>
      <c r="N761" s="201" t="s">
        <v>240</v>
      </c>
      <c r="O761" s="201">
        <v>3130.87</v>
      </c>
      <c r="P761" s="201">
        <v>0</v>
      </c>
      <c r="Q761" s="201">
        <f>'Mail Merge'!$O761+'Mail Merge'!$P761</f>
        <v>3130.87</v>
      </c>
      <c r="R761" s="201"/>
      <c r="S761" s="201">
        <v>2517.5300000000002</v>
      </c>
      <c r="T761" s="201"/>
      <c r="U761" s="201">
        <f>IF(AND('Mail Merge'!$I761="Did Not Meet",'Mail Merge'!$N761="Did Not Meet"),MIN(ABS('Mail Merge'!$H761),ABS('Mail Merge'!$M761),'Mail Merge'!$Q761),0)</f>
        <v>0</v>
      </c>
      <c r="V761" s="201" t="str">
        <f>IF(OR(IFERROR(SEARCH("Met",'Mail Merge'!$N761),0)&gt;0,IFERROR(SEARCH("Met",'Mail Merge'!$I761),0)&gt;0),"Met","Not Met")</f>
        <v>Met</v>
      </c>
    </row>
    <row r="762" spans="1:22" x14ac:dyDescent="0.35">
      <c r="A762" s="198" t="s">
        <v>192</v>
      </c>
      <c r="B762" s="199">
        <v>2087</v>
      </c>
      <c r="C762" s="199" t="s">
        <v>31</v>
      </c>
      <c r="D762" s="199">
        <v>475</v>
      </c>
      <c r="E762" s="199">
        <v>3335236.98</v>
      </c>
      <c r="F762" s="199">
        <v>434078</v>
      </c>
      <c r="G762" s="199">
        <f>'Mail Merge'!$E762+'Mail Merge'!$F762</f>
        <v>3769314.98</v>
      </c>
      <c r="H762" s="199">
        <v>0</v>
      </c>
      <c r="I762" s="199" t="s">
        <v>241</v>
      </c>
      <c r="J762" s="199">
        <f>IFERROR('Mail Merge'!$E762/'Mail Merge'!$D762,0)</f>
        <v>7021.5515368421056</v>
      </c>
      <c r="K762" s="199">
        <f>IFERROR('Mail Merge'!$F762/'Mail Merge'!$D762,0)</f>
        <v>913.84842105263158</v>
      </c>
      <c r="L762" s="199">
        <f>IFERROR('Mail Merge'!$G762/'Mail Merge'!$D762,0)</f>
        <v>7935.3999578947369</v>
      </c>
      <c r="M762" s="199">
        <v>0</v>
      </c>
      <c r="N762" s="199" t="s">
        <v>240</v>
      </c>
      <c r="O762" s="199">
        <v>505068.48</v>
      </c>
      <c r="P762" s="199">
        <v>2988.61</v>
      </c>
      <c r="Q762" s="199">
        <f>'Mail Merge'!$O762+'Mail Merge'!$P762</f>
        <v>508057.08999999997</v>
      </c>
      <c r="R762" s="199"/>
      <c r="S762" s="199"/>
      <c r="T762" s="199"/>
      <c r="U762" s="199">
        <f>IF(AND('Mail Merge'!$I762="Did Not Meet",'Mail Merge'!$N762="Did Not Meet"),MIN(ABS('Mail Merge'!$H762),ABS('Mail Merge'!$M762),'Mail Merge'!$Q762),0)</f>
        <v>0</v>
      </c>
      <c r="V762" s="199" t="str">
        <f>IF(OR(IFERROR(SEARCH("Met",'Mail Merge'!$N762),0)&gt;0,IFERROR(SEARCH("Met",'Mail Merge'!$I762),0)&gt;0),"Met","Not Met")</f>
        <v>Met</v>
      </c>
    </row>
    <row r="763" spans="1:22" x14ac:dyDescent="0.35">
      <c r="A763" s="200" t="s">
        <v>193</v>
      </c>
      <c r="B763" s="201">
        <v>1994</v>
      </c>
      <c r="C763" s="201" t="s">
        <v>31</v>
      </c>
      <c r="D763" s="201">
        <v>210</v>
      </c>
      <c r="E763" s="201">
        <v>1752654.9</v>
      </c>
      <c r="F763" s="201">
        <v>288650.71000000002</v>
      </c>
      <c r="G763" s="201">
        <f>'Mail Merge'!$E763+'Mail Merge'!$F763</f>
        <v>2041305.6099999999</v>
      </c>
      <c r="H763" s="201">
        <v>0</v>
      </c>
      <c r="I763" s="201" t="s">
        <v>240</v>
      </c>
      <c r="J763" s="201">
        <f>IFERROR('Mail Merge'!$E763/'Mail Merge'!$D763,0)</f>
        <v>8345.9757142857143</v>
      </c>
      <c r="K763" s="201">
        <f>IFERROR('Mail Merge'!$F763/'Mail Merge'!$D763,0)</f>
        <v>1374.5271904761905</v>
      </c>
      <c r="L763" s="201">
        <f>IFERROR('Mail Merge'!$G763/'Mail Merge'!$D763,0)</f>
        <v>9720.5029047619046</v>
      </c>
      <c r="M763" s="201">
        <v>0</v>
      </c>
      <c r="N763" s="201" t="s">
        <v>240</v>
      </c>
      <c r="O763" s="201">
        <v>300024.93</v>
      </c>
      <c r="P763" s="201">
        <v>4263.6400000000003</v>
      </c>
      <c r="Q763" s="201">
        <f>'Mail Merge'!$O763+'Mail Merge'!$P763</f>
        <v>304288.57</v>
      </c>
      <c r="R763" s="201"/>
      <c r="S763" s="201"/>
      <c r="T763" s="201"/>
      <c r="U763" s="201">
        <f>IF(AND('Mail Merge'!$I763="Did Not Meet",'Mail Merge'!$N763="Did Not Meet"),MIN(ABS('Mail Merge'!$H763),ABS('Mail Merge'!$M763),'Mail Merge'!$Q763),0)</f>
        <v>0</v>
      </c>
      <c r="V763" s="201" t="str">
        <f>IF(OR(IFERROR(SEARCH("Met",'Mail Merge'!$N763),0)&gt;0,IFERROR(SEARCH("Met",'Mail Merge'!$I763),0)&gt;0),"Met","Not Met")</f>
        <v>Not Met</v>
      </c>
    </row>
    <row r="764" spans="1:22" x14ac:dyDescent="0.35">
      <c r="A764" s="198" t="s">
        <v>194</v>
      </c>
      <c r="B764" s="199">
        <v>2225</v>
      </c>
      <c r="C764" s="199" t="s">
        <v>31</v>
      </c>
      <c r="D764" s="199">
        <v>34</v>
      </c>
      <c r="E764" s="199">
        <v>186451.89</v>
      </c>
      <c r="F764" s="199">
        <v>52806</v>
      </c>
      <c r="G764" s="199">
        <f>'Mail Merge'!$E764+'Mail Merge'!$F764</f>
        <v>239257.89</v>
      </c>
      <c r="H764" s="199">
        <v>0</v>
      </c>
      <c r="I764" s="199" t="s">
        <v>241</v>
      </c>
      <c r="J764" s="199">
        <f>IFERROR('Mail Merge'!$E764/'Mail Merge'!$D764,0)</f>
        <v>5483.8791176470595</v>
      </c>
      <c r="K764" s="199">
        <f>IFERROR('Mail Merge'!$F764/'Mail Merge'!$D764,0)</f>
        <v>1553.1176470588234</v>
      </c>
      <c r="L764" s="199">
        <f>IFERROR('Mail Merge'!$G764/'Mail Merge'!$D764,0)</f>
        <v>7036.9967647058829</v>
      </c>
      <c r="M764" s="199">
        <v>0</v>
      </c>
      <c r="N764" s="199" t="s">
        <v>241</v>
      </c>
      <c r="O764" s="199">
        <v>50671.72</v>
      </c>
      <c r="P764" s="199">
        <v>0</v>
      </c>
      <c r="Q764" s="199">
        <f>'Mail Merge'!$O764+'Mail Merge'!$P764</f>
        <v>50671.72</v>
      </c>
      <c r="R764" s="199"/>
      <c r="S764" s="199"/>
      <c r="T764" s="199"/>
      <c r="U764" s="199">
        <f>IF(AND('Mail Merge'!$I764="Did Not Meet",'Mail Merge'!$N764="Did Not Meet"),MIN(ABS('Mail Merge'!$H764),ABS('Mail Merge'!$M764),'Mail Merge'!$Q764),0)</f>
        <v>0</v>
      </c>
      <c r="V764" s="199" t="str">
        <f>IF(OR(IFERROR(SEARCH("Met",'Mail Merge'!$N764),0)&gt;0,IFERROR(SEARCH("Met",'Mail Merge'!$I764),0)&gt;0),"Met","Not Met")</f>
        <v>Met</v>
      </c>
    </row>
    <row r="765" spans="1:22" x14ac:dyDescent="0.35">
      <c r="A765" s="200" t="s">
        <v>195</v>
      </c>
      <c r="B765" s="201">
        <v>2247</v>
      </c>
      <c r="C765" s="201" t="s">
        <v>31</v>
      </c>
      <c r="D765" s="201">
        <v>6</v>
      </c>
      <c r="E765" s="201">
        <v>23696.01</v>
      </c>
      <c r="F765" s="201">
        <v>27703</v>
      </c>
      <c r="G765" s="201">
        <f>'Mail Merge'!$E765+'Mail Merge'!$F765</f>
        <v>51399.009999999995</v>
      </c>
      <c r="H765" s="201">
        <v>0</v>
      </c>
      <c r="I765" s="201" t="s">
        <v>241</v>
      </c>
      <c r="J765" s="201">
        <f>IFERROR('Mail Merge'!$E765/'Mail Merge'!$D765,0)</f>
        <v>3949.3349999999996</v>
      </c>
      <c r="K765" s="201">
        <f>IFERROR('Mail Merge'!$F765/'Mail Merge'!$D765,0)</f>
        <v>4617.166666666667</v>
      </c>
      <c r="L765" s="201">
        <f>IFERROR('Mail Merge'!$G765/'Mail Merge'!$D765,0)</f>
        <v>8566.5016666666652</v>
      </c>
      <c r="M765" s="201">
        <v>0</v>
      </c>
      <c r="N765" s="201" t="s">
        <v>240</v>
      </c>
      <c r="O765" s="201">
        <v>4581.3500000000004</v>
      </c>
      <c r="P765" s="201">
        <v>0</v>
      </c>
      <c r="Q765" s="201">
        <f>'Mail Merge'!$O765+'Mail Merge'!$P765</f>
        <v>4581.3500000000004</v>
      </c>
      <c r="R765" s="201"/>
      <c r="S765" s="201"/>
      <c r="T765" s="201"/>
      <c r="U765" s="201">
        <f>IF(AND('Mail Merge'!$I765="Did Not Meet",'Mail Merge'!$N765="Did Not Meet"),MIN(ABS('Mail Merge'!$H765),ABS('Mail Merge'!$M765),'Mail Merge'!$Q765),0)</f>
        <v>0</v>
      </c>
      <c r="V765" s="201" t="str">
        <f>IF(OR(IFERROR(SEARCH("Met",'Mail Merge'!$N765),0)&gt;0,IFERROR(SEARCH("Met",'Mail Merge'!$I765),0)&gt;0),"Met","Not Met")</f>
        <v>Met</v>
      </c>
    </row>
    <row r="766" spans="1:22" x14ac:dyDescent="0.35">
      <c r="A766" s="198" t="s">
        <v>196</v>
      </c>
      <c r="B766" s="199">
        <v>2083</v>
      </c>
      <c r="C766" s="199" t="s">
        <v>31</v>
      </c>
      <c r="D766" s="199">
        <v>1528</v>
      </c>
      <c r="E766" s="199">
        <v>14452762.539999999</v>
      </c>
      <c r="F766" s="199">
        <v>1622394</v>
      </c>
      <c r="G766" s="199">
        <f>'Mail Merge'!$E766+'Mail Merge'!$F766</f>
        <v>16075156.539999999</v>
      </c>
      <c r="H766" s="199">
        <v>0</v>
      </c>
      <c r="I766" s="199" t="s">
        <v>241</v>
      </c>
      <c r="J766" s="199">
        <f>IFERROR('Mail Merge'!$E766/'Mail Merge'!$D766,0)</f>
        <v>9458.6142277486906</v>
      </c>
      <c r="K766" s="199">
        <f>IFERROR('Mail Merge'!$F766/'Mail Merge'!$D766,0)</f>
        <v>1061.7761780104713</v>
      </c>
      <c r="L766" s="199">
        <f>IFERROR('Mail Merge'!$G766/'Mail Merge'!$D766,0)</f>
        <v>10520.390405759163</v>
      </c>
      <c r="M766" s="199">
        <v>0</v>
      </c>
      <c r="N766" s="199" t="s">
        <v>241</v>
      </c>
      <c r="O766" s="199">
        <v>1775273.51</v>
      </c>
      <c r="P766" s="199">
        <v>17776.400000000001</v>
      </c>
      <c r="Q766" s="199">
        <f>'Mail Merge'!$O766+'Mail Merge'!$P766</f>
        <v>1793049.91</v>
      </c>
      <c r="R766" s="199"/>
      <c r="S766" s="199"/>
      <c r="T766" s="199"/>
      <c r="U766" s="199">
        <f>IF(AND('Mail Merge'!$I766="Did Not Meet",'Mail Merge'!$N766="Did Not Meet"),MIN(ABS('Mail Merge'!$H766),ABS('Mail Merge'!$M766),'Mail Merge'!$Q766),0)</f>
        <v>0</v>
      </c>
      <c r="V766" s="199" t="str">
        <f>IF(OR(IFERROR(SEARCH("Met",'Mail Merge'!$N766),0)&gt;0,IFERROR(SEARCH("Met",'Mail Merge'!$I766),0)&gt;0),"Met","Not Met")</f>
        <v>Met</v>
      </c>
    </row>
    <row r="767" spans="1:22" x14ac:dyDescent="0.35">
      <c r="A767" s="200" t="s">
        <v>197</v>
      </c>
      <c r="B767" s="201">
        <v>1948</v>
      </c>
      <c r="C767" s="201" t="s">
        <v>31</v>
      </c>
      <c r="D767" s="201">
        <v>488</v>
      </c>
      <c r="E767" s="201">
        <v>3538400.7</v>
      </c>
      <c r="F767" s="201">
        <v>709841</v>
      </c>
      <c r="G767" s="201">
        <f>'Mail Merge'!$E767+'Mail Merge'!$F767</f>
        <v>4248241.7</v>
      </c>
      <c r="H767" s="201">
        <v>0</v>
      </c>
      <c r="I767" s="201" t="s">
        <v>241</v>
      </c>
      <c r="J767" s="201">
        <f>IFERROR('Mail Merge'!$E767/'Mail Merge'!$D767,0)</f>
        <v>7250.8211065573778</v>
      </c>
      <c r="K767" s="201">
        <f>IFERROR('Mail Merge'!$F767/'Mail Merge'!$D767,0)</f>
        <v>1454.592213114754</v>
      </c>
      <c r="L767" s="201">
        <f>IFERROR('Mail Merge'!$G767/'Mail Merge'!$D767,0)</f>
        <v>8705.4133196721323</v>
      </c>
      <c r="M767" s="201">
        <v>0</v>
      </c>
      <c r="N767" s="201" t="s">
        <v>241</v>
      </c>
      <c r="O767" s="201">
        <v>545819.01</v>
      </c>
      <c r="P767" s="201">
        <v>5553.97</v>
      </c>
      <c r="Q767" s="201">
        <f>'Mail Merge'!$O767+'Mail Merge'!$P767</f>
        <v>551372.98</v>
      </c>
      <c r="R767" s="201"/>
      <c r="S767" s="201"/>
      <c r="T767" s="201"/>
      <c r="U767" s="201">
        <f>IF(AND('Mail Merge'!$I767="Did Not Meet",'Mail Merge'!$N767="Did Not Meet"),MIN(ABS('Mail Merge'!$H767),ABS('Mail Merge'!$M767),'Mail Merge'!$Q767),0)</f>
        <v>0</v>
      </c>
      <c r="V767" s="201" t="str">
        <f>IF(OR(IFERROR(SEARCH("Met",'Mail Merge'!$N767),0)&gt;0,IFERROR(SEARCH("Met",'Mail Merge'!$I767),0)&gt;0),"Met","Not Met")</f>
        <v>Met</v>
      </c>
    </row>
    <row r="768" spans="1:22" x14ac:dyDescent="0.35">
      <c r="A768" s="198" t="s">
        <v>198</v>
      </c>
      <c r="B768" s="199">
        <v>2144</v>
      </c>
      <c r="C768" s="199" t="s">
        <v>31</v>
      </c>
      <c r="D768" s="199">
        <v>29</v>
      </c>
      <c r="E768" s="199">
        <v>243293.99</v>
      </c>
      <c r="F768" s="199">
        <v>22597.22</v>
      </c>
      <c r="G768" s="199">
        <f>'Mail Merge'!$E768+'Mail Merge'!$F768</f>
        <v>265891.20999999996</v>
      </c>
      <c r="H768" s="199">
        <v>0</v>
      </c>
      <c r="I768" s="199" t="s">
        <v>240</v>
      </c>
      <c r="J768" s="199">
        <f>IFERROR('Mail Merge'!$E768/'Mail Merge'!$D768,0)</f>
        <v>8389.4479310344832</v>
      </c>
      <c r="K768" s="199">
        <f>IFERROR('Mail Merge'!$F768/'Mail Merge'!$D768,0)</f>
        <v>779.21448275862076</v>
      </c>
      <c r="L768" s="199">
        <f>IFERROR('Mail Merge'!$G768/'Mail Merge'!$D768,0)</f>
        <v>9168.662413793103</v>
      </c>
      <c r="M768" s="199">
        <v>0</v>
      </c>
      <c r="N768" s="199" t="s">
        <v>240</v>
      </c>
      <c r="O768" s="199">
        <v>41740.76</v>
      </c>
      <c r="P768" s="199">
        <v>1400.91</v>
      </c>
      <c r="Q768" s="199">
        <f>'Mail Merge'!$O768+'Mail Merge'!$P768</f>
        <v>43141.670000000006</v>
      </c>
      <c r="R768" s="199"/>
      <c r="S768" s="199"/>
      <c r="T768" s="199"/>
      <c r="U768" s="199">
        <f>IF(AND('Mail Merge'!$I768="Did Not Meet",'Mail Merge'!$N768="Did Not Meet"),MIN(ABS('Mail Merge'!$H768),ABS('Mail Merge'!$M768),'Mail Merge'!$Q768),0)</f>
        <v>0</v>
      </c>
      <c r="V768" s="199" t="str">
        <f>IF(OR(IFERROR(SEARCH("Met",'Mail Merge'!$N768),0)&gt;0,IFERROR(SEARCH("Met",'Mail Merge'!$I768),0)&gt;0),"Met","Not Met")</f>
        <v>Not Met</v>
      </c>
    </row>
    <row r="769" spans="1:22" x14ac:dyDescent="0.35">
      <c r="A769" s="200" t="s">
        <v>199</v>
      </c>
      <c r="B769" s="201">
        <v>2209</v>
      </c>
      <c r="C769" s="201" t="s">
        <v>31</v>
      </c>
      <c r="D769" s="201">
        <v>68</v>
      </c>
      <c r="E769" s="201">
        <v>514055.55</v>
      </c>
      <c r="F769" s="201">
        <v>108962.95</v>
      </c>
      <c r="G769" s="201">
        <f>'Mail Merge'!$E769+'Mail Merge'!$F769</f>
        <v>623018.5</v>
      </c>
      <c r="H769" s="201">
        <v>0</v>
      </c>
      <c r="I769" s="201" t="s">
        <v>240</v>
      </c>
      <c r="J769" s="201">
        <f>IFERROR('Mail Merge'!$E769/'Mail Merge'!$D769,0)</f>
        <v>7559.6404411764706</v>
      </c>
      <c r="K769" s="201">
        <f>IFERROR('Mail Merge'!$F769/'Mail Merge'!$D769,0)</f>
        <v>1602.3963235294118</v>
      </c>
      <c r="L769" s="201">
        <f>IFERROR('Mail Merge'!$G769/'Mail Merge'!$D769,0)</f>
        <v>9162.0367647058829</v>
      </c>
      <c r="M769" s="201">
        <v>0</v>
      </c>
      <c r="N769" s="201" t="s">
        <v>240</v>
      </c>
      <c r="O769" s="201">
        <v>82059.28</v>
      </c>
      <c r="P769" s="201">
        <v>800.52</v>
      </c>
      <c r="Q769" s="201">
        <f>'Mail Merge'!$O769+'Mail Merge'!$P769</f>
        <v>82859.8</v>
      </c>
      <c r="R769" s="201"/>
      <c r="S769" s="201"/>
      <c r="T769" s="201"/>
      <c r="U769" s="201">
        <f>IF(AND('Mail Merge'!$I769="Did Not Meet",'Mail Merge'!$N769="Did Not Meet"),MIN(ABS('Mail Merge'!$H769),ABS('Mail Merge'!$M769),'Mail Merge'!$Q769),0)</f>
        <v>0</v>
      </c>
      <c r="V769" s="201" t="str">
        <f>IF(OR(IFERROR(SEARCH("Met",'Mail Merge'!$N769),0)&gt;0,IFERROR(SEARCH("Met",'Mail Merge'!$I769),0)&gt;0),"Met","Not Met")</f>
        <v>Not Met</v>
      </c>
    </row>
    <row r="770" spans="1:22" x14ac:dyDescent="0.35">
      <c r="A770" s="198" t="s">
        <v>200</v>
      </c>
      <c r="B770" s="199">
        <v>2018</v>
      </c>
      <c r="C770" s="199" t="s">
        <v>31</v>
      </c>
      <c r="D770" s="199">
        <v>0</v>
      </c>
      <c r="E770" s="199">
        <v>5516</v>
      </c>
      <c r="F770" s="199">
        <v>3728</v>
      </c>
      <c r="G770" s="199">
        <f>'Mail Merge'!$E770+'Mail Merge'!$F770</f>
        <v>9244</v>
      </c>
      <c r="H770" s="199">
        <v>0</v>
      </c>
      <c r="I770" s="199" t="s">
        <v>240</v>
      </c>
      <c r="J770" s="199">
        <f>IFERROR('Mail Merge'!$E770/'Mail Merge'!$D770,0)</f>
        <v>0</v>
      </c>
      <c r="K770" s="199">
        <f>IFERROR('Mail Merge'!$F770/'Mail Merge'!$D770,0)</f>
        <v>0</v>
      </c>
      <c r="L770" s="199">
        <f>IFERROR('Mail Merge'!$G770/'Mail Merge'!$D770,0)</f>
        <v>0</v>
      </c>
      <c r="M770" s="199">
        <v>0</v>
      </c>
      <c r="N770" s="199" t="s">
        <v>240</v>
      </c>
      <c r="O770" s="199">
        <v>0</v>
      </c>
      <c r="P770" s="199">
        <v>0</v>
      </c>
      <c r="Q770" s="199">
        <f>'Mail Merge'!$O770+'Mail Merge'!$P770</f>
        <v>0</v>
      </c>
      <c r="R770" s="199"/>
      <c r="S770" s="199"/>
      <c r="T770" s="199"/>
      <c r="U770" s="199">
        <f>IF(AND('Mail Merge'!$I770="Did Not Meet",'Mail Merge'!$N770="Did Not Meet"),MIN(ABS('Mail Merge'!$H770),ABS('Mail Merge'!$M770),'Mail Merge'!$Q770),0)</f>
        <v>0</v>
      </c>
      <c r="V770" s="199" t="str">
        <f>IF(OR(IFERROR(SEARCH("Met",'Mail Merge'!$N770),0)&gt;0,IFERROR(SEARCH("Met",'Mail Merge'!$I770),0)&gt;0),"Met","Not Met")</f>
        <v>Not Met</v>
      </c>
    </row>
    <row r="771" spans="1:22" x14ac:dyDescent="0.35">
      <c r="A771" s="200" t="s">
        <v>201</v>
      </c>
      <c r="B771" s="201">
        <v>2003</v>
      </c>
      <c r="C771" s="201" t="s">
        <v>31</v>
      </c>
      <c r="D771" s="201">
        <v>160</v>
      </c>
      <c r="E771" s="201">
        <v>1006510.22</v>
      </c>
      <c r="F771" s="201">
        <v>262304.84999999998</v>
      </c>
      <c r="G771" s="201">
        <f>'Mail Merge'!$E771+'Mail Merge'!$F771</f>
        <v>1268815.0699999998</v>
      </c>
      <c r="H771" s="201">
        <v>0</v>
      </c>
      <c r="I771" s="201" t="s">
        <v>240</v>
      </c>
      <c r="J771" s="201">
        <f>IFERROR('Mail Merge'!$E771/'Mail Merge'!$D771,0)</f>
        <v>6290.6888749999998</v>
      </c>
      <c r="K771" s="201">
        <f>IFERROR('Mail Merge'!$F771/'Mail Merge'!$D771,0)</f>
        <v>1639.4053124999998</v>
      </c>
      <c r="L771" s="201">
        <f>IFERROR('Mail Merge'!$G771/'Mail Merge'!$D771,0)</f>
        <v>7930.094187499999</v>
      </c>
      <c r="M771" s="201">
        <v>0</v>
      </c>
      <c r="N771" s="201" t="s">
        <v>240</v>
      </c>
      <c r="O771" s="201">
        <v>214031.91</v>
      </c>
      <c r="P771" s="201">
        <v>2873.66</v>
      </c>
      <c r="Q771" s="201">
        <f>'Mail Merge'!$O771+'Mail Merge'!$P771</f>
        <v>216905.57</v>
      </c>
      <c r="R771" s="201"/>
      <c r="S771" s="201"/>
      <c r="T771" s="201"/>
      <c r="U771" s="201">
        <f>IF(AND('Mail Merge'!$I771="Did Not Meet",'Mail Merge'!$N771="Did Not Meet"),MIN(ABS('Mail Merge'!$H771),ABS('Mail Merge'!$M771),'Mail Merge'!$Q771),0)</f>
        <v>0</v>
      </c>
      <c r="V771" s="201" t="str">
        <f>IF(OR(IFERROR(SEARCH("Met",'Mail Merge'!$N771),0)&gt;0,IFERROR(SEARCH("Met",'Mail Merge'!$I771),0)&gt;0),"Met","Not Met")</f>
        <v>Not Met</v>
      </c>
    </row>
    <row r="772" spans="1:22" x14ac:dyDescent="0.35">
      <c r="A772" s="198" t="s">
        <v>202</v>
      </c>
      <c r="B772" s="199">
        <v>2102</v>
      </c>
      <c r="C772" s="199" t="s">
        <v>31</v>
      </c>
      <c r="D772" s="199">
        <v>401</v>
      </c>
      <c r="E772" s="199">
        <v>2232729.83</v>
      </c>
      <c r="F772" s="199">
        <v>328315</v>
      </c>
      <c r="G772" s="199">
        <f>'Mail Merge'!$E772+'Mail Merge'!$F772</f>
        <v>2561044.83</v>
      </c>
      <c r="H772" s="199">
        <v>0</v>
      </c>
      <c r="I772" s="199" t="s">
        <v>241</v>
      </c>
      <c r="J772" s="199">
        <f>IFERROR('Mail Merge'!$E772/'Mail Merge'!$D772,0)</f>
        <v>5567.9048129675812</v>
      </c>
      <c r="K772" s="199">
        <f>IFERROR('Mail Merge'!$F772/'Mail Merge'!$D772,0)</f>
        <v>818.74064837905235</v>
      </c>
      <c r="L772" s="199">
        <f>IFERROR('Mail Merge'!$G772/'Mail Merge'!$D772,0)</f>
        <v>6386.645461346634</v>
      </c>
      <c r="M772" s="199">
        <v>0</v>
      </c>
      <c r="N772" s="199" t="s">
        <v>241</v>
      </c>
      <c r="O772" s="199">
        <v>377934.46</v>
      </c>
      <c r="P772" s="199">
        <v>2543.7600000000002</v>
      </c>
      <c r="Q772" s="199">
        <f>'Mail Merge'!$O772+'Mail Merge'!$P772</f>
        <v>380478.22000000003</v>
      </c>
      <c r="R772" s="199"/>
      <c r="S772" s="199"/>
      <c r="T772" s="199"/>
      <c r="U772" s="199">
        <f>IF(AND('Mail Merge'!$I772="Did Not Meet",'Mail Merge'!$N772="Did Not Meet"),MIN(ABS('Mail Merge'!$H772),ABS('Mail Merge'!$M772),'Mail Merge'!$Q772),0)</f>
        <v>0</v>
      </c>
      <c r="V772" s="199" t="str">
        <f>IF(OR(IFERROR(SEARCH("Met",'Mail Merge'!$N772),0)&gt;0,IFERROR(SEARCH("Met",'Mail Merge'!$I772),0)&gt;0),"Met","Not Met")</f>
        <v>Met</v>
      </c>
    </row>
    <row r="773" spans="1:22" x14ac:dyDescent="0.35">
      <c r="A773" s="200" t="s">
        <v>203</v>
      </c>
      <c r="B773" s="201">
        <v>2055</v>
      </c>
      <c r="C773" s="201" t="s">
        <v>31</v>
      </c>
      <c r="D773" s="201">
        <v>555</v>
      </c>
      <c r="E773" s="201">
        <v>5778842.1299999999</v>
      </c>
      <c r="F773" s="201">
        <v>204174.88</v>
      </c>
      <c r="G773" s="201">
        <f>'Mail Merge'!$E773+'Mail Merge'!$F773</f>
        <v>5983017.0099999998</v>
      </c>
      <c r="H773" s="201">
        <v>0</v>
      </c>
      <c r="I773" s="201" t="s">
        <v>241</v>
      </c>
      <c r="J773" s="201">
        <f>IFERROR('Mail Merge'!$E773/'Mail Merge'!$D773,0)</f>
        <v>10412.328162162163</v>
      </c>
      <c r="K773" s="201">
        <f>IFERROR('Mail Merge'!$F773/'Mail Merge'!$D773,0)</f>
        <v>367.88266666666669</v>
      </c>
      <c r="L773" s="201">
        <f>IFERROR('Mail Merge'!$G773/'Mail Merge'!$D773,0)</f>
        <v>10780.210828828829</v>
      </c>
      <c r="M773" s="201">
        <v>0</v>
      </c>
      <c r="N773" s="201" t="s">
        <v>241</v>
      </c>
      <c r="O773" s="201">
        <v>827917.1</v>
      </c>
      <c r="P773" s="201">
        <v>7694.56</v>
      </c>
      <c r="Q773" s="201">
        <f>'Mail Merge'!$O773+'Mail Merge'!$P773</f>
        <v>835611.66</v>
      </c>
      <c r="R773" s="201"/>
      <c r="S773" s="201"/>
      <c r="T773" s="201"/>
      <c r="U773" s="201">
        <f>IF(AND('Mail Merge'!$I773="Did Not Meet",'Mail Merge'!$N773="Did Not Meet"),MIN(ABS('Mail Merge'!$H773),ABS('Mail Merge'!$M773),'Mail Merge'!$Q773),0)</f>
        <v>0</v>
      </c>
      <c r="V773" s="201" t="str">
        <f>IF(OR(IFERROR(SEARCH("Met",'Mail Merge'!$N773),0)&gt;0,IFERROR(SEARCH("Met",'Mail Merge'!$I773),0)&gt;0),"Met","Not Met")</f>
        <v>Met</v>
      </c>
    </row>
    <row r="774" spans="1:22" x14ac:dyDescent="0.35">
      <c r="A774" s="198" t="s">
        <v>204</v>
      </c>
      <c r="B774" s="199">
        <v>2242</v>
      </c>
      <c r="C774" s="199" t="s">
        <v>31</v>
      </c>
      <c r="D774" s="199">
        <v>1297</v>
      </c>
      <c r="E774" s="199">
        <v>10121100.029999999</v>
      </c>
      <c r="F774" s="199">
        <v>1675359</v>
      </c>
      <c r="G774" s="199">
        <f>'Mail Merge'!$E774+'Mail Merge'!$F774</f>
        <v>11796459.029999999</v>
      </c>
      <c r="H774" s="199">
        <v>0</v>
      </c>
      <c r="I774" s="199" t="s">
        <v>241</v>
      </c>
      <c r="J774" s="199">
        <f>IFERROR('Mail Merge'!$E774/'Mail Merge'!$D774,0)</f>
        <v>7803.4695682343863</v>
      </c>
      <c r="K774" s="199">
        <f>IFERROR('Mail Merge'!$F774/'Mail Merge'!$D774,0)</f>
        <v>1291.7185813415574</v>
      </c>
      <c r="L774" s="199">
        <f>IFERROR('Mail Merge'!$G774/'Mail Merge'!$D774,0)</f>
        <v>9095.1881495759444</v>
      </c>
      <c r="M774" s="199">
        <v>0</v>
      </c>
      <c r="N774" s="199" t="s">
        <v>241</v>
      </c>
      <c r="O774" s="199">
        <v>1814970.77</v>
      </c>
      <c r="P774" s="199">
        <v>10608.84</v>
      </c>
      <c r="Q774" s="199">
        <f>'Mail Merge'!$O774+'Mail Merge'!$P774</f>
        <v>1825579.61</v>
      </c>
      <c r="R774" s="199"/>
      <c r="S774" s="199"/>
      <c r="T774" s="199"/>
      <c r="U774" s="199">
        <f>IF(AND('Mail Merge'!$I774="Did Not Meet",'Mail Merge'!$N774="Did Not Meet"),MIN(ABS('Mail Merge'!$H774),ABS('Mail Merge'!$M774),'Mail Merge'!$Q774),0)</f>
        <v>0</v>
      </c>
      <c r="V774" s="199" t="str">
        <f>IF(OR(IFERROR(SEARCH("Met",'Mail Merge'!$N774),0)&gt;0,IFERROR(SEARCH("Met",'Mail Merge'!$I774),0)&gt;0),"Met","Not Met")</f>
        <v>Met</v>
      </c>
    </row>
    <row r="775" spans="1:22" x14ac:dyDescent="0.35">
      <c r="A775" s="200" t="s">
        <v>205</v>
      </c>
      <c r="B775" s="201">
        <v>2197</v>
      </c>
      <c r="C775" s="201" t="s">
        <v>31</v>
      </c>
      <c r="D775" s="201">
        <v>232</v>
      </c>
      <c r="E775" s="201">
        <v>2527656.9</v>
      </c>
      <c r="F775" s="201">
        <v>180081</v>
      </c>
      <c r="G775" s="201">
        <f>'Mail Merge'!$E775+'Mail Merge'!$F775</f>
        <v>2707737.9</v>
      </c>
      <c r="H775" s="201">
        <v>0</v>
      </c>
      <c r="I775" s="201" t="s">
        <v>241</v>
      </c>
      <c r="J775" s="201">
        <f>IFERROR('Mail Merge'!$E775/'Mail Merge'!$D775,0)</f>
        <v>10895.072844827586</v>
      </c>
      <c r="K775" s="201">
        <f>IFERROR('Mail Merge'!$F775/'Mail Merge'!$D775,0)</f>
        <v>776.21120689655174</v>
      </c>
      <c r="L775" s="201">
        <f>IFERROR('Mail Merge'!$G775/'Mail Merge'!$D775,0)</f>
        <v>11671.284051724138</v>
      </c>
      <c r="M775" s="201">
        <v>0</v>
      </c>
      <c r="N775" s="201" t="s">
        <v>241</v>
      </c>
      <c r="O775" s="201">
        <v>333263.77</v>
      </c>
      <c r="P775" s="201">
        <v>2282.96</v>
      </c>
      <c r="Q775" s="201">
        <f>'Mail Merge'!$O775+'Mail Merge'!$P775</f>
        <v>335546.73000000004</v>
      </c>
      <c r="R775" s="201"/>
      <c r="S775" s="201"/>
      <c r="T775" s="201"/>
      <c r="U775" s="201">
        <f>IF(AND('Mail Merge'!$I775="Did Not Meet",'Mail Merge'!$N775="Did Not Meet"),MIN(ABS('Mail Merge'!$H775),ABS('Mail Merge'!$M775),'Mail Merge'!$Q775),0)</f>
        <v>0</v>
      </c>
      <c r="V775" s="201" t="str">
        <f>IF(OR(IFERROR(SEARCH("Met",'Mail Merge'!$N775),0)&gt;0,IFERROR(SEARCH("Met",'Mail Merge'!$I775),0)&gt;0),"Met","Not Met")</f>
        <v>Met</v>
      </c>
    </row>
    <row r="776" spans="1:22" x14ac:dyDescent="0.35">
      <c r="A776" s="198" t="s">
        <v>206</v>
      </c>
      <c r="B776" s="199">
        <v>2222</v>
      </c>
      <c r="C776" s="199" t="s">
        <v>31</v>
      </c>
      <c r="D776" s="199">
        <v>0</v>
      </c>
      <c r="E776" s="199">
        <v>0</v>
      </c>
      <c r="F776" s="199">
        <v>3700</v>
      </c>
      <c r="G776" s="199">
        <f>'Mail Merge'!$E776+'Mail Merge'!$F776</f>
        <v>3700</v>
      </c>
      <c r="H776" s="199">
        <v>0</v>
      </c>
      <c r="I776" s="199" t="s">
        <v>241</v>
      </c>
      <c r="J776" s="199">
        <f>IFERROR('Mail Merge'!$E776/'Mail Merge'!$D776,0)</f>
        <v>0</v>
      </c>
      <c r="K776" s="199">
        <f>IFERROR('Mail Merge'!$F776/'Mail Merge'!$D776,0)</f>
        <v>0</v>
      </c>
      <c r="L776" s="199">
        <f>IFERROR('Mail Merge'!$G776/'Mail Merge'!$D776,0)</f>
        <v>0</v>
      </c>
      <c r="M776" s="199">
        <v>0</v>
      </c>
      <c r="N776" s="199" t="s">
        <v>241</v>
      </c>
      <c r="O776" s="199">
        <v>2315.65</v>
      </c>
      <c r="P776" s="199">
        <v>0</v>
      </c>
      <c r="Q776" s="199">
        <f>'Mail Merge'!$O776+'Mail Merge'!$P776</f>
        <v>2315.65</v>
      </c>
      <c r="R776" s="199"/>
      <c r="S776" s="199"/>
      <c r="T776" s="199"/>
      <c r="U776" s="199">
        <f>IF(AND('Mail Merge'!$I776="Did Not Meet",'Mail Merge'!$N776="Did Not Meet"),MIN(ABS('Mail Merge'!$H776),ABS('Mail Merge'!$M776),'Mail Merge'!$Q776),0)</f>
        <v>0</v>
      </c>
      <c r="V776" s="199" t="str">
        <f>IF(OR(IFERROR(SEARCH("Met",'Mail Merge'!$N776),0)&gt;0,IFERROR(SEARCH("Met",'Mail Merge'!$I776),0)&gt;0),"Met","Not Met")</f>
        <v>Met</v>
      </c>
    </row>
    <row r="777" spans="1:22" x14ac:dyDescent="0.35">
      <c r="A777" s="200" t="s">
        <v>207</v>
      </c>
      <c r="B777" s="201">
        <v>2210</v>
      </c>
      <c r="C777" s="201" t="s">
        <v>31</v>
      </c>
      <c r="D777" s="201">
        <v>6</v>
      </c>
      <c r="E777" s="201">
        <v>3387.45</v>
      </c>
      <c r="F777" s="201">
        <v>9728.83</v>
      </c>
      <c r="G777" s="201">
        <f>'Mail Merge'!$E777+'Mail Merge'!$F777</f>
        <v>13116.279999999999</v>
      </c>
      <c r="H777" s="201">
        <v>0</v>
      </c>
      <c r="I777" s="201" t="s">
        <v>241</v>
      </c>
      <c r="J777" s="201">
        <f>IFERROR('Mail Merge'!$E777/'Mail Merge'!$D777,0)</f>
        <v>564.57499999999993</v>
      </c>
      <c r="K777" s="201">
        <f>IFERROR('Mail Merge'!$F777/'Mail Merge'!$D777,0)</f>
        <v>1621.4716666666666</v>
      </c>
      <c r="L777" s="201">
        <f>IFERROR('Mail Merge'!$G777/'Mail Merge'!$D777,0)</f>
        <v>2186.0466666666666</v>
      </c>
      <c r="M777" s="201">
        <v>0</v>
      </c>
      <c r="N777" s="201" t="s">
        <v>240</v>
      </c>
      <c r="O777" s="201">
        <v>6083.81</v>
      </c>
      <c r="P777" s="201">
        <v>0</v>
      </c>
      <c r="Q777" s="201">
        <f>'Mail Merge'!$O777+'Mail Merge'!$P777</f>
        <v>6083.81</v>
      </c>
      <c r="R777" s="201"/>
      <c r="S777" s="201"/>
      <c r="T777" s="201"/>
      <c r="U777" s="201">
        <f>IF(AND('Mail Merge'!$I777="Did Not Meet",'Mail Merge'!$N777="Did Not Meet"),MIN(ABS('Mail Merge'!$H777),ABS('Mail Merge'!$M777),'Mail Merge'!$Q777),0)</f>
        <v>0</v>
      </c>
      <c r="V777" s="201" t="str">
        <f>IF(OR(IFERROR(SEARCH("Met",'Mail Merge'!$N777),0)&gt;0,IFERROR(SEARCH("Met",'Mail Merge'!$I777),0)&gt;0),"Met","Not Met")</f>
        <v>Met</v>
      </c>
    </row>
    <row r="778" spans="1:22" x14ac:dyDescent="0.35">
      <c r="A778" s="198" t="s">
        <v>208</v>
      </c>
      <c r="B778" s="199">
        <v>2204</v>
      </c>
      <c r="C778" s="199" t="s">
        <v>31</v>
      </c>
      <c r="D778" s="199">
        <v>143</v>
      </c>
      <c r="E778" s="199">
        <v>1147565.3700000001</v>
      </c>
      <c r="F778" s="199">
        <v>229600.5</v>
      </c>
      <c r="G778" s="199">
        <f>'Mail Merge'!$E778+'Mail Merge'!$F778</f>
        <v>1377165.87</v>
      </c>
      <c r="H778" s="199">
        <v>0</v>
      </c>
      <c r="I778" s="199" t="s">
        <v>240</v>
      </c>
      <c r="J778" s="199">
        <f>IFERROR('Mail Merge'!$E778/'Mail Merge'!$D778,0)</f>
        <v>8024.9326573426579</v>
      </c>
      <c r="K778" s="199">
        <f>IFERROR('Mail Merge'!$F778/'Mail Merge'!$D778,0)</f>
        <v>1605.5979020979021</v>
      </c>
      <c r="L778" s="199">
        <f>IFERROR('Mail Merge'!$G778/'Mail Merge'!$D778,0)</f>
        <v>9630.53055944056</v>
      </c>
      <c r="M778" s="199">
        <v>0</v>
      </c>
      <c r="N778" s="199" t="s">
        <v>240</v>
      </c>
      <c r="O778" s="199">
        <v>188401.44</v>
      </c>
      <c r="P778" s="199">
        <v>840.54</v>
      </c>
      <c r="Q778" s="199">
        <f>'Mail Merge'!$O778+'Mail Merge'!$P778</f>
        <v>189241.98</v>
      </c>
      <c r="R778" s="199"/>
      <c r="S778" s="199"/>
      <c r="T778" s="199"/>
      <c r="U778" s="199">
        <f>IF(AND('Mail Merge'!$I778="Did Not Meet",'Mail Merge'!$N778="Did Not Meet"),MIN(ABS('Mail Merge'!$H778),ABS('Mail Merge'!$M778),'Mail Merge'!$Q778),0)</f>
        <v>0</v>
      </c>
      <c r="V778" s="199" t="str">
        <f>IF(OR(IFERROR(SEARCH("Met",'Mail Merge'!$N778),0)&gt;0,IFERROR(SEARCH("Met",'Mail Merge'!$I778),0)&gt;0),"Met","Not Met")</f>
        <v>Not Met</v>
      </c>
    </row>
    <row r="779" spans="1:22" x14ac:dyDescent="0.35">
      <c r="A779" s="200" t="s">
        <v>209</v>
      </c>
      <c r="B779" s="201">
        <v>2213</v>
      </c>
      <c r="C779" s="201" t="s">
        <v>31</v>
      </c>
      <c r="D779" s="201">
        <v>47</v>
      </c>
      <c r="E779" s="201">
        <v>330604.12</v>
      </c>
      <c r="F779" s="201">
        <v>126911</v>
      </c>
      <c r="G779" s="201">
        <f>'Mail Merge'!$E779+'Mail Merge'!$F779</f>
        <v>457515.12</v>
      </c>
      <c r="H779" s="201">
        <v>0</v>
      </c>
      <c r="I779" s="201" t="s">
        <v>241</v>
      </c>
      <c r="J779" s="201">
        <f>IFERROR('Mail Merge'!$E779/'Mail Merge'!$D779,0)</f>
        <v>7034.1302127659574</v>
      </c>
      <c r="K779" s="201">
        <f>IFERROR('Mail Merge'!$F779/'Mail Merge'!$D779,0)</f>
        <v>2700.2340425531916</v>
      </c>
      <c r="L779" s="201">
        <f>IFERROR('Mail Merge'!$G779/'Mail Merge'!$D779,0)</f>
        <v>9734.3642553191494</v>
      </c>
      <c r="M779" s="201">
        <v>0</v>
      </c>
      <c r="N779" s="201" t="s">
        <v>241</v>
      </c>
      <c r="O779" s="201">
        <v>61015.22</v>
      </c>
      <c r="P779" s="201">
        <v>93.39</v>
      </c>
      <c r="Q779" s="201">
        <f>'Mail Merge'!$O779+'Mail Merge'!$P779</f>
        <v>61108.61</v>
      </c>
      <c r="R779" s="201"/>
      <c r="S779" s="201"/>
      <c r="T779" s="201"/>
      <c r="U779" s="201">
        <f>IF(AND('Mail Merge'!$I779="Did Not Meet",'Mail Merge'!$N779="Did Not Meet"),MIN(ABS('Mail Merge'!$H779),ABS('Mail Merge'!$M779),'Mail Merge'!$Q779),0)</f>
        <v>0</v>
      </c>
      <c r="V779" s="201" t="str">
        <f>IF(OR(IFERROR(SEARCH("Met",'Mail Merge'!$N779),0)&gt;0,IFERROR(SEARCH("Met",'Mail Merge'!$I779),0)&gt;0),"Met","Not Met")</f>
        <v>Met</v>
      </c>
    </row>
    <row r="780" spans="1:22" x14ac:dyDescent="0.35">
      <c r="A780" s="198" t="s">
        <v>210</v>
      </c>
      <c r="B780" s="199">
        <v>2116</v>
      </c>
      <c r="C780" s="199" t="s">
        <v>31</v>
      </c>
      <c r="D780" s="199">
        <v>121</v>
      </c>
      <c r="E780" s="199">
        <v>668731.52</v>
      </c>
      <c r="F780" s="199">
        <v>272570.59000000003</v>
      </c>
      <c r="G780" s="199">
        <f>'Mail Merge'!$E780+'Mail Merge'!$F780</f>
        <v>941302.1100000001</v>
      </c>
      <c r="H780" s="199">
        <v>0</v>
      </c>
      <c r="I780" s="199" t="s">
        <v>241</v>
      </c>
      <c r="J780" s="199">
        <f>IFERROR('Mail Merge'!$E780/'Mail Merge'!$D780,0)</f>
        <v>5526.7067768595043</v>
      </c>
      <c r="K780" s="199">
        <f>IFERROR('Mail Merge'!$F780/'Mail Merge'!$D780,0)</f>
        <v>2252.6495041322314</v>
      </c>
      <c r="L780" s="199">
        <f>IFERROR('Mail Merge'!$G780/'Mail Merge'!$D780,0)</f>
        <v>7779.3562809917366</v>
      </c>
      <c r="M780" s="199">
        <v>0</v>
      </c>
      <c r="N780" s="199" t="s">
        <v>240</v>
      </c>
      <c r="O780" s="199">
        <v>143920.04999999999</v>
      </c>
      <c r="P780" s="199">
        <v>400.26</v>
      </c>
      <c r="Q780" s="199">
        <f>'Mail Merge'!$O780+'Mail Merge'!$P780</f>
        <v>144320.31</v>
      </c>
      <c r="R780" s="199"/>
      <c r="S780" s="199"/>
      <c r="T780" s="199"/>
      <c r="U780" s="199">
        <f>IF(AND('Mail Merge'!$I780="Did Not Meet",'Mail Merge'!$N780="Did Not Meet"),MIN(ABS('Mail Merge'!$H780),ABS('Mail Merge'!$M780),'Mail Merge'!$Q780),0)</f>
        <v>0</v>
      </c>
      <c r="V780" s="199" t="str">
        <f>IF(OR(IFERROR(SEARCH("Met",'Mail Merge'!$N780),0)&gt;0,IFERROR(SEARCH("Met",'Mail Merge'!$I780),0)&gt;0),"Met","Not Met")</f>
        <v>Met</v>
      </c>
    </row>
    <row r="781" spans="1:22" x14ac:dyDescent="0.35">
      <c r="A781" s="200" t="s">
        <v>211</v>
      </c>
      <c r="B781" s="201">
        <v>1947</v>
      </c>
      <c r="C781" s="201" t="s">
        <v>31</v>
      </c>
      <c r="D781" s="201">
        <v>98</v>
      </c>
      <c r="E781" s="201">
        <v>918571.88</v>
      </c>
      <c r="F781" s="201">
        <v>70850</v>
      </c>
      <c r="G781" s="201">
        <f>'Mail Merge'!$E781+'Mail Merge'!$F781</f>
        <v>989421.88</v>
      </c>
      <c r="H781" s="201">
        <v>0</v>
      </c>
      <c r="I781" s="201" t="s">
        <v>241</v>
      </c>
      <c r="J781" s="201">
        <f>IFERROR('Mail Merge'!$E781/'Mail Merge'!$D781,0)</f>
        <v>9373.1824489795927</v>
      </c>
      <c r="K781" s="201">
        <f>IFERROR('Mail Merge'!$F781/'Mail Merge'!$D781,0)</f>
        <v>722.9591836734694</v>
      </c>
      <c r="L781" s="201">
        <f>IFERROR('Mail Merge'!$G781/'Mail Merge'!$D781,0)</f>
        <v>10096.141632653062</v>
      </c>
      <c r="M781" s="201">
        <v>0</v>
      </c>
      <c r="N781" s="201" t="s">
        <v>240</v>
      </c>
      <c r="O781" s="201">
        <v>93204.47</v>
      </c>
      <c r="P781" s="201">
        <v>1027.3399999999999</v>
      </c>
      <c r="Q781" s="201">
        <f>'Mail Merge'!$O781+'Mail Merge'!$P781</f>
        <v>94231.81</v>
      </c>
      <c r="R781" s="201"/>
      <c r="S781" s="201"/>
      <c r="T781" s="201"/>
      <c r="U781" s="201">
        <f>IF(AND('Mail Merge'!$I781="Did Not Meet",'Mail Merge'!$N781="Did Not Meet"),MIN(ABS('Mail Merge'!$H781),ABS('Mail Merge'!$M781),'Mail Merge'!$Q781),0)</f>
        <v>0</v>
      </c>
      <c r="V781" s="201" t="str">
        <f>IF(OR(IFERROR(SEARCH("Met",'Mail Merge'!$N781),0)&gt;0,IFERROR(SEARCH("Met",'Mail Merge'!$I781),0)&gt;0),"Met","Not Met")</f>
        <v>Met</v>
      </c>
    </row>
    <row r="782" spans="1:22" x14ac:dyDescent="0.35">
      <c r="A782" s="198" t="s">
        <v>212</v>
      </c>
      <c r="B782" s="199">
        <v>2220</v>
      </c>
      <c r="C782" s="199" t="s">
        <v>31</v>
      </c>
      <c r="D782" s="199">
        <v>35</v>
      </c>
      <c r="E782" s="199">
        <v>81791.39</v>
      </c>
      <c r="F782" s="199">
        <v>172958.21</v>
      </c>
      <c r="G782" s="199">
        <f>'Mail Merge'!$E782+'Mail Merge'!$F782</f>
        <v>254749.59999999998</v>
      </c>
      <c r="H782" s="199">
        <v>0</v>
      </c>
      <c r="I782" s="199" t="s">
        <v>240</v>
      </c>
      <c r="J782" s="199">
        <f>IFERROR('Mail Merge'!$E782/'Mail Merge'!$D782,0)</f>
        <v>2336.8968571428572</v>
      </c>
      <c r="K782" s="199">
        <f>IFERROR('Mail Merge'!$F782/'Mail Merge'!$D782,0)</f>
        <v>4941.6631428571427</v>
      </c>
      <c r="L782" s="199">
        <f>IFERROR('Mail Merge'!$G782/'Mail Merge'!$D782,0)</f>
        <v>7278.5599999999995</v>
      </c>
      <c r="M782" s="199">
        <v>0</v>
      </c>
      <c r="N782" s="199" t="s">
        <v>240</v>
      </c>
      <c r="O782" s="199">
        <v>56027.16</v>
      </c>
      <c r="P782" s="199">
        <v>933.94</v>
      </c>
      <c r="Q782" s="199">
        <f>'Mail Merge'!$O782+'Mail Merge'!$P782</f>
        <v>56961.100000000006</v>
      </c>
      <c r="R782" s="199"/>
      <c r="S782" s="199"/>
      <c r="T782" s="199"/>
      <c r="U782" s="199">
        <f>IF(AND('Mail Merge'!$I782="Did Not Meet",'Mail Merge'!$N782="Did Not Meet"),MIN(ABS('Mail Merge'!$H782),ABS('Mail Merge'!$M782),'Mail Merge'!$Q782),0)</f>
        <v>0</v>
      </c>
      <c r="V782" s="199" t="str">
        <f>IF(OR(IFERROR(SEARCH("Met",'Mail Merge'!$N782),0)&gt;0,IFERROR(SEARCH("Met",'Mail Merge'!$I782),0)&gt;0),"Met","Not Met")</f>
        <v>Not Met</v>
      </c>
    </row>
    <row r="783" spans="1:22" x14ac:dyDescent="0.35">
      <c r="A783" s="200" t="s">
        <v>213</v>
      </c>
      <c r="B783" s="201">
        <v>1936</v>
      </c>
      <c r="C783" s="201" t="s">
        <v>31</v>
      </c>
      <c r="D783" s="201">
        <v>166</v>
      </c>
      <c r="E783" s="201">
        <v>1302533.24</v>
      </c>
      <c r="F783" s="201">
        <v>219158</v>
      </c>
      <c r="G783" s="201">
        <f>'Mail Merge'!$E783+'Mail Merge'!$F783</f>
        <v>1521691.24</v>
      </c>
      <c r="H783" s="201">
        <v>0</v>
      </c>
      <c r="I783" s="201" t="s">
        <v>241</v>
      </c>
      <c r="J783" s="201">
        <f>IFERROR('Mail Merge'!$E783/'Mail Merge'!$D783,0)</f>
        <v>7846.5857831325302</v>
      </c>
      <c r="K783" s="201">
        <f>IFERROR('Mail Merge'!$F783/'Mail Merge'!$D783,0)</f>
        <v>1320.2289156626507</v>
      </c>
      <c r="L783" s="201">
        <f>IFERROR('Mail Merge'!$G783/'Mail Merge'!$D783,0)</f>
        <v>9166.8146987951804</v>
      </c>
      <c r="M783" s="201">
        <v>0</v>
      </c>
      <c r="N783" s="201" t="s">
        <v>240</v>
      </c>
      <c r="O783" s="201">
        <v>135582.07999999999</v>
      </c>
      <c r="P783" s="201">
        <v>1167.43</v>
      </c>
      <c r="Q783" s="201">
        <f>'Mail Merge'!$O783+'Mail Merge'!$P783</f>
        <v>136749.50999999998</v>
      </c>
      <c r="R783" s="201"/>
      <c r="S783" s="201"/>
      <c r="T783" s="201"/>
      <c r="U783" s="201">
        <f>IF(AND('Mail Merge'!$I783="Did Not Meet",'Mail Merge'!$N783="Did Not Meet"),MIN(ABS('Mail Merge'!$H783),ABS('Mail Merge'!$M783),'Mail Merge'!$Q783),0)</f>
        <v>0</v>
      </c>
      <c r="V783" s="201" t="str">
        <f>IF(OR(IFERROR(SEARCH("Met",'Mail Merge'!$N783),0)&gt;0,IFERROR(SEARCH("Met",'Mail Merge'!$I783),0)&gt;0),"Met","Not Met")</f>
        <v>Met</v>
      </c>
    </row>
    <row r="784" spans="1:22" x14ac:dyDescent="0.35">
      <c r="A784" s="198" t="s">
        <v>214</v>
      </c>
      <c r="B784" s="199">
        <v>1922</v>
      </c>
      <c r="C784" s="199" t="s">
        <v>31</v>
      </c>
      <c r="D784" s="199">
        <v>907</v>
      </c>
      <c r="E784" s="199">
        <v>6965082.1200000001</v>
      </c>
      <c r="F784" s="199">
        <v>448974</v>
      </c>
      <c r="G784" s="199">
        <f>'Mail Merge'!$E784+'Mail Merge'!$F784</f>
        <v>7414056.1200000001</v>
      </c>
      <c r="H784" s="199">
        <v>0</v>
      </c>
      <c r="I784" s="199" t="s">
        <v>241</v>
      </c>
      <c r="J784" s="199">
        <f>IFERROR('Mail Merge'!$E784/'Mail Merge'!$D784,0)</f>
        <v>7679.2526130099232</v>
      </c>
      <c r="K784" s="199">
        <f>IFERROR('Mail Merge'!$F784/'Mail Merge'!$D784,0)</f>
        <v>495.00992282249172</v>
      </c>
      <c r="L784" s="199">
        <f>IFERROR('Mail Merge'!$G784/'Mail Merge'!$D784,0)</f>
        <v>8174.2625358324149</v>
      </c>
      <c r="M784" s="199">
        <v>0</v>
      </c>
      <c r="N784" s="199" t="s">
        <v>241</v>
      </c>
      <c r="O784" s="199">
        <v>1167497.96</v>
      </c>
      <c r="P784" s="199">
        <v>6472.86</v>
      </c>
      <c r="Q784" s="199">
        <f>'Mail Merge'!$O784+'Mail Merge'!$P784</f>
        <v>1173970.82</v>
      </c>
      <c r="R784" s="199"/>
      <c r="S784" s="199"/>
      <c r="T784" s="199"/>
      <c r="U784" s="199">
        <f>IF(AND('Mail Merge'!$I784="Did Not Meet",'Mail Merge'!$N784="Did Not Meet"),MIN(ABS('Mail Merge'!$H784),ABS('Mail Merge'!$M784),'Mail Merge'!$Q784),0)</f>
        <v>0</v>
      </c>
      <c r="V784" s="199" t="str">
        <f>IF(OR(IFERROR(SEARCH("Met",'Mail Merge'!$N784),0)&gt;0,IFERROR(SEARCH("Met",'Mail Merge'!$I784),0)&gt;0),"Met","Not Met")</f>
        <v>Met</v>
      </c>
    </row>
    <row r="785" spans="1:22" x14ac:dyDescent="0.35">
      <c r="A785" s="200" t="s">
        <v>215</v>
      </c>
      <c r="B785" s="201">
        <v>2255</v>
      </c>
      <c r="C785" s="201" t="s">
        <v>31</v>
      </c>
      <c r="D785" s="201">
        <v>114</v>
      </c>
      <c r="E785" s="201">
        <v>819083.01</v>
      </c>
      <c r="F785" s="201">
        <v>200969.36</v>
      </c>
      <c r="G785" s="201">
        <f>'Mail Merge'!$E785+'Mail Merge'!$F785</f>
        <v>1020052.37</v>
      </c>
      <c r="H785" s="201">
        <v>0</v>
      </c>
      <c r="I785" s="201" t="s">
        <v>240</v>
      </c>
      <c r="J785" s="201">
        <f>IFERROR('Mail Merge'!$E785/'Mail Merge'!$D785,0)</f>
        <v>7184.9386842105268</v>
      </c>
      <c r="K785" s="201">
        <f>IFERROR('Mail Merge'!$F785/'Mail Merge'!$D785,0)</f>
        <v>1762.8891228070174</v>
      </c>
      <c r="L785" s="201">
        <f>IFERROR('Mail Merge'!$G785/'Mail Merge'!$D785,0)</f>
        <v>8947.8278070175438</v>
      </c>
      <c r="M785" s="201">
        <v>0</v>
      </c>
      <c r="N785" s="201" t="s">
        <v>240</v>
      </c>
      <c r="O785" s="201">
        <v>172183.96</v>
      </c>
      <c r="P785" s="201">
        <v>2381.5500000000002</v>
      </c>
      <c r="Q785" s="201">
        <f>'Mail Merge'!$O785+'Mail Merge'!$P785</f>
        <v>174565.50999999998</v>
      </c>
      <c r="R785" s="201"/>
      <c r="S785" s="201"/>
      <c r="T785" s="201"/>
      <c r="U785" s="201">
        <f>IF(AND('Mail Merge'!$I785="Did Not Meet",'Mail Merge'!$N785="Did Not Meet"),MIN(ABS('Mail Merge'!$H785),ABS('Mail Merge'!$M785),'Mail Merge'!$Q785),0)</f>
        <v>0</v>
      </c>
      <c r="V785" s="201" t="str">
        <f>IF(OR(IFERROR(SEARCH("Met",'Mail Merge'!$N785),0)&gt;0,IFERROR(SEARCH("Met",'Mail Merge'!$I785),0)&gt;0),"Met","Not Met")</f>
        <v>Not Met</v>
      </c>
    </row>
    <row r="786" spans="1:22" x14ac:dyDescent="0.35">
      <c r="A786" s="198" t="s">
        <v>216</v>
      </c>
      <c r="B786" s="199">
        <v>2002</v>
      </c>
      <c r="C786" s="199" t="s">
        <v>31</v>
      </c>
      <c r="D786" s="199">
        <v>203</v>
      </c>
      <c r="E786" s="199">
        <v>1527958.1</v>
      </c>
      <c r="F786" s="199">
        <v>248018.37</v>
      </c>
      <c r="G786" s="199">
        <f>'Mail Merge'!$E786+'Mail Merge'!$F786</f>
        <v>1775976.4700000002</v>
      </c>
      <c r="H786" s="199">
        <v>0</v>
      </c>
      <c r="I786" s="199" t="s">
        <v>241</v>
      </c>
      <c r="J786" s="199">
        <f>IFERROR('Mail Merge'!$E786/'Mail Merge'!$D786,0)</f>
        <v>7526.8871921182272</v>
      </c>
      <c r="K786" s="199">
        <f>IFERROR('Mail Merge'!$F786/'Mail Merge'!$D786,0)</f>
        <v>1221.7653694581281</v>
      </c>
      <c r="L786" s="199">
        <f>IFERROR('Mail Merge'!$G786/'Mail Merge'!$D786,0)</f>
        <v>8748.6525615763549</v>
      </c>
      <c r="M786" s="199">
        <v>0</v>
      </c>
      <c r="N786" s="199" t="s">
        <v>240</v>
      </c>
      <c r="O786" s="199">
        <v>262660.96999999997</v>
      </c>
      <c r="P786" s="199">
        <v>5603.65</v>
      </c>
      <c r="Q786" s="199">
        <f>'Mail Merge'!$O786+'Mail Merge'!$P786</f>
        <v>268264.62</v>
      </c>
      <c r="R786" s="199"/>
      <c r="S786" s="199"/>
      <c r="T786" s="199"/>
      <c r="U786" s="199">
        <f>IF(AND('Mail Merge'!$I786="Did Not Meet",'Mail Merge'!$N786="Did Not Meet"),MIN(ABS('Mail Merge'!$H786),ABS('Mail Merge'!$M786),'Mail Merge'!$Q786),0)</f>
        <v>0</v>
      </c>
      <c r="V786" s="199" t="str">
        <f>IF(OR(IFERROR(SEARCH("Met",'Mail Merge'!$N786),0)&gt;0,IFERROR(SEARCH("Met",'Mail Merge'!$I786),0)&gt;0),"Met","Not Met")</f>
        <v>Met</v>
      </c>
    </row>
    <row r="787" spans="1:22" x14ac:dyDescent="0.35">
      <c r="A787" s="200" t="s">
        <v>217</v>
      </c>
      <c r="B787" s="201">
        <v>2146</v>
      </c>
      <c r="C787" s="201" t="s">
        <v>31</v>
      </c>
      <c r="D787" s="201">
        <v>683</v>
      </c>
      <c r="E787" s="201">
        <v>5555988.9900000002</v>
      </c>
      <c r="F787" s="201">
        <v>363046.13</v>
      </c>
      <c r="G787" s="201">
        <f>'Mail Merge'!$E787+'Mail Merge'!$F787</f>
        <v>5919035.1200000001</v>
      </c>
      <c r="H787" s="201">
        <v>0</v>
      </c>
      <c r="I787" s="201" t="s">
        <v>241</v>
      </c>
      <c r="J787" s="201">
        <f>IFERROR('Mail Merge'!$E787/'Mail Merge'!$D787,0)</f>
        <v>8134.6837335285509</v>
      </c>
      <c r="K787" s="201">
        <f>IFERROR('Mail Merge'!$F787/'Mail Merge'!$D787,0)</f>
        <v>531.54631039531478</v>
      </c>
      <c r="L787" s="201">
        <f>IFERROR('Mail Merge'!$G787/'Mail Merge'!$D787,0)</f>
        <v>8666.2300439238661</v>
      </c>
      <c r="M787" s="201">
        <v>0</v>
      </c>
      <c r="N787" s="201" t="s">
        <v>241</v>
      </c>
      <c r="O787" s="201">
        <v>691607.97</v>
      </c>
      <c r="P787" s="201">
        <v>3672.29</v>
      </c>
      <c r="Q787" s="201">
        <f>'Mail Merge'!$O787+'Mail Merge'!$P787</f>
        <v>695280.26</v>
      </c>
      <c r="R787" s="201"/>
      <c r="S787" s="201"/>
      <c r="T787" s="201"/>
      <c r="U787" s="201">
        <f>IF(AND('Mail Merge'!$I787="Did Not Meet",'Mail Merge'!$N787="Did Not Meet"),MIN(ABS('Mail Merge'!$H787),ABS('Mail Merge'!$M787),'Mail Merge'!$Q787),0)</f>
        <v>0</v>
      </c>
      <c r="V787" s="201" t="str">
        <f>IF(OR(IFERROR(SEARCH("Met",'Mail Merge'!$N787),0)&gt;0,IFERROR(SEARCH("Met",'Mail Merge'!$I787),0)&gt;0),"Met","Not Met")</f>
        <v>Met</v>
      </c>
    </row>
    <row r="788" spans="1:22" x14ac:dyDescent="0.35">
      <c r="A788" s="198" t="s">
        <v>218</v>
      </c>
      <c r="B788" s="199">
        <v>2251</v>
      </c>
      <c r="C788" s="199" t="s">
        <v>31</v>
      </c>
      <c r="D788" s="199">
        <v>179</v>
      </c>
      <c r="E788" s="199">
        <v>1198172.06</v>
      </c>
      <c r="F788" s="199">
        <v>54192.19</v>
      </c>
      <c r="G788" s="199">
        <f>'Mail Merge'!$E788+'Mail Merge'!$F788</f>
        <v>1252364.25</v>
      </c>
      <c r="H788" s="199">
        <v>0</v>
      </c>
      <c r="I788" s="199" t="s">
        <v>241</v>
      </c>
      <c r="J788" s="199">
        <f>IFERROR('Mail Merge'!$E788/'Mail Merge'!$D788,0)</f>
        <v>6693.6986592178773</v>
      </c>
      <c r="K788" s="199">
        <f>IFERROR('Mail Merge'!$F788/'Mail Merge'!$D788,0)</f>
        <v>302.74966480446926</v>
      </c>
      <c r="L788" s="199">
        <f>IFERROR('Mail Merge'!$G788/'Mail Merge'!$D788,0)</f>
        <v>6996.4483240223462</v>
      </c>
      <c r="M788" s="199">
        <v>0</v>
      </c>
      <c r="N788" s="199" t="s">
        <v>241</v>
      </c>
      <c r="O788" s="199">
        <v>197461.14</v>
      </c>
      <c r="P788" s="199">
        <v>1400.91</v>
      </c>
      <c r="Q788" s="199">
        <f>'Mail Merge'!$O788+'Mail Merge'!$P788</f>
        <v>198862.05000000002</v>
      </c>
      <c r="R788" s="199"/>
      <c r="S788" s="199"/>
      <c r="T788" s="199"/>
      <c r="U788" s="199">
        <f>IF(AND('Mail Merge'!$I788="Did Not Meet",'Mail Merge'!$N788="Did Not Meet"),MIN(ABS('Mail Merge'!$H788),ABS('Mail Merge'!$M788),'Mail Merge'!$Q788),0)</f>
        <v>0</v>
      </c>
      <c r="V788" s="199" t="str">
        <f>IF(OR(IFERROR(SEARCH("Met",'Mail Merge'!$N788),0)&gt;0,IFERROR(SEARCH("Met",'Mail Merge'!$I788),0)&gt;0),"Met","Not Met")</f>
        <v>Met</v>
      </c>
    </row>
    <row r="789" spans="1:22" x14ac:dyDescent="0.35">
      <c r="A789" s="200" t="s">
        <v>219</v>
      </c>
      <c r="B789" s="201">
        <v>1997</v>
      </c>
      <c r="C789" s="201" t="s">
        <v>31</v>
      </c>
      <c r="D789" s="201">
        <v>38</v>
      </c>
      <c r="E789" s="201">
        <v>226197.46</v>
      </c>
      <c r="F789" s="201">
        <v>41188.68</v>
      </c>
      <c r="G789" s="201">
        <f>'Mail Merge'!$E789+'Mail Merge'!$F789</f>
        <v>267386.14</v>
      </c>
      <c r="H789" s="201">
        <v>0</v>
      </c>
      <c r="I789" s="201" t="s">
        <v>241</v>
      </c>
      <c r="J789" s="201">
        <f>IFERROR('Mail Merge'!$E789/'Mail Merge'!$D789,0)</f>
        <v>5952.564736842105</v>
      </c>
      <c r="K789" s="201">
        <f>IFERROR('Mail Merge'!$F789/'Mail Merge'!$D789,0)</f>
        <v>1083.9126315789474</v>
      </c>
      <c r="L789" s="201">
        <f>IFERROR('Mail Merge'!$G789/'Mail Merge'!$D789,0)</f>
        <v>7036.4773684210531</v>
      </c>
      <c r="M789" s="201">
        <v>0</v>
      </c>
      <c r="N789" s="201" t="s">
        <v>241</v>
      </c>
      <c r="O789" s="201">
        <v>63623.69</v>
      </c>
      <c r="P789" s="201">
        <v>933.94</v>
      </c>
      <c r="Q789" s="201">
        <f>'Mail Merge'!$O789+'Mail Merge'!$P789</f>
        <v>64557.630000000005</v>
      </c>
      <c r="R789" s="201"/>
      <c r="S789" s="201"/>
      <c r="T789" s="201"/>
      <c r="U789" s="201">
        <f>IF(AND('Mail Merge'!$I789="Did Not Meet",'Mail Merge'!$N789="Did Not Meet"),MIN(ABS('Mail Merge'!$H789),ABS('Mail Merge'!$M789),'Mail Merge'!$Q789),0)</f>
        <v>0</v>
      </c>
      <c r="V789" s="201" t="str">
        <f>IF(OR(IFERROR(SEARCH("Met",'Mail Merge'!$N789),0)&gt;0,IFERROR(SEARCH("Met",'Mail Merge'!$I789),0)&gt;0),"Met","Not Met")</f>
        <v>Met</v>
      </c>
    </row>
    <row r="790" spans="1:22" x14ac:dyDescent="0.35">
      <c r="A790" s="198" t="s">
        <v>14</v>
      </c>
      <c r="B790" s="199">
        <v>2063</v>
      </c>
      <c r="C790" s="199" t="s">
        <v>19</v>
      </c>
      <c r="D790" s="199">
        <v>4</v>
      </c>
      <c r="E790" s="199">
        <v>4269.03</v>
      </c>
      <c r="F790" s="199">
        <v>17928.07</v>
      </c>
      <c r="G790" s="199">
        <f>'Mail Merge'!$E790+'Mail Merge'!$F790</f>
        <v>22197.1</v>
      </c>
      <c r="H790" s="199">
        <v>0</v>
      </c>
      <c r="I790" s="199" t="s">
        <v>239</v>
      </c>
      <c r="J790" s="199">
        <f>IFERROR('Mail Merge'!$E790/'Mail Merge'!$D790,0)</f>
        <v>1067.2574999999999</v>
      </c>
      <c r="K790" s="199">
        <f>IFERROR('Mail Merge'!$F790/'Mail Merge'!$D790,0)</f>
        <v>4482.0174999999999</v>
      </c>
      <c r="L790" s="199">
        <f>IFERROR('Mail Merge'!$G790/'Mail Merge'!$D790,0)</f>
        <v>5549.2749999999996</v>
      </c>
      <c r="M790" s="199">
        <v>0</v>
      </c>
      <c r="N790" s="199" t="s">
        <v>239</v>
      </c>
      <c r="O790" s="199">
        <v>3219.77</v>
      </c>
      <c r="P790" s="199">
        <v>459.01</v>
      </c>
      <c r="Q790" s="199">
        <f>'Mail Merge'!$O790+'Mail Merge'!$P790</f>
        <v>3678.7799999999997</v>
      </c>
      <c r="R790" s="199"/>
      <c r="S790" s="199"/>
      <c r="T790" s="199"/>
      <c r="U790" s="199">
        <f>IF(AND('Mail Merge'!$I790="Did Not Meet",'Mail Merge'!$N790="Did Not Meet"),MIN(ABS('Mail Merge'!$H790),ABS('Mail Merge'!$M790),'Mail Merge'!$Q790),0)</f>
        <v>0</v>
      </c>
      <c r="V790" s="199" t="str">
        <f>IF(OR(IFERROR(SEARCH("Met",'Mail Merge'!$N790),0)&gt;0,IFERROR(SEARCH("Met",'Mail Merge'!$I790),0)&gt;0),"Met","Not Met")</f>
        <v>Met</v>
      </c>
    </row>
    <row r="791" spans="1:22" x14ac:dyDescent="0.35">
      <c r="A791" s="200" t="s">
        <v>17</v>
      </c>
      <c r="B791" s="201">
        <v>2113</v>
      </c>
      <c r="C791" s="201" t="s">
        <v>19</v>
      </c>
      <c r="D791" s="201">
        <v>29</v>
      </c>
      <c r="E791" s="201">
        <v>217378.64</v>
      </c>
      <c r="F791" s="201">
        <v>80846.42</v>
      </c>
      <c r="G791" s="201">
        <f>'Mail Merge'!$E791+'Mail Merge'!$F791</f>
        <v>298225.06</v>
      </c>
      <c r="H791" s="201">
        <v>0</v>
      </c>
      <c r="I791" s="201" t="s">
        <v>239</v>
      </c>
      <c r="J791" s="201">
        <f>IFERROR('Mail Merge'!$E791/'Mail Merge'!$D791,0)</f>
        <v>7495.8151724137933</v>
      </c>
      <c r="K791" s="201">
        <f>IFERROR('Mail Merge'!$F791/'Mail Merge'!$D791,0)</f>
        <v>2787.8075862068963</v>
      </c>
      <c r="L791" s="201">
        <f>IFERROR('Mail Merge'!$G791/'Mail Merge'!$D791,0)</f>
        <v>10283.62275862069</v>
      </c>
      <c r="M791" s="201">
        <v>0</v>
      </c>
      <c r="N791" s="201" t="s">
        <v>239</v>
      </c>
      <c r="O791" s="201">
        <v>48330.16</v>
      </c>
      <c r="P791" s="201">
        <v>0</v>
      </c>
      <c r="Q791" s="201">
        <f>'Mail Merge'!$O791+'Mail Merge'!$P791</f>
        <v>48330.16</v>
      </c>
      <c r="R791" s="201"/>
      <c r="S791" s="201"/>
      <c r="T791" s="201"/>
      <c r="U791" s="201">
        <f>IF(AND('Mail Merge'!$I791="Did Not Meet",'Mail Merge'!$N791="Did Not Meet"),MIN(ABS('Mail Merge'!$H791),ABS('Mail Merge'!$M791),'Mail Merge'!$Q791),0)</f>
        <v>0</v>
      </c>
      <c r="V791" s="201" t="str">
        <f>IF(OR(IFERROR(SEARCH("Met",'Mail Merge'!$N791),0)&gt;0,IFERROR(SEARCH("Met",'Mail Merge'!$I791),0)&gt;0),"Met","Not Met")</f>
        <v>Met</v>
      </c>
    </row>
    <row r="792" spans="1:22" x14ac:dyDescent="0.35">
      <c r="A792" s="198" t="s">
        <v>20</v>
      </c>
      <c r="B792" s="199">
        <v>1899</v>
      </c>
      <c r="C792" s="199" t="s">
        <v>19</v>
      </c>
      <c r="D792" s="199">
        <v>23</v>
      </c>
      <c r="E792" s="199">
        <v>265895.59000000003</v>
      </c>
      <c r="F792" s="199">
        <v>17584</v>
      </c>
      <c r="G792" s="199">
        <f>'Mail Merge'!$E792+'Mail Merge'!$F792</f>
        <v>283479.59000000003</v>
      </c>
      <c r="H792" s="199">
        <v>0</v>
      </c>
      <c r="I792" s="199" t="s">
        <v>239</v>
      </c>
      <c r="J792" s="199">
        <f>IFERROR('Mail Merge'!$E792/'Mail Merge'!$D792,0)</f>
        <v>11560.677826086958</v>
      </c>
      <c r="K792" s="199">
        <f>IFERROR('Mail Merge'!$F792/'Mail Merge'!$D792,0)</f>
        <v>764.52173913043475</v>
      </c>
      <c r="L792" s="199">
        <f>IFERROR('Mail Merge'!$G792/'Mail Merge'!$D792,0)</f>
        <v>12325.199565217392</v>
      </c>
      <c r="M792" s="199">
        <v>0</v>
      </c>
      <c r="N792" s="199" t="s">
        <v>239</v>
      </c>
      <c r="O792" s="199">
        <v>29744.99</v>
      </c>
      <c r="P792" s="199">
        <v>1377.04</v>
      </c>
      <c r="Q792" s="199">
        <f>'Mail Merge'!$O792+'Mail Merge'!$P792</f>
        <v>31122.030000000002</v>
      </c>
      <c r="R792" s="199"/>
      <c r="S792" s="199"/>
      <c r="T792" s="199"/>
      <c r="U792" s="199">
        <f>IF(AND('Mail Merge'!$I792="Did Not Meet",'Mail Merge'!$N792="Did Not Meet"),MIN(ABS('Mail Merge'!$H792),ABS('Mail Merge'!$M792),'Mail Merge'!$Q792),0)</f>
        <v>0</v>
      </c>
      <c r="V792" s="199" t="str">
        <f>IF(OR(IFERROR(SEARCH("Met",'Mail Merge'!$N792),0)&gt;0,IFERROR(SEARCH("Met",'Mail Merge'!$I792),0)&gt;0),"Met","Not Met")</f>
        <v>Met</v>
      </c>
    </row>
    <row r="793" spans="1:22" x14ac:dyDescent="0.35">
      <c r="A793" s="200" t="s">
        <v>21</v>
      </c>
      <c r="B793" s="201">
        <v>2252</v>
      </c>
      <c r="C793" s="201" t="s">
        <v>19</v>
      </c>
      <c r="D793" s="201">
        <v>111</v>
      </c>
      <c r="E793" s="201">
        <v>700520.6</v>
      </c>
      <c r="F793" s="201">
        <v>85244.25</v>
      </c>
      <c r="G793" s="201">
        <f>'Mail Merge'!$E793+'Mail Merge'!$F793</f>
        <v>785764.85</v>
      </c>
      <c r="H793" s="201">
        <v>0</v>
      </c>
      <c r="I793" s="201" t="s">
        <v>241</v>
      </c>
      <c r="J793" s="201">
        <f>IFERROR('Mail Merge'!$E793/'Mail Merge'!$D793,0)</f>
        <v>6310.9963963963964</v>
      </c>
      <c r="K793" s="201">
        <f>IFERROR('Mail Merge'!$F793/'Mail Merge'!$D793,0)</f>
        <v>767.96621621621625</v>
      </c>
      <c r="L793" s="201">
        <f>IFERROR('Mail Merge'!$G793/'Mail Merge'!$D793,0)</f>
        <v>7078.9626126126122</v>
      </c>
      <c r="M793" s="201">
        <v>0</v>
      </c>
      <c r="N793" s="201" t="s">
        <v>240</v>
      </c>
      <c r="O793" s="201">
        <v>151369.67000000001</v>
      </c>
      <c r="P793" s="201">
        <v>3672.11</v>
      </c>
      <c r="Q793" s="201">
        <f>'Mail Merge'!$O793+'Mail Merge'!$P793</f>
        <v>155041.78</v>
      </c>
      <c r="R793" s="201"/>
      <c r="S793" s="201"/>
      <c r="T793" s="201"/>
      <c r="U793" s="201">
        <f>IF(AND('Mail Merge'!$I793="Did Not Meet",'Mail Merge'!$N793="Did Not Meet"),MIN(ABS('Mail Merge'!$H793),ABS('Mail Merge'!$M793),'Mail Merge'!$Q793),0)</f>
        <v>0</v>
      </c>
      <c r="V793" s="201" t="str">
        <f>IF(OR(IFERROR(SEARCH("Met",'Mail Merge'!$N793),0)&gt;0,IFERROR(SEARCH("Met",'Mail Merge'!$I793),0)&gt;0),"Met","Not Met")</f>
        <v>Met</v>
      </c>
    </row>
    <row r="794" spans="1:22" x14ac:dyDescent="0.35">
      <c r="A794" s="198" t="s">
        <v>23</v>
      </c>
      <c r="B794" s="199">
        <v>2111</v>
      </c>
      <c r="C794" s="199" t="s">
        <v>19</v>
      </c>
      <c r="D794" s="199">
        <v>9</v>
      </c>
      <c r="E794" s="199">
        <v>10845.3</v>
      </c>
      <c r="F794" s="199">
        <v>22665.11</v>
      </c>
      <c r="G794" s="199">
        <f>'Mail Merge'!$E794+'Mail Merge'!$F794</f>
        <v>33510.410000000003</v>
      </c>
      <c r="H794" s="199">
        <v>0</v>
      </c>
      <c r="I794" s="199" t="s">
        <v>239</v>
      </c>
      <c r="J794" s="199">
        <f>IFERROR('Mail Merge'!$E794/'Mail Merge'!$D794,0)</f>
        <v>1205.0333333333333</v>
      </c>
      <c r="K794" s="199">
        <f>IFERROR('Mail Merge'!$F794/'Mail Merge'!$D794,0)</f>
        <v>2518.3455555555556</v>
      </c>
      <c r="L794" s="199">
        <f>IFERROR('Mail Merge'!$G794/'Mail Merge'!$D794,0)</f>
        <v>3723.3788888888894</v>
      </c>
      <c r="M794" s="199">
        <v>0</v>
      </c>
      <c r="N794" s="199" t="s">
        <v>239</v>
      </c>
      <c r="O794" s="199">
        <v>19204.16</v>
      </c>
      <c r="P794" s="199">
        <v>0</v>
      </c>
      <c r="Q794" s="199">
        <f>'Mail Merge'!$O794+'Mail Merge'!$P794</f>
        <v>19204.16</v>
      </c>
      <c r="R794" s="199"/>
      <c r="S794" s="199"/>
      <c r="T794" s="199"/>
      <c r="U794" s="199">
        <f>IF(AND('Mail Merge'!$I794="Did Not Meet",'Mail Merge'!$N794="Did Not Meet"),MIN(ABS('Mail Merge'!$H794),ABS('Mail Merge'!$M794),'Mail Merge'!$Q794),0)</f>
        <v>0</v>
      </c>
      <c r="V794" s="199" t="str">
        <f>IF(OR(IFERROR(SEARCH("Met",'Mail Merge'!$N794),0)&gt;0,IFERROR(SEARCH("Met",'Mail Merge'!$I794),0)&gt;0),"Met","Not Met")</f>
        <v>Met</v>
      </c>
    </row>
    <row r="795" spans="1:22" x14ac:dyDescent="0.35">
      <c r="A795" s="200" t="s">
        <v>24</v>
      </c>
      <c r="B795" s="201">
        <v>2005</v>
      </c>
      <c r="C795" s="201" t="s">
        <v>19</v>
      </c>
      <c r="D795" s="201">
        <v>18</v>
      </c>
      <c r="E795" s="201">
        <v>41280.379999999997</v>
      </c>
      <c r="F795" s="201">
        <v>113660</v>
      </c>
      <c r="G795" s="201">
        <f>'Mail Merge'!$E795+'Mail Merge'!$F795</f>
        <v>154940.38</v>
      </c>
      <c r="H795" s="201">
        <v>0</v>
      </c>
      <c r="I795" s="201" t="s">
        <v>239</v>
      </c>
      <c r="J795" s="201">
        <f>IFERROR('Mail Merge'!$E795/'Mail Merge'!$D795,0)</f>
        <v>2293.3544444444442</v>
      </c>
      <c r="K795" s="201">
        <f>IFERROR('Mail Merge'!$F795/'Mail Merge'!$D795,0)</f>
        <v>6314.4444444444443</v>
      </c>
      <c r="L795" s="201">
        <f>IFERROR('Mail Merge'!$G795/'Mail Merge'!$D795,0)</f>
        <v>8607.7988888888885</v>
      </c>
      <c r="M795" s="201">
        <v>0</v>
      </c>
      <c r="N795" s="201" t="s">
        <v>239</v>
      </c>
      <c r="O795" s="201">
        <v>25562.61</v>
      </c>
      <c r="P795" s="201">
        <v>0</v>
      </c>
      <c r="Q795" s="201">
        <f>'Mail Merge'!$O795+'Mail Merge'!$P795</f>
        <v>25562.61</v>
      </c>
      <c r="R795" s="201"/>
      <c r="S795" s="201"/>
      <c r="T795" s="201"/>
      <c r="U795" s="201">
        <f>IF(AND('Mail Merge'!$I795="Did Not Meet",'Mail Merge'!$N795="Did Not Meet"),MIN(ABS('Mail Merge'!$H795),ABS('Mail Merge'!$M795),'Mail Merge'!$Q795),0)</f>
        <v>0</v>
      </c>
      <c r="V795" s="201" t="str">
        <f>IF(OR(IFERROR(SEARCH("Met",'Mail Merge'!$N795),0)&gt;0,IFERROR(SEARCH("Met",'Mail Merge'!$I795),0)&gt;0),"Met","Not Met")</f>
        <v>Met</v>
      </c>
    </row>
    <row r="796" spans="1:22" x14ac:dyDescent="0.35">
      <c r="A796" s="198" t="s">
        <v>25</v>
      </c>
      <c r="B796" s="199">
        <v>2115</v>
      </c>
      <c r="C796" s="199" t="s">
        <v>19</v>
      </c>
      <c r="D796" s="199">
        <v>2</v>
      </c>
      <c r="E796" s="199">
        <v>0</v>
      </c>
      <c r="F796" s="199">
        <v>3522.61</v>
      </c>
      <c r="G796" s="199">
        <f>'Mail Merge'!$E796+'Mail Merge'!$F796</f>
        <v>3522.61</v>
      </c>
      <c r="H796" s="199">
        <v>0</v>
      </c>
      <c r="I796" s="199" t="s">
        <v>239</v>
      </c>
      <c r="J796" s="199">
        <f>IFERROR('Mail Merge'!$E796/'Mail Merge'!$D796,0)</f>
        <v>0</v>
      </c>
      <c r="K796" s="199">
        <f>IFERROR('Mail Merge'!$F796/'Mail Merge'!$D796,0)</f>
        <v>1761.3050000000001</v>
      </c>
      <c r="L796" s="199">
        <f>IFERROR('Mail Merge'!$G796/'Mail Merge'!$D796,0)</f>
        <v>1761.3050000000001</v>
      </c>
      <c r="M796" s="199">
        <v>0</v>
      </c>
      <c r="N796" s="199" t="s">
        <v>239</v>
      </c>
      <c r="O796" s="199">
        <v>2702.35</v>
      </c>
      <c r="P796" s="199">
        <v>0</v>
      </c>
      <c r="Q796" s="199">
        <f>'Mail Merge'!$O796+'Mail Merge'!$P796</f>
        <v>2702.35</v>
      </c>
      <c r="R796" s="199"/>
      <c r="S796" s="199"/>
      <c r="T796" s="199"/>
      <c r="U796" s="199">
        <f>IF(AND('Mail Merge'!$I796="Did Not Meet",'Mail Merge'!$N796="Did Not Meet"),MIN(ABS('Mail Merge'!$H796),ABS('Mail Merge'!$M796),'Mail Merge'!$Q796),0)</f>
        <v>0</v>
      </c>
      <c r="V796" s="199" t="str">
        <f>IF(OR(IFERROR(SEARCH("Met",'Mail Merge'!$N796),0)&gt;0,IFERROR(SEARCH("Met",'Mail Merge'!$I796),0)&gt;0),"Met","Not Met")</f>
        <v>Met</v>
      </c>
    </row>
    <row r="797" spans="1:22" x14ac:dyDescent="0.35">
      <c r="A797" s="200" t="s">
        <v>26</v>
      </c>
      <c r="B797" s="201">
        <v>2041</v>
      </c>
      <c r="C797" s="201" t="s">
        <v>19</v>
      </c>
      <c r="D797" s="201">
        <v>331</v>
      </c>
      <c r="E797" s="201">
        <v>2259821.6800000002</v>
      </c>
      <c r="F797" s="201">
        <v>229303.64</v>
      </c>
      <c r="G797" s="201">
        <f>'Mail Merge'!$E797+'Mail Merge'!$F797</f>
        <v>2489125.3200000003</v>
      </c>
      <c r="H797" s="201">
        <v>0</v>
      </c>
      <c r="I797" s="201" t="s">
        <v>241</v>
      </c>
      <c r="J797" s="201">
        <f>IFERROR('Mail Merge'!$E797/'Mail Merge'!$D797,0)</f>
        <v>6827.2558308157104</v>
      </c>
      <c r="K797" s="201">
        <f>IFERROR('Mail Merge'!$F797/'Mail Merge'!$D797,0)</f>
        <v>692.76024169184291</v>
      </c>
      <c r="L797" s="201">
        <f>IFERROR('Mail Merge'!$G797/'Mail Merge'!$D797,0)</f>
        <v>7520.0160725075539</v>
      </c>
      <c r="M797" s="201">
        <v>0</v>
      </c>
      <c r="N797" s="201" t="s">
        <v>240</v>
      </c>
      <c r="O797" s="201">
        <v>436688.47</v>
      </c>
      <c r="P797" s="201">
        <v>3323.89</v>
      </c>
      <c r="Q797" s="201">
        <f>'Mail Merge'!$O797+'Mail Merge'!$P797</f>
        <v>440012.36</v>
      </c>
      <c r="R797" s="201"/>
      <c r="S797" s="201"/>
      <c r="T797" s="201"/>
      <c r="U797" s="201">
        <f>IF(AND('Mail Merge'!$I797="Did Not Meet",'Mail Merge'!$N797="Did Not Meet"),MIN(ABS('Mail Merge'!$H797),ABS('Mail Merge'!$M797),'Mail Merge'!$Q797),0)</f>
        <v>0</v>
      </c>
      <c r="V797" s="201" t="str">
        <f>IF(OR(IFERROR(SEARCH("Met",'Mail Merge'!$N797),0)&gt;0,IFERROR(SEARCH("Met",'Mail Merge'!$I797),0)&gt;0),"Met","Not Met")</f>
        <v>Met</v>
      </c>
    </row>
    <row r="798" spans="1:22" x14ac:dyDescent="0.35">
      <c r="A798" s="198" t="s">
        <v>27</v>
      </c>
      <c r="B798" s="199">
        <v>2051</v>
      </c>
      <c r="C798" s="199" t="s">
        <v>19</v>
      </c>
      <c r="D798" s="199">
        <v>0</v>
      </c>
      <c r="E798" s="199">
        <v>0</v>
      </c>
      <c r="F798" s="199">
        <v>7250.62</v>
      </c>
      <c r="G798" s="199">
        <f>'Mail Merge'!$E798+'Mail Merge'!$F798</f>
        <v>7250.62</v>
      </c>
      <c r="H798" s="199">
        <v>0</v>
      </c>
      <c r="I798" s="199" t="s">
        <v>240</v>
      </c>
      <c r="J798" s="199">
        <f>IFERROR('Mail Merge'!$E798/'Mail Merge'!$D798,0)</f>
        <v>0</v>
      </c>
      <c r="K798" s="199">
        <f>IFERROR('Mail Merge'!$F798/'Mail Merge'!$D798,0)</f>
        <v>0</v>
      </c>
      <c r="L798" s="199">
        <f>IFERROR('Mail Merge'!$G798/'Mail Merge'!$D798,0)</f>
        <v>0</v>
      </c>
      <c r="M798" s="199">
        <v>0</v>
      </c>
      <c r="N798" s="199" t="s">
        <v>241</v>
      </c>
      <c r="O798" s="199">
        <v>688.36</v>
      </c>
      <c r="P798" s="199">
        <v>0</v>
      </c>
      <c r="Q798" s="199">
        <f>'Mail Merge'!$O798+'Mail Merge'!$P798</f>
        <v>688.36</v>
      </c>
      <c r="R798" s="199"/>
      <c r="S798" s="199"/>
      <c r="T798" s="199"/>
      <c r="U798" s="199">
        <f>IF(AND('Mail Merge'!$I798="Did Not Meet",'Mail Merge'!$N798="Did Not Meet"),MIN(ABS('Mail Merge'!$H798),ABS('Mail Merge'!$M798),'Mail Merge'!$Q798),0)</f>
        <v>0</v>
      </c>
      <c r="V798" s="199" t="str">
        <f>IF(OR(IFERROR(SEARCH("Met",'Mail Merge'!$N798),0)&gt;0,IFERROR(SEARCH("Met",'Mail Merge'!$I798),0)&gt;0),"Met","Not Met")</f>
        <v>Met</v>
      </c>
    </row>
    <row r="799" spans="1:22" x14ac:dyDescent="0.35">
      <c r="A799" s="200" t="s">
        <v>28</v>
      </c>
      <c r="B799" s="201">
        <v>1933</v>
      </c>
      <c r="C799" s="201" t="s">
        <v>19</v>
      </c>
      <c r="D799" s="201">
        <v>258</v>
      </c>
      <c r="E799" s="201">
        <v>2111816.5099999998</v>
      </c>
      <c r="F799" s="201">
        <v>442734</v>
      </c>
      <c r="G799" s="201">
        <f>'Mail Merge'!$E799+'Mail Merge'!$F799</f>
        <v>2554550.5099999998</v>
      </c>
      <c r="H799" s="201">
        <v>0</v>
      </c>
      <c r="I799" s="201" t="s">
        <v>241</v>
      </c>
      <c r="J799" s="201">
        <f>IFERROR('Mail Merge'!$E799/'Mail Merge'!$D799,0)</f>
        <v>8185.3353100775184</v>
      </c>
      <c r="K799" s="201">
        <f>IFERROR('Mail Merge'!$F799/'Mail Merge'!$D799,0)</f>
        <v>1716.0232558139535</v>
      </c>
      <c r="L799" s="201">
        <f>IFERROR('Mail Merge'!$G799/'Mail Merge'!$D799,0)</f>
        <v>9901.3585658914726</v>
      </c>
      <c r="M799" s="201">
        <v>0</v>
      </c>
      <c r="N799" s="201" t="s">
        <v>241</v>
      </c>
      <c r="O799" s="201">
        <v>254243.05</v>
      </c>
      <c r="P799" s="201">
        <v>1762.61</v>
      </c>
      <c r="Q799" s="201">
        <f>'Mail Merge'!$O799+'Mail Merge'!$P799</f>
        <v>256005.65999999997</v>
      </c>
      <c r="R799" s="201"/>
      <c r="S799" s="201"/>
      <c r="T799" s="201"/>
      <c r="U799" s="201">
        <f>IF(AND('Mail Merge'!$I799="Did Not Meet",'Mail Merge'!$N799="Did Not Meet"),MIN(ABS('Mail Merge'!$H799),ABS('Mail Merge'!$M799),'Mail Merge'!$Q799),0)</f>
        <v>0</v>
      </c>
      <c r="V799" s="201" t="str">
        <f>IF(OR(IFERROR(SEARCH("Met",'Mail Merge'!$N799),0)&gt;0,IFERROR(SEARCH("Met",'Mail Merge'!$I799),0)&gt;0),"Met","Not Met")</f>
        <v>Met</v>
      </c>
    </row>
    <row r="800" spans="1:22" x14ac:dyDescent="0.35">
      <c r="A800" s="198" t="s">
        <v>29</v>
      </c>
      <c r="B800" s="199">
        <v>2208</v>
      </c>
      <c r="C800" s="199" t="s">
        <v>19</v>
      </c>
      <c r="D800" s="199">
        <v>90</v>
      </c>
      <c r="E800" s="199">
        <v>427728.52</v>
      </c>
      <c r="F800" s="199">
        <v>129253.12</v>
      </c>
      <c r="G800" s="199">
        <f>'Mail Merge'!$E800+'Mail Merge'!$F800</f>
        <v>556981.64</v>
      </c>
      <c r="H800" s="199">
        <v>0</v>
      </c>
      <c r="I800" s="199" t="s">
        <v>239</v>
      </c>
      <c r="J800" s="199">
        <f>IFERROR('Mail Merge'!$E800/'Mail Merge'!$D800,0)</f>
        <v>4752.5391111111112</v>
      </c>
      <c r="K800" s="199">
        <f>IFERROR('Mail Merge'!$F800/'Mail Merge'!$D800,0)</f>
        <v>1436.1457777777778</v>
      </c>
      <c r="L800" s="199">
        <f>IFERROR('Mail Merge'!$G800/'Mail Merge'!$D800,0)</f>
        <v>6188.684888888889</v>
      </c>
      <c r="M800" s="199">
        <v>0</v>
      </c>
      <c r="N800" s="199" t="s">
        <v>239</v>
      </c>
      <c r="O800" s="199">
        <v>99597.42</v>
      </c>
      <c r="P800" s="199">
        <v>2622.93</v>
      </c>
      <c r="Q800" s="199">
        <f>'Mail Merge'!$O800+'Mail Merge'!$P800</f>
        <v>102220.34999999999</v>
      </c>
      <c r="R800" s="199"/>
      <c r="S800" s="199"/>
      <c r="T800" s="199"/>
      <c r="U800" s="199">
        <f>IF(AND('Mail Merge'!$I800="Did Not Meet",'Mail Merge'!$N800="Did Not Meet"),MIN(ABS('Mail Merge'!$H800),ABS('Mail Merge'!$M800),'Mail Merge'!$Q800),0)</f>
        <v>0</v>
      </c>
      <c r="V800" s="199" t="str">
        <f>IF(OR(IFERROR(SEARCH("Met",'Mail Merge'!$N800),0)&gt;0,IFERROR(SEARCH("Met",'Mail Merge'!$I800),0)&gt;0),"Met","Not Met")</f>
        <v>Met</v>
      </c>
    </row>
    <row r="801" spans="1:22" x14ac:dyDescent="0.35">
      <c r="A801" s="200" t="s">
        <v>30</v>
      </c>
      <c r="B801" s="201">
        <v>1894</v>
      </c>
      <c r="C801" s="201" t="s">
        <v>19</v>
      </c>
      <c r="D801" s="201">
        <v>292</v>
      </c>
      <c r="E801" s="201">
        <v>2158870.2599999998</v>
      </c>
      <c r="F801" s="201">
        <v>0</v>
      </c>
      <c r="G801" s="201">
        <f>'Mail Merge'!$E801+'Mail Merge'!$F801</f>
        <v>2158870.2599999998</v>
      </c>
      <c r="H801" s="201">
        <v>0</v>
      </c>
      <c r="I801" s="201" t="s">
        <v>241</v>
      </c>
      <c r="J801" s="201">
        <f>IFERROR('Mail Merge'!$E801/'Mail Merge'!$D801,0)</f>
        <v>7393.391301369862</v>
      </c>
      <c r="K801" s="201">
        <f>IFERROR('Mail Merge'!$F801/'Mail Merge'!$D801,0)</f>
        <v>0</v>
      </c>
      <c r="L801" s="201">
        <f>IFERROR('Mail Merge'!$G801/'Mail Merge'!$D801,0)</f>
        <v>7393.391301369862</v>
      </c>
      <c r="M801" s="201">
        <v>0</v>
      </c>
      <c r="N801" s="201" t="s">
        <v>240</v>
      </c>
      <c r="O801" s="201">
        <v>371711.01</v>
      </c>
      <c r="P801" s="201">
        <v>3327.85</v>
      </c>
      <c r="Q801" s="201">
        <f>'Mail Merge'!$O801+'Mail Merge'!$P801</f>
        <v>375038.86</v>
      </c>
      <c r="R801" s="201"/>
      <c r="S801" s="201"/>
      <c r="T801" s="201"/>
      <c r="U801" s="201">
        <f>IF(AND('Mail Merge'!$I801="Did Not Meet",'Mail Merge'!$N801="Did Not Meet"),MIN(ABS('Mail Merge'!$H801),ABS('Mail Merge'!$M801),'Mail Merge'!$Q801),0)</f>
        <v>0</v>
      </c>
      <c r="V801" s="201" t="str">
        <f>IF(OR(IFERROR(SEARCH("Met",'Mail Merge'!$N801),0)&gt;0,IFERROR(SEARCH("Met",'Mail Merge'!$I801),0)&gt;0),"Met","Not Met")</f>
        <v>Met</v>
      </c>
    </row>
    <row r="802" spans="1:22" x14ac:dyDescent="0.35">
      <c r="A802" s="198" t="s">
        <v>32</v>
      </c>
      <c r="B802" s="199">
        <v>1969</v>
      </c>
      <c r="C802" s="199" t="s">
        <v>19</v>
      </c>
      <c r="D802" s="199">
        <v>93</v>
      </c>
      <c r="E802" s="199">
        <v>770532.14</v>
      </c>
      <c r="F802" s="199">
        <v>248423</v>
      </c>
      <c r="G802" s="199">
        <f>'Mail Merge'!$E802+'Mail Merge'!$F802</f>
        <v>1018955.14</v>
      </c>
      <c r="H802" s="199">
        <v>0</v>
      </c>
      <c r="I802" s="199" t="s">
        <v>240</v>
      </c>
      <c r="J802" s="199">
        <f>IFERROR('Mail Merge'!$E802/'Mail Merge'!$D802,0)</f>
        <v>8285.2918279569894</v>
      </c>
      <c r="K802" s="199">
        <f>IFERROR('Mail Merge'!$F802/'Mail Merge'!$D802,0)</f>
        <v>2671.2150537634407</v>
      </c>
      <c r="L802" s="199">
        <f>IFERROR('Mail Merge'!$G802/'Mail Merge'!$D802,0)</f>
        <v>10956.50688172043</v>
      </c>
      <c r="M802" s="199">
        <v>0</v>
      </c>
      <c r="N802" s="199" t="s">
        <v>240</v>
      </c>
      <c r="O802" s="199">
        <v>136783.62</v>
      </c>
      <c r="P802" s="199">
        <v>631.14</v>
      </c>
      <c r="Q802" s="199">
        <f>'Mail Merge'!$O802+'Mail Merge'!$P802</f>
        <v>137414.76</v>
      </c>
      <c r="R802" s="199"/>
      <c r="S802" s="199"/>
      <c r="T802" s="199"/>
      <c r="U802" s="199">
        <f>IF(AND('Mail Merge'!$I802="Did Not Meet",'Mail Merge'!$N802="Did Not Meet"),MIN(ABS('Mail Merge'!$H802),ABS('Mail Merge'!$M802),'Mail Merge'!$Q802),0)</f>
        <v>0</v>
      </c>
      <c r="V802" s="199" t="str">
        <f>IF(OR(IFERROR(SEARCH("Met",'Mail Merge'!$N802),0)&gt;0,IFERROR(SEARCH("Met",'Mail Merge'!$I802),0)&gt;0),"Met","Not Met")</f>
        <v>Not Met</v>
      </c>
    </row>
    <row r="803" spans="1:22" x14ac:dyDescent="0.35">
      <c r="A803" s="200" t="s">
        <v>33</v>
      </c>
      <c r="B803" s="201">
        <v>2240</v>
      </c>
      <c r="C803" s="201" t="s">
        <v>19</v>
      </c>
      <c r="D803" s="201">
        <v>154</v>
      </c>
      <c r="E803" s="201">
        <v>1473933.87</v>
      </c>
      <c r="F803" s="201">
        <v>278320</v>
      </c>
      <c r="G803" s="201">
        <f>'Mail Merge'!$E803+'Mail Merge'!$F803</f>
        <v>1752253.87</v>
      </c>
      <c r="H803" s="201">
        <v>0</v>
      </c>
      <c r="I803" s="201" t="s">
        <v>241</v>
      </c>
      <c r="J803" s="201">
        <f>IFERROR('Mail Merge'!$E803/'Mail Merge'!$D803,0)</f>
        <v>9570.9991558441561</v>
      </c>
      <c r="K803" s="201">
        <f>IFERROR('Mail Merge'!$F803/'Mail Merge'!$D803,0)</f>
        <v>1807.2727272727273</v>
      </c>
      <c r="L803" s="201">
        <f>IFERROR('Mail Merge'!$G803/'Mail Merge'!$D803,0)</f>
        <v>11378.271883116884</v>
      </c>
      <c r="M803" s="201">
        <v>0</v>
      </c>
      <c r="N803" s="201" t="s">
        <v>241</v>
      </c>
      <c r="O803" s="201">
        <v>181563.77</v>
      </c>
      <c r="P803" s="201">
        <v>459.01</v>
      </c>
      <c r="Q803" s="201">
        <f>'Mail Merge'!$O803+'Mail Merge'!$P803</f>
        <v>182022.78</v>
      </c>
      <c r="R803" s="201"/>
      <c r="S803" s="201"/>
      <c r="T803" s="201">
        <v>100711.8</v>
      </c>
      <c r="U803" s="201">
        <f>IF(AND('Mail Merge'!$I803="Did Not Meet",'Mail Merge'!$N803="Did Not Meet"),MIN(ABS('Mail Merge'!$H803),ABS('Mail Merge'!$M803),'Mail Merge'!$Q803),0)</f>
        <v>0</v>
      </c>
      <c r="V803" s="201" t="str">
        <f>IF(OR(IFERROR(SEARCH("Met",'Mail Merge'!$N803),0)&gt;0,IFERROR(SEARCH("Met",'Mail Merge'!$I803),0)&gt;0),"Met","Not Met")</f>
        <v>Met</v>
      </c>
    </row>
    <row r="804" spans="1:22" x14ac:dyDescent="0.35">
      <c r="A804" s="198" t="s">
        <v>34</v>
      </c>
      <c r="B804" s="199">
        <v>2243</v>
      </c>
      <c r="C804" s="199" t="s">
        <v>19</v>
      </c>
      <c r="D804" s="199">
        <v>4814</v>
      </c>
      <c r="E804" s="199">
        <v>46856399.280000001</v>
      </c>
      <c r="F804" s="199">
        <v>4087667</v>
      </c>
      <c r="G804" s="199">
        <f>'Mail Merge'!$E804+'Mail Merge'!$F804</f>
        <v>50944066.280000001</v>
      </c>
      <c r="H804" s="199">
        <v>0</v>
      </c>
      <c r="I804" s="199" t="s">
        <v>241</v>
      </c>
      <c r="J804" s="199">
        <f>IFERROR('Mail Merge'!$E804/'Mail Merge'!$D804,0)</f>
        <v>9733.3608807644378</v>
      </c>
      <c r="K804" s="199">
        <f>IFERROR('Mail Merge'!$F804/'Mail Merge'!$D804,0)</f>
        <v>849.12068965517244</v>
      </c>
      <c r="L804" s="199">
        <f>IFERROR('Mail Merge'!$G804/'Mail Merge'!$D804,0)</f>
        <v>10582.48157041961</v>
      </c>
      <c r="M804" s="199">
        <v>0</v>
      </c>
      <c r="N804" s="199" t="s">
        <v>241</v>
      </c>
      <c r="O804" s="199">
        <v>6449729.2000000002</v>
      </c>
      <c r="P804" s="199">
        <v>21441.24</v>
      </c>
      <c r="Q804" s="199">
        <f>'Mail Merge'!$O804+'Mail Merge'!$P804</f>
        <v>6471170.4400000004</v>
      </c>
      <c r="R804" s="199"/>
      <c r="S804" s="199"/>
      <c r="T804" s="199"/>
      <c r="U804" s="199">
        <f>IF(AND('Mail Merge'!$I804="Did Not Meet",'Mail Merge'!$N804="Did Not Meet"),MIN(ABS('Mail Merge'!$H804),ABS('Mail Merge'!$M804),'Mail Merge'!$Q804),0)</f>
        <v>0</v>
      </c>
      <c r="V804" s="199" t="str">
        <f>IF(OR(IFERROR(SEARCH("Met",'Mail Merge'!$N804),0)&gt;0,IFERROR(SEARCH("Met",'Mail Merge'!$I804),0)&gt;0),"Met","Not Met")</f>
        <v>Met</v>
      </c>
    </row>
    <row r="805" spans="1:22" x14ac:dyDescent="0.35">
      <c r="A805" s="200" t="s">
        <v>35</v>
      </c>
      <c r="B805" s="201">
        <v>1976</v>
      </c>
      <c r="C805" s="201" t="s">
        <v>19</v>
      </c>
      <c r="D805" s="201">
        <v>1949</v>
      </c>
      <c r="E805" s="201">
        <v>17559461</v>
      </c>
      <c r="F805" s="201">
        <v>2390599.38</v>
      </c>
      <c r="G805" s="201">
        <f>'Mail Merge'!$E805+'Mail Merge'!$F805</f>
        <v>19950060.379999999</v>
      </c>
      <c r="H805" s="201">
        <v>0</v>
      </c>
      <c r="I805" s="201" t="s">
        <v>241</v>
      </c>
      <c r="J805" s="201">
        <f>IFERROR('Mail Merge'!$E805/'Mail Merge'!$D805,0)</f>
        <v>9009.4720369420211</v>
      </c>
      <c r="K805" s="201">
        <f>IFERROR('Mail Merge'!$F805/'Mail Merge'!$D805,0)</f>
        <v>1226.5774140584915</v>
      </c>
      <c r="L805" s="201">
        <f>IFERROR('Mail Merge'!$G805/'Mail Merge'!$D805,0)</f>
        <v>10236.049451000512</v>
      </c>
      <c r="M805" s="201">
        <v>0</v>
      </c>
      <c r="N805" s="201" t="s">
        <v>241</v>
      </c>
      <c r="O805" s="201">
        <v>2625120.5299999998</v>
      </c>
      <c r="P805" s="201">
        <v>14079.63</v>
      </c>
      <c r="Q805" s="201">
        <f>'Mail Merge'!$O805+'Mail Merge'!$P805</f>
        <v>2639200.1599999997</v>
      </c>
      <c r="R805" s="201"/>
      <c r="S805" s="201"/>
      <c r="T805" s="201"/>
      <c r="U805" s="201">
        <f>IF(AND('Mail Merge'!$I805="Did Not Meet",'Mail Merge'!$N805="Did Not Meet"),MIN(ABS('Mail Merge'!$H805),ABS('Mail Merge'!$M805),'Mail Merge'!$Q805),0)</f>
        <v>0</v>
      </c>
      <c r="V805" s="201" t="str">
        <f>IF(OR(IFERROR(SEARCH("Met",'Mail Merge'!$N805),0)&gt;0,IFERROR(SEARCH("Met",'Mail Merge'!$I805),0)&gt;0),"Met","Not Met")</f>
        <v>Met</v>
      </c>
    </row>
    <row r="806" spans="1:22" x14ac:dyDescent="0.35">
      <c r="A806" s="198" t="s">
        <v>36</v>
      </c>
      <c r="B806" s="199">
        <v>2088</v>
      </c>
      <c r="C806" s="199" t="s">
        <v>19</v>
      </c>
      <c r="D806" s="199">
        <v>918</v>
      </c>
      <c r="E806" s="199">
        <v>8369551.3799999999</v>
      </c>
      <c r="F806" s="199">
        <v>875589</v>
      </c>
      <c r="G806" s="199">
        <f>'Mail Merge'!$E806+'Mail Merge'!$F806</f>
        <v>9245140.379999999</v>
      </c>
      <c r="H806" s="199">
        <v>0</v>
      </c>
      <c r="I806" s="199" t="s">
        <v>241</v>
      </c>
      <c r="J806" s="199">
        <f>IFERROR('Mail Merge'!$E806/'Mail Merge'!$D806,0)</f>
        <v>9117.1583660130709</v>
      </c>
      <c r="K806" s="199">
        <f>IFERROR('Mail Merge'!$F806/'Mail Merge'!$D806,0)</f>
        <v>953.80065359477123</v>
      </c>
      <c r="L806" s="199">
        <f>IFERROR('Mail Merge'!$G806/'Mail Merge'!$D806,0)</f>
        <v>10070.959019607842</v>
      </c>
      <c r="M806" s="199">
        <v>0</v>
      </c>
      <c r="N806" s="199" t="s">
        <v>241</v>
      </c>
      <c r="O806" s="199">
        <v>970107.21</v>
      </c>
      <c r="P806" s="199">
        <v>5825.94</v>
      </c>
      <c r="Q806" s="199">
        <f>'Mail Merge'!$O806+'Mail Merge'!$P806</f>
        <v>975933.14999999991</v>
      </c>
      <c r="R806" s="199"/>
      <c r="S806" s="199"/>
      <c r="T806" s="199"/>
      <c r="U806" s="199">
        <f>IF(AND('Mail Merge'!$I806="Did Not Meet",'Mail Merge'!$N806="Did Not Meet"),MIN(ABS('Mail Merge'!$H806),ABS('Mail Merge'!$M806),'Mail Merge'!$Q806),0)</f>
        <v>0</v>
      </c>
      <c r="V806" s="199" t="str">
        <f>IF(OR(IFERROR(SEARCH("Met",'Mail Merge'!$N806),0)&gt;0,IFERROR(SEARCH("Met",'Mail Merge'!$I806),0)&gt;0),"Met","Not Met")</f>
        <v>Met</v>
      </c>
    </row>
    <row r="807" spans="1:22" x14ac:dyDescent="0.35">
      <c r="A807" s="200" t="s">
        <v>37</v>
      </c>
      <c r="B807" s="201">
        <v>2095</v>
      </c>
      <c r="C807" s="201" t="s">
        <v>19</v>
      </c>
      <c r="D807" s="201">
        <v>40</v>
      </c>
      <c r="E807" s="201">
        <v>294619.75</v>
      </c>
      <c r="F807" s="201">
        <v>64320</v>
      </c>
      <c r="G807" s="201">
        <f>'Mail Merge'!$E807+'Mail Merge'!$F807</f>
        <v>358939.75</v>
      </c>
      <c r="H807" s="201">
        <v>0</v>
      </c>
      <c r="I807" s="201" t="s">
        <v>241</v>
      </c>
      <c r="J807" s="201">
        <f>IFERROR('Mail Merge'!$E807/'Mail Merge'!$D807,0)</f>
        <v>7365.4937499999996</v>
      </c>
      <c r="K807" s="201">
        <f>IFERROR('Mail Merge'!$F807/'Mail Merge'!$D807,0)</f>
        <v>1608</v>
      </c>
      <c r="L807" s="201">
        <f>IFERROR('Mail Merge'!$G807/'Mail Merge'!$D807,0)</f>
        <v>8973.4937499999996</v>
      </c>
      <c r="M807" s="201">
        <v>0</v>
      </c>
      <c r="N807" s="201" t="s">
        <v>240</v>
      </c>
      <c r="O807" s="201">
        <v>45664.61</v>
      </c>
      <c r="P807" s="201">
        <v>459.01</v>
      </c>
      <c r="Q807" s="201">
        <f>'Mail Merge'!$O807+'Mail Merge'!$P807</f>
        <v>46123.62</v>
      </c>
      <c r="R807" s="201"/>
      <c r="S807" s="201"/>
      <c r="T807" s="201"/>
      <c r="U807" s="201">
        <f>IF(AND('Mail Merge'!$I807="Did Not Meet",'Mail Merge'!$N807="Did Not Meet"),MIN(ABS('Mail Merge'!$H807),ABS('Mail Merge'!$M807),'Mail Merge'!$Q807),0)</f>
        <v>0</v>
      </c>
      <c r="V807" s="201" t="str">
        <f>IF(OR(IFERROR(SEARCH("Met",'Mail Merge'!$N807),0)&gt;0,IFERROR(SEARCH("Met",'Mail Merge'!$I807),0)&gt;0),"Met","Not Met")</f>
        <v>Met</v>
      </c>
    </row>
    <row r="808" spans="1:22" x14ac:dyDescent="0.35">
      <c r="A808" s="198" t="s">
        <v>38</v>
      </c>
      <c r="B808" s="199">
        <v>2052</v>
      </c>
      <c r="C808" s="199" t="s">
        <v>19</v>
      </c>
      <c r="D808" s="199">
        <v>0</v>
      </c>
      <c r="E808" s="199">
        <v>1826.44</v>
      </c>
      <c r="F808" s="199">
        <v>14754.1</v>
      </c>
      <c r="G808" s="199">
        <f>'Mail Merge'!$E808+'Mail Merge'!$F808</f>
        <v>16580.54</v>
      </c>
      <c r="H808" s="199">
        <v>0</v>
      </c>
      <c r="I808" s="199" t="s">
        <v>239</v>
      </c>
      <c r="J808" s="199">
        <f>IFERROR('Mail Merge'!$E808/'Mail Merge'!$D808,0)</f>
        <v>0</v>
      </c>
      <c r="K808" s="199">
        <f>IFERROR('Mail Merge'!$F808/'Mail Merge'!$D808,0)</f>
        <v>0</v>
      </c>
      <c r="L808" s="199">
        <f>IFERROR('Mail Merge'!$G808/'Mail Merge'!$D808,0)</f>
        <v>0</v>
      </c>
      <c r="M808" s="199">
        <v>0</v>
      </c>
      <c r="N808" s="199" t="s">
        <v>239</v>
      </c>
      <c r="O808" s="199">
        <v>0</v>
      </c>
      <c r="P808" s="199">
        <v>0</v>
      </c>
      <c r="Q808" s="199">
        <f>'Mail Merge'!$O808+'Mail Merge'!$P808</f>
        <v>0</v>
      </c>
      <c r="R808" s="199"/>
      <c r="S808" s="199"/>
      <c r="T808" s="199"/>
      <c r="U808" s="199">
        <f>IF(AND('Mail Merge'!$I808="Did Not Meet",'Mail Merge'!$N808="Did Not Meet"),MIN(ABS('Mail Merge'!$H808),ABS('Mail Merge'!$M808),'Mail Merge'!$Q808),0)</f>
        <v>0</v>
      </c>
      <c r="V808" s="199" t="str">
        <f>IF(OR(IFERROR(SEARCH("Met",'Mail Merge'!$N808),0)&gt;0,IFERROR(SEARCH("Met",'Mail Merge'!$I808),0)&gt;0),"Met","Not Met")</f>
        <v>Met</v>
      </c>
    </row>
    <row r="809" spans="1:22" x14ac:dyDescent="0.35">
      <c r="A809" s="200" t="s">
        <v>39</v>
      </c>
      <c r="B809" s="201">
        <v>1974</v>
      </c>
      <c r="C809" s="201" t="s">
        <v>19</v>
      </c>
      <c r="D809" s="201">
        <v>189</v>
      </c>
      <c r="E809" s="201">
        <v>1404696.27</v>
      </c>
      <c r="F809" s="201">
        <v>176538</v>
      </c>
      <c r="G809" s="201">
        <f>'Mail Merge'!$E809+'Mail Merge'!$F809</f>
        <v>1581234.27</v>
      </c>
      <c r="H809" s="201">
        <v>0</v>
      </c>
      <c r="I809" s="201" t="s">
        <v>241</v>
      </c>
      <c r="J809" s="201">
        <f>IFERROR('Mail Merge'!$E809/'Mail Merge'!$D809,0)</f>
        <v>7432.2553968253969</v>
      </c>
      <c r="K809" s="201">
        <f>IFERROR('Mail Merge'!$F809/'Mail Merge'!$D809,0)</f>
        <v>934.06349206349205</v>
      </c>
      <c r="L809" s="201">
        <f>IFERROR('Mail Merge'!$G809/'Mail Merge'!$D809,0)</f>
        <v>8366.318888888889</v>
      </c>
      <c r="M809" s="201">
        <v>0</v>
      </c>
      <c r="N809" s="201" t="s">
        <v>240</v>
      </c>
      <c r="O809" s="201">
        <v>258837.42</v>
      </c>
      <c r="P809" s="201">
        <v>5445.57</v>
      </c>
      <c r="Q809" s="201">
        <f>'Mail Merge'!$O809+'Mail Merge'!$P809</f>
        <v>264282.99</v>
      </c>
      <c r="R809" s="201"/>
      <c r="S809" s="201"/>
      <c r="T809" s="201"/>
      <c r="U809" s="201">
        <f>IF(AND('Mail Merge'!$I809="Did Not Meet",'Mail Merge'!$N809="Did Not Meet"),MIN(ABS('Mail Merge'!$H809),ABS('Mail Merge'!$M809),'Mail Merge'!$Q809),0)</f>
        <v>0</v>
      </c>
      <c r="V809" s="201" t="str">
        <f>IF(OR(IFERROR(SEARCH("Met",'Mail Merge'!$N809),0)&gt;0,IFERROR(SEARCH("Met",'Mail Merge'!$I809),0)&gt;0),"Met","Not Met")</f>
        <v>Met</v>
      </c>
    </row>
    <row r="810" spans="1:22" x14ac:dyDescent="0.35">
      <c r="A810" s="198" t="s">
        <v>40</v>
      </c>
      <c r="B810" s="199">
        <v>1896</v>
      </c>
      <c r="C810" s="199" t="s">
        <v>19</v>
      </c>
      <c r="D810" s="199">
        <v>1</v>
      </c>
      <c r="E810" s="199">
        <v>47019</v>
      </c>
      <c r="F810" s="199">
        <v>13863.39</v>
      </c>
      <c r="G810" s="199">
        <f>'Mail Merge'!$E810+'Mail Merge'!$F810</f>
        <v>60882.39</v>
      </c>
      <c r="H810" s="199">
        <v>0</v>
      </c>
      <c r="I810" s="199" t="s">
        <v>242</v>
      </c>
      <c r="J810" s="199">
        <f>IFERROR('Mail Merge'!$E810/'Mail Merge'!$D810,0)</f>
        <v>47019</v>
      </c>
      <c r="K810" s="199">
        <f>IFERROR('Mail Merge'!$F810/'Mail Merge'!$D810,0)</f>
        <v>13863.39</v>
      </c>
      <c r="L810" s="199">
        <f>IFERROR('Mail Merge'!$G810/'Mail Merge'!$D810,0)</f>
        <v>60882.39</v>
      </c>
      <c r="M810" s="199">
        <v>0</v>
      </c>
      <c r="N810" s="199" t="s">
        <v>241</v>
      </c>
      <c r="O810" s="199">
        <v>9236.74</v>
      </c>
      <c r="P810" s="199">
        <v>0</v>
      </c>
      <c r="Q810" s="199">
        <f>'Mail Merge'!$O810+'Mail Merge'!$P810</f>
        <v>9236.74</v>
      </c>
      <c r="R810" s="199"/>
      <c r="S810" s="199">
        <v>30449.5</v>
      </c>
      <c r="T810" s="199">
        <v>30449.5</v>
      </c>
      <c r="U810" s="199">
        <f>IF(AND('Mail Merge'!$I810="Did Not Meet",'Mail Merge'!$N810="Did Not Meet"),MIN(ABS('Mail Merge'!$H810),ABS('Mail Merge'!$M810),'Mail Merge'!$Q810),0)</f>
        <v>0</v>
      </c>
      <c r="V810" s="199" t="str">
        <f>IF(OR(IFERROR(SEARCH("Met",'Mail Merge'!$N810),0)&gt;0,IFERROR(SEARCH("Met",'Mail Merge'!$I810),0)&gt;0),"Met","Not Met")</f>
        <v>Met</v>
      </c>
    </row>
    <row r="811" spans="1:22" x14ac:dyDescent="0.35">
      <c r="A811" s="200" t="s">
        <v>42</v>
      </c>
      <c r="B811" s="201">
        <v>2046</v>
      </c>
      <c r="C811" s="201" t="s">
        <v>19</v>
      </c>
      <c r="D811" s="201">
        <v>32</v>
      </c>
      <c r="E811" s="201">
        <v>162688.70000000001</v>
      </c>
      <c r="F811" s="201">
        <v>58326.95</v>
      </c>
      <c r="G811" s="201">
        <f>'Mail Merge'!$E811+'Mail Merge'!$F811</f>
        <v>221015.65000000002</v>
      </c>
      <c r="H811" s="201">
        <v>0</v>
      </c>
      <c r="I811" s="201" t="s">
        <v>239</v>
      </c>
      <c r="J811" s="201">
        <f>IFERROR('Mail Merge'!$E811/'Mail Merge'!$D811,0)</f>
        <v>5084.0218750000004</v>
      </c>
      <c r="K811" s="201">
        <f>IFERROR('Mail Merge'!$F811/'Mail Merge'!$D811,0)</f>
        <v>1822.7171874999999</v>
      </c>
      <c r="L811" s="201">
        <f>IFERROR('Mail Merge'!$G811/'Mail Merge'!$D811,0)</f>
        <v>6906.7390625000007</v>
      </c>
      <c r="M811" s="201">
        <v>0</v>
      </c>
      <c r="N811" s="201" t="s">
        <v>239</v>
      </c>
      <c r="O811" s="201">
        <v>22186.07</v>
      </c>
      <c r="P811" s="201">
        <v>229.51</v>
      </c>
      <c r="Q811" s="201">
        <f>'Mail Merge'!$O811+'Mail Merge'!$P811</f>
        <v>22415.579999999998</v>
      </c>
      <c r="R811" s="201"/>
      <c r="S811" s="201"/>
      <c r="T811" s="201"/>
      <c r="U811" s="201">
        <f>IF(AND('Mail Merge'!$I811="Did Not Meet",'Mail Merge'!$N811="Did Not Meet"),MIN(ABS('Mail Merge'!$H811),ABS('Mail Merge'!$M811),'Mail Merge'!$Q811),0)</f>
        <v>0</v>
      </c>
      <c r="V811" s="201" t="str">
        <f>IF(OR(IFERROR(SEARCH("Met",'Mail Merge'!$N811),0)&gt;0,IFERROR(SEARCH("Met",'Mail Merge'!$I811),0)&gt;0),"Met","Not Met")</f>
        <v>Met</v>
      </c>
    </row>
    <row r="812" spans="1:22" x14ac:dyDescent="0.35">
      <c r="A812" s="198" t="s">
        <v>43</v>
      </c>
      <c r="B812" s="199">
        <v>1995</v>
      </c>
      <c r="C812" s="199" t="s">
        <v>19</v>
      </c>
      <c r="D812" s="199">
        <v>35</v>
      </c>
      <c r="E812" s="199">
        <v>186943.33</v>
      </c>
      <c r="F812" s="199">
        <v>41687.870000000003</v>
      </c>
      <c r="G812" s="199">
        <f>'Mail Merge'!$E812+'Mail Merge'!$F812</f>
        <v>228631.19999999998</v>
      </c>
      <c r="H812" s="199">
        <v>0</v>
      </c>
      <c r="I812" s="199" t="s">
        <v>241</v>
      </c>
      <c r="J812" s="199">
        <f>IFERROR('Mail Merge'!$E812/'Mail Merge'!$D812,0)</f>
        <v>5341.2379999999994</v>
      </c>
      <c r="K812" s="199">
        <f>IFERROR('Mail Merge'!$F812/'Mail Merge'!$D812,0)</f>
        <v>1191.0820000000001</v>
      </c>
      <c r="L812" s="199">
        <f>IFERROR('Mail Merge'!$G812/'Mail Merge'!$D812,0)</f>
        <v>6532.32</v>
      </c>
      <c r="M812" s="199">
        <v>0</v>
      </c>
      <c r="N812" s="199" t="s">
        <v>240</v>
      </c>
      <c r="O812" s="199">
        <v>41008.82</v>
      </c>
      <c r="P812" s="199">
        <v>0</v>
      </c>
      <c r="Q812" s="199">
        <f>'Mail Merge'!$O812+'Mail Merge'!$P812</f>
        <v>41008.82</v>
      </c>
      <c r="R812" s="199"/>
      <c r="S812" s="199"/>
      <c r="T812" s="199"/>
      <c r="U812" s="199">
        <f>IF(AND('Mail Merge'!$I812="Did Not Meet",'Mail Merge'!$N812="Did Not Meet"),MIN(ABS('Mail Merge'!$H812),ABS('Mail Merge'!$M812),'Mail Merge'!$Q812),0)</f>
        <v>0</v>
      </c>
      <c r="V812" s="199" t="str">
        <f>IF(OR(IFERROR(SEARCH("Met",'Mail Merge'!$N812),0)&gt;0,IFERROR(SEARCH("Met",'Mail Merge'!$I812),0)&gt;0),"Met","Not Met")</f>
        <v>Met</v>
      </c>
    </row>
    <row r="813" spans="1:22" x14ac:dyDescent="0.35">
      <c r="A813" s="200" t="s">
        <v>44</v>
      </c>
      <c r="B813" s="201">
        <v>1929</v>
      </c>
      <c r="C813" s="201" t="s">
        <v>19</v>
      </c>
      <c r="D813" s="201">
        <v>513</v>
      </c>
      <c r="E813" s="201">
        <v>4796565.17</v>
      </c>
      <c r="F813" s="201">
        <v>535532</v>
      </c>
      <c r="G813" s="201">
        <f>'Mail Merge'!$E813+'Mail Merge'!$F813</f>
        <v>5332097.17</v>
      </c>
      <c r="H813" s="201">
        <v>0</v>
      </c>
      <c r="I813" s="201" t="s">
        <v>242</v>
      </c>
      <c r="J813" s="201">
        <f>IFERROR('Mail Merge'!$E813/'Mail Merge'!$D813,0)</f>
        <v>9350.0295711500967</v>
      </c>
      <c r="K813" s="201">
        <f>IFERROR('Mail Merge'!$F813/'Mail Merge'!$D813,0)</f>
        <v>1043.9220272904483</v>
      </c>
      <c r="L813" s="201">
        <f>IFERROR('Mail Merge'!$G813/'Mail Merge'!$D813,0)</f>
        <v>10393.951598440546</v>
      </c>
      <c r="M813" s="201">
        <v>0</v>
      </c>
      <c r="N813" s="201" t="s">
        <v>241</v>
      </c>
      <c r="O813" s="201">
        <v>735846.94</v>
      </c>
      <c r="P813" s="201">
        <v>3842.9</v>
      </c>
      <c r="Q813" s="201">
        <f>'Mail Merge'!$O813+'Mail Merge'!$P813</f>
        <v>739689.84</v>
      </c>
      <c r="R813" s="201"/>
      <c r="S813" s="201">
        <v>112375.75</v>
      </c>
      <c r="T813" s="201">
        <v>112375.75</v>
      </c>
      <c r="U813" s="201">
        <f>IF(AND('Mail Merge'!$I813="Did Not Meet",'Mail Merge'!$N813="Did Not Meet"),MIN(ABS('Mail Merge'!$H813),ABS('Mail Merge'!$M813),'Mail Merge'!$Q813),0)</f>
        <v>0</v>
      </c>
      <c r="V813" s="201" t="str">
        <f>IF(OR(IFERROR(SEARCH("Met",'Mail Merge'!$N813),0)&gt;0,IFERROR(SEARCH("Met",'Mail Merge'!$I813),0)&gt;0),"Met","Not Met")</f>
        <v>Met</v>
      </c>
    </row>
    <row r="814" spans="1:22" x14ac:dyDescent="0.35">
      <c r="A814" s="198" t="s">
        <v>45</v>
      </c>
      <c r="B814" s="199">
        <v>2139</v>
      </c>
      <c r="C814" s="199" t="s">
        <v>19</v>
      </c>
      <c r="D814" s="199">
        <v>296</v>
      </c>
      <c r="E814" s="199">
        <v>2662372.2799999998</v>
      </c>
      <c r="F814" s="199">
        <v>221595.68</v>
      </c>
      <c r="G814" s="199">
        <f>'Mail Merge'!$E814+'Mail Merge'!$F814</f>
        <v>2883967.96</v>
      </c>
      <c r="H814" s="199">
        <v>0</v>
      </c>
      <c r="I814" s="199" t="s">
        <v>241</v>
      </c>
      <c r="J814" s="199">
        <f>IFERROR('Mail Merge'!$E814/'Mail Merge'!$D814,0)</f>
        <v>8994.5009459459452</v>
      </c>
      <c r="K814" s="199">
        <f>IFERROR('Mail Merge'!$F814/'Mail Merge'!$D814,0)</f>
        <v>748.63405405405399</v>
      </c>
      <c r="L814" s="199">
        <f>IFERROR('Mail Merge'!$G814/'Mail Merge'!$D814,0)</f>
        <v>9743.1350000000002</v>
      </c>
      <c r="M814" s="199">
        <v>0</v>
      </c>
      <c r="N814" s="199" t="s">
        <v>241</v>
      </c>
      <c r="O814" s="199">
        <v>364526.64</v>
      </c>
      <c r="P814" s="199">
        <v>3004.45</v>
      </c>
      <c r="Q814" s="199">
        <f>'Mail Merge'!$O814+'Mail Merge'!$P814</f>
        <v>367531.09</v>
      </c>
      <c r="R814" s="199"/>
      <c r="S814" s="199"/>
      <c r="T814" s="199"/>
      <c r="U814" s="199">
        <f>IF(AND('Mail Merge'!$I814="Did Not Meet",'Mail Merge'!$N814="Did Not Meet"),MIN(ABS('Mail Merge'!$H814),ABS('Mail Merge'!$M814),'Mail Merge'!$Q814),0)</f>
        <v>0</v>
      </c>
      <c r="V814" s="199" t="str">
        <f>IF(OR(IFERROR(SEARCH("Met",'Mail Merge'!$N814),0)&gt;0,IFERROR(SEARCH("Met",'Mail Merge'!$I814),0)&gt;0),"Met","Not Met")</f>
        <v>Met</v>
      </c>
    </row>
    <row r="815" spans="1:22" x14ac:dyDescent="0.35">
      <c r="A815" s="200" t="s">
        <v>46</v>
      </c>
      <c r="B815" s="201">
        <v>2185</v>
      </c>
      <c r="C815" s="201" t="s">
        <v>19</v>
      </c>
      <c r="D815" s="201">
        <v>869</v>
      </c>
      <c r="E815" s="201">
        <v>9276032.8300000001</v>
      </c>
      <c r="F815" s="201">
        <v>1625094.83</v>
      </c>
      <c r="G815" s="201">
        <f>'Mail Merge'!$E815+'Mail Merge'!$F815</f>
        <v>10901127.66</v>
      </c>
      <c r="H815" s="201">
        <v>0</v>
      </c>
      <c r="I815" s="201" t="s">
        <v>241</v>
      </c>
      <c r="J815" s="201">
        <f>IFERROR('Mail Merge'!$E815/'Mail Merge'!$D815,0)</f>
        <v>10674.376098964327</v>
      </c>
      <c r="K815" s="201">
        <f>IFERROR('Mail Merge'!$F815/'Mail Merge'!$D815,0)</f>
        <v>1870.0746029919449</v>
      </c>
      <c r="L815" s="201">
        <f>IFERROR('Mail Merge'!$G815/'Mail Merge'!$D815,0)</f>
        <v>12544.450701956272</v>
      </c>
      <c r="M815" s="201">
        <v>0</v>
      </c>
      <c r="N815" s="201" t="s">
        <v>241</v>
      </c>
      <c r="O815" s="201">
        <v>978944.11</v>
      </c>
      <c r="P815" s="201">
        <v>8491.75</v>
      </c>
      <c r="Q815" s="201">
        <f>'Mail Merge'!$O815+'Mail Merge'!$P815</f>
        <v>987435.86</v>
      </c>
      <c r="R815" s="201"/>
      <c r="S815" s="201"/>
      <c r="T815" s="201"/>
      <c r="U815" s="201">
        <f>IF(AND('Mail Merge'!$I815="Did Not Meet",'Mail Merge'!$N815="Did Not Meet"),MIN(ABS('Mail Merge'!$H815),ABS('Mail Merge'!$M815),'Mail Merge'!$Q815),0)</f>
        <v>0</v>
      </c>
      <c r="V815" s="201" t="str">
        <f>IF(OR(IFERROR(SEARCH("Met",'Mail Merge'!$N815),0)&gt;0,IFERROR(SEARCH("Met",'Mail Merge'!$I815),0)&gt;0),"Met","Not Met")</f>
        <v>Met</v>
      </c>
    </row>
    <row r="816" spans="1:22" x14ac:dyDescent="0.35">
      <c r="A816" s="198" t="s">
        <v>47</v>
      </c>
      <c r="B816" s="199">
        <v>1972</v>
      </c>
      <c r="C816" s="199" t="s">
        <v>19</v>
      </c>
      <c r="D816" s="199">
        <v>64</v>
      </c>
      <c r="E816" s="199">
        <v>425340.98</v>
      </c>
      <c r="F816" s="199">
        <v>174296</v>
      </c>
      <c r="G816" s="199">
        <f>'Mail Merge'!$E816+'Mail Merge'!$F816</f>
        <v>599636.98</v>
      </c>
      <c r="H816" s="199">
        <v>0</v>
      </c>
      <c r="I816" s="199" t="s">
        <v>241</v>
      </c>
      <c r="J816" s="199">
        <f>IFERROR('Mail Merge'!$E816/'Mail Merge'!$D816,0)</f>
        <v>6645.9528124999997</v>
      </c>
      <c r="K816" s="199">
        <f>IFERROR('Mail Merge'!$F816/'Mail Merge'!$D816,0)</f>
        <v>2723.375</v>
      </c>
      <c r="L816" s="199">
        <f>IFERROR('Mail Merge'!$G816/'Mail Merge'!$D816,0)</f>
        <v>9369.3278124999997</v>
      </c>
      <c r="M816" s="199">
        <v>0</v>
      </c>
      <c r="N816" s="199" t="s">
        <v>240</v>
      </c>
      <c r="O816" s="199">
        <v>110168.82</v>
      </c>
      <c r="P816" s="199">
        <v>612.02</v>
      </c>
      <c r="Q816" s="199">
        <f>'Mail Merge'!$O816+'Mail Merge'!$P816</f>
        <v>110780.84000000001</v>
      </c>
      <c r="R816" s="199"/>
      <c r="S816" s="199"/>
      <c r="T816" s="199"/>
      <c r="U816" s="199">
        <f>IF(AND('Mail Merge'!$I816="Did Not Meet",'Mail Merge'!$N816="Did Not Meet"),MIN(ABS('Mail Merge'!$H816),ABS('Mail Merge'!$M816),'Mail Merge'!$Q816),0)</f>
        <v>0</v>
      </c>
      <c r="V816" s="199" t="str">
        <f>IF(OR(IFERROR(SEARCH("Met",'Mail Merge'!$N816),0)&gt;0,IFERROR(SEARCH("Met",'Mail Merge'!$I816),0)&gt;0),"Met","Not Met")</f>
        <v>Met</v>
      </c>
    </row>
    <row r="817" spans="1:22" x14ac:dyDescent="0.35">
      <c r="A817" s="200" t="s">
        <v>48</v>
      </c>
      <c r="B817" s="201">
        <v>2105</v>
      </c>
      <c r="C817" s="201" t="s">
        <v>19</v>
      </c>
      <c r="D817" s="201">
        <v>98</v>
      </c>
      <c r="E817" s="201">
        <v>681344.69</v>
      </c>
      <c r="F817" s="201">
        <v>72211</v>
      </c>
      <c r="G817" s="201">
        <f>'Mail Merge'!$E817+'Mail Merge'!$F817</f>
        <v>753555.69</v>
      </c>
      <c r="H817" s="201">
        <v>0</v>
      </c>
      <c r="I817" s="201" t="s">
        <v>239</v>
      </c>
      <c r="J817" s="201">
        <f>IFERROR('Mail Merge'!$E817/'Mail Merge'!$D817,0)</f>
        <v>6952.4968367346937</v>
      </c>
      <c r="K817" s="201">
        <f>IFERROR('Mail Merge'!$F817/'Mail Merge'!$D817,0)</f>
        <v>736.84693877551024</v>
      </c>
      <c r="L817" s="201">
        <f>IFERROR('Mail Merge'!$G817/'Mail Merge'!$D817,0)</f>
        <v>7689.3437755102032</v>
      </c>
      <c r="M817" s="201">
        <v>0</v>
      </c>
      <c r="N817" s="201" t="s">
        <v>239</v>
      </c>
      <c r="O817" s="201">
        <v>110191.85</v>
      </c>
      <c r="P817" s="201">
        <v>918.03</v>
      </c>
      <c r="Q817" s="201">
        <f>'Mail Merge'!$O817+'Mail Merge'!$P817</f>
        <v>111109.88</v>
      </c>
      <c r="R817" s="201"/>
      <c r="S817" s="201"/>
      <c r="T817" s="201"/>
      <c r="U817" s="201">
        <f>IF(AND('Mail Merge'!$I817="Did Not Meet",'Mail Merge'!$N817="Did Not Meet"),MIN(ABS('Mail Merge'!$H817),ABS('Mail Merge'!$M817),'Mail Merge'!$Q817),0)</f>
        <v>0</v>
      </c>
      <c r="V817" s="201" t="str">
        <f>IF(OR(IFERROR(SEARCH("Met",'Mail Merge'!$N817),0)&gt;0,IFERROR(SEARCH("Met",'Mail Merge'!$I817),0)&gt;0),"Met","Not Met")</f>
        <v>Met</v>
      </c>
    </row>
    <row r="818" spans="1:22" x14ac:dyDescent="0.35">
      <c r="A818" s="198" t="s">
        <v>49</v>
      </c>
      <c r="B818" s="199">
        <v>2042</v>
      </c>
      <c r="C818" s="199" t="s">
        <v>19</v>
      </c>
      <c r="D818" s="199">
        <v>637</v>
      </c>
      <c r="E818" s="199">
        <v>3308634.73</v>
      </c>
      <c r="F818" s="199">
        <v>1175678.28</v>
      </c>
      <c r="G818" s="199">
        <f>'Mail Merge'!$E818+'Mail Merge'!$F818</f>
        <v>4484313.01</v>
      </c>
      <c r="H818" s="199">
        <v>0</v>
      </c>
      <c r="I818" s="199" t="s">
        <v>241</v>
      </c>
      <c r="J818" s="199">
        <f>IFERROR('Mail Merge'!$E818/'Mail Merge'!$D818,0)</f>
        <v>5194.0890580847727</v>
      </c>
      <c r="K818" s="199">
        <f>IFERROR('Mail Merge'!$F818/'Mail Merge'!$D818,0)</f>
        <v>1845.6487912087912</v>
      </c>
      <c r="L818" s="199">
        <f>IFERROR('Mail Merge'!$G818/'Mail Merge'!$D818,0)</f>
        <v>7039.7378492935632</v>
      </c>
      <c r="M818" s="199">
        <v>0</v>
      </c>
      <c r="N818" s="199" t="s">
        <v>240</v>
      </c>
      <c r="O818" s="199">
        <v>658617.88</v>
      </c>
      <c r="P818" s="199">
        <v>9134.94</v>
      </c>
      <c r="Q818" s="199">
        <f>'Mail Merge'!$O818+'Mail Merge'!$P818</f>
        <v>667752.81999999995</v>
      </c>
      <c r="R818" s="199"/>
      <c r="S818" s="199"/>
      <c r="T818" s="199"/>
      <c r="U818" s="199">
        <f>IF(AND('Mail Merge'!$I818="Did Not Meet",'Mail Merge'!$N818="Did Not Meet"),MIN(ABS('Mail Merge'!$H818),ABS('Mail Merge'!$M818),'Mail Merge'!$Q818),0)</f>
        <v>0</v>
      </c>
      <c r="V818" s="199" t="str">
        <f>IF(OR(IFERROR(SEARCH("Met",'Mail Merge'!$N818),0)&gt;0,IFERROR(SEARCH("Met",'Mail Merge'!$I818),0)&gt;0),"Met","Not Met")</f>
        <v>Met</v>
      </c>
    </row>
    <row r="819" spans="1:22" x14ac:dyDescent="0.35">
      <c r="A819" s="200" t="s">
        <v>50</v>
      </c>
      <c r="B819" s="201">
        <v>2191</v>
      </c>
      <c r="C819" s="201" t="s">
        <v>19</v>
      </c>
      <c r="D819" s="201">
        <v>361</v>
      </c>
      <c r="E819" s="201">
        <v>5021984.21</v>
      </c>
      <c r="F819" s="201">
        <v>416155.81</v>
      </c>
      <c r="G819" s="201">
        <f>'Mail Merge'!$E819+'Mail Merge'!$F819</f>
        <v>5438140.0199999996</v>
      </c>
      <c r="H819" s="201">
        <v>0</v>
      </c>
      <c r="I819" s="201" t="s">
        <v>241</v>
      </c>
      <c r="J819" s="201">
        <f>IFERROR('Mail Merge'!$E819/'Mail Merge'!$D819,0)</f>
        <v>13911.313601108033</v>
      </c>
      <c r="K819" s="201">
        <f>IFERROR('Mail Merge'!$F819/'Mail Merge'!$D819,0)</f>
        <v>1152.7861772853184</v>
      </c>
      <c r="L819" s="201">
        <f>IFERROR('Mail Merge'!$G819/'Mail Merge'!$D819,0)</f>
        <v>15064.099778393351</v>
      </c>
      <c r="M819" s="201">
        <v>0</v>
      </c>
      <c r="N819" s="201" t="s">
        <v>241</v>
      </c>
      <c r="O819" s="201">
        <v>419432.63</v>
      </c>
      <c r="P819" s="201">
        <v>3267.55</v>
      </c>
      <c r="Q819" s="201">
        <f>'Mail Merge'!$O819+'Mail Merge'!$P819</f>
        <v>422700.18</v>
      </c>
      <c r="R819" s="201"/>
      <c r="S819" s="201"/>
      <c r="T819" s="201"/>
      <c r="U819" s="201">
        <f>IF(AND('Mail Merge'!$I819="Did Not Meet",'Mail Merge'!$N819="Did Not Meet"),MIN(ABS('Mail Merge'!$H819),ABS('Mail Merge'!$M819),'Mail Merge'!$Q819),0)</f>
        <v>0</v>
      </c>
      <c r="V819" s="201" t="str">
        <f>IF(OR(IFERROR(SEARCH("Met",'Mail Merge'!$N819),0)&gt;0,IFERROR(SEARCH("Met",'Mail Merge'!$I819),0)&gt;0),"Met","Not Met")</f>
        <v>Met</v>
      </c>
    </row>
    <row r="820" spans="1:22" x14ac:dyDescent="0.35">
      <c r="A820" s="198" t="s">
        <v>51</v>
      </c>
      <c r="B820" s="199">
        <v>1945</v>
      </c>
      <c r="C820" s="199" t="s">
        <v>19</v>
      </c>
      <c r="D820" s="199">
        <v>106</v>
      </c>
      <c r="E820" s="199">
        <v>999267.26</v>
      </c>
      <c r="F820" s="199">
        <v>199502</v>
      </c>
      <c r="G820" s="199">
        <f>'Mail Merge'!$E820+'Mail Merge'!$F820</f>
        <v>1198769.26</v>
      </c>
      <c r="H820" s="199">
        <v>0</v>
      </c>
      <c r="I820" s="199" t="s">
        <v>241</v>
      </c>
      <c r="J820" s="199">
        <f>IFERROR('Mail Merge'!$E820/'Mail Merge'!$D820,0)</f>
        <v>9427.0496226415089</v>
      </c>
      <c r="K820" s="199">
        <f>IFERROR('Mail Merge'!$F820/'Mail Merge'!$D820,0)</f>
        <v>1882.0943396226414</v>
      </c>
      <c r="L820" s="199">
        <f>IFERROR('Mail Merge'!$G820/'Mail Merge'!$D820,0)</f>
        <v>11309.143962264152</v>
      </c>
      <c r="M820" s="199">
        <v>0</v>
      </c>
      <c r="N820" s="199" t="s">
        <v>241</v>
      </c>
      <c r="O820" s="199">
        <v>121916.93</v>
      </c>
      <c r="P820" s="199">
        <v>3060.09</v>
      </c>
      <c r="Q820" s="199">
        <f>'Mail Merge'!$O820+'Mail Merge'!$P820</f>
        <v>124977.01999999999</v>
      </c>
      <c r="R820" s="199"/>
      <c r="S820" s="199"/>
      <c r="T820" s="199"/>
      <c r="U820" s="199">
        <f>IF(AND('Mail Merge'!$I820="Did Not Meet",'Mail Merge'!$N820="Did Not Meet"),MIN(ABS('Mail Merge'!$H820),ABS('Mail Merge'!$M820),'Mail Merge'!$Q820),0)</f>
        <v>0</v>
      </c>
      <c r="V820" s="199" t="str">
        <f>IF(OR(IFERROR(SEARCH("Met",'Mail Merge'!$N820),0)&gt;0,IFERROR(SEARCH("Met",'Mail Merge'!$I820),0)&gt;0),"Met","Not Met")</f>
        <v>Met</v>
      </c>
    </row>
    <row r="821" spans="1:22" x14ac:dyDescent="0.35">
      <c r="A821" s="200" t="s">
        <v>52</v>
      </c>
      <c r="B821" s="201">
        <v>1927</v>
      </c>
      <c r="C821" s="201" t="s">
        <v>19</v>
      </c>
      <c r="D821" s="201">
        <v>97</v>
      </c>
      <c r="E821" s="201">
        <v>893618.96</v>
      </c>
      <c r="F821" s="201">
        <v>183177</v>
      </c>
      <c r="G821" s="201">
        <f>'Mail Merge'!$E821+'Mail Merge'!$F821</f>
        <v>1076795.96</v>
      </c>
      <c r="H821" s="201">
        <v>0</v>
      </c>
      <c r="I821" s="201" t="s">
        <v>241</v>
      </c>
      <c r="J821" s="201">
        <f>IFERROR('Mail Merge'!$E821/'Mail Merge'!$D821,0)</f>
        <v>9212.5665979381447</v>
      </c>
      <c r="K821" s="201">
        <f>IFERROR('Mail Merge'!$F821/'Mail Merge'!$D821,0)</f>
        <v>1888.4226804123712</v>
      </c>
      <c r="L821" s="201">
        <f>IFERROR('Mail Merge'!$G821/'Mail Merge'!$D821,0)</f>
        <v>11100.989278350515</v>
      </c>
      <c r="M821" s="201">
        <v>0</v>
      </c>
      <c r="N821" s="201" t="s">
        <v>240</v>
      </c>
      <c r="O821" s="201">
        <v>132996.12</v>
      </c>
      <c r="P821" s="201">
        <v>561.02</v>
      </c>
      <c r="Q821" s="201">
        <f>'Mail Merge'!$O821+'Mail Merge'!$P821</f>
        <v>133557.13999999998</v>
      </c>
      <c r="R821" s="201"/>
      <c r="S821" s="201"/>
      <c r="T821" s="201"/>
      <c r="U821" s="201">
        <f>IF(AND('Mail Merge'!$I821="Did Not Meet",'Mail Merge'!$N821="Did Not Meet"),MIN(ABS('Mail Merge'!$H821),ABS('Mail Merge'!$M821),'Mail Merge'!$Q821),0)</f>
        <v>0</v>
      </c>
      <c r="V821" s="201" t="str">
        <f>IF(OR(IFERROR(SEARCH("Met",'Mail Merge'!$N821),0)&gt;0,IFERROR(SEARCH("Met",'Mail Merge'!$I821),0)&gt;0),"Met","Not Met")</f>
        <v>Met</v>
      </c>
    </row>
    <row r="822" spans="1:22" x14ac:dyDescent="0.35">
      <c r="A822" s="198" t="s">
        <v>53</v>
      </c>
      <c r="B822" s="199">
        <v>2006</v>
      </c>
      <c r="C822" s="199" t="s">
        <v>19</v>
      </c>
      <c r="D822" s="199">
        <v>22</v>
      </c>
      <c r="E822" s="199">
        <v>6434.9</v>
      </c>
      <c r="F822" s="199">
        <v>108087</v>
      </c>
      <c r="G822" s="199">
        <f>'Mail Merge'!$E822+'Mail Merge'!$F822</f>
        <v>114521.9</v>
      </c>
      <c r="H822" s="199">
        <v>0</v>
      </c>
      <c r="I822" s="199" t="s">
        <v>239</v>
      </c>
      <c r="J822" s="199">
        <f>IFERROR('Mail Merge'!$E822/'Mail Merge'!$D822,0)</f>
        <v>292.49545454545455</v>
      </c>
      <c r="K822" s="199">
        <f>IFERROR('Mail Merge'!$F822/'Mail Merge'!$D822,0)</f>
        <v>4913.045454545455</v>
      </c>
      <c r="L822" s="199">
        <f>IFERROR('Mail Merge'!$G822/'Mail Merge'!$D822,0)</f>
        <v>5205.5409090909088</v>
      </c>
      <c r="M822" s="199">
        <v>0</v>
      </c>
      <c r="N822" s="199" t="s">
        <v>239</v>
      </c>
      <c r="O822" s="199">
        <v>24599.66</v>
      </c>
      <c r="P822" s="199">
        <v>0</v>
      </c>
      <c r="Q822" s="199">
        <f>'Mail Merge'!$O822+'Mail Merge'!$P822</f>
        <v>24599.66</v>
      </c>
      <c r="R822" s="199"/>
      <c r="S822" s="199"/>
      <c r="T822" s="199"/>
      <c r="U822" s="199">
        <f>IF(AND('Mail Merge'!$I822="Did Not Meet",'Mail Merge'!$N822="Did Not Meet"),MIN(ABS('Mail Merge'!$H822),ABS('Mail Merge'!$M822),'Mail Merge'!$Q822),0)</f>
        <v>0</v>
      </c>
      <c r="V822" s="199" t="str">
        <f>IF(OR(IFERROR(SEARCH("Met",'Mail Merge'!$N822),0)&gt;0,IFERROR(SEARCH("Met",'Mail Merge'!$I822),0)&gt;0),"Met","Not Met")</f>
        <v>Met</v>
      </c>
    </row>
    <row r="823" spans="1:22" x14ac:dyDescent="0.35">
      <c r="A823" s="200" t="s">
        <v>54</v>
      </c>
      <c r="B823" s="201">
        <v>1965</v>
      </c>
      <c r="C823" s="201" t="s">
        <v>19</v>
      </c>
      <c r="D823" s="201">
        <v>455</v>
      </c>
      <c r="E823" s="201">
        <v>3958368.44</v>
      </c>
      <c r="F823" s="201">
        <v>961459</v>
      </c>
      <c r="G823" s="201">
        <f>'Mail Merge'!$E823+'Mail Merge'!$F823</f>
        <v>4919827.4399999995</v>
      </c>
      <c r="H823" s="201">
        <v>0</v>
      </c>
      <c r="I823" s="201" t="s">
        <v>242</v>
      </c>
      <c r="J823" s="201">
        <f>IFERROR('Mail Merge'!$E823/'Mail Merge'!$D823,0)</f>
        <v>8699.7108571428562</v>
      </c>
      <c r="K823" s="201">
        <f>IFERROR('Mail Merge'!$F823/'Mail Merge'!$D823,0)</f>
        <v>2113.0967032967033</v>
      </c>
      <c r="L823" s="201">
        <f>IFERROR('Mail Merge'!$G823/'Mail Merge'!$D823,0)</f>
        <v>10812.80756043956</v>
      </c>
      <c r="M823" s="201">
        <v>0</v>
      </c>
      <c r="N823" s="201" t="s">
        <v>241</v>
      </c>
      <c r="O823" s="201">
        <v>609288.65</v>
      </c>
      <c r="P823" s="201">
        <v>5329.03</v>
      </c>
      <c r="Q823" s="201">
        <f>'Mail Merge'!$O823+'Mail Merge'!$P823</f>
        <v>614617.68000000005</v>
      </c>
      <c r="R823" s="201"/>
      <c r="S823" s="201">
        <v>314949.84999999998</v>
      </c>
      <c r="T823" s="201">
        <v>314949.84999999998</v>
      </c>
      <c r="U823" s="201">
        <f>IF(AND('Mail Merge'!$I823="Did Not Meet",'Mail Merge'!$N823="Did Not Meet"),MIN(ABS('Mail Merge'!$H823),ABS('Mail Merge'!$M823),'Mail Merge'!$Q823),0)</f>
        <v>0</v>
      </c>
      <c r="V823" s="201" t="str">
        <f>IF(OR(IFERROR(SEARCH("Met",'Mail Merge'!$N823),0)&gt;0,IFERROR(SEARCH("Met",'Mail Merge'!$I823),0)&gt;0),"Met","Not Met")</f>
        <v>Met</v>
      </c>
    </row>
    <row r="824" spans="1:22" x14ac:dyDescent="0.35">
      <c r="A824" s="198" t="s">
        <v>55</v>
      </c>
      <c r="B824" s="199">
        <v>1964</v>
      </c>
      <c r="C824" s="199" t="s">
        <v>19</v>
      </c>
      <c r="D824" s="199">
        <v>92</v>
      </c>
      <c r="E824" s="199">
        <v>878068.3</v>
      </c>
      <c r="F824" s="199">
        <v>219204</v>
      </c>
      <c r="G824" s="199">
        <f>'Mail Merge'!$E824+'Mail Merge'!$F824</f>
        <v>1097272.3</v>
      </c>
      <c r="H824" s="199">
        <v>0</v>
      </c>
      <c r="I824" s="199" t="s">
        <v>240</v>
      </c>
      <c r="J824" s="199">
        <f>IFERROR('Mail Merge'!$E824/'Mail Merge'!$D824,0)</f>
        <v>9544.2206521739135</v>
      </c>
      <c r="K824" s="199">
        <f>IFERROR('Mail Merge'!$F824/'Mail Merge'!$D824,0)</f>
        <v>2382.6521739130435</v>
      </c>
      <c r="L824" s="199">
        <f>IFERROR('Mail Merge'!$G824/'Mail Merge'!$D824,0)</f>
        <v>11926.872826086958</v>
      </c>
      <c r="M824" s="199">
        <v>0</v>
      </c>
      <c r="N824" s="199" t="s">
        <v>240</v>
      </c>
      <c r="O824" s="199">
        <v>138265.57</v>
      </c>
      <c r="P824" s="199">
        <v>2295.0700000000002</v>
      </c>
      <c r="Q824" s="199">
        <f>'Mail Merge'!$O824+'Mail Merge'!$P824</f>
        <v>140560.64000000001</v>
      </c>
      <c r="R824" s="199"/>
      <c r="S824" s="199"/>
      <c r="T824" s="199"/>
      <c r="U824" s="199">
        <f>IF(AND('Mail Merge'!$I824="Did Not Meet",'Mail Merge'!$N824="Did Not Meet"),MIN(ABS('Mail Merge'!$H824),ABS('Mail Merge'!$M824),'Mail Merge'!$Q824),0)</f>
        <v>0</v>
      </c>
      <c r="V824" s="199" t="str">
        <f>IF(OR(IFERROR(SEARCH("Met",'Mail Merge'!$N824),0)&gt;0,IFERROR(SEARCH("Met",'Mail Merge'!$I824),0)&gt;0),"Met","Not Met")</f>
        <v>Not Met</v>
      </c>
    </row>
    <row r="825" spans="1:22" x14ac:dyDescent="0.35">
      <c r="A825" s="200" t="s">
        <v>56</v>
      </c>
      <c r="B825" s="201">
        <v>2186</v>
      </c>
      <c r="C825" s="201" t="s">
        <v>19</v>
      </c>
      <c r="D825" s="201">
        <v>108</v>
      </c>
      <c r="E825" s="201">
        <v>632299.55000000005</v>
      </c>
      <c r="F825" s="201">
        <v>317720.11</v>
      </c>
      <c r="G825" s="201">
        <f>'Mail Merge'!$E825+'Mail Merge'!$F825</f>
        <v>950019.66</v>
      </c>
      <c r="H825" s="201">
        <v>0</v>
      </c>
      <c r="I825" s="201" t="s">
        <v>241</v>
      </c>
      <c r="J825" s="201">
        <f>IFERROR('Mail Merge'!$E825/'Mail Merge'!$D825,0)</f>
        <v>5854.625462962963</v>
      </c>
      <c r="K825" s="201">
        <f>IFERROR('Mail Merge'!$F825/'Mail Merge'!$D825,0)</f>
        <v>2941.8528703703701</v>
      </c>
      <c r="L825" s="201">
        <f>IFERROR('Mail Merge'!$G825/'Mail Merge'!$D825,0)</f>
        <v>8796.4783333333344</v>
      </c>
      <c r="M825" s="201">
        <v>0</v>
      </c>
      <c r="N825" s="201" t="s">
        <v>240</v>
      </c>
      <c r="O825" s="201">
        <v>167539.32</v>
      </c>
      <c r="P825" s="201">
        <v>2008.18</v>
      </c>
      <c r="Q825" s="201">
        <f>'Mail Merge'!$O825+'Mail Merge'!$P825</f>
        <v>169547.5</v>
      </c>
      <c r="R825" s="201"/>
      <c r="S825" s="201"/>
      <c r="T825" s="201"/>
      <c r="U825" s="201">
        <f>IF(AND('Mail Merge'!$I825="Did Not Meet",'Mail Merge'!$N825="Did Not Meet"),MIN(ABS('Mail Merge'!$H825),ABS('Mail Merge'!$M825),'Mail Merge'!$Q825),0)</f>
        <v>0</v>
      </c>
      <c r="V825" s="201" t="str">
        <f>IF(OR(IFERROR(SEARCH("Met",'Mail Merge'!$N825),0)&gt;0,IFERROR(SEARCH("Met",'Mail Merge'!$I825),0)&gt;0),"Met","Not Met")</f>
        <v>Met</v>
      </c>
    </row>
    <row r="826" spans="1:22" x14ac:dyDescent="0.35">
      <c r="A826" s="198" t="s">
        <v>58</v>
      </c>
      <c r="B826" s="199">
        <v>1901</v>
      </c>
      <c r="C826" s="199" t="s">
        <v>19</v>
      </c>
      <c r="D826" s="199">
        <v>758</v>
      </c>
      <c r="E826" s="199">
        <v>7138559.7199999997</v>
      </c>
      <c r="F826" s="199">
        <v>771226</v>
      </c>
      <c r="G826" s="199">
        <f>'Mail Merge'!$E826+'Mail Merge'!$F826</f>
        <v>7909785.7199999997</v>
      </c>
      <c r="H826" s="199">
        <v>0</v>
      </c>
      <c r="I826" s="199" t="s">
        <v>239</v>
      </c>
      <c r="J826" s="199">
        <f>IFERROR('Mail Merge'!$E826/'Mail Merge'!$D826,0)</f>
        <v>9417.624960422163</v>
      </c>
      <c r="K826" s="199">
        <f>IFERROR('Mail Merge'!$F826/'Mail Merge'!$D826,0)</f>
        <v>1017.4485488126649</v>
      </c>
      <c r="L826" s="199">
        <f>IFERROR('Mail Merge'!$G826/'Mail Merge'!$D826,0)</f>
        <v>10435.073509234828</v>
      </c>
      <c r="M826" s="199">
        <v>0</v>
      </c>
      <c r="N826" s="199" t="s">
        <v>239</v>
      </c>
      <c r="O826" s="199">
        <v>1009123.54</v>
      </c>
      <c r="P826" s="199">
        <v>9219.61</v>
      </c>
      <c r="Q826" s="199">
        <f>'Mail Merge'!$O826+'Mail Merge'!$P826</f>
        <v>1018343.15</v>
      </c>
      <c r="R826" s="199"/>
      <c r="S826" s="199"/>
      <c r="T826" s="199"/>
      <c r="U826" s="199">
        <f>IF(AND('Mail Merge'!$I826="Did Not Meet",'Mail Merge'!$N826="Did Not Meet"),MIN(ABS('Mail Merge'!$H826),ABS('Mail Merge'!$M826),'Mail Merge'!$Q826),0)</f>
        <v>0</v>
      </c>
      <c r="V826" s="199" t="str">
        <f>IF(OR(IFERROR(SEARCH("Met",'Mail Merge'!$N826),0)&gt;0,IFERROR(SEARCH("Met",'Mail Merge'!$I826),0)&gt;0),"Met","Not Met")</f>
        <v>Met</v>
      </c>
    </row>
    <row r="827" spans="1:22" x14ac:dyDescent="0.35">
      <c r="A827" s="200" t="s">
        <v>59</v>
      </c>
      <c r="B827" s="201">
        <v>2216</v>
      </c>
      <c r="C827" s="201" t="s">
        <v>19</v>
      </c>
      <c r="D827" s="201">
        <v>21</v>
      </c>
      <c r="E827" s="201">
        <v>135076.57</v>
      </c>
      <c r="F827" s="201">
        <v>42888</v>
      </c>
      <c r="G827" s="201">
        <f>'Mail Merge'!$E827+'Mail Merge'!$F827</f>
        <v>177964.57</v>
      </c>
      <c r="H827" s="201">
        <v>0</v>
      </c>
      <c r="I827" s="201" t="s">
        <v>241</v>
      </c>
      <c r="J827" s="201">
        <f>IFERROR('Mail Merge'!$E827/'Mail Merge'!$D827,0)</f>
        <v>6432.2176190476193</v>
      </c>
      <c r="K827" s="201">
        <f>IFERROR('Mail Merge'!$F827/'Mail Merge'!$D827,0)</f>
        <v>2042.2857142857142</v>
      </c>
      <c r="L827" s="201">
        <f>IFERROR('Mail Merge'!$G827/'Mail Merge'!$D827,0)</f>
        <v>8474.503333333334</v>
      </c>
      <c r="M827" s="201">
        <v>0</v>
      </c>
      <c r="N827" s="201" t="s">
        <v>240</v>
      </c>
      <c r="O827" s="201">
        <v>43348.63</v>
      </c>
      <c r="P827" s="201">
        <v>0</v>
      </c>
      <c r="Q827" s="201">
        <f>'Mail Merge'!$O827+'Mail Merge'!$P827</f>
        <v>43348.63</v>
      </c>
      <c r="R827" s="201"/>
      <c r="S827" s="201"/>
      <c r="T827" s="201"/>
      <c r="U827" s="201">
        <f>IF(AND('Mail Merge'!$I827="Did Not Meet",'Mail Merge'!$N827="Did Not Meet"),MIN(ABS('Mail Merge'!$H827),ABS('Mail Merge'!$M827),'Mail Merge'!$Q827),0)</f>
        <v>0</v>
      </c>
      <c r="V827" s="201" t="str">
        <f>IF(OR(IFERROR(SEARCH("Met",'Mail Merge'!$N827),0)&gt;0,IFERROR(SEARCH("Met",'Mail Merge'!$I827),0)&gt;0),"Met","Not Met")</f>
        <v>Met</v>
      </c>
    </row>
    <row r="828" spans="1:22" x14ac:dyDescent="0.35">
      <c r="A828" s="198" t="s">
        <v>60</v>
      </c>
      <c r="B828" s="199">
        <v>2086</v>
      </c>
      <c r="C828" s="199" t="s">
        <v>19</v>
      </c>
      <c r="D828" s="199">
        <v>224</v>
      </c>
      <c r="E828" s="199">
        <v>2213908.94</v>
      </c>
      <c r="F828" s="199">
        <v>464909</v>
      </c>
      <c r="G828" s="199">
        <f>'Mail Merge'!$E828+'Mail Merge'!$F828</f>
        <v>2678817.94</v>
      </c>
      <c r="H828" s="199">
        <v>0</v>
      </c>
      <c r="I828" s="199" t="s">
        <v>241</v>
      </c>
      <c r="J828" s="199">
        <f>IFERROR('Mail Merge'!$E828/'Mail Merge'!$D828,0)</f>
        <v>9883.5220535714288</v>
      </c>
      <c r="K828" s="199">
        <f>IFERROR('Mail Merge'!$F828/'Mail Merge'!$D828,0)</f>
        <v>2075.4866071428573</v>
      </c>
      <c r="L828" s="199">
        <f>IFERROR('Mail Merge'!$G828/'Mail Merge'!$D828,0)</f>
        <v>11959.008660714286</v>
      </c>
      <c r="M828" s="199">
        <v>0</v>
      </c>
      <c r="N828" s="199" t="s">
        <v>241</v>
      </c>
      <c r="O828" s="199">
        <v>223083.23</v>
      </c>
      <c r="P828" s="199">
        <v>1486.33</v>
      </c>
      <c r="Q828" s="199">
        <f>'Mail Merge'!$O828+'Mail Merge'!$P828</f>
        <v>224569.56</v>
      </c>
      <c r="R828" s="199"/>
      <c r="S828" s="199"/>
      <c r="T828" s="199"/>
      <c r="U828" s="199">
        <f>IF(AND('Mail Merge'!$I828="Did Not Meet",'Mail Merge'!$N828="Did Not Meet"),MIN(ABS('Mail Merge'!$H828),ABS('Mail Merge'!$M828),'Mail Merge'!$Q828),0)</f>
        <v>0</v>
      </c>
      <c r="V828" s="199" t="str">
        <f>IF(OR(IFERROR(SEARCH("Met",'Mail Merge'!$N828),0)&gt;0,IFERROR(SEARCH("Met",'Mail Merge'!$I828),0)&gt;0),"Met","Not Met")</f>
        <v>Met</v>
      </c>
    </row>
    <row r="829" spans="1:22" x14ac:dyDescent="0.35">
      <c r="A829" s="200" t="s">
        <v>61</v>
      </c>
      <c r="B829" s="201">
        <v>1970</v>
      </c>
      <c r="C829" s="201" t="s">
        <v>19</v>
      </c>
      <c r="D829" s="201">
        <v>453</v>
      </c>
      <c r="E829" s="201">
        <v>3260967.14</v>
      </c>
      <c r="F829" s="201">
        <v>199667.1</v>
      </c>
      <c r="G829" s="201">
        <f>'Mail Merge'!$E829+'Mail Merge'!$F829</f>
        <v>3460634.24</v>
      </c>
      <c r="H829" s="201">
        <v>0</v>
      </c>
      <c r="I829" s="201" t="s">
        <v>241</v>
      </c>
      <c r="J829" s="201">
        <f>IFERROR('Mail Merge'!$E829/'Mail Merge'!$D829,0)</f>
        <v>7198.6029580573959</v>
      </c>
      <c r="K829" s="201">
        <f>IFERROR('Mail Merge'!$F829/'Mail Merge'!$D829,0)</f>
        <v>440.7662251655629</v>
      </c>
      <c r="L829" s="201">
        <f>IFERROR('Mail Merge'!$G829/'Mail Merge'!$D829,0)</f>
        <v>7639.3691832229588</v>
      </c>
      <c r="M829" s="201">
        <v>0</v>
      </c>
      <c r="N829" s="201" t="s">
        <v>240</v>
      </c>
      <c r="O829" s="201">
        <v>578987.5</v>
      </c>
      <c r="P829" s="201">
        <v>7197.33</v>
      </c>
      <c r="Q829" s="201">
        <f>'Mail Merge'!$O829+'Mail Merge'!$P829</f>
        <v>586184.82999999996</v>
      </c>
      <c r="R829" s="201"/>
      <c r="S829" s="201"/>
      <c r="T829" s="201"/>
      <c r="U829" s="201">
        <f>IF(AND('Mail Merge'!$I829="Did Not Meet",'Mail Merge'!$N829="Did Not Meet"),MIN(ABS('Mail Merge'!$H829),ABS('Mail Merge'!$M829),'Mail Merge'!$Q829),0)</f>
        <v>0</v>
      </c>
      <c r="V829" s="201" t="str">
        <f>IF(OR(IFERROR(SEARCH("Met",'Mail Merge'!$N829),0)&gt;0,IFERROR(SEARCH("Met",'Mail Merge'!$I829),0)&gt;0),"Met","Not Met")</f>
        <v>Met</v>
      </c>
    </row>
    <row r="830" spans="1:22" x14ac:dyDescent="0.35">
      <c r="A830" s="198" t="s">
        <v>62</v>
      </c>
      <c r="B830" s="199">
        <v>2089</v>
      </c>
      <c r="C830" s="199" t="s">
        <v>19</v>
      </c>
      <c r="D830" s="199">
        <v>53</v>
      </c>
      <c r="E830" s="199">
        <v>384272.96</v>
      </c>
      <c r="F830" s="199">
        <v>164645</v>
      </c>
      <c r="G830" s="199">
        <f>'Mail Merge'!$E830+'Mail Merge'!$F830</f>
        <v>548917.96</v>
      </c>
      <c r="H830" s="199">
        <v>0</v>
      </c>
      <c r="I830" s="199" t="s">
        <v>241</v>
      </c>
      <c r="J830" s="199">
        <f>IFERROR('Mail Merge'!$E830/'Mail Merge'!$D830,0)</f>
        <v>7250.4332075471702</v>
      </c>
      <c r="K830" s="199">
        <f>IFERROR('Mail Merge'!$F830/'Mail Merge'!$D830,0)</f>
        <v>3106.5094339622642</v>
      </c>
      <c r="L830" s="199">
        <f>IFERROR('Mail Merge'!$G830/'Mail Merge'!$D830,0)</f>
        <v>10356.942641509433</v>
      </c>
      <c r="M830" s="199">
        <v>0</v>
      </c>
      <c r="N830" s="199" t="s">
        <v>240</v>
      </c>
      <c r="O830" s="199">
        <v>62766.76</v>
      </c>
      <c r="P830" s="199">
        <v>918.03</v>
      </c>
      <c r="Q830" s="199">
        <f>'Mail Merge'!$O830+'Mail Merge'!$P830</f>
        <v>63684.79</v>
      </c>
      <c r="R830" s="199"/>
      <c r="S830" s="199"/>
      <c r="T830" s="199"/>
      <c r="U830" s="199">
        <f>IF(AND('Mail Merge'!$I830="Did Not Meet",'Mail Merge'!$N830="Did Not Meet"),MIN(ABS('Mail Merge'!$H830),ABS('Mail Merge'!$M830),'Mail Merge'!$Q830),0)</f>
        <v>0</v>
      </c>
      <c r="V830" s="199" t="str">
        <f>IF(OR(IFERROR(SEARCH("Met",'Mail Merge'!$N830),0)&gt;0,IFERROR(SEARCH("Met",'Mail Merge'!$I830),0)&gt;0),"Met","Not Met")</f>
        <v>Met</v>
      </c>
    </row>
    <row r="831" spans="1:22" x14ac:dyDescent="0.35">
      <c r="A831" s="200" t="s">
        <v>63</v>
      </c>
      <c r="B831" s="201">
        <v>2050</v>
      </c>
      <c r="C831" s="201" t="s">
        <v>19</v>
      </c>
      <c r="D831" s="201">
        <v>91</v>
      </c>
      <c r="E831" s="201">
        <v>676219.47</v>
      </c>
      <c r="F831" s="201">
        <v>232929.25</v>
      </c>
      <c r="G831" s="201">
        <f>'Mail Merge'!$E831+'Mail Merge'!$F831</f>
        <v>909148.72</v>
      </c>
      <c r="H831" s="201">
        <v>0</v>
      </c>
      <c r="I831" s="201" t="s">
        <v>241</v>
      </c>
      <c r="J831" s="201">
        <f>IFERROR('Mail Merge'!$E831/'Mail Merge'!$D831,0)</f>
        <v>7430.9831868131869</v>
      </c>
      <c r="K831" s="201">
        <f>IFERROR('Mail Merge'!$F831/'Mail Merge'!$D831,0)</f>
        <v>2559.6620879120878</v>
      </c>
      <c r="L831" s="201">
        <f>IFERROR('Mail Merge'!$G831/'Mail Merge'!$D831,0)</f>
        <v>9990.6452747252752</v>
      </c>
      <c r="M831" s="201">
        <v>0</v>
      </c>
      <c r="N831" s="201" t="s">
        <v>240</v>
      </c>
      <c r="O831" s="201">
        <v>116848.15</v>
      </c>
      <c r="P831" s="201">
        <v>2448.0700000000002</v>
      </c>
      <c r="Q831" s="201">
        <f>'Mail Merge'!$O831+'Mail Merge'!$P831</f>
        <v>119296.22</v>
      </c>
      <c r="R831" s="201"/>
      <c r="S831" s="201"/>
      <c r="T831" s="201"/>
      <c r="U831" s="201">
        <f>IF(AND('Mail Merge'!$I831="Did Not Meet",'Mail Merge'!$N831="Did Not Meet"),MIN(ABS('Mail Merge'!$H831),ABS('Mail Merge'!$M831),'Mail Merge'!$Q831),0)</f>
        <v>0</v>
      </c>
      <c r="V831" s="201" t="str">
        <f>IF(OR(IFERROR(SEARCH("Met",'Mail Merge'!$N831),0)&gt;0,IFERROR(SEARCH("Met",'Mail Merge'!$I831),0)&gt;0),"Met","Not Met")</f>
        <v>Met</v>
      </c>
    </row>
    <row r="832" spans="1:22" x14ac:dyDescent="0.35">
      <c r="A832" s="198" t="s">
        <v>64</v>
      </c>
      <c r="B832" s="199">
        <v>2190</v>
      </c>
      <c r="C832" s="199" t="s">
        <v>19</v>
      </c>
      <c r="D832" s="199">
        <v>442</v>
      </c>
      <c r="E832" s="199">
        <v>3674405.53</v>
      </c>
      <c r="F832" s="199">
        <v>223016.51</v>
      </c>
      <c r="G832" s="199">
        <f>'Mail Merge'!$E832+'Mail Merge'!$F832</f>
        <v>3897422.04</v>
      </c>
      <c r="H832" s="199">
        <v>0</v>
      </c>
      <c r="I832" s="199" t="s">
        <v>241</v>
      </c>
      <c r="J832" s="199">
        <f>IFERROR('Mail Merge'!$E832/'Mail Merge'!$D832,0)</f>
        <v>8313.1346832579184</v>
      </c>
      <c r="K832" s="199">
        <f>IFERROR('Mail Merge'!$F832/'Mail Merge'!$D832,0)</f>
        <v>504.56223981900456</v>
      </c>
      <c r="L832" s="199">
        <f>IFERROR('Mail Merge'!$G832/'Mail Merge'!$D832,0)</f>
        <v>8817.6969230769228</v>
      </c>
      <c r="M832" s="199">
        <v>0</v>
      </c>
      <c r="N832" s="199" t="s">
        <v>240</v>
      </c>
      <c r="O832" s="199">
        <v>483022.25</v>
      </c>
      <c r="P832" s="199">
        <v>4310.74</v>
      </c>
      <c r="Q832" s="199">
        <f>'Mail Merge'!$O832+'Mail Merge'!$P832</f>
        <v>487332.99</v>
      </c>
      <c r="R832" s="199"/>
      <c r="S832" s="199"/>
      <c r="T832" s="199"/>
      <c r="U832" s="199">
        <f>IF(AND('Mail Merge'!$I832="Did Not Meet",'Mail Merge'!$N832="Did Not Meet"),MIN(ABS('Mail Merge'!$H832),ABS('Mail Merge'!$M832),'Mail Merge'!$Q832),0)</f>
        <v>0</v>
      </c>
      <c r="V832" s="199" t="str">
        <f>IF(OR(IFERROR(SEARCH("Met",'Mail Merge'!$N832),0)&gt;0,IFERROR(SEARCH("Met",'Mail Merge'!$I832),0)&gt;0),"Met","Not Met")</f>
        <v>Met</v>
      </c>
    </row>
    <row r="833" spans="1:22" x14ac:dyDescent="0.35">
      <c r="A833" s="200" t="s">
        <v>65</v>
      </c>
      <c r="B833" s="201">
        <v>2187</v>
      </c>
      <c r="C833" s="201" t="s">
        <v>19</v>
      </c>
      <c r="D833" s="201">
        <v>1318</v>
      </c>
      <c r="E833" s="201">
        <v>12057634.5</v>
      </c>
      <c r="F833" s="201">
        <v>1531325.85</v>
      </c>
      <c r="G833" s="201">
        <f>'Mail Merge'!$E833+'Mail Merge'!$F833</f>
        <v>13588960.35</v>
      </c>
      <c r="H833" s="201">
        <v>0</v>
      </c>
      <c r="I833" s="201" t="s">
        <v>241</v>
      </c>
      <c r="J833" s="201">
        <f>IFERROR('Mail Merge'!$E833/'Mail Merge'!$D833,0)</f>
        <v>9148.4328528072838</v>
      </c>
      <c r="K833" s="201">
        <f>IFERROR('Mail Merge'!$F833/'Mail Merge'!$D833,0)</f>
        <v>1161.8557283763278</v>
      </c>
      <c r="L833" s="201">
        <f>IFERROR('Mail Merge'!$G833/'Mail Merge'!$D833,0)</f>
        <v>10310.288581183611</v>
      </c>
      <c r="M833" s="201">
        <v>0</v>
      </c>
      <c r="N833" s="201" t="s">
        <v>241</v>
      </c>
      <c r="O833" s="201">
        <v>1746095.39</v>
      </c>
      <c r="P833" s="201">
        <v>14600.34</v>
      </c>
      <c r="Q833" s="201">
        <f>'Mail Merge'!$O833+'Mail Merge'!$P833</f>
        <v>1760695.73</v>
      </c>
      <c r="R833" s="201"/>
      <c r="S833" s="201"/>
      <c r="T833" s="201"/>
      <c r="U833" s="201">
        <f>IF(AND('Mail Merge'!$I833="Did Not Meet",'Mail Merge'!$N833="Did Not Meet"),MIN(ABS('Mail Merge'!$H833),ABS('Mail Merge'!$M833),'Mail Merge'!$Q833),0)</f>
        <v>0</v>
      </c>
      <c r="V833" s="201" t="str">
        <f>IF(OR(IFERROR(SEARCH("Met",'Mail Merge'!$N833),0)&gt;0,IFERROR(SEARCH("Met",'Mail Merge'!$I833),0)&gt;0),"Met","Not Met")</f>
        <v>Met</v>
      </c>
    </row>
    <row r="834" spans="1:22" x14ac:dyDescent="0.35">
      <c r="A834" s="198" t="s">
        <v>66</v>
      </c>
      <c r="B834" s="199">
        <v>2253</v>
      </c>
      <c r="C834" s="199" t="s">
        <v>19</v>
      </c>
      <c r="D834" s="199">
        <v>130</v>
      </c>
      <c r="E834" s="199">
        <v>1003831.43</v>
      </c>
      <c r="F834" s="199">
        <v>34878.449999999997</v>
      </c>
      <c r="G834" s="199">
        <f>'Mail Merge'!$E834+'Mail Merge'!$F834</f>
        <v>1038709.88</v>
      </c>
      <c r="H834" s="199">
        <v>0</v>
      </c>
      <c r="I834" s="199" t="s">
        <v>241</v>
      </c>
      <c r="J834" s="199">
        <f>IFERROR('Mail Merge'!$E834/'Mail Merge'!$D834,0)</f>
        <v>7721.7802307692309</v>
      </c>
      <c r="K834" s="199">
        <f>IFERROR('Mail Merge'!$F834/'Mail Merge'!$D834,0)</f>
        <v>268.29576923076922</v>
      </c>
      <c r="L834" s="199">
        <f>IFERROR('Mail Merge'!$G834/'Mail Merge'!$D834,0)</f>
        <v>7990.076</v>
      </c>
      <c r="M834" s="199">
        <v>0</v>
      </c>
      <c r="N834" s="199" t="s">
        <v>241</v>
      </c>
      <c r="O834" s="199">
        <v>152412.5</v>
      </c>
      <c r="P834" s="199">
        <v>1290.98</v>
      </c>
      <c r="Q834" s="199">
        <f>'Mail Merge'!$O834+'Mail Merge'!$P834</f>
        <v>153703.48000000001</v>
      </c>
      <c r="R834" s="199"/>
      <c r="S834" s="199"/>
      <c r="T834" s="199"/>
      <c r="U834" s="199">
        <f>IF(AND('Mail Merge'!$I834="Did Not Meet",'Mail Merge'!$N834="Did Not Meet"),MIN(ABS('Mail Merge'!$H834),ABS('Mail Merge'!$M834),'Mail Merge'!$Q834),0)</f>
        <v>0</v>
      </c>
      <c r="V834" s="199" t="str">
        <f>IF(OR(IFERROR(SEARCH("Met",'Mail Merge'!$N834),0)&gt;0,IFERROR(SEARCH("Met",'Mail Merge'!$I834),0)&gt;0),"Met","Not Met")</f>
        <v>Met</v>
      </c>
    </row>
    <row r="835" spans="1:22" x14ac:dyDescent="0.35">
      <c r="A835" s="200" t="s">
        <v>67</v>
      </c>
      <c r="B835" s="201">
        <v>2011</v>
      </c>
      <c r="C835" s="201" t="s">
        <v>19</v>
      </c>
      <c r="D835" s="201">
        <v>11</v>
      </c>
      <c r="E835" s="201">
        <v>7532.07</v>
      </c>
      <c r="F835" s="201">
        <v>66858.14</v>
      </c>
      <c r="G835" s="201">
        <f>'Mail Merge'!$E835+'Mail Merge'!$F835</f>
        <v>74390.209999999992</v>
      </c>
      <c r="H835" s="201">
        <v>0</v>
      </c>
      <c r="I835" s="201" t="s">
        <v>239</v>
      </c>
      <c r="J835" s="201">
        <f>IFERROR('Mail Merge'!$E835/'Mail Merge'!$D835,0)</f>
        <v>684.73363636363638</v>
      </c>
      <c r="K835" s="201">
        <f>IFERROR('Mail Merge'!$F835/'Mail Merge'!$D835,0)</f>
        <v>6078.0127272727268</v>
      </c>
      <c r="L835" s="201">
        <f>IFERROR('Mail Merge'!$G835/'Mail Merge'!$D835,0)</f>
        <v>6762.7463636363627</v>
      </c>
      <c r="M835" s="201">
        <v>0</v>
      </c>
      <c r="N835" s="201" t="s">
        <v>239</v>
      </c>
      <c r="O835" s="201">
        <v>10530.22</v>
      </c>
      <c r="P835" s="201">
        <v>1836.05</v>
      </c>
      <c r="Q835" s="201">
        <f>'Mail Merge'!$O835+'Mail Merge'!$P835</f>
        <v>12366.269999999999</v>
      </c>
      <c r="R835" s="201"/>
      <c r="S835" s="201"/>
      <c r="T835" s="201"/>
      <c r="U835" s="201">
        <f>IF(AND('Mail Merge'!$I835="Did Not Meet",'Mail Merge'!$N835="Did Not Meet"),MIN(ABS('Mail Merge'!$H835),ABS('Mail Merge'!$M835),'Mail Merge'!$Q835),0)</f>
        <v>0</v>
      </c>
      <c r="V835" s="201" t="str">
        <f>IF(OR(IFERROR(SEARCH("Met",'Mail Merge'!$N835),0)&gt;0,IFERROR(SEARCH("Met",'Mail Merge'!$I835),0)&gt;0),"Met","Not Met")</f>
        <v>Met</v>
      </c>
    </row>
    <row r="836" spans="1:22" x14ac:dyDescent="0.35">
      <c r="A836" s="198" t="s">
        <v>68</v>
      </c>
      <c r="B836" s="199">
        <v>2017</v>
      </c>
      <c r="C836" s="199" t="s">
        <v>19</v>
      </c>
      <c r="D836" s="199">
        <v>0</v>
      </c>
      <c r="E836" s="199">
        <v>3419.53</v>
      </c>
      <c r="F836" s="199">
        <v>5487</v>
      </c>
      <c r="G836" s="199">
        <f>'Mail Merge'!$E836+'Mail Merge'!$F836</f>
        <v>8906.5300000000007</v>
      </c>
      <c r="H836" s="199">
        <v>0</v>
      </c>
      <c r="I836" s="199" t="s">
        <v>240</v>
      </c>
      <c r="J836" s="199">
        <f>IFERROR('Mail Merge'!$E836/'Mail Merge'!$D836,0)</f>
        <v>0</v>
      </c>
      <c r="K836" s="199">
        <f>IFERROR('Mail Merge'!$F836/'Mail Merge'!$D836,0)</f>
        <v>0</v>
      </c>
      <c r="L836" s="199">
        <f>IFERROR('Mail Merge'!$G836/'Mail Merge'!$D836,0)</f>
        <v>0</v>
      </c>
      <c r="M836" s="199">
        <v>0</v>
      </c>
      <c r="N836" s="199" t="s">
        <v>240</v>
      </c>
      <c r="O836" s="199">
        <v>1572.6</v>
      </c>
      <c r="P836" s="199">
        <v>0</v>
      </c>
      <c r="Q836" s="199">
        <f>'Mail Merge'!$O836+'Mail Merge'!$P836</f>
        <v>1572.6</v>
      </c>
      <c r="R836" s="199"/>
      <c r="S836" s="199"/>
      <c r="T836" s="199"/>
      <c r="U836" s="199">
        <f>IF(AND('Mail Merge'!$I836="Did Not Meet",'Mail Merge'!$N836="Did Not Meet"),MIN(ABS('Mail Merge'!$H836),ABS('Mail Merge'!$M836),'Mail Merge'!$Q836),0)</f>
        <v>0</v>
      </c>
      <c r="V836" s="199" t="str">
        <f>IF(OR(IFERROR(SEARCH("Met",'Mail Merge'!$N836),0)&gt;0,IFERROR(SEARCH("Met",'Mail Merge'!$I836),0)&gt;0),"Met","Not Met")</f>
        <v>Not Met</v>
      </c>
    </row>
    <row r="837" spans="1:22" x14ac:dyDescent="0.35">
      <c r="A837" s="200" t="s">
        <v>69</v>
      </c>
      <c r="B837" s="201">
        <v>2021</v>
      </c>
      <c r="C837" s="201" t="s">
        <v>19</v>
      </c>
      <c r="D837" s="201">
        <v>0</v>
      </c>
      <c r="E837" s="201">
        <v>4437.18</v>
      </c>
      <c r="F837" s="201">
        <v>5487</v>
      </c>
      <c r="G837" s="201">
        <f>'Mail Merge'!$E837+'Mail Merge'!$F837</f>
        <v>9924.18</v>
      </c>
      <c r="H837" s="201">
        <v>0</v>
      </c>
      <c r="I837" s="201"/>
      <c r="J837" s="201">
        <f>IFERROR('Mail Merge'!$E837/'Mail Merge'!$D837,0)</f>
        <v>0</v>
      </c>
      <c r="K837" s="201">
        <f>IFERROR('Mail Merge'!$F837/'Mail Merge'!$D837,0)</f>
        <v>0</v>
      </c>
      <c r="L837" s="201">
        <f>IFERROR('Mail Merge'!$G837/'Mail Merge'!$D837,0)</f>
        <v>0</v>
      </c>
      <c r="M837" s="201">
        <v>0</v>
      </c>
      <c r="N837" s="201"/>
      <c r="O837" s="201">
        <v>0</v>
      </c>
      <c r="P837" s="201">
        <v>0</v>
      </c>
      <c r="Q837" s="201">
        <f>'Mail Merge'!$O837+'Mail Merge'!$P837</f>
        <v>0</v>
      </c>
      <c r="R837" s="201"/>
      <c r="S837" s="201"/>
      <c r="T837" s="201"/>
      <c r="U837" s="201">
        <f>IF(AND('Mail Merge'!$I837="Did Not Meet",'Mail Merge'!$N837="Did Not Meet"),MIN(ABS('Mail Merge'!$H837),ABS('Mail Merge'!$M837),'Mail Merge'!$Q837),0)</f>
        <v>0</v>
      </c>
      <c r="V837" s="201" t="str">
        <f>IF(OR(IFERROR(SEARCH("Met",'Mail Merge'!$N837),0)&gt;0,IFERROR(SEARCH("Met",'Mail Merge'!$I837),0)&gt;0),"Met","Not Met")</f>
        <v>Not Met</v>
      </c>
    </row>
    <row r="838" spans="1:22" x14ac:dyDescent="0.35">
      <c r="A838" s="198" t="s">
        <v>70</v>
      </c>
      <c r="B838" s="199">
        <v>1993</v>
      </c>
      <c r="C838" s="199" t="s">
        <v>19</v>
      </c>
      <c r="D838" s="199">
        <v>19</v>
      </c>
      <c r="E838" s="199">
        <v>144283.06</v>
      </c>
      <c r="F838" s="199">
        <v>37182.370000000003</v>
      </c>
      <c r="G838" s="199">
        <f>'Mail Merge'!$E838+'Mail Merge'!$F838</f>
        <v>181465.43</v>
      </c>
      <c r="H838" s="199">
        <v>0</v>
      </c>
      <c r="I838" s="199" t="s">
        <v>242</v>
      </c>
      <c r="J838" s="199">
        <f>IFERROR('Mail Merge'!$E838/'Mail Merge'!$D838,0)</f>
        <v>7593.8452631578948</v>
      </c>
      <c r="K838" s="199">
        <f>IFERROR('Mail Merge'!$F838/'Mail Merge'!$D838,0)</f>
        <v>1956.9668421052634</v>
      </c>
      <c r="L838" s="199">
        <f>IFERROR('Mail Merge'!$G838/'Mail Merge'!$D838,0)</f>
        <v>9550.8121052631577</v>
      </c>
      <c r="M838" s="199">
        <v>0</v>
      </c>
      <c r="N838" s="199" t="s">
        <v>240</v>
      </c>
      <c r="O838" s="199">
        <v>47252.08</v>
      </c>
      <c r="P838" s="199">
        <v>1377.04</v>
      </c>
      <c r="Q838" s="199">
        <f>'Mail Merge'!$O838+'Mail Merge'!$P838</f>
        <v>48629.120000000003</v>
      </c>
      <c r="R838" s="199"/>
      <c r="S838" s="199">
        <v>24920.25</v>
      </c>
      <c r="T838" s="199"/>
      <c r="U838" s="199">
        <f>IF(AND('Mail Merge'!$I838="Did Not Meet",'Mail Merge'!$N838="Did Not Meet"),MIN(ABS('Mail Merge'!$H838),ABS('Mail Merge'!$M838),'Mail Merge'!$Q838),0)</f>
        <v>0</v>
      </c>
      <c r="V838" s="199" t="str">
        <f>IF(OR(IFERROR(SEARCH("Met",'Mail Merge'!$N838),0)&gt;0,IFERROR(SEARCH("Met",'Mail Merge'!$I838),0)&gt;0),"Met","Not Met")</f>
        <v>Met</v>
      </c>
    </row>
    <row r="839" spans="1:22" x14ac:dyDescent="0.35">
      <c r="A839" s="200" t="s">
        <v>71</v>
      </c>
      <c r="B839" s="201">
        <v>1991</v>
      </c>
      <c r="C839" s="201" t="s">
        <v>19</v>
      </c>
      <c r="D839" s="201">
        <v>623</v>
      </c>
      <c r="E839" s="201">
        <v>5118919.3099999996</v>
      </c>
      <c r="F839" s="201">
        <v>1256750.83</v>
      </c>
      <c r="G839" s="201">
        <f>'Mail Merge'!$E839+'Mail Merge'!$F839</f>
        <v>6375670.1399999997</v>
      </c>
      <c r="H839" s="201">
        <v>0</v>
      </c>
      <c r="I839" s="201" t="s">
        <v>241</v>
      </c>
      <c r="J839" s="201">
        <f>IFERROR('Mail Merge'!$E839/'Mail Merge'!$D839,0)</f>
        <v>8216.5639004815403</v>
      </c>
      <c r="K839" s="201">
        <f>IFERROR('Mail Merge'!$F839/'Mail Merge'!$D839,0)</f>
        <v>2017.2565489566614</v>
      </c>
      <c r="L839" s="201">
        <f>IFERROR('Mail Merge'!$G839/'Mail Merge'!$D839,0)</f>
        <v>10233.820449438203</v>
      </c>
      <c r="M839" s="201">
        <v>0</v>
      </c>
      <c r="N839" s="201" t="s">
        <v>241</v>
      </c>
      <c r="O839" s="201">
        <v>1035164.56</v>
      </c>
      <c r="P839" s="201">
        <v>14020.78</v>
      </c>
      <c r="Q839" s="201">
        <f>'Mail Merge'!$O839+'Mail Merge'!$P839</f>
        <v>1049185.3400000001</v>
      </c>
      <c r="R839" s="201"/>
      <c r="S839" s="201"/>
      <c r="T839" s="201"/>
      <c r="U839" s="201">
        <f>IF(AND('Mail Merge'!$I839="Did Not Meet",'Mail Merge'!$N839="Did Not Meet"),MIN(ABS('Mail Merge'!$H839),ABS('Mail Merge'!$M839),'Mail Merge'!$Q839),0)</f>
        <v>0</v>
      </c>
      <c r="V839" s="201" t="str">
        <f>IF(OR(IFERROR(SEARCH("Met",'Mail Merge'!$N839),0)&gt;0,IFERROR(SEARCH("Met",'Mail Merge'!$I839),0)&gt;0),"Met","Not Met")</f>
        <v>Met</v>
      </c>
    </row>
    <row r="840" spans="1:22" x14ac:dyDescent="0.35">
      <c r="A840" s="198" t="s">
        <v>72</v>
      </c>
      <c r="B840" s="199">
        <v>2019</v>
      </c>
      <c r="C840" s="199" t="s">
        <v>19</v>
      </c>
      <c r="D840" s="199">
        <v>1</v>
      </c>
      <c r="E840" s="199">
        <v>6247.74</v>
      </c>
      <c r="F840" s="199">
        <v>2708.5</v>
      </c>
      <c r="G840" s="199">
        <f>'Mail Merge'!$E840+'Mail Merge'!$F840</f>
        <v>8956.24</v>
      </c>
      <c r="H840" s="199">
        <v>0</v>
      </c>
      <c r="I840" s="199" t="s">
        <v>242</v>
      </c>
      <c r="J840" s="199">
        <f>IFERROR('Mail Merge'!$E840/'Mail Merge'!$D840,0)</f>
        <v>6247.74</v>
      </c>
      <c r="K840" s="199">
        <f>IFERROR('Mail Merge'!$F840/'Mail Merge'!$D840,0)</f>
        <v>2708.5</v>
      </c>
      <c r="L840" s="199">
        <f>IFERROR('Mail Merge'!$G840/'Mail Merge'!$D840,0)</f>
        <v>8956.24</v>
      </c>
      <c r="M840" s="199">
        <v>0</v>
      </c>
      <c r="N840" s="199" t="s">
        <v>241</v>
      </c>
      <c r="O840" s="199">
        <v>0</v>
      </c>
      <c r="P840" s="199">
        <v>0</v>
      </c>
      <c r="Q840" s="199">
        <f>'Mail Merge'!$O840+'Mail Merge'!$P840</f>
        <v>0</v>
      </c>
      <c r="R840" s="199"/>
      <c r="S840" s="199">
        <v>111329</v>
      </c>
      <c r="T840" s="199">
        <v>111329</v>
      </c>
      <c r="U840" s="199">
        <f>IF(AND('Mail Merge'!$I840="Did Not Meet",'Mail Merge'!$N840="Did Not Meet"),MIN(ABS('Mail Merge'!$H840),ABS('Mail Merge'!$M840),'Mail Merge'!$Q840),0)</f>
        <v>0</v>
      </c>
      <c r="V840" s="199" t="str">
        <f>IF(OR(IFERROR(SEARCH("Met",'Mail Merge'!$N840),0)&gt;0,IFERROR(SEARCH("Met",'Mail Merge'!$I840),0)&gt;0),"Met","Not Met")</f>
        <v>Met</v>
      </c>
    </row>
    <row r="841" spans="1:22" x14ac:dyDescent="0.35">
      <c r="A841" s="200" t="s">
        <v>73</v>
      </c>
      <c r="B841" s="201">
        <v>2229</v>
      </c>
      <c r="C841" s="201" t="s">
        <v>19</v>
      </c>
      <c r="D841" s="201">
        <v>39</v>
      </c>
      <c r="E841" s="201">
        <v>188343.77</v>
      </c>
      <c r="F841" s="201">
        <v>0</v>
      </c>
      <c r="G841" s="201">
        <f>'Mail Merge'!$E841+'Mail Merge'!$F841</f>
        <v>188343.77</v>
      </c>
      <c r="H841" s="201">
        <v>0</v>
      </c>
      <c r="I841" s="201" t="s">
        <v>241</v>
      </c>
      <c r="J841" s="201">
        <f>IFERROR('Mail Merge'!$E841/'Mail Merge'!$D841,0)</f>
        <v>4829.3274358974359</v>
      </c>
      <c r="K841" s="201">
        <f>IFERROR('Mail Merge'!$F841/'Mail Merge'!$D841,0)</f>
        <v>0</v>
      </c>
      <c r="L841" s="201">
        <f>IFERROR('Mail Merge'!$G841/'Mail Merge'!$D841,0)</f>
        <v>4829.3274358974359</v>
      </c>
      <c r="M841" s="201">
        <v>0</v>
      </c>
      <c r="N841" s="201" t="s">
        <v>240</v>
      </c>
      <c r="O841" s="201">
        <v>44875.839999999997</v>
      </c>
      <c r="P841" s="201">
        <v>826.22</v>
      </c>
      <c r="Q841" s="201">
        <f>'Mail Merge'!$O841+'Mail Merge'!$P841</f>
        <v>45702.06</v>
      </c>
      <c r="R841" s="201"/>
      <c r="S841" s="201"/>
      <c r="T841" s="201"/>
      <c r="U841" s="201">
        <f>IF(AND('Mail Merge'!$I841="Did Not Meet",'Mail Merge'!$N841="Did Not Meet"),MIN(ABS('Mail Merge'!$H841),ABS('Mail Merge'!$M841),'Mail Merge'!$Q841),0)</f>
        <v>0</v>
      </c>
      <c r="V841" s="201" t="str">
        <f>IF(OR(IFERROR(SEARCH("Met",'Mail Merge'!$N841),0)&gt;0,IFERROR(SEARCH("Met",'Mail Merge'!$I841),0)&gt;0),"Met","Not Met")</f>
        <v>Met</v>
      </c>
    </row>
    <row r="842" spans="1:22" x14ac:dyDescent="0.35">
      <c r="A842" s="198" t="s">
        <v>74</v>
      </c>
      <c r="B842" s="199">
        <v>2043</v>
      </c>
      <c r="C842" s="199" t="s">
        <v>19</v>
      </c>
      <c r="D842" s="199">
        <v>517</v>
      </c>
      <c r="E842" s="199">
        <v>2872285.86</v>
      </c>
      <c r="F842" s="199">
        <v>966979.61</v>
      </c>
      <c r="G842" s="199">
        <f>'Mail Merge'!$E842+'Mail Merge'!$F842</f>
        <v>3839265.4699999997</v>
      </c>
      <c r="H842" s="199">
        <v>0</v>
      </c>
      <c r="I842" s="199" t="s">
        <v>241</v>
      </c>
      <c r="J842" s="199">
        <f>IFERROR('Mail Merge'!$E842/'Mail Merge'!$D842,0)</f>
        <v>5555.6786460348158</v>
      </c>
      <c r="K842" s="199">
        <f>IFERROR('Mail Merge'!$F842/'Mail Merge'!$D842,0)</f>
        <v>1870.3667504835589</v>
      </c>
      <c r="L842" s="199">
        <f>IFERROR('Mail Merge'!$G842/'Mail Merge'!$D842,0)</f>
        <v>7426.0453965183751</v>
      </c>
      <c r="M842" s="199">
        <v>0</v>
      </c>
      <c r="N842" s="199" t="s">
        <v>240</v>
      </c>
      <c r="O842" s="199">
        <v>630098.27</v>
      </c>
      <c r="P842" s="199">
        <v>3772.71</v>
      </c>
      <c r="Q842" s="199">
        <f>'Mail Merge'!$O842+'Mail Merge'!$P842</f>
        <v>633870.98</v>
      </c>
      <c r="R842" s="199"/>
      <c r="S842" s="199"/>
      <c r="T842" s="199"/>
      <c r="U842" s="199">
        <f>IF(AND('Mail Merge'!$I842="Did Not Meet",'Mail Merge'!$N842="Did Not Meet"),MIN(ABS('Mail Merge'!$H842),ABS('Mail Merge'!$M842),'Mail Merge'!$Q842),0)</f>
        <v>0</v>
      </c>
      <c r="V842" s="199" t="str">
        <f>IF(OR(IFERROR(SEARCH("Met",'Mail Merge'!$N842),0)&gt;0,IFERROR(SEARCH("Met",'Mail Merge'!$I842),0)&gt;0),"Met","Not Met")</f>
        <v>Met</v>
      </c>
    </row>
    <row r="843" spans="1:22" x14ac:dyDescent="0.35">
      <c r="A843" s="200" t="s">
        <v>75</v>
      </c>
      <c r="B843" s="201">
        <v>2203</v>
      </c>
      <c r="C843" s="201" t="s">
        <v>19</v>
      </c>
      <c r="D843" s="201">
        <v>38</v>
      </c>
      <c r="E843" s="201">
        <v>155678.24</v>
      </c>
      <c r="F843" s="201">
        <v>54422.37</v>
      </c>
      <c r="G843" s="201">
        <f>'Mail Merge'!$E843+'Mail Merge'!$F843</f>
        <v>210100.61</v>
      </c>
      <c r="H843" s="201">
        <v>0</v>
      </c>
      <c r="I843" s="201" t="s">
        <v>239</v>
      </c>
      <c r="J843" s="201">
        <f>IFERROR('Mail Merge'!$E843/'Mail Merge'!$D843,0)</f>
        <v>4096.7957894736837</v>
      </c>
      <c r="K843" s="201">
        <f>IFERROR('Mail Merge'!$F843/'Mail Merge'!$D843,0)</f>
        <v>1432.1676315789475</v>
      </c>
      <c r="L843" s="201">
        <f>IFERROR('Mail Merge'!$G843/'Mail Merge'!$D843,0)</f>
        <v>5528.963421052631</v>
      </c>
      <c r="M843" s="201">
        <v>0</v>
      </c>
      <c r="N843" s="201" t="s">
        <v>239</v>
      </c>
      <c r="O843" s="201">
        <v>38918.839999999997</v>
      </c>
      <c r="P843" s="201">
        <v>153</v>
      </c>
      <c r="Q843" s="201">
        <f>'Mail Merge'!$O843+'Mail Merge'!$P843</f>
        <v>39071.839999999997</v>
      </c>
      <c r="R843" s="201"/>
      <c r="S843" s="201"/>
      <c r="T843" s="201"/>
      <c r="U843" s="201">
        <f>IF(AND('Mail Merge'!$I843="Did Not Meet",'Mail Merge'!$N843="Did Not Meet"),MIN(ABS('Mail Merge'!$H843),ABS('Mail Merge'!$M843),'Mail Merge'!$Q843),0)</f>
        <v>0</v>
      </c>
      <c r="V843" s="201" t="str">
        <f>IF(OR(IFERROR(SEARCH("Met",'Mail Merge'!$N843),0)&gt;0,IFERROR(SEARCH("Met",'Mail Merge'!$I843),0)&gt;0),"Met","Not Met")</f>
        <v>Met</v>
      </c>
    </row>
    <row r="844" spans="1:22" x14ac:dyDescent="0.35">
      <c r="A844" s="198" t="s">
        <v>76</v>
      </c>
      <c r="B844" s="199">
        <v>2217</v>
      </c>
      <c r="C844" s="199" t="s">
        <v>19</v>
      </c>
      <c r="D844" s="199">
        <v>49</v>
      </c>
      <c r="E844" s="199">
        <v>351886.73</v>
      </c>
      <c r="F844" s="199">
        <v>117540</v>
      </c>
      <c r="G844" s="199">
        <f>'Mail Merge'!$E844+'Mail Merge'!$F844</f>
        <v>469426.73</v>
      </c>
      <c r="H844" s="199">
        <v>0</v>
      </c>
      <c r="I844" s="199" t="s">
        <v>242</v>
      </c>
      <c r="J844" s="199">
        <f>IFERROR('Mail Merge'!$E844/'Mail Merge'!$D844,0)</f>
        <v>7181.3618367346935</v>
      </c>
      <c r="K844" s="199">
        <f>IFERROR('Mail Merge'!$F844/'Mail Merge'!$D844,0)</f>
        <v>2398.7755102040815</v>
      </c>
      <c r="L844" s="199">
        <f>IFERROR('Mail Merge'!$G844/'Mail Merge'!$D844,0)</f>
        <v>9580.1373469387745</v>
      </c>
      <c r="M844" s="199">
        <v>0</v>
      </c>
      <c r="N844" s="199" t="s">
        <v>241</v>
      </c>
      <c r="O844" s="199">
        <v>70725.42</v>
      </c>
      <c r="P844" s="199">
        <v>262.29000000000002</v>
      </c>
      <c r="Q844" s="199">
        <f>'Mail Merge'!$O844+'Mail Merge'!$P844</f>
        <v>70987.709999999992</v>
      </c>
      <c r="R844" s="199"/>
      <c r="S844" s="199">
        <v>47206.66</v>
      </c>
      <c r="T844" s="199">
        <v>47206.66</v>
      </c>
      <c r="U844" s="199">
        <f>IF(AND('Mail Merge'!$I844="Did Not Meet",'Mail Merge'!$N844="Did Not Meet"),MIN(ABS('Mail Merge'!$H844),ABS('Mail Merge'!$M844),'Mail Merge'!$Q844),0)</f>
        <v>0</v>
      </c>
      <c r="V844" s="199" t="str">
        <f>IF(OR(IFERROR(SEARCH("Met",'Mail Merge'!$N844),0)&gt;0,IFERROR(SEARCH("Met",'Mail Merge'!$I844),0)&gt;0),"Met","Not Met")</f>
        <v>Met</v>
      </c>
    </row>
    <row r="845" spans="1:22" x14ac:dyDescent="0.35">
      <c r="A845" s="200" t="s">
        <v>77</v>
      </c>
      <c r="B845" s="201">
        <v>1998</v>
      </c>
      <c r="C845" s="201" t="s">
        <v>19</v>
      </c>
      <c r="D845" s="201">
        <v>35</v>
      </c>
      <c r="E845" s="201">
        <v>116809.63</v>
      </c>
      <c r="F845" s="201">
        <v>57624.12</v>
      </c>
      <c r="G845" s="201">
        <f>'Mail Merge'!$E845+'Mail Merge'!$F845</f>
        <v>174433.75</v>
      </c>
      <c r="H845" s="201">
        <v>0</v>
      </c>
      <c r="I845" s="201" t="s">
        <v>241</v>
      </c>
      <c r="J845" s="201">
        <f>IFERROR('Mail Merge'!$E845/'Mail Merge'!$D845,0)</f>
        <v>3337.4180000000001</v>
      </c>
      <c r="K845" s="201">
        <f>IFERROR('Mail Merge'!$F845/'Mail Merge'!$D845,0)</f>
        <v>1646.4034285714285</v>
      </c>
      <c r="L845" s="201">
        <f>IFERROR('Mail Merge'!$G845/'Mail Merge'!$D845,0)</f>
        <v>4983.8214285714284</v>
      </c>
      <c r="M845" s="201">
        <v>0</v>
      </c>
      <c r="N845" s="201" t="s">
        <v>240</v>
      </c>
      <c r="O845" s="201">
        <v>53937.72</v>
      </c>
      <c r="P845" s="201">
        <v>0</v>
      </c>
      <c r="Q845" s="201">
        <f>'Mail Merge'!$O845+'Mail Merge'!$P845</f>
        <v>53937.72</v>
      </c>
      <c r="R845" s="201"/>
      <c r="S845" s="201"/>
      <c r="T845" s="201"/>
      <c r="U845" s="201">
        <f>IF(AND('Mail Merge'!$I845="Did Not Meet",'Mail Merge'!$N845="Did Not Meet"),MIN(ABS('Mail Merge'!$H845),ABS('Mail Merge'!$M845),'Mail Merge'!$Q845),0)</f>
        <v>0</v>
      </c>
      <c r="V845" s="201" t="str">
        <f>IF(OR(IFERROR(SEARCH("Met",'Mail Merge'!$N845),0)&gt;0,IFERROR(SEARCH("Met",'Mail Merge'!$I845),0)&gt;0),"Met","Not Met")</f>
        <v>Met</v>
      </c>
    </row>
    <row r="846" spans="1:22" x14ac:dyDescent="0.35">
      <c r="A846" s="198" t="s">
        <v>78</v>
      </c>
      <c r="B846" s="199">
        <v>2221</v>
      </c>
      <c r="C846" s="199" t="s">
        <v>19</v>
      </c>
      <c r="D846" s="199">
        <v>57</v>
      </c>
      <c r="E846" s="199">
        <v>-1.38</v>
      </c>
      <c r="F846" s="199">
        <v>309406.53999999998</v>
      </c>
      <c r="G846" s="199">
        <f>'Mail Merge'!$E846+'Mail Merge'!$F846</f>
        <v>309405.15999999997</v>
      </c>
      <c r="H846" s="199">
        <v>0</v>
      </c>
      <c r="I846" s="199" t="s">
        <v>239</v>
      </c>
      <c r="J846" s="199">
        <f>IFERROR('Mail Merge'!$E846/'Mail Merge'!$D846,0)</f>
        <v>-2.4210526315789471E-2</v>
      </c>
      <c r="K846" s="199">
        <f>IFERROR('Mail Merge'!$F846/'Mail Merge'!$D846,0)</f>
        <v>5428.1849122807016</v>
      </c>
      <c r="L846" s="199">
        <f>IFERROR('Mail Merge'!$G846/'Mail Merge'!$D846,0)</f>
        <v>5428.1607017543856</v>
      </c>
      <c r="M846" s="199">
        <v>0</v>
      </c>
      <c r="N846" s="199" t="s">
        <v>239</v>
      </c>
      <c r="O846" s="199">
        <v>83385</v>
      </c>
      <c r="P846" s="199">
        <v>765.02</v>
      </c>
      <c r="Q846" s="199">
        <f>'Mail Merge'!$O846+'Mail Merge'!$P846</f>
        <v>84150.02</v>
      </c>
      <c r="R846" s="199"/>
      <c r="S846" s="199"/>
      <c r="T846" s="199"/>
      <c r="U846" s="199">
        <f>IF(AND('Mail Merge'!$I846="Did Not Meet",'Mail Merge'!$N846="Did Not Meet"),MIN(ABS('Mail Merge'!$H846),ABS('Mail Merge'!$M846),'Mail Merge'!$Q846),0)</f>
        <v>0</v>
      </c>
      <c r="V846" s="199" t="str">
        <f>IF(OR(IFERROR(SEARCH("Met",'Mail Merge'!$N846),0)&gt;0,IFERROR(SEARCH("Met",'Mail Merge'!$I846),0)&gt;0),"Met","Not Met")</f>
        <v>Met</v>
      </c>
    </row>
    <row r="847" spans="1:22" x14ac:dyDescent="0.35">
      <c r="A847" s="200" t="s">
        <v>79</v>
      </c>
      <c r="B847" s="201">
        <v>1930</v>
      </c>
      <c r="C847" s="201" t="s">
        <v>19</v>
      </c>
      <c r="D847" s="201">
        <v>307</v>
      </c>
      <c r="E847" s="201">
        <v>2066654.68</v>
      </c>
      <c r="F847" s="201">
        <v>650026</v>
      </c>
      <c r="G847" s="201">
        <f>'Mail Merge'!$E847+'Mail Merge'!$F847</f>
        <v>2716680.6799999997</v>
      </c>
      <c r="H847" s="201">
        <v>0</v>
      </c>
      <c r="I847" s="201" t="s">
        <v>242</v>
      </c>
      <c r="J847" s="201">
        <f>IFERROR('Mail Merge'!$E847/'Mail Merge'!$D847,0)</f>
        <v>6731.7742019543975</v>
      </c>
      <c r="K847" s="201">
        <f>IFERROR('Mail Merge'!$F847/'Mail Merge'!$D847,0)</f>
        <v>2117.3485342019544</v>
      </c>
      <c r="L847" s="201">
        <f>IFERROR('Mail Merge'!$G847/'Mail Merge'!$D847,0)</f>
        <v>8849.1227361563506</v>
      </c>
      <c r="M847" s="201">
        <v>0</v>
      </c>
      <c r="N847" s="201" t="s">
        <v>240</v>
      </c>
      <c r="O847" s="201">
        <v>407629.02</v>
      </c>
      <c r="P847" s="201">
        <v>2079.06</v>
      </c>
      <c r="Q847" s="201">
        <f>'Mail Merge'!$O847+'Mail Merge'!$P847</f>
        <v>409708.08</v>
      </c>
      <c r="R847" s="201"/>
      <c r="S847" s="201">
        <v>189120.71</v>
      </c>
      <c r="T847" s="201"/>
      <c r="U847" s="201">
        <f>IF(AND('Mail Merge'!$I847="Did Not Meet",'Mail Merge'!$N847="Did Not Meet"),MIN(ABS('Mail Merge'!$H847),ABS('Mail Merge'!$M847),'Mail Merge'!$Q847),0)</f>
        <v>0</v>
      </c>
      <c r="V847" s="201" t="str">
        <f>IF(OR(IFERROR(SEARCH("Met",'Mail Merge'!$N847),0)&gt;0,IFERROR(SEARCH("Met",'Mail Merge'!$I847),0)&gt;0),"Met","Not Met")</f>
        <v>Met</v>
      </c>
    </row>
    <row r="848" spans="1:22" x14ac:dyDescent="0.35">
      <c r="A848" s="198" t="s">
        <v>80</v>
      </c>
      <c r="B848" s="199">
        <v>2082</v>
      </c>
      <c r="C848" s="199" t="s">
        <v>19</v>
      </c>
      <c r="D848" s="199">
        <v>2174</v>
      </c>
      <c r="E848" s="199">
        <v>21038008.309999999</v>
      </c>
      <c r="F848" s="199">
        <v>2224051</v>
      </c>
      <c r="G848" s="199">
        <f>'Mail Merge'!$E848+'Mail Merge'!$F848</f>
        <v>23262059.309999999</v>
      </c>
      <c r="H848" s="199">
        <v>0</v>
      </c>
      <c r="I848" s="199" t="s">
        <v>241</v>
      </c>
      <c r="J848" s="199">
        <f>IFERROR('Mail Merge'!$E848/'Mail Merge'!$D848,0)</f>
        <v>9677.0967387304499</v>
      </c>
      <c r="K848" s="199">
        <f>IFERROR('Mail Merge'!$F848/'Mail Merge'!$D848,0)</f>
        <v>1023.022539098436</v>
      </c>
      <c r="L848" s="199">
        <f>IFERROR('Mail Merge'!$G848/'Mail Merge'!$D848,0)</f>
        <v>10700.119277828886</v>
      </c>
      <c r="M848" s="199">
        <v>0</v>
      </c>
      <c r="N848" s="199" t="s">
        <v>241</v>
      </c>
      <c r="O848" s="199">
        <v>2955961.39</v>
      </c>
      <c r="P848" s="199">
        <v>24370.45</v>
      </c>
      <c r="Q848" s="199">
        <f>'Mail Merge'!$O848+'Mail Merge'!$P848</f>
        <v>2980331.8400000003</v>
      </c>
      <c r="R848" s="199"/>
      <c r="S848" s="199"/>
      <c r="T848" s="199"/>
      <c r="U848" s="199">
        <f>IF(AND('Mail Merge'!$I848="Did Not Meet",'Mail Merge'!$N848="Did Not Meet"),MIN(ABS('Mail Merge'!$H848),ABS('Mail Merge'!$M848),'Mail Merge'!$Q848),0)</f>
        <v>0</v>
      </c>
      <c r="V848" s="199" t="str">
        <f>IF(OR(IFERROR(SEARCH("Met",'Mail Merge'!$N848),0)&gt;0,IFERROR(SEARCH("Met",'Mail Merge'!$I848),0)&gt;0),"Met","Not Met")</f>
        <v>Met</v>
      </c>
    </row>
    <row r="849" spans="1:22" x14ac:dyDescent="0.35">
      <c r="A849" s="200" t="s">
        <v>81</v>
      </c>
      <c r="B849" s="201">
        <v>2193</v>
      </c>
      <c r="C849" s="201" t="s">
        <v>19</v>
      </c>
      <c r="D849" s="201">
        <v>43</v>
      </c>
      <c r="E849" s="201">
        <v>361495.27</v>
      </c>
      <c r="F849" s="201">
        <v>33302.93</v>
      </c>
      <c r="G849" s="201">
        <f>'Mail Merge'!$E849+'Mail Merge'!$F849</f>
        <v>394798.2</v>
      </c>
      <c r="H849" s="201">
        <v>0</v>
      </c>
      <c r="I849" s="201" t="s">
        <v>241</v>
      </c>
      <c r="J849" s="201">
        <f>IFERROR('Mail Merge'!$E849/'Mail Merge'!$D849,0)</f>
        <v>8406.8667441860471</v>
      </c>
      <c r="K849" s="201">
        <f>IFERROR('Mail Merge'!$F849/'Mail Merge'!$D849,0)</f>
        <v>774.48674418604651</v>
      </c>
      <c r="L849" s="201">
        <f>IFERROR('Mail Merge'!$G849/'Mail Merge'!$D849,0)</f>
        <v>9181.3534883720931</v>
      </c>
      <c r="M849" s="201">
        <v>0</v>
      </c>
      <c r="N849" s="201" t="s">
        <v>240</v>
      </c>
      <c r="O849" s="201">
        <v>41183.54</v>
      </c>
      <c r="P849" s="201">
        <v>0</v>
      </c>
      <c r="Q849" s="201">
        <f>'Mail Merge'!$O849+'Mail Merge'!$P849</f>
        <v>41183.54</v>
      </c>
      <c r="R849" s="201"/>
      <c r="S849" s="201"/>
      <c r="T849" s="201"/>
      <c r="U849" s="201">
        <f>IF(AND('Mail Merge'!$I849="Did Not Meet",'Mail Merge'!$N849="Did Not Meet"),MIN(ABS('Mail Merge'!$H849),ABS('Mail Merge'!$M849),'Mail Merge'!$Q849),0)</f>
        <v>0</v>
      </c>
      <c r="V849" s="201" t="str">
        <f>IF(OR(IFERROR(SEARCH("Met",'Mail Merge'!$N849),0)&gt;0,IFERROR(SEARCH("Met",'Mail Merge'!$I849),0)&gt;0),"Met","Not Met")</f>
        <v>Met</v>
      </c>
    </row>
    <row r="850" spans="1:22" x14ac:dyDescent="0.35">
      <c r="A850" s="198" t="s">
        <v>82</v>
      </c>
      <c r="B850" s="199">
        <v>2084</v>
      </c>
      <c r="C850" s="199" t="s">
        <v>19</v>
      </c>
      <c r="D850" s="199">
        <v>245</v>
      </c>
      <c r="E850" s="199">
        <v>2402394.94</v>
      </c>
      <c r="F850" s="199">
        <v>473852</v>
      </c>
      <c r="G850" s="199">
        <f>'Mail Merge'!$E850+'Mail Merge'!$F850</f>
        <v>2876246.94</v>
      </c>
      <c r="H850" s="199">
        <v>0</v>
      </c>
      <c r="I850" s="199" t="s">
        <v>242</v>
      </c>
      <c r="J850" s="199">
        <f>IFERROR('Mail Merge'!$E850/'Mail Merge'!$D850,0)</f>
        <v>9805.6936326530613</v>
      </c>
      <c r="K850" s="199">
        <f>IFERROR('Mail Merge'!$F850/'Mail Merge'!$D850,0)</f>
        <v>1934.0897959183674</v>
      </c>
      <c r="L850" s="199">
        <f>IFERROR('Mail Merge'!$G850/'Mail Merge'!$D850,0)</f>
        <v>11739.783428571429</v>
      </c>
      <c r="M850" s="199">
        <v>0</v>
      </c>
      <c r="N850" s="199" t="s">
        <v>241</v>
      </c>
      <c r="O850" s="199">
        <v>304584.25</v>
      </c>
      <c r="P850" s="199">
        <v>2213.1</v>
      </c>
      <c r="Q850" s="199">
        <f>'Mail Merge'!$O850+'Mail Merge'!$P850</f>
        <v>306797.34999999998</v>
      </c>
      <c r="R850" s="199"/>
      <c r="S850" s="199">
        <v>189505.79</v>
      </c>
      <c r="T850" s="199">
        <v>189505.79</v>
      </c>
      <c r="U850" s="199">
        <f>IF(AND('Mail Merge'!$I850="Did Not Meet",'Mail Merge'!$N850="Did Not Meet"),MIN(ABS('Mail Merge'!$H850),ABS('Mail Merge'!$M850),'Mail Merge'!$Q850),0)</f>
        <v>0</v>
      </c>
      <c r="V850" s="199" t="str">
        <f>IF(OR(IFERROR(SEARCH("Met",'Mail Merge'!$N850),0)&gt;0,IFERROR(SEARCH("Met",'Mail Merge'!$I850),0)&gt;0),"Met","Not Met")</f>
        <v>Met</v>
      </c>
    </row>
    <row r="851" spans="1:22" x14ac:dyDescent="0.35">
      <c r="A851" s="200" t="s">
        <v>83</v>
      </c>
      <c r="B851" s="201">
        <v>2241</v>
      </c>
      <c r="C851" s="201" t="s">
        <v>19</v>
      </c>
      <c r="D851" s="201">
        <v>907</v>
      </c>
      <c r="E851" s="201">
        <v>11074832.300000001</v>
      </c>
      <c r="F851" s="201">
        <v>631185</v>
      </c>
      <c r="G851" s="201">
        <f>'Mail Merge'!$E851+'Mail Merge'!$F851</f>
        <v>11706017.300000001</v>
      </c>
      <c r="H851" s="201">
        <v>0</v>
      </c>
      <c r="I851" s="201" t="s">
        <v>241</v>
      </c>
      <c r="J851" s="201">
        <f>IFERROR('Mail Merge'!$E851/'Mail Merge'!$D851,0)</f>
        <v>12210.399448732085</v>
      </c>
      <c r="K851" s="201">
        <f>IFERROR('Mail Merge'!$F851/'Mail Merge'!$D851,0)</f>
        <v>695.90407938257988</v>
      </c>
      <c r="L851" s="201">
        <f>IFERROR('Mail Merge'!$G851/'Mail Merge'!$D851,0)</f>
        <v>12906.303528114664</v>
      </c>
      <c r="M851" s="201">
        <v>0</v>
      </c>
      <c r="N851" s="201" t="s">
        <v>241</v>
      </c>
      <c r="O851" s="201">
        <v>892644.76</v>
      </c>
      <c r="P851" s="201">
        <v>4181.6899999999996</v>
      </c>
      <c r="Q851" s="201">
        <f>'Mail Merge'!$O851+'Mail Merge'!$P851</f>
        <v>896826.45</v>
      </c>
      <c r="R851" s="201"/>
      <c r="S851" s="201"/>
      <c r="T851" s="201"/>
      <c r="U851" s="201">
        <f>IF(AND('Mail Merge'!$I851="Did Not Meet",'Mail Merge'!$N851="Did Not Meet"),MIN(ABS('Mail Merge'!$H851),ABS('Mail Merge'!$M851),'Mail Merge'!$Q851),0)</f>
        <v>0</v>
      </c>
      <c r="V851" s="201" t="str">
        <f>IF(OR(IFERROR(SEARCH("Met",'Mail Merge'!$N851),0)&gt;0,IFERROR(SEARCH("Met",'Mail Merge'!$I851),0)&gt;0),"Met","Not Met")</f>
        <v>Met</v>
      </c>
    </row>
    <row r="852" spans="1:22" x14ac:dyDescent="0.35">
      <c r="A852" s="198" t="s">
        <v>84</v>
      </c>
      <c r="B852" s="199">
        <v>2248</v>
      </c>
      <c r="C852" s="199" t="s">
        <v>19</v>
      </c>
      <c r="D852" s="199">
        <v>24</v>
      </c>
      <c r="E852" s="199">
        <v>107707.78</v>
      </c>
      <c r="F852" s="199">
        <v>97223</v>
      </c>
      <c r="G852" s="199">
        <f>'Mail Merge'!$E852+'Mail Merge'!$F852</f>
        <v>204930.78</v>
      </c>
      <c r="H852" s="199">
        <v>0</v>
      </c>
      <c r="I852" s="199" t="s">
        <v>239</v>
      </c>
      <c r="J852" s="199">
        <f>IFERROR('Mail Merge'!$E852/'Mail Merge'!$D852,0)</f>
        <v>4487.8241666666663</v>
      </c>
      <c r="K852" s="199">
        <f>IFERROR('Mail Merge'!$F852/'Mail Merge'!$D852,0)</f>
        <v>4050.9583333333335</v>
      </c>
      <c r="L852" s="199">
        <f>IFERROR('Mail Merge'!$G852/'Mail Merge'!$D852,0)</f>
        <v>8538.7824999999993</v>
      </c>
      <c r="M852" s="199">
        <v>0</v>
      </c>
      <c r="N852" s="199" t="s">
        <v>239</v>
      </c>
      <c r="O852" s="199">
        <v>24378.32</v>
      </c>
      <c r="P852" s="199">
        <v>0</v>
      </c>
      <c r="Q852" s="199">
        <f>'Mail Merge'!$O852+'Mail Merge'!$P852</f>
        <v>24378.32</v>
      </c>
      <c r="R852" s="199"/>
      <c r="S852" s="199"/>
      <c r="T852" s="199"/>
      <c r="U852" s="199">
        <f>IF(AND('Mail Merge'!$I852="Did Not Meet",'Mail Merge'!$N852="Did Not Meet"),MIN(ABS('Mail Merge'!$H852),ABS('Mail Merge'!$M852),'Mail Merge'!$Q852),0)</f>
        <v>0</v>
      </c>
      <c r="V852" s="199" t="str">
        <f>IF(OR(IFERROR(SEARCH("Met",'Mail Merge'!$N852),0)&gt;0,IFERROR(SEARCH("Met",'Mail Merge'!$I852),0)&gt;0),"Met","Not Met")</f>
        <v>Met</v>
      </c>
    </row>
    <row r="853" spans="1:22" x14ac:dyDescent="0.35">
      <c r="A853" s="200" t="s">
        <v>85</v>
      </c>
      <c r="B853" s="201">
        <v>2020</v>
      </c>
      <c r="C853" s="201" t="s">
        <v>19</v>
      </c>
      <c r="D853" s="201">
        <v>6</v>
      </c>
      <c r="E853" s="201">
        <v>16645.89</v>
      </c>
      <c r="F853" s="201">
        <v>10974</v>
      </c>
      <c r="G853" s="201">
        <f>'Mail Merge'!$E853+'Mail Merge'!$F853</f>
        <v>27619.89</v>
      </c>
      <c r="H853" s="201">
        <v>0</v>
      </c>
      <c r="I853" s="201" t="s">
        <v>241</v>
      </c>
      <c r="J853" s="201">
        <f>IFERROR('Mail Merge'!$E853/'Mail Merge'!$D853,0)</f>
        <v>2774.3150000000001</v>
      </c>
      <c r="K853" s="201">
        <f>IFERROR('Mail Merge'!$F853/'Mail Merge'!$D853,0)</f>
        <v>1829</v>
      </c>
      <c r="L853" s="201">
        <f>IFERROR('Mail Merge'!$G853/'Mail Merge'!$D853,0)</f>
        <v>4603.3149999999996</v>
      </c>
      <c r="M853" s="201">
        <v>0</v>
      </c>
      <c r="N853" s="201" t="s">
        <v>240</v>
      </c>
      <c r="O853" s="201">
        <v>0</v>
      </c>
      <c r="P853" s="201">
        <v>0</v>
      </c>
      <c r="Q853" s="201">
        <f>'Mail Merge'!$O853+'Mail Merge'!$P853</f>
        <v>0</v>
      </c>
      <c r="R853" s="201"/>
      <c r="S853" s="201"/>
      <c r="T853" s="201"/>
      <c r="U853" s="201">
        <f>IF(AND('Mail Merge'!$I853="Did Not Meet",'Mail Merge'!$N853="Did Not Meet"),MIN(ABS('Mail Merge'!$H853),ABS('Mail Merge'!$M853),'Mail Merge'!$Q853),0)</f>
        <v>0</v>
      </c>
      <c r="V853" s="201" t="str">
        <f>IF(OR(IFERROR(SEARCH("Met",'Mail Merge'!$N853),0)&gt;0,IFERROR(SEARCH("Met",'Mail Merge'!$I853),0)&gt;0),"Met","Not Met")</f>
        <v>Met</v>
      </c>
    </row>
    <row r="854" spans="1:22" x14ac:dyDescent="0.35">
      <c r="A854" s="198" t="s">
        <v>86</v>
      </c>
      <c r="B854" s="199">
        <v>2245</v>
      </c>
      <c r="C854" s="199" t="s">
        <v>19</v>
      </c>
      <c r="D854" s="199">
        <v>93</v>
      </c>
      <c r="E854" s="199">
        <v>875248.41</v>
      </c>
      <c r="F854" s="199">
        <v>64641</v>
      </c>
      <c r="G854" s="199">
        <f>'Mail Merge'!$E854+'Mail Merge'!$F854</f>
        <v>939889.41</v>
      </c>
      <c r="H854" s="199">
        <v>0</v>
      </c>
      <c r="I854" s="199" t="s">
        <v>241</v>
      </c>
      <c r="J854" s="199">
        <f>IFERROR('Mail Merge'!$E854/'Mail Merge'!$D854,0)</f>
        <v>9411.2732258064516</v>
      </c>
      <c r="K854" s="199">
        <f>IFERROR('Mail Merge'!$F854/'Mail Merge'!$D854,0)</f>
        <v>695.06451612903231</v>
      </c>
      <c r="L854" s="199">
        <f>IFERROR('Mail Merge'!$G854/'Mail Merge'!$D854,0)</f>
        <v>10106.337741935484</v>
      </c>
      <c r="M854" s="199">
        <v>0</v>
      </c>
      <c r="N854" s="199" t="s">
        <v>240</v>
      </c>
      <c r="O854" s="199">
        <v>93900.08</v>
      </c>
      <c r="P854" s="199">
        <v>765.02</v>
      </c>
      <c r="Q854" s="199">
        <f>'Mail Merge'!$O854+'Mail Merge'!$P854</f>
        <v>94665.1</v>
      </c>
      <c r="R854" s="199"/>
      <c r="S854" s="199"/>
      <c r="T854" s="199"/>
      <c r="U854" s="199">
        <f>IF(AND('Mail Merge'!$I854="Did Not Meet",'Mail Merge'!$N854="Did Not Meet"),MIN(ABS('Mail Merge'!$H854),ABS('Mail Merge'!$M854),'Mail Merge'!$Q854),0)</f>
        <v>0</v>
      </c>
      <c r="V854" s="199" t="str">
        <f>IF(OR(IFERROR(SEARCH("Met",'Mail Merge'!$N854),0)&gt;0,IFERROR(SEARCH("Met",'Mail Merge'!$I854),0)&gt;0),"Met","Not Met")</f>
        <v>Met</v>
      </c>
    </row>
    <row r="855" spans="1:22" x14ac:dyDescent="0.35">
      <c r="A855" s="200" t="s">
        <v>87</v>
      </c>
      <c r="B855" s="201">
        <v>2137</v>
      </c>
      <c r="C855" s="201" t="s">
        <v>19</v>
      </c>
      <c r="D855" s="201">
        <v>141</v>
      </c>
      <c r="E855" s="201">
        <v>1328064.1399999999</v>
      </c>
      <c r="F855" s="201">
        <v>103183.16</v>
      </c>
      <c r="G855" s="201">
        <f>'Mail Merge'!$E855+'Mail Merge'!$F855</f>
        <v>1431247.2999999998</v>
      </c>
      <c r="H855" s="201">
        <v>0</v>
      </c>
      <c r="I855" s="201" t="s">
        <v>241</v>
      </c>
      <c r="J855" s="201">
        <f>IFERROR('Mail Merge'!$E855/'Mail Merge'!$D855,0)</f>
        <v>9418.894609929077</v>
      </c>
      <c r="K855" s="201">
        <f>IFERROR('Mail Merge'!$F855/'Mail Merge'!$D855,0)</f>
        <v>731.79546099290781</v>
      </c>
      <c r="L855" s="201">
        <f>IFERROR('Mail Merge'!$G855/'Mail Merge'!$D855,0)</f>
        <v>10150.690070921984</v>
      </c>
      <c r="M855" s="201">
        <v>0</v>
      </c>
      <c r="N855" s="201" t="s">
        <v>241</v>
      </c>
      <c r="O855" s="201">
        <v>202104.15</v>
      </c>
      <c r="P855" s="201">
        <v>803.27</v>
      </c>
      <c r="Q855" s="201">
        <f>'Mail Merge'!$O855+'Mail Merge'!$P855</f>
        <v>202907.41999999998</v>
      </c>
      <c r="R855" s="201"/>
      <c r="S855" s="201"/>
      <c r="T855" s="201"/>
      <c r="U855" s="201">
        <f>IF(AND('Mail Merge'!$I855="Did Not Meet",'Mail Merge'!$N855="Did Not Meet"),MIN(ABS('Mail Merge'!$H855),ABS('Mail Merge'!$M855),'Mail Merge'!$Q855),0)</f>
        <v>0</v>
      </c>
      <c r="V855" s="201" t="str">
        <f>IF(OR(IFERROR(SEARCH("Met",'Mail Merge'!$N855),0)&gt;0,IFERROR(SEARCH("Met",'Mail Merge'!$I855),0)&gt;0),"Met","Not Met")</f>
        <v>Met</v>
      </c>
    </row>
    <row r="856" spans="1:22" x14ac:dyDescent="0.35">
      <c r="A856" s="198" t="s">
        <v>88</v>
      </c>
      <c r="B856" s="199">
        <v>1931</v>
      </c>
      <c r="C856" s="199" t="s">
        <v>19</v>
      </c>
      <c r="D856" s="199">
        <v>317</v>
      </c>
      <c r="E856" s="199">
        <v>2651084</v>
      </c>
      <c r="F856" s="199">
        <v>289405</v>
      </c>
      <c r="G856" s="199">
        <f>'Mail Merge'!$E856+'Mail Merge'!$F856</f>
        <v>2940489</v>
      </c>
      <c r="H856" s="199">
        <v>0</v>
      </c>
      <c r="I856" s="199" t="s">
        <v>242</v>
      </c>
      <c r="J856" s="199">
        <f>IFERROR('Mail Merge'!$E856/'Mail Merge'!$D856,0)</f>
        <v>8363.0410094637227</v>
      </c>
      <c r="K856" s="199">
        <f>IFERROR('Mail Merge'!$F856/'Mail Merge'!$D856,0)</f>
        <v>912.94952681388008</v>
      </c>
      <c r="L856" s="199">
        <f>IFERROR('Mail Merge'!$G856/'Mail Merge'!$D856,0)</f>
        <v>9275.9905362776026</v>
      </c>
      <c r="M856" s="199">
        <v>0</v>
      </c>
      <c r="N856" s="199" t="s">
        <v>240</v>
      </c>
      <c r="O856" s="199">
        <v>357658.49</v>
      </c>
      <c r="P856" s="199">
        <v>1152.8699999999999</v>
      </c>
      <c r="Q856" s="199">
        <f>'Mail Merge'!$O856+'Mail Merge'!$P856</f>
        <v>358811.36</v>
      </c>
      <c r="R856" s="199"/>
      <c r="S856" s="199">
        <v>37917</v>
      </c>
      <c r="T856" s="199"/>
      <c r="U856" s="199">
        <f>IF(AND('Mail Merge'!$I856="Did Not Meet",'Mail Merge'!$N856="Did Not Meet"),MIN(ABS('Mail Merge'!$H856),ABS('Mail Merge'!$M856),'Mail Merge'!$Q856),0)</f>
        <v>0</v>
      </c>
      <c r="V856" s="199" t="str">
        <f>IF(OR(IFERROR(SEARCH("Met",'Mail Merge'!$N856),0)&gt;0,IFERROR(SEARCH("Met",'Mail Merge'!$I856),0)&gt;0),"Met","Not Met")</f>
        <v>Met</v>
      </c>
    </row>
    <row r="857" spans="1:22" x14ac:dyDescent="0.35">
      <c r="A857" s="200" t="s">
        <v>89</v>
      </c>
      <c r="B857" s="201">
        <v>2000</v>
      </c>
      <c r="C857" s="201" t="s">
        <v>19</v>
      </c>
      <c r="D857" s="201">
        <v>47</v>
      </c>
      <c r="E857" s="201">
        <v>450772.54</v>
      </c>
      <c r="F857" s="201">
        <v>69205.789999999994</v>
      </c>
      <c r="G857" s="201">
        <f>'Mail Merge'!$E857+'Mail Merge'!$F857</f>
        <v>519978.32999999996</v>
      </c>
      <c r="H857" s="201">
        <v>0</v>
      </c>
      <c r="I857" s="201" t="s">
        <v>241</v>
      </c>
      <c r="J857" s="201">
        <f>IFERROR('Mail Merge'!$E857/'Mail Merge'!$D857,0)</f>
        <v>9590.9051063829775</v>
      </c>
      <c r="K857" s="201">
        <f>IFERROR('Mail Merge'!$F857/'Mail Merge'!$D857,0)</f>
        <v>1472.4636170212764</v>
      </c>
      <c r="L857" s="201">
        <f>IFERROR('Mail Merge'!$G857/'Mail Merge'!$D857,0)</f>
        <v>11063.368723404254</v>
      </c>
      <c r="M857" s="201">
        <v>0</v>
      </c>
      <c r="N857" s="201" t="s">
        <v>240</v>
      </c>
      <c r="O857" s="201">
        <v>60978.36</v>
      </c>
      <c r="P857" s="201">
        <v>262.29000000000002</v>
      </c>
      <c r="Q857" s="201">
        <f>'Mail Merge'!$O857+'Mail Merge'!$P857</f>
        <v>61240.65</v>
      </c>
      <c r="R857" s="201"/>
      <c r="S857" s="201">
        <v>114798.65</v>
      </c>
      <c r="T857" s="201"/>
      <c r="U857" s="201">
        <f>IF(AND('Mail Merge'!$I857="Did Not Meet",'Mail Merge'!$N857="Did Not Meet"),MIN(ABS('Mail Merge'!$H857),ABS('Mail Merge'!$M857),'Mail Merge'!$Q857),0)</f>
        <v>0</v>
      </c>
      <c r="V857" s="201" t="str">
        <f>IF(OR(IFERROR(SEARCH("Met",'Mail Merge'!$N857),0)&gt;0,IFERROR(SEARCH("Met",'Mail Merge'!$I857),0)&gt;0),"Met","Not Met")</f>
        <v>Met</v>
      </c>
    </row>
    <row r="858" spans="1:22" x14ac:dyDescent="0.35">
      <c r="A858" s="198" t="s">
        <v>90</v>
      </c>
      <c r="B858" s="199">
        <v>1992</v>
      </c>
      <c r="C858" s="199" t="s">
        <v>19</v>
      </c>
      <c r="D858" s="199">
        <v>91</v>
      </c>
      <c r="E858" s="199">
        <v>518219.98</v>
      </c>
      <c r="F858" s="199">
        <v>126964.84</v>
      </c>
      <c r="G858" s="199">
        <f>'Mail Merge'!$E858+'Mail Merge'!$F858</f>
        <v>645184.81999999995</v>
      </c>
      <c r="H858" s="199">
        <v>0</v>
      </c>
      <c r="I858" s="199" t="s">
        <v>241</v>
      </c>
      <c r="J858" s="199">
        <f>IFERROR('Mail Merge'!$E858/'Mail Merge'!$D858,0)</f>
        <v>5694.7250549450546</v>
      </c>
      <c r="K858" s="199">
        <f>IFERROR('Mail Merge'!$F858/'Mail Merge'!$D858,0)</f>
        <v>1395.2180219780219</v>
      </c>
      <c r="L858" s="199">
        <f>IFERROR('Mail Merge'!$G858/'Mail Merge'!$D858,0)</f>
        <v>7089.9430769230767</v>
      </c>
      <c r="M858" s="199">
        <v>0</v>
      </c>
      <c r="N858" s="199" t="s">
        <v>240</v>
      </c>
      <c r="O858" s="199">
        <v>124537.44</v>
      </c>
      <c r="P858" s="199">
        <v>524.59</v>
      </c>
      <c r="Q858" s="199">
        <f>'Mail Merge'!$O858+'Mail Merge'!$P858</f>
        <v>125062.03</v>
      </c>
      <c r="R858" s="199"/>
      <c r="S858" s="199"/>
      <c r="T858" s="199"/>
      <c r="U858" s="199">
        <f>IF(AND('Mail Merge'!$I858="Did Not Meet",'Mail Merge'!$N858="Did Not Meet"),MIN(ABS('Mail Merge'!$H858),ABS('Mail Merge'!$M858),'Mail Merge'!$Q858),0)</f>
        <v>0</v>
      </c>
      <c r="V858" s="199" t="str">
        <f>IF(OR(IFERROR(SEARCH("Met",'Mail Merge'!$N858),0)&gt;0,IFERROR(SEARCH("Met",'Mail Merge'!$I858),0)&gt;0),"Met","Not Met")</f>
        <v>Met</v>
      </c>
    </row>
    <row r="859" spans="1:22" x14ac:dyDescent="0.35">
      <c r="A859" s="200" t="s">
        <v>91</v>
      </c>
      <c r="B859" s="201">
        <v>2054</v>
      </c>
      <c r="C859" s="201" t="s">
        <v>19</v>
      </c>
      <c r="D859" s="201">
        <v>673</v>
      </c>
      <c r="E859" s="201">
        <v>5105296.71</v>
      </c>
      <c r="F859" s="201">
        <v>0</v>
      </c>
      <c r="G859" s="201">
        <f>'Mail Merge'!$E859+'Mail Merge'!$F859</f>
        <v>5105296.71</v>
      </c>
      <c r="H859" s="201">
        <v>0</v>
      </c>
      <c r="I859" s="201" t="s">
        <v>241</v>
      </c>
      <c r="J859" s="201">
        <f>IFERROR('Mail Merge'!$E859/'Mail Merge'!$D859,0)</f>
        <v>7585.8792124814263</v>
      </c>
      <c r="K859" s="201">
        <f>IFERROR('Mail Merge'!$F859/'Mail Merge'!$D859,0)</f>
        <v>0</v>
      </c>
      <c r="L859" s="201">
        <f>IFERROR('Mail Merge'!$G859/'Mail Merge'!$D859,0)</f>
        <v>7585.8792124814263</v>
      </c>
      <c r="M859" s="201">
        <v>0</v>
      </c>
      <c r="N859" s="201" t="s">
        <v>241</v>
      </c>
      <c r="O859" s="201">
        <v>829196.36</v>
      </c>
      <c r="P859" s="201">
        <v>8319.6200000000008</v>
      </c>
      <c r="Q859" s="201">
        <f>'Mail Merge'!$O859+'Mail Merge'!$P859</f>
        <v>837515.98</v>
      </c>
      <c r="R859" s="201"/>
      <c r="S859" s="201"/>
      <c r="T859" s="201"/>
      <c r="U859" s="201">
        <f>IF(AND('Mail Merge'!$I859="Did Not Meet",'Mail Merge'!$N859="Did Not Meet"),MIN(ABS('Mail Merge'!$H859),ABS('Mail Merge'!$M859),'Mail Merge'!$Q859),0)</f>
        <v>0</v>
      </c>
      <c r="V859" s="201" t="str">
        <f>IF(OR(IFERROR(SEARCH("Met",'Mail Merge'!$N859),0)&gt;0,IFERROR(SEARCH("Met",'Mail Merge'!$I859),0)&gt;0),"Met","Not Met")</f>
        <v>Met</v>
      </c>
    </row>
    <row r="860" spans="1:22" x14ac:dyDescent="0.35">
      <c r="A860" s="198" t="s">
        <v>92</v>
      </c>
      <c r="B860" s="199">
        <v>2100</v>
      </c>
      <c r="C860" s="199" t="s">
        <v>19</v>
      </c>
      <c r="D860" s="199">
        <v>1256</v>
      </c>
      <c r="E860" s="199">
        <v>10817708.83</v>
      </c>
      <c r="F860" s="199">
        <v>919063</v>
      </c>
      <c r="G860" s="199">
        <f>'Mail Merge'!$E860+'Mail Merge'!$F860</f>
        <v>11736771.83</v>
      </c>
      <c r="H860" s="199">
        <v>0</v>
      </c>
      <c r="I860" s="199" t="s">
        <v>239</v>
      </c>
      <c r="J860" s="199">
        <f>IFERROR('Mail Merge'!$E860/'Mail Merge'!$D860,0)</f>
        <v>8612.8255015923569</v>
      </c>
      <c r="K860" s="199">
        <f>IFERROR('Mail Merge'!$F860/'Mail Merge'!$D860,0)</f>
        <v>731.73805732484072</v>
      </c>
      <c r="L860" s="199">
        <f>IFERROR('Mail Merge'!$G860/'Mail Merge'!$D860,0)</f>
        <v>9344.563558917198</v>
      </c>
      <c r="M860" s="199">
        <v>0</v>
      </c>
      <c r="N860" s="199" t="s">
        <v>239</v>
      </c>
      <c r="O860" s="199">
        <v>1403738.32</v>
      </c>
      <c r="P860" s="199">
        <v>11360.58</v>
      </c>
      <c r="Q860" s="199">
        <f>'Mail Merge'!$O860+'Mail Merge'!$P860</f>
        <v>1415098.9000000001</v>
      </c>
      <c r="R860" s="199"/>
      <c r="S860" s="199"/>
      <c r="T860" s="199"/>
      <c r="U860" s="199">
        <f>IF(AND('Mail Merge'!$I860="Did Not Meet",'Mail Merge'!$N860="Did Not Meet"),MIN(ABS('Mail Merge'!$H860),ABS('Mail Merge'!$M860),'Mail Merge'!$Q860),0)</f>
        <v>0</v>
      </c>
      <c r="V860" s="199" t="str">
        <f>IF(OR(IFERROR(SEARCH("Met",'Mail Merge'!$N860),0)&gt;0,IFERROR(SEARCH("Met",'Mail Merge'!$I860),0)&gt;0),"Met","Not Met")</f>
        <v>Met</v>
      </c>
    </row>
    <row r="861" spans="1:22" x14ac:dyDescent="0.35">
      <c r="A861" s="200" t="s">
        <v>93</v>
      </c>
      <c r="B861" s="201">
        <v>2183</v>
      </c>
      <c r="C861" s="201" t="s">
        <v>19</v>
      </c>
      <c r="D861" s="201">
        <v>1426</v>
      </c>
      <c r="E861" s="201">
        <v>14991542.619999999</v>
      </c>
      <c r="F861" s="201">
        <v>485434.55</v>
      </c>
      <c r="G861" s="201">
        <f>'Mail Merge'!$E861+'Mail Merge'!$F861</f>
        <v>15476977.17</v>
      </c>
      <c r="H861" s="201">
        <v>0</v>
      </c>
      <c r="I861" s="201" t="s">
        <v>241</v>
      </c>
      <c r="J861" s="201">
        <f>IFERROR('Mail Merge'!$E861/'Mail Merge'!$D861,0)</f>
        <v>10513.003239831696</v>
      </c>
      <c r="K861" s="201">
        <f>IFERROR('Mail Merge'!$F861/'Mail Merge'!$D861,0)</f>
        <v>340.41693548387099</v>
      </c>
      <c r="L861" s="201">
        <f>IFERROR('Mail Merge'!$G861/'Mail Merge'!$D861,0)</f>
        <v>10853.420175315568</v>
      </c>
      <c r="M861" s="201">
        <v>0</v>
      </c>
      <c r="N861" s="201" t="s">
        <v>241</v>
      </c>
      <c r="O861" s="201">
        <v>2074176.12</v>
      </c>
      <c r="P861" s="201">
        <v>14667.22</v>
      </c>
      <c r="Q861" s="201">
        <f>'Mail Merge'!$O861+'Mail Merge'!$P861</f>
        <v>2088843.34</v>
      </c>
      <c r="R861" s="201"/>
      <c r="S861" s="201"/>
      <c r="T861" s="201"/>
      <c r="U861" s="201">
        <f>IF(AND('Mail Merge'!$I861="Did Not Meet",'Mail Merge'!$N861="Did Not Meet"),MIN(ABS('Mail Merge'!$H861),ABS('Mail Merge'!$M861),'Mail Merge'!$Q861),0)</f>
        <v>0</v>
      </c>
      <c r="V861" s="201" t="str">
        <f>IF(OR(IFERROR(SEARCH("Met",'Mail Merge'!$N861),0)&gt;0,IFERROR(SEARCH("Met",'Mail Merge'!$I861),0)&gt;0),"Met","Not Met")</f>
        <v>Met</v>
      </c>
    </row>
    <row r="862" spans="1:22" x14ac:dyDescent="0.35">
      <c r="A862" s="198" t="s">
        <v>94</v>
      </c>
      <c r="B862" s="199">
        <v>2014</v>
      </c>
      <c r="C862" s="199" t="s">
        <v>19</v>
      </c>
      <c r="D862" s="199">
        <v>105</v>
      </c>
      <c r="E862" s="199">
        <v>1131828.1599999999</v>
      </c>
      <c r="F862" s="199">
        <v>200885</v>
      </c>
      <c r="G862" s="199">
        <f>'Mail Merge'!$E862+'Mail Merge'!$F862</f>
        <v>1332713.1599999999</v>
      </c>
      <c r="H862" s="199">
        <v>0</v>
      </c>
      <c r="I862" s="199" t="s">
        <v>242</v>
      </c>
      <c r="J862" s="199">
        <f>IFERROR('Mail Merge'!$E862/'Mail Merge'!$D862,0)</f>
        <v>10779.315809523809</v>
      </c>
      <c r="K862" s="199">
        <f>IFERROR('Mail Merge'!$F862/'Mail Merge'!$D862,0)</f>
        <v>1913.1904761904761</v>
      </c>
      <c r="L862" s="199">
        <f>IFERROR('Mail Merge'!$G862/'Mail Merge'!$D862,0)</f>
        <v>12692.506285714286</v>
      </c>
      <c r="M862" s="199">
        <v>0</v>
      </c>
      <c r="N862" s="199" t="s">
        <v>241</v>
      </c>
      <c r="O862" s="199">
        <v>169193.73</v>
      </c>
      <c r="P862" s="199">
        <v>2907.09</v>
      </c>
      <c r="Q862" s="199">
        <f>'Mail Merge'!$O862+'Mail Merge'!$P862</f>
        <v>172100.82</v>
      </c>
      <c r="R862" s="199"/>
      <c r="S862" s="199">
        <v>96641.69</v>
      </c>
      <c r="T862" s="199">
        <v>96641.69</v>
      </c>
      <c r="U862" s="199">
        <f>IF(AND('Mail Merge'!$I862="Did Not Meet",'Mail Merge'!$N862="Did Not Meet"),MIN(ABS('Mail Merge'!$H862),ABS('Mail Merge'!$M862),'Mail Merge'!$Q862),0)</f>
        <v>0</v>
      </c>
      <c r="V862" s="199" t="str">
        <f>IF(OR(IFERROR(SEARCH("Met",'Mail Merge'!$N862),0)&gt;0,IFERROR(SEARCH("Met",'Mail Merge'!$I862),0)&gt;0),"Met","Not Met")</f>
        <v>Met</v>
      </c>
    </row>
    <row r="863" spans="1:22" x14ac:dyDescent="0.35">
      <c r="A863" s="200" t="s">
        <v>95</v>
      </c>
      <c r="B863" s="201">
        <v>2015</v>
      </c>
      <c r="C863" s="201" t="s">
        <v>19</v>
      </c>
      <c r="D863" s="201">
        <v>6</v>
      </c>
      <c r="E863" s="201">
        <v>98317.6</v>
      </c>
      <c r="F863" s="201">
        <v>5487</v>
      </c>
      <c r="G863" s="201">
        <f>'Mail Merge'!$E863+'Mail Merge'!$F863</f>
        <v>103804.6</v>
      </c>
      <c r="H863" s="201">
        <v>0</v>
      </c>
      <c r="I863" s="201" t="s">
        <v>242</v>
      </c>
      <c r="J863" s="201">
        <f>IFERROR('Mail Merge'!$E863/'Mail Merge'!$D863,0)</f>
        <v>16386.266666666666</v>
      </c>
      <c r="K863" s="201">
        <f>IFERROR('Mail Merge'!$F863/'Mail Merge'!$D863,0)</f>
        <v>914.5</v>
      </c>
      <c r="L863" s="201">
        <f>IFERROR('Mail Merge'!$G863/'Mail Merge'!$D863,0)</f>
        <v>17300.766666666666</v>
      </c>
      <c r="M863" s="201">
        <v>0</v>
      </c>
      <c r="N863" s="201" t="s">
        <v>242</v>
      </c>
      <c r="O863" s="201">
        <v>8766.76</v>
      </c>
      <c r="P863" s="201">
        <v>0</v>
      </c>
      <c r="Q863" s="201">
        <f>'Mail Merge'!$O863+'Mail Merge'!$P863</f>
        <v>8766.76</v>
      </c>
      <c r="R863" s="201"/>
      <c r="S863" s="201">
        <v>96847.34</v>
      </c>
      <c r="T863" s="201">
        <v>96847.34</v>
      </c>
      <c r="U863" s="201">
        <f>IF(AND('Mail Merge'!$I863="Did Not Meet",'Mail Merge'!$N863="Did Not Meet"),MIN(ABS('Mail Merge'!$H863),ABS('Mail Merge'!$M863),'Mail Merge'!$Q863),0)</f>
        <v>0</v>
      </c>
      <c r="V863" s="201" t="str">
        <f>IF(OR(IFERROR(SEARCH("Met",'Mail Merge'!$N863),0)&gt;0,IFERROR(SEARCH("Met",'Mail Merge'!$I863),0)&gt;0),"Met","Not Met")</f>
        <v>Met</v>
      </c>
    </row>
    <row r="864" spans="1:22" x14ac:dyDescent="0.35">
      <c r="A864" s="198" t="s">
        <v>96</v>
      </c>
      <c r="B864" s="199">
        <v>2023</v>
      </c>
      <c r="C864" s="199" t="s">
        <v>19</v>
      </c>
      <c r="D864" s="199">
        <v>0</v>
      </c>
      <c r="E864" s="199">
        <v>25821.38</v>
      </c>
      <c r="F864" s="199">
        <v>5487</v>
      </c>
      <c r="G864" s="199">
        <f>'Mail Merge'!$E864+'Mail Merge'!$F864</f>
        <v>31308.38</v>
      </c>
      <c r="H864" s="199">
        <v>0</v>
      </c>
      <c r="I864" s="199" t="s">
        <v>240</v>
      </c>
      <c r="J864" s="199">
        <f>IFERROR('Mail Merge'!$E864/'Mail Merge'!$D864,0)</f>
        <v>0</v>
      </c>
      <c r="K864" s="199">
        <f>IFERROR('Mail Merge'!$F864/'Mail Merge'!$D864,0)</f>
        <v>0</v>
      </c>
      <c r="L864" s="199">
        <f>IFERROR('Mail Merge'!$G864/'Mail Merge'!$D864,0)</f>
        <v>0</v>
      </c>
      <c r="M864" s="199">
        <v>0</v>
      </c>
      <c r="N864" s="199" t="s">
        <v>240</v>
      </c>
      <c r="O864" s="199">
        <v>13322.97</v>
      </c>
      <c r="P864" s="199">
        <v>0</v>
      </c>
      <c r="Q864" s="199">
        <f>'Mail Merge'!$O864+'Mail Merge'!$P864</f>
        <v>13322.97</v>
      </c>
      <c r="R864" s="199"/>
      <c r="S864" s="199"/>
      <c r="T864" s="199"/>
      <c r="U864" s="199">
        <f>IF(AND('Mail Merge'!$I864="Did Not Meet",'Mail Merge'!$N864="Did Not Meet"),MIN(ABS('Mail Merge'!$H864),ABS('Mail Merge'!$M864),'Mail Merge'!$Q864),0)</f>
        <v>0</v>
      </c>
      <c r="V864" s="199" t="str">
        <f>IF(OR(IFERROR(SEARCH("Met",'Mail Merge'!$N864),0)&gt;0,IFERROR(SEARCH("Met",'Mail Merge'!$I864),0)&gt;0),"Met","Not Met")</f>
        <v>Not Met</v>
      </c>
    </row>
    <row r="865" spans="1:22" x14ac:dyDescent="0.35">
      <c r="A865" s="200" t="s">
        <v>97</v>
      </c>
      <c r="B865" s="201">
        <v>2114</v>
      </c>
      <c r="C865" s="201" t="s">
        <v>19</v>
      </c>
      <c r="D865" s="201">
        <v>12</v>
      </c>
      <c r="E865" s="201">
        <v>41128.239999999998</v>
      </c>
      <c r="F865" s="201">
        <v>27811.98</v>
      </c>
      <c r="G865" s="201">
        <f>'Mail Merge'!$E865+'Mail Merge'!$F865</f>
        <v>68940.22</v>
      </c>
      <c r="H865" s="201">
        <v>0</v>
      </c>
      <c r="I865" s="201" t="s">
        <v>239</v>
      </c>
      <c r="J865" s="201">
        <f>IFERROR('Mail Merge'!$E865/'Mail Merge'!$D865,0)</f>
        <v>3427.353333333333</v>
      </c>
      <c r="K865" s="201">
        <f>IFERROR('Mail Merge'!$F865/'Mail Merge'!$D865,0)</f>
        <v>2317.665</v>
      </c>
      <c r="L865" s="201">
        <f>IFERROR('Mail Merge'!$G865/'Mail Merge'!$D865,0)</f>
        <v>5745.0183333333334</v>
      </c>
      <c r="M865" s="201">
        <v>0</v>
      </c>
      <c r="N865" s="201" t="s">
        <v>239</v>
      </c>
      <c r="O865" s="201">
        <v>13375.59</v>
      </c>
      <c r="P865" s="201">
        <v>0</v>
      </c>
      <c r="Q865" s="201">
        <f>'Mail Merge'!$O865+'Mail Merge'!$P865</f>
        <v>13375.59</v>
      </c>
      <c r="R865" s="201"/>
      <c r="S865" s="201"/>
      <c r="T865" s="201"/>
      <c r="U865" s="201">
        <f>IF(AND('Mail Merge'!$I865="Did Not Meet",'Mail Merge'!$N865="Did Not Meet"),MIN(ABS('Mail Merge'!$H865),ABS('Mail Merge'!$M865),'Mail Merge'!$Q865),0)</f>
        <v>0</v>
      </c>
      <c r="V865" s="201" t="str">
        <f>IF(OR(IFERROR(SEARCH("Met",'Mail Merge'!$N865),0)&gt;0,IFERROR(SEARCH("Met",'Mail Merge'!$I865),0)&gt;0),"Met","Not Met")</f>
        <v>Met</v>
      </c>
    </row>
    <row r="866" spans="1:22" x14ac:dyDescent="0.35">
      <c r="A866" s="198" t="s">
        <v>98</v>
      </c>
      <c r="B866" s="199">
        <v>2099</v>
      </c>
      <c r="C866" s="199" t="s">
        <v>19</v>
      </c>
      <c r="D866" s="199">
        <v>132</v>
      </c>
      <c r="E866" s="199">
        <v>1117267.3700000001</v>
      </c>
      <c r="F866" s="199">
        <v>98450</v>
      </c>
      <c r="G866" s="199">
        <f>'Mail Merge'!$E866+'Mail Merge'!$F866</f>
        <v>1215717.3700000001</v>
      </c>
      <c r="H866" s="199">
        <v>0</v>
      </c>
      <c r="I866" s="199" t="s">
        <v>239</v>
      </c>
      <c r="J866" s="199">
        <f>IFERROR('Mail Merge'!$E866/'Mail Merge'!$D866,0)</f>
        <v>8464.1467424242437</v>
      </c>
      <c r="K866" s="199">
        <f>IFERROR('Mail Merge'!$F866/'Mail Merge'!$D866,0)</f>
        <v>745.83333333333337</v>
      </c>
      <c r="L866" s="199">
        <f>IFERROR('Mail Merge'!$G866/'Mail Merge'!$D866,0)</f>
        <v>9209.9800757575758</v>
      </c>
      <c r="M866" s="199">
        <v>0</v>
      </c>
      <c r="N866" s="199" t="s">
        <v>239</v>
      </c>
      <c r="O866" s="199">
        <v>137635.71</v>
      </c>
      <c r="P866" s="199">
        <v>590.16</v>
      </c>
      <c r="Q866" s="199">
        <f>'Mail Merge'!$O866+'Mail Merge'!$P866</f>
        <v>138225.87</v>
      </c>
      <c r="R866" s="199"/>
      <c r="S866" s="199"/>
      <c r="T866" s="199"/>
      <c r="U866" s="199">
        <f>IF(AND('Mail Merge'!$I866="Did Not Meet",'Mail Merge'!$N866="Did Not Meet"),MIN(ABS('Mail Merge'!$H866),ABS('Mail Merge'!$M866),'Mail Merge'!$Q866),0)</f>
        <v>0</v>
      </c>
      <c r="V866" s="199" t="str">
        <f>IF(OR(IFERROR(SEARCH("Met",'Mail Merge'!$N866),0)&gt;0,IFERROR(SEARCH("Met",'Mail Merge'!$I866),0)&gt;0),"Met","Not Met")</f>
        <v>Met</v>
      </c>
    </row>
    <row r="867" spans="1:22" x14ac:dyDescent="0.35">
      <c r="A867" s="200" t="s">
        <v>99</v>
      </c>
      <c r="B867" s="201">
        <v>2201</v>
      </c>
      <c r="C867" s="201" t="s">
        <v>19</v>
      </c>
      <c r="D867" s="201">
        <v>27</v>
      </c>
      <c r="E867" s="201">
        <v>78529.929999999993</v>
      </c>
      <c r="F867" s="201">
        <v>38668.519999999997</v>
      </c>
      <c r="G867" s="201">
        <f>'Mail Merge'!$E867+'Mail Merge'!$F867</f>
        <v>117198.44999999998</v>
      </c>
      <c r="H867" s="201">
        <v>0</v>
      </c>
      <c r="I867" s="201" t="s">
        <v>239</v>
      </c>
      <c r="J867" s="201">
        <f>IFERROR('Mail Merge'!$E867/'Mail Merge'!$D867,0)</f>
        <v>2908.5159259259258</v>
      </c>
      <c r="K867" s="201">
        <f>IFERROR('Mail Merge'!$F867/'Mail Merge'!$D867,0)</f>
        <v>1432.1674074074074</v>
      </c>
      <c r="L867" s="201">
        <f>IFERROR('Mail Merge'!$G867/'Mail Merge'!$D867,0)</f>
        <v>4340.6833333333325</v>
      </c>
      <c r="M867" s="201">
        <v>0</v>
      </c>
      <c r="N867" s="201" t="s">
        <v>239</v>
      </c>
      <c r="O867" s="201">
        <v>24121.279999999999</v>
      </c>
      <c r="P867" s="201">
        <v>918.03</v>
      </c>
      <c r="Q867" s="201">
        <f>'Mail Merge'!$O867+'Mail Merge'!$P867</f>
        <v>25039.309999999998</v>
      </c>
      <c r="R867" s="201"/>
      <c r="S867" s="201"/>
      <c r="T867" s="201"/>
      <c r="U867" s="201">
        <f>IF(AND('Mail Merge'!$I867="Did Not Meet",'Mail Merge'!$N867="Did Not Meet"),MIN(ABS('Mail Merge'!$H867),ABS('Mail Merge'!$M867),'Mail Merge'!$Q867),0)</f>
        <v>0</v>
      </c>
      <c r="V867" s="201" t="str">
        <f>IF(OR(IFERROR(SEARCH("Met",'Mail Merge'!$N867),0)&gt;0,IFERROR(SEARCH("Met",'Mail Merge'!$I867),0)&gt;0),"Met","Not Met")</f>
        <v>Met</v>
      </c>
    </row>
    <row r="868" spans="1:22" x14ac:dyDescent="0.35">
      <c r="A868" s="198" t="s">
        <v>100</v>
      </c>
      <c r="B868" s="199">
        <v>2206</v>
      </c>
      <c r="C868" s="199" t="s">
        <v>19</v>
      </c>
      <c r="D868" s="199">
        <v>630</v>
      </c>
      <c r="E868" s="199">
        <v>3562285.25</v>
      </c>
      <c r="F868" s="199">
        <v>1000727.05</v>
      </c>
      <c r="G868" s="199">
        <f>'Mail Merge'!$E868+'Mail Merge'!$F868</f>
        <v>4563012.3</v>
      </c>
      <c r="H868" s="199">
        <v>0</v>
      </c>
      <c r="I868" s="199" t="s">
        <v>241</v>
      </c>
      <c r="J868" s="199">
        <f>IFERROR('Mail Merge'!$E868/'Mail Merge'!$D868,0)</f>
        <v>5654.421031746032</v>
      </c>
      <c r="K868" s="199">
        <f>IFERROR('Mail Merge'!$F868/'Mail Merge'!$D868,0)</f>
        <v>1588.455634920635</v>
      </c>
      <c r="L868" s="199">
        <f>IFERROR('Mail Merge'!$G868/'Mail Merge'!$D868,0)</f>
        <v>7242.8766666666661</v>
      </c>
      <c r="M868" s="199">
        <v>0</v>
      </c>
      <c r="N868" s="199" t="s">
        <v>240</v>
      </c>
      <c r="O868" s="199">
        <v>758765.06</v>
      </c>
      <c r="P868" s="199">
        <v>7076.03</v>
      </c>
      <c r="Q868" s="199">
        <f>'Mail Merge'!$O868+'Mail Merge'!$P868</f>
        <v>765841.09000000008</v>
      </c>
      <c r="R868" s="199"/>
      <c r="S868" s="199"/>
      <c r="T868" s="199"/>
      <c r="U868" s="199">
        <f>IF(AND('Mail Merge'!$I868="Did Not Meet",'Mail Merge'!$N868="Did Not Meet"),MIN(ABS('Mail Merge'!$H868),ABS('Mail Merge'!$M868),'Mail Merge'!$Q868),0)</f>
        <v>0</v>
      </c>
      <c r="V868" s="199" t="str">
        <f>IF(OR(IFERROR(SEARCH("Met",'Mail Merge'!$N868),0)&gt;0,IFERROR(SEARCH("Met",'Mail Merge'!$I868),0)&gt;0),"Met","Not Met")</f>
        <v>Met</v>
      </c>
    </row>
    <row r="869" spans="1:22" x14ac:dyDescent="0.35">
      <c r="A869" s="200" t="s">
        <v>101</v>
      </c>
      <c r="B869" s="201">
        <v>2239</v>
      </c>
      <c r="C869" s="201" t="s">
        <v>19</v>
      </c>
      <c r="D869" s="201">
        <v>2786</v>
      </c>
      <c r="E869" s="201">
        <v>25757538.309999999</v>
      </c>
      <c r="F869" s="201">
        <v>4063904</v>
      </c>
      <c r="G869" s="201">
        <f>'Mail Merge'!$E869+'Mail Merge'!$F869</f>
        <v>29821442.309999999</v>
      </c>
      <c r="H869" s="201">
        <v>0</v>
      </c>
      <c r="I869" s="201" t="s">
        <v>241</v>
      </c>
      <c r="J869" s="201">
        <f>IFERROR('Mail Merge'!$E869/'Mail Merge'!$D869,0)</f>
        <v>9245.3475628140695</v>
      </c>
      <c r="K869" s="201">
        <f>IFERROR('Mail Merge'!$F869/'Mail Merge'!$D869,0)</f>
        <v>1458.6877243359656</v>
      </c>
      <c r="L869" s="201">
        <f>IFERROR('Mail Merge'!$G869/'Mail Merge'!$D869,0)</f>
        <v>10704.035287150036</v>
      </c>
      <c r="M869" s="201">
        <v>0</v>
      </c>
      <c r="N869" s="201" t="s">
        <v>240</v>
      </c>
      <c r="O869" s="201">
        <v>2905778.22</v>
      </c>
      <c r="P869" s="201">
        <v>13765.97</v>
      </c>
      <c r="Q869" s="201">
        <f>'Mail Merge'!$O869+'Mail Merge'!$P869</f>
        <v>2919544.1900000004</v>
      </c>
      <c r="R869" s="201"/>
      <c r="S869" s="201"/>
      <c r="T869" s="201"/>
      <c r="U869" s="201">
        <f>IF(AND('Mail Merge'!$I869="Did Not Meet",'Mail Merge'!$N869="Did Not Meet"),MIN(ABS('Mail Merge'!$H869),ABS('Mail Merge'!$M869),'Mail Merge'!$Q869),0)</f>
        <v>0</v>
      </c>
      <c r="V869" s="201" t="str">
        <f>IF(OR(IFERROR(SEARCH("Met",'Mail Merge'!$N869),0)&gt;0,IFERROR(SEARCH("Met",'Mail Merge'!$I869),0)&gt;0),"Met","Not Met")</f>
        <v>Met</v>
      </c>
    </row>
    <row r="870" spans="1:22" x14ac:dyDescent="0.35">
      <c r="A870" s="198" t="s">
        <v>102</v>
      </c>
      <c r="B870" s="199">
        <v>2024</v>
      </c>
      <c r="C870" s="199" t="s">
        <v>19</v>
      </c>
      <c r="D870" s="199">
        <v>541</v>
      </c>
      <c r="E870" s="199">
        <v>3926728.27</v>
      </c>
      <c r="F870" s="199">
        <v>0</v>
      </c>
      <c r="G870" s="199">
        <f>'Mail Merge'!$E870+'Mail Merge'!$F870</f>
        <v>3926728.27</v>
      </c>
      <c r="H870" s="199">
        <v>0</v>
      </c>
      <c r="I870" s="199" t="s">
        <v>241</v>
      </c>
      <c r="J870" s="199">
        <f>IFERROR('Mail Merge'!$E870/'Mail Merge'!$D870,0)</f>
        <v>7258.277763401109</v>
      </c>
      <c r="K870" s="199">
        <f>IFERROR('Mail Merge'!$F870/'Mail Merge'!$D870,0)</f>
        <v>0</v>
      </c>
      <c r="L870" s="199">
        <f>IFERROR('Mail Merge'!$G870/'Mail Merge'!$D870,0)</f>
        <v>7258.277763401109</v>
      </c>
      <c r="M870" s="199">
        <v>0</v>
      </c>
      <c r="N870" s="199" t="s">
        <v>241</v>
      </c>
      <c r="O870" s="199">
        <v>679494.18</v>
      </c>
      <c r="P870" s="199">
        <v>4963.3999999999996</v>
      </c>
      <c r="Q870" s="199">
        <f>'Mail Merge'!$O870+'Mail Merge'!$P870</f>
        <v>684457.58000000007</v>
      </c>
      <c r="R870" s="199"/>
      <c r="S870" s="199"/>
      <c r="T870" s="199"/>
      <c r="U870" s="199">
        <f>IF(AND('Mail Merge'!$I870="Did Not Meet",'Mail Merge'!$N870="Did Not Meet"),MIN(ABS('Mail Merge'!$H870),ABS('Mail Merge'!$M870),'Mail Merge'!$Q870),0)</f>
        <v>0</v>
      </c>
      <c r="V870" s="199" t="str">
        <f>IF(OR(IFERROR(SEARCH("Met",'Mail Merge'!$N870),0)&gt;0,IFERROR(SEARCH("Met",'Mail Merge'!$I870),0)&gt;0),"Met","Not Met")</f>
        <v>Met</v>
      </c>
    </row>
    <row r="871" spans="1:22" x14ac:dyDescent="0.35">
      <c r="A871" s="200" t="s">
        <v>103</v>
      </c>
      <c r="B871" s="201">
        <v>1895</v>
      </c>
      <c r="C871" s="201" t="s">
        <v>19</v>
      </c>
      <c r="D871" s="201">
        <v>8</v>
      </c>
      <c r="E871" s="201">
        <v>85089.62</v>
      </c>
      <c r="F871" s="201">
        <v>29823.439999999999</v>
      </c>
      <c r="G871" s="201">
        <f>'Mail Merge'!$E871+'Mail Merge'!$F871</f>
        <v>114913.06</v>
      </c>
      <c r="H871" s="201">
        <v>0</v>
      </c>
      <c r="I871" s="201" t="s">
        <v>239</v>
      </c>
      <c r="J871" s="201">
        <f>IFERROR('Mail Merge'!$E871/'Mail Merge'!$D871,0)</f>
        <v>10636.202499999999</v>
      </c>
      <c r="K871" s="201">
        <f>IFERROR('Mail Merge'!$F871/'Mail Merge'!$D871,0)</f>
        <v>3727.93</v>
      </c>
      <c r="L871" s="201">
        <f>IFERROR('Mail Merge'!$G871/'Mail Merge'!$D871,0)</f>
        <v>14364.1325</v>
      </c>
      <c r="M871" s="201">
        <v>0</v>
      </c>
      <c r="N871" s="201" t="s">
        <v>239</v>
      </c>
      <c r="O871" s="201">
        <v>15335.22</v>
      </c>
      <c r="P871" s="201">
        <v>918.03</v>
      </c>
      <c r="Q871" s="201">
        <f>'Mail Merge'!$O871+'Mail Merge'!$P871</f>
        <v>16253.25</v>
      </c>
      <c r="R871" s="201"/>
      <c r="S871" s="201"/>
      <c r="T871" s="201"/>
      <c r="U871" s="201">
        <f>IF(AND('Mail Merge'!$I871="Did Not Meet",'Mail Merge'!$N871="Did Not Meet"),MIN(ABS('Mail Merge'!$H871),ABS('Mail Merge'!$M871),'Mail Merge'!$Q871),0)</f>
        <v>0</v>
      </c>
      <c r="V871" s="201" t="str">
        <f>IF(OR(IFERROR(SEARCH("Met",'Mail Merge'!$N871),0)&gt;0,IFERROR(SEARCH("Met",'Mail Merge'!$I871),0)&gt;0),"Met","Not Met")</f>
        <v>Met</v>
      </c>
    </row>
    <row r="872" spans="1:22" x14ac:dyDescent="0.35">
      <c r="A872" s="198" t="s">
        <v>104</v>
      </c>
      <c r="B872" s="199">
        <v>2215</v>
      </c>
      <c r="C872" s="199" t="s">
        <v>19</v>
      </c>
      <c r="D872" s="199">
        <v>36</v>
      </c>
      <c r="E872" s="199">
        <v>143200.29999999999</v>
      </c>
      <c r="F872" s="199">
        <v>62891</v>
      </c>
      <c r="G872" s="199">
        <f>'Mail Merge'!$E872+'Mail Merge'!$F872</f>
        <v>206091.3</v>
      </c>
      <c r="H872" s="199">
        <v>0</v>
      </c>
      <c r="I872" s="199" t="s">
        <v>242</v>
      </c>
      <c r="J872" s="199">
        <f>IFERROR('Mail Merge'!$E872/'Mail Merge'!$D872,0)</f>
        <v>3977.7861111111106</v>
      </c>
      <c r="K872" s="199">
        <f>IFERROR('Mail Merge'!$F872/'Mail Merge'!$D872,0)</f>
        <v>1746.9722222222222</v>
      </c>
      <c r="L872" s="199">
        <f>IFERROR('Mail Merge'!$G872/'Mail Merge'!$D872,0)</f>
        <v>5724.7583333333332</v>
      </c>
      <c r="M872" s="199">
        <v>0</v>
      </c>
      <c r="N872" s="199" t="s">
        <v>240</v>
      </c>
      <c r="O872" s="199">
        <v>64469.69</v>
      </c>
      <c r="P872" s="199">
        <v>0</v>
      </c>
      <c r="Q872" s="199">
        <f>'Mail Merge'!$O872+'Mail Merge'!$P872</f>
        <v>64469.69</v>
      </c>
      <c r="R872" s="199"/>
      <c r="S872" s="199">
        <v>55892.4</v>
      </c>
      <c r="T872" s="199"/>
      <c r="U872" s="199">
        <f>IF(AND('Mail Merge'!$I872="Did Not Meet",'Mail Merge'!$N872="Did Not Meet"),MIN(ABS('Mail Merge'!$H872),ABS('Mail Merge'!$M872),'Mail Merge'!$Q872),0)</f>
        <v>0</v>
      </c>
      <c r="V872" s="199" t="str">
        <f>IF(OR(IFERROR(SEARCH("Met",'Mail Merge'!$N872),0)&gt;0,IFERROR(SEARCH("Met",'Mail Merge'!$I872),0)&gt;0),"Met","Not Met")</f>
        <v>Met</v>
      </c>
    </row>
    <row r="873" spans="1:22" x14ac:dyDescent="0.35">
      <c r="A873" s="200" t="s">
        <v>105</v>
      </c>
      <c r="B873" s="201">
        <v>3997</v>
      </c>
      <c r="C873" s="201" t="s">
        <v>19</v>
      </c>
      <c r="D873" s="201">
        <v>29</v>
      </c>
      <c r="E873" s="201">
        <v>100808.65</v>
      </c>
      <c r="F873" s="201">
        <v>41532.86</v>
      </c>
      <c r="G873" s="201">
        <f>'Mail Merge'!$E873+'Mail Merge'!$F873</f>
        <v>142341.51</v>
      </c>
      <c r="H873" s="201">
        <v>0</v>
      </c>
      <c r="I873" s="201" t="s">
        <v>239</v>
      </c>
      <c r="J873" s="201">
        <f>IFERROR('Mail Merge'!$E873/'Mail Merge'!$D873,0)</f>
        <v>3476.160344827586</v>
      </c>
      <c r="K873" s="201">
        <f>IFERROR('Mail Merge'!$F873/'Mail Merge'!$D873,0)</f>
        <v>1432.1675862068967</v>
      </c>
      <c r="L873" s="201">
        <f>IFERROR('Mail Merge'!$G873/'Mail Merge'!$D873,0)</f>
        <v>4908.3279310344833</v>
      </c>
      <c r="M873" s="201">
        <v>0</v>
      </c>
      <c r="N873" s="201" t="s">
        <v>239</v>
      </c>
      <c r="O873" s="201">
        <v>44422.53</v>
      </c>
      <c r="P873" s="201">
        <v>0</v>
      </c>
      <c r="Q873" s="201">
        <f>'Mail Merge'!$O873+'Mail Merge'!$P873</f>
        <v>44422.53</v>
      </c>
      <c r="R873" s="201"/>
      <c r="S873" s="201"/>
      <c r="T873" s="201"/>
      <c r="U873" s="201">
        <f>IF(AND('Mail Merge'!$I873="Did Not Meet",'Mail Merge'!$N873="Did Not Meet"),MIN(ABS('Mail Merge'!$H873),ABS('Mail Merge'!$M873),'Mail Merge'!$Q873),0)</f>
        <v>0</v>
      </c>
      <c r="V873" s="201" t="str">
        <f>IF(OR(IFERROR(SEARCH("Met",'Mail Merge'!$N873),0)&gt;0,IFERROR(SEARCH("Met",'Mail Merge'!$I873),0)&gt;0),"Met","Not Met")</f>
        <v>Met</v>
      </c>
    </row>
    <row r="874" spans="1:22" x14ac:dyDescent="0.35">
      <c r="A874" s="198" t="s">
        <v>106</v>
      </c>
      <c r="B874" s="199">
        <v>2053</v>
      </c>
      <c r="C874" s="199" t="s">
        <v>19</v>
      </c>
      <c r="D874" s="199">
        <v>403</v>
      </c>
      <c r="E874" s="199">
        <v>3496229.98</v>
      </c>
      <c r="F874" s="199">
        <v>957733.95</v>
      </c>
      <c r="G874" s="199">
        <f>'Mail Merge'!$E874+'Mail Merge'!$F874</f>
        <v>4453963.93</v>
      </c>
      <c r="H874" s="199">
        <v>0</v>
      </c>
      <c r="I874" s="199" t="s">
        <v>241</v>
      </c>
      <c r="J874" s="199">
        <f>IFERROR('Mail Merge'!$E874/'Mail Merge'!$D874,0)</f>
        <v>8675.5086352357321</v>
      </c>
      <c r="K874" s="199">
        <f>IFERROR('Mail Merge'!$F874/'Mail Merge'!$D874,0)</f>
        <v>2376.5110421836225</v>
      </c>
      <c r="L874" s="199">
        <f>IFERROR('Mail Merge'!$G874/'Mail Merge'!$D874,0)</f>
        <v>11052.019677419354</v>
      </c>
      <c r="M874" s="199">
        <v>0</v>
      </c>
      <c r="N874" s="199" t="s">
        <v>241</v>
      </c>
      <c r="O874" s="199">
        <v>489557.02</v>
      </c>
      <c r="P874" s="199">
        <v>10156.33</v>
      </c>
      <c r="Q874" s="199">
        <f>'Mail Merge'!$O874+'Mail Merge'!$P874</f>
        <v>499713.35000000003</v>
      </c>
      <c r="R874" s="199"/>
      <c r="S874" s="199"/>
      <c r="T874" s="199"/>
      <c r="U874" s="199">
        <f>IF(AND('Mail Merge'!$I874="Did Not Meet",'Mail Merge'!$N874="Did Not Meet"),MIN(ABS('Mail Merge'!$H874),ABS('Mail Merge'!$M874),'Mail Merge'!$Q874),0)</f>
        <v>0</v>
      </c>
      <c r="V874" s="199" t="str">
        <f>IF(OR(IFERROR(SEARCH("Met",'Mail Merge'!$N874),0)&gt;0,IFERROR(SEARCH("Met",'Mail Merge'!$I874),0)&gt;0),"Met","Not Met")</f>
        <v>Met</v>
      </c>
    </row>
    <row r="875" spans="1:22" x14ac:dyDescent="0.35">
      <c r="A875" s="200" t="s">
        <v>107</v>
      </c>
      <c r="B875" s="201">
        <v>2140</v>
      </c>
      <c r="C875" s="201" t="s">
        <v>19</v>
      </c>
      <c r="D875" s="201">
        <v>138</v>
      </c>
      <c r="E875" s="201">
        <v>1128409.3999999999</v>
      </c>
      <c r="F875" s="201">
        <v>78449.429999999993</v>
      </c>
      <c r="G875" s="201">
        <f>'Mail Merge'!$E875+'Mail Merge'!$F875</f>
        <v>1206858.8299999998</v>
      </c>
      <c r="H875" s="201">
        <v>0</v>
      </c>
      <c r="I875" s="201" t="s">
        <v>241</v>
      </c>
      <c r="J875" s="201">
        <f>IFERROR('Mail Merge'!$E875/'Mail Merge'!$D875,0)</f>
        <v>8176.8797101449272</v>
      </c>
      <c r="K875" s="201">
        <f>IFERROR('Mail Merge'!$F875/'Mail Merge'!$D875,0)</f>
        <v>568.47413043478252</v>
      </c>
      <c r="L875" s="201">
        <f>IFERROR('Mail Merge'!$G875/'Mail Merge'!$D875,0)</f>
        <v>8745.3538405797099</v>
      </c>
      <c r="M875" s="201">
        <v>0</v>
      </c>
      <c r="N875" s="201" t="s">
        <v>241</v>
      </c>
      <c r="O875" s="201">
        <v>140347.60999999999</v>
      </c>
      <c r="P875" s="201">
        <v>637.52</v>
      </c>
      <c r="Q875" s="201">
        <f>'Mail Merge'!$O875+'Mail Merge'!$P875</f>
        <v>140985.12999999998</v>
      </c>
      <c r="R875" s="201"/>
      <c r="S875" s="201"/>
      <c r="T875" s="201"/>
      <c r="U875" s="201">
        <f>IF(AND('Mail Merge'!$I875="Did Not Meet",'Mail Merge'!$N875="Did Not Meet"),MIN(ABS('Mail Merge'!$H875),ABS('Mail Merge'!$M875),'Mail Merge'!$Q875),0)</f>
        <v>0</v>
      </c>
      <c r="V875" s="201" t="str">
        <f>IF(OR(IFERROR(SEARCH("Met",'Mail Merge'!$N875),0)&gt;0,IFERROR(SEARCH("Met",'Mail Merge'!$I875),0)&gt;0),"Met","Not Met")</f>
        <v>Met</v>
      </c>
    </row>
    <row r="876" spans="1:22" x14ac:dyDescent="0.35">
      <c r="A876" s="198" t="s">
        <v>108</v>
      </c>
      <c r="B876" s="199">
        <v>1934</v>
      </c>
      <c r="C876" s="199" t="s">
        <v>19</v>
      </c>
      <c r="D876" s="199">
        <v>18</v>
      </c>
      <c r="E876" s="199">
        <v>212237.69</v>
      </c>
      <c r="F876" s="199">
        <v>66087</v>
      </c>
      <c r="G876" s="199">
        <f>'Mail Merge'!$E876+'Mail Merge'!$F876</f>
        <v>278324.69</v>
      </c>
      <c r="H876" s="199">
        <v>0</v>
      </c>
      <c r="I876" s="199" t="s">
        <v>242</v>
      </c>
      <c r="J876" s="199">
        <f>IFERROR('Mail Merge'!$E876/'Mail Merge'!$D876,0)</f>
        <v>11790.982777777777</v>
      </c>
      <c r="K876" s="199">
        <f>IFERROR('Mail Merge'!$F876/'Mail Merge'!$D876,0)</f>
        <v>3671.5</v>
      </c>
      <c r="L876" s="199">
        <f>IFERROR('Mail Merge'!$G876/'Mail Merge'!$D876,0)</f>
        <v>15462.482777777777</v>
      </c>
      <c r="M876" s="199">
        <v>0</v>
      </c>
      <c r="N876" s="199" t="s">
        <v>241</v>
      </c>
      <c r="O876" s="199">
        <v>20335.59</v>
      </c>
      <c r="P876" s="199">
        <v>918.03</v>
      </c>
      <c r="Q876" s="199">
        <f>'Mail Merge'!$O876+'Mail Merge'!$P876</f>
        <v>21253.62</v>
      </c>
      <c r="R876" s="199"/>
      <c r="S876" s="199">
        <v>40108.230000000003</v>
      </c>
      <c r="T876" s="199">
        <v>40108.230000000003</v>
      </c>
      <c r="U876" s="199">
        <f>IF(AND('Mail Merge'!$I876="Did Not Meet",'Mail Merge'!$N876="Did Not Meet"),MIN(ABS('Mail Merge'!$H876),ABS('Mail Merge'!$M876),'Mail Merge'!$Q876),0)</f>
        <v>0</v>
      </c>
      <c r="V876" s="199" t="str">
        <f>IF(OR(IFERROR(SEARCH("Met",'Mail Merge'!$N876),0)&gt;0,IFERROR(SEARCH("Met",'Mail Merge'!$I876),0)&gt;0),"Met","Not Met")</f>
        <v>Met</v>
      </c>
    </row>
    <row r="877" spans="1:22" x14ac:dyDescent="0.35">
      <c r="A877" s="200" t="s">
        <v>109</v>
      </c>
      <c r="B877" s="201">
        <v>2008</v>
      </c>
      <c r="C877" s="201" t="s">
        <v>19</v>
      </c>
      <c r="D877" s="201">
        <v>88</v>
      </c>
      <c r="E877" s="201">
        <v>738469.15</v>
      </c>
      <c r="F877" s="201">
        <v>158505.01</v>
      </c>
      <c r="G877" s="201">
        <f>'Mail Merge'!$E877+'Mail Merge'!$F877</f>
        <v>896974.16</v>
      </c>
      <c r="H877" s="201">
        <v>0</v>
      </c>
      <c r="I877" s="201" t="s">
        <v>239</v>
      </c>
      <c r="J877" s="201">
        <f>IFERROR('Mail Merge'!$E877/'Mail Merge'!$D877,0)</f>
        <v>8391.6948863636371</v>
      </c>
      <c r="K877" s="201">
        <f>IFERROR('Mail Merge'!$F877/'Mail Merge'!$D877,0)</f>
        <v>1801.1932954545455</v>
      </c>
      <c r="L877" s="201">
        <f>IFERROR('Mail Merge'!$G877/'Mail Merge'!$D877,0)</f>
        <v>10192.888181818182</v>
      </c>
      <c r="M877" s="201">
        <v>0</v>
      </c>
      <c r="N877" s="201" t="s">
        <v>239</v>
      </c>
      <c r="O877" s="201">
        <v>129356.91</v>
      </c>
      <c r="P877" s="201">
        <v>918.03</v>
      </c>
      <c r="Q877" s="201">
        <f>'Mail Merge'!$O877+'Mail Merge'!$P877</f>
        <v>130274.94</v>
      </c>
      <c r="R877" s="201"/>
      <c r="S877" s="201">
        <v>71644.3</v>
      </c>
      <c r="T877" s="201">
        <v>71644.3</v>
      </c>
      <c r="U877" s="201">
        <f>IF(AND('Mail Merge'!$I877="Did Not Meet",'Mail Merge'!$N877="Did Not Meet"),MIN(ABS('Mail Merge'!$H877),ABS('Mail Merge'!$M877),'Mail Merge'!$Q877),0)</f>
        <v>0</v>
      </c>
      <c r="V877" s="201" t="str">
        <f>IF(OR(IFERROR(SEARCH("Met",'Mail Merge'!$N877),0)&gt;0,IFERROR(SEARCH("Met",'Mail Merge'!$I877),0)&gt;0),"Met","Not Met")</f>
        <v>Met</v>
      </c>
    </row>
    <row r="878" spans="1:22" x14ac:dyDescent="0.35">
      <c r="A878" s="198" t="s">
        <v>110</v>
      </c>
      <c r="B878" s="199">
        <v>2107</v>
      </c>
      <c r="C878" s="199" t="s">
        <v>19</v>
      </c>
      <c r="D878" s="199">
        <v>6</v>
      </c>
      <c r="E878" s="199">
        <v>76951.13</v>
      </c>
      <c r="F878" s="199">
        <v>22626.65</v>
      </c>
      <c r="G878" s="199">
        <f>'Mail Merge'!$E878+'Mail Merge'!$F878</f>
        <v>99577.78</v>
      </c>
      <c r="H878" s="199">
        <v>0</v>
      </c>
      <c r="I878" s="199" t="s">
        <v>239</v>
      </c>
      <c r="J878" s="199">
        <f>IFERROR('Mail Merge'!$E878/'Mail Merge'!$D878,0)</f>
        <v>12825.188333333334</v>
      </c>
      <c r="K878" s="199">
        <f>IFERROR('Mail Merge'!$F878/'Mail Merge'!$D878,0)</f>
        <v>3771.1083333333336</v>
      </c>
      <c r="L878" s="199">
        <f>IFERROR('Mail Merge'!$G878/'Mail Merge'!$D878,0)</f>
        <v>16596.296666666665</v>
      </c>
      <c r="M878" s="199">
        <v>0</v>
      </c>
      <c r="N878" s="199" t="s">
        <v>239</v>
      </c>
      <c r="O878" s="199">
        <v>18050.75</v>
      </c>
      <c r="P878" s="199">
        <v>459.01</v>
      </c>
      <c r="Q878" s="199">
        <f>'Mail Merge'!$O878+'Mail Merge'!$P878</f>
        <v>18509.759999999998</v>
      </c>
      <c r="R878" s="199"/>
      <c r="S878" s="199"/>
      <c r="T878" s="199"/>
      <c r="U878" s="199">
        <f>IF(AND('Mail Merge'!$I878="Did Not Meet",'Mail Merge'!$N878="Did Not Meet"),MIN(ABS('Mail Merge'!$H878),ABS('Mail Merge'!$M878),'Mail Merge'!$Q878),0)</f>
        <v>0</v>
      </c>
      <c r="V878" s="199" t="str">
        <f>IF(OR(IFERROR(SEARCH("Met",'Mail Merge'!$N878),0)&gt;0,IFERROR(SEARCH("Met",'Mail Merge'!$I878),0)&gt;0),"Met","Not Met")</f>
        <v>Met</v>
      </c>
    </row>
    <row r="879" spans="1:22" x14ac:dyDescent="0.35">
      <c r="A879" s="200" t="s">
        <v>111</v>
      </c>
      <c r="B879" s="201">
        <v>2219</v>
      </c>
      <c r="C879" s="201" t="s">
        <v>19</v>
      </c>
      <c r="D879" s="201">
        <v>26</v>
      </c>
      <c r="E879" s="201">
        <v>117055.92</v>
      </c>
      <c r="F879" s="201">
        <v>109586.65</v>
      </c>
      <c r="G879" s="201">
        <f>'Mail Merge'!$E879+'Mail Merge'!$F879</f>
        <v>226642.57</v>
      </c>
      <c r="H879" s="201">
        <v>0</v>
      </c>
      <c r="I879" s="201" t="s">
        <v>239</v>
      </c>
      <c r="J879" s="201">
        <f>IFERROR('Mail Merge'!$E879/'Mail Merge'!$D879,0)</f>
        <v>4502.1507692307696</v>
      </c>
      <c r="K879" s="201">
        <f>IFERROR('Mail Merge'!$F879/'Mail Merge'!$D879,0)</f>
        <v>4214.8711538461539</v>
      </c>
      <c r="L879" s="201">
        <f>IFERROR('Mail Merge'!$G879/'Mail Merge'!$D879,0)</f>
        <v>8717.0219230769235</v>
      </c>
      <c r="M879" s="201">
        <v>0</v>
      </c>
      <c r="N879" s="201" t="s">
        <v>239</v>
      </c>
      <c r="O879" s="201">
        <v>48471.64</v>
      </c>
      <c r="P879" s="201">
        <v>0</v>
      </c>
      <c r="Q879" s="201">
        <f>'Mail Merge'!$O879+'Mail Merge'!$P879</f>
        <v>48471.64</v>
      </c>
      <c r="R879" s="201"/>
      <c r="S879" s="201"/>
      <c r="T879" s="201"/>
      <c r="U879" s="201">
        <f>IF(AND('Mail Merge'!$I879="Did Not Meet",'Mail Merge'!$N879="Did Not Meet"),MIN(ABS('Mail Merge'!$H879),ABS('Mail Merge'!$M879),'Mail Merge'!$Q879),0)</f>
        <v>0</v>
      </c>
      <c r="V879" s="201" t="str">
        <f>IF(OR(IFERROR(SEARCH("Met",'Mail Merge'!$N879),0)&gt;0,IFERROR(SEARCH("Met",'Mail Merge'!$I879),0)&gt;0),"Met","Not Met")</f>
        <v>Met</v>
      </c>
    </row>
    <row r="880" spans="1:22" x14ac:dyDescent="0.35">
      <c r="A880" s="198" t="s">
        <v>112</v>
      </c>
      <c r="B880" s="199">
        <v>2091</v>
      </c>
      <c r="C880" s="199" t="s">
        <v>19</v>
      </c>
      <c r="D880" s="199">
        <v>219</v>
      </c>
      <c r="E880" s="199">
        <v>1480643.09</v>
      </c>
      <c r="F880" s="199">
        <v>450842</v>
      </c>
      <c r="G880" s="199">
        <f>'Mail Merge'!$E880+'Mail Merge'!$F880</f>
        <v>1931485.09</v>
      </c>
      <c r="H880" s="199">
        <v>0</v>
      </c>
      <c r="I880" s="199" t="s">
        <v>242</v>
      </c>
      <c r="J880" s="199">
        <f>IFERROR('Mail Merge'!$E880/'Mail Merge'!$D880,0)</f>
        <v>6760.927351598174</v>
      </c>
      <c r="K880" s="199">
        <f>IFERROR('Mail Merge'!$F880/'Mail Merge'!$D880,0)</f>
        <v>2058.6392694063925</v>
      </c>
      <c r="L880" s="199">
        <f>IFERROR('Mail Merge'!$G880/'Mail Merge'!$D880,0)</f>
        <v>8819.5666210045674</v>
      </c>
      <c r="M880" s="199">
        <v>0</v>
      </c>
      <c r="N880" s="199" t="s">
        <v>240</v>
      </c>
      <c r="O880" s="199">
        <v>293565.08</v>
      </c>
      <c r="P880" s="199">
        <v>2203.2600000000002</v>
      </c>
      <c r="Q880" s="199">
        <f>'Mail Merge'!$O880+'Mail Merge'!$P880</f>
        <v>295768.34000000003</v>
      </c>
      <c r="R880" s="199"/>
      <c r="S880" s="199">
        <v>99900</v>
      </c>
      <c r="T880" s="199"/>
      <c r="U880" s="199">
        <f>IF(AND('Mail Merge'!$I880="Did Not Meet",'Mail Merge'!$N880="Did Not Meet"),MIN(ABS('Mail Merge'!$H880),ABS('Mail Merge'!$M880),'Mail Merge'!$Q880),0)</f>
        <v>0</v>
      </c>
      <c r="V880" s="199" t="str">
        <f>IF(OR(IFERROR(SEARCH("Met",'Mail Merge'!$N880),0)&gt;0,IFERROR(SEARCH("Met",'Mail Merge'!$I880),0)&gt;0),"Met","Not Met")</f>
        <v>Met</v>
      </c>
    </row>
    <row r="881" spans="1:22" x14ac:dyDescent="0.35">
      <c r="A881" s="200" t="s">
        <v>113</v>
      </c>
      <c r="B881" s="201">
        <v>2109</v>
      </c>
      <c r="C881" s="201" t="s">
        <v>19</v>
      </c>
      <c r="D881" s="201">
        <v>1</v>
      </c>
      <c r="E881" s="201">
        <v>0</v>
      </c>
      <c r="F881" s="201">
        <v>2829.51</v>
      </c>
      <c r="G881" s="201">
        <f>'Mail Merge'!$E881+'Mail Merge'!$F881</f>
        <v>2829.51</v>
      </c>
      <c r="H881" s="201">
        <v>0</v>
      </c>
      <c r="I881" s="201" t="s">
        <v>239</v>
      </c>
      <c r="J881" s="201">
        <f>IFERROR('Mail Merge'!$E881/'Mail Merge'!$D881,0)</f>
        <v>0</v>
      </c>
      <c r="K881" s="201">
        <f>IFERROR('Mail Merge'!$F881/'Mail Merge'!$D881,0)</f>
        <v>2829.51</v>
      </c>
      <c r="L881" s="201">
        <f>IFERROR('Mail Merge'!$G881/'Mail Merge'!$D881,0)</f>
        <v>2829.51</v>
      </c>
      <c r="M881" s="201">
        <v>0</v>
      </c>
      <c r="N881" s="201" t="s">
        <v>239</v>
      </c>
      <c r="O881" s="201">
        <v>705.7</v>
      </c>
      <c r="P881" s="201">
        <v>0</v>
      </c>
      <c r="Q881" s="201">
        <f>'Mail Merge'!$O881+'Mail Merge'!$P881</f>
        <v>705.7</v>
      </c>
      <c r="R881" s="201"/>
      <c r="S881" s="201"/>
      <c r="T881" s="201"/>
      <c r="U881" s="201">
        <f>IF(AND('Mail Merge'!$I881="Did Not Meet",'Mail Merge'!$N881="Did Not Meet"),MIN(ABS('Mail Merge'!$H881),ABS('Mail Merge'!$M881),'Mail Merge'!$Q881),0)</f>
        <v>0</v>
      </c>
      <c r="V881" s="201" t="str">
        <f>IF(OR(IFERROR(SEARCH("Met",'Mail Merge'!$N881),0)&gt;0,IFERROR(SEARCH("Met",'Mail Merge'!$I881),0)&gt;0),"Met","Not Met")</f>
        <v>Met</v>
      </c>
    </row>
    <row r="882" spans="1:22" x14ac:dyDescent="0.35">
      <c r="A882" s="198" t="s">
        <v>114</v>
      </c>
      <c r="B882" s="199">
        <v>2057</v>
      </c>
      <c r="C882" s="199" t="s">
        <v>19</v>
      </c>
      <c r="D882" s="199">
        <v>862</v>
      </c>
      <c r="E882" s="199">
        <v>6070120.2599999998</v>
      </c>
      <c r="F882" s="199">
        <v>211707</v>
      </c>
      <c r="G882" s="199">
        <f>'Mail Merge'!$E882+'Mail Merge'!$F882</f>
        <v>6281827.2599999998</v>
      </c>
      <c r="H882" s="199">
        <v>0</v>
      </c>
      <c r="I882" s="199" t="s">
        <v>241</v>
      </c>
      <c r="J882" s="199">
        <f>IFERROR('Mail Merge'!$E882/'Mail Merge'!$D882,0)</f>
        <v>7041.9028538283064</v>
      </c>
      <c r="K882" s="199">
        <f>IFERROR('Mail Merge'!$F882/'Mail Merge'!$D882,0)</f>
        <v>245.5997679814385</v>
      </c>
      <c r="L882" s="199">
        <f>IFERROR('Mail Merge'!$G882/'Mail Merge'!$D882,0)</f>
        <v>7287.5026218097446</v>
      </c>
      <c r="M882" s="199">
        <v>0</v>
      </c>
      <c r="N882" s="199" t="s">
        <v>241</v>
      </c>
      <c r="O882" s="199">
        <v>1204799.6000000001</v>
      </c>
      <c r="P882" s="199">
        <v>10079.01</v>
      </c>
      <c r="Q882" s="199">
        <f>'Mail Merge'!$O882+'Mail Merge'!$P882</f>
        <v>1214878.6100000001</v>
      </c>
      <c r="R882" s="199"/>
      <c r="S882" s="199"/>
      <c r="T882" s="199"/>
      <c r="U882" s="199">
        <f>IF(AND('Mail Merge'!$I882="Did Not Meet",'Mail Merge'!$N882="Did Not Meet"),MIN(ABS('Mail Merge'!$H882),ABS('Mail Merge'!$M882),'Mail Merge'!$Q882),0)</f>
        <v>0</v>
      </c>
      <c r="V882" s="199" t="str">
        <f>IF(OR(IFERROR(SEARCH("Met",'Mail Merge'!$N882),0)&gt;0,IFERROR(SEARCH("Met",'Mail Merge'!$I882),0)&gt;0),"Met","Not Met")</f>
        <v>Met</v>
      </c>
    </row>
    <row r="883" spans="1:22" x14ac:dyDescent="0.35">
      <c r="A883" s="200" t="s">
        <v>115</v>
      </c>
      <c r="B883" s="201">
        <v>2056</v>
      </c>
      <c r="C883" s="201" t="s">
        <v>19</v>
      </c>
      <c r="D883" s="201">
        <v>467</v>
      </c>
      <c r="E883" s="201">
        <v>3318185.35</v>
      </c>
      <c r="F883" s="201">
        <v>117561.76</v>
      </c>
      <c r="G883" s="201">
        <f>'Mail Merge'!$E883+'Mail Merge'!$F883</f>
        <v>3435747.11</v>
      </c>
      <c r="H883" s="201">
        <v>0</v>
      </c>
      <c r="I883" s="201" t="s">
        <v>241</v>
      </c>
      <c r="J883" s="201">
        <f>IFERROR('Mail Merge'!$E883/'Mail Merge'!$D883,0)</f>
        <v>7105.3219486081371</v>
      </c>
      <c r="K883" s="201">
        <f>IFERROR('Mail Merge'!$F883/'Mail Merge'!$D883,0)</f>
        <v>251.73824411134902</v>
      </c>
      <c r="L883" s="201">
        <f>IFERROR('Mail Merge'!$G883/'Mail Merge'!$D883,0)</f>
        <v>7357.0601927194857</v>
      </c>
      <c r="M883" s="201">
        <v>0</v>
      </c>
      <c r="N883" s="201" t="s">
        <v>241</v>
      </c>
      <c r="O883" s="201">
        <v>628213.9</v>
      </c>
      <c r="P883" s="201">
        <v>5031.03</v>
      </c>
      <c r="Q883" s="201">
        <f>'Mail Merge'!$O883+'Mail Merge'!$P883</f>
        <v>633244.93000000005</v>
      </c>
      <c r="R883" s="201"/>
      <c r="S883" s="201"/>
      <c r="T883" s="201"/>
      <c r="U883" s="201">
        <f>IF(AND('Mail Merge'!$I883="Did Not Meet",'Mail Merge'!$N883="Did Not Meet"),MIN(ABS('Mail Merge'!$H883),ABS('Mail Merge'!$M883),'Mail Merge'!$Q883),0)</f>
        <v>0</v>
      </c>
      <c r="V883" s="201" t="str">
        <f>IF(OR(IFERROR(SEARCH("Met",'Mail Merge'!$N883),0)&gt;0,IFERROR(SEARCH("Met",'Mail Merge'!$I883),0)&gt;0),"Met","Not Met")</f>
        <v>Met</v>
      </c>
    </row>
    <row r="884" spans="1:22" x14ac:dyDescent="0.35">
      <c r="A884" s="198" t="s">
        <v>116</v>
      </c>
      <c r="B884" s="199">
        <v>2262</v>
      </c>
      <c r="C884" s="199" t="s">
        <v>19</v>
      </c>
      <c r="D884" s="199">
        <v>84</v>
      </c>
      <c r="E884" s="199">
        <v>551489.29</v>
      </c>
      <c r="F884" s="199">
        <v>131987</v>
      </c>
      <c r="G884" s="199">
        <f>'Mail Merge'!$E884+'Mail Merge'!$F884</f>
        <v>683476.29</v>
      </c>
      <c r="H884" s="199">
        <v>0</v>
      </c>
      <c r="I884" s="199" t="s">
        <v>241</v>
      </c>
      <c r="J884" s="199">
        <f>IFERROR('Mail Merge'!$E884/'Mail Merge'!$D884,0)</f>
        <v>6565.3486904761912</v>
      </c>
      <c r="K884" s="199">
        <f>IFERROR('Mail Merge'!$F884/'Mail Merge'!$D884,0)</f>
        <v>1571.2738095238096</v>
      </c>
      <c r="L884" s="199">
        <f>IFERROR('Mail Merge'!$G884/'Mail Merge'!$D884,0)</f>
        <v>8136.6225000000004</v>
      </c>
      <c r="M884" s="199">
        <v>0</v>
      </c>
      <c r="N884" s="199" t="s">
        <v>241</v>
      </c>
      <c r="O884" s="199">
        <v>79411.77</v>
      </c>
      <c r="P884" s="199">
        <v>1927.86</v>
      </c>
      <c r="Q884" s="199">
        <f>'Mail Merge'!$O884+'Mail Merge'!$P884</f>
        <v>81339.63</v>
      </c>
      <c r="R884" s="199"/>
      <c r="S884" s="199">
        <v>11744.93</v>
      </c>
      <c r="T884" s="199">
        <v>11744.93</v>
      </c>
      <c r="U884" s="199">
        <f>IF(AND('Mail Merge'!$I884="Did Not Meet",'Mail Merge'!$N884="Did Not Meet"),MIN(ABS('Mail Merge'!$H884),ABS('Mail Merge'!$M884),'Mail Merge'!$Q884),0)</f>
        <v>0</v>
      </c>
      <c r="V884" s="199" t="str">
        <f>IF(OR(IFERROR(SEARCH("Met",'Mail Merge'!$N884),0)&gt;0,IFERROR(SEARCH("Met",'Mail Merge'!$I884),0)&gt;0),"Met","Not Met")</f>
        <v>Met</v>
      </c>
    </row>
    <row r="885" spans="1:22" x14ac:dyDescent="0.35">
      <c r="A885" s="200" t="s">
        <v>117</v>
      </c>
      <c r="B885" s="201">
        <v>2212</v>
      </c>
      <c r="C885" s="201" t="s">
        <v>19</v>
      </c>
      <c r="D885" s="201">
        <v>289</v>
      </c>
      <c r="E885" s="201">
        <v>2234405.1800000002</v>
      </c>
      <c r="F885" s="201">
        <v>292524.25</v>
      </c>
      <c r="G885" s="201">
        <f>'Mail Merge'!$E885+'Mail Merge'!$F885</f>
        <v>2526929.4300000002</v>
      </c>
      <c r="H885" s="201">
        <v>0</v>
      </c>
      <c r="I885" s="201" t="s">
        <v>241</v>
      </c>
      <c r="J885" s="201">
        <f>IFERROR('Mail Merge'!$E885/'Mail Merge'!$D885,0)</f>
        <v>7731.5058131487895</v>
      </c>
      <c r="K885" s="201">
        <f>IFERROR('Mail Merge'!$F885/'Mail Merge'!$D885,0)</f>
        <v>1012.1946366782007</v>
      </c>
      <c r="L885" s="201">
        <f>IFERROR('Mail Merge'!$G885/'Mail Merge'!$D885,0)</f>
        <v>8743.7004498269907</v>
      </c>
      <c r="M885" s="201">
        <v>0</v>
      </c>
      <c r="N885" s="201" t="s">
        <v>240</v>
      </c>
      <c r="O885" s="201">
        <v>451719.99</v>
      </c>
      <c r="P885" s="201">
        <v>3645.11</v>
      </c>
      <c r="Q885" s="201">
        <f>'Mail Merge'!$O885+'Mail Merge'!$P885</f>
        <v>455365.1</v>
      </c>
      <c r="R885" s="201"/>
      <c r="S885" s="201"/>
      <c r="T885" s="201"/>
      <c r="U885" s="201">
        <f>IF(AND('Mail Merge'!$I885="Did Not Meet",'Mail Merge'!$N885="Did Not Meet"),MIN(ABS('Mail Merge'!$H885),ABS('Mail Merge'!$M885),'Mail Merge'!$Q885),0)</f>
        <v>0</v>
      </c>
      <c r="V885" s="201" t="str">
        <f>IF(OR(IFERROR(SEARCH("Met",'Mail Merge'!$N885),0)&gt;0,IFERROR(SEARCH("Met",'Mail Merge'!$I885),0)&gt;0),"Met","Not Met")</f>
        <v>Met</v>
      </c>
    </row>
    <row r="886" spans="1:22" x14ac:dyDescent="0.35">
      <c r="A886" s="198" t="s">
        <v>118</v>
      </c>
      <c r="B886" s="199">
        <v>2059</v>
      </c>
      <c r="C886" s="199" t="s">
        <v>19</v>
      </c>
      <c r="D886" s="199">
        <v>97</v>
      </c>
      <c r="E886" s="199">
        <v>330433.12</v>
      </c>
      <c r="F886" s="199">
        <v>192289.37</v>
      </c>
      <c r="G886" s="199">
        <f>'Mail Merge'!$E886+'Mail Merge'!$F886</f>
        <v>522722.49</v>
      </c>
      <c r="H886" s="199">
        <v>0</v>
      </c>
      <c r="I886" s="199" t="s">
        <v>241</v>
      </c>
      <c r="J886" s="199">
        <f>IFERROR('Mail Merge'!$E886/'Mail Merge'!$D886,0)</f>
        <v>3406.5270103092785</v>
      </c>
      <c r="K886" s="199">
        <f>IFERROR('Mail Merge'!$F886/'Mail Merge'!$D886,0)</f>
        <v>1982.3646391752577</v>
      </c>
      <c r="L886" s="199">
        <f>IFERROR('Mail Merge'!$G886/'Mail Merge'!$D886,0)</f>
        <v>5388.8916494845362</v>
      </c>
      <c r="M886" s="199">
        <v>0</v>
      </c>
      <c r="N886" s="199" t="s">
        <v>240</v>
      </c>
      <c r="O886" s="199">
        <v>128402.07</v>
      </c>
      <c r="P886" s="199">
        <v>1694.82</v>
      </c>
      <c r="Q886" s="199">
        <f>'Mail Merge'!$O886+'Mail Merge'!$P886</f>
        <v>130096.89000000001</v>
      </c>
      <c r="R886" s="199"/>
      <c r="S886" s="199"/>
      <c r="T886" s="199"/>
      <c r="U886" s="199">
        <f>IF(AND('Mail Merge'!$I886="Did Not Meet",'Mail Merge'!$N886="Did Not Meet"),MIN(ABS('Mail Merge'!$H886),ABS('Mail Merge'!$M886),'Mail Merge'!$Q886),0)</f>
        <v>0</v>
      </c>
      <c r="V886" s="199" t="str">
        <f>IF(OR(IFERROR(SEARCH("Met",'Mail Merge'!$N886),0)&gt;0,IFERROR(SEARCH("Met",'Mail Merge'!$I886),0)&gt;0),"Met","Not Met")</f>
        <v>Met</v>
      </c>
    </row>
    <row r="887" spans="1:22" x14ac:dyDescent="0.35">
      <c r="A887" s="200" t="s">
        <v>119</v>
      </c>
      <c r="B887" s="201">
        <v>1923</v>
      </c>
      <c r="C887" s="201" t="s">
        <v>19</v>
      </c>
      <c r="D887" s="201">
        <v>574</v>
      </c>
      <c r="E887" s="201">
        <v>9532020.9299999997</v>
      </c>
      <c r="F887" s="201">
        <v>206434</v>
      </c>
      <c r="G887" s="201">
        <f>'Mail Merge'!$E887+'Mail Merge'!$F887</f>
        <v>9738454.9299999997</v>
      </c>
      <c r="H887" s="201">
        <v>0</v>
      </c>
      <c r="I887" s="201" t="s">
        <v>241</v>
      </c>
      <c r="J887" s="201">
        <f>IFERROR('Mail Merge'!$E887/'Mail Merge'!$D887,0)</f>
        <v>16606.308240418119</v>
      </c>
      <c r="K887" s="201">
        <f>IFERROR('Mail Merge'!$F887/'Mail Merge'!$D887,0)</f>
        <v>359.64111498257842</v>
      </c>
      <c r="L887" s="201">
        <f>IFERROR('Mail Merge'!$G887/'Mail Merge'!$D887,0)</f>
        <v>16965.949355400695</v>
      </c>
      <c r="M887" s="201">
        <v>0</v>
      </c>
      <c r="N887" s="201" t="s">
        <v>241</v>
      </c>
      <c r="O887" s="201">
        <v>972696.65</v>
      </c>
      <c r="P887" s="201">
        <v>3775.15</v>
      </c>
      <c r="Q887" s="201">
        <f>'Mail Merge'!$O887+'Mail Merge'!$P887</f>
        <v>976471.8</v>
      </c>
      <c r="R887" s="201"/>
      <c r="S887" s="201"/>
      <c r="T887" s="201"/>
      <c r="U887" s="201">
        <f>IF(AND('Mail Merge'!$I887="Did Not Meet",'Mail Merge'!$N887="Did Not Meet"),MIN(ABS('Mail Merge'!$H887),ABS('Mail Merge'!$M887),'Mail Merge'!$Q887),0)</f>
        <v>0</v>
      </c>
      <c r="V887" s="201" t="str">
        <f>IF(OR(IFERROR(SEARCH("Met",'Mail Merge'!$N887),0)&gt;0,IFERROR(SEARCH("Met",'Mail Merge'!$I887),0)&gt;0),"Met","Not Met")</f>
        <v>Met</v>
      </c>
    </row>
    <row r="888" spans="1:22" x14ac:dyDescent="0.35">
      <c r="A888" s="198" t="s">
        <v>120</v>
      </c>
      <c r="B888" s="199">
        <v>2101</v>
      </c>
      <c r="C888" s="199" t="s">
        <v>19</v>
      </c>
      <c r="D888" s="199">
        <v>609</v>
      </c>
      <c r="E888" s="199">
        <v>4254677.18</v>
      </c>
      <c r="F888" s="199">
        <v>670349</v>
      </c>
      <c r="G888" s="199">
        <f>'Mail Merge'!$E888+'Mail Merge'!$F888</f>
        <v>4925026.18</v>
      </c>
      <c r="H888" s="199">
        <v>0</v>
      </c>
      <c r="I888" s="199" t="s">
        <v>239</v>
      </c>
      <c r="J888" s="199">
        <f>IFERROR('Mail Merge'!$E888/'Mail Merge'!$D888,0)</f>
        <v>6986.3336288998353</v>
      </c>
      <c r="K888" s="199">
        <f>IFERROR('Mail Merge'!$F888/'Mail Merge'!$D888,0)</f>
        <v>1100.7372742200328</v>
      </c>
      <c r="L888" s="199">
        <f>IFERROR('Mail Merge'!$G888/'Mail Merge'!$D888,0)</f>
        <v>8087.0709031198685</v>
      </c>
      <c r="M888" s="199">
        <v>0</v>
      </c>
      <c r="N888" s="199" t="s">
        <v>239</v>
      </c>
      <c r="O888" s="199">
        <v>726333.91</v>
      </c>
      <c r="P888" s="199">
        <v>5278.66</v>
      </c>
      <c r="Q888" s="199">
        <f>'Mail Merge'!$O888+'Mail Merge'!$P888</f>
        <v>731612.57000000007</v>
      </c>
      <c r="R888" s="199"/>
      <c r="S888" s="199"/>
      <c r="T888" s="199"/>
      <c r="U888" s="199">
        <f>IF(AND('Mail Merge'!$I888="Did Not Meet",'Mail Merge'!$N888="Did Not Meet"),MIN(ABS('Mail Merge'!$H888),ABS('Mail Merge'!$M888),'Mail Merge'!$Q888),0)</f>
        <v>0</v>
      </c>
      <c r="V888" s="199" t="str">
        <f>IF(OR(IFERROR(SEARCH("Met",'Mail Merge'!$N888),0)&gt;0,IFERROR(SEARCH("Met",'Mail Merge'!$I888),0)&gt;0),"Met","Not Met")</f>
        <v>Met</v>
      </c>
    </row>
    <row r="889" spans="1:22" x14ac:dyDescent="0.35">
      <c r="A889" s="200" t="s">
        <v>121</v>
      </c>
      <c r="B889" s="201">
        <v>2097</v>
      </c>
      <c r="C889" s="201" t="s">
        <v>19</v>
      </c>
      <c r="D889" s="201">
        <v>669</v>
      </c>
      <c r="E889" s="201">
        <v>6093427.4299999997</v>
      </c>
      <c r="F889" s="201">
        <v>493383</v>
      </c>
      <c r="G889" s="201">
        <f>'Mail Merge'!$E889+'Mail Merge'!$F889</f>
        <v>6586810.4299999997</v>
      </c>
      <c r="H889" s="201">
        <v>0</v>
      </c>
      <c r="I889" s="201" t="s">
        <v>239</v>
      </c>
      <c r="J889" s="201">
        <f>IFERROR('Mail Merge'!$E889/'Mail Merge'!$D889,0)</f>
        <v>9108.2622272047829</v>
      </c>
      <c r="K889" s="201">
        <f>IFERROR('Mail Merge'!$F889/'Mail Merge'!$D889,0)</f>
        <v>737.49327354260095</v>
      </c>
      <c r="L889" s="201">
        <f>IFERROR('Mail Merge'!$G889/'Mail Merge'!$D889,0)</f>
        <v>9845.7555007473838</v>
      </c>
      <c r="M889" s="201">
        <v>0</v>
      </c>
      <c r="N889" s="201" t="s">
        <v>239</v>
      </c>
      <c r="O889" s="201">
        <v>902188.39</v>
      </c>
      <c r="P889" s="201">
        <v>13361.38</v>
      </c>
      <c r="Q889" s="201">
        <f>'Mail Merge'!$O889+'Mail Merge'!$P889</f>
        <v>915549.77</v>
      </c>
      <c r="R889" s="201"/>
      <c r="S889" s="201"/>
      <c r="T889" s="201"/>
      <c r="U889" s="201">
        <f>IF(AND('Mail Merge'!$I889="Did Not Meet",'Mail Merge'!$N889="Did Not Meet"),MIN(ABS('Mail Merge'!$H889),ABS('Mail Merge'!$M889),'Mail Merge'!$Q889),0)</f>
        <v>0</v>
      </c>
      <c r="V889" s="201" t="str">
        <f>IF(OR(IFERROR(SEARCH("Met",'Mail Merge'!$N889),0)&gt;0,IFERROR(SEARCH("Met",'Mail Merge'!$I889),0)&gt;0),"Met","Not Met")</f>
        <v>Met</v>
      </c>
    </row>
    <row r="890" spans="1:22" x14ac:dyDescent="0.35">
      <c r="A890" s="198" t="s">
        <v>122</v>
      </c>
      <c r="B890" s="199">
        <v>2012</v>
      </c>
      <c r="C890" s="199" t="s">
        <v>19</v>
      </c>
      <c r="D890" s="199">
        <v>2</v>
      </c>
      <c r="E890" s="199">
        <v>28597.39</v>
      </c>
      <c r="F890" s="199">
        <v>51404.28</v>
      </c>
      <c r="G890" s="199">
        <f>'Mail Merge'!$E890+'Mail Merge'!$F890</f>
        <v>80001.67</v>
      </c>
      <c r="H890" s="199">
        <v>0</v>
      </c>
      <c r="I890" s="199" t="s">
        <v>239</v>
      </c>
      <c r="J890" s="199">
        <f>IFERROR('Mail Merge'!$E890/'Mail Merge'!$D890,0)</f>
        <v>14298.695</v>
      </c>
      <c r="K890" s="199">
        <f>IFERROR('Mail Merge'!$F890/'Mail Merge'!$D890,0)</f>
        <v>25702.14</v>
      </c>
      <c r="L890" s="199">
        <f>IFERROR('Mail Merge'!$G890/'Mail Merge'!$D890,0)</f>
        <v>40000.834999999999</v>
      </c>
      <c r="M890" s="199">
        <v>0</v>
      </c>
      <c r="N890" s="199" t="s">
        <v>239</v>
      </c>
      <c r="O890" s="199">
        <v>3518.9</v>
      </c>
      <c r="P890" s="199">
        <v>0</v>
      </c>
      <c r="Q890" s="199">
        <f>'Mail Merge'!$O890+'Mail Merge'!$P890</f>
        <v>3518.9</v>
      </c>
      <c r="R890" s="199"/>
      <c r="S890" s="199"/>
      <c r="T890" s="199"/>
      <c r="U890" s="199">
        <f>IF(AND('Mail Merge'!$I890="Did Not Meet",'Mail Merge'!$N890="Did Not Meet"),MIN(ABS('Mail Merge'!$H890),ABS('Mail Merge'!$M890),'Mail Merge'!$Q890),0)</f>
        <v>0</v>
      </c>
      <c r="V890" s="199" t="str">
        <f>IF(OR(IFERROR(SEARCH("Met",'Mail Merge'!$N890),0)&gt;0,IFERROR(SEARCH("Met",'Mail Merge'!$I890),0)&gt;0),"Met","Not Met")</f>
        <v>Met</v>
      </c>
    </row>
    <row r="891" spans="1:22" x14ac:dyDescent="0.35">
      <c r="A891" s="200" t="s">
        <v>123</v>
      </c>
      <c r="B891" s="201">
        <v>2092</v>
      </c>
      <c r="C891" s="201" t="s">
        <v>19</v>
      </c>
      <c r="D891" s="201">
        <v>47</v>
      </c>
      <c r="E891" s="201">
        <v>392339</v>
      </c>
      <c r="F891" s="201">
        <v>148404</v>
      </c>
      <c r="G891" s="201">
        <f>'Mail Merge'!$E891+'Mail Merge'!$F891</f>
        <v>540743</v>
      </c>
      <c r="H891" s="201">
        <v>0</v>
      </c>
      <c r="I891" s="201" t="s">
        <v>242</v>
      </c>
      <c r="J891" s="201">
        <f>IFERROR('Mail Merge'!$E891/'Mail Merge'!$D891,0)</f>
        <v>8347.6382978723395</v>
      </c>
      <c r="K891" s="201">
        <f>IFERROR('Mail Merge'!$F891/'Mail Merge'!$D891,0)</f>
        <v>3157.5319148936169</v>
      </c>
      <c r="L891" s="201">
        <f>IFERROR('Mail Merge'!$G891/'Mail Merge'!$D891,0)</f>
        <v>11505.170212765957</v>
      </c>
      <c r="M891" s="201">
        <v>0</v>
      </c>
      <c r="N891" s="201" t="s">
        <v>242</v>
      </c>
      <c r="O891" s="201">
        <v>58619.93</v>
      </c>
      <c r="P891" s="201">
        <v>275.41000000000003</v>
      </c>
      <c r="Q891" s="201">
        <f>'Mail Merge'!$O891+'Mail Merge'!$P891</f>
        <v>58895.340000000004</v>
      </c>
      <c r="R891" s="201"/>
      <c r="S891" s="201">
        <v>62748.27</v>
      </c>
      <c r="T891" s="201">
        <v>62748.27</v>
      </c>
      <c r="U891" s="201">
        <f>IF(AND('Mail Merge'!$I891="Did Not Meet",'Mail Merge'!$N891="Did Not Meet"),MIN(ABS('Mail Merge'!$H891),ABS('Mail Merge'!$M891),'Mail Merge'!$Q891),0)</f>
        <v>0</v>
      </c>
      <c r="V891" s="201" t="str">
        <f>IF(OR(IFERROR(SEARCH("Met",'Mail Merge'!$N891),0)&gt;0,IFERROR(SEARCH("Met",'Mail Merge'!$I891),0)&gt;0),"Met","Not Met")</f>
        <v>Met</v>
      </c>
    </row>
    <row r="892" spans="1:22" x14ac:dyDescent="0.35">
      <c r="A892" s="198" t="s">
        <v>124</v>
      </c>
      <c r="B892" s="199">
        <v>2112</v>
      </c>
      <c r="C892" s="199" t="s">
        <v>19</v>
      </c>
      <c r="D892" s="199">
        <v>0</v>
      </c>
      <c r="E892" s="199">
        <v>0</v>
      </c>
      <c r="F892" s="199">
        <v>235.12</v>
      </c>
      <c r="G892" s="199">
        <f>'Mail Merge'!$E892+'Mail Merge'!$F892</f>
        <v>235.12</v>
      </c>
      <c r="H892" s="199">
        <v>0</v>
      </c>
      <c r="I892" s="199" t="s">
        <v>239</v>
      </c>
      <c r="J892" s="199">
        <f>IFERROR('Mail Merge'!$E892/'Mail Merge'!$D892,0)</f>
        <v>0</v>
      </c>
      <c r="K892" s="199">
        <f>IFERROR('Mail Merge'!$F892/'Mail Merge'!$D892,0)</f>
        <v>0</v>
      </c>
      <c r="L892" s="199">
        <f>IFERROR('Mail Merge'!$G892/'Mail Merge'!$D892,0)</f>
        <v>0</v>
      </c>
      <c r="M892" s="199">
        <v>0</v>
      </c>
      <c r="N892" s="199" t="s">
        <v>239</v>
      </c>
      <c r="O892" s="199">
        <v>1301.97</v>
      </c>
      <c r="P892" s="199">
        <v>0</v>
      </c>
      <c r="Q892" s="199">
        <f>'Mail Merge'!$O892+'Mail Merge'!$P892</f>
        <v>1301.97</v>
      </c>
      <c r="R892" s="199"/>
      <c r="S892" s="199"/>
      <c r="T892" s="199"/>
      <c r="U892" s="199">
        <f>IF(AND('Mail Merge'!$I892="Did Not Meet",'Mail Merge'!$N892="Did Not Meet"),MIN(ABS('Mail Merge'!$H892),ABS('Mail Merge'!$M892),'Mail Merge'!$Q892),0)</f>
        <v>0</v>
      </c>
      <c r="V892" s="199" t="str">
        <f>IF(OR(IFERROR(SEARCH("Met",'Mail Merge'!$N892),0)&gt;0,IFERROR(SEARCH("Met",'Mail Merge'!$I892),0)&gt;0),"Met","Not Met")</f>
        <v>Met</v>
      </c>
    </row>
    <row r="893" spans="1:22" x14ac:dyDescent="0.35">
      <c r="A893" s="200" t="s">
        <v>125</v>
      </c>
      <c r="B893" s="201">
        <v>2085</v>
      </c>
      <c r="C893" s="201" t="s">
        <v>19</v>
      </c>
      <c r="D893" s="201">
        <v>34</v>
      </c>
      <c r="E893" s="201">
        <v>185353.28</v>
      </c>
      <c r="F893" s="201">
        <v>72255</v>
      </c>
      <c r="G893" s="201">
        <f>'Mail Merge'!$E893+'Mail Merge'!$F893</f>
        <v>257608.28</v>
      </c>
      <c r="H893" s="201">
        <v>0</v>
      </c>
      <c r="I893" s="201" t="s">
        <v>242</v>
      </c>
      <c r="J893" s="201">
        <f>IFERROR('Mail Merge'!$E893/'Mail Merge'!$D893,0)</f>
        <v>5451.5670588235298</v>
      </c>
      <c r="K893" s="201">
        <f>IFERROR('Mail Merge'!$F893/'Mail Merge'!$D893,0)</f>
        <v>2125.1470588235293</v>
      </c>
      <c r="L893" s="201">
        <f>IFERROR('Mail Merge'!$G893/'Mail Merge'!$D893,0)</f>
        <v>7576.7141176470586</v>
      </c>
      <c r="M893" s="201">
        <v>0</v>
      </c>
      <c r="N893" s="201" t="s">
        <v>242</v>
      </c>
      <c r="O893" s="201">
        <v>51601.99</v>
      </c>
      <c r="P893" s="201">
        <v>0</v>
      </c>
      <c r="Q893" s="201">
        <f>'Mail Merge'!$O893+'Mail Merge'!$P893</f>
        <v>51601.99</v>
      </c>
      <c r="R893" s="201"/>
      <c r="S893" s="201">
        <v>12443.49</v>
      </c>
      <c r="T893" s="201">
        <v>12443.49</v>
      </c>
      <c r="U893" s="201">
        <f>IF(AND('Mail Merge'!$I893="Did Not Meet",'Mail Merge'!$N893="Did Not Meet"),MIN(ABS('Mail Merge'!$H893),ABS('Mail Merge'!$M893),'Mail Merge'!$Q893),0)</f>
        <v>0</v>
      </c>
      <c r="V893" s="201" t="str">
        <f>IF(OR(IFERROR(SEARCH("Met",'Mail Merge'!$N893),0)&gt;0,IFERROR(SEARCH("Met",'Mail Merge'!$I893),0)&gt;0),"Met","Not Met")</f>
        <v>Met</v>
      </c>
    </row>
    <row r="894" spans="1:22" x14ac:dyDescent="0.35">
      <c r="A894" s="198" t="s">
        <v>126</v>
      </c>
      <c r="B894" s="199">
        <v>2094</v>
      </c>
      <c r="C894" s="199" t="s">
        <v>19</v>
      </c>
      <c r="D894" s="199">
        <v>40</v>
      </c>
      <c r="E894" s="199">
        <v>225440.5</v>
      </c>
      <c r="F894" s="199">
        <v>78567</v>
      </c>
      <c r="G894" s="199">
        <f>'Mail Merge'!$E894+'Mail Merge'!$F894</f>
        <v>304007.5</v>
      </c>
      <c r="H894" s="199">
        <v>0</v>
      </c>
      <c r="I894" s="199" t="s">
        <v>240</v>
      </c>
      <c r="J894" s="199">
        <f>IFERROR('Mail Merge'!$E894/'Mail Merge'!$D894,0)</f>
        <v>5636.0124999999998</v>
      </c>
      <c r="K894" s="199">
        <f>IFERROR('Mail Merge'!$F894/'Mail Merge'!$D894,0)</f>
        <v>1964.175</v>
      </c>
      <c r="L894" s="199">
        <f>IFERROR('Mail Merge'!$G894/'Mail Merge'!$D894,0)</f>
        <v>7600.1875</v>
      </c>
      <c r="M894" s="199">
        <v>0</v>
      </c>
      <c r="N894" s="199" t="s">
        <v>240</v>
      </c>
      <c r="O894" s="199">
        <v>41707.65</v>
      </c>
      <c r="P894" s="199">
        <v>0</v>
      </c>
      <c r="Q894" s="199">
        <f>'Mail Merge'!$O894+'Mail Merge'!$P894</f>
        <v>41707.65</v>
      </c>
      <c r="R894" s="199"/>
      <c r="S894" s="199"/>
      <c r="T894" s="199"/>
      <c r="U894" s="199">
        <f>IF(AND('Mail Merge'!$I894="Did Not Meet",'Mail Merge'!$N894="Did Not Meet"),MIN(ABS('Mail Merge'!$H894),ABS('Mail Merge'!$M894),'Mail Merge'!$Q894),0)</f>
        <v>0</v>
      </c>
      <c r="V894" s="199" t="str">
        <f>IF(OR(IFERROR(SEARCH("Met",'Mail Merge'!$N894),0)&gt;0,IFERROR(SEARCH("Met",'Mail Merge'!$I894),0)&gt;0),"Met","Not Met")</f>
        <v>Not Met</v>
      </c>
    </row>
    <row r="895" spans="1:22" x14ac:dyDescent="0.35">
      <c r="A895" s="200" t="s">
        <v>127</v>
      </c>
      <c r="B895" s="201">
        <v>2090</v>
      </c>
      <c r="C895" s="201" t="s">
        <v>19</v>
      </c>
      <c r="D895" s="201">
        <v>45</v>
      </c>
      <c r="E895" s="201">
        <v>324574.5</v>
      </c>
      <c r="F895" s="201">
        <v>59610</v>
      </c>
      <c r="G895" s="201">
        <f>'Mail Merge'!$E895+'Mail Merge'!$F895</f>
        <v>384184.5</v>
      </c>
      <c r="H895" s="201">
        <v>0</v>
      </c>
      <c r="I895" s="201" t="s">
        <v>241</v>
      </c>
      <c r="J895" s="201">
        <f>IFERROR('Mail Merge'!$E895/'Mail Merge'!$D895,0)</f>
        <v>7212.7666666666664</v>
      </c>
      <c r="K895" s="201">
        <f>IFERROR('Mail Merge'!$F895/'Mail Merge'!$D895,0)</f>
        <v>1324.6666666666667</v>
      </c>
      <c r="L895" s="201">
        <f>IFERROR('Mail Merge'!$G895/'Mail Merge'!$D895,0)</f>
        <v>8537.4333333333325</v>
      </c>
      <c r="M895" s="201">
        <v>0</v>
      </c>
      <c r="N895" s="201" t="s">
        <v>240</v>
      </c>
      <c r="O895" s="201">
        <v>45967.23</v>
      </c>
      <c r="P895" s="201">
        <v>229.51</v>
      </c>
      <c r="Q895" s="201">
        <f>'Mail Merge'!$O895+'Mail Merge'!$P895</f>
        <v>46196.740000000005</v>
      </c>
      <c r="R895" s="201"/>
      <c r="S895" s="201"/>
      <c r="T895" s="201"/>
      <c r="U895" s="201">
        <f>IF(AND('Mail Merge'!$I895="Did Not Meet",'Mail Merge'!$N895="Did Not Meet"),MIN(ABS('Mail Merge'!$H895),ABS('Mail Merge'!$M895),'Mail Merge'!$Q895),0)</f>
        <v>0</v>
      </c>
      <c r="V895" s="201" t="str">
        <f>IF(OR(IFERROR(SEARCH("Met",'Mail Merge'!$N895),0)&gt;0,IFERROR(SEARCH("Met",'Mail Merge'!$I895),0)&gt;0),"Met","Not Met")</f>
        <v>Met</v>
      </c>
    </row>
    <row r="896" spans="1:22" x14ac:dyDescent="0.35">
      <c r="A896" s="198" t="s">
        <v>128</v>
      </c>
      <c r="B896" s="199">
        <v>2256</v>
      </c>
      <c r="C896" s="199" t="s">
        <v>19</v>
      </c>
      <c r="D896" s="199">
        <v>809</v>
      </c>
      <c r="E896" s="199">
        <v>6057651.8700000001</v>
      </c>
      <c r="F896" s="199">
        <v>22891</v>
      </c>
      <c r="G896" s="199">
        <f>'Mail Merge'!$E896+'Mail Merge'!$F896</f>
        <v>6080542.8700000001</v>
      </c>
      <c r="H896" s="199">
        <v>0</v>
      </c>
      <c r="I896" s="199" t="s">
        <v>241</v>
      </c>
      <c r="J896" s="199">
        <f>IFERROR('Mail Merge'!$E896/'Mail Merge'!$D896,0)</f>
        <v>7487.8267861557479</v>
      </c>
      <c r="K896" s="199">
        <f>IFERROR('Mail Merge'!$F896/'Mail Merge'!$D896,0)</f>
        <v>28.295426452410382</v>
      </c>
      <c r="L896" s="199">
        <f>IFERROR('Mail Merge'!$G896/'Mail Merge'!$D896,0)</f>
        <v>7516.1222126081584</v>
      </c>
      <c r="M896" s="199">
        <v>0</v>
      </c>
      <c r="N896" s="199" t="s">
        <v>241</v>
      </c>
      <c r="O896" s="199">
        <v>933467.17</v>
      </c>
      <c r="P896" s="199">
        <v>9998.01</v>
      </c>
      <c r="Q896" s="199">
        <f>'Mail Merge'!$O896+'Mail Merge'!$P896</f>
        <v>943465.18</v>
      </c>
      <c r="R896" s="199"/>
      <c r="S896" s="199"/>
      <c r="T896" s="199"/>
      <c r="U896" s="199">
        <f>IF(AND('Mail Merge'!$I896="Did Not Meet",'Mail Merge'!$N896="Did Not Meet"),MIN(ABS('Mail Merge'!$H896),ABS('Mail Merge'!$M896),'Mail Merge'!$Q896),0)</f>
        <v>0</v>
      </c>
      <c r="V896" s="199" t="str">
        <f>IF(OR(IFERROR(SEARCH("Met",'Mail Merge'!$N896),0)&gt;0,IFERROR(SEARCH("Met",'Mail Merge'!$I896),0)&gt;0),"Met","Not Met")</f>
        <v>Met</v>
      </c>
    </row>
    <row r="897" spans="1:22" x14ac:dyDescent="0.35">
      <c r="A897" s="200" t="s">
        <v>129</v>
      </c>
      <c r="B897" s="201">
        <v>2048</v>
      </c>
      <c r="C897" s="201" t="s">
        <v>19</v>
      </c>
      <c r="D897" s="201">
        <v>1611</v>
      </c>
      <c r="E897" s="201">
        <v>11111153.92</v>
      </c>
      <c r="F897" s="201">
        <v>2269866.09</v>
      </c>
      <c r="G897" s="201">
        <f>'Mail Merge'!$E897+'Mail Merge'!$F897</f>
        <v>13381020.01</v>
      </c>
      <c r="H897" s="201">
        <v>0</v>
      </c>
      <c r="I897" s="201" t="s">
        <v>241</v>
      </c>
      <c r="J897" s="201">
        <f>IFERROR('Mail Merge'!$E897/'Mail Merge'!$D897,0)</f>
        <v>6897.0539540657974</v>
      </c>
      <c r="K897" s="201">
        <f>IFERROR('Mail Merge'!$F897/'Mail Merge'!$D897,0)</f>
        <v>1408.9795716945996</v>
      </c>
      <c r="L897" s="201">
        <f>IFERROR('Mail Merge'!$G897/'Mail Merge'!$D897,0)</f>
        <v>8306.0335257603965</v>
      </c>
      <c r="M897" s="201">
        <v>0</v>
      </c>
      <c r="N897" s="201" t="s">
        <v>240</v>
      </c>
      <c r="O897" s="201">
        <v>2088400.26</v>
      </c>
      <c r="P897" s="201">
        <v>22051.64</v>
      </c>
      <c r="Q897" s="201">
        <f>'Mail Merge'!$O897+'Mail Merge'!$P897</f>
        <v>2110451.9</v>
      </c>
      <c r="R897" s="201"/>
      <c r="S897" s="201"/>
      <c r="T897" s="201"/>
      <c r="U897" s="201">
        <f>IF(AND('Mail Merge'!$I897="Did Not Meet",'Mail Merge'!$N897="Did Not Meet"),MIN(ABS('Mail Merge'!$H897),ABS('Mail Merge'!$M897),'Mail Merge'!$Q897),0)</f>
        <v>0</v>
      </c>
      <c r="V897" s="201" t="str">
        <f>IF(OR(IFERROR(SEARCH("Met",'Mail Merge'!$N897),0)&gt;0,IFERROR(SEARCH("Met",'Mail Merge'!$I897),0)&gt;0),"Met","Not Met")</f>
        <v>Met</v>
      </c>
    </row>
    <row r="898" spans="1:22" x14ac:dyDescent="0.35">
      <c r="A898" s="198" t="s">
        <v>130</v>
      </c>
      <c r="B898" s="199">
        <v>2205</v>
      </c>
      <c r="C898" s="199" t="s">
        <v>19</v>
      </c>
      <c r="D898" s="199">
        <v>189</v>
      </c>
      <c r="E898" s="199">
        <v>1493038.2</v>
      </c>
      <c r="F898" s="199">
        <v>271395.74</v>
      </c>
      <c r="G898" s="199">
        <f>'Mail Merge'!$E898+'Mail Merge'!$F898</f>
        <v>1764433.94</v>
      </c>
      <c r="H898" s="199">
        <v>0</v>
      </c>
      <c r="I898" s="199" t="s">
        <v>239</v>
      </c>
      <c r="J898" s="199">
        <f>IFERROR('Mail Merge'!$E898/'Mail Merge'!$D898,0)</f>
        <v>7899.6730158730152</v>
      </c>
      <c r="K898" s="199">
        <f>IFERROR('Mail Merge'!$F898/'Mail Merge'!$D898,0)</f>
        <v>1435.9562962962962</v>
      </c>
      <c r="L898" s="199">
        <f>IFERROR('Mail Merge'!$G898/'Mail Merge'!$D898,0)</f>
        <v>9335.6293121693125</v>
      </c>
      <c r="M898" s="199">
        <v>0</v>
      </c>
      <c r="N898" s="199" t="s">
        <v>239</v>
      </c>
      <c r="O898" s="199">
        <v>277505.89</v>
      </c>
      <c r="P898" s="199">
        <v>1606.55</v>
      </c>
      <c r="Q898" s="199">
        <f>'Mail Merge'!$O898+'Mail Merge'!$P898</f>
        <v>279112.44</v>
      </c>
      <c r="R898" s="199"/>
      <c r="S898" s="199"/>
      <c r="T898" s="199"/>
      <c r="U898" s="199">
        <f>IF(AND('Mail Merge'!$I898="Did Not Meet",'Mail Merge'!$N898="Did Not Meet"),MIN(ABS('Mail Merge'!$H898),ABS('Mail Merge'!$M898),'Mail Merge'!$Q898),0)</f>
        <v>0</v>
      </c>
      <c r="V898" s="199" t="str">
        <f>IF(OR(IFERROR(SEARCH("Met",'Mail Merge'!$N898),0)&gt;0,IFERROR(SEARCH("Met",'Mail Merge'!$I898),0)&gt;0),"Met","Not Met")</f>
        <v>Met</v>
      </c>
    </row>
    <row r="899" spans="1:22" x14ac:dyDescent="0.35">
      <c r="A899" s="200" t="s">
        <v>131</v>
      </c>
      <c r="B899" s="201">
        <v>2249</v>
      </c>
      <c r="C899" s="201" t="s">
        <v>19</v>
      </c>
      <c r="D899" s="201">
        <v>5</v>
      </c>
      <c r="E899" s="201">
        <v>35258.269999999997</v>
      </c>
      <c r="F899" s="201">
        <v>20352</v>
      </c>
      <c r="G899" s="201">
        <f>'Mail Merge'!$E899+'Mail Merge'!$F899</f>
        <v>55610.27</v>
      </c>
      <c r="H899" s="201">
        <v>0</v>
      </c>
      <c r="I899" s="201" t="s">
        <v>239</v>
      </c>
      <c r="J899" s="201">
        <f>IFERROR('Mail Merge'!$E899/'Mail Merge'!$D899,0)</f>
        <v>7051.6539999999995</v>
      </c>
      <c r="K899" s="201">
        <f>IFERROR('Mail Merge'!$F899/'Mail Merge'!$D899,0)</f>
        <v>4070.4</v>
      </c>
      <c r="L899" s="201">
        <f>IFERROR('Mail Merge'!$G899/'Mail Merge'!$D899,0)</f>
        <v>11122.054</v>
      </c>
      <c r="M899" s="201">
        <v>0</v>
      </c>
      <c r="N899" s="201" t="s">
        <v>239</v>
      </c>
      <c r="O899" s="201">
        <v>9974.06</v>
      </c>
      <c r="P899" s="201">
        <v>0</v>
      </c>
      <c r="Q899" s="201">
        <f>'Mail Merge'!$O899+'Mail Merge'!$P899</f>
        <v>9974.06</v>
      </c>
      <c r="R899" s="201"/>
      <c r="S899" s="201"/>
      <c r="T899" s="201"/>
      <c r="U899" s="201">
        <f>IF(AND('Mail Merge'!$I899="Did Not Meet",'Mail Merge'!$N899="Did Not Meet"),MIN(ABS('Mail Merge'!$H899),ABS('Mail Merge'!$M899),'Mail Merge'!$Q899),0)</f>
        <v>0</v>
      </c>
      <c r="V899" s="201" t="str">
        <f>IF(OR(IFERROR(SEARCH("Met",'Mail Merge'!$N899),0)&gt;0,IFERROR(SEARCH("Met",'Mail Merge'!$I899),0)&gt;0),"Met","Not Met")</f>
        <v>Met</v>
      </c>
    </row>
    <row r="900" spans="1:22" x14ac:dyDescent="0.35">
      <c r="A900" s="198" t="s">
        <v>132</v>
      </c>
      <c r="B900" s="199">
        <v>1925</v>
      </c>
      <c r="C900" s="199" t="s">
        <v>19</v>
      </c>
      <c r="D900" s="199">
        <v>420</v>
      </c>
      <c r="E900" s="199">
        <v>3518513.87</v>
      </c>
      <c r="F900" s="199">
        <v>351741</v>
      </c>
      <c r="G900" s="199">
        <f>'Mail Merge'!$E900+'Mail Merge'!$F900</f>
        <v>3870254.87</v>
      </c>
      <c r="H900" s="199">
        <v>0</v>
      </c>
      <c r="I900" s="199" t="s">
        <v>241</v>
      </c>
      <c r="J900" s="199">
        <f>IFERROR('Mail Merge'!$E900/'Mail Merge'!$D900,0)</f>
        <v>8377.4139761904771</v>
      </c>
      <c r="K900" s="199">
        <f>IFERROR('Mail Merge'!$F900/'Mail Merge'!$D900,0)</f>
        <v>837.4785714285714</v>
      </c>
      <c r="L900" s="199">
        <f>IFERROR('Mail Merge'!$G900/'Mail Merge'!$D900,0)</f>
        <v>9214.892547619047</v>
      </c>
      <c r="M900" s="199">
        <v>0</v>
      </c>
      <c r="N900" s="199" t="s">
        <v>241</v>
      </c>
      <c r="O900" s="199">
        <v>436670.52</v>
      </c>
      <c r="P900" s="199">
        <v>3140.62</v>
      </c>
      <c r="Q900" s="199">
        <f>'Mail Merge'!$O900+'Mail Merge'!$P900</f>
        <v>439811.14</v>
      </c>
      <c r="R900" s="199"/>
      <c r="S900" s="199">
        <v>33762</v>
      </c>
      <c r="T900" s="199">
        <v>33762</v>
      </c>
      <c r="U900" s="199">
        <f>IF(AND('Mail Merge'!$I900="Did Not Meet",'Mail Merge'!$N900="Did Not Meet"),MIN(ABS('Mail Merge'!$H900),ABS('Mail Merge'!$M900),'Mail Merge'!$Q900),0)</f>
        <v>0</v>
      </c>
      <c r="V900" s="199" t="str">
        <f>IF(OR(IFERROR(SEARCH("Met",'Mail Merge'!$N900),0)&gt;0,IFERROR(SEARCH("Met",'Mail Merge'!$I900),0)&gt;0),"Met","Not Met")</f>
        <v>Met</v>
      </c>
    </row>
    <row r="901" spans="1:22" x14ac:dyDescent="0.35">
      <c r="A901" s="200" t="s">
        <v>133</v>
      </c>
      <c r="B901" s="201">
        <v>1898</v>
      </c>
      <c r="C901" s="201" t="s">
        <v>19</v>
      </c>
      <c r="D901" s="201">
        <v>66</v>
      </c>
      <c r="E901" s="201">
        <v>630585.09</v>
      </c>
      <c r="F901" s="201">
        <v>47684</v>
      </c>
      <c r="G901" s="201">
        <f>'Mail Merge'!$E901+'Mail Merge'!$F901</f>
        <v>678269.09</v>
      </c>
      <c r="H901" s="201">
        <v>0</v>
      </c>
      <c r="I901" s="201" t="s">
        <v>239</v>
      </c>
      <c r="J901" s="201">
        <f>IFERROR('Mail Merge'!$E901/'Mail Merge'!$D901,0)</f>
        <v>9554.3195454545457</v>
      </c>
      <c r="K901" s="201">
        <f>IFERROR('Mail Merge'!$F901/'Mail Merge'!$D901,0)</f>
        <v>722.4848484848485</v>
      </c>
      <c r="L901" s="201">
        <f>IFERROR('Mail Merge'!$G901/'Mail Merge'!$D901,0)</f>
        <v>10276.804393939394</v>
      </c>
      <c r="M901" s="201">
        <v>0</v>
      </c>
      <c r="N901" s="201" t="s">
        <v>239</v>
      </c>
      <c r="O901" s="201">
        <v>72951.63</v>
      </c>
      <c r="P901" s="201">
        <v>196.72</v>
      </c>
      <c r="Q901" s="201">
        <f>'Mail Merge'!$O901+'Mail Merge'!$P901</f>
        <v>73148.350000000006</v>
      </c>
      <c r="R901" s="201"/>
      <c r="S901" s="201"/>
      <c r="T901" s="201"/>
      <c r="U901" s="201">
        <f>IF(AND('Mail Merge'!$I901="Did Not Meet",'Mail Merge'!$N901="Did Not Meet"),MIN(ABS('Mail Merge'!$H901),ABS('Mail Merge'!$M901),'Mail Merge'!$Q901),0)</f>
        <v>0</v>
      </c>
      <c r="V901" s="201" t="str">
        <f>IF(OR(IFERROR(SEARCH("Met",'Mail Merge'!$N901),0)&gt;0,IFERROR(SEARCH("Met",'Mail Merge'!$I901),0)&gt;0),"Met","Not Met")</f>
        <v>Met</v>
      </c>
    </row>
    <row r="902" spans="1:22" x14ac:dyDescent="0.35">
      <c r="A902" s="198" t="s">
        <v>134</v>
      </c>
      <c r="B902" s="199">
        <v>2010</v>
      </c>
      <c r="C902" s="199" t="s">
        <v>19</v>
      </c>
      <c r="D902" s="199">
        <v>10</v>
      </c>
      <c r="E902" s="199">
        <v>0</v>
      </c>
      <c r="F902" s="199">
        <v>91095</v>
      </c>
      <c r="G902" s="199">
        <f>'Mail Merge'!$E902+'Mail Merge'!$F902</f>
        <v>91095</v>
      </c>
      <c r="H902" s="199">
        <v>0</v>
      </c>
      <c r="I902" s="199" t="s">
        <v>239</v>
      </c>
      <c r="J902" s="199">
        <f>IFERROR('Mail Merge'!$E902/'Mail Merge'!$D902,0)</f>
        <v>0</v>
      </c>
      <c r="K902" s="199">
        <f>IFERROR('Mail Merge'!$F902/'Mail Merge'!$D902,0)</f>
        <v>9109.5</v>
      </c>
      <c r="L902" s="199">
        <f>IFERROR('Mail Merge'!$G902/'Mail Merge'!$D902,0)</f>
        <v>9109.5</v>
      </c>
      <c r="M902" s="199">
        <v>0</v>
      </c>
      <c r="N902" s="199" t="s">
        <v>239</v>
      </c>
      <c r="O902" s="199">
        <v>11062.69</v>
      </c>
      <c r="P902" s="199">
        <v>1377.04</v>
      </c>
      <c r="Q902" s="199">
        <f>'Mail Merge'!$O902+'Mail Merge'!$P902</f>
        <v>12439.73</v>
      </c>
      <c r="R902" s="199"/>
      <c r="S902" s="199"/>
      <c r="T902" s="199"/>
      <c r="U902" s="199">
        <f>IF(AND('Mail Merge'!$I902="Did Not Meet",'Mail Merge'!$N902="Did Not Meet"),MIN(ABS('Mail Merge'!$H902),ABS('Mail Merge'!$M902),'Mail Merge'!$Q902),0)</f>
        <v>0</v>
      </c>
      <c r="V902" s="199" t="str">
        <f>IF(OR(IFERROR(SEARCH("Met",'Mail Merge'!$N902),0)&gt;0,IFERROR(SEARCH("Met",'Mail Merge'!$I902),0)&gt;0),"Met","Not Met")</f>
        <v>Met</v>
      </c>
    </row>
    <row r="903" spans="1:22" x14ac:dyDescent="0.35">
      <c r="A903" s="200" t="s">
        <v>135</v>
      </c>
      <c r="B903" s="201">
        <v>2147</v>
      </c>
      <c r="C903" s="201" t="s">
        <v>19</v>
      </c>
      <c r="D903" s="201">
        <v>255</v>
      </c>
      <c r="E903" s="201">
        <v>1578472.58</v>
      </c>
      <c r="F903" s="201">
        <v>365918.8</v>
      </c>
      <c r="G903" s="201">
        <f>'Mail Merge'!$E903+'Mail Merge'!$F903</f>
        <v>1944391.3800000001</v>
      </c>
      <c r="H903" s="201">
        <v>0</v>
      </c>
      <c r="I903" s="201" t="s">
        <v>239</v>
      </c>
      <c r="J903" s="201">
        <f>IFERROR('Mail Merge'!$E903/'Mail Merge'!$D903,0)</f>
        <v>6190.0885490196079</v>
      </c>
      <c r="K903" s="201">
        <f>IFERROR('Mail Merge'!$F903/'Mail Merge'!$D903,0)</f>
        <v>1434.9756862745098</v>
      </c>
      <c r="L903" s="201">
        <f>IFERROR('Mail Merge'!$G903/'Mail Merge'!$D903,0)</f>
        <v>7625.0642352941177</v>
      </c>
      <c r="M903" s="201">
        <v>0</v>
      </c>
      <c r="N903" s="201" t="s">
        <v>239</v>
      </c>
      <c r="O903" s="201">
        <v>318759.53000000003</v>
      </c>
      <c r="P903" s="201">
        <v>1426.93</v>
      </c>
      <c r="Q903" s="201">
        <f>'Mail Merge'!$O903+'Mail Merge'!$P903</f>
        <v>320186.46000000002</v>
      </c>
      <c r="R903" s="201"/>
      <c r="S903" s="201"/>
      <c r="T903" s="201"/>
      <c r="U903" s="201">
        <f>IF(AND('Mail Merge'!$I903="Did Not Meet",'Mail Merge'!$N903="Did Not Meet"),MIN(ABS('Mail Merge'!$H903),ABS('Mail Merge'!$M903),'Mail Merge'!$Q903),0)</f>
        <v>0</v>
      </c>
      <c r="V903" s="201" t="str">
        <f>IF(OR(IFERROR(SEARCH("Met",'Mail Merge'!$N903),0)&gt;0,IFERROR(SEARCH("Met",'Mail Merge'!$I903),0)&gt;0),"Met","Not Met")</f>
        <v>Met</v>
      </c>
    </row>
    <row r="904" spans="1:22" x14ac:dyDescent="0.35">
      <c r="A904" s="198" t="s">
        <v>136</v>
      </c>
      <c r="B904" s="199">
        <v>2145</v>
      </c>
      <c r="C904" s="199" t="s">
        <v>19</v>
      </c>
      <c r="D904" s="199">
        <v>67</v>
      </c>
      <c r="E904" s="199">
        <v>402493.31</v>
      </c>
      <c r="F904" s="199">
        <v>109749.14</v>
      </c>
      <c r="G904" s="199">
        <f>'Mail Merge'!$E904+'Mail Merge'!$F904</f>
        <v>512242.45</v>
      </c>
      <c r="H904" s="199">
        <v>0</v>
      </c>
      <c r="I904" s="199" t="s">
        <v>241</v>
      </c>
      <c r="J904" s="199">
        <f>IFERROR('Mail Merge'!$E904/'Mail Merge'!$D904,0)</f>
        <v>6007.3628358208953</v>
      </c>
      <c r="K904" s="199">
        <f>IFERROR('Mail Merge'!$F904/'Mail Merge'!$D904,0)</f>
        <v>1638.0468656716419</v>
      </c>
      <c r="L904" s="199">
        <f>IFERROR('Mail Merge'!$G904/'Mail Merge'!$D904,0)</f>
        <v>7645.4097014925374</v>
      </c>
      <c r="M904" s="199">
        <v>0</v>
      </c>
      <c r="N904" s="199" t="s">
        <v>241</v>
      </c>
      <c r="O904" s="199">
        <v>125467.01</v>
      </c>
      <c r="P904" s="199">
        <v>1071.03</v>
      </c>
      <c r="Q904" s="199">
        <f>'Mail Merge'!$O904+'Mail Merge'!$P904</f>
        <v>126538.04</v>
      </c>
      <c r="R904" s="199"/>
      <c r="S904" s="199"/>
      <c r="T904" s="199"/>
      <c r="U904" s="199">
        <f>IF(AND('Mail Merge'!$I904="Did Not Meet",'Mail Merge'!$N904="Did Not Meet"),MIN(ABS('Mail Merge'!$H904),ABS('Mail Merge'!$M904),'Mail Merge'!$Q904),0)</f>
        <v>0</v>
      </c>
      <c r="V904" s="199" t="str">
        <f>IF(OR(IFERROR(SEARCH("Met",'Mail Merge'!$N904),0)&gt;0,IFERROR(SEARCH("Met",'Mail Merge'!$I904),0)&gt;0),"Met","Not Met")</f>
        <v>Met</v>
      </c>
    </row>
    <row r="905" spans="1:22" x14ac:dyDescent="0.35">
      <c r="A905" s="200" t="s">
        <v>137</v>
      </c>
      <c r="B905" s="201">
        <v>1968</v>
      </c>
      <c r="C905" s="201" t="s">
        <v>19</v>
      </c>
      <c r="D905" s="201">
        <v>83</v>
      </c>
      <c r="E905" s="201">
        <v>697613.59</v>
      </c>
      <c r="F905" s="201">
        <v>112018</v>
      </c>
      <c r="G905" s="201">
        <f>'Mail Merge'!$E905+'Mail Merge'!$F905</f>
        <v>809631.59</v>
      </c>
      <c r="H905" s="201">
        <v>0</v>
      </c>
      <c r="I905" s="201" t="s">
        <v>240</v>
      </c>
      <c r="J905" s="201">
        <f>IFERROR('Mail Merge'!$E905/'Mail Merge'!$D905,0)</f>
        <v>8404.9830120481929</v>
      </c>
      <c r="K905" s="201">
        <f>IFERROR('Mail Merge'!$F905/'Mail Merge'!$D905,0)</f>
        <v>1349.6144578313254</v>
      </c>
      <c r="L905" s="201">
        <f>IFERROR('Mail Merge'!$G905/'Mail Merge'!$D905,0)</f>
        <v>9754.597469879518</v>
      </c>
      <c r="M905" s="201">
        <v>0</v>
      </c>
      <c r="N905" s="201" t="s">
        <v>240</v>
      </c>
      <c r="O905" s="201">
        <v>139585.24</v>
      </c>
      <c r="P905" s="201">
        <v>0</v>
      </c>
      <c r="Q905" s="201">
        <f>'Mail Merge'!$O905+'Mail Merge'!$P905</f>
        <v>139585.24</v>
      </c>
      <c r="R905" s="201"/>
      <c r="S905" s="201"/>
      <c r="T905" s="201"/>
      <c r="U905" s="201">
        <f>IF(AND('Mail Merge'!$I905="Did Not Meet",'Mail Merge'!$N905="Did Not Meet"),MIN(ABS('Mail Merge'!$H905),ABS('Mail Merge'!$M905),'Mail Merge'!$Q905),0)</f>
        <v>0</v>
      </c>
      <c r="V905" s="201" t="str">
        <f>IF(OR(IFERROR(SEARCH("Met",'Mail Merge'!$N905),0)&gt;0,IFERROR(SEARCH("Met",'Mail Merge'!$I905),0)&gt;0),"Met","Not Met")</f>
        <v>Not Met</v>
      </c>
    </row>
    <row r="906" spans="1:22" x14ac:dyDescent="0.35">
      <c r="A906" s="198" t="s">
        <v>138</v>
      </c>
      <c r="B906" s="199">
        <v>2198</v>
      </c>
      <c r="C906" s="199" t="s">
        <v>19</v>
      </c>
      <c r="D906" s="199">
        <v>90</v>
      </c>
      <c r="E906" s="199">
        <v>1255054.02</v>
      </c>
      <c r="F906" s="199">
        <v>193446</v>
      </c>
      <c r="G906" s="199">
        <f>'Mail Merge'!$E906+'Mail Merge'!$F906</f>
        <v>1448500.02</v>
      </c>
      <c r="H906" s="199">
        <v>0</v>
      </c>
      <c r="I906" s="199" t="s">
        <v>241</v>
      </c>
      <c r="J906" s="199">
        <f>IFERROR('Mail Merge'!$E906/'Mail Merge'!$D906,0)</f>
        <v>13945.044666666667</v>
      </c>
      <c r="K906" s="199">
        <f>IFERROR('Mail Merge'!$F906/'Mail Merge'!$D906,0)</f>
        <v>2149.4</v>
      </c>
      <c r="L906" s="199">
        <f>IFERROR('Mail Merge'!$G906/'Mail Merge'!$D906,0)</f>
        <v>16094.444666666666</v>
      </c>
      <c r="M906" s="199">
        <v>0</v>
      </c>
      <c r="N906" s="199" t="s">
        <v>240</v>
      </c>
      <c r="O906" s="199">
        <v>112107.53</v>
      </c>
      <c r="P906" s="199">
        <v>0</v>
      </c>
      <c r="Q906" s="199">
        <f>'Mail Merge'!$O906+'Mail Merge'!$P906</f>
        <v>112107.53</v>
      </c>
      <c r="R906" s="199"/>
      <c r="S906" s="199"/>
      <c r="T906" s="199"/>
      <c r="U906" s="199">
        <f>IF(AND('Mail Merge'!$I906="Did Not Meet",'Mail Merge'!$N906="Did Not Meet"),MIN(ABS('Mail Merge'!$H906),ABS('Mail Merge'!$M906),'Mail Merge'!$Q906),0)</f>
        <v>0</v>
      </c>
      <c r="V906" s="199" t="str">
        <f>IF(OR(IFERROR(SEARCH("Met",'Mail Merge'!$N906),0)&gt;0,IFERROR(SEARCH("Met",'Mail Merge'!$I906),0)&gt;0),"Met","Not Met")</f>
        <v>Met</v>
      </c>
    </row>
    <row r="907" spans="1:22" x14ac:dyDescent="0.35">
      <c r="A907" s="200" t="s">
        <v>139</v>
      </c>
      <c r="B907" s="201">
        <v>2199</v>
      </c>
      <c r="C907" s="201" t="s">
        <v>19</v>
      </c>
      <c r="D907" s="201">
        <v>83</v>
      </c>
      <c r="E907" s="201">
        <v>817357.27</v>
      </c>
      <c r="F907" s="201">
        <v>120578</v>
      </c>
      <c r="G907" s="201">
        <f>'Mail Merge'!$E907+'Mail Merge'!$F907</f>
        <v>937935.27</v>
      </c>
      <c r="H907" s="201">
        <v>0</v>
      </c>
      <c r="I907" s="201" t="s">
        <v>241</v>
      </c>
      <c r="J907" s="201">
        <f>IFERROR('Mail Merge'!$E907/'Mail Merge'!$D907,0)</f>
        <v>9847.677951807229</v>
      </c>
      <c r="K907" s="201">
        <f>IFERROR('Mail Merge'!$F907/'Mail Merge'!$D907,0)</f>
        <v>1452.7469879518073</v>
      </c>
      <c r="L907" s="201">
        <f>IFERROR('Mail Merge'!$G907/'Mail Merge'!$D907,0)</f>
        <v>11300.424939759036</v>
      </c>
      <c r="M907" s="201">
        <v>0</v>
      </c>
      <c r="N907" s="201" t="s">
        <v>241</v>
      </c>
      <c r="O907" s="201">
        <v>94505.73</v>
      </c>
      <c r="P907" s="201">
        <v>918.03</v>
      </c>
      <c r="Q907" s="201">
        <f>'Mail Merge'!$O907+'Mail Merge'!$P907</f>
        <v>95423.76</v>
      </c>
      <c r="R907" s="201"/>
      <c r="S907" s="201"/>
      <c r="T907" s="201"/>
      <c r="U907" s="201">
        <f>IF(AND('Mail Merge'!$I907="Did Not Meet",'Mail Merge'!$N907="Did Not Meet"),MIN(ABS('Mail Merge'!$H907),ABS('Mail Merge'!$M907),'Mail Merge'!$Q907),0)</f>
        <v>0</v>
      </c>
      <c r="V907" s="201" t="str">
        <f>IF(OR(IFERROR(SEARCH("Met",'Mail Merge'!$N907),0)&gt;0,IFERROR(SEARCH("Met",'Mail Merge'!$I907),0)&gt;0),"Met","Not Met")</f>
        <v>Met</v>
      </c>
    </row>
    <row r="908" spans="1:22" x14ac:dyDescent="0.35">
      <c r="A908" s="198" t="s">
        <v>140</v>
      </c>
      <c r="B908" s="199">
        <v>2254</v>
      </c>
      <c r="C908" s="199" t="s">
        <v>19</v>
      </c>
      <c r="D908" s="199">
        <v>624</v>
      </c>
      <c r="E908" s="199">
        <v>5751111.6600000001</v>
      </c>
      <c r="F908" s="199">
        <v>47244.4</v>
      </c>
      <c r="G908" s="199">
        <f>'Mail Merge'!$E908+'Mail Merge'!$F908</f>
        <v>5798356.0600000005</v>
      </c>
      <c r="H908" s="199">
        <v>0</v>
      </c>
      <c r="I908" s="199" t="s">
        <v>242</v>
      </c>
      <c r="J908" s="199">
        <f>IFERROR('Mail Merge'!$E908/'Mail Merge'!$D908,0)</f>
        <v>9216.5250961538459</v>
      </c>
      <c r="K908" s="199">
        <f>IFERROR('Mail Merge'!$F908/'Mail Merge'!$D908,0)</f>
        <v>75.712179487179483</v>
      </c>
      <c r="L908" s="199">
        <f>IFERROR('Mail Merge'!$G908/'Mail Merge'!$D908,0)</f>
        <v>9292.2372756410259</v>
      </c>
      <c r="M908" s="199">
        <v>0</v>
      </c>
      <c r="N908" s="199" t="s">
        <v>241</v>
      </c>
      <c r="O908" s="199">
        <v>767047.77</v>
      </c>
      <c r="P908" s="199">
        <v>4369.46</v>
      </c>
      <c r="Q908" s="199">
        <f>'Mail Merge'!$O908+'Mail Merge'!$P908</f>
        <v>771417.23</v>
      </c>
      <c r="R908" s="199"/>
      <c r="S908" s="199">
        <v>218859.82</v>
      </c>
      <c r="T908" s="199">
        <v>218859.82</v>
      </c>
      <c r="U908" s="199">
        <f>IF(AND('Mail Merge'!$I908="Did Not Meet",'Mail Merge'!$N908="Did Not Meet"),MIN(ABS('Mail Merge'!$H908),ABS('Mail Merge'!$M908),'Mail Merge'!$Q908),0)</f>
        <v>0</v>
      </c>
      <c r="V908" s="199" t="str">
        <f>IF(OR(IFERROR(SEARCH("Met",'Mail Merge'!$N908),0)&gt;0,IFERROR(SEARCH("Met",'Mail Merge'!$I908),0)&gt;0),"Met","Not Met")</f>
        <v>Met</v>
      </c>
    </row>
    <row r="909" spans="1:22" x14ac:dyDescent="0.35">
      <c r="A909" s="200" t="s">
        <v>141</v>
      </c>
      <c r="B909" s="201">
        <v>1966</v>
      </c>
      <c r="C909" s="201" t="s">
        <v>19</v>
      </c>
      <c r="D909" s="201">
        <v>520</v>
      </c>
      <c r="E909" s="201">
        <v>3281960.72</v>
      </c>
      <c r="F909" s="201">
        <v>768072</v>
      </c>
      <c r="G909" s="201">
        <f>'Mail Merge'!$E909+'Mail Merge'!$F909</f>
        <v>4050032.72</v>
      </c>
      <c r="H909" s="201">
        <v>0</v>
      </c>
      <c r="I909" s="201" t="s">
        <v>241</v>
      </c>
      <c r="J909" s="201">
        <f>IFERROR('Mail Merge'!$E909/'Mail Merge'!$D909,0)</f>
        <v>6311.4629230769233</v>
      </c>
      <c r="K909" s="201">
        <f>IFERROR('Mail Merge'!$F909/'Mail Merge'!$D909,0)</f>
        <v>1477.0615384615385</v>
      </c>
      <c r="L909" s="201">
        <f>IFERROR('Mail Merge'!$G909/'Mail Merge'!$D909,0)</f>
        <v>7788.5244615384618</v>
      </c>
      <c r="M909" s="201">
        <v>0</v>
      </c>
      <c r="N909" s="201" t="s">
        <v>240</v>
      </c>
      <c r="O909" s="201">
        <v>512547.26</v>
      </c>
      <c r="P909" s="201">
        <v>4994.07</v>
      </c>
      <c r="Q909" s="201">
        <f>'Mail Merge'!$O909+'Mail Merge'!$P909</f>
        <v>517541.33</v>
      </c>
      <c r="R909" s="201"/>
      <c r="S909" s="201"/>
      <c r="T909" s="201"/>
      <c r="U909" s="201">
        <f>IF(AND('Mail Merge'!$I909="Did Not Meet",'Mail Merge'!$N909="Did Not Meet"),MIN(ABS('Mail Merge'!$H909),ABS('Mail Merge'!$M909),'Mail Merge'!$Q909),0)</f>
        <v>0</v>
      </c>
      <c r="V909" s="201" t="str">
        <f>IF(OR(IFERROR(SEARCH("Met",'Mail Merge'!$N909),0)&gt;0,IFERROR(SEARCH("Met",'Mail Merge'!$I909),0)&gt;0),"Met","Not Met")</f>
        <v>Met</v>
      </c>
    </row>
    <row r="910" spans="1:22" x14ac:dyDescent="0.35">
      <c r="A910" s="198" t="s">
        <v>142</v>
      </c>
      <c r="B910" s="199">
        <v>1924</v>
      </c>
      <c r="C910" s="199" t="s">
        <v>19</v>
      </c>
      <c r="D910" s="199">
        <v>2536</v>
      </c>
      <c r="E910" s="199">
        <v>18583057.260000002</v>
      </c>
      <c r="F910" s="199">
        <v>2232624</v>
      </c>
      <c r="G910" s="199">
        <f>'Mail Merge'!$E910+'Mail Merge'!$F910</f>
        <v>20815681.260000002</v>
      </c>
      <c r="H910" s="199">
        <v>0</v>
      </c>
      <c r="I910" s="199" t="s">
        <v>241</v>
      </c>
      <c r="J910" s="199">
        <f>IFERROR('Mail Merge'!$E910/'Mail Merge'!$D910,0)</f>
        <v>7327.7039668769721</v>
      </c>
      <c r="K910" s="199">
        <f>IFERROR('Mail Merge'!$F910/'Mail Merge'!$D910,0)</f>
        <v>880.37223974763413</v>
      </c>
      <c r="L910" s="199">
        <f>IFERROR('Mail Merge'!$G910/'Mail Merge'!$D910,0)</f>
        <v>8208.0762066246061</v>
      </c>
      <c r="M910" s="199">
        <v>0</v>
      </c>
      <c r="N910" s="199" t="s">
        <v>241</v>
      </c>
      <c r="O910" s="199">
        <v>2462558.69</v>
      </c>
      <c r="P910" s="199">
        <v>13975.35</v>
      </c>
      <c r="Q910" s="199">
        <f>'Mail Merge'!$O910+'Mail Merge'!$P910</f>
        <v>2476534.04</v>
      </c>
      <c r="R910" s="199"/>
      <c r="S910" s="199"/>
      <c r="T910" s="199"/>
      <c r="U910" s="199">
        <f>IF(AND('Mail Merge'!$I910="Did Not Meet",'Mail Merge'!$N910="Did Not Meet"),MIN(ABS('Mail Merge'!$H910),ABS('Mail Merge'!$M910),'Mail Merge'!$Q910),0)</f>
        <v>0</v>
      </c>
      <c r="V910" s="199" t="str">
        <f>IF(OR(IFERROR(SEARCH("Met",'Mail Merge'!$N910),0)&gt;0,IFERROR(SEARCH("Met",'Mail Merge'!$I910),0)&gt;0),"Met","Not Met")</f>
        <v>Met</v>
      </c>
    </row>
    <row r="911" spans="1:22" x14ac:dyDescent="0.35">
      <c r="A911" s="200" t="s">
        <v>143</v>
      </c>
      <c r="B911" s="201">
        <v>1996</v>
      </c>
      <c r="C911" s="201" t="s">
        <v>19</v>
      </c>
      <c r="D911" s="201">
        <v>38</v>
      </c>
      <c r="E911" s="201">
        <v>312757.03000000003</v>
      </c>
      <c r="F911" s="201">
        <v>47334.96</v>
      </c>
      <c r="G911" s="201">
        <f>'Mail Merge'!$E911+'Mail Merge'!$F911</f>
        <v>360091.99000000005</v>
      </c>
      <c r="H911" s="201">
        <v>0</v>
      </c>
      <c r="I911" s="201" t="s">
        <v>241</v>
      </c>
      <c r="J911" s="201">
        <f>IFERROR('Mail Merge'!$E911/'Mail Merge'!$D911,0)</f>
        <v>8230.448157894738</v>
      </c>
      <c r="K911" s="201">
        <f>IFERROR('Mail Merge'!$F911/'Mail Merge'!$D911,0)</f>
        <v>1245.6568421052632</v>
      </c>
      <c r="L911" s="201">
        <f>IFERROR('Mail Merge'!$G911/'Mail Merge'!$D911,0)</f>
        <v>9476.1050000000014</v>
      </c>
      <c r="M911" s="201">
        <v>0</v>
      </c>
      <c r="N911" s="201" t="s">
        <v>240</v>
      </c>
      <c r="O911" s="201">
        <v>56337.63</v>
      </c>
      <c r="P911" s="201">
        <v>0</v>
      </c>
      <c r="Q911" s="201">
        <f>'Mail Merge'!$O911+'Mail Merge'!$P911</f>
        <v>56337.63</v>
      </c>
      <c r="R911" s="201"/>
      <c r="S911" s="201"/>
      <c r="T911" s="201"/>
      <c r="U911" s="201">
        <f>IF(AND('Mail Merge'!$I911="Did Not Meet",'Mail Merge'!$N911="Did Not Meet"),MIN(ABS('Mail Merge'!$H911),ABS('Mail Merge'!$M911),'Mail Merge'!$Q911),0)</f>
        <v>0</v>
      </c>
      <c r="V911" s="201" t="str">
        <f>IF(OR(IFERROR(SEARCH("Met",'Mail Merge'!$N911),0)&gt;0,IFERROR(SEARCH("Met",'Mail Merge'!$I911),0)&gt;0),"Met","Not Met")</f>
        <v>Met</v>
      </c>
    </row>
    <row r="912" spans="1:22" x14ac:dyDescent="0.35">
      <c r="A912" s="198" t="s">
        <v>144</v>
      </c>
      <c r="B912" s="199">
        <v>2061</v>
      </c>
      <c r="C912" s="199" t="s">
        <v>19</v>
      </c>
      <c r="D912" s="199">
        <v>40</v>
      </c>
      <c r="E912" s="199">
        <v>187617.17</v>
      </c>
      <c r="F912" s="199">
        <v>78244.23</v>
      </c>
      <c r="G912" s="199">
        <f>'Mail Merge'!$E912+'Mail Merge'!$F912</f>
        <v>265861.40000000002</v>
      </c>
      <c r="H912" s="199">
        <v>0</v>
      </c>
      <c r="I912" s="199" t="s">
        <v>241</v>
      </c>
      <c r="J912" s="199">
        <f>IFERROR('Mail Merge'!$E912/'Mail Merge'!$D912,0)</f>
        <v>4690.4292500000001</v>
      </c>
      <c r="K912" s="199">
        <f>IFERROR('Mail Merge'!$F912/'Mail Merge'!$D912,0)</f>
        <v>1956.1057499999999</v>
      </c>
      <c r="L912" s="199">
        <f>IFERROR('Mail Merge'!$G912/'Mail Merge'!$D912,0)</f>
        <v>6646.5350000000008</v>
      </c>
      <c r="M912" s="199">
        <v>0</v>
      </c>
      <c r="N912" s="199" t="s">
        <v>241</v>
      </c>
      <c r="O912" s="199">
        <v>47219.12</v>
      </c>
      <c r="P912" s="199">
        <v>765.02</v>
      </c>
      <c r="Q912" s="199">
        <f>'Mail Merge'!$O912+'Mail Merge'!$P912</f>
        <v>47984.14</v>
      </c>
      <c r="R912" s="199"/>
      <c r="S912" s="199"/>
      <c r="T912" s="199"/>
      <c r="U912" s="199">
        <f>IF(AND('Mail Merge'!$I912="Did Not Meet",'Mail Merge'!$N912="Did Not Meet"),MIN(ABS('Mail Merge'!$H912),ABS('Mail Merge'!$M912),'Mail Merge'!$Q912),0)</f>
        <v>0</v>
      </c>
      <c r="V912" s="199" t="str">
        <f>IF(OR(IFERROR(SEARCH("Met",'Mail Merge'!$N912),0)&gt;0,IFERROR(SEARCH("Met",'Mail Merge'!$I912),0)&gt;0),"Met","Not Met")</f>
        <v>Met</v>
      </c>
    </row>
    <row r="913" spans="1:22" x14ac:dyDescent="0.35">
      <c r="A913" s="200" t="s">
        <v>145</v>
      </c>
      <c r="B913" s="201">
        <v>2141</v>
      </c>
      <c r="C913" s="201" t="s">
        <v>19</v>
      </c>
      <c r="D913" s="201">
        <v>285</v>
      </c>
      <c r="E913" s="201">
        <v>2368728.5699999998</v>
      </c>
      <c r="F913" s="201">
        <v>240983.19</v>
      </c>
      <c r="G913" s="201">
        <f>'Mail Merge'!$E913+'Mail Merge'!$F913</f>
        <v>2609711.7599999998</v>
      </c>
      <c r="H913" s="201">
        <v>0</v>
      </c>
      <c r="I913" s="201" t="s">
        <v>241</v>
      </c>
      <c r="J913" s="201">
        <f>IFERROR('Mail Merge'!$E913/'Mail Merge'!$D913,0)</f>
        <v>8311.328315789473</v>
      </c>
      <c r="K913" s="201">
        <f>IFERROR('Mail Merge'!$F913/'Mail Merge'!$D913,0)</f>
        <v>845.55505263157897</v>
      </c>
      <c r="L913" s="201">
        <f>IFERROR('Mail Merge'!$G913/'Mail Merge'!$D913,0)</f>
        <v>9156.8833684210513</v>
      </c>
      <c r="M913" s="201">
        <v>0</v>
      </c>
      <c r="N913" s="201" t="s">
        <v>240</v>
      </c>
      <c r="O913" s="201">
        <v>267330.63</v>
      </c>
      <c r="P913" s="201">
        <v>2142.06</v>
      </c>
      <c r="Q913" s="201">
        <f>'Mail Merge'!$O913+'Mail Merge'!$P913</f>
        <v>269472.69</v>
      </c>
      <c r="R913" s="201"/>
      <c r="S913" s="201"/>
      <c r="T913" s="201"/>
      <c r="U913" s="201">
        <f>IF(AND('Mail Merge'!$I913="Did Not Meet",'Mail Merge'!$N913="Did Not Meet"),MIN(ABS('Mail Merge'!$H913),ABS('Mail Merge'!$M913),'Mail Merge'!$Q913),0)</f>
        <v>0</v>
      </c>
      <c r="V913" s="201" t="str">
        <f>IF(OR(IFERROR(SEARCH("Met",'Mail Merge'!$N913),0)&gt;0,IFERROR(SEARCH("Met",'Mail Merge'!$I913),0)&gt;0),"Met","Not Met")</f>
        <v>Met</v>
      </c>
    </row>
    <row r="914" spans="1:22" x14ac:dyDescent="0.35">
      <c r="A914" s="198" t="s">
        <v>146</v>
      </c>
      <c r="B914" s="199">
        <v>2214</v>
      </c>
      <c r="C914" s="199" t="s">
        <v>19</v>
      </c>
      <c r="D914" s="199">
        <v>42</v>
      </c>
      <c r="E914" s="199">
        <v>170882.98</v>
      </c>
      <c r="F914" s="199">
        <v>28820.34</v>
      </c>
      <c r="G914" s="199">
        <f>'Mail Merge'!$E914+'Mail Merge'!$F914</f>
        <v>199703.32</v>
      </c>
      <c r="H914" s="199">
        <v>0</v>
      </c>
      <c r="I914" s="199" t="s">
        <v>241</v>
      </c>
      <c r="J914" s="199">
        <f>IFERROR('Mail Merge'!$E914/'Mail Merge'!$D914,0)</f>
        <v>4068.6423809523812</v>
      </c>
      <c r="K914" s="199">
        <f>IFERROR('Mail Merge'!$F914/'Mail Merge'!$D914,0)</f>
        <v>686.19857142857143</v>
      </c>
      <c r="L914" s="199">
        <f>IFERROR('Mail Merge'!$G914/'Mail Merge'!$D914,0)</f>
        <v>4754.8409523809523</v>
      </c>
      <c r="M914" s="199">
        <v>0</v>
      </c>
      <c r="N914" s="199" t="s">
        <v>240</v>
      </c>
      <c r="O914" s="199">
        <v>43449.48</v>
      </c>
      <c r="P914" s="199">
        <v>0</v>
      </c>
      <c r="Q914" s="199">
        <f>'Mail Merge'!$O914+'Mail Merge'!$P914</f>
        <v>43449.48</v>
      </c>
      <c r="R914" s="199"/>
      <c r="S914" s="199"/>
      <c r="T914" s="199"/>
      <c r="U914" s="199">
        <f>IF(AND('Mail Merge'!$I914="Did Not Meet",'Mail Merge'!$N914="Did Not Meet"),MIN(ABS('Mail Merge'!$H914),ABS('Mail Merge'!$M914),'Mail Merge'!$Q914),0)</f>
        <v>0</v>
      </c>
      <c r="V914" s="199" t="str">
        <f>IF(OR(IFERROR(SEARCH("Met",'Mail Merge'!$N914),0)&gt;0,IFERROR(SEARCH("Met",'Mail Merge'!$I914),0)&gt;0),"Met","Not Met")</f>
        <v>Met</v>
      </c>
    </row>
    <row r="915" spans="1:22" x14ac:dyDescent="0.35">
      <c r="A915" s="200" t="s">
        <v>147</v>
      </c>
      <c r="B915" s="201">
        <v>2143</v>
      </c>
      <c r="C915" s="201" t="s">
        <v>19</v>
      </c>
      <c r="D915" s="201">
        <v>273</v>
      </c>
      <c r="E915" s="201">
        <v>2637796.83</v>
      </c>
      <c r="F915" s="201">
        <v>118947.45</v>
      </c>
      <c r="G915" s="201">
        <f>'Mail Merge'!$E915+'Mail Merge'!$F915</f>
        <v>2756744.2800000003</v>
      </c>
      <c r="H915" s="201">
        <v>0</v>
      </c>
      <c r="I915" s="201" t="s">
        <v>241</v>
      </c>
      <c r="J915" s="201">
        <f>IFERROR('Mail Merge'!$E915/'Mail Merge'!$D915,0)</f>
        <v>9662.2594505494508</v>
      </c>
      <c r="K915" s="201">
        <f>IFERROR('Mail Merge'!$F915/'Mail Merge'!$D915,0)</f>
        <v>435.70494505494503</v>
      </c>
      <c r="L915" s="201">
        <f>IFERROR('Mail Merge'!$G915/'Mail Merge'!$D915,0)</f>
        <v>10097.964395604396</v>
      </c>
      <c r="M915" s="201">
        <v>0</v>
      </c>
      <c r="N915" s="201" t="s">
        <v>241</v>
      </c>
      <c r="O915" s="201">
        <v>414155.05</v>
      </c>
      <c r="P915" s="201">
        <v>1460.5</v>
      </c>
      <c r="Q915" s="201">
        <f>'Mail Merge'!$O915+'Mail Merge'!$P915</f>
        <v>415615.55</v>
      </c>
      <c r="R915" s="201"/>
      <c r="S915" s="201"/>
      <c r="T915" s="201"/>
      <c r="U915" s="201">
        <f>IF(AND('Mail Merge'!$I915="Did Not Meet",'Mail Merge'!$N915="Did Not Meet"),MIN(ABS('Mail Merge'!$H915),ABS('Mail Merge'!$M915),'Mail Merge'!$Q915),0)</f>
        <v>0</v>
      </c>
      <c r="V915" s="201" t="str">
        <f>IF(OR(IFERROR(SEARCH("Met",'Mail Merge'!$N915),0)&gt;0,IFERROR(SEARCH("Met",'Mail Merge'!$I915),0)&gt;0),"Met","Not Met")</f>
        <v>Met</v>
      </c>
    </row>
    <row r="916" spans="1:22" x14ac:dyDescent="0.35">
      <c r="A916" s="198" t="s">
        <v>148</v>
      </c>
      <c r="B916" s="199">
        <v>4131</v>
      </c>
      <c r="C916" s="199" t="s">
        <v>19</v>
      </c>
      <c r="D916" s="199">
        <v>441</v>
      </c>
      <c r="E916" s="199">
        <v>3946348.98</v>
      </c>
      <c r="F916" s="199">
        <v>0</v>
      </c>
      <c r="G916" s="199">
        <f>'Mail Merge'!$E916+'Mail Merge'!$F916</f>
        <v>3946348.98</v>
      </c>
      <c r="H916" s="199">
        <v>0</v>
      </c>
      <c r="I916" s="199" t="s">
        <v>241</v>
      </c>
      <c r="J916" s="199">
        <f>IFERROR('Mail Merge'!$E916/'Mail Merge'!$D916,0)</f>
        <v>8948.637142857142</v>
      </c>
      <c r="K916" s="199">
        <f>IFERROR('Mail Merge'!$F916/'Mail Merge'!$D916,0)</f>
        <v>0</v>
      </c>
      <c r="L916" s="199">
        <f>IFERROR('Mail Merge'!$G916/'Mail Merge'!$D916,0)</f>
        <v>8948.637142857142</v>
      </c>
      <c r="M916" s="199">
        <v>0</v>
      </c>
      <c r="N916" s="199" t="s">
        <v>241</v>
      </c>
      <c r="O916" s="199">
        <v>523256.49</v>
      </c>
      <c r="P916" s="199">
        <v>7865.82</v>
      </c>
      <c r="Q916" s="199">
        <f>'Mail Merge'!$O916+'Mail Merge'!$P916</f>
        <v>531122.30999999994</v>
      </c>
      <c r="R916" s="199"/>
      <c r="S916" s="199"/>
      <c r="T916" s="199"/>
      <c r="U916" s="199">
        <f>IF(AND('Mail Merge'!$I916="Did Not Meet",'Mail Merge'!$N916="Did Not Meet"),MIN(ABS('Mail Merge'!$H916),ABS('Mail Merge'!$M916),'Mail Merge'!$Q916),0)</f>
        <v>0</v>
      </c>
      <c r="V916" s="199" t="str">
        <f>IF(OR(IFERROR(SEARCH("Met",'Mail Merge'!$N916),0)&gt;0,IFERROR(SEARCH("Met",'Mail Merge'!$I916),0)&gt;0),"Met","Not Met")</f>
        <v>Met</v>
      </c>
    </row>
    <row r="917" spans="1:22" x14ac:dyDescent="0.35">
      <c r="A917" s="200" t="s">
        <v>149</v>
      </c>
      <c r="B917" s="201">
        <v>2110</v>
      </c>
      <c r="C917" s="201" t="s">
        <v>19</v>
      </c>
      <c r="D917" s="201">
        <v>174</v>
      </c>
      <c r="E917" s="201">
        <v>759947.86</v>
      </c>
      <c r="F917" s="201">
        <v>341959.2</v>
      </c>
      <c r="G917" s="201">
        <f>'Mail Merge'!$E917+'Mail Merge'!$F917</f>
        <v>1101907.06</v>
      </c>
      <c r="H917" s="201">
        <v>0</v>
      </c>
      <c r="I917" s="201" t="s">
        <v>241</v>
      </c>
      <c r="J917" s="201">
        <f>IFERROR('Mail Merge'!$E917/'Mail Merge'!$D917,0)</f>
        <v>4367.5164367816087</v>
      </c>
      <c r="K917" s="201">
        <f>IFERROR('Mail Merge'!$F917/'Mail Merge'!$D917,0)</f>
        <v>1965.2827586206897</v>
      </c>
      <c r="L917" s="201">
        <f>IFERROR('Mail Merge'!$G917/'Mail Merge'!$D917,0)</f>
        <v>6332.7991954022991</v>
      </c>
      <c r="M917" s="201">
        <v>0</v>
      </c>
      <c r="N917" s="201" t="s">
        <v>240</v>
      </c>
      <c r="O917" s="201">
        <v>217075.1</v>
      </c>
      <c r="P917" s="201">
        <v>953.34</v>
      </c>
      <c r="Q917" s="201">
        <f>'Mail Merge'!$O917+'Mail Merge'!$P917</f>
        <v>218028.44</v>
      </c>
      <c r="R917" s="201"/>
      <c r="S917" s="201"/>
      <c r="T917" s="201"/>
      <c r="U917" s="201">
        <f>IF(AND('Mail Merge'!$I917="Did Not Meet",'Mail Merge'!$N917="Did Not Meet"),MIN(ABS('Mail Merge'!$H917),ABS('Mail Merge'!$M917),'Mail Merge'!$Q917),0)</f>
        <v>0</v>
      </c>
      <c r="V917" s="201" t="str">
        <f>IF(OR(IFERROR(SEARCH("Met",'Mail Merge'!$N917),0)&gt;0,IFERROR(SEARCH("Met",'Mail Merge'!$I917),0)&gt;0),"Met","Not Met")</f>
        <v>Met</v>
      </c>
    </row>
    <row r="918" spans="1:22" x14ac:dyDescent="0.35">
      <c r="A918" s="198" t="s">
        <v>150</v>
      </c>
      <c r="B918" s="199">
        <v>1990</v>
      </c>
      <c r="C918" s="199" t="s">
        <v>19</v>
      </c>
      <c r="D918" s="199">
        <v>59</v>
      </c>
      <c r="E918" s="199">
        <v>325186.34000000003</v>
      </c>
      <c r="F918" s="199">
        <v>104279.78</v>
      </c>
      <c r="G918" s="199">
        <f>'Mail Merge'!$E918+'Mail Merge'!$F918</f>
        <v>429466.12</v>
      </c>
      <c r="H918" s="199">
        <v>0</v>
      </c>
      <c r="I918" s="199" t="s">
        <v>242</v>
      </c>
      <c r="J918" s="199">
        <f>IFERROR('Mail Merge'!$E918/'Mail Merge'!$D918,0)</f>
        <v>5511.632881355933</v>
      </c>
      <c r="K918" s="199">
        <f>IFERROR('Mail Merge'!$F918/'Mail Merge'!$D918,0)</f>
        <v>1767.4538983050847</v>
      </c>
      <c r="L918" s="199">
        <f>IFERROR('Mail Merge'!$G918/'Mail Merge'!$D918,0)</f>
        <v>7279.0867796610173</v>
      </c>
      <c r="M918" s="199">
        <v>0</v>
      </c>
      <c r="N918" s="199" t="s">
        <v>240</v>
      </c>
      <c r="O918" s="199">
        <v>88258.06</v>
      </c>
      <c r="P918" s="199">
        <v>1652.45</v>
      </c>
      <c r="Q918" s="199">
        <f>'Mail Merge'!$O918+'Mail Merge'!$P918</f>
        <v>89910.51</v>
      </c>
      <c r="R918" s="199"/>
      <c r="S918" s="199">
        <v>24488</v>
      </c>
      <c r="T918" s="199"/>
      <c r="U918" s="199">
        <f>IF(AND('Mail Merge'!$I918="Did Not Meet",'Mail Merge'!$N918="Did Not Meet"),MIN(ABS('Mail Merge'!$H918),ABS('Mail Merge'!$M918),'Mail Merge'!$Q918),0)</f>
        <v>0</v>
      </c>
      <c r="V918" s="199" t="str">
        <f>IF(OR(IFERROR(SEARCH("Met",'Mail Merge'!$N918),0)&gt;0,IFERROR(SEARCH("Met",'Mail Merge'!$I918),0)&gt;0),"Met","Not Met")</f>
        <v>Met</v>
      </c>
    </row>
    <row r="919" spans="1:22" x14ac:dyDescent="0.35">
      <c r="A919" s="200" t="s">
        <v>151</v>
      </c>
      <c r="B919" s="201">
        <v>2093</v>
      </c>
      <c r="C919" s="201" t="s">
        <v>19</v>
      </c>
      <c r="D919" s="201">
        <v>89</v>
      </c>
      <c r="E919" s="201">
        <v>428373.42</v>
      </c>
      <c r="F919" s="201">
        <v>183080</v>
      </c>
      <c r="G919" s="201">
        <f>'Mail Merge'!$E919+'Mail Merge'!$F919</f>
        <v>611453.41999999993</v>
      </c>
      <c r="H919" s="201">
        <v>0</v>
      </c>
      <c r="I919" s="201" t="s">
        <v>242</v>
      </c>
      <c r="J919" s="201">
        <f>IFERROR('Mail Merge'!$E919/'Mail Merge'!$D919,0)</f>
        <v>4813.1844943820224</v>
      </c>
      <c r="K919" s="201">
        <f>IFERROR('Mail Merge'!$F919/'Mail Merge'!$D919,0)</f>
        <v>2057.0786516853932</v>
      </c>
      <c r="L919" s="201">
        <f>IFERROR('Mail Merge'!$G919/'Mail Merge'!$D919,0)</f>
        <v>6870.2631460674147</v>
      </c>
      <c r="M919" s="201">
        <v>0</v>
      </c>
      <c r="N919" s="201" t="s">
        <v>240</v>
      </c>
      <c r="O919" s="201">
        <v>124875.27</v>
      </c>
      <c r="P919" s="201">
        <v>1752.6</v>
      </c>
      <c r="Q919" s="201">
        <f>'Mail Merge'!$O919+'Mail Merge'!$P919</f>
        <v>126627.87000000001</v>
      </c>
      <c r="R919" s="201"/>
      <c r="S919" s="201">
        <v>67281.23</v>
      </c>
      <c r="T919" s="201"/>
      <c r="U919" s="201">
        <f>IF(AND('Mail Merge'!$I919="Did Not Meet",'Mail Merge'!$N919="Did Not Meet"),MIN(ABS('Mail Merge'!$H919),ABS('Mail Merge'!$M919),'Mail Merge'!$Q919),0)</f>
        <v>0</v>
      </c>
      <c r="V919" s="201" t="str">
        <f>IF(OR(IFERROR(SEARCH("Met",'Mail Merge'!$N919),0)&gt;0,IFERROR(SEARCH("Met",'Mail Merge'!$I919),0)&gt;0),"Met","Not Met")</f>
        <v>Met</v>
      </c>
    </row>
    <row r="920" spans="1:22" x14ac:dyDescent="0.35">
      <c r="A920" s="198" t="s">
        <v>152</v>
      </c>
      <c r="B920" s="199">
        <v>2108</v>
      </c>
      <c r="C920" s="199" t="s">
        <v>19</v>
      </c>
      <c r="D920" s="199">
        <v>287</v>
      </c>
      <c r="E920" s="199">
        <v>2476014.7999999998</v>
      </c>
      <c r="F920" s="199">
        <v>58894</v>
      </c>
      <c r="G920" s="199">
        <f>'Mail Merge'!$E920+'Mail Merge'!$F920</f>
        <v>2534908.7999999998</v>
      </c>
      <c r="H920" s="199">
        <v>0</v>
      </c>
      <c r="I920" s="199" t="s">
        <v>241</v>
      </c>
      <c r="J920" s="199">
        <f>IFERROR('Mail Merge'!$E920/'Mail Merge'!$D920,0)</f>
        <v>8627.2292682926818</v>
      </c>
      <c r="K920" s="199">
        <f>IFERROR('Mail Merge'!$F920/'Mail Merge'!$D920,0)</f>
        <v>205.20557491289199</v>
      </c>
      <c r="L920" s="199">
        <f>IFERROR('Mail Merge'!$G920/'Mail Merge'!$D920,0)</f>
        <v>8832.434843205574</v>
      </c>
      <c r="M920" s="199">
        <v>0</v>
      </c>
      <c r="N920" s="199" t="s">
        <v>241</v>
      </c>
      <c r="O920" s="199">
        <v>465031.27</v>
      </c>
      <c r="P920" s="199">
        <v>3672.11</v>
      </c>
      <c r="Q920" s="199">
        <f>'Mail Merge'!$O920+'Mail Merge'!$P920</f>
        <v>468703.38</v>
      </c>
      <c r="R920" s="199"/>
      <c r="S920" s="199"/>
      <c r="T920" s="199">
        <v>50569.04</v>
      </c>
      <c r="U920" s="199">
        <f>IF(AND('Mail Merge'!$I920="Did Not Meet",'Mail Merge'!$N920="Did Not Meet"),MIN(ABS('Mail Merge'!$H920),ABS('Mail Merge'!$M920),'Mail Merge'!$Q920),0)</f>
        <v>0</v>
      </c>
      <c r="V920" s="199" t="str">
        <f>IF(OR(IFERROR(SEARCH("Met",'Mail Merge'!$N920),0)&gt;0,IFERROR(SEARCH("Met",'Mail Merge'!$I920),0)&gt;0),"Met","Not Met")</f>
        <v>Met</v>
      </c>
    </row>
    <row r="921" spans="1:22" x14ac:dyDescent="0.35">
      <c r="A921" s="200" t="s">
        <v>153</v>
      </c>
      <c r="B921" s="201">
        <v>1928</v>
      </c>
      <c r="C921" s="201" t="s">
        <v>19</v>
      </c>
      <c r="D921" s="201">
        <v>1248</v>
      </c>
      <c r="E921" s="201">
        <v>12864581.33</v>
      </c>
      <c r="F921" s="201">
        <v>1752310</v>
      </c>
      <c r="G921" s="201">
        <f>'Mail Merge'!$E921+'Mail Merge'!$F921</f>
        <v>14616891.33</v>
      </c>
      <c r="H921" s="201">
        <v>0</v>
      </c>
      <c r="I921" s="201" t="s">
        <v>241</v>
      </c>
      <c r="J921" s="201">
        <f>IFERROR('Mail Merge'!$E921/'Mail Merge'!$D921,0)</f>
        <v>10308.158116987179</v>
      </c>
      <c r="K921" s="201">
        <f>IFERROR('Mail Merge'!$F921/'Mail Merge'!$D921,0)</f>
        <v>1404.0945512820513</v>
      </c>
      <c r="L921" s="201">
        <f>IFERROR('Mail Merge'!$G921/'Mail Merge'!$D921,0)</f>
        <v>11712.252668269231</v>
      </c>
      <c r="M921" s="201">
        <v>0</v>
      </c>
      <c r="N921" s="201" t="s">
        <v>241</v>
      </c>
      <c r="O921" s="201">
        <v>1270006.1599999999</v>
      </c>
      <c r="P921" s="201">
        <v>10614.04</v>
      </c>
      <c r="Q921" s="201">
        <f>'Mail Merge'!$O921+'Mail Merge'!$P921</f>
        <v>1280620.2</v>
      </c>
      <c r="R921" s="201"/>
      <c r="S921" s="201"/>
      <c r="T921" s="201"/>
      <c r="U921" s="201">
        <f>IF(AND('Mail Merge'!$I921="Did Not Meet",'Mail Merge'!$N921="Did Not Meet"),MIN(ABS('Mail Merge'!$H921),ABS('Mail Merge'!$M921),'Mail Merge'!$Q921),0)</f>
        <v>0</v>
      </c>
      <c r="V921" s="201" t="str">
        <f>IF(OR(IFERROR(SEARCH("Met",'Mail Merge'!$N921),0)&gt;0,IFERROR(SEARCH("Met",'Mail Merge'!$I921),0)&gt;0),"Met","Not Met")</f>
        <v>Met</v>
      </c>
    </row>
    <row r="922" spans="1:22" x14ac:dyDescent="0.35">
      <c r="A922" s="198" t="s">
        <v>154</v>
      </c>
      <c r="B922" s="199">
        <v>1926</v>
      </c>
      <c r="C922" s="199" t="s">
        <v>19</v>
      </c>
      <c r="D922" s="199">
        <v>548</v>
      </c>
      <c r="E922" s="199">
        <v>5733281.5700000003</v>
      </c>
      <c r="F922" s="199">
        <v>635889</v>
      </c>
      <c r="G922" s="199">
        <f>'Mail Merge'!$E922+'Mail Merge'!$F922</f>
        <v>6369170.5700000003</v>
      </c>
      <c r="H922" s="199">
        <v>0</v>
      </c>
      <c r="I922" s="199" t="s">
        <v>241</v>
      </c>
      <c r="J922" s="199">
        <f>IFERROR('Mail Merge'!$E922/'Mail Merge'!$D922,0)</f>
        <v>10462.192645985402</v>
      </c>
      <c r="K922" s="199">
        <f>IFERROR('Mail Merge'!$F922/'Mail Merge'!$D922,0)</f>
        <v>1160.3813868613138</v>
      </c>
      <c r="L922" s="199">
        <f>IFERROR('Mail Merge'!$G922/'Mail Merge'!$D922,0)</f>
        <v>11622.574032846716</v>
      </c>
      <c r="M922" s="199">
        <v>0</v>
      </c>
      <c r="N922" s="199" t="s">
        <v>241</v>
      </c>
      <c r="O922" s="199">
        <v>650272.34</v>
      </c>
      <c r="P922" s="199">
        <v>5610.16</v>
      </c>
      <c r="Q922" s="199">
        <f>'Mail Merge'!$O922+'Mail Merge'!$P922</f>
        <v>655882.5</v>
      </c>
      <c r="R922" s="199"/>
      <c r="S922" s="199"/>
      <c r="T922" s="199"/>
      <c r="U922" s="199">
        <f>IF(AND('Mail Merge'!$I922="Did Not Meet",'Mail Merge'!$N922="Did Not Meet"),MIN(ABS('Mail Merge'!$H922),ABS('Mail Merge'!$M922),'Mail Merge'!$Q922),0)</f>
        <v>0</v>
      </c>
      <c r="V922" s="199" t="str">
        <f>IF(OR(IFERROR(SEARCH("Met",'Mail Merge'!$N922),0)&gt;0,IFERROR(SEARCH("Met",'Mail Merge'!$I922),0)&gt;0),"Met","Not Met")</f>
        <v>Met</v>
      </c>
    </row>
    <row r="923" spans="1:22" x14ac:dyDescent="0.35">
      <c r="A923" s="200" t="s">
        <v>155</v>
      </c>
      <c r="B923" s="201">
        <v>2060</v>
      </c>
      <c r="C923" s="201" t="s">
        <v>19</v>
      </c>
      <c r="D923" s="201">
        <v>21</v>
      </c>
      <c r="E923" s="201">
        <v>45733.27</v>
      </c>
      <c r="F923" s="201">
        <v>62125.03</v>
      </c>
      <c r="G923" s="201">
        <f>'Mail Merge'!$E923+'Mail Merge'!$F923</f>
        <v>107858.29999999999</v>
      </c>
      <c r="H923" s="201">
        <v>0</v>
      </c>
      <c r="I923" s="201" t="s">
        <v>239</v>
      </c>
      <c r="J923" s="201">
        <f>IFERROR('Mail Merge'!$E923/'Mail Merge'!$D923,0)</f>
        <v>2177.7747619047618</v>
      </c>
      <c r="K923" s="201">
        <f>IFERROR('Mail Merge'!$F923/'Mail Merge'!$D923,0)</f>
        <v>2958.3347619047618</v>
      </c>
      <c r="L923" s="201">
        <f>IFERROR('Mail Merge'!$G923/'Mail Merge'!$D923,0)</f>
        <v>5136.1095238095231</v>
      </c>
      <c r="M923" s="201">
        <v>0</v>
      </c>
      <c r="N923" s="201" t="s">
        <v>239</v>
      </c>
      <c r="O923" s="201">
        <v>30415.63</v>
      </c>
      <c r="P923" s="201">
        <v>306.01</v>
      </c>
      <c r="Q923" s="201">
        <f>'Mail Merge'!$O923+'Mail Merge'!$P923</f>
        <v>30721.64</v>
      </c>
      <c r="R923" s="201"/>
      <c r="S923" s="201"/>
      <c r="T923" s="201"/>
      <c r="U923" s="201">
        <f>IF(AND('Mail Merge'!$I923="Did Not Meet",'Mail Merge'!$N923="Did Not Meet"),MIN(ABS('Mail Merge'!$H923),ABS('Mail Merge'!$M923),'Mail Merge'!$Q923),0)</f>
        <v>0</v>
      </c>
      <c r="V923" s="201" t="str">
        <f>IF(OR(IFERROR(SEARCH("Met",'Mail Merge'!$N923),0)&gt;0,IFERROR(SEARCH("Met",'Mail Merge'!$I923),0)&gt;0),"Met","Not Met")</f>
        <v>Met</v>
      </c>
    </row>
    <row r="924" spans="1:22" x14ac:dyDescent="0.35">
      <c r="A924" s="198" t="s">
        <v>156</v>
      </c>
      <c r="B924" s="199">
        <v>2181</v>
      </c>
      <c r="C924" s="199" t="s">
        <v>19</v>
      </c>
      <c r="D924" s="199">
        <v>485</v>
      </c>
      <c r="E924" s="199">
        <v>6217624.8899999997</v>
      </c>
      <c r="F924" s="199">
        <v>999199.67</v>
      </c>
      <c r="G924" s="199">
        <f>'Mail Merge'!$E924+'Mail Merge'!$F924</f>
        <v>7216824.5599999996</v>
      </c>
      <c r="H924" s="199">
        <v>0</v>
      </c>
      <c r="I924" s="199" t="s">
        <v>241</v>
      </c>
      <c r="J924" s="199">
        <f>IFERROR('Mail Merge'!$E924/'Mail Merge'!$D924,0)</f>
        <v>12819.845134020617</v>
      </c>
      <c r="K924" s="199">
        <f>IFERROR('Mail Merge'!$F924/'Mail Merge'!$D924,0)</f>
        <v>2060.2055051546395</v>
      </c>
      <c r="L924" s="199">
        <f>IFERROR('Mail Merge'!$G924/'Mail Merge'!$D924,0)</f>
        <v>14880.050639175257</v>
      </c>
      <c r="M924" s="199">
        <v>0</v>
      </c>
      <c r="N924" s="199" t="s">
        <v>241</v>
      </c>
      <c r="O924" s="199">
        <v>590980.97</v>
      </c>
      <c r="P924" s="199">
        <v>2652.08</v>
      </c>
      <c r="Q924" s="199">
        <f>'Mail Merge'!$O924+'Mail Merge'!$P924</f>
        <v>593633.04999999993</v>
      </c>
      <c r="R924" s="199"/>
      <c r="S924" s="199"/>
      <c r="T924" s="199"/>
      <c r="U924" s="199">
        <f>IF(AND('Mail Merge'!$I924="Did Not Meet",'Mail Merge'!$N924="Did Not Meet"),MIN(ABS('Mail Merge'!$H924),ABS('Mail Merge'!$M924),'Mail Merge'!$Q924),0)</f>
        <v>0</v>
      </c>
      <c r="V924" s="199" t="str">
        <f>IF(OR(IFERROR(SEARCH("Met",'Mail Merge'!$N924),0)&gt;0,IFERROR(SEARCH("Met",'Mail Merge'!$I924),0)&gt;0),"Met","Not Met")</f>
        <v>Met</v>
      </c>
    </row>
    <row r="925" spans="1:22" x14ac:dyDescent="0.35">
      <c r="A925" s="200" t="s">
        <v>157</v>
      </c>
      <c r="B925" s="201">
        <v>2207</v>
      </c>
      <c r="C925" s="201" t="s">
        <v>19</v>
      </c>
      <c r="D925" s="201">
        <v>422</v>
      </c>
      <c r="E925" s="201">
        <v>3656789.17</v>
      </c>
      <c r="F925" s="201">
        <v>611177.48</v>
      </c>
      <c r="G925" s="201">
        <f>'Mail Merge'!$E925+'Mail Merge'!$F925</f>
        <v>4267966.6500000004</v>
      </c>
      <c r="H925" s="201">
        <v>0</v>
      </c>
      <c r="I925" s="201" t="s">
        <v>239</v>
      </c>
      <c r="J925" s="201">
        <f>IFERROR('Mail Merge'!$E925/'Mail Merge'!$D925,0)</f>
        <v>8665.377180094787</v>
      </c>
      <c r="K925" s="201">
        <f>IFERROR('Mail Merge'!$F925/'Mail Merge'!$D925,0)</f>
        <v>1448.2878672985782</v>
      </c>
      <c r="L925" s="201">
        <f>IFERROR('Mail Merge'!$G925/'Mail Merge'!$D925,0)</f>
        <v>10113.665047393366</v>
      </c>
      <c r="M925" s="201">
        <v>0</v>
      </c>
      <c r="N925" s="201" t="s">
        <v>239</v>
      </c>
      <c r="O925" s="201">
        <v>532570.30000000005</v>
      </c>
      <c r="P925" s="201">
        <v>3292.92</v>
      </c>
      <c r="Q925" s="201">
        <f>'Mail Merge'!$O925+'Mail Merge'!$P925</f>
        <v>535863.22000000009</v>
      </c>
      <c r="R925" s="201"/>
      <c r="S925" s="201"/>
      <c r="T925" s="201"/>
      <c r="U925" s="201">
        <f>IF(AND('Mail Merge'!$I925="Did Not Meet",'Mail Merge'!$N925="Did Not Meet"),MIN(ABS('Mail Merge'!$H925),ABS('Mail Merge'!$M925),'Mail Merge'!$Q925),0)</f>
        <v>0</v>
      </c>
      <c r="V925" s="201" t="str">
        <f>IF(OR(IFERROR(SEARCH("Met",'Mail Merge'!$N925),0)&gt;0,IFERROR(SEARCH("Met",'Mail Merge'!$I925),0)&gt;0),"Met","Not Met")</f>
        <v>Met</v>
      </c>
    </row>
    <row r="926" spans="1:22" x14ac:dyDescent="0.35">
      <c r="A926" s="198" t="s">
        <v>158</v>
      </c>
      <c r="B926" s="199">
        <v>2192</v>
      </c>
      <c r="C926" s="199" t="s">
        <v>19</v>
      </c>
      <c r="D926" s="199">
        <v>33</v>
      </c>
      <c r="E926" s="199">
        <v>255892.12</v>
      </c>
      <c r="F926" s="199">
        <v>16163.36</v>
      </c>
      <c r="G926" s="199">
        <f>'Mail Merge'!$E926+'Mail Merge'!$F926</f>
        <v>272055.48</v>
      </c>
      <c r="H926" s="199">
        <v>0</v>
      </c>
      <c r="I926" s="199" t="s">
        <v>241</v>
      </c>
      <c r="J926" s="199">
        <f>IFERROR('Mail Merge'!$E926/'Mail Merge'!$D926,0)</f>
        <v>7754.3066666666664</v>
      </c>
      <c r="K926" s="199">
        <f>IFERROR('Mail Merge'!$F926/'Mail Merge'!$D926,0)</f>
        <v>489.79878787878789</v>
      </c>
      <c r="L926" s="199">
        <f>IFERROR('Mail Merge'!$G926/'Mail Merge'!$D926,0)</f>
        <v>8244.1054545454535</v>
      </c>
      <c r="M926" s="199">
        <v>0</v>
      </c>
      <c r="N926" s="199" t="s">
        <v>240</v>
      </c>
      <c r="O926" s="199">
        <v>20009.25</v>
      </c>
      <c r="P926" s="199">
        <v>0</v>
      </c>
      <c r="Q926" s="199">
        <f>'Mail Merge'!$O926+'Mail Merge'!$P926</f>
        <v>20009.25</v>
      </c>
      <c r="R926" s="199"/>
      <c r="S926" s="199"/>
      <c r="T926" s="199"/>
      <c r="U926" s="199">
        <f>IF(AND('Mail Merge'!$I926="Did Not Meet",'Mail Merge'!$N926="Did Not Meet"),MIN(ABS('Mail Merge'!$H926),ABS('Mail Merge'!$M926),'Mail Merge'!$Q926),0)</f>
        <v>0</v>
      </c>
      <c r="V926" s="199" t="str">
        <f>IF(OR(IFERROR(SEARCH("Met",'Mail Merge'!$N926),0)&gt;0,IFERROR(SEARCH("Met",'Mail Merge'!$I926),0)&gt;0),"Met","Not Met")</f>
        <v>Met</v>
      </c>
    </row>
    <row r="927" spans="1:22" x14ac:dyDescent="0.35">
      <c r="A927" s="200" t="s">
        <v>160</v>
      </c>
      <c r="B927" s="201">
        <v>1900</v>
      </c>
      <c r="C927" s="201" t="s">
        <v>19</v>
      </c>
      <c r="D927" s="201">
        <v>190</v>
      </c>
      <c r="E927" s="201">
        <v>1051260.1100000001</v>
      </c>
      <c r="F927" s="201">
        <v>152203</v>
      </c>
      <c r="G927" s="201">
        <f>'Mail Merge'!$E927+'Mail Merge'!$F927</f>
        <v>1203463.1100000001</v>
      </c>
      <c r="H927" s="201">
        <v>0</v>
      </c>
      <c r="I927" s="201" t="s">
        <v>239</v>
      </c>
      <c r="J927" s="201">
        <f>IFERROR('Mail Merge'!$E927/'Mail Merge'!$D927,0)</f>
        <v>5532.9479473684214</v>
      </c>
      <c r="K927" s="201">
        <f>IFERROR('Mail Merge'!$F927/'Mail Merge'!$D927,0)</f>
        <v>801.06842105263161</v>
      </c>
      <c r="L927" s="201">
        <f>IFERROR('Mail Merge'!$G927/'Mail Merge'!$D927,0)</f>
        <v>6334.0163684210529</v>
      </c>
      <c r="M927" s="201">
        <v>0</v>
      </c>
      <c r="N927" s="201" t="s">
        <v>239</v>
      </c>
      <c r="O927" s="201">
        <v>225422.1</v>
      </c>
      <c r="P927" s="201">
        <v>4177.0200000000004</v>
      </c>
      <c r="Q927" s="201">
        <f>'Mail Merge'!$O927+'Mail Merge'!$P927</f>
        <v>229599.12</v>
      </c>
      <c r="R927" s="201"/>
      <c r="S927" s="201"/>
      <c r="T927" s="201"/>
      <c r="U927" s="201">
        <f>IF(AND('Mail Merge'!$I927="Did Not Meet",'Mail Merge'!$N927="Did Not Meet"),MIN(ABS('Mail Merge'!$H927),ABS('Mail Merge'!$M927),'Mail Merge'!$Q927),0)</f>
        <v>0</v>
      </c>
      <c r="V927" s="201" t="str">
        <f>IF(OR(IFERROR(SEARCH("Met",'Mail Merge'!$N927),0)&gt;0,IFERROR(SEARCH("Met",'Mail Merge'!$I927),0)&gt;0),"Met","Not Met")</f>
        <v>Met</v>
      </c>
    </row>
    <row r="928" spans="1:22" x14ac:dyDescent="0.35">
      <c r="A928" s="198" t="s">
        <v>161</v>
      </c>
      <c r="B928" s="199">
        <v>2039</v>
      </c>
      <c r="C928" s="199" t="s">
        <v>19</v>
      </c>
      <c r="D928" s="199">
        <v>407</v>
      </c>
      <c r="E928" s="199">
        <v>2447621.96</v>
      </c>
      <c r="F928" s="199">
        <v>700170.61</v>
      </c>
      <c r="G928" s="199">
        <f>'Mail Merge'!$E928+'Mail Merge'!$F928</f>
        <v>3147792.57</v>
      </c>
      <c r="H928" s="199">
        <v>0</v>
      </c>
      <c r="I928" s="199" t="s">
        <v>241</v>
      </c>
      <c r="J928" s="199">
        <f>IFERROR('Mail Merge'!$E928/'Mail Merge'!$D928,0)</f>
        <v>6013.8131695331695</v>
      </c>
      <c r="K928" s="199">
        <f>IFERROR('Mail Merge'!$F928/'Mail Merge'!$D928,0)</f>
        <v>1720.320909090909</v>
      </c>
      <c r="L928" s="199">
        <f>IFERROR('Mail Merge'!$G928/'Mail Merge'!$D928,0)</f>
        <v>7734.134078624078</v>
      </c>
      <c r="M928" s="199">
        <v>0</v>
      </c>
      <c r="N928" s="199" t="s">
        <v>240</v>
      </c>
      <c r="O928" s="199">
        <v>436822.77</v>
      </c>
      <c r="P928" s="199">
        <v>8041.24</v>
      </c>
      <c r="Q928" s="199">
        <f>'Mail Merge'!$O928+'Mail Merge'!$P928</f>
        <v>444864.01</v>
      </c>
      <c r="R928" s="199"/>
      <c r="S928" s="199"/>
      <c r="T928" s="199"/>
      <c r="U928" s="199">
        <f>IF(AND('Mail Merge'!$I928="Did Not Meet",'Mail Merge'!$N928="Did Not Meet"),MIN(ABS('Mail Merge'!$H928),ABS('Mail Merge'!$M928),'Mail Merge'!$Q928),0)</f>
        <v>0</v>
      </c>
      <c r="V928" s="199" t="str">
        <f>IF(OR(IFERROR(SEARCH("Met",'Mail Merge'!$N928),0)&gt;0,IFERROR(SEARCH("Met",'Mail Merge'!$I928),0)&gt;0),"Met","Not Met")</f>
        <v>Met</v>
      </c>
    </row>
    <row r="929" spans="1:22" x14ac:dyDescent="0.35">
      <c r="A929" s="200" t="s">
        <v>162</v>
      </c>
      <c r="B929" s="201">
        <v>2202</v>
      </c>
      <c r="C929" s="201" t="s">
        <v>19</v>
      </c>
      <c r="D929" s="201">
        <v>46</v>
      </c>
      <c r="E929" s="201">
        <v>282425.63</v>
      </c>
      <c r="F929" s="201">
        <v>65879.7</v>
      </c>
      <c r="G929" s="201">
        <f>'Mail Merge'!$E929+'Mail Merge'!$F929</f>
        <v>348305.33</v>
      </c>
      <c r="H929" s="201">
        <v>0</v>
      </c>
      <c r="I929" s="201" t="s">
        <v>239</v>
      </c>
      <c r="J929" s="201">
        <f>IFERROR('Mail Merge'!$E929/'Mail Merge'!$D929,0)</f>
        <v>6139.6876086956527</v>
      </c>
      <c r="K929" s="201">
        <f>IFERROR('Mail Merge'!$F929/'Mail Merge'!$D929,0)</f>
        <v>1432.1673913043478</v>
      </c>
      <c r="L929" s="201">
        <f>IFERROR('Mail Merge'!$G929/'Mail Merge'!$D929,0)</f>
        <v>7571.8550000000005</v>
      </c>
      <c r="M929" s="201">
        <v>0</v>
      </c>
      <c r="N929" s="201" t="s">
        <v>239</v>
      </c>
      <c r="O929" s="201">
        <v>70776.09</v>
      </c>
      <c r="P929" s="201">
        <v>275.41000000000003</v>
      </c>
      <c r="Q929" s="201">
        <f>'Mail Merge'!$O929+'Mail Merge'!$P929</f>
        <v>71051.5</v>
      </c>
      <c r="R929" s="201"/>
      <c r="S929" s="201"/>
      <c r="T929" s="201"/>
      <c r="U929" s="201">
        <f>IF(AND('Mail Merge'!$I929="Did Not Meet",'Mail Merge'!$N929="Did Not Meet"),MIN(ABS('Mail Merge'!$H929),ABS('Mail Merge'!$M929),'Mail Merge'!$Q929),0)</f>
        <v>0</v>
      </c>
      <c r="V929" s="201" t="str">
        <f>IF(OR(IFERROR(SEARCH("Met",'Mail Merge'!$N929),0)&gt;0,IFERROR(SEARCH("Met",'Mail Merge'!$I929),0)&gt;0),"Met","Not Met")</f>
        <v>Met</v>
      </c>
    </row>
    <row r="930" spans="1:22" x14ac:dyDescent="0.35">
      <c r="A930" s="198" t="s">
        <v>163</v>
      </c>
      <c r="B930" s="199">
        <v>2016</v>
      </c>
      <c r="C930" s="199" t="s">
        <v>19</v>
      </c>
      <c r="D930" s="199">
        <v>1</v>
      </c>
      <c r="E930" s="199">
        <v>28571.89</v>
      </c>
      <c r="F930" s="199">
        <v>5487</v>
      </c>
      <c r="G930" s="199">
        <f>'Mail Merge'!$E930+'Mail Merge'!$F930</f>
        <v>34058.89</v>
      </c>
      <c r="H930" s="199">
        <v>0</v>
      </c>
      <c r="I930" s="199" t="s">
        <v>242</v>
      </c>
      <c r="J930" s="199">
        <f>IFERROR('Mail Merge'!$E930/'Mail Merge'!$D930,0)</f>
        <v>28571.89</v>
      </c>
      <c r="K930" s="199">
        <f>IFERROR('Mail Merge'!$F930/'Mail Merge'!$D930,0)</f>
        <v>5487</v>
      </c>
      <c r="L930" s="199">
        <f>IFERROR('Mail Merge'!$G930/'Mail Merge'!$D930,0)</f>
        <v>34058.89</v>
      </c>
      <c r="M930" s="199">
        <v>0</v>
      </c>
      <c r="N930" s="199" t="s">
        <v>241</v>
      </c>
      <c r="O930" s="199">
        <v>0</v>
      </c>
      <c r="P930" s="199">
        <v>0</v>
      </c>
      <c r="Q930" s="199">
        <f>'Mail Merge'!$O930+'Mail Merge'!$P930</f>
        <v>0</v>
      </c>
      <c r="R930" s="199"/>
      <c r="S930" s="199">
        <v>25169</v>
      </c>
      <c r="T930" s="199">
        <v>25169</v>
      </c>
      <c r="U930" s="199">
        <f>IF(AND('Mail Merge'!$I930="Did Not Meet",'Mail Merge'!$N930="Did Not Meet"),MIN(ABS('Mail Merge'!$H930),ABS('Mail Merge'!$M930),'Mail Merge'!$Q930),0)</f>
        <v>0</v>
      </c>
      <c r="V930" s="199" t="str">
        <f>IF(OR(IFERROR(SEARCH("Met",'Mail Merge'!$N930),0)&gt;0,IFERROR(SEARCH("Met",'Mail Merge'!$I930),0)&gt;0),"Met","Not Met")</f>
        <v>Met</v>
      </c>
    </row>
    <row r="931" spans="1:22" x14ac:dyDescent="0.35">
      <c r="A931" s="200" t="s">
        <v>164</v>
      </c>
      <c r="B931" s="201">
        <v>1897</v>
      </c>
      <c r="C931" s="201" t="s">
        <v>19</v>
      </c>
      <c r="D931" s="201">
        <v>27</v>
      </c>
      <c r="E931" s="201">
        <v>158703.22</v>
      </c>
      <c r="F931" s="201">
        <v>0</v>
      </c>
      <c r="G931" s="201">
        <f>'Mail Merge'!$E931+'Mail Merge'!$F931</f>
        <v>158703.22</v>
      </c>
      <c r="H931" s="201">
        <v>0</v>
      </c>
      <c r="I931" s="201" t="s">
        <v>241</v>
      </c>
      <c r="J931" s="201">
        <f>IFERROR('Mail Merge'!$E931/'Mail Merge'!$D931,0)</f>
        <v>5877.8970370370371</v>
      </c>
      <c r="K931" s="201">
        <f>IFERROR('Mail Merge'!$F931/'Mail Merge'!$D931,0)</f>
        <v>0</v>
      </c>
      <c r="L931" s="201">
        <f>IFERROR('Mail Merge'!$G931/'Mail Merge'!$D931,0)</f>
        <v>5877.8970370370371</v>
      </c>
      <c r="M931" s="201">
        <v>0</v>
      </c>
      <c r="N931" s="201" t="s">
        <v>240</v>
      </c>
      <c r="O931" s="201">
        <v>31223.4</v>
      </c>
      <c r="P931" s="201">
        <v>0</v>
      </c>
      <c r="Q931" s="201">
        <f>'Mail Merge'!$O931+'Mail Merge'!$P931</f>
        <v>31223.4</v>
      </c>
      <c r="R931" s="201"/>
      <c r="S931" s="201"/>
      <c r="T931" s="201"/>
      <c r="U931" s="201">
        <f>IF(AND('Mail Merge'!$I931="Did Not Meet",'Mail Merge'!$N931="Did Not Meet"),MIN(ABS('Mail Merge'!$H931),ABS('Mail Merge'!$M931),'Mail Merge'!$Q931),0)</f>
        <v>0</v>
      </c>
      <c r="V931" s="201" t="str">
        <f>IF(OR(IFERROR(SEARCH("Met",'Mail Merge'!$N931),0)&gt;0,IFERROR(SEARCH("Met",'Mail Merge'!$I931),0)&gt;0),"Met","Not Met")</f>
        <v>Met</v>
      </c>
    </row>
    <row r="932" spans="1:22" x14ac:dyDescent="0.35">
      <c r="A932" s="198" t="s">
        <v>165</v>
      </c>
      <c r="B932" s="199">
        <v>2047</v>
      </c>
      <c r="C932" s="199" t="s">
        <v>19</v>
      </c>
      <c r="D932" s="199">
        <v>2</v>
      </c>
      <c r="E932" s="199">
        <v>6966</v>
      </c>
      <c r="F932" s="199">
        <v>8362.76</v>
      </c>
      <c r="G932" s="199">
        <f>'Mail Merge'!$E932+'Mail Merge'!$F932</f>
        <v>15328.76</v>
      </c>
      <c r="H932" s="199">
        <v>0</v>
      </c>
      <c r="I932" s="199" t="s">
        <v>239</v>
      </c>
      <c r="J932" s="199">
        <f>IFERROR('Mail Merge'!$E932/'Mail Merge'!$D932,0)</f>
        <v>3483</v>
      </c>
      <c r="K932" s="199">
        <f>IFERROR('Mail Merge'!$F932/'Mail Merge'!$D932,0)</f>
        <v>4181.38</v>
      </c>
      <c r="L932" s="199">
        <f>IFERROR('Mail Merge'!$G932/'Mail Merge'!$D932,0)</f>
        <v>7664.38</v>
      </c>
      <c r="M932" s="199">
        <v>0</v>
      </c>
      <c r="N932" s="199" t="s">
        <v>239</v>
      </c>
      <c r="O932" s="199">
        <v>8798.58</v>
      </c>
      <c r="P932" s="199">
        <v>918.03</v>
      </c>
      <c r="Q932" s="199">
        <f>'Mail Merge'!$O932+'Mail Merge'!$P932</f>
        <v>9716.61</v>
      </c>
      <c r="R932" s="199"/>
      <c r="S932" s="199"/>
      <c r="T932" s="199"/>
      <c r="U932" s="199">
        <f>IF(AND('Mail Merge'!$I932="Did Not Meet",'Mail Merge'!$N932="Did Not Meet"),MIN(ABS('Mail Merge'!$H932),ABS('Mail Merge'!$M932),'Mail Merge'!$Q932),0)</f>
        <v>0</v>
      </c>
      <c r="V932" s="199" t="str">
        <f>IF(OR(IFERROR(SEARCH("Met",'Mail Merge'!$N932),0)&gt;0,IFERROR(SEARCH("Met",'Mail Merge'!$I932),0)&gt;0),"Met","Not Met")</f>
        <v>Met</v>
      </c>
    </row>
    <row r="933" spans="1:22" x14ac:dyDescent="0.35">
      <c r="A933" s="200" t="s">
        <v>166</v>
      </c>
      <c r="B933" s="201">
        <v>2081</v>
      </c>
      <c r="C933" s="201" t="s">
        <v>19</v>
      </c>
      <c r="D933" s="201">
        <v>130</v>
      </c>
      <c r="E933" s="201">
        <v>1052928.23</v>
      </c>
      <c r="F933" s="201">
        <v>284331</v>
      </c>
      <c r="G933" s="201">
        <f>'Mail Merge'!$E933+'Mail Merge'!$F933</f>
        <v>1337259.23</v>
      </c>
      <c r="H933" s="201">
        <v>0</v>
      </c>
      <c r="I933" s="201" t="s">
        <v>241</v>
      </c>
      <c r="J933" s="201">
        <f>IFERROR('Mail Merge'!$E933/'Mail Merge'!$D933,0)</f>
        <v>8099.447923076923</v>
      </c>
      <c r="K933" s="201">
        <f>IFERROR('Mail Merge'!$F933/'Mail Merge'!$D933,0)</f>
        <v>2187.1615384615384</v>
      </c>
      <c r="L933" s="201">
        <f>IFERROR('Mail Merge'!$G933/'Mail Merge'!$D933,0)</f>
        <v>10286.609461538461</v>
      </c>
      <c r="M933" s="201">
        <v>0</v>
      </c>
      <c r="N933" s="201" t="s">
        <v>240</v>
      </c>
      <c r="O933" s="201">
        <v>159657.13</v>
      </c>
      <c r="P933" s="201">
        <v>459.01</v>
      </c>
      <c r="Q933" s="201">
        <f>'Mail Merge'!$O933+'Mail Merge'!$P933</f>
        <v>160116.14000000001</v>
      </c>
      <c r="R933" s="201"/>
      <c r="S933" s="201"/>
      <c r="T933" s="201"/>
      <c r="U933" s="201">
        <f>IF(AND('Mail Merge'!$I933="Did Not Meet",'Mail Merge'!$N933="Did Not Meet"),MIN(ABS('Mail Merge'!$H933),ABS('Mail Merge'!$M933),'Mail Merge'!$Q933),0)</f>
        <v>0</v>
      </c>
      <c r="V933" s="201" t="str">
        <f>IF(OR(IFERROR(SEARCH("Met",'Mail Merge'!$N933),0)&gt;0,IFERROR(SEARCH("Met",'Mail Merge'!$I933),0)&gt;0),"Met","Not Met")</f>
        <v>Met</v>
      </c>
    </row>
    <row r="934" spans="1:22" x14ac:dyDescent="0.35">
      <c r="A934" s="198" t="s">
        <v>167</v>
      </c>
      <c r="B934" s="199">
        <v>2062</v>
      </c>
      <c r="C934" s="199" t="s">
        <v>19</v>
      </c>
      <c r="D934" s="199">
        <v>1</v>
      </c>
      <c r="E934" s="199">
        <v>0</v>
      </c>
      <c r="F934" s="199">
        <v>6421.17</v>
      </c>
      <c r="G934" s="199">
        <f>'Mail Merge'!$E934+'Mail Merge'!$F934</f>
        <v>6421.17</v>
      </c>
      <c r="H934" s="199">
        <v>0</v>
      </c>
      <c r="I934" s="199" t="s">
        <v>239</v>
      </c>
      <c r="J934" s="199">
        <f>IFERROR('Mail Merge'!$E934/'Mail Merge'!$D934,0)</f>
        <v>0</v>
      </c>
      <c r="K934" s="199">
        <f>IFERROR('Mail Merge'!$F934/'Mail Merge'!$D934,0)</f>
        <v>6421.17</v>
      </c>
      <c r="L934" s="199">
        <f>IFERROR('Mail Merge'!$G934/'Mail Merge'!$D934,0)</f>
        <v>6421.17</v>
      </c>
      <c r="M934" s="199">
        <v>0</v>
      </c>
      <c r="N934" s="199" t="s">
        <v>239</v>
      </c>
      <c r="O934" s="199">
        <v>2606.02</v>
      </c>
      <c r="P934" s="199">
        <v>0</v>
      </c>
      <c r="Q934" s="199">
        <f>'Mail Merge'!$O934+'Mail Merge'!$P934</f>
        <v>2606.02</v>
      </c>
      <c r="R934" s="199"/>
      <c r="S934" s="199"/>
      <c r="T934" s="199"/>
      <c r="U934" s="199">
        <f>IF(AND('Mail Merge'!$I934="Did Not Meet",'Mail Merge'!$N934="Did Not Meet"),MIN(ABS('Mail Merge'!$H934),ABS('Mail Merge'!$M934),'Mail Merge'!$Q934),0)</f>
        <v>0</v>
      </c>
      <c r="V934" s="199" t="str">
        <f>IF(OR(IFERROR(SEARCH("Met",'Mail Merge'!$N934),0)&gt;0,IFERROR(SEARCH("Met",'Mail Merge'!$I934),0)&gt;0),"Met","Not Met")</f>
        <v>Met</v>
      </c>
    </row>
    <row r="935" spans="1:22" x14ac:dyDescent="0.35">
      <c r="A935" s="200" t="s">
        <v>168</v>
      </c>
      <c r="B935" s="201">
        <v>1973</v>
      </c>
      <c r="C935" s="201" t="s">
        <v>19</v>
      </c>
      <c r="D935" s="201">
        <v>24</v>
      </c>
      <c r="E935" s="201">
        <v>192866.23</v>
      </c>
      <c r="F935" s="201">
        <v>85727</v>
      </c>
      <c r="G935" s="201">
        <f>'Mail Merge'!$E935+'Mail Merge'!$F935</f>
        <v>278593.23</v>
      </c>
      <c r="H935" s="201">
        <v>0</v>
      </c>
      <c r="I935" s="201" t="s">
        <v>242</v>
      </c>
      <c r="J935" s="201">
        <f>IFERROR('Mail Merge'!$E935/'Mail Merge'!$D935,0)</f>
        <v>8036.0929166666674</v>
      </c>
      <c r="K935" s="201">
        <f>IFERROR('Mail Merge'!$F935/'Mail Merge'!$D935,0)</f>
        <v>3571.9583333333335</v>
      </c>
      <c r="L935" s="201">
        <f>IFERROR('Mail Merge'!$G935/'Mail Merge'!$D935,0)</f>
        <v>11608.051249999999</v>
      </c>
      <c r="M935" s="201">
        <v>0</v>
      </c>
      <c r="N935" s="201" t="s">
        <v>242</v>
      </c>
      <c r="O935" s="201">
        <v>60310.36</v>
      </c>
      <c r="P935" s="201">
        <v>459.01</v>
      </c>
      <c r="Q935" s="201">
        <f>'Mail Merge'!$O935+'Mail Merge'!$P935</f>
        <v>60769.37</v>
      </c>
      <c r="R935" s="201"/>
      <c r="S935" s="201">
        <v>23663.919999999998</v>
      </c>
      <c r="T935" s="201">
        <v>58225.919999999998</v>
      </c>
      <c r="U935" s="201">
        <f>IF(AND('Mail Merge'!$I935="Did Not Meet",'Mail Merge'!$N935="Did Not Meet"),MIN(ABS('Mail Merge'!$H935),ABS('Mail Merge'!$M935),'Mail Merge'!$Q935),0)</f>
        <v>0</v>
      </c>
      <c r="V935" s="201" t="str">
        <f>IF(OR(IFERROR(SEARCH("Met",'Mail Merge'!$N935),0)&gt;0,IFERROR(SEARCH("Met",'Mail Merge'!$I935),0)&gt;0),"Met","Not Met")</f>
        <v>Met</v>
      </c>
    </row>
    <row r="936" spans="1:22" x14ac:dyDescent="0.35">
      <c r="A936" s="198" t="s">
        <v>169</v>
      </c>
      <c r="B936" s="199">
        <v>2180</v>
      </c>
      <c r="C936" s="199" t="s">
        <v>19</v>
      </c>
      <c r="D936" s="199">
        <v>6795</v>
      </c>
      <c r="E936" s="199">
        <v>74749364.769999996</v>
      </c>
      <c r="F936" s="199">
        <v>1018182.77</v>
      </c>
      <c r="G936" s="199">
        <f>'Mail Merge'!$E936+'Mail Merge'!$F936</f>
        <v>75767547.539999992</v>
      </c>
      <c r="H936" s="199">
        <v>0</v>
      </c>
      <c r="I936" s="199" t="s">
        <v>241</v>
      </c>
      <c r="J936" s="199">
        <f>IFERROR('Mail Merge'!$E936/'Mail Merge'!$D936,0)</f>
        <v>11000.642350257542</v>
      </c>
      <c r="K936" s="199">
        <f>IFERROR('Mail Merge'!$F936/'Mail Merge'!$D936,0)</f>
        <v>149.84293892568064</v>
      </c>
      <c r="L936" s="199">
        <f>IFERROR('Mail Merge'!$G936/'Mail Merge'!$D936,0)</f>
        <v>11150.485289183222</v>
      </c>
      <c r="M936" s="199">
        <v>0</v>
      </c>
      <c r="N936" s="199" t="s">
        <v>240</v>
      </c>
      <c r="O936" s="199">
        <v>7589178.5999999996</v>
      </c>
      <c r="P936" s="199">
        <v>93630.98</v>
      </c>
      <c r="Q936" s="199">
        <f>'Mail Merge'!$O936+'Mail Merge'!$P936</f>
        <v>7682809.5800000001</v>
      </c>
      <c r="R936" s="199"/>
      <c r="S936" s="199"/>
      <c r="T936" s="199"/>
      <c r="U936" s="199">
        <f>IF(AND('Mail Merge'!$I936="Did Not Meet",'Mail Merge'!$N936="Did Not Meet"),MIN(ABS('Mail Merge'!$H936),ABS('Mail Merge'!$M936),'Mail Merge'!$Q936),0)</f>
        <v>0</v>
      </c>
      <c r="V936" s="199" t="str">
        <f>IF(OR(IFERROR(SEARCH("Met",'Mail Merge'!$N936),0)&gt;0,IFERROR(SEARCH("Met",'Mail Merge'!$I936),0)&gt;0),"Met","Not Met")</f>
        <v>Met</v>
      </c>
    </row>
    <row r="937" spans="1:22" x14ac:dyDescent="0.35">
      <c r="A937" s="200" t="s">
        <v>170</v>
      </c>
      <c r="B937" s="201">
        <v>1967</v>
      </c>
      <c r="C937" s="201" t="s">
        <v>19</v>
      </c>
      <c r="D937" s="201">
        <v>14</v>
      </c>
      <c r="E937" s="201">
        <v>127192.09</v>
      </c>
      <c r="F937" s="201">
        <v>28070</v>
      </c>
      <c r="G937" s="201">
        <f>'Mail Merge'!$E937+'Mail Merge'!$F937</f>
        <v>155262.09</v>
      </c>
      <c r="H937" s="201">
        <v>0</v>
      </c>
      <c r="I937" s="201" t="s">
        <v>242</v>
      </c>
      <c r="J937" s="201">
        <f>IFERROR('Mail Merge'!$E937/'Mail Merge'!$D937,0)</f>
        <v>9085.1492857142857</v>
      </c>
      <c r="K937" s="201">
        <f>IFERROR('Mail Merge'!$F937/'Mail Merge'!$D937,0)</f>
        <v>2005</v>
      </c>
      <c r="L937" s="201">
        <f>IFERROR('Mail Merge'!$G937/'Mail Merge'!$D937,0)</f>
        <v>11090.149285714286</v>
      </c>
      <c r="M937" s="201">
        <v>0</v>
      </c>
      <c r="N937" s="201" t="s">
        <v>240</v>
      </c>
      <c r="O937" s="201">
        <v>26315.22</v>
      </c>
      <c r="P937" s="201">
        <v>0</v>
      </c>
      <c r="Q937" s="201">
        <f>'Mail Merge'!$O937+'Mail Merge'!$P937</f>
        <v>26315.22</v>
      </c>
      <c r="R937" s="201"/>
      <c r="S937" s="201">
        <v>36323.46</v>
      </c>
      <c r="T937" s="201"/>
      <c r="U937" s="201">
        <f>IF(AND('Mail Merge'!$I937="Did Not Meet",'Mail Merge'!$N937="Did Not Meet"),MIN(ABS('Mail Merge'!$H937),ABS('Mail Merge'!$M937),'Mail Merge'!$Q937),0)</f>
        <v>0</v>
      </c>
      <c r="V937" s="201" t="str">
        <f>IF(OR(IFERROR(SEARCH("Met",'Mail Merge'!$N937),0)&gt;0,IFERROR(SEARCH("Met",'Mail Merge'!$I937),0)&gt;0),"Met","Not Met")</f>
        <v>Met</v>
      </c>
    </row>
    <row r="938" spans="1:22" x14ac:dyDescent="0.35">
      <c r="A938" s="198" t="s">
        <v>171</v>
      </c>
      <c r="B938" s="199">
        <v>2009</v>
      </c>
      <c r="C938" s="199" t="s">
        <v>19</v>
      </c>
      <c r="D938" s="199">
        <v>88</v>
      </c>
      <c r="E938" s="199">
        <v>113753.09</v>
      </c>
      <c r="F938" s="199">
        <v>120228.17</v>
      </c>
      <c r="G938" s="199">
        <f>'Mail Merge'!$E938+'Mail Merge'!$F938</f>
        <v>233981.26</v>
      </c>
      <c r="H938" s="199">
        <v>0</v>
      </c>
      <c r="I938" s="199" t="s">
        <v>239</v>
      </c>
      <c r="J938" s="199">
        <f>IFERROR('Mail Merge'!$E938/'Mail Merge'!$D938,0)</f>
        <v>1292.6487500000001</v>
      </c>
      <c r="K938" s="199">
        <f>IFERROR('Mail Merge'!$F938/'Mail Merge'!$D938,0)</f>
        <v>1366.2292045454544</v>
      </c>
      <c r="L938" s="199">
        <f>IFERROR('Mail Merge'!$G938/'Mail Merge'!$D938,0)</f>
        <v>2658.8779545454545</v>
      </c>
      <c r="M938" s="199">
        <v>0</v>
      </c>
      <c r="N938" s="199" t="s">
        <v>239</v>
      </c>
      <c r="O938" s="199">
        <v>27201.55</v>
      </c>
      <c r="P938" s="199">
        <v>786.88</v>
      </c>
      <c r="Q938" s="199">
        <f>'Mail Merge'!$O938+'Mail Merge'!$P938</f>
        <v>27988.43</v>
      </c>
      <c r="R938" s="199"/>
      <c r="S938" s="199"/>
      <c r="T938" s="199"/>
      <c r="U938" s="199">
        <f>IF(AND('Mail Merge'!$I938="Did Not Meet",'Mail Merge'!$N938="Did Not Meet"),MIN(ABS('Mail Merge'!$H938),ABS('Mail Merge'!$M938),'Mail Merge'!$Q938),0)</f>
        <v>0</v>
      </c>
      <c r="V938" s="199" t="str">
        <f>IF(OR(IFERROR(SEARCH("Met",'Mail Merge'!$N938),0)&gt;0,IFERROR(SEARCH("Met",'Mail Merge'!$I938),0)&gt;0),"Met","Not Met")</f>
        <v>Met</v>
      </c>
    </row>
    <row r="939" spans="1:22" x14ac:dyDescent="0.35">
      <c r="A939" s="200" t="s">
        <v>172</v>
      </c>
      <c r="B939" s="201">
        <v>2045</v>
      </c>
      <c r="C939" s="201" t="s">
        <v>19</v>
      </c>
      <c r="D939" s="201">
        <v>17</v>
      </c>
      <c r="E939" s="201">
        <v>154418.32</v>
      </c>
      <c r="F939" s="201">
        <v>90897.61</v>
      </c>
      <c r="G939" s="201">
        <f>'Mail Merge'!$E939+'Mail Merge'!$F939</f>
        <v>245315.93</v>
      </c>
      <c r="H939" s="201">
        <v>0</v>
      </c>
      <c r="I939" s="201" t="s">
        <v>239</v>
      </c>
      <c r="J939" s="201">
        <f>IFERROR('Mail Merge'!$E939/'Mail Merge'!$D939,0)</f>
        <v>9083.4305882352946</v>
      </c>
      <c r="K939" s="201">
        <f>IFERROR('Mail Merge'!$F939/'Mail Merge'!$D939,0)</f>
        <v>5346.9182352941179</v>
      </c>
      <c r="L939" s="201">
        <f>IFERROR('Mail Merge'!$G939/'Mail Merge'!$D939,0)</f>
        <v>14430.348823529412</v>
      </c>
      <c r="M939" s="201">
        <v>0</v>
      </c>
      <c r="N939" s="201" t="s">
        <v>239</v>
      </c>
      <c r="O939" s="201">
        <v>41015.040000000001</v>
      </c>
      <c r="P939" s="201">
        <v>918.03</v>
      </c>
      <c r="Q939" s="201">
        <f>'Mail Merge'!$O939+'Mail Merge'!$P939</f>
        <v>41933.07</v>
      </c>
      <c r="R939" s="201"/>
      <c r="S939" s="201"/>
      <c r="T939" s="201">
        <v>78720.37</v>
      </c>
      <c r="U939" s="201">
        <f>IF(AND('Mail Merge'!$I939="Did Not Meet",'Mail Merge'!$N939="Did Not Meet"),MIN(ABS('Mail Merge'!$H939),ABS('Mail Merge'!$M939),'Mail Merge'!$Q939),0)</f>
        <v>0</v>
      </c>
      <c r="V939" s="201" t="str">
        <f>IF(OR(IFERROR(SEARCH("Met",'Mail Merge'!$N939),0)&gt;0,IFERROR(SEARCH("Met",'Mail Merge'!$I939),0)&gt;0),"Met","Not Met")</f>
        <v>Met</v>
      </c>
    </row>
    <row r="940" spans="1:22" x14ac:dyDescent="0.35">
      <c r="A940" s="198" t="s">
        <v>173</v>
      </c>
      <c r="B940" s="199">
        <v>1946</v>
      </c>
      <c r="C940" s="199" t="s">
        <v>19</v>
      </c>
      <c r="D940" s="199">
        <v>121</v>
      </c>
      <c r="E940" s="199">
        <v>1560839.3</v>
      </c>
      <c r="F940" s="199">
        <v>97854</v>
      </c>
      <c r="G940" s="199">
        <f>'Mail Merge'!$E940+'Mail Merge'!$F940</f>
        <v>1658693.3</v>
      </c>
      <c r="H940" s="199">
        <v>0</v>
      </c>
      <c r="I940" s="199" t="s">
        <v>241</v>
      </c>
      <c r="J940" s="199">
        <f>IFERROR('Mail Merge'!$E940/'Mail Merge'!$D940,0)</f>
        <v>12899.498347107439</v>
      </c>
      <c r="K940" s="199">
        <f>IFERROR('Mail Merge'!$F940/'Mail Merge'!$D940,0)</f>
        <v>808.71074380165294</v>
      </c>
      <c r="L940" s="199">
        <f>IFERROR('Mail Merge'!$G940/'Mail Merge'!$D940,0)</f>
        <v>13708.209090909091</v>
      </c>
      <c r="M940" s="199">
        <v>0</v>
      </c>
      <c r="N940" s="199" t="s">
        <v>241</v>
      </c>
      <c r="O940" s="199">
        <v>194270.5</v>
      </c>
      <c r="P940" s="199">
        <v>1251.8499999999999</v>
      </c>
      <c r="Q940" s="199">
        <f>'Mail Merge'!$O940+'Mail Merge'!$P940</f>
        <v>195522.35</v>
      </c>
      <c r="R940" s="199"/>
      <c r="S940" s="199"/>
      <c r="T940" s="199"/>
      <c r="U940" s="199">
        <f>IF(AND('Mail Merge'!$I940="Did Not Meet",'Mail Merge'!$N940="Did Not Meet"),MIN(ABS('Mail Merge'!$H940),ABS('Mail Merge'!$M940),'Mail Merge'!$Q940),0)</f>
        <v>0</v>
      </c>
      <c r="V940" s="199" t="str">
        <f>IF(OR(IFERROR(SEARCH("Met",'Mail Merge'!$N940),0)&gt;0,IFERROR(SEARCH("Met",'Mail Merge'!$I940),0)&gt;0),"Met","Not Met")</f>
        <v>Met</v>
      </c>
    </row>
    <row r="941" spans="1:22" x14ac:dyDescent="0.35">
      <c r="A941" s="200" t="s">
        <v>174</v>
      </c>
      <c r="B941" s="201">
        <v>1977</v>
      </c>
      <c r="C941" s="201" t="s">
        <v>19</v>
      </c>
      <c r="D941" s="201">
        <v>972</v>
      </c>
      <c r="E941" s="201">
        <v>7408598.3600000003</v>
      </c>
      <c r="F941" s="201">
        <v>1137511.58</v>
      </c>
      <c r="G941" s="201">
        <f>'Mail Merge'!$E941+'Mail Merge'!$F941</f>
        <v>8546109.9400000013</v>
      </c>
      <c r="H941" s="201">
        <v>0</v>
      </c>
      <c r="I941" s="201" t="s">
        <v>241</v>
      </c>
      <c r="J941" s="201">
        <f>IFERROR('Mail Merge'!$E941/'Mail Merge'!$D941,0)</f>
        <v>7622.0147736625522</v>
      </c>
      <c r="K941" s="201">
        <f>IFERROR('Mail Merge'!$F941/'Mail Merge'!$D941,0)</f>
        <v>1170.2794032921811</v>
      </c>
      <c r="L941" s="201">
        <f>IFERROR('Mail Merge'!$G941/'Mail Merge'!$D941,0)</f>
        <v>8792.2941769547342</v>
      </c>
      <c r="M941" s="201">
        <v>0</v>
      </c>
      <c r="N941" s="201" t="s">
        <v>241</v>
      </c>
      <c r="O941" s="201">
        <v>1013083.29</v>
      </c>
      <c r="P941" s="201">
        <v>4536.8599999999997</v>
      </c>
      <c r="Q941" s="201">
        <f>'Mail Merge'!$O941+'Mail Merge'!$P941</f>
        <v>1017620.15</v>
      </c>
      <c r="R941" s="201"/>
      <c r="S941" s="201"/>
      <c r="T941" s="201"/>
      <c r="U941" s="201">
        <f>IF(AND('Mail Merge'!$I941="Did Not Meet",'Mail Merge'!$N941="Did Not Meet"),MIN(ABS('Mail Merge'!$H941),ABS('Mail Merge'!$M941),'Mail Merge'!$Q941),0)</f>
        <v>0</v>
      </c>
      <c r="V941" s="201" t="str">
        <f>IF(OR(IFERROR(SEARCH("Met",'Mail Merge'!$N941),0)&gt;0,IFERROR(SEARCH("Met",'Mail Merge'!$I941),0)&gt;0),"Met","Not Met")</f>
        <v>Met</v>
      </c>
    </row>
    <row r="942" spans="1:22" x14ac:dyDescent="0.35">
      <c r="A942" s="198" t="s">
        <v>175</v>
      </c>
      <c r="B942" s="199">
        <v>2001</v>
      </c>
      <c r="C942" s="199" t="s">
        <v>19</v>
      </c>
      <c r="D942" s="199">
        <v>100</v>
      </c>
      <c r="E942" s="199">
        <v>671376.15</v>
      </c>
      <c r="F942" s="199">
        <v>193740</v>
      </c>
      <c r="G942" s="199">
        <f>'Mail Merge'!$E942+'Mail Merge'!$F942</f>
        <v>865116.15</v>
      </c>
      <c r="H942" s="199">
        <v>0</v>
      </c>
      <c r="I942" s="199" t="s">
        <v>241</v>
      </c>
      <c r="J942" s="199">
        <f>IFERROR('Mail Merge'!$E942/'Mail Merge'!$D942,0)</f>
        <v>6713.7615000000005</v>
      </c>
      <c r="K942" s="199">
        <f>IFERROR('Mail Merge'!$F942/'Mail Merge'!$D942,0)</f>
        <v>1937.4</v>
      </c>
      <c r="L942" s="199">
        <f>IFERROR('Mail Merge'!$G942/'Mail Merge'!$D942,0)</f>
        <v>8651.1615000000002</v>
      </c>
      <c r="M942" s="199">
        <v>0</v>
      </c>
      <c r="N942" s="199" t="s">
        <v>240</v>
      </c>
      <c r="O942" s="199">
        <v>118158.9</v>
      </c>
      <c r="P942" s="199">
        <v>581.41999999999996</v>
      </c>
      <c r="Q942" s="199">
        <f>'Mail Merge'!$O942+'Mail Merge'!$P942</f>
        <v>118740.31999999999</v>
      </c>
      <c r="R942" s="199"/>
      <c r="S942" s="199"/>
      <c r="T942" s="199"/>
      <c r="U942" s="199">
        <f>IF(AND('Mail Merge'!$I942="Did Not Meet",'Mail Merge'!$N942="Did Not Meet"),MIN(ABS('Mail Merge'!$H942),ABS('Mail Merge'!$M942),'Mail Merge'!$Q942),0)</f>
        <v>0</v>
      </c>
      <c r="V942" s="199" t="str">
        <f>IF(OR(IFERROR(SEARCH("Met",'Mail Merge'!$N942),0)&gt;0,IFERROR(SEARCH("Met",'Mail Merge'!$I942),0)&gt;0),"Met","Not Met")</f>
        <v>Met</v>
      </c>
    </row>
    <row r="943" spans="1:22" x14ac:dyDescent="0.35">
      <c r="A943" s="200" t="s">
        <v>176</v>
      </c>
      <c r="B943" s="201">
        <v>2182</v>
      </c>
      <c r="C943" s="201" t="s">
        <v>19</v>
      </c>
      <c r="D943" s="201">
        <v>1712</v>
      </c>
      <c r="E943" s="201">
        <v>16381549.189999999</v>
      </c>
      <c r="F943" s="201">
        <v>1328458.53</v>
      </c>
      <c r="G943" s="201">
        <f>'Mail Merge'!$E943+'Mail Merge'!$F943</f>
        <v>17710007.719999999</v>
      </c>
      <c r="H943" s="201">
        <v>0</v>
      </c>
      <c r="I943" s="201" t="s">
        <v>242</v>
      </c>
      <c r="J943" s="201">
        <f>IFERROR('Mail Merge'!$E943/'Mail Merge'!$D943,0)</f>
        <v>9568.6619100467287</v>
      </c>
      <c r="K943" s="201">
        <f>IFERROR('Mail Merge'!$F943/'Mail Merge'!$D943,0)</f>
        <v>775.96876752336448</v>
      </c>
      <c r="L943" s="201">
        <f>IFERROR('Mail Merge'!$G943/'Mail Merge'!$D943,0)</f>
        <v>10344.630677570092</v>
      </c>
      <c r="M943" s="201">
        <v>0</v>
      </c>
      <c r="N943" s="201" t="s">
        <v>240</v>
      </c>
      <c r="O943" s="201">
        <v>1722681.89</v>
      </c>
      <c r="P943" s="201">
        <v>11605.83</v>
      </c>
      <c r="Q943" s="201">
        <f>'Mail Merge'!$O943+'Mail Merge'!$P943</f>
        <v>1734287.72</v>
      </c>
      <c r="R943" s="201"/>
      <c r="S943" s="201">
        <v>196833</v>
      </c>
      <c r="T943" s="201"/>
      <c r="U943" s="201">
        <f>IF(AND('Mail Merge'!$I943="Did Not Meet",'Mail Merge'!$N943="Did Not Meet"),MIN(ABS('Mail Merge'!$H943),ABS('Mail Merge'!$M943),'Mail Merge'!$Q943),0)</f>
        <v>0</v>
      </c>
      <c r="V943" s="201" t="str">
        <f>IF(OR(IFERROR(SEARCH("Met",'Mail Merge'!$N943),0)&gt;0,IFERROR(SEARCH("Met",'Mail Merge'!$I943),0)&gt;0),"Met","Not Met")</f>
        <v>Met</v>
      </c>
    </row>
    <row r="944" spans="1:22" x14ac:dyDescent="0.35">
      <c r="A944" s="198" t="s">
        <v>177</v>
      </c>
      <c r="B944" s="199">
        <v>1999</v>
      </c>
      <c r="C944" s="199" t="s">
        <v>19</v>
      </c>
      <c r="D944" s="199">
        <v>61</v>
      </c>
      <c r="E944" s="199">
        <v>496810.37</v>
      </c>
      <c r="F944" s="199">
        <v>91617.38</v>
      </c>
      <c r="G944" s="199">
        <f>'Mail Merge'!$E944+'Mail Merge'!$F944</f>
        <v>588427.75</v>
      </c>
      <c r="H944" s="199">
        <v>0</v>
      </c>
      <c r="I944" s="199" t="s">
        <v>241</v>
      </c>
      <c r="J944" s="199">
        <f>IFERROR('Mail Merge'!$E944/'Mail Merge'!$D944,0)</f>
        <v>8144.4322950819669</v>
      </c>
      <c r="K944" s="199">
        <f>IFERROR('Mail Merge'!$F944/'Mail Merge'!$D944,0)</f>
        <v>1501.9242622950821</v>
      </c>
      <c r="L944" s="199">
        <f>IFERROR('Mail Merge'!$G944/'Mail Merge'!$D944,0)</f>
        <v>9646.3565573770484</v>
      </c>
      <c r="M944" s="199">
        <v>0</v>
      </c>
      <c r="N944" s="199" t="s">
        <v>241</v>
      </c>
      <c r="O944" s="199">
        <v>69338.52</v>
      </c>
      <c r="P944" s="199">
        <v>229.51</v>
      </c>
      <c r="Q944" s="199">
        <f>'Mail Merge'!$O944+'Mail Merge'!$P944</f>
        <v>69568.03</v>
      </c>
      <c r="R944" s="199"/>
      <c r="S944" s="199"/>
      <c r="T944" s="199"/>
      <c r="U944" s="199">
        <f>IF(AND('Mail Merge'!$I944="Did Not Meet",'Mail Merge'!$N944="Did Not Meet"),MIN(ABS('Mail Merge'!$H944),ABS('Mail Merge'!$M944),'Mail Merge'!$Q944),0)</f>
        <v>0</v>
      </c>
      <c r="V944" s="199" t="str">
        <f>IF(OR(IFERROR(SEARCH("Met",'Mail Merge'!$N944),0)&gt;0,IFERROR(SEARCH("Met",'Mail Merge'!$I944),0)&gt;0),"Met","Not Met")</f>
        <v>Met</v>
      </c>
    </row>
    <row r="945" spans="1:22" x14ac:dyDescent="0.35">
      <c r="A945" s="200" t="s">
        <v>178</v>
      </c>
      <c r="B945" s="201">
        <v>2188</v>
      </c>
      <c r="C945" s="201" t="s">
        <v>19</v>
      </c>
      <c r="D945" s="201">
        <v>65</v>
      </c>
      <c r="E945" s="201">
        <v>400703.42</v>
      </c>
      <c r="F945" s="201">
        <v>155182.69</v>
      </c>
      <c r="G945" s="201">
        <f>'Mail Merge'!$E945+'Mail Merge'!$F945</f>
        <v>555886.11</v>
      </c>
      <c r="H945" s="201">
        <v>0</v>
      </c>
      <c r="I945" s="201" t="s">
        <v>241</v>
      </c>
      <c r="J945" s="201">
        <f>IFERROR('Mail Merge'!$E945/'Mail Merge'!$D945,0)</f>
        <v>6164.6679999999997</v>
      </c>
      <c r="K945" s="201">
        <f>IFERROR('Mail Merge'!$F945/'Mail Merge'!$D945,0)</f>
        <v>2387.4259999999999</v>
      </c>
      <c r="L945" s="201">
        <f>IFERROR('Mail Merge'!$G945/'Mail Merge'!$D945,0)</f>
        <v>8552.0939999999991</v>
      </c>
      <c r="M945" s="201">
        <v>0</v>
      </c>
      <c r="N945" s="201" t="s">
        <v>240</v>
      </c>
      <c r="O945" s="201">
        <v>64780.29</v>
      </c>
      <c r="P945" s="201">
        <v>459.01</v>
      </c>
      <c r="Q945" s="201">
        <f>'Mail Merge'!$O945+'Mail Merge'!$P945</f>
        <v>65239.3</v>
      </c>
      <c r="R945" s="201"/>
      <c r="S945" s="201"/>
      <c r="T945" s="201"/>
      <c r="U945" s="201">
        <f>IF(AND('Mail Merge'!$I945="Did Not Meet",'Mail Merge'!$N945="Did Not Meet"),MIN(ABS('Mail Merge'!$H945),ABS('Mail Merge'!$M945),'Mail Merge'!$Q945),0)</f>
        <v>0</v>
      </c>
      <c r="V945" s="201" t="str">
        <f>IF(OR(IFERROR(SEARCH("Met",'Mail Merge'!$N945),0)&gt;0,IFERROR(SEARCH("Met",'Mail Merge'!$I945),0)&gt;0),"Met","Not Met")</f>
        <v>Met</v>
      </c>
    </row>
    <row r="946" spans="1:22" x14ac:dyDescent="0.35">
      <c r="A946" s="198" t="s">
        <v>179</v>
      </c>
      <c r="B946" s="199">
        <v>2044</v>
      </c>
      <c r="C946" s="199" t="s">
        <v>19</v>
      </c>
      <c r="D946" s="199">
        <v>145</v>
      </c>
      <c r="E946" s="199">
        <v>860450.53</v>
      </c>
      <c r="F946" s="199">
        <v>419607.72</v>
      </c>
      <c r="G946" s="199">
        <f>'Mail Merge'!$E946+'Mail Merge'!$F946</f>
        <v>1280058.25</v>
      </c>
      <c r="H946" s="199">
        <v>0</v>
      </c>
      <c r="I946" s="199" t="s">
        <v>242</v>
      </c>
      <c r="J946" s="199">
        <f>IFERROR('Mail Merge'!$E946/'Mail Merge'!$D946,0)</f>
        <v>5934.141586206897</v>
      </c>
      <c r="K946" s="199">
        <f>IFERROR('Mail Merge'!$F946/'Mail Merge'!$D946,0)</f>
        <v>2893.8463448275861</v>
      </c>
      <c r="L946" s="199">
        <f>IFERROR('Mail Merge'!$G946/'Mail Merge'!$D946,0)</f>
        <v>8827.9879310344822</v>
      </c>
      <c r="M946" s="199">
        <v>0</v>
      </c>
      <c r="N946" s="199" t="s">
        <v>240</v>
      </c>
      <c r="O946" s="199">
        <v>152703.66</v>
      </c>
      <c r="P946" s="199">
        <v>1748.62</v>
      </c>
      <c r="Q946" s="199">
        <f>'Mail Merge'!$O946+'Mail Merge'!$P946</f>
        <v>154452.28</v>
      </c>
      <c r="R946" s="199"/>
      <c r="S946" s="199">
        <v>146901.26999999999</v>
      </c>
      <c r="T946" s="199"/>
      <c r="U946" s="199">
        <f>IF(AND('Mail Merge'!$I946="Did Not Meet",'Mail Merge'!$N946="Did Not Meet"),MIN(ABS('Mail Merge'!$H946),ABS('Mail Merge'!$M946),'Mail Merge'!$Q946),0)</f>
        <v>0</v>
      </c>
      <c r="V946" s="199" t="str">
        <f>IF(OR(IFERROR(SEARCH("Met",'Mail Merge'!$N946),0)&gt;0,IFERROR(SEARCH("Met",'Mail Merge'!$I946),0)&gt;0),"Met","Not Met")</f>
        <v>Met</v>
      </c>
    </row>
    <row r="947" spans="1:22" x14ac:dyDescent="0.35">
      <c r="A947" s="200" t="s">
        <v>180</v>
      </c>
      <c r="B947" s="201">
        <v>2142</v>
      </c>
      <c r="C947" s="201" t="s">
        <v>19</v>
      </c>
      <c r="D947" s="201">
        <v>6317</v>
      </c>
      <c r="E947" s="201">
        <v>68727628.090000004</v>
      </c>
      <c r="F947" s="201">
        <v>0</v>
      </c>
      <c r="G947" s="201">
        <f>'Mail Merge'!$E947+'Mail Merge'!$F947</f>
        <v>68727628.090000004</v>
      </c>
      <c r="H947" s="201">
        <v>0</v>
      </c>
      <c r="I947" s="201" t="s">
        <v>241</v>
      </c>
      <c r="J947" s="201">
        <f>IFERROR('Mail Merge'!$E947/'Mail Merge'!$D947,0)</f>
        <v>10879.789154662023</v>
      </c>
      <c r="K947" s="201">
        <f>IFERROR('Mail Merge'!$F947/'Mail Merge'!$D947,0)</f>
        <v>0</v>
      </c>
      <c r="L947" s="201">
        <f>IFERROR('Mail Merge'!$G947/'Mail Merge'!$D947,0)</f>
        <v>10879.789154662023</v>
      </c>
      <c r="M947" s="201">
        <v>0</v>
      </c>
      <c r="N947" s="201" t="s">
        <v>241</v>
      </c>
      <c r="O947" s="201">
        <v>6707220.9400000004</v>
      </c>
      <c r="P947" s="201">
        <v>38884.22</v>
      </c>
      <c r="Q947" s="201">
        <f>'Mail Merge'!$O947+'Mail Merge'!$P947</f>
        <v>6746105.1600000001</v>
      </c>
      <c r="R947" s="201"/>
      <c r="S947" s="201"/>
      <c r="T947" s="201"/>
      <c r="U947" s="201">
        <f>IF(AND('Mail Merge'!$I947="Did Not Meet",'Mail Merge'!$N947="Did Not Meet"),MIN(ABS('Mail Merge'!$H947),ABS('Mail Merge'!$M947),'Mail Merge'!$Q947),0)</f>
        <v>0</v>
      </c>
      <c r="V947" s="201" t="str">
        <f>IF(OR(IFERROR(SEARCH("Met",'Mail Merge'!$N947),0)&gt;0,IFERROR(SEARCH("Met",'Mail Merge'!$I947),0)&gt;0),"Met","Not Met")</f>
        <v>Met</v>
      </c>
    </row>
    <row r="948" spans="1:22" x14ac:dyDescent="0.35">
      <c r="A948" s="198" t="s">
        <v>181</v>
      </c>
      <c r="B948" s="199">
        <v>2104</v>
      </c>
      <c r="C948" s="199" t="s">
        <v>19</v>
      </c>
      <c r="D948" s="199">
        <v>63</v>
      </c>
      <c r="E948" s="199">
        <v>525896.42000000004</v>
      </c>
      <c r="F948" s="199">
        <v>66166</v>
      </c>
      <c r="G948" s="199">
        <f>'Mail Merge'!$E948+'Mail Merge'!$F948</f>
        <v>592062.42000000004</v>
      </c>
      <c r="H948" s="199">
        <v>0</v>
      </c>
      <c r="I948" s="199" t="s">
        <v>239</v>
      </c>
      <c r="J948" s="199">
        <f>IFERROR('Mail Merge'!$E948/'Mail Merge'!$D948,0)</f>
        <v>8347.5622222222228</v>
      </c>
      <c r="K948" s="199">
        <f>IFERROR('Mail Merge'!$F948/'Mail Merge'!$D948,0)</f>
        <v>1050.2539682539682</v>
      </c>
      <c r="L948" s="199">
        <f>IFERROR('Mail Merge'!$G948/'Mail Merge'!$D948,0)</f>
        <v>9397.816190476191</v>
      </c>
      <c r="M948" s="199">
        <v>0</v>
      </c>
      <c r="N948" s="199" t="s">
        <v>239</v>
      </c>
      <c r="O948" s="199">
        <v>123869.54</v>
      </c>
      <c r="P948" s="199">
        <v>382.51</v>
      </c>
      <c r="Q948" s="199">
        <f>'Mail Merge'!$O948+'Mail Merge'!$P948</f>
        <v>124252.04999999999</v>
      </c>
      <c r="R948" s="199"/>
      <c r="S948" s="199"/>
      <c r="T948" s="199"/>
      <c r="U948" s="199">
        <f>IF(AND('Mail Merge'!$I948="Did Not Meet",'Mail Merge'!$N948="Did Not Meet"),MIN(ABS('Mail Merge'!$H948),ABS('Mail Merge'!$M948),'Mail Merge'!$Q948),0)</f>
        <v>0</v>
      </c>
      <c r="V948" s="199" t="str">
        <f>IF(OR(IFERROR(SEARCH("Met",'Mail Merge'!$N948),0)&gt;0,IFERROR(SEARCH("Met",'Mail Merge'!$I948),0)&gt;0),"Met","Not Met")</f>
        <v>Met</v>
      </c>
    </row>
    <row r="949" spans="1:22" x14ac:dyDescent="0.35">
      <c r="A949" s="200" t="s">
        <v>182</v>
      </c>
      <c r="B949" s="201">
        <v>1944</v>
      </c>
      <c r="C949" s="201" t="s">
        <v>19</v>
      </c>
      <c r="D949" s="201">
        <v>255</v>
      </c>
      <c r="E949" s="201">
        <v>2489646.9</v>
      </c>
      <c r="F949" s="201">
        <v>288566</v>
      </c>
      <c r="G949" s="201">
        <f>'Mail Merge'!$E949+'Mail Merge'!$F949</f>
        <v>2778212.9</v>
      </c>
      <c r="H949" s="201">
        <v>0</v>
      </c>
      <c r="I949" s="201" t="s">
        <v>241</v>
      </c>
      <c r="J949" s="201">
        <f>IFERROR('Mail Merge'!$E949/'Mail Merge'!$D949,0)</f>
        <v>9763.3211764705884</v>
      </c>
      <c r="K949" s="201">
        <f>IFERROR('Mail Merge'!$F949/'Mail Merge'!$D949,0)</f>
        <v>1131.6313725490197</v>
      </c>
      <c r="L949" s="201">
        <f>IFERROR('Mail Merge'!$G949/'Mail Merge'!$D949,0)</f>
        <v>10894.952549019608</v>
      </c>
      <c r="M949" s="201">
        <v>0</v>
      </c>
      <c r="N949" s="201" t="s">
        <v>241</v>
      </c>
      <c r="O949" s="201">
        <v>329016.07</v>
      </c>
      <c r="P949" s="201">
        <v>1704.91</v>
      </c>
      <c r="Q949" s="201">
        <f>'Mail Merge'!$O949+'Mail Merge'!$P949</f>
        <v>330720.98</v>
      </c>
      <c r="R949" s="201"/>
      <c r="S949" s="201"/>
      <c r="T949" s="201"/>
      <c r="U949" s="201">
        <f>IF(AND('Mail Merge'!$I949="Did Not Meet",'Mail Merge'!$N949="Did Not Meet"),MIN(ABS('Mail Merge'!$H949),ABS('Mail Merge'!$M949),'Mail Merge'!$Q949),0)</f>
        <v>0</v>
      </c>
      <c r="V949" s="201" t="str">
        <f>IF(OR(IFERROR(SEARCH("Met",'Mail Merge'!$N949),0)&gt;0,IFERROR(SEARCH("Met",'Mail Merge'!$I949),0)&gt;0),"Met","Not Met")</f>
        <v>Met</v>
      </c>
    </row>
    <row r="950" spans="1:22" x14ac:dyDescent="0.35">
      <c r="A950" s="198" t="s">
        <v>183</v>
      </c>
      <c r="B950" s="199">
        <v>2103</v>
      </c>
      <c r="C950" s="199" t="s">
        <v>19</v>
      </c>
      <c r="D950" s="199">
        <v>544</v>
      </c>
      <c r="E950" s="199">
        <v>1741882.94</v>
      </c>
      <c r="F950" s="199">
        <v>548108</v>
      </c>
      <c r="G950" s="199">
        <f>'Mail Merge'!$E950+'Mail Merge'!$F950</f>
        <v>2289990.94</v>
      </c>
      <c r="H950" s="199">
        <v>0</v>
      </c>
      <c r="I950" s="199" t="s">
        <v>239</v>
      </c>
      <c r="J950" s="199">
        <f>IFERROR('Mail Merge'!$E950/'Mail Merge'!$D950,0)</f>
        <v>3201.9906985294115</v>
      </c>
      <c r="K950" s="199">
        <f>IFERROR('Mail Merge'!$F950/'Mail Merge'!$D950,0)</f>
        <v>1007.5514705882352</v>
      </c>
      <c r="L950" s="199">
        <f>IFERROR('Mail Merge'!$G950/'Mail Merge'!$D950,0)</f>
        <v>4209.5421691176471</v>
      </c>
      <c r="M950" s="199">
        <v>0</v>
      </c>
      <c r="N950" s="199" t="s">
        <v>239</v>
      </c>
      <c r="O950" s="199">
        <v>451175.79</v>
      </c>
      <c r="P950" s="199">
        <v>1101.6300000000001</v>
      </c>
      <c r="Q950" s="199">
        <f>'Mail Merge'!$O950+'Mail Merge'!$P950</f>
        <v>452277.42</v>
      </c>
      <c r="R950" s="199"/>
      <c r="S950" s="199"/>
      <c r="T950" s="199"/>
      <c r="U950" s="199">
        <f>IF(AND('Mail Merge'!$I950="Did Not Meet",'Mail Merge'!$N950="Did Not Meet"),MIN(ABS('Mail Merge'!$H950),ABS('Mail Merge'!$M950),'Mail Merge'!$Q950),0)</f>
        <v>0</v>
      </c>
      <c r="V950" s="199" t="str">
        <f>IF(OR(IFERROR(SEARCH("Met",'Mail Merge'!$N950),0)&gt;0,IFERROR(SEARCH("Met",'Mail Merge'!$I950),0)&gt;0),"Met","Not Met")</f>
        <v>Met</v>
      </c>
    </row>
    <row r="951" spans="1:22" x14ac:dyDescent="0.35">
      <c r="A951" s="200" t="s">
        <v>184</v>
      </c>
      <c r="B951" s="201">
        <v>1935</v>
      </c>
      <c r="C951" s="201" t="s">
        <v>19</v>
      </c>
      <c r="D951" s="201">
        <v>270</v>
      </c>
      <c r="E951" s="201">
        <v>2080157.66</v>
      </c>
      <c r="F951" s="201">
        <v>400293</v>
      </c>
      <c r="G951" s="201">
        <f>'Mail Merge'!$E951+'Mail Merge'!$F951</f>
        <v>2480450.66</v>
      </c>
      <c r="H951" s="201">
        <v>0</v>
      </c>
      <c r="I951" s="201" t="s">
        <v>240</v>
      </c>
      <c r="J951" s="201">
        <f>IFERROR('Mail Merge'!$E951/'Mail Merge'!$D951,0)</f>
        <v>7704.287629629629</v>
      </c>
      <c r="K951" s="201">
        <f>IFERROR('Mail Merge'!$F951/'Mail Merge'!$D951,0)</f>
        <v>1482.5666666666666</v>
      </c>
      <c r="L951" s="201">
        <f>IFERROR('Mail Merge'!$G951/'Mail Merge'!$D951,0)</f>
        <v>9186.8542962962965</v>
      </c>
      <c r="M951" s="201">
        <v>0</v>
      </c>
      <c r="N951" s="201" t="s">
        <v>240</v>
      </c>
      <c r="O951" s="201">
        <v>221935.28</v>
      </c>
      <c r="P951" s="201">
        <v>1836.05</v>
      </c>
      <c r="Q951" s="201">
        <f>'Mail Merge'!$O951+'Mail Merge'!$P951</f>
        <v>223771.33</v>
      </c>
      <c r="R951" s="201"/>
      <c r="S951" s="201"/>
      <c r="T951" s="201"/>
      <c r="U951" s="201">
        <f>IF(AND('Mail Merge'!$I951="Did Not Meet",'Mail Merge'!$N951="Did Not Meet"),MIN(ABS('Mail Merge'!$H951),ABS('Mail Merge'!$M951),'Mail Merge'!$Q951),0)</f>
        <v>0</v>
      </c>
      <c r="V951" s="201" t="str">
        <f>IF(OR(IFERROR(SEARCH("Met",'Mail Merge'!$N951),0)&gt;0,IFERROR(SEARCH("Met",'Mail Merge'!$I951),0)&gt;0),"Met","Not Met")</f>
        <v>Not Met</v>
      </c>
    </row>
    <row r="952" spans="1:22" x14ac:dyDescent="0.35">
      <c r="A952" s="198" t="s">
        <v>185</v>
      </c>
      <c r="B952" s="199">
        <v>2257</v>
      </c>
      <c r="C952" s="199" t="s">
        <v>19</v>
      </c>
      <c r="D952" s="199">
        <v>116</v>
      </c>
      <c r="E952" s="199">
        <v>948380.74</v>
      </c>
      <c r="F952" s="199">
        <v>34342.639999999999</v>
      </c>
      <c r="G952" s="199">
        <f>'Mail Merge'!$E952+'Mail Merge'!$F952</f>
        <v>982723.38</v>
      </c>
      <c r="H952" s="199">
        <v>0</v>
      </c>
      <c r="I952" s="199" t="s">
        <v>241</v>
      </c>
      <c r="J952" s="199">
        <f>IFERROR('Mail Merge'!$E952/'Mail Merge'!$D952,0)</f>
        <v>8175.6960344827585</v>
      </c>
      <c r="K952" s="199">
        <f>IFERROR('Mail Merge'!$F952/'Mail Merge'!$D952,0)</f>
        <v>296.05724137931031</v>
      </c>
      <c r="L952" s="199">
        <f>IFERROR('Mail Merge'!$G952/'Mail Merge'!$D952,0)</f>
        <v>8471.7532758620691</v>
      </c>
      <c r="M952" s="199">
        <v>0</v>
      </c>
      <c r="N952" s="199" t="s">
        <v>241</v>
      </c>
      <c r="O952" s="199">
        <v>171352.3</v>
      </c>
      <c r="P952" s="199">
        <v>2409.8200000000002</v>
      </c>
      <c r="Q952" s="199">
        <f>'Mail Merge'!$O952+'Mail Merge'!$P952</f>
        <v>173762.12</v>
      </c>
      <c r="R952" s="199"/>
      <c r="S952" s="199"/>
      <c r="T952" s="199"/>
      <c r="U952" s="199">
        <f>IF(AND('Mail Merge'!$I952="Did Not Meet",'Mail Merge'!$N952="Did Not Meet"),MIN(ABS('Mail Merge'!$H952),ABS('Mail Merge'!$M952),'Mail Merge'!$Q952),0)</f>
        <v>0</v>
      </c>
      <c r="V952" s="199" t="str">
        <f>IF(OR(IFERROR(SEARCH("Met",'Mail Merge'!$N952),0)&gt;0,IFERROR(SEARCH("Met",'Mail Merge'!$I952),0)&gt;0),"Met","Not Met")</f>
        <v>Met</v>
      </c>
    </row>
    <row r="953" spans="1:22" x14ac:dyDescent="0.35">
      <c r="A953" s="200" t="s">
        <v>186</v>
      </c>
      <c r="B953" s="201">
        <v>2195</v>
      </c>
      <c r="C953" s="201" t="s">
        <v>19</v>
      </c>
      <c r="D953" s="201">
        <v>38</v>
      </c>
      <c r="E953" s="201">
        <v>205371.58</v>
      </c>
      <c r="F953" s="201">
        <v>135185</v>
      </c>
      <c r="G953" s="201">
        <f>'Mail Merge'!$E953+'Mail Merge'!$F953</f>
        <v>340556.57999999996</v>
      </c>
      <c r="H953" s="201">
        <v>0</v>
      </c>
      <c r="I953" s="201" t="s">
        <v>239</v>
      </c>
      <c r="J953" s="201">
        <f>IFERROR('Mail Merge'!$E953/'Mail Merge'!$D953,0)</f>
        <v>5404.515263157894</v>
      </c>
      <c r="K953" s="201">
        <f>IFERROR('Mail Merge'!$F953/'Mail Merge'!$D953,0)</f>
        <v>3557.5</v>
      </c>
      <c r="L953" s="201">
        <f>IFERROR('Mail Merge'!$G953/'Mail Merge'!$D953,0)</f>
        <v>8962.0152631578931</v>
      </c>
      <c r="M953" s="201">
        <v>0</v>
      </c>
      <c r="N953" s="201" t="s">
        <v>239</v>
      </c>
      <c r="O953" s="201">
        <v>50694.080000000002</v>
      </c>
      <c r="P953" s="201">
        <v>91.8</v>
      </c>
      <c r="Q953" s="201">
        <f>'Mail Merge'!$O953+'Mail Merge'!$P953</f>
        <v>50785.880000000005</v>
      </c>
      <c r="R953" s="201"/>
      <c r="S953" s="201"/>
      <c r="T953" s="201"/>
      <c r="U953" s="201">
        <f>IF(AND('Mail Merge'!$I953="Did Not Meet",'Mail Merge'!$N953="Did Not Meet"),MIN(ABS('Mail Merge'!$H953),ABS('Mail Merge'!$M953),'Mail Merge'!$Q953),0)</f>
        <v>0</v>
      </c>
      <c r="V953" s="201" t="str">
        <f>IF(OR(IFERROR(SEARCH("Met",'Mail Merge'!$N953),0)&gt;0,IFERROR(SEARCH("Met",'Mail Merge'!$I953),0)&gt;0),"Met","Not Met")</f>
        <v>Met</v>
      </c>
    </row>
    <row r="954" spans="1:22" x14ac:dyDescent="0.35">
      <c r="A954" s="198" t="s">
        <v>187</v>
      </c>
      <c r="B954" s="199">
        <v>2244</v>
      </c>
      <c r="C954" s="199" t="s">
        <v>19</v>
      </c>
      <c r="D954" s="199">
        <v>547</v>
      </c>
      <c r="E954" s="199">
        <v>3908339.71</v>
      </c>
      <c r="F954" s="199">
        <v>723498</v>
      </c>
      <c r="G954" s="199">
        <f>'Mail Merge'!$E954+'Mail Merge'!$F954</f>
        <v>4631837.71</v>
      </c>
      <c r="H954" s="199">
        <v>0</v>
      </c>
      <c r="I954" s="199" t="s">
        <v>241</v>
      </c>
      <c r="J954" s="199">
        <f>IFERROR('Mail Merge'!$E954/'Mail Merge'!$D954,0)</f>
        <v>7145.045173674589</v>
      </c>
      <c r="K954" s="199">
        <f>IFERROR('Mail Merge'!$F954/'Mail Merge'!$D954,0)</f>
        <v>1322.6654478976234</v>
      </c>
      <c r="L954" s="199">
        <f>IFERROR('Mail Merge'!$G954/'Mail Merge'!$D954,0)</f>
        <v>8467.7106215722124</v>
      </c>
      <c r="M954" s="199">
        <v>0</v>
      </c>
      <c r="N954" s="199" t="s">
        <v>241</v>
      </c>
      <c r="O954" s="199">
        <v>637388.02</v>
      </c>
      <c r="P954" s="199">
        <v>1632.05</v>
      </c>
      <c r="Q954" s="199">
        <f>'Mail Merge'!$O954+'Mail Merge'!$P954</f>
        <v>639020.07000000007</v>
      </c>
      <c r="R954" s="199"/>
      <c r="S954" s="199"/>
      <c r="T954" s="199"/>
      <c r="U954" s="199">
        <f>IF(AND('Mail Merge'!$I954="Did Not Meet",'Mail Merge'!$N954="Did Not Meet"),MIN(ABS('Mail Merge'!$H954),ABS('Mail Merge'!$M954),'Mail Merge'!$Q954),0)</f>
        <v>0</v>
      </c>
      <c r="V954" s="199" t="str">
        <f>IF(OR(IFERROR(SEARCH("Met",'Mail Merge'!$N954),0)&gt;0,IFERROR(SEARCH("Met",'Mail Merge'!$I954),0)&gt;0),"Met","Not Met")</f>
        <v>Met</v>
      </c>
    </row>
    <row r="955" spans="1:22" x14ac:dyDescent="0.35">
      <c r="A955" s="200" t="s">
        <v>188</v>
      </c>
      <c r="B955" s="201">
        <v>2138</v>
      </c>
      <c r="C955" s="201" t="s">
        <v>19</v>
      </c>
      <c r="D955" s="201">
        <v>462</v>
      </c>
      <c r="E955" s="201">
        <v>3931063.75</v>
      </c>
      <c r="F955" s="201">
        <v>343673.35</v>
      </c>
      <c r="G955" s="201">
        <f>'Mail Merge'!$E955+'Mail Merge'!$F955</f>
        <v>4274737.0999999996</v>
      </c>
      <c r="H955" s="201">
        <v>0</v>
      </c>
      <c r="I955" s="201" t="s">
        <v>241</v>
      </c>
      <c r="J955" s="201">
        <f>IFERROR('Mail Merge'!$E955/'Mail Merge'!$D955,0)</f>
        <v>8508.7959956709965</v>
      </c>
      <c r="K955" s="201">
        <f>IFERROR('Mail Merge'!$F955/'Mail Merge'!$D955,0)</f>
        <v>743.88170995670987</v>
      </c>
      <c r="L955" s="201">
        <f>IFERROR('Mail Merge'!$G955/'Mail Merge'!$D955,0)</f>
        <v>9252.6777056277042</v>
      </c>
      <c r="M955" s="201">
        <v>0</v>
      </c>
      <c r="N955" s="201" t="s">
        <v>241</v>
      </c>
      <c r="O955" s="201">
        <v>519320.08</v>
      </c>
      <c r="P955" s="201">
        <v>5594.23</v>
      </c>
      <c r="Q955" s="201">
        <f>'Mail Merge'!$O955+'Mail Merge'!$P955</f>
        <v>524914.31000000006</v>
      </c>
      <c r="R955" s="201"/>
      <c r="S955" s="201"/>
      <c r="T955" s="201"/>
      <c r="U955" s="201">
        <f>IF(AND('Mail Merge'!$I955="Did Not Meet",'Mail Merge'!$N955="Did Not Meet"),MIN(ABS('Mail Merge'!$H955),ABS('Mail Merge'!$M955),'Mail Merge'!$Q955),0)</f>
        <v>0</v>
      </c>
      <c r="V955" s="201" t="str">
        <f>IF(OR(IFERROR(SEARCH("Met",'Mail Merge'!$N955),0)&gt;0,IFERROR(SEARCH("Met",'Mail Merge'!$I955),0)&gt;0),"Met","Not Met")</f>
        <v>Met</v>
      </c>
    </row>
    <row r="956" spans="1:22" x14ac:dyDescent="0.35">
      <c r="A956" s="198" t="s">
        <v>189</v>
      </c>
      <c r="B956" s="199">
        <v>1978</v>
      </c>
      <c r="C956" s="199" t="s">
        <v>19</v>
      </c>
      <c r="D956" s="199">
        <v>107</v>
      </c>
      <c r="E956" s="199">
        <v>762843.7</v>
      </c>
      <c r="F956" s="199">
        <v>104038.76</v>
      </c>
      <c r="G956" s="199">
        <f>'Mail Merge'!$E956+'Mail Merge'!$F956</f>
        <v>866882.46</v>
      </c>
      <c r="H956" s="199">
        <v>0</v>
      </c>
      <c r="I956" s="199" t="s">
        <v>242</v>
      </c>
      <c r="J956" s="199">
        <f>IFERROR('Mail Merge'!$E956/'Mail Merge'!$D956,0)</f>
        <v>7129.3803738317756</v>
      </c>
      <c r="K956" s="199">
        <f>IFERROR('Mail Merge'!$F956/'Mail Merge'!$D956,0)</f>
        <v>972.32485981308412</v>
      </c>
      <c r="L956" s="199">
        <f>IFERROR('Mail Merge'!$G956/'Mail Merge'!$D956,0)</f>
        <v>8101.7052336448596</v>
      </c>
      <c r="M956" s="199">
        <v>0</v>
      </c>
      <c r="N956" s="199" t="s">
        <v>241</v>
      </c>
      <c r="O956" s="199">
        <v>177882.7</v>
      </c>
      <c r="P956" s="199">
        <v>983.6</v>
      </c>
      <c r="Q956" s="199">
        <f>'Mail Merge'!$O956+'Mail Merge'!$P956</f>
        <v>178866.30000000002</v>
      </c>
      <c r="R956" s="199"/>
      <c r="S956" s="199">
        <v>62886.96</v>
      </c>
      <c r="T956" s="199">
        <v>62886.96</v>
      </c>
      <c r="U956" s="199">
        <f>IF(AND('Mail Merge'!$I956="Did Not Meet",'Mail Merge'!$N956="Did Not Meet"),MIN(ABS('Mail Merge'!$H956),ABS('Mail Merge'!$M956),'Mail Merge'!$Q956),0)</f>
        <v>0</v>
      </c>
      <c r="V956" s="199" t="str">
        <f>IF(OR(IFERROR(SEARCH("Met",'Mail Merge'!$N956),0)&gt;0,IFERROR(SEARCH("Met",'Mail Merge'!$I956),0)&gt;0),"Met","Not Met")</f>
        <v>Met</v>
      </c>
    </row>
    <row r="957" spans="1:22" x14ac:dyDescent="0.35">
      <c r="A957" s="200" t="s">
        <v>190</v>
      </c>
      <c r="B957" s="201">
        <v>2096</v>
      </c>
      <c r="C957" s="201" t="s">
        <v>19</v>
      </c>
      <c r="D957" s="201">
        <v>167</v>
      </c>
      <c r="E957" s="201">
        <v>1462118.31</v>
      </c>
      <c r="F957" s="201">
        <v>411461</v>
      </c>
      <c r="G957" s="201">
        <f>'Mail Merge'!$E957+'Mail Merge'!$F957</f>
        <v>1873579.31</v>
      </c>
      <c r="H957" s="201">
        <v>0</v>
      </c>
      <c r="I957" s="201" t="s">
        <v>241</v>
      </c>
      <c r="J957" s="201">
        <f>IFERROR('Mail Merge'!$E957/'Mail Merge'!$D957,0)</f>
        <v>8755.1994610778438</v>
      </c>
      <c r="K957" s="201">
        <f>IFERROR('Mail Merge'!$F957/'Mail Merge'!$D957,0)</f>
        <v>2463.8383233532936</v>
      </c>
      <c r="L957" s="201">
        <f>IFERROR('Mail Merge'!$G957/'Mail Merge'!$D957,0)</f>
        <v>11219.037784431139</v>
      </c>
      <c r="M957" s="201">
        <v>0</v>
      </c>
      <c r="N957" s="201" t="s">
        <v>241</v>
      </c>
      <c r="O957" s="201">
        <v>196403.56</v>
      </c>
      <c r="P957" s="201">
        <v>2557.36</v>
      </c>
      <c r="Q957" s="201">
        <f>'Mail Merge'!$O957+'Mail Merge'!$P957</f>
        <v>198960.91999999998</v>
      </c>
      <c r="R957" s="201"/>
      <c r="S957" s="201"/>
      <c r="T957" s="201"/>
      <c r="U957" s="201">
        <f>IF(AND('Mail Merge'!$I957="Did Not Meet",'Mail Merge'!$N957="Did Not Meet"),MIN(ABS('Mail Merge'!$H957),ABS('Mail Merge'!$M957),'Mail Merge'!$Q957),0)</f>
        <v>0</v>
      </c>
      <c r="V957" s="201" t="str">
        <f>IF(OR(IFERROR(SEARCH("Met",'Mail Merge'!$N957),0)&gt;0,IFERROR(SEARCH("Met",'Mail Merge'!$I957),0)&gt;0),"Met","Not Met")</f>
        <v>Met</v>
      </c>
    </row>
    <row r="958" spans="1:22" x14ac:dyDescent="0.35">
      <c r="A958" s="198" t="s">
        <v>191</v>
      </c>
      <c r="B958" s="199">
        <v>2022</v>
      </c>
      <c r="C958" s="199" t="s">
        <v>19</v>
      </c>
      <c r="D958" s="199">
        <v>2</v>
      </c>
      <c r="E958" s="199">
        <v>4553</v>
      </c>
      <c r="F958" s="199">
        <v>5487</v>
      </c>
      <c r="G958" s="199">
        <f>'Mail Merge'!$E958+'Mail Merge'!$F958</f>
        <v>10040</v>
      </c>
      <c r="H958" s="199">
        <v>0</v>
      </c>
      <c r="I958" s="199" t="s">
        <v>241</v>
      </c>
      <c r="J958" s="199">
        <f>IFERROR('Mail Merge'!$E958/'Mail Merge'!$D958,0)</f>
        <v>2276.5</v>
      </c>
      <c r="K958" s="199">
        <f>IFERROR('Mail Merge'!$F958/'Mail Merge'!$D958,0)</f>
        <v>2743.5</v>
      </c>
      <c r="L958" s="199">
        <f>IFERROR('Mail Merge'!$G958/'Mail Merge'!$D958,0)</f>
        <v>5020</v>
      </c>
      <c r="M958" s="199">
        <v>0</v>
      </c>
      <c r="N958" s="199" t="s">
        <v>240</v>
      </c>
      <c r="O958" s="199">
        <v>2907.76</v>
      </c>
      <c r="P958" s="199">
        <v>0</v>
      </c>
      <c r="Q958" s="199">
        <f>'Mail Merge'!$O958+'Mail Merge'!$P958</f>
        <v>2907.76</v>
      </c>
      <c r="R958" s="199"/>
      <c r="S958" s="199"/>
      <c r="T958" s="199"/>
      <c r="U958" s="199">
        <f>IF(AND('Mail Merge'!$I958="Did Not Meet",'Mail Merge'!$N958="Did Not Meet"),MIN(ABS('Mail Merge'!$H958),ABS('Mail Merge'!$M958),'Mail Merge'!$Q958),0)</f>
        <v>0</v>
      </c>
      <c r="V958" s="199" t="str">
        <f>IF(OR(IFERROR(SEARCH("Met",'Mail Merge'!$N958),0)&gt;0,IFERROR(SEARCH("Met",'Mail Merge'!$I958),0)&gt;0),"Met","Not Met")</f>
        <v>Met</v>
      </c>
    </row>
    <row r="959" spans="1:22" x14ac:dyDescent="0.35">
      <c r="A959" s="200" t="s">
        <v>192</v>
      </c>
      <c r="B959" s="201">
        <v>2087</v>
      </c>
      <c r="C959" s="201" t="s">
        <v>19</v>
      </c>
      <c r="D959" s="201">
        <v>468</v>
      </c>
      <c r="E959" s="201">
        <v>3543761.12</v>
      </c>
      <c r="F959" s="201">
        <v>555877</v>
      </c>
      <c r="G959" s="201">
        <f>'Mail Merge'!$E959+'Mail Merge'!$F959</f>
        <v>4099638.12</v>
      </c>
      <c r="H959" s="201">
        <v>0</v>
      </c>
      <c r="I959" s="201" t="s">
        <v>241</v>
      </c>
      <c r="J959" s="201">
        <f>IFERROR('Mail Merge'!$E959/'Mail Merge'!$D959,0)</f>
        <v>7572.1391452991456</v>
      </c>
      <c r="K959" s="201">
        <f>IFERROR('Mail Merge'!$F959/'Mail Merge'!$D959,0)</f>
        <v>1187.7713675213674</v>
      </c>
      <c r="L959" s="201">
        <f>IFERROR('Mail Merge'!$G959/'Mail Merge'!$D959,0)</f>
        <v>8759.9105128205138</v>
      </c>
      <c r="M959" s="201">
        <v>0</v>
      </c>
      <c r="N959" s="201" t="s">
        <v>241</v>
      </c>
      <c r="O959" s="201">
        <v>534280.19999999995</v>
      </c>
      <c r="P959" s="201">
        <v>4896.1400000000003</v>
      </c>
      <c r="Q959" s="201">
        <f>'Mail Merge'!$O959+'Mail Merge'!$P959</f>
        <v>539176.34</v>
      </c>
      <c r="R959" s="201"/>
      <c r="S959" s="201"/>
      <c r="T959" s="201"/>
      <c r="U959" s="201">
        <f>IF(AND('Mail Merge'!$I959="Did Not Meet",'Mail Merge'!$N959="Did Not Meet"),MIN(ABS('Mail Merge'!$H959),ABS('Mail Merge'!$M959),'Mail Merge'!$Q959),0)</f>
        <v>0</v>
      </c>
      <c r="V959" s="201" t="str">
        <f>IF(OR(IFERROR(SEARCH("Met",'Mail Merge'!$N959),0)&gt;0,IFERROR(SEARCH("Met",'Mail Merge'!$I959),0)&gt;0),"Met","Not Met")</f>
        <v>Met</v>
      </c>
    </row>
    <row r="960" spans="1:22" x14ac:dyDescent="0.35">
      <c r="A960" s="198" t="s">
        <v>193</v>
      </c>
      <c r="B960" s="199">
        <v>1994</v>
      </c>
      <c r="C960" s="199" t="s">
        <v>19</v>
      </c>
      <c r="D960" s="199">
        <v>218</v>
      </c>
      <c r="E960" s="199">
        <v>1893224.77</v>
      </c>
      <c r="F960" s="199">
        <v>276461.02</v>
      </c>
      <c r="G960" s="199">
        <f>'Mail Merge'!$E960+'Mail Merge'!$F960</f>
        <v>2169685.79</v>
      </c>
      <c r="H960" s="199">
        <v>0</v>
      </c>
      <c r="I960" s="199" t="s">
        <v>241</v>
      </c>
      <c r="J960" s="199">
        <f>IFERROR('Mail Merge'!$E960/'Mail Merge'!$D960,0)</f>
        <v>8684.517293577981</v>
      </c>
      <c r="K960" s="199">
        <f>IFERROR('Mail Merge'!$F960/'Mail Merge'!$D960,0)</f>
        <v>1268.1698165137616</v>
      </c>
      <c r="L960" s="199">
        <f>IFERROR('Mail Merge'!$G960/'Mail Merge'!$D960,0)</f>
        <v>9952.6871100917433</v>
      </c>
      <c r="M960" s="199">
        <v>0</v>
      </c>
      <c r="N960" s="199" t="s">
        <v>240</v>
      </c>
      <c r="O960" s="199">
        <v>317274.93</v>
      </c>
      <c r="P960" s="199">
        <v>3672.11</v>
      </c>
      <c r="Q960" s="199">
        <f>'Mail Merge'!$O960+'Mail Merge'!$P960</f>
        <v>320947.03999999998</v>
      </c>
      <c r="R960" s="199"/>
      <c r="S960" s="199"/>
      <c r="T960" s="199"/>
      <c r="U960" s="199">
        <f>IF(AND('Mail Merge'!$I960="Did Not Meet",'Mail Merge'!$N960="Did Not Meet"),MIN(ABS('Mail Merge'!$H960),ABS('Mail Merge'!$M960),'Mail Merge'!$Q960),0)</f>
        <v>0</v>
      </c>
      <c r="V960" s="199" t="str">
        <f>IF(OR(IFERROR(SEARCH("Met",'Mail Merge'!$N960),0)&gt;0,IFERROR(SEARCH("Met",'Mail Merge'!$I960),0)&gt;0),"Met","Not Met")</f>
        <v>Met</v>
      </c>
    </row>
    <row r="961" spans="1:22" x14ac:dyDescent="0.35">
      <c r="A961" s="200" t="s">
        <v>194</v>
      </c>
      <c r="B961" s="201">
        <v>2225</v>
      </c>
      <c r="C961" s="201" t="s">
        <v>19</v>
      </c>
      <c r="D961" s="201">
        <v>30</v>
      </c>
      <c r="E961" s="201">
        <v>187330.92</v>
      </c>
      <c r="F961" s="201">
        <v>55820</v>
      </c>
      <c r="G961" s="201">
        <f>'Mail Merge'!$E961+'Mail Merge'!$F961</f>
        <v>243150.92</v>
      </c>
      <c r="H961" s="201">
        <v>0</v>
      </c>
      <c r="I961" s="201" t="s">
        <v>241</v>
      </c>
      <c r="J961" s="201">
        <f>IFERROR('Mail Merge'!$E961/'Mail Merge'!$D961,0)</f>
        <v>6244.3640000000005</v>
      </c>
      <c r="K961" s="201">
        <f>IFERROR('Mail Merge'!$F961/'Mail Merge'!$D961,0)</f>
        <v>1860.6666666666667</v>
      </c>
      <c r="L961" s="201">
        <f>IFERROR('Mail Merge'!$G961/'Mail Merge'!$D961,0)</f>
        <v>8105.0306666666675</v>
      </c>
      <c r="M961" s="201">
        <v>0</v>
      </c>
      <c r="N961" s="201" t="s">
        <v>241</v>
      </c>
      <c r="O961" s="201">
        <v>54425.05</v>
      </c>
      <c r="P961" s="201">
        <v>1377.04</v>
      </c>
      <c r="Q961" s="201">
        <f>'Mail Merge'!$O961+'Mail Merge'!$P961</f>
        <v>55802.090000000004</v>
      </c>
      <c r="R961" s="201"/>
      <c r="S961" s="201"/>
      <c r="T961" s="201"/>
      <c r="U961" s="201">
        <f>IF(AND('Mail Merge'!$I961="Did Not Meet",'Mail Merge'!$N961="Did Not Meet"),MIN(ABS('Mail Merge'!$H961),ABS('Mail Merge'!$M961),'Mail Merge'!$Q961),0)</f>
        <v>0</v>
      </c>
      <c r="V961" s="201" t="str">
        <f>IF(OR(IFERROR(SEARCH("Met",'Mail Merge'!$N961),0)&gt;0,IFERROR(SEARCH("Met",'Mail Merge'!$I961),0)&gt;0),"Met","Not Met")</f>
        <v>Met</v>
      </c>
    </row>
    <row r="962" spans="1:22" x14ac:dyDescent="0.35">
      <c r="A962" s="198" t="s">
        <v>195</v>
      </c>
      <c r="B962" s="199">
        <v>2247</v>
      </c>
      <c r="C962" s="199" t="s">
        <v>19</v>
      </c>
      <c r="D962" s="199">
        <v>3</v>
      </c>
      <c r="E962" s="199">
        <v>19229.55</v>
      </c>
      <c r="F962" s="199">
        <v>12269</v>
      </c>
      <c r="G962" s="199">
        <f>'Mail Merge'!$E962+'Mail Merge'!$F962</f>
        <v>31498.55</v>
      </c>
      <c r="H962" s="199">
        <v>0</v>
      </c>
      <c r="I962" s="199" t="s">
        <v>239</v>
      </c>
      <c r="J962" s="199">
        <f>IFERROR('Mail Merge'!$E962/'Mail Merge'!$D962,0)</f>
        <v>6409.8499999999995</v>
      </c>
      <c r="K962" s="199">
        <f>IFERROR('Mail Merge'!$F962/'Mail Merge'!$D962,0)</f>
        <v>4089.6666666666665</v>
      </c>
      <c r="L962" s="199">
        <f>IFERROR('Mail Merge'!$G962/'Mail Merge'!$D962,0)</f>
        <v>10499.516666666666</v>
      </c>
      <c r="M962" s="199">
        <v>0</v>
      </c>
      <c r="N962" s="199" t="s">
        <v>239</v>
      </c>
      <c r="O962" s="199">
        <v>5183.37</v>
      </c>
      <c r="P962" s="199">
        <v>0</v>
      </c>
      <c r="Q962" s="199">
        <f>'Mail Merge'!$O962+'Mail Merge'!$P962</f>
        <v>5183.37</v>
      </c>
      <c r="R962" s="199"/>
      <c r="S962" s="199"/>
      <c r="T962" s="199"/>
      <c r="U962" s="199">
        <f>IF(AND('Mail Merge'!$I962="Did Not Meet",'Mail Merge'!$N962="Did Not Meet"),MIN(ABS('Mail Merge'!$H962),ABS('Mail Merge'!$M962),'Mail Merge'!$Q962),0)</f>
        <v>0</v>
      </c>
      <c r="V962" s="199" t="str">
        <f>IF(OR(IFERROR(SEARCH("Met",'Mail Merge'!$N962),0)&gt;0,IFERROR(SEARCH("Met",'Mail Merge'!$I962),0)&gt;0),"Met","Not Met")</f>
        <v>Met</v>
      </c>
    </row>
    <row r="963" spans="1:22" x14ac:dyDescent="0.35">
      <c r="A963" s="200" t="s">
        <v>196</v>
      </c>
      <c r="B963" s="201">
        <v>2083</v>
      </c>
      <c r="C963" s="201" t="s">
        <v>19</v>
      </c>
      <c r="D963" s="201">
        <v>1591</v>
      </c>
      <c r="E963" s="201">
        <v>15248631.039999999</v>
      </c>
      <c r="F963" s="201">
        <v>1854511</v>
      </c>
      <c r="G963" s="201">
        <f>'Mail Merge'!$E963+'Mail Merge'!$F963</f>
        <v>17103142.039999999</v>
      </c>
      <c r="H963" s="201">
        <v>0</v>
      </c>
      <c r="I963" s="201" t="s">
        <v>241</v>
      </c>
      <c r="J963" s="201">
        <f>IFERROR('Mail Merge'!$E963/'Mail Merge'!$D963,0)</f>
        <v>9584.3061219358897</v>
      </c>
      <c r="K963" s="201">
        <f>IFERROR('Mail Merge'!$F963/'Mail Merge'!$D963,0)</f>
        <v>1165.6260213702074</v>
      </c>
      <c r="L963" s="201">
        <f>IFERROR('Mail Merge'!$G963/'Mail Merge'!$D963,0)</f>
        <v>10749.932143306096</v>
      </c>
      <c r="M963" s="201">
        <v>0</v>
      </c>
      <c r="N963" s="201" t="s">
        <v>241</v>
      </c>
      <c r="O963" s="201">
        <v>1861501.18</v>
      </c>
      <c r="P963" s="201">
        <v>17873.32</v>
      </c>
      <c r="Q963" s="201">
        <f>'Mail Merge'!$O963+'Mail Merge'!$P963</f>
        <v>1879374.5</v>
      </c>
      <c r="R963" s="201"/>
      <c r="S963" s="201"/>
      <c r="T963" s="201"/>
      <c r="U963" s="201">
        <f>IF(AND('Mail Merge'!$I963="Did Not Meet",'Mail Merge'!$N963="Did Not Meet"),MIN(ABS('Mail Merge'!$H963),ABS('Mail Merge'!$M963),'Mail Merge'!$Q963),0)</f>
        <v>0</v>
      </c>
      <c r="V963" s="201" t="str">
        <f>IF(OR(IFERROR(SEARCH("Met",'Mail Merge'!$N963),0)&gt;0,IFERROR(SEARCH("Met",'Mail Merge'!$I963),0)&gt;0),"Met","Not Met")</f>
        <v>Met</v>
      </c>
    </row>
    <row r="964" spans="1:22" x14ac:dyDescent="0.35">
      <c r="A964" s="198" t="s">
        <v>197</v>
      </c>
      <c r="B964" s="199">
        <v>1948</v>
      </c>
      <c r="C964" s="199" t="s">
        <v>19</v>
      </c>
      <c r="D964" s="199">
        <v>478</v>
      </c>
      <c r="E964" s="199">
        <v>3494506.84</v>
      </c>
      <c r="F964" s="199">
        <v>718132</v>
      </c>
      <c r="G964" s="199">
        <f>'Mail Merge'!$E964+'Mail Merge'!$F964</f>
        <v>4212638.84</v>
      </c>
      <c r="H964" s="199">
        <v>0</v>
      </c>
      <c r="I964" s="199" t="s">
        <v>242</v>
      </c>
      <c r="J964" s="199">
        <f>IFERROR('Mail Merge'!$E964/'Mail Merge'!$D964,0)</f>
        <v>7310.6837656903763</v>
      </c>
      <c r="K964" s="199">
        <f>IFERROR('Mail Merge'!$F964/'Mail Merge'!$D964,0)</f>
        <v>1502.3682008368201</v>
      </c>
      <c r="L964" s="199">
        <f>IFERROR('Mail Merge'!$G964/'Mail Merge'!$D964,0)</f>
        <v>8813.0519665271968</v>
      </c>
      <c r="M964" s="199">
        <v>0</v>
      </c>
      <c r="N964" s="199" t="s">
        <v>241</v>
      </c>
      <c r="O964" s="199">
        <v>558146.68000000005</v>
      </c>
      <c r="P964" s="199">
        <v>7486.67</v>
      </c>
      <c r="Q964" s="199">
        <f>'Mail Merge'!$O964+'Mail Merge'!$P964</f>
        <v>565633.35000000009</v>
      </c>
      <c r="R964" s="199"/>
      <c r="S964" s="199">
        <v>87054.13</v>
      </c>
      <c r="T964" s="199">
        <v>87054.13</v>
      </c>
      <c r="U964" s="199">
        <f>IF(AND('Mail Merge'!$I964="Did Not Meet",'Mail Merge'!$N964="Did Not Meet"),MIN(ABS('Mail Merge'!$H964),ABS('Mail Merge'!$M964),'Mail Merge'!$Q964),0)</f>
        <v>0</v>
      </c>
      <c r="V964" s="199" t="str">
        <f>IF(OR(IFERROR(SEARCH("Met",'Mail Merge'!$N964),0)&gt;0,IFERROR(SEARCH("Met",'Mail Merge'!$I964),0)&gt;0),"Met","Not Met")</f>
        <v>Met</v>
      </c>
    </row>
    <row r="965" spans="1:22" x14ac:dyDescent="0.35">
      <c r="A965" s="200" t="s">
        <v>198</v>
      </c>
      <c r="B965" s="201">
        <v>2144</v>
      </c>
      <c r="C965" s="201" t="s">
        <v>19</v>
      </c>
      <c r="D965" s="201">
        <v>36</v>
      </c>
      <c r="E965" s="201">
        <v>270310.3</v>
      </c>
      <c r="F965" s="201">
        <v>26105.85</v>
      </c>
      <c r="G965" s="201">
        <f>'Mail Merge'!$E965+'Mail Merge'!$F965</f>
        <v>296416.14999999997</v>
      </c>
      <c r="H965" s="201">
        <v>0</v>
      </c>
      <c r="I965" s="201" t="s">
        <v>240</v>
      </c>
      <c r="J965" s="201">
        <f>IFERROR('Mail Merge'!$E965/'Mail Merge'!$D965,0)</f>
        <v>7508.6194444444445</v>
      </c>
      <c r="K965" s="201">
        <f>IFERROR('Mail Merge'!$F965/'Mail Merge'!$D965,0)</f>
        <v>725.16249999999991</v>
      </c>
      <c r="L965" s="201">
        <f>IFERROR('Mail Merge'!$G965/'Mail Merge'!$D965,0)</f>
        <v>8233.7819444444431</v>
      </c>
      <c r="M965" s="201">
        <v>0</v>
      </c>
      <c r="N965" s="201" t="s">
        <v>240</v>
      </c>
      <c r="O965" s="201">
        <v>45686.99</v>
      </c>
      <c r="P965" s="201">
        <v>1377.04</v>
      </c>
      <c r="Q965" s="201">
        <f>'Mail Merge'!$O965+'Mail Merge'!$P965</f>
        <v>47064.03</v>
      </c>
      <c r="R965" s="201"/>
      <c r="S965" s="201"/>
      <c r="T965" s="201"/>
      <c r="U965" s="201">
        <f>IF(AND('Mail Merge'!$I965="Did Not Meet",'Mail Merge'!$N965="Did Not Meet"),MIN(ABS('Mail Merge'!$H965),ABS('Mail Merge'!$M965),'Mail Merge'!$Q965),0)</f>
        <v>0</v>
      </c>
      <c r="V965" s="201" t="str">
        <f>IF(OR(IFERROR(SEARCH("Met",'Mail Merge'!$N965),0)&gt;0,IFERROR(SEARCH("Met",'Mail Merge'!$I965),0)&gt;0),"Met","Not Met")</f>
        <v>Not Met</v>
      </c>
    </row>
    <row r="966" spans="1:22" x14ac:dyDescent="0.35">
      <c r="A966" s="198" t="s">
        <v>199</v>
      </c>
      <c r="B966" s="199">
        <v>2209</v>
      </c>
      <c r="C966" s="199" t="s">
        <v>19</v>
      </c>
      <c r="D966" s="199">
        <v>70</v>
      </c>
      <c r="E966" s="199">
        <v>487972.67</v>
      </c>
      <c r="F966" s="199">
        <v>102041.94</v>
      </c>
      <c r="G966" s="199">
        <f>'Mail Merge'!$E966+'Mail Merge'!$F966</f>
        <v>590014.61</v>
      </c>
      <c r="H966" s="199">
        <v>0</v>
      </c>
      <c r="I966" s="199" t="s">
        <v>239</v>
      </c>
      <c r="J966" s="199">
        <f>IFERROR('Mail Merge'!$E966/'Mail Merge'!$D966,0)</f>
        <v>6971.0381428571427</v>
      </c>
      <c r="K966" s="199">
        <f>IFERROR('Mail Merge'!$F966/'Mail Merge'!$D966,0)</f>
        <v>1457.742</v>
      </c>
      <c r="L966" s="199">
        <f>IFERROR('Mail Merge'!$G966/'Mail Merge'!$D966,0)</f>
        <v>8428.780142857142</v>
      </c>
      <c r="M966" s="199">
        <v>0</v>
      </c>
      <c r="N966" s="199" t="s">
        <v>239</v>
      </c>
      <c r="O966" s="199">
        <v>86234.4</v>
      </c>
      <c r="P966" s="199">
        <v>1271.1099999999999</v>
      </c>
      <c r="Q966" s="199">
        <f>'Mail Merge'!$O966+'Mail Merge'!$P966</f>
        <v>87505.51</v>
      </c>
      <c r="R966" s="199"/>
      <c r="S966" s="199"/>
      <c r="T966" s="199"/>
      <c r="U966" s="199">
        <f>IF(AND('Mail Merge'!$I966="Did Not Meet",'Mail Merge'!$N966="Did Not Meet"),MIN(ABS('Mail Merge'!$H966),ABS('Mail Merge'!$M966),'Mail Merge'!$Q966),0)</f>
        <v>0</v>
      </c>
      <c r="V966" s="199" t="str">
        <f>IF(OR(IFERROR(SEARCH("Met",'Mail Merge'!$N966),0)&gt;0,IFERROR(SEARCH("Met",'Mail Merge'!$I966),0)&gt;0),"Met","Not Met")</f>
        <v>Met</v>
      </c>
    </row>
    <row r="967" spans="1:22" x14ac:dyDescent="0.35">
      <c r="A967" s="200" t="s">
        <v>200</v>
      </c>
      <c r="B967" s="201">
        <v>2018</v>
      </c>
      <c r="C967" s="201" t="s">
        <v>19</v>
      </c>
      <c r="D967" s="201">
        <v>1</v>
      </c>
      <c r="E967" s="201">
        <v>6518.52</v>
      </c>
      <c r="F967" s="201">
        <v>5487</v>
      </c>
      <c r="G967" s="201">
        <f>'Mail Merge'!$E967+'Mail Merge'!$F967</f>
        <v>12005.52</v>
      </c>
      <c r="H967" s="201">
        <v>0</v>
      </c>
      <c r="I967" s="201" t="s">
        <v>241</v>
      </c>
      <c r="J967" s="201">
        <f>IFERROR('Mail Merge'!$E967/'Mail Merge'!$D967,0)</f>
        <v>6518.52</v>
      </c>
      <c r="K967" s="201">
        <f>IFERROR('Mail Merge'!$F967/'Mail Merge'!$D967,0)</f>
        <v>5487</v>
      </c>
      <c r="L967" s="201">
        <f>IFERROR('Mail Merge'!$G967/'Mail Merge'!$D967,0)</f>
        <v>12005.52</v>
      </c>
      <c r="M967" s="201">
        <v>0</v>
      </c>
      <c r="N967" s="201" t="s">
        <v>241</v>
      </c>
      <c r="O967" s="201">
        <v>0</v>
      </c>
      <c r="P967" s="201">
        <v>0</v>
      </c>
      <c r="Q967" s="201">
        <f>'Mail Merge'!$O967+'Mail Merge'!$P967</f>
        <v>0</v>
      </c>
      <c r="R967" s="201"/>
      <c r="S967" s="201"/>
      <c r="T967" s="201"/>
      <c r="U967" s="201">
        <f>IF(AND('Mail Merge'!$I967="Did Not Meet",'Mail Merge'!$N967="Did Not Meet"),MIN(ABS('Mail Merge'!$H967),ABS('Mail Merge'!$M967),'Mail Merge'!$Q967),0)</f>
        <v>0</v>
      </c>
      <c r="V967" s="201" t="str">
        <f>IF(OR(IFERROR(SEARCH("Met",'Mail Merge'!$N967),0)&gt;0,IFERROR(SEARCH("Met",'Mail Merge'!$I967),0)&gt;0),"Met","Not Met")</f>
        <v>Met</v>
      </c>
    </row>
    <row r="968" spans="1:22" x14ac:dyDescent="0.35">
      <c r="A968" s="198" t="s">
        <v>201</v>
      </c>
      <c r="B968" s="199">
        <v>2003</v>
      </c>
      <c r="C968" s="199" t="s">
        <v>19</v>
      </c>
      <c r="D968" s="199">
        <v>158</v>
      </c>
      <c r="E968" s="199">
        <v>999870</v>
      </c>
      <c r="F968" s="199">
        <v>284022.87</v>
      </c>
      <c r="G968" s="199">
        <f>'Mail Merge'!$E968+'Mail Merge'!$F968</f>
        <v>1283892.8700000001</v>
      </c>
      <c r="H968" s="199">
        <v>0</v>
      </c>
      <c r="I968" s="199" t="s">
        <v>241</v>
      </c>
      <c r="J968" s="199">
        <f>IFERROR('Mail Merge'!$E968/'Mail Merge'!$D968,0)</f>
        <v>6328.2911392405067</v>
      </c>
      <c r="K968" s="199">
        <f>IFERROR('Mail Merge'!$F968/'Mail Merge'!$D968,0)</f>
        <v>1797.6131012658227</v>
      </c>
      <c r="L968" s="199">
        <f>IFERROR('Mail Merge'!$G968/'Mail Merge'!$D968,0)</f>
        <v>8125.9042405063301</v>
      </c>
      <c r="M968" s="199">
        <v>0</v>
      </c>
      <c r="N968" s="199" t="s">
        <v>241</v>
      </c>
      <c r="O968" s="199">
        <v>230955.29</v>
      </c>
      <c r="P968" s="199">
        <v>2203.2600000000002</v>
      </c>
      <c r="Q968" s="199">
        <f>'Mail Merge'!$O968+'Mail Merge'!$P968</f>
        <v>233158.55000000002</v>
      </c>
      <c r="R968" s="199"/>
      <c r="S968" s="199"/>
      <c r="T968" s="199"/>
      <c r="U968" s="199">
        <f>IF(AND('Mail Merge'!$I968="Did Not Meet",'Mail Merge'!$N968="Did Not Meet"),MIN(ABS('Mail Merge'!$H968),ABS('Mail Merge'!$M968),'Mail Merge'!$Q968),0)</f>
        <v>0</v>
      </c>
      <c r="V968" s="199" t="str">
        <f>IF(OR(IFERROR(SEARCH("Met",'Mail Merge'!$N968),0)&gt;0,IFERROR(SEARCH("Met",'Mail Merge'!$I968),0)&gt;0),"Met","Not Met")</f>
        <v>Met</v>
      </c>
    </row>
    <row r="969" spans="1:22" x14ac:dyDescent="0.35">
      <c r="A969" s="200" t="s">
        <v>202</v>
      </c>
      <c r="B969" s="201">
        <v>2102</v>
      </c>
      <c r="C969" s="201" t="s">
        <v>19</v>
      </c>
      <c r="D969" s="201">
        <v>437</v>
      </c>
      <c r="E969" s="201">
        <v>2353810.06</v>
      </c>
      <c r="F969" s="201">
        <v>349492</v>
      </c>
      <c r="G969" s="201">
        <f>'Mail Merge'!$E969+'Mail Merge'!$F969</f>
        <v>2703302.06</v>
      </c>
      <c r="H969" s="201">
        <v>0</v>
      </c>
      <c r="I969" s="201" t="s">
        <v>239</v>
      </c>
      <c r="J969" s="201">
        <f>IFERROR('Mail Merge'!$E969/'Mail Merge'!$D969,0)</f>
        <v>5386.2930434782611</v>
      </c>
      <c r="K969" s="201">
        <f>IFERROR('Mail Merge'!$F969/'Mail Merge'!$D969,0)</f>
        <v>799.75286041189929</v>
      </c>
      <c r="L969" s="201">
        <f>IFERROR('Mail Merge'!$G969/'Mail Merge'!$D969,0)</f>
        <v>6186.0459038901599</v>
      </c>
      <c r="M969" s="201">
        <v>0</v>
      </c>
      <c r="N969" s="201" t="s">
        <v>239</v>
      </c>
      <c r="O969" s="201">
        <v>400244.23</v>
      </c>
      <c r="P969" s="201">
        <v>4377.42</v>
      </c>
      <c r="Q969" s="201">
        <f>'Mail Merge'!$O969+'Mail Merge'!$P969</f>
        <v>404621.64999999997</v>
      </c>
      <c r="R969" s="201"/>
      <c r="S969" s="201"/>
      <c r="T969" s="201"/>
      <c r="U969" s="201">
        <f>IF(AND('Mail Merge'!$I969="Did Not Meet",'Mail Merge'!$N969="Did Not Meet"),MIN(ABS('Mail Merge'!$H969),ABS('Mail Merge'!$M969),'Mail Merge'!$Q969),0)</f>
        <v>0</v>
      </c>
      <c r="V969" s="201" t="str">
        <f>IF(OR(IFERROR(SEARCH("Met",'Mail Merge'!$N969),0)&gt;0,IFERROR(SEARCH("Met",'Mail Merge'!$I969),0)&gt;0),"Met","Not Met")</f>
        <v>Met</v>
      </c>
    </row>
    <row r="970" spans="1:22" x14ac:dyDescent="0.35">
      <c r="A970" s="198" t="s">
        <v>203</v>
      </c>
      <c r="B970" s="199">
        <v>2055</v>
      </c>
      <c r="C970" s="199" t="s">
        <v>19</v>
      </c>
      <c r="D970" s="199">
        <v>514</v>
      </c>
      <c r="E970" s="199">
        <v>6035380.2999999998</v>
      </c>
      <c r="F970" s="199">
        <v>277294.96999999997</v>
      </c>
      <c r="G970" s="199">
        <f>'Mail Merge'!$E970+'Mail Merge'!$F970</f>
        <v>6312675.2699999996</v>
      </c>
      <c r="H970" s="199">
        <v>0</v>
      </c>
      <c r="I970" s="199" t="s">
        <v>241</v>
      </c>
      <c r="J970" s="199">
        <f>IFERROR('Mail Merge'!$E970/'Mail Merge'!$D970,0)</f>
        <v>11741.985019455253</v>
      </c>
      <c r="K970" s="199">
        <f>IFERROR('Mail Merge'!$F970/'Mail Merge'!$D970,0)</f>
        <v>539.48437743190652</v>
      </c>
      <c r="L970" s="199">
        <f>IFERROR('Mail Merge'!$G970/'Mail Merge'!$D970,0)</f>
        <v>12281.469396887158</v>
      </c>
      <c r="M970" s="199">
        <v>0</v>
      </c>
      <c r="N970" s="199" t="s">
        <v>241</v>
      </c>
      <c r="O970" s="199">
        <v>859443.65</v>
      </c>
      <c r="P970" s="199">
        <v>7788.18</v>
      </c>
      <c r="Q970" s="199">
        <f>'Mail Merge'!$O970+'Mail Merge'!$P970</f>
        <v>867231.83000000007</v>
      </c>
      <c r="R970" s="199"/>
      <c r="S970" s="199"/>
      <c r="T970" s="199"/>
      <c r="U970" s="199">
        <f>IF(AND('Mail Merge'!$I970="Did Not Meet",'Mail Merge'!$N970="Did Not Meet"),MIN(ABS('Mail Merge'!$H970),ABS('Mail Merge'!$M970),'Mail Merge'!$Q970),0)</f>
        <v>0</v>
      </c>
      <c r="V970" s="199" t="str">
        <f>IF(OR(IFERROR(SEARCH("Met",'Mail Merge'!$N970),0)&gt;0,IFERROR(SEARCH("Met",'Mail Merge'!$I970),0)&gt;0),"Met","Not Met")</f>
        <v>Met</v>
      </c>
    </row>
    <row r="971" spans="1:22" x14ac:dyDescent="0.35">
      <c r="A971" s="200" t="s">
        <v>204</v>
      </c>
      <c r="B971" s="201">
        <v>2242</v>
      </c>
      <c r="C971" s="201" t="s">
        <v>19</v>
      </c>
      <c r="D971" s="201">
        <v>1296</v>
      </c>
      <c r="E971" s="201">
        <v>10222824.609999999</v>
      </c>
      <c r="F971" s="201">
        <v>1721849</v>
      </c>
      <c r="G971" s="201">
        <f>'Mail Merge'!$E971+'Mail Merge'!$F971</f>
        <v>11944673.609999999</v>
      </c>
      <c r="H971" s="201">
        <v>0</v>
      </c>
      <c r="I971" s="201" t="s">
        <v>241</v>
      </c>
      <c r="J971" s="201">
        <f>IFERROR('Mail Merge'!$E971/'Mail Merge'!$D971,0)</f>
        <v>7887.9819521604932</v>
      </c>
      <c r="K971" s="201">
        <f>IFERROR('Mail Merge'!$F971/'Mail Merge'!$D971,0)</f>
        <v>1328.5871913580247</v>
      </c>
      <c r="L971" s="201">
        <f>IFERROR('Mail Merge'!$G971/'Mail Merge'!$D971,0)</f>
        <v>9216.5691435185181</v>
      </c>
      <c r="M971" s="201">
        <v>0</v>
      </c>
      <c r="N971" s="201" t="s">
        <v>241</v>
      </c>
      <c r="O971" s="201">
        <v>1894734.76</v>
      </c>
      <c r="P971" s="201">
        <v>11738.71</v>
      </c>
      <c r="Q971" s="201">
        <f>'Mail Merge'!$O971+'Mail Merge'!$P971</f>
        <v>1906473.47</v>
      </c>
      <c r="R971" s="201"/>
      <c r="S971" s="201"/>
      <c r="T971" s="201"/>
      <c r="U971" s="201">
        <f>IF(AND('Mail Merge'!$I971="Did Not Meet",'Mail Merge'!$N971="Did Not Meet"),MIN(ABS('Mail Merge'!$H971),ABS('Mail Merge'!$M971),'Mail Merge'!$Q971),0)</f>
        <v>0</v>
      </c>
      <c r="V971" s="201" t="str">
        <f>IF(OR(IFERROR(SEARCH("Met",'Mail Merge'!$N971),0)&gt;0,IFERROR(SEARCH("Met",'Mail Merge'!$I971),0)&gt;0),"Met","Not Met")</f>
        <v>Met</v>
      </c>
    </row>
    <row r="972" spans="1:22" x14ac:dyDescent="0.35">
      <c r="A972" s="198" t="s">
        <v>205</v>
      </c>
      <c r="B972" s="199">
        <v>2197</v>
      </c>
      <c r="C972" s="199" t="s">
        <v>19</v>
      </c>
      <c r="D972" s="199">
        <v>237</v>
      </c>
      <c r="E972" s="199">
        <v>2574022.9900000002</v>
      </c>
      <c r="F972" s="199">
        <v>192304</v>
      </c>
      <c r="G972" s="199">
        <f>'Mail Merge'!$E972+'Mail Merge'!$F972</f>
        <v>2766326.99</v>
      </c>
      <c r="H972" s="199">
        <v>0</v>
      </c>
      <c r="I972" s="199" t="s">
        <v>241</v>
      </c>
      <c r="J972" s="199">
        <f>IFERROR('Mail Merge'!$E972/'Mail Merge'!$D972,0)</f>
        <v>10860.856497890296</v>
      </c>
      <c r="K972" s="199">
        <f>IFERROR('Mail Merge'!$F972/'Mail Merge'!$D972,0)</f>
        <v>811.40928270042195</v>
      </c>
      <c r="L972" s="199">
        <f>IFERROR('Mail Merge'!$G972/'Mail Merge'!$D972,0)</f>
        <v>11672.265780590718</v>
      </c>
      <c r="M972" s="199">
        <v>0</v>
      </c>
      <c r="N972" s="199" t="s">
        <v>241</v>
      </c>
      <c r="O972" s="199">
        <v>322920.86</v>
      </c>
      <c r="P972" s="199">
        <v>3366.1</v>
      </c>
      <c r="Q972" s="199">
        <f>'Mail Merge'!$O972+'Mail Merge'!$P972</f>
        <v>326286.95999999996</v>
      </c>
      <c r="R972" s="199"/>
      <c r="S972" s="199"/>
      <c r="T972" s="199"/>
      <c r="U972" s="199">
        <f>IF(AND('Mail Merge'!$I972="Did Not Meet",'Mail Merge'!$N972="Did Not Meet"),MIN(ABS('Mail Merge'!$H972),ABS('Mail Merge'!$M972),'Mail Merge'!$Q972),0)</f>
        <v>0</v>
      </c>
      <c r="V972" s="199" t="str">
        <f>IF(OR(IFERROR(SEARCH("Met",'Mail Merge'!$N972),0)&gt;0,IFERROR(SEARCH("Met",'Mail Merge'!$I972),0)&gt;0),"Met","Not Met")</f>
        <v>Met</v>
      </c>
    </row>
    <row r="973" spans="1:22" x14ac:dyDescent="0.35">
      <c r="A973" s="200" t="s">
        <v>206</v>
      </c>
      <c r="B973" s="201">
        <v>2222</v>
      </c>
      <c r="C973" s="201" t="s">
        <v>19</v>
      </c>
      <c r="D973" s="201">
        <v>0</v>
      </c>
      <c r="E973" s="201">
        <v>0</v>
      </c>
      <c r="F973" s="201">
        <v>3700</v>
      </c>
      <c r="G973" s="201">
        <f>'Mail Merge'!$E973+'Mail Merge'!$F973</f>
        <v>3700</v>
      </c>
      <c r="H973" s="201">
        <v>0</v>
      </c>
      <c r="I973" s="201" t="s">
        <v>239</v>
      </c>
      <c r="J973" s="201">
        <f>IFERROR('Mail Merge'!$E973/'Mail Merge'!$D973,0)</f>
        <v>0</v>
      </c>
      <c r="K973" s="201">
        <f>IFERROR('Mail Merge'!$F973/'Mail Merge'!$D973,0)</f>
        <v>0</v>
      </c>
      <c r="L973" s="201">
        <f>IFERROR('Mail Merge'!$G973/'Mail Merge'!$D973,0)</f>
        <v>0</v>
      </c>
      <c r="M973" s="201">
        <v>0</v>
      </c>
      <c r="N973" s="201" t="s">
        <v>239</v>
      </c>
      <c r="O973" s="201">
        <v>2471.6799999999998</v>
      </c>
      <c r="P973" s="201">
        <v>0</v>
      </c>
      <c r="Q973" s="201">
        <f>'Mail Merge'!$O973+'Mail Merge'!$P973</f>
        <v>2471.6799999999998</v>
      </c>
      <c r="R973" s="201"/>
      <c r="S973" s="201"/>
      <c r="T973" s="201"/>
      <c r="U973" s="201">
        <f>IF(AND('Mail Merge'!$I973="Did Not Meet",'Mail Merge'!$N973="Did Not Meet"),MIN(ABS('Mail Merge'!$H973),ABS('Mail Merge'!$M973),'Mail Merge'!$Q973),0)</f>
        <v>0</v>
      </c>
      <c r="V973" s="201" t="str">
        <f>IF(OR(IFERROR(SEARCH("Met",'Mail Merge'!$N973),0)&gt;0,IFERROR(SEARCH("Met",'Mail Merge'!$I973),0)&gt;0),"Met","Not Met")</f>
        <v>Met</v>
      </c>
    </row>
    <row r="974" spans="1:22" x14ac:dyDescent="0.35">
      <c r="A974" s="198" t="s">
        <v>207</v>
      </c>
      <c r="B974" s="199">
        <v>2210</v>
      </c>
      <c r="C974" s="199" t="s">
        <v>19</v>
      </c>
      <c r="D974" s="199">
        <v>5</v>
      </c>
      <c r="E974" s="199">
        <v>4336.3</v>
      </c>
      <c r="F974" s="199">
        <v>7160.84</v>
      </c>
      <c r="G974" s="199">
        <f>'Mail Merge'!$E974+'Mail Merge'!$F974</f>
        <v>11497.14</v>
      </c>
      <c r="H974" s="199">
        <v>0</v>
      </c>
      <c r="I974" s="199" t="s">
        <v>239</v>
      </c>
      <c r="J974" s="199">
        <f>IFERROR('Mail Merge'!$E974/'Mail Merge'!$D974,0)</f>
        <v>867.26</v>
      </c>
      <c r="K974" s="199">
        <f>IFERROR('Mail Merge'!$F974/'Mail Merge'!$D974,0)</f>
        <v>1432.1680000000001</v>
      </c>
      <c r="L974" s="199">
        <f>IFERROR('Mail Merge'!$G974/'Mail Merge'!$D974,0)</f>
        <v>2299.4279999999999</v>
      </c>
      <c r="M974" s="199">
        <v>0</v>
      </c>
      <c r="N974" s="199" t="s">
        <v>239</v>
      </c>
      <c r="O974" s="199">
        <v>7343.13</v>
      </c>
      <c r="P974" s="199">
        <v>0</v>
      </c>
      <c r="Q974" s="199">
        <f>'Mail Merge'!$O974+'Mail Merge'!$P974</f>
        <v>7343.13</v>
      </c>
      <c r="R974" s="199"/>
      <c r="S974" s="199"/>
      <c r="T974" s="199"/>
      <c r="U974" s="199">
        <f>IF(AND('Mail Merge'!$I974="Did Not Meet",'Mail Merge'!$N974="Did Not Meet"),MIN(ABS('Mail Merge'!$H974),ABS('Mail Merge'!$M974),'Mail Merge'!$Q974),0)</f>
        <v>0</v>
      </c>
      <c r="V974" s="199" t="str">
        <f>IF(OR(IFERROR(SEARCH("Met",'Mail Merge'!$N974),0)&gt;0,IFERROR(SEARCH("Met",'Mail Merge'!$I974),0)&gt;0),"Met","Not Met")</f>
        <v>Met</v>
      </c>
    </row>
    <row r="975" spans="1:22" x14ac:dyDescent="0.35">
      <c r="A975" s="200" t="s">
        <v>208</v>
      </c>
      <c r="B975" s="201">
        <v>2204</v>
      </c>
      <c r="C975" s="201" t="s">
        <v>19</v>
      </c>
      <c r="D975" s="201">
        <v>143</v>
      </c>
      <c r="E975" s="201">
        <v>1063518.99</v>
      </c>
      <c r="F975" s="201">
        <v>205157.99</v>
      </c>
      <c r="G975" s="201">
        <f>'Mail Merge'!$E975+'Mail Merge'!$F975</f>
        <v>1268676.98</v>
      </c>
      <c r="H975" s="201">
        <v>0</v>
      </c>
      <c r="I975" s="201" t="s">
        <v>239</v>
      </c>
      <c r="J975" s="201">
        <f>IFERROR('Mail Merge'!$E975/'Mail Merge'!$D975,0)</f>
        <v>7437.1957342657342</v>
      </c>
      <c r="K975" s="201">
        <f>IFERROR('Mail Merge'!$F975/'Mail Merge'!$D975,0)</f>
        <v>1434.6712587412587</v>
      </c>
      <c r="L975" s="201">
        <f>IFERROR('Mail Merge'!$G975/'Mail Merge'!$D975,0)</f>
        <v>8871.8669930069937</v>
      </c>
      <c r="M975" s="201">
        <v>0</v>
      </c>
      <c r="N975" s="201" t="s">
        <v>239</v>
      </c>
      <c r="O975" s="201">
        <v>197293.42</v>
      </c>
      <c r="P975" s="201">
        <v>2118.52</v>
      </c>
      <c r="Q975" s="201">
        <f>'Mail Merge'!$O975+'Mail Merge'!$P975</f>
        <v>199411.94</v>
      </c>
      <c r="R975" s="201"/>
      <c r="S975" s="201"/>
      <c r="T975" s="201"/>
      <c r="U975" s="201">
        <f>IF(AND('Mail Merge'!$I975="Did Not Meet",'Mail Merge'!$N975="Did Not Meet"),MIN(ABS('Mail Merge'!$H975),ABS('Mail Merge'!$M975),'Mail Merge'!$Q975),0)</f>
        <v>0</v>
      </c>
      <c r="V975" s="201" t="str">
        <f>IF(OR(IFERROR(SEARCH("Met",'Mail Merge'!$N975),0)&gt;0,IFERROR(SEARCH("Met",'Mail Merge'!$I975),0)&gt;0),"Met","Not Met")</f>
        <v>Met</v>
      </c>
    </row>
    <row r="976" spans="1:22" x14ac:dyDescent="0.35">
      <c r="A976" s="198" t="s">
        <v>209</v>
      </c>
      <c r="B976" s="199">
        <v>2213</v>
      </c>
      <c r="C976" s="199" t="s">
        <v>19</v>
      </c>
      <c r="D976" s="199">
        <v>44</v>
      </c>
      <c r="E976" s="199">
        <v>329515.69</v>
      </c>
      <c r="F976" s="199">
        <v>128555.38</v>
      </c>
      <c r="G976" s="199">
        <f>'Mail Merge'!$E976+'Mail Merge'!$F976</f>
        <v>458071.07</v>
      </c>
      <c r="H976" s="199">
        <v>0</v>
      </c>
      <c r="I976" s="199" t="s">
        <v>241</v>
      </c>
      <c r="J976" s="199">
        <f>IFERROR('Mail Merge'!$E976/'Mail Merge'!$D976,0)</f>
        <v>7488.9929545454543</v>
      </c>
      <c r="K976" s="199">
        <f>IFERROR('Mail Merge'!$F976/'Mail Merge'!$D976,0)</f>
        <v>2921.713181818182</v>
      </c>
      <c r="L976" s="199">
        <f>IFERROR('Mail Merge'!$G976/'Mail Merge'!$D976,0)</f>
        <v>10410.706136363637</v>
      </c>
      <c r="M976" s="199">
        <v>0</v>
      </c>
      <c r="N976" s="199" t="s">
        <v>241</v>
      </c>
      <c r="O976" s="199">
        <v>59816.34</v>
      </c>
      <c r="P976" s="199">
        <v>76.5</v>
      </c>
      <c r="Q976" s="199">
        <f>'Mail Merge'!$O976+'Mail Merge'!$P976</f>
        <v>59892.84</v>
      </c>
      <c r="R976" s="199"/>
      <c r="S976" s="199"/>
      <c r="T976" s="199"/>
      <c r="U976" s="199">
        <f>IF(AND('Mail Merge'!$I976="Did Not Meet",'Mail Merge'!$N976="Did Not Meet"),MIN(ABS('Mail Merge'!$H976),ABS('Mail Merge'!$M976),'Mail Merge'!$Q976),0)</f>
        <v>0</v>
      </c>
      <c r="V976" s="199" t="str">
        <f>IF(OR(IFERROR(SEARCH("Met",'Mail Merge'!$N976),0)&gt;0,IFERROR(SEARCH("Met",'Mail Merge'!$I976),0)&gt;0),"Met","Not Met")</f>
        <v>Met</v>
      </c>
    </row>
    <row r="977" spans="1:22" x14ac:dyDescent="0.35">
      <c r="A977" s="200" t="s">
        <v>210</v>
      </c>
      <c r="B977" s="201">
        <v>2116</v>
      </c>
      <c r="C977" s="201" t="s">
        <v>19</v>
      </c>
      <c r="D977" s="201">
        <v>122</v>
      </c>
      <c r="E977" s="201">
        <v>699789.23</v>
      </c>
      <c r="F977" s="201">
        <v>282270.96999999997</v>
      </c>
      <c r="G977" s="201">
        <f>'Mail Merge'!$E977+'Mail Merge'!$F977</f>
        <v>982060.2</v>
      </c>
      <c r="H977" s="201">
        <v>0</v>
      </c>
      <c r="I977" s="201" t="s">
        <v>239</v>
      </c>
      <c r="J977" s="201">
        <f>IFERROR('Mail Merge'!$E977/'Mail Merge'!$D977,0)</f>
        <v>5735.977295081967</v>
      </c>
      <c r="K977" s="201">
        <f>IFERROR('Mail Merge'!$F977/'Mail Merge'!$D977,0)</f>
        <v>2313.6964754098358</v>
      </c>
      <c r="L977" s="201">
        <f>IFERROR('Mail Merge'!$G977/'Mail Merge'!$D977,0)</f>
        <v>8049.6737704918032</v>
      </c>
      <c r="M977" s="201">
        <v>0</v>
      </c>
      <c r="N977" s="201" t="s">
        <v>239</v>
      </c>
      <c r="O977" s="201">
        <v>175361.97</v>
      </c>
      <c r="P977" s="201">
        <v>667.66</v>
      </c>
      <c r="Q977" s="201">
        <f>'Mail Merge'!$O977+'Mail Merge'!$P977</f>
        <v>176029.63</v>
      </c>
      <c r="R977" s="201"/>
      <c r="S977" s="201"/>
      <c r="T977" s="201"/>
      <c r="U977" s="201">
        <f>IF(AND('Mail Merge'!$I977="Did Not Meet",'Mail Merge'!$N977="Did Not Meet"),MIN(ABS('Mail Merge'!$H977),ABS('Mail Merge'!$M977),'Mail Merge'!$Q977),0)</f>
        <v>0</v>
      </c>
      <c r="V977" s="201" t="str">
        <f>IF(OR(IFERROR(SEARCH("Met",'Mail Merge'!$N977),0)&gt;0,IFERROR(SEARCH("Met",'Mail Merge'!$I977),0)&gt;0),"Met","Not Met")</f>
        <v>Met</v>
      </c>
    </row>
    <row r="978" spans="1:22" x14ac:dyDescent="0.35">
      <c r="A978" s="198" t="s">
        <v>211</v>
      </c>
      <c r="B978" s="199">
        <v>1947</v>
      </c>
      <c r="C978" s="199" t="s">
        <v>19</v>
      </c>
      <c r="D978" s="199">
        <v>113</v>
      </c>
      <c r="E978" s="199">
        <v>1131455.73</v>
      </c>
      <c r="F978" s="199">
        <v>74201</v>
      </c>
      <c r="G978" s="199">
        <f>'Mail Merge'!$E978+'Mail Merge'!$F978</f>
        <v>1205656.73</v>
      </c>
      <c r="H978" s="199">
        <v>0</v>
      </c>
      <c r="I978" s="199" t="s">
        <v>241</v>
      </c>
      <c r="J978" s="199">
        <f>IFERROR('Mail Merge'!$E978/'Mail Merge'!$D978,0)</f>
        <v>10012.882566371682</v>
      </c>
      <c r="K978" s="199">
        <f>IFERROR('Mail Merge'!$F978/'Mail Merge'!$D978,0)</f>
        <v>656.64601769911508</v>
      </c>
      <c r="L978" s="199">
        <f>IFERROR('Mail Merge'!$G978/'Mail Merge'!$D978,0)</f>
        <v>10669.528584070797</v>
      </c>
      <c r="M978" s="199">
        <v>0</v>
      </c>
      <c r="N978" s="199" t="s">
        <v>241</v>
      </c>
      <c r="O978" s="199">
        <v>102049.43</v>
      </c>
      <c r="P978" s="199">
        <v>1402.54</v>
      </c>
      <c r="Q978" s="199">
        <f>'Mail Merge'!$O978+'Mail Merge'!$P978</f>
        <v>103451.96999999999</v>
      </c>
      <c r="R978" s="199"/>
      <c r="S978" s="199"/>
      <c r="T978" s="199"/>
      <c r="U978" s="199">
        <f>IF(AND('Mail Merge'!$I978="Did Not Meet",'Mail Merge'!$N978="Did Not Meet"),MIN(ABS('Mail Merge'!$H978),ABS('Mail Merge'!$M978),'Mail Merge'!$Q978),0)</f>
        <v>0</v>
      </c>
      <c r="V978" s="199" t="str">
        <f>IF(OR(IFERROR(SEARCH("Met",'Mail Merge'!$N978),0)&gt;0,IFERROR(SEARCH("Met",'Mail Merge'!$I978),0)&gt;0),"Met","Not Met")</f>
        <v>Met</v>
      </c>
    </row>
    <row r="979" spans="1:22" x14ac:dyDescent="0.35">
      <c r="A979" s="200" t="s">
        <v>212</v>
      </c>
      <c r="B979" s="201">
        <v>2220</v>
      </c>
      <c r="C979" s="201" t="s">
        <v>19</v>
      </c>
      <c r="D979" s="201">
        <v>33</v>
      </c>
      <c r="E979" s="201">
        <v>97586.25</v>
      </c>
      <c r="F979" s="201">
        <v>153452.74</v>
      </c>
      <c r="G979" s="201">
        <f>'Mail Merge'!$E979+'Mail Merge'!$F979</f>
        <v>251038.99</v>
      </c>
      <c r="H979" s="201">
        <v>0</v>
      </c>
      <c r="I979" s="201" t="s">
        <v>239</v>
      </c>
      <c r="J979" s="201">
        <f>IFERROR('Mail Merge'!$E979/'Mail Merge'!$D979,0)</f>
        <v>2957.159090909091</v>
      </c>
      <c r="K979" s="201">
        <f>IFERROR('Mail Merge'!$F979/'Mail Merge'!$D979,0)</f>
        <v>4650.0830303030298</v>
      </c>
      <c r="L979" s="201">
        <f>IFERROR('Mail Merge'!$G979/'Mail Merge'!$D979,0)</f>
        <v>7607.2421212121208</v>
      </c>
      <c r="M979" s="201">
        <v>0</v>
      </c>
      <c r="N979" s="201" t="s">
        <v>239</v>
      </c>
      <c r="O979" s="201">
        <v>59557.279999999999</v>
      </c>
      <c r="P979" s="201">
        <v>918.03</v>
      </c>
      <c r="Q979" s="201">
        <f>'Mail Merge'!$O979+'Mail Merge'!$P979</f>
        <v>60475.31</v>
      </c>
      <c r="R979" s="201"/>
      <c r="S979" s="201"/>
      <c r="T979" s="201"/>
      <c r="U979" s="201">
        <f>IF(AND('Mail Merge'!$I979="Did Not Meet",'Mail Merge'!$N979="Did Not Meet"),MIN(ABS('Mail Merge'!$H979),ABS('Mail Merge'!$M979),'Mail Merge'!$Q979),0)</f>
        <v>0</v>
      </c>
      <c r="V979" s="201" t="str">
        <f>IF(OR(IFERROR(SEARCH("Met",'Mail Merge'!$N979),0)&gt;0,IFERROR(SEARCH("Met",'Mail Merge'!$I979),0)&gt;0),"Met","Not Met")</f>
        <v>Met</v>
      </c>
    </row>
    <row r="980" spans="1:22" x14ac:dyDescent="0.35">
      <c r="A980" s="198" t="s">
        <v>213</v>
      </c>
      <c r="B980" s="199">
        <v>1936</v>
      </c>
      <c r="C980" s="199" t="s">
        <v>19</v>
      </c>
      <c r="D980" s="199">
        <v>178</v>
      </c>
      <c r="E980" s="199">
        <v>1226347.29</v>
      </c>
      <c r="F980" s="199">
        <v>323970</v>
      </c>
      <c r="G980" s="199">
        <f>'Mail Merge'!$E980+'Mail Merge'!$F980</f>
        <v>1550317.29</v>
      </c>
      <c r="H980" s="199">
        <v>0</v>
      </c>
      <c r="I980" s="199" t="s">
        <v>241</v>
      </c>
      <c r="J980" s="199">
        <f>IFERROR('Mail Merge'!$E980/'Mail Merge'!$D980,0)</f>
        <v>6889.5915168539332</v>
      </c>
      <c r="K980" s="199">
        <f>IFERROR('Mail Merge'!$F980/'Mail Merge'!$D980,0)</f>
        <v>1820.056179775281</v>
      </c>
      <c r="L980" s="199">
        <f>IFERROR('Mail Merge'!$G980/'Mail Merge'!$D980,0)</f>
        <v>8709.6476966292139</v>
      </c>
      <c r="M980" s="199">
        <v>0</v>
      </c>
      <c r="N980" s="199" t="s">
        <v>240</v>
      </c>
      <c r="O980" s="199">
        <v>145015.34</v>
      </c>
      <c r="P980" s="199">
        <v>1147.53</v>
      </c>
      <c r="Q980" s="199">
        <f>'Mail Merge'!$O980+'Mail Merge'!$P980</f>
        <v>146162.87</v>
      </c>
      <c r="R980" s="199"/>
      <c r="S980" s="199"/>
      <c r="T980" s="199"/>
      <c r="U980" s="199">
        <f>IF(AND('Mail Merge'!$I980="Did Not Meet",'Mail Merge'!$N980="Did Not Meet"),MIN(ABS('Mail Merge'!$H980),ABS('Mail Merge'!$M980),'Mail Merge'!$Q980),0)</f>
        <v>0</v>
      </c>
      <c r="V980" s="199" t="str">
        <f>IF(OR(IFERROR(SEARCH("Met",'Mail Merge'!$N980),0)&gt;0,IFERROR(SEARCH("Met",'Mail Merge'!$I980),0)&gt;0),"Met","Not Met")</f>
        <v>Met</v>
      </c>
    </row>
    <row r="981" spans="1:22" x14ac:dyDescent="0.35">
      <c r="A981" s="200" t="s">
        <v>214</v>
      </c>
      <c r="B981" s="201">
        <v>1922</v>
      </c>
      <c r="C981" s="201" t="s">
        <v>19</v>
      </c>
      <c r="D981" s="201">
        <v>917</v>
      </c>
      <c r="E981" s="201">
        <v>7827170.8600000003</v>
      </c>
      <c r="F981" s="201">
        <v>88039</v>
      </c>
      <c r="G981" s="201">
        <f>'Mail Merge'!$E981+'Mail Merge'!$F981</f>
        <v>7915209.8600000003</v>
      </c>
      <c r="H981" s="201">
        <v>0</v>
      </c>
      <c r="I981" s="201" t="s">
        <v>241</v>
      </c>
      <c r="J981" s="201">
        <f>IFERROR('Mail Merge'!$E981/'Mail Merge'!$D981,0)</f>
        <v>8535.6279825517995</v>
      </c>
      <c r="K981" s="201">
        <f>IFERROR('Mail Merge'!$F981/'Mail Merge'!$D981,0)</f>
        <v>96.007633587786259</v>
      </c>
      <c r="L981" s="201">
        <f>IFERROR('Mail Merge'!$G981/'Mail Merge'!$D981,0)</f>
        <v>8631.6356161395852</v>
      </c>
      <c r="M981" s="201">
        <v>0</v>
      </c>
      <c r="N981" s="201" t="s">
        <v>241</v>
      </c>
      <c r="O981" s="201">
        <v>1232676.82</v>
      </c>
      <c r="P981" s="201">
        <v>7814.25</v>
      </c>
      <c r="Q981" s="201">
        <f>'Mail Merge'!$O981+'Mail Merge'!$P981</f>
        <v>1240491.07</v>
      </c>
      <c r="R981" s="201"/>
      <c r="S981" s="201"/>
      <c r="T981" s="201"/>
      <c r="U981" s="201">
        <f>IF(AND('Mail Merge'!$I981="Did Not Meet",'Mail Merge'!$N981="Did Not Meet"),MIN(ABS('Mail Merge'!$H981),ABS('Mail Merge'!$M981),'Mail Merge'!$Q981),0)</f>
        <v>0</v>
      </c>
      <c r="V981" s="201" t="str">
        <f>IF(OR(IFERROR(SEARCH("Met",'Mail Merge'!$N981),0)&gt;0,IFERROR(SEARCH("Met",'Mail Merge'!$I981),0)&gt;0),"Met","Not Met")</f>
        <v>Met</v>
      </c>
    </row>
    <row r="982" spans="1:22" x14ac:dyDescent="0.35">
      <c r="A982" s="198" t="s">
        <v>215</v>
      </c>
      <c r="B982" s="199">
        <v>2255</v>
      </c>
      <c r="C982" s="199" t="s">
        <v>19</v>
      </c>
      <c r="D982" s="199">
        <v>127</v>
      </c>
      <c r="E982" s="199">
        <v>938713.99</v>
      </c>
      <c r="F982" s="199">
        <v>81338.39</v>
      </c>
      <c r="G982" s="199">
        <f>'Mail Merge'!$E982+'Mail Merge'!$F982</f>
        <v>1020052.38</v>
      </c>
      <c r="H982" s="199">
        <v>0</v>
      </c>
      <c r="I982" s="199" t="s">
        <v>241</v>
      </c>
      <c r="J982" s="199">
        <f>IFERROR('Mail Merge'!$E982/'Mail Merge'!$D982,0)</f>
        <v>7391.4487401574806</v>
      </c>
      <c r="K982" s="199">
        <f>IFERROR('Mail Merge'!$F982/'Mail Merge'!$D982,0)</f>
        <v>640.45976377952752</v>
      </c>
      <c r="L982" s="199">
        <f>IFERROR('Mail Merge'!$G982/'Mail Merge'!$D982,0)</f>
        <v>8031.9085039370075</v>
      </c>
      <c r="M982" s="199">
        <v>0</v>
      </c>
      <c r="N982" s="199" t="s">
        <v>240</v>
      </c>
      <c r="O982" s="199">
        <v>182343.94</v>
      </c>
      <c r="P982" s="199">
        <v>1463.11</v>
      </c>
      <c r="Q982" s="199">
        <f>'Mail Merge'!$O982+'Mail Merge'!$P982</f>
        <v>183807.05</v>
      </c>
      <c r="R982" s="199"/>
      <c r="S982" s="199"/>
      <c r="T982" s="199"/>
      <c r="U982" s="199">
        <f>IF(AND('Mail Merge'!$I982="Did Not Meet",'Mail Merge'!$N982="Did Not Meet"),MIN(ABS('Mail Merge'!$H982),ABS('Mail Merge'!$M982),'Mail Merge'!$Q982),0)</f>
        <v>0</v>
      </c>
      <c r="V982" s="199" t="str">
        <f>IF(OR(IFERROR(SEARCH("Met",'Mail Merge'!$N982),0)&gt;0,IFERROR(SEARCH("Met",'Mail Merge'!$I982),0)&gt;0),"Met","Not Met")</f>
        <v>Met</v>
      </c>
    </row>
    <row r="983" spans="1:22" x14ac:dyDescent="0.35">
      <c r="A983" s="200" t="s">
        <v>216</v>
      </c>
      <c r="B983" s="201">
        <v>2002</v>
      </c>
      <c r="C983" s="201" t="s">
        <v>19</v>
      </c>
      <c r="D983" s="201">
        <v>195</v>
      </c>
      <c r="E983" s="201">
        <v>1494407.22</v>
      </c>
      <c r="F983" s="201">
        <v>227433.97</v>
      </c>
      <c r="G983" s="201">
        <f>'Mail Merge'!$E983+'Mail Merge'!$F983</f>
        <v>1721841.19</v>
      </c>
      <c r="H983" s="201">
        <v>0</v>
      </c>
      <c r="I983" s="201" t="s">
        <v>242</v>
      </c>
      <c r="J983" s="201">
        <f>IFERROR('Mail Merge'!$E983/'Mail Merge'!$D983,0)</f>
        <v>7663.6267692307692</v>
      </c>
      <c r="K983" s="201">
        <f>IFERROR('Mail Merge'!$F983/'Mail Merge'!$D983,0)</f>
        <v>1166.3280512820513</v>
      </c>
      <c r="L983" s="201">
        <f>IFERROR('Mail Merge'!$G983/'Mail Merge'!$D983,0)</f>
        <v>8829.9548205128194</v>
      </c>
      <c r="M983" s="201">
        <v>0</v>
      </c>
      <c r="N983" s="201" t="s">
        <v>240</v>
      </c>
      <c r="O983" s="201">
        <v>274404.05</v>
      </c>
      <c r="P983" s="201">
        <v>6087.97</v>
      </c>
      <c r="Q983" s="201">
        <f>'Mail Merge'!$O983+'Mail Merge'!$P983</f>
        <v>280492.01999999996</v>
      </c>
      <c r="R983" s="201"/>
      <c r="S983" s="201">
        <v>69989.22</v>
      </c>
      <c r="T983" s="201"/>
      <c r="U983" s="201">
        <f>IF(AND('Mail Merge'!$I983="Did Not Meet",'Mail Merge'!$N983="Did Not Meet"),MIN(ABS('Mail Merge'!$H983),ABS('Mail Merge'!$M983),'Mail Merge'!$Q983),0)</f>
        <v>0</v>
      </c>
      <c r="V983" s="201" t="str">
        <f>IF(OR(IFERROR(SEARCH("Met",'Mail Merge'!$N983),0)&gt;0,IFERROR(SEARCH("Met",'Mail Merge'!$I983),0)&gt;0),"Met","Not Met")</f>
        <v>Met</v>
      </c>
    </row>
    <row r="984" spans="1:22" x14ac:dyDescent="0.35">
      <c r="A984" s="198" t="s">
        <v>217</v>
      </c>
      <c r="B984" s="199">
        <v>2146</v>
      </c>
      <c r="C984" s="199" t="s">
        <v>19</v>
      </c>
      <c r="D984" s="199">
        <v>743</v>
      </c>
      <c r="E984" s="199">
        <v>6226504.8499999996</v>
      </c>
      <c r="F984" s="199">
        <v>535777.96</v>
      </c>
      <c r="G984" s="199">
        <f>'Mail Merge'!$E984+'Mail Merge'!$F984</f>
        <v>6762282.8099999996</v>
      </c>
      <c r="H984" s="199">
        <v>0</v>
      </c>
      <c r="I984" s="199" t="s">
        <v>241</v>
      </c>
      <c r="J984" s="199">
        <f>IFERROR('Mail Merge'!$E984/'Mail Merge'!$D984,0)</f>
        <v>8380.2218707940774</v>
      </c>
      <c r="K984" s="199">
        <f>IFERROR('Mail Merge'!$F984/'Mail Merge'!$D984,0)</f>
        <v>721.10088829071333</v>
      </c>
      <c r="L984" s="199">
        <f>IFERROR('Mail Merge'!$G984/'Mail Merge'!$D984,0)</f>
        <v>9101.322759084791</v>
      </c>
      <c r="M984" s="199">
        <v>0</v>
      </c>
      <c r="N984" s="199" t="s">
        <v>241</v>
      </c>
      <c r="O984" s="199">
        <v>780553.51</v>
      </c>
      <c r="P984" s="199">
        <v>4344.07</v>
      </c>
      <c r="Q984" s="199">
        <f>'Mail Merge'!$O984+'Mail Merge'!$P984</f>
        <v>784897.58</v>
      </c>
      <c r="R984" s="199"/>
      <c r="S984" s="199"/>
      <c r="T984" s="199"/>
      <c r="U984" s="199">
        <f>IF(AND('Mail Merge'!$I984="Did Not Meet",'Mail Merge'!$N984="Did Not Meet"),MIN(ABS('Mail Merge'!$H984),ABS('Mail Merge'!$M984),'Mail Merge'!$Q984),0)</f>
        <v>0</v>
      </c>
      <c r="V984" s="199" t="str">
        <f>IF(OR(IFERROR(SEARCH("Met",'Mail Merge'!$N984),0)&gt;0,IFERROR(SEARCH("Met",'Mail Merge'!$I984),0)&gt;0),"Met","Not Met")</f>
        <v>Met</v>
      </c>
    </row>
    <row r="985" spans="1:22" x14ac:dyDescent="0.35">
      <c r="A985" s="200" t="s">
        <v>218</v>
      </c>
      <c r="B985" s="201">
        <v>2251</v>
      </c>
      <c r="C985" s="201" t="s">
        <v>19</v>
      </c>
      <c r="D985" s="201">
        <v>180</v>
      </c>
      <c r="E985" s="201">
        <v>1470992.56</v>
      </c>
      <c r="F985" s="201">
        <v>51553.95</v>
      </c>
      <c r="G985" s="201">
        <f>'Mail Merge'!$E985+'Mail Merge'!$F985</f>
        <v>1522546.51</v>
      </c>
      <c r="H985" s="201">
        <v>0</v>
      </c>
      <c r="I985" s="201" t="s">
        <v>241</v>
      </c>
      <c r="J985" s="201">
        <f>IFERROR('Mail Merge'!$E985/'Mail Merge'!$D985,0)</f>
        <v>8172.1808888888891</v>
      </c>
      <c r="K985" s="201">
        <f>IFERROR('Mail Merge'!$F985/'Mail Merge'!$D985,0)</f>
        <v>286.4108333333333</v>
      </c>
      <c r="L985" s="201">
        <f>IFERROR('Mail Merge'!$G985/'Mail Merge'!$D985,0)</f>
        <v>8458.5917222222215</v>
      </c>
      <c r="M985" s="201">
        <v>0</v>
      </c>
      <c r="N985" s="201" t="s">
        <v>241</v>
      </c>
      <c r="O985" s="201">
        <v>202268.92</v>
      </c>
      <c r="P985" s="201">
        <v>1573.76</v>
      </c>
      <c r="Q985" s="201">
        <f>'Mail Merge'!$O985+'Mail Merge'!$P985</f>
        <v>203842.68000000002</v>
      </c>
      <c r="R985" s="201"/>
      <c r="S985" s="201"/>
      <c r="T985" s="201"/>
      <c r="U985" s="201">
        <f>IF(AND('Mail Merge'!$I985="Did Not Meet",'Mail Merge'!$N985="Did Not Meet"),MIN(ABS('Mail Merge'!$H985),ABS('Mail Merge'!$M985),'Mail Merge'!$Q985),0)</f>
        <v>0</v>
      </c>
      <c r="V985" s="201" t="str">
        <f>IF(OR(IFERROR(SEARCH("Met",'Mail Merge'!$N985),0)&gt;0,IFERROR(SEARCH("Met",'Mail Merge'!$I985),0)&gt;0),"Met","Not Met")</f>
        <v>Met</v>
      </c>
    </row>
    <row r="986" spans="1:22" x14ac:dyDescent="0.35">
      <c r="A986" s="198" t="s">
        <v>219</v>
      </c>
      <c r="B986" s="199">
        <v>1997</v>
      </c>
      <c r="C986" s="199" t="s">
        <v>19</v>
      </c>
      <c r="D986" s="199">
        <v>40</v>
      </c>
      <c r="E986" s="199">
        <v>236836.24</v>
      </c>
      <c r="F986" s="199">
        <v>51059.78</v>
      </c>
      <c r="G986" s="199">
        <f>'Mail Merge'!$E986+'Mail Merge'!$F986</f>
        <v>287896.02</v>
      </c>
      <c r="H986" s="199">
        <v>0</v>
      </c>
      <c r="I986" s="199" t="s">
        <v>241</v>
      </c>
      <c r="J986" s="199">
        <f>IFERROR('Mail Merge'!$E986/'Mail Merge'!$D986,0)</f>
        <v>5920.9059999999999</v>
      </c>
      <c r="K986" s="199">
        <f>IFERROR('Mail Merge'!$F986/'Mail Merge'!$D986,0)</f>
        <v>1276.4945</v>
      </c>
      <c r="L986" s="199">
        <f>IFERROR('Mail Merge'!$G986/'Mail Merge'!$D986,0)</f>
        <v>7197.4005000000006</v>
      </c>
      <c r="M986" s="199">
        <v>0</v>
      </c>
      <c r="N986" s="199" t="s">
        <v>241</v>
      </c>
      <c r="O986" s="199">
        <v>57290.43</v>
      </c>
      <c r="P986" s="199">
        <v>1836.05</v>
      </c>
      <c r="Q986" s="199">
        <f>'Mail Merge'!$O986+'Mail Merge'!$P986</f>
        <v>59126.48</v>
      </c>
      <c r="R986" s="199"/>
      <c r="S986" s="199"/>
      <c r="T986" s="199"/>
      <c r="U986" s="199">
        <f>IF(AND('Mail Merge'!$I986="Did Not Meet",'Mail Merge'!$N986="Did Not Meet"),MIN(ABS('Mail Merge'!$H986),ABS('Mail Merge'!$M986),'Mail Merge'!$Q986),0)</f>
        <v>0</v>
      </c>
      <c r="V986" s="199" t="str">
        <f>IF(OR(IFERROR(SEARCH("Met",'Mail Merge'!$N986),0)&gt;0,IFERROR(SEARCH("Met",'Mail Merge'!$I986),0)&gt;0),"Met","Not Met")</f>
        <v>Met</v>
      </c>
    </row>
    <row r="987" spans="1:22" x14ac:dyDescent="0.35">
      <c r="A987" s="200" t="s">
        <v>14</v>
      </c>
      <c r="B987" s="201">
        <v>2063</v>
      </c>
      <c r="C987" s="201" t="s">
        <v>41</v>
      </c>
      <c r="D987" s="201">
        <v>2</v>
      </c>
      <c r="E987" s="201">
        <v>4378.42</v>
      </c>
      <c r="F987" s="201">
        <v>23306.44</v>
      </c>
      <c r="G987" s="201">
        <f>'Mail Merge'!$E987+'Mail Merge'!$F987</f>
        <v>27684.86</v>
      </c>
      <c r="H987" s="201">
        <v>0</v>
      </c>
      <c r="I987" s="201" t="s">
        <v>241</v>
      </c>
      <c r="J987" s="201">
        <f>IFERROR('Mail Merge'!$E987/'Mail Merge'!$D987,0)</f>
        <v>2189.21</v>
      </c>
      <c r="K987" s="201">
        <f>IFERROR('Mail Merge'!$F987/'Mail Merge'!$D987,0)</f>
        <v>11653.22</v>
      </c>
      <c r="L987" s="201">
        <f>IFERROR('Mail Merge'!$G987/'Mail Merge'!$D987,0)</f>
        <v>13842.43</v>
      </c>
      <c r="M987" s="201">
        <v>0</v>
      </c>
      <c r="N987" s="201" t="s">
        <v>241</v>
      </c>
      <c r="O987" s="201">
        <v>3375.65</v>
      </c>
      <c r="P987" s="201">
        <v>459.01</v>
      </c>
      <c r="Q987" s="201">
        <f>'Mail Merge'!$O987+'Mail Merge'!$P987</f>
        <v>3834.66</v>
      </c>
      <c r="R987" s="201"/>
      <c r="S987" s="201"/>
      <c r="T987" s="201"/>
      <c r="U987" s="201">
        <f>IF(AND('Mail Merge'!$I987="Did Not Meet",'Mail Merge'!$N987="Did Not Meet"),MIN(ABS('Mail Merge'!$H987),ABS('Mail Merge'!$M987),'Mail Merge'!$Q987),0)</f>
        <v>0</v>
      </c>
      <c r="V987" s="201" t="str">
        <f>IF(OR(IFERROR(SEARCH("Met",'Mail Merge'!$N987),0)&gt;0,IFERROR(SEARCH("Met",'Mail Merge'!$I987),0)&gt;0),"Met","Not Met")</f>
        <v>Met</v>
      </c>
    </row>
    <row r="988" spans="1:22" x14ac:dyDescent="0.35">
      <c r="A988" s="198" t="s">
        <v>17</v>
      </c>
      <c r="B988" s="199">
        <v>2113</v>
      </c>
      <c r="C988" s="199" t="s">
        <v>41</v>
      </c>
      <c r="D988" s="199">
        <v>38</v>
      </c>
      <c r="E988" s="199">
        <v>206197.24</v>
      </c>
      <c r="F988" s="199">
        <v>93559.17</v>
      </c>
      <c r="G988" s="199">
        <f>'Mail Merge'!$E988+'Mail Merge'!$F988</f>
        <v>299756.40999999997</v>
      </c>
      <c r="H988" s="199">
        <v>0</v>
      </c>
      <c r="I988" s="199" t="s">
        <v>241</v>
      </c>
      <c r="J988" s="199">
        <f>IFERROR('Mail Merge'!$E988/'Mail Merge'!$D988,0)</f>
        <v>5426.2431578947362</v>
      </c>
      <c r="K988" s="199">
        <f>IFERROR('Mail Merge'!$F988/'Mail Merge'!$D988,0)</f>
        <v>2462.0834210526314</v>
      </c>
      <c r="L988" s="199">
        <f>IFERROR('Mail Merge'!$G988/'Mail Merge'!$D988,0)</f>
        <v>7888.326578947368</v>
      </c>
      <c r="M988" s="199">
        <v>91021.25</v>
      </c>
      <c r="N988" s="199" t="s">
        <v>240</v>
      </c>
      <c r="O988" s="199">
        <v>53019.72</v>
      </c>
      <c r="P988" s="199">
        <v>0</v>
      </c>
      <c r="Q988" s="199">
        <f>'Mail Merge'!$O988+'Mail Merge'!$P988</f>
        <v>53019.72</v>
      </c>
      <c r="R988" s="199"/>
      <c r="S988" s="199"/>
      <c r="T988" s="199"/>
      <c r="U988" s="199">
        <f>IF(AND('Mail Merge'!$I988="Did Not Meet",'Mail Merge'!$N988="Did Not Meet"),MIN(ABS('Mail Merge'!$H988),ABS('Mail Merge'!$M988),'Mail Merge'!$Q988),0)</f>
        <v>0</v>
      </c>
      <c r="V988" s="199" t="str">
        <f>IF(OR(IFERROR(SEARCH("Met",'Mail Merge'!$N988),0)&gt;0,IFERROR(SEARCH("Met",'Mail Merge'!$I988),0)&gt;0),"Met","Not Met")</f>
        <v>Met</v>
      </c>
    </row>
    <row r="989" spans="1:22" x14ac:dyDescent="0.35">
      <c r="A989" s="200" t="s">
        <v>20</v>
      </c>
      <c r="B989" s="201">
        <v>1899</v>
      </c>
      <c r="C989" s="201" t="s">
        <v>41</v>
      </c>
      <c r="D989" s="201">
        <v>26</v>
      </c>
      <c r="E989" s="201">
        <v>197404.77</v>
      </c>
      <c r="F989" s="201">
        <v>33800</v>
      </c>
      <c r="G989" s="201">
        <f>'Mail Merge'!$E989+'Mail Merge'!$F989</f>
        <v>231204.77</v>
      </c>
      <c r="H989" s="201">
        <v>52274.82</v>
      </c>
      <c r="I989" s="201" t="s">
        <v>240</v>
      </c>
      <c r="J989" s="201">
        <f>IFERROR('Mail Merge'!$E989/'Mail Merge'!$D989,0)</f>
        <v>7592.4911538461538</v>
      </c>
      <c r="K989" s="201">
        <f>IFERROR('Mail Merge'!$F989/'Mail Merge'!$D989,0)</f>
        <v>1300</v>
      </c>
      <c r="L989" s="201">
        <f>IFERROR('Mail Merge'!$G989/'Mail Merge'!$D989,0)</f>
        <v>8892.4911538461529</v>
      </c>
      <c r="M989" s="201">
        <v>89250.42</v>
      </c>
      <c r="N989" s="201" t="s">
        <v>240</v>
      </c>
      <c r="O989" s="201">
        <v>27762.41</v>
      </c>
      <c r="P989" s="201">
        <v>459.01</v>
      </c>
      <c r="Q989" s="201">
        <f>'Mail Merge'!$O989+'Mail Merge'!$P989</f>
        <v>28221.42</v>
      </c>
      <c r="R989" s="201"/>
      <c r="S989" s="201"/>
      <c r="T989" s="201"/>
      <c r="U989" s="201">
        <f>IF(AND('Mail Merge'!$I989="Did Not Meet",'Mail Merge'!$N989="Did Not Meet"),MIN(ABS('Mail Merge'!$H989),ABS('Mail Merge'!$M989),'Mail Merge'!$Q989),0)</f>
        <v>28221.42</v>
      </c>
      <c r="V989" s="201" t="str">
        <f>IF(OR(IFERROR(SEARCH("Met",'Mail Merge'!$N989),0)&gt;0,IFERROR(SEARCH("Met",'Mail Merge'!$I989),0)&gt;0),"Met","Not Met")</f>
        <v>Not Met</v>
      </c>
    </row>
    <row r="990" spans="1:22" x14ac:dyDescent="0.35">
      <c r="A990" s="198" t="s">
        <v>21</v>
      </c>
      <c r="B990" s="199">
        <v>2252</v>
      </c>
      <c r="C990" s="199" t="s">
        <v>41</v>
      </c>
      <c r="D990" s="199">
        <v>113</v>
      </c>
      <c r="E990" s="199">
        <v>597127.64</v>
      </c>
      <c r="F990" s="199">
        <v>189565.79</v>
      </c>
      <c r="G990" s="199">
        <f>'Mail Merge'!$E990+'Mail Merge'!$F990</f>
        <v>786693.43</v>
      </c>
      <c r="H990" s="199">
        <v>0</v>
      </c>
      <c r="I990" s="199" t="s">
        <v>241</v>
      </c>
      <c r="J990" s="199">
        <f>IFERROR('Mail Merge'!$E990/'Mail Merge'!$D990,0)</f>
        <v>5284.3153982300882</v>
      </c>
      <c r="K990" s="199">
        <f>IFERROR('Mail Merge'!$F990/'Mail Merge'!$D990,0)</f>
        <v>1677.5733628318585</v>
      </c>
      <c r="L990" s="199">
        <f>IFERROR('Mail Merge'!$G990/'Mail Merge'!$D990,0)</f>
        <v>6961.8887610619477</v>
      </c>
      <c r="M990" s="199">
        <v>62248.31</v>
      </c>
      <c r="N990" s="199" t="s">
        <v>240</v>
      </c>
      <c r="O990" s="199">
        <v>146410.62</v>
      </c>
      <c r="P990" s="199">
        <v>1224.04</v>
      </c>
      <c r="Q990" s="199">
        <f>'Mail Merge'!$O990+'Mail Merge'!$P990</f>
        <v>147634.66</v>
      </c>
      <c r="R990" s="199"/>
      <c r="S990" s="199"/>
      <c r="T990" s="199"/>
      <c r="U990" s="199">
        <f>IF(AND('Mail Merge'!$I990="Did Not Meet",'Mail Merge'!$N990="Did Not Meet"),MIN(ABS('Mail Merge'!$H990),ABS('Mail Merge'!$M990),'Mail Merge'!$Q990),0)</f>
        <v>0</v>
      </c>
      <c r="V990" s="199" t="str">
        <f>IF(OR(IFERROR(SEARCH("Met",'Mail Merge'!$N990),0)&gt;0,IFERROR(SEARCH("Met",'Mail Merge'!$I990),0)&gt;0),"Met","Not Met")</f>
        <v>Met</v>
      </c>
    </row>
    <row r="991" spans="1:22" x14ac:dyDescent="0.35">
      <c r="A991" s="200" t="s">
        <v>23</v>
      </c>
      <c r="B991" s="201">
        <v>2111</v>
      </c>
      <c r="C991" s="201" t="s">
        <v>41</v>
      </c>
      <c r="D991" s="201">
        <v>10</v>
      </c>
      <c r="E991" s="201">
        <v>10904.2</v>
      </c>
      <c r="F991" s="201">
        <v>29538.9</v>
      </c>
      <c r="G991" s="201">
        <f>'Mail Merge'!$E991+'Mail Merge'!$F991</f>
        <v>40443.100000000006</v>
      </c>
      <c r="H991" s="201">
        <v>0</v>
      </c>
      <c r="I991" s="201" t="s">
        <v>241</v>
      </c>
      <c r="J991" s="201">
        <f>IFERROR('Mail Merge'!$E991/'Mail Merge'!$D991,0)</f>
        <v>1090.42</v>
      </c>
      <c r="K991" s="201">
        <f>IFERROR('Mail Merge'!$F991/'Mail Merge'!$D991,0)</f>
        <v>2953.8900000000003</v>
      </c>
      <c r="L991" s="201">
        <f>IFERROR('Mail Merge'!$G991/'Mail Merge'!$D991,0)</f>
        <v>4044.3100000000004</v>
      </c>
      <c r="M991" s="201">
        <v>0</v>
      </c>
      <c r="N991" s="201" t="s">
        <v>241</v>
      </c>
      <c r="O991" s="201">
        <v>19460.73</v>
      </c>
      <c r="P991" s="201">
        <v>0</v>
      </c>
      <c r="Q991" s="201">
        <f>'Mail Merge'!$O991+'Mail Merge'!$P991</f>
        <v>19460.73</v>
      </c>
      <c r="R991" s="201"/>
      <c r="S991" s="201"/>
      <c r="T991" s="201"/>
      <c r="U991" s="201">
        <f>IF(AND('Mail Merge'!$I991="Did Not Meet",'Mail Merge'!$N991="Did Not Meet"),MIN(ABS('Mail Merge'!$H991),ABS('Mail Merge'!$M991),'Mail Merge'!$Q991),0)</f>
        <v>0</v>
      </c>
      <c r="V991" s="201" t="str">
        <f>IF(OR(IFERROR(SEARCH("Met",'Mail Merge'!$N991),0)&gt;0,IFERROR(SEARCH("Met",'Mail Merge'!$I991),0)&gt;0),"Met","Not Met")</f>
        <v>Met</v>
      </c>
    </row>
    <row r="992" spans="1:22" x14ac:dyDescent="0.35">
      <c r="A992" s="198" t="s">
        <v>24</v>
      </c>
      <c r="B992" s="199">
        <v>2005</v>
      </c>
      <c r="C992" s="199" t="s">
        <v>41</v>
      </c>
      <c r="D992" s="199">
        <v>23</v>
      </c>
      <c r="E992" s="199">
        <v>49315.93</v>
      </c>
      <c r="F992" s="199">
        <v>107500</v>
      </c>
      <c r="G992" s="199">
        <f>'Mail Merge'!$E992+'Mail Merge'!$F992</f>
        <v>156815.93</v>
      </c>
      <c r="H992" s="199">
        <v>0</v>
      </c>
      <c r="I992" s="199" t="s">
        <v>241</v>
      </c>
      <c r="J992" s="199">
        <f>IFERROR('Mail Merge'!$E992/'Mail Merge'!$D992,0)</f>
        <v>2144.1708695652173</v>
      </c>
      <c r="K992" s="199">
        <f>IFERROR('Mail Merge'!$F992/'Mail Merge'!$D992,0)</f>
        <v>4673.913043478261</v>
      </c>
      <c r="L992" s="199">
        <f>IFERROR('Mail Merge'!$G992/'Mail Merge'!$D992,0)</f>
        <v>6818.0839130434779</v>
      </c>
      <c r="M992" s="199">
        <v>9555.99</v>
      </c>
      <c r="N992" s="199" t="s">
        <v>240</v>
      </c>
      <c r="O992" s="199">
        <v>24613.99</v>
      </c>
      <c r="P992" s="199">
        <v>0</v>
      </c>
      <c r="Q992" s="199">
        <f>'Mail Merge'!$O992+'Mail Merge'!$P992</f>
        <v>24613.99</v>
      </c>
      <c r="R992" s="199"/>
      <c r="S992" s="199">
        <v>24736.27</v>
      </c>
      <c r="T992" s="199"/>
      <c r="U992" s="199">
        <f>IF(AND('Mail Merge'!$I992="Did Not Meet",'Mail Merge'!$N992="Did Not Meet"),MIN(ABS('Mail Merge'!$H992),ABS('Mail Merge'!$M992),'Mail Merge'!$Q992),0)</f>
        <v>0</v>
      </c>
      <c r="V992" s="199" t="str">
        <f>IF(OR(IFERROR(SEARCH("Met",'Mail Merge'!$N992),0)&gt;0,IFERROR(SEARCH("Met",'Mail Merge'!$I992),0)&gt;0),"Met","Not Met")</f>
        <v>Met</v>
      </c>
    </row>
    <row r="993" spans="1:22" x14ac:dyDescent="0.35">
      <c r="A993" s="200" t="s">
        <v>25</v>
      </c>
      <c r="B993" s="201">
        <v>2115</v>
      </c>
      <c r="C993" s="201" t="s">
        <v>41</v>
      </c>
      <c r="D993" s="201">
        <v>2</v>
      </c>
      <c r="E993" s="201">
        <v>0</v>
      </c>
      <c r="F993" s="201">
        <v>2500.6999999999998</v>
      </c>
      <c r="G993" s="201">
        <f>'Mail Merge'!$E993+'Mail Merge'!$F993</f>
        <v>2500.6999999999998</v>
      </c>
      <c r="H993" s="201">
        <v>713.58</v>
      </c>
      <c r="I993" s="201" t="s">
        <v>240</v>
      </c>
      <c r="J993" s="201">
        <f>IFERROR('Mail Merge'!$E993/'Mail Merge'!$D993,0)</f>
        <v>0</v>
      </c>
      <c r="K993" s="201">
        <f>IFERROR('Mail Merge'!$F993/'Mail Merge'!$D993,0)</f>
        <v>1250.3499999999999</v>
      </c>
      <c r="L993" s="201">
        <f>IFERROR('Mail Merge'!$G993/'Mail Merge'!$D993,0)</f>
        <v>1250.3499999999999</v>
      </c>
      <c r="M993" s="201">
        <v>713.58</v>
      </c>
      <c r="N993" s="201" t="s">
        <v>240</v>
      </c>
      <c r="O993" s="201">
        <v>3319.14</v>
      </c>
      <c r="P993" s="201">
        <v>0</v>
      </c>
      <c r="Q993" s="201">
        <f>'Mail Merge'!$O993+'Mail Merge'!$P993</f>
        <v>3319.14</v>
      </c>
      <c r="R993" s="201"/>
      <c r="S993" s="201"/>
      <c r="T993" s="201"/>
      <c r="U993" s="201">
        <f>IF(AND('Mail Merge'!$I993="Did Not Meet",'Mail Merge'!$N993="Did Not Meet"),MIN(ABS('Mail Merge'!$H993),ABS('Mail Merge'!$M993),'Mail Merge'!$Q993),0)</f>
        <v>713.58</v>
      </c>
      <c r="V993" s="201" t="str">
        <f>IF(OR(IFERROR(SEARCH("Met",'Mail Merge'!$N993),0)&gt;0,IFERROR(SEARCH("Met",'Mail Merge'!$I993),0)&gt;0),"Met","Not Met")</f>
        <v>Not Met</v>
      </c>
    </row>
    <row r="994" spans="1:22" x14ac:dyDescent="0.35">
      <c r="A994" s="198" t="s">
        <v>26</v>
      </c>
      <c r="B994" s="199">
        <v>2041</v>
      </c>
      <c r="C994" s="199" t="s">
        <v>41</v>
      </c>
      <c r="D994" s="199">
        <v>316</v>
      </c>
      <c r="E994" s="199">
        <v>2435273.69</v>
      </c>
      <c r="F994" s="199">
        <v>255191.55</v>
      </c>
      <c r="G994" s="199">
        <f>'Mail Merge'!$E994+'Mail Merge'!$F994</f>
        <v>2690465.2399999998</v>
      </c>
      <c r="H994" s="199">
        <v>0</v>
      </c>
      <c r="I994" s="199" t="s">
        <v>241</v>
      </c>
      <c r="J994" s="199">
        <f>IFERROR('Mail Merge'!$E994/'Mail Merge'!$D994,0)</f>
        <v>7706.5623101265819</v>
      </c>
      <c r="K994" s="199">
        <f>IFERROR('Mail Merge'!$F994/'Mail Merge'!$D994,0)</f>
        <v>807.56819620253157</v>
      </c>
      <c r="L994" s="199">
        <f>IFERROR('Mail Merge'!$G994/'Mail Merge'!$D994,0)</f>
        <v>8514.1305063291129</v>
      </c>
      <c r="M994" s="199">
        <v>0</v>
      </c>
      <c r="N994" s="199" t="s">
        <v>241</v>
      </c>
      <c r="O994" s="199">
        <v>454839.18</v>
      </c>
      <c r="P994" s="199">
        <v>5698.1</v>
      </c>
      <c r="Q994" s="199">
        <f>'Mail Merge'!$O994+'Mail Merge'!$P994</f>
        <v>460537.27999999997</v>
      </c>
      <c r="R994" s="199"/>
      <c r="S994" s="199"/>
      <c r="T994" s="199"/>
      <c r="U994" s="199">
        <f>IF(AND('Mail Merge'!$I994="Did Not Meet",'Mail Merge'!$N994="Did Not Meet"),MIN(ABS('Mail Merge'!$H994),ABS('Mail Merge'!$M994),'Mail Merge'!$Q994),0)</f>
        <v>0</v>
      </c>
      <c r="V994" s="199" t="str">
        <f>IF(OR(IFERROR(SEARCH("Met",'Mail Merge'!$N994),0)&gt;0,IFERROR(SEARCH("Met",'Mail Merge'!$I994),0)&gt;0),"Met","Not Met")</f>
        <v>Met</v>
      </c>
    </row>
    <row r="995" spans="1:22" x14ac:dyDescent="0.35">
      <c r="A995" s="200" t="s">
        <v>27</v>
      </c>
      <c r="B995" s="201">
        <v>2051</v>
      </c>
      <c r="C995" s="201" t="s">
        <v>41</v>
      </c>
      <c r="D995" s="201">
        <v>0</v>
      </c>
      <c r="E995" s="201">
        <v>0</v>
      </c>
      <c r="F995" s="201">
        <v>6502.24</v>
      </c>
      <c r="G995" s="201">
        <f>'Mail Merge'!$E995+'Mail Merge'!$F995</f>
        <v>6502.24</v>
      </c>
      <c r="H995" s="201">
        <v>1852.66</v>
      </c>
      <c r="I995" s="201" t="s">
        <v>240</v>
      </c>
      <c r="J995" s="201">
        <f>IFERROR('Mail Merge'!$E995/'Mail Merge'!$D995,0)</f>
        <v>0</v>
      </c>
      <c r="K995" s="201">
        <f>IFERROR('Mail Merge'!$F995/'Mail Merge'!$D995,0)</f>
        <v>0</v>
      </c>
      <c r="L995" s="201">
        <f>IFERROR('Mail Merge'!$G995/'Mail Merge'!$D995,0)</f>
        <v>0</v>
      </c>
      <c r="M995" s="201">
        <v>0</v>
      </c>
      <c r="N995" s="201"/>
      <c r="O995" s="201">
        <v>820.22</v>
      </c>
      <c r="P995" s="201">
        <v>0</v>
      </c>
      <c r="Q995" s="201">
        <f>'Mail Merge'!$O995+'Mail Merge'!$P995</f>
        <v>820.22</v>
      </c>
      <c r="R995" s="201"/>
      <c r="S995" s="201"/>
      <c r="T995" s="201"/>
      <c r="U995" s="201">
        <f>IF(AND('Mail Merge'!$I995="Did Not Meet",'Mail Merge'!$N995="Did Not Meet"),MIN(ABS('Mail Merge'!$H995),ABS('Mail Merge'!$M995),'Mail Merge'!$Q995),0)</f>
        <v>0</v>
      </c>
      <c r="V995" s="201" t="str">
        <f>IF(OR(IFERROR(SEARCH("Met",'Mail Merge'!$N995),0)&gt;0,IFERROR(SEARCH("Met",'Mail Merge'!$I995),0)&gt;0),"Met","Not Met")</f>
        <v>Not Met</v>
      </c>
    </row>
    <row r="996" spans="1:22" x14ac:dyDescent="0.35">
      <c r="A996" s="198" t="s">
        <v>28</v>
      </c>
      <c r="B996" s="199">
        <v>1933</v>
      </c>
      <c r="C996" s="199" t="s">
        <v>41</v>
      </c>
      <c r="D996" s="199">
        <v>270</v>
      </c>
      <c r="E996" s="199">
        <v>2208256.11</v>
      </c>
      <c r="F996" s="199">
        <v>442652</v>
      </c>
      <c r="G996" s="199">
        <f>'Mail Merge'!$E996+'Mail Merge'!$F996</f>
        <v>2650908.11</v>
      </c>
      <c r="H996" s="199">
        <v>0</v>
      </c>
      <c r="I996" s="199" t="s">
        <v>241</v>
      </c>
      <c r="J996" s="199">
        <f>IFERROR('Mail Merge'!$E996/'Mail Merge'!$D996,0)</f>
        <v>8178.7263333333331</v>
      </c>
      <c r="K996" s="199">
        <f>IFERROR('Mail Merge'!$F996/'Mail Merge'!$D996,0)</f>
        <v>1639.4518518518519</v>
      </c>
      <c r="L996" s="199">
        <f>IFERROR('Mail Merge'!$G996/'Mail Merge'!$D996,0)</f>
        <v>9818.1781851851847</v>
      </c>
      <c r="M996" s="199">
        <v>22458.7</v>
      </c>
      <c r="N996" s="199" t="s">
        <v>240</v>
      </c>
      <c r="O996" s="199">
        <v>265318.28000000003</v>
      </c>
      <c r="P996" s="199">
        <v>1984.92</v>
      </c>
      <c r="Q996" s="199">
        <f>'Mail Merge'!$O996+'Mail Merge'!$P996</f>
        <v>267303.2</v>
      </c>
      <c r="R996" s="199"/>
      <c r="S996" s="199"/>
      <c r="T996" s="199"/>
      <c r="U996" s="199">
        <f>IF(AND('Mail Merge'!$I996="Did Not Meet",'Mail Merge'!$N996="Did Not Meet"),MIN(ABS('Mail Merge'!$H996),ABS('Mail Merge'!$M996),'Mail Merge'!$Q996),0)</f>
        <v>0</v>
      </c>
      <c r="V996" s="199" t="str">
        <f>IF(OR(IFERROR(SEARCH("Met",'Mail Merge'!$N996),0)&gt;0,IFERROR(SEARCH("Met",'Mail Merge'!$I996),0)&gt;0),"Met","Not Met")</f>
        <v>Met</v>
      </c>
    </row>
    <row r="997" spans="1:22" x14ac:dyDescent="0.35">
      <c r="A997" s="200" t="s">
        <v>29</v>
      </c>
      <c r="B997" s="201">
        <v>2208</v>
      </c>
      <c r="C997" s="201" t="s">
        <v>41</v>
      </c>
      <c r="D997" s="201">
        <v>77</v>
      </c>
      <c r="E997" s="201">
        <v>429712.26</v>
      </c>
      <c r="F997" s="201">
        <v>129625.16</v>
      </c>
      <c r="G997" s="201">
        <f>'Mail Merge'!$E997+'Mail Merge'!$F997</f>
        <v>559337.42000000004</v>
      </c>
      <c r="H997" s="201">
        <v>0</v>
      </c>
      <c r="I997" s="201" t="s">
        <v>241</v>
      </c>
      <c r="J997" s="201">
        <f>IFERROR('Mail Merge'!$E997/'Mail Merge'!$D997,0)</f>
        <v>5580.6787012987015</v>
      </c>
      <c r="K997" s="201">
        <f>IFERROR('Mail Merge'!$F997/'Mail Merge'!$D997,0)</f>
        <v>1683.4436363636364</v>
      </c>
      <c r="L997" s="201">
        <f>IFERROR('Mail Merge'!$G997/'Mail Merge'!$D997,0)</f>
        <v>7264.1223376623384</v>
      </c>
      <c r="M997" s="201">
        <v>0</v>
      </c>
      <c r="N997" s="201" t="s">
        <v>241</v>
      </c>
      <c r="O997" s="201">
        <v>102207.64</v>
      </c>
      <c r="P997" s="201">
        <v>2754.08</v>
      </c>
      <c r="Q997" s="201">
        <f>'Mail Merge'!$O997+'Mail Merge'!$P997</f>
        <v>104961.72</v>
      </c>
      <c r="R997" s="201"/>
      <c r="S997" s="201"/>
      <c r="T997" s="201"/>
      <c r="U997" s="201">
        <f>IF(AND('Mail Merge'!$I997="Did Not Meet",'Mail Merge'!$N997="Did Not Meet"),MIN(ABS('Mail Merge'!$H997),ABS('Mail Merge'!$M997),'Mail Merge'!$Q997),0)</f>
        <v>0</v>
      </c>
      <c r="V997" s="201" t="str">
        <f>IF(OR(IFERROR(SEARCH("Met",'Mail Merge'!$N997),0)&gt;0,IFERROR(SEARCH("Met",'Mail Merge'!$I997),0)&gt;0),"Met","Not Met")</f>
        <v>Met</v>
      </c>
    </row>
    <row r="998" spans="1:22" x14ac:dyDescent="0.35">
      <c r="A998" s="198" t="s">
        <v>30</v>
      </c>
      <c r="B998" s="199">
        <v>1894</v>
      </c>
      <c r="C998" s="199" t="s">
        <v>41</v>
      </c>
      <c r="D998" s="199">
        <v>302</v>
      </c>
      <c r="E998" s="199">
        <v>2194376.59</v>
      </c>
      <c r="F998" s="199">
        <v>0</v>
      </c>
      <c r="G998" s="199">
        <f>'Mail Merge'!$E998+'Mail Merge'!$F998</f>
        <v>2194376.59</v>
      </c>
      <c r="H998" s="199">
        <v>0</v>
      </c>
      <c r="I998" s="199" t="s">
        <v>241</v>
      </c>
      <c r="J998" s="199">
        <f>IFERROR('Mail Merge'!$E998/'Mail Merge'!$D998,0)</f>
        <v>7266.1476490066216</v>
      </c>
      <c r="K998" s="199">
        <f>IFERROR('Mail Merge'!$F998/'Mail Merge'!$D998,0)</f>
        <v>0</v>
      </c>
      <c r="L998" s="199">
        <f>IFERROR('Mail Merge'!$G998/'Mail Merge'!$D998,0)</f>
        <v>7266.1476490066216</v>
      </c>
      <c r="M998" s="199">
        <v>123205.64</v>
      </c>
      <c r="N998" s="199" t="s">
        <v>240</v>
      </c>
      <c r="O998" s="199">
        <v>410522.56</v>
      </c>
      <c r="P998" s="199">
        <v>4220.6899999999996</v>
      </c>
      <c r="Q998" s="199">
        <f>'Mail Merge'!$O998+'Mail Merge'!$P998</f>
        <v>414743.25</v>
      </c>
      <c r="R998" s="199"/>
      <c r="S998" s="199"/>
      <c r="T998" s="199"/>
      <c r="U998" s="199">
        <f>IF(AND('Mail Merge'!$I998="Did Not Meet",'Mail Merge'!$N998="Did Not Meet"),MIN(ABS('Mail Merge'!$H998),ABS('Mail Merge'!$M998),'Mail Merge'!$Q998),0)</f>
        <v>0</v>
      </c>
      <c r="V998" s="199" t="str">
        <f>IF(OR(IFERROR(SEARCH("Met",'Mail Merge'!$N998),0)&gt;0,IFERROR(SEARCH("Met",'Mail Merge'!$I998),0)&gt;0),"Met","Not Met")</f>
        <v>Met</v>
      </c>
    </row>
    <row r="999" spans="1:22" x14ac:dyDescent="0.35">
      <c r="A999" s="200" t="s">
        <v>32</v>
      </c>
      <c r="B999" s="201">
        <v>1969</v>
      </c>
      <c r="C999" s="201" t="s">
        <v>41</v>
      </c>
      <c r="D999" s="201">
        <v>97</v>
      </c>
      <c r="E999" s="201">
        <v>859379.78</v>
      </c>
      <c r="F999" s="201">
        <v>282839</v>
      </c>
      <c r="G999" s="201">
        <f>'Mail Merge'!$E999+'Mail Merge'!$F999</f>
        <v>1142218.78</v>
      </c>
      <c r="H999" s="201">
        <v>0</v>
      </c>
      <c r="I999" s="201" t="s">
        <v>241</v>
      </c>
      <c r="J999" s="201">
        <f>IFERROR('Mail Merge'!$E999/'Mail Merge'!$D999,0)</f>
        <v>8859.5853608247417</v>
      </c>
      <c r="K999" s="201">
        <f>IFERROR('Mail Merge'!$F999/'Mail Merge'!$D999,0)</f>
        <v>2915.8659793814431</v>
      </c>
      <c r="L999" s="201">
        <f>IFERROR('Mail Merge'!$G999/'Mail Merge'!$D999,0)</f>
        <v>11775.451340206186</v>
      </c>
      <c r="M999" s="201">
        <v>103980.12</v>
      </c>
      <c r="N999" s="201" t="s">
        <v>240</v>
      </c>
      <c r="O999" s="201">
        <v>134173.41</v>
      </c>
      <c r="P999" s="201">
        <v>2103.81</v>
      </c>
      <c r="Q999" s="201">
        <f>'Mail Merge'!$O999+'Mail Merge'!$P999</f>
        <v>136277.22</v>
      </c>
      <c r="R999" s="201"/>
      <c r="S999" s="201"/>
      <c r="T999" s="201"/>
      <c r="U999" s="201">
        <f>IF(AND('Mail Merge'!$I999="Did Not Meet",'Mail Merge'!$N999="Did Not Meet"),MIN(ABS('Mail Merge'!$H999),ABS('Mail Merge'!$M999),'Mail Merge'!$Q999),0)</f>
        <v>0</v>
      </c>
      <c r="V999" s="201" t="str">
        <f>IF(OR(IFERROR(SEARCH("Met",'Mail Merge'!$N999),0)&gt;0,IFERROR(SEARCH("Met",'Mail Merge'!$I999),0)&gt;0),"Met","Not Met")</f>
        <v>Met</v>
      </c>
    </row>
    <row r="1000" spans="1:22" x14ac:dyDescent="0.35">
      <c r="A1000" s="198" t="s">
        <v>33</v>
      </c>
      <c r="B1000" s="199">
        <v>2240</v>
      </c>
      <c r="C1000" s="199" t="s">
        <v>41</v>
      </c>
      <c r="D1000" s="199">
        <v>160</v>
      </c>
      <c r="E1000" s="199">
        <v>1521643.81</v>
      </c>
      <c r="F1000" s="199">
        <v>269930</v>
      </c>
      <c r="G1000" s="199">
        <f>'Mail Merge'!$E1000+'Mail Merge'!$F1000</f>
        <v>1791573.81</v>
      </c>
      <c r="H1000" s="199">
        <v>0</v>
      </c>
      <c r="I1000" s="199" t="s">
        <v>241</v>
      </c>
      <c r="J1000" s="199">
        <f>IFERROR('Mail Merge'!$E1000/'Mail Merge'!$D1000,0)</f>
        <v>9510.2738124999996</v>
      </c>
      <c r="K1000" s="199">
        <f>IFERROR('Mail Merge'!$F1000/'Mail Merge'!$D1000,0)</f>
        <v>1687.0625</v>
      </c>
      <c r="L1000" s="199">
        <f>IFERROR('Mail Merge'!$G1000/'Mail Merge'!$D1000,0)</f>
        <v>11197.3363125</v>
      </c>
      <c r="M1000" s="199">
        <v>28949.69</v>
      </c>
      <c r="N1000" s="199" t="s">
        <v>240</v>
      </c>
      <c r="O1000" s="199">
        <v>173558.23</v>
      </c>
      <c r="P1000" s="199">
        <v>295.08</v>
      </c>
      <c r="Q1000" s="199">
        <f>'Mail Merge'!$O1000+'Mail Merge'!$P1000</f>
        <v>173853.31</v>
      </c>
      <c r="R1000" s="199"/>
      <c r="S1000" s="199"/>
      <c r="T1000" s="199"/>
      <c r="U1000" s="199">
        <f>IF(AND('Mail Merge'!$I1000="Did Not Meet",'Mail Merge'!$N1000="Did Not Meet"),MIN(ABS('Mail Merge'!$H1000),ABS('Mail Merge'!$M1000),'Mail Merge'!$Q1000),0)</f>
        <v>0</v>
      </c>
      <c r="V1000" s="199" t="str">
        <f>IF(OR(IFERROR(SEARCH("Met",'Mail Merge'!$N1000),0)&gt;0,IFERROR(SEARCH("Met",'Mail Merge'!$I1000),0)&gt;0),"Met","Not Met")</f>
        <v>Met</v>
      </c>
    </row>
    <row r="1001" spans="1:22" x14ac:dyDescent="0.35">
      <c r="A1001" s="200" t="s">
        <v>34</v>
      </c>
      <c r="B1001" s="201">
        <v>2243</v>
      </c>
      <c r="C1001" s="201" t="s">
        <v>41</v>
      </c>
      <c r="D1001" s="201">
        <v>4841</v>
      </c>
      <c r="E1001" s="201">
        <v>46977895.829999998</v>
      </c>
      <c r="F1001" s="201">
        <v>4309869</v>
      </c>
      <c r="G1001" s="201">
        <f>'Mail Merge'!$E1001+'Mail Merge'!$F1001</f>
        <v>51287764.829999998</v>
      </c>
      <c r="H1001" s="201">
        <v>0</v>
      </c>
      <c r="I1001" s="201" t="s">
        <v>241</v>
      </c>
      <c r="J1001" s="201">
        <f>IFERROR('Mail Merge'!$E1001/'Mail Merge'!$D1001,0)</f>
        <v>9704.1718302003719</v>
      </c>
      <c r="K1001" s="201">
        <f>IFERROR('Mail Merge'!$F1001/'Mail Merge'!$D1001,0)</f>
        <v>890.28485850030984</v>
      </c>
      <c r="L1001" s="201">
        <f>IFERROR('Mail Merge'!$G1001/'Mail Merge'!$D1001,0)</f>
        <v>10594.456688700682</v>
      </c>
      <c r="M1001" s="201">
        <v>0</v>
      </c>
      <c r="N1001" s="201" t="s">
        <v>241</v>
      </c>
      <c r="O1001" s="201">
        <v>6522239.6500000004</v>
      </c>
      <c r="P1001" s="201">
        <v>24337.42</v>
      </c>
      <c r="Q1001" s="201">
        <f>'Mail Merge'!$O1001+'Mail Merge'!$P1001</f>
        <v>6546577.0700000003</v>
      </c>
      <c r="R1001" s="201"/>
      <c r="S1001" s="201"/>
      <c r="T1001" s="201"/>
      <c r="U1001" s="201">
        <f>IF(AND('Mail Merge'!$I1001="Did Not Meet",'Mail Merge'!$N1001="Did Not Meet"),MIN(ABS('Mail Merge'!$H1001),ABS('Mail Merge'!$M1001),'Mail Merge'!$Q1001),0)</f>
        <v>0</v>
      </c>
      <c r="V1001" s="201" t="str">
        <f>IF(OR(IFERROR(SEARCH("Met",'Mail Merge'!$N1001),0)&gt;0,IFERROR(SEARCH("Met",'Mail Merge'!$I1001),0)&gt;0),"Met","Not Met")</f>
        <v>Met</v>
      </c>
    </row>
    <row r="1002" spans="1:22" x14ac:dyDescent="0.35">
      <c r="A1002" s="198" t="s">
        <v>35</v>
      </c>
      <c r="B1002" s="199">
        <v>1976</v>
      </c>
      <c r="C1002" s="199" t="s">
        <v>41</v>
      </c>
      <c r="D1002" s="199">
        <v>1879</v>
      </c>
      <c r="E1002" s="199">
        <v>18442457</v>
      </c>
      <c r="F1002" s="199">
        <v>2067157.53</v>
      </c>
      <c r="G1002" s="199">
        <f>'Mail Merge'!$E1002+'Mail Merge'!$F1002</f>
        <v>20509614.530000001</v>
      </c>
      <c r="H1002" s="199">
        <v>0</v>
      </c>
      <c r="I1002" s="199" t="s">
        <v>241</v>
      </c>
      <c r="J1002" s="199">
        <f>IFERROR('Mail Merge'!$E1002/'Mail Merge'!$D1002,0)</f>
        <v>9815.0383182543901</v>
      </c>
      <c r="K1002" s="199">
        <f>IFERROR('Mail Merge'!$F1002/'Mail Merge'!$D1002,0)</f>
        <v>1100.1370569451835</v>
      </c>
      <c r="L1002" s="199">
        <f>IFERROR('Mail Merge'!$G1002/'Mail Merge'!$D1002,0)</f>
        <v>10915.175375199575</v>
      </c>
      <c r="M1002" s="199">
        <v>0</v>
      </c>
      <c r="N1002" s="199" t="s">
        <v>241</v>
      </c>
      <c r="O1002" s="199">
        <v>2594995.1</v>
      </c>
      <c r="P1002" s="199">
        <v>15157.42</v>
      </c>
      <c r="Q1002" s="199">
        <f>'Mail Merge'!$O1002+'Mail Merge'!$P1002</f>
        <v>2610152.52</v>
      </c>
      <c r="R1002" s="199"/>
      <c r="S1002" s="199"/>
      <c r="T1002" s="199"/>
      <c r="U1002" s="199">
        <f>IF(AND('Mail Merge'!$I1002="Did Not Meet",'Mail Merge'!$N1002="Did Not Meet"),MIN(ABS('Mail Merge'!$H1002),ABS('Mail Merge'!$M1002),'Mail Merge'!$Q1002),0)</f>
        <v>0</v>
      </c>
      <c r="V1002" s="199" t="str">
        <f>IF(OR(IFERROR(SEARCH("Met",'Mail Merge'!$N1002),0)&gt;0,IFERROR(SEARCH("Met",'Mail Merge'!$I1002),0)&gt;0),"Met","Not Met")</f>
        <v>Met</v>
      </c>
    </row>
    <row r="1003" spans="1:22" x14ac:dyDescent="0.35">
      <c r="A1003" s="200" t="s">
        <v>36</v>
      </c>
      <c r="B1003" s="201">
        <v>2088</v>
      </c>
      <c r="C1003" s="201" t="s">
        <v>41</v>
      </c>
      <c r="D1003" s="201">
        <v>964</v>
      </c>
      <c r="E1003" s="201">
        <v>8851064.5</v>
      </c>
      <c r="F1003" s="201">
        <v>1094503</v>
      </c>
      <c r="G1003" s="201">
        <f>'Mail Merge'!$E1003+'Mail Merge'!$F1003</f>
        <v>9945567.5</v>
      </c>
      <c r="H1003" s="201">
        <v>0</v>
      </c>
      <c r="I1003" s="201" t="s">
        <v>241</v>
      </c>
      <c r="J1003" s="201">
        <f>IFERROR('Mail Merge'!$E1003/'Mail Merge'!$D1003,0)</f>
        <v>9181.6021784232362</v>
      </c>
      <c r="K1003" s="201">
        <f>IFERROR('Mail Merge'!$F1003/'Mail Merge'!$D1003,0)</f>
        <v>1135.3765560165975</v>
      </c>
      <c r="L1003" s="201">
        <f>IFERROR('Mail Merge'!$G1003/'Mail Merge'!$D1003,0)</f>
        <v>10316.978734439834</v>
      </c>
      <c r="M1003" s="201">
        <v>0</v>
      </c>
      <c r="N1003" s="201" t="s">
        <v>241</v>
      </c>
      <c r="O1003" s="201">
        <v>938391.62</v>
      </c>
      <c r="P1003" s="201">
        <v>4866.6499999999996</v>
      </c>
      <c r="Q1003" s="201">
        <f>'Mail Merge'!$O1003+'Mail Merge'!$P1003</f>
        <v>943258.27</v>
      </c>
      <c r="R1003" s="201"/>
      <c r="S1003" s="201"/>
      <c r="T1003" s="201"/>
      <c r="U1003" s="201">
        <f>IF(AND('Mail Merge'!$I1003="Did Not Meet",'Mail Merge'!$N1003="Did Not Meet"),MIN(ABS('Mail Merge'!$H1003),ABS('Mail Merge'!$M1003),'Mail Merge'!$Q1003),0)</f>
        <v>0</v>
      </c>
      <c r="V1003" s="201" t="str">
        <f>IF(OR(IFERROR(SEARCH("Met",'Mail Merge'!$N1003),0)&gt;0,IFERROR(SEARCH("Met",'Mail Merge'!$I1003),0)&gt;0),"Met","Not Met")</f>
        <v>Met</v>
      </c>
    </row>
    <row r="1004" spans="1:22" x14ac:dyDescent="0.35">
      <c r="A1004" s="198" t="s">
        <v>37</v>
      </c>
      <c r="B1004" s="199">
        <v>2095</v>
      </c>
      <c r="C1004" s="199" t="s">
        <v>41</v>
      </c>
      <c r="D1004" s="199">
        <v>38</v>
      </c>
      <c r="E1004" s="199">
        <v>312505.25</v>
      </c>
      <c r="F1004" s="199">
        <v>49576</v>
      </c>
      <c r="G1004" s="199">
        <f>'Mail Merge'!$E1004+'Mail Merge'!$F1004</f>
        <v>362081.25</v>
      </c>
      <c r="H1004" s="199">
        <v>0</v>
      </c>
      <c r="I1004" s="199" t="s">
        <v>241</v>
      </c>
      <c r="J1004" s="199">
        <f>IFERROR('Mail Merge'!$E1004/'Mail Merge'!$D1004,0)</f>
        <v>8223.8223684210534</v>
      </c>
      <c r="K1004" s="199">
        <f>IFERROR('Mail Merge'!$F1004/'Mail Merge'!$D1004,0)</f>
        <v>1304.6315789473683</v>
      </c>
      <c r="L1004" s="199">
        <f>IFERROR('Mail Merge'!$G1004/'Mail Merge'!$D1004,0)</f>
        <v>9528.4539473684217</v>
      </c>
      <c r="M1004" s="199">
        <v>0</v>
      </c>
      <c r="N1004" s="199" t="s">
        <v>242</v>
      </c>
      <c r="O1004" s="199">
        <v>42952.34</v>
      </c>
      <c r="P1004" s="199">
        <v>344.26</v>
      </c>
      <c r="Q1004" s="199">
        <f>'Mail Merge'!$O1004+'Mail Merge'!$P1004</f>
        <v>43296.6</v>
      </c>
      <c r="R1004" s="199"/>
      <c r="S1004" s="199">
        <v>17946.990000000002</v>
      </c>
      <c r="T1004" s="199">
        <v>17946.990000000002</v>
      </c>
      <c r="U1004" s="199">
        <f>IF(AND('Mail Merge'!$I1004="Did Not Meet",'Mail Merge'!$N1004="Did Not Meet"),MIN(ABS('Mail Merge'!$H1004),ABS('Mail Merge'!$M1004),'Mail Merge'!$Q1004),0)</f>
        <v>0</v>
      </c>
      <c r="V1004" s="199" t="str">
        <f>IF(OR(IFERROR(SEARCH("Met",'Mail Merge'!$N1004),0)&gt;0,IFERROR(SEARCH("Met",'Mail Merge'!$I1004),0)&gt;0),"Met","Not Met")</f>
        <v>Met</v>
      </c>
    </row>
    <row r="1005" spans="1:22" x14ac:dyDescent="0.35">
      <c r="A1005" s="200" t="s">
        <v>38</v>
      </c>
      <c r="B1005" s="201">
        <v>2052</v>
      </c>
      <c r="C1005" s="201" t="s">
        <v>41</v>
      </c>
      <c r="D1005" s="201">
        <v>0</v>
      </c>
      <c r="E1005" s="201">
        <v>0.01</v>
      </c>
      <c r="F1005" s="201">
        <v>11122.39</v>
      </c>
      <c r="G1005" s="201">
        <f>'Mail Merge'!$E1005+'Mail Merge'!$F1005</f>
        <v>11122.4</v>
      </c>
      <c r="H1005" s="201">
        <v>5458.14</v>
      </c>
      <c r="I1005" s="201" t="s">
        <v>240</v>
      </c>
      <c r="J1005" s="201">
        <f>IFERROR('Mail Merge'!$E1005/'Mail Merge'!$D1005,0)</f>
        <v>0</v>
      </c>
      <c r="K1005" s="201">
        <f>IFERROR('Mail Merge'!$F1005/'Mail Merge'!$D1005,0)</f>
        <v>0</v>
      </c>
      <c r="L1005" s="201">
        <f>IFERROR('Mail Merge'!$G1005/'Mail Merge'!$D1005,0)</f>
        <v>0</v>
      </c>
      <c r="M1005" s="201">
        <v>0</v>
      </c>
      <c r="N1005" s="201" t="s">
        <v>241</v>
      </c>
      <c r="O1005" s="201">
        <v>3868.5</v>
      </c>
      <c r="P1005" s="201">
        <v>0</v>
      </c>
      <c r="Q1005" s="201">
        <f>'Mail Merge'!$O1005+'Mail Merge'!$P1005</f>
        <v>3868.5</v>
      </c>
      <c r="R1005" s="201"/>
      <c r="S1005" s="201"/>
      <c r="T1005" s="201"/>
      <c r="U1005" s="201">
        <f>IF(AND('Mail Merge'!$I1005="Did Not Meet",'Mail Merge'!$N1005="Did Not Meet"),MIN(ABS('Mail Merge'!$H1005),ABS('Mail Merge'!$M1005),'Mail Merge'!$Q1005),0)</f>
        <v>0</v>
      </c>
      <c r="V1005" s="201" t="str">
        <f>IF(OR(IFERROR(SEARCH("Met",'Mail Merge'!$N1005),0)&gt;0,IFERROR(SEARCH("Met",'Mail Merge'!$I1005),0)&gt;0),"Met","Not Met")</f>
        <v>Met</v>
      </c>
    </row>
    <row r="1006" spans="1:22" x14ac:dyDescent="0.35">
      <c r="A1006" s="198" t="s">
        <v>39</v>
      </c>
      <c r="B1006" s="199">
        <v>1974</v>
      </c>
      <c r="C1006" s="199" t="s">
        <v>41</v>
      </c>
      <c r="D1006" s="199">
        <v>247</v>
      </c>
      <c r="E1006" s="199">
        <v>1833163.31</v>
      </c>
      <c r="F1006" s="199">
        <v>125259</v>
      </c>
      <c r="G1006" s="199">
        <f>'Mail Merge'!$E1006+'Mail Merge'!$F1006</f>
        <v>1958422.31</v>
      </c>
      <c r="H1006" s="199">
        <v>0</v>
      </c>
      <c r="I1006" s="199" t="s">
        <v>241</v>
      </c>
      <c r="J1006" s="199">
        <f>IFERROR('Mail Merge'!$E1006/'Mail Merge'!$D1006,0)</f>
        <v>7421.713805668016</v>
      </c>
      <c r="K1006" s="199">
        <f>IFERROR('Mail Merge'!$F1006/'Mail Merge'!$D1006,0)</f>
        <v>507.12145748987854</v>
      </c>
      <c r="L1006" s="199">
        <f>IFERROR('Mail Merge'!$G1006/'Mail Merge'!$D1006,0)</f>
        <v>7928.8352631578946</v>
      </c>
      <c r="M1006" s="199">
        <v>400687.35999999999</v>
      </c>
      <c r="N1006" s="199" t="s">
        <v>240</v>
      </c>
      <c r="O1006" s="199">
        <v>252188.19</v>
      </c>
      <c r="P1006" s="199">
        <v>4259.6499999999996</v>
      </c>
      <c r="Q1006" s="199">
        <f>'Mail Merge'!$O1006+'Mail Merge'!$P1006</f>
        <v>256447.84</v>
      </c>
      <c r="R1006" s="199"/>
      <c r="S1006" s="199"/>
      <c r="T1006" s="199"/>
      <c r="U1006" s="199">
        <f>IF(AND('Mail Merge'!$I1006="Did Not Meet",'Mail Merge'!$N1006="Did Not Meet"),MIN(ABS('Mail Merge'!$H1006),ABS('Mail Merge'!$M1006),'Mail Merge'!$Q1006),0)</f>
        <v>0</v>
      </c>
      <c r="V1006" s="199" t="str">
        <f>IF(OR(IFERROR(SEARCH("Met",'Mail Merge'!$N1006),0)&gt;0,IFERROR(SEARCH("Met",'Mail Merge'!$I1006),0)&gt;0),"Met","Not Met")</f>
        <v>Met</v>
      </c>
    </row>
    <row r="1007" spans="1:22" x14ac:dyDescent="0.35">
      <c r="A1007" s="200" t="s">
        <v>40</v>
      </c>
      <c r="B1007" s="201">
        <v>1896</v>
      </c>
      <c r="C1007" s="201" t="s">
        <v>41</v>
      </c>
      <c r="D1007" s="201">
        <v>1</v>
      </c>
      <c r="E1007" s="201">
        <v>47290</v>
      </c>
      <c r="F1007" s="201">
        <v>13858.73</v>
      </c>
      <c r="G1007" s="201">
        <f>'Mail Merge'!$E1007+'Mail Merge'!$F1007</f>
        <v>61148.729999999996</v>
      </c>
      <c r="H1007" s="201">
        <v>0</v>
      </c>
      <c r="I1007" s="201" t="s">
        <v>241</v>
      </c>
      <c r="J1007" s="201">
        <f>IFERROR('Mail Merge'!$E1007/'Mail Merge'!$D1007,0)</f>
        <v>47290</v>
      </c>
      <c r="K1007" s="201">
        <f>IFERROR('Mail Merge'!$F1007/'Mail Merge'!$D1007,0)</f>
        <v>13858.73</v>
      </c>
      <c r="L1007" s="201">
        <f>IFERROR('Mail Merge'!$G1007/'Mail Merge'!$D1007,0)</f>
        <v>61148.729999999996</v>
      </c>
      <c r="M1007" s="201">
        <v>0</v>
      </c>
      <c r="N1007" s="201" t="s">
        <v>241</v>
      </c>
      <c r="O1007" s="201">
        <v>14248.05</v>
      </c>
      <c r="P1007" s="201">
        <v>0</v>
      </c>
      <c r="Q1007" s="201">
        <f>'Mail Merge'!$O1007+'Mail Merge'!$P1007</f>
        <v>14248.05</v>
      </c>
      <c r="R1007" s="201"/>
      <c r="S1007" s="201"/>
      <c r="T1007" s="201"/>
      <c r="U1007" s="201">
        <f>IF(AND('Mail Merge'!$I1007="Did Not Meet",'Mail Merge'!$N1007="Did Not Meet"),MIN(ABS('Mail Merge'!$H1007),ABS('Mail Merge'!$M1007),'Mail Merge'!$Q1007),0)</f>
        <v>0</v>
      </c>
      <c r="V1007" s="201" t="str">
        <f>IF(OR(IFERROR(SEARCH("Met",'Mail Merge'!$N1007),0)&gt;0,IFERROR(SEARCH("Met",'Mail Merge'!$I1007),0)&gt;0),"Met","Not Met")</f>
        <v>Met</v>
      </c>
    </row>
    <row r="1008" spans="1:22" x14ac:dyDescent="0.35">
      <c r="A1008" s="198" t="s">
        <v>42</v>
      </c>
      <c r="B1008" s="199">
        <v>2046</v>
      </c>
      <c r="C1008" s="199" t="s">
        <v>41</v>
      </c>
      <c r="D1008" s="199">
        <v>30</v>
      </c>
      <c r="E1008" s="199">
        <v>154535.43</v>
      </c>
      <c r="F1008" s="199">
        <v>67516.59</v>
      </c>
      <c r="G1008" s="199">
        <f>'Mail Merge'!$E1008+'Mail Merge'!$F1008</f>
        <v>222052.02</v>
      </c>
      <c r="H1008" s="199">
        <v>0</v>
      </c>
      <c r="I1008" s="199" t="s">
        <v>241</v>
      </c>
      <c r="J1008" s="199">
        <f>IFERROR('Mail Merge'!$E1008/'Mail Merge'!$D1008,0)</f>
        <v>5151.1809999999996</v>
      </c>
      <c r="K1008" s="199">
        <f>IFERROR('Mail Merge'!$F1008/'Mail Merge'!$D1008,0)</f>
        <v>2250.5529999999999</v>
      </c>
      <c r="L1008" s="199">
        <f>IFERROR('Mail Merge'!$G1008/'Mail Merge'!$D1008,0)</f>
        <v>7401.7339999999995</v>
      </c>
      <c r="M1008" s="199">
        <v>0</v>
      </c>
      <c r="N1008" s="199" t="s">
        <v>241</v>
      </c>
      <c r="O1008" s="199">
        <v>24855.45</v>
      </c>
      <c r="P1008" s="199">
        <v>459.01</v>
      </c>
      <c r="Q1008" s="199">
        <f>'Mail Merge'!$O1008+'Mail Merge'!$P1008</f>
        <v>25314.46</v>
      </c>
      <c r="R1008" s="199"/>
      <c r="S1008" s="199"/>
      <c r="T1008" s="199"/>
      <c r="U1008" s="199">
        <f>IF(AND('Mail Merge'!$I1008="Did Not Meet",'Mail Merge'!$N1008="Did Not Meet"),MIN(ABS('Mail Merge'!$H1008),ABS('Mail Merge'!$M1008),'Mail Merge'!$Q1008),0)</f>
        <v>0</v>
      </c>
      <c r="V1008" s="199" t="str">
        <f>IF(OR(IFERROR(SEARCH("Met",'Mail Merge'!$N1008),0)&gt;0,IFERROR(SEARCH("Met",'Mail Merge'!$I1008),0)&gt;0),"Met","Not Met")</f>
        <v>Met</v>
      </c>
    </row>
    <row r="1009" spans="1:22" x14ac:dyDescent="0.35">
      <c r="A1009" s="200" t="s">
        <v>43</v>
      </c>
      <c r="B1009" s="201">
        <v>1995</v>
      </c>
      <c r="C1009" s="201" t="s">
        <v>41</v>
      </c>
      <c r="D1009" s="201">
        <v>38</v>
      </c>
      <c r="E1009" s="201">
        <v>196072.34</v>
      </c>
      <c r="F1009" s="201">
        <v>43130.27</v>
      </c>
      <c r="G1009" s="201">
        <f>'Mail Merge'!$E1009+'Mail Merge'!$F1009</f>
        <v>239202.61</v>
      </c>
      <c r="H1009" s="201">
        <v>0</v>
      </c>
      <c r="I1009" s="201" t="s">
        <v>241</v>
      </c>
      <c r="J1009" s="201">
        <f>IFERROR('Mail Merge'!$E1009/'Mail Merge'!$D1009,0)</f>
        <v>5159.7984210526311</v>
      </c>
      <c r="K1009" s="201">
        <f>IFERROR('Mail Merge'!$F1009/'Mail Merge'!$D1009,0)</f>
        <v>1135.0071052631579</v>
      </c>
      <c r="L1009" s="201">
        <f>IFERROR('Mail Merge'!$G1009/'Mail Merge'!$D1009,0)</f>
        <v>6294.8055263157894</v>
      </c>
      <c r="M1009" s="201">
        <v>102217.85</v>
      </c>
      <c r="N1009" s="201" t="s">
        <v>240</v>
      </c>
      <c r="O1009" s="201">
        <v>44292</v>
      </c>
      <c r="P1009" s="201">
        <v>0</v>
      </c>
      <c r="Q1009" s="201">
        <f>'Mail Merge'!$O1009+'Mail Merge'!$P1009</f>
        <v>44292</v>
      </c>
      <c r="R1009" s="201"/>
      <c r="S1009" s="201"/>
      <c r="T1009" s="201"/>
      <c r="U1009" s="201">
        <f>IF(AND('Mail Merge'!$I1009="Did Not Meet",'Mail Merge'!$N1009="Did Not Meet"),MIN(ABS('Mail Merge'!$H1009),ABS('Mail Merge'!$M1009),'Mail Merge'!$Q1009),0)</f>
        <v>0</v>
      </c>
      <c r="V1009" s="201" t="str">
        <f>IF(OR(IFERROR(SEARCH("Met",'Mail Merge'!$N1009),0)&gt;0,IFERROR(SEARCH("Met",'Mail Merge'!$I1009),0)&gt;0),"Met","Not Met")</f>
        <v>Met</v>
      </c>
    </row>
    <row r="1010" spans="1:22" x14ac:dyDescent="0.35">
      <c r="A1010" s="198" t="s">
        <v>44</v>
      </c>
      <c r="B1010" s="199">
        <v>1929</v>
      </c>
      <c r="C1010" s="199" t="s">
        <v>41</v>
      </c>
      <c r="D1010" s="199">
        <v>530</v>
      </c>
      <c r="E1010" s="199">
        <v>5099422.0199999996</v>
      </c>
      <c r="F1010" s="199">
        <v>564173</v>
      </c>
      <c r="G1010" s="199">
        <f>'Mail Merge'!$E1010+'Mail Merge'!$F1010</f>
        <v>5663595.0199999996</v>
      </c>
      <c r="H1010" s="199">
        <v>0</v>
      </c>
      <c r="I1010" s="199" t="s">
        <v>241</v>
      </c>
      <c r="J1010" s="199">
        <f>IFERROR('Mail Merge'!$E1010/'Mail Merge'!$D1010,0)</f>
        <v>9621.5509811320753</v>
      </c>
      <c r="K1010" s="199">
        <f>IFERROR('Mail Merge'!$F1010/'Mail Merge'!$D1010,0)</f>
        <v>1064.4773584905661</v>
      </c>
      <c r="L1010" s="199">
        <f>IFERROR('Mail Merge'!$G1010/'Mail Merge'!$D1010,0)</f>
        <v>10686.02833962264</v>
      </c>
      <c r="M1010" s="199">
        <v>0</v>
      </c>
      <c r="N1010" s="199" t="s">
        <v>241</v>
      </c>
      <c r="O1010" s="199">
        <v>735653.78</v>
      </c>
      <c r="P1010" s="199">
        <v>3402.1</v>
      </c>
      <c r="Q1010" s="199">
        <f>'Mail Merge'!$O1010+'Mail Merge'!$P1010</f>
        <v>739055.88</v>
      </c>
      <c r="R1010" s="199"/>
      <c r="S1010" s="199"/>
      <c r="T1010" s="199"/>
      <c r="U1010" s="199">
        <f>IF(AND('Mail Merge'!$I1010="Did Not Meet",'Mail Merge'!$N1010="Did Not Meet"),MIN(ABS('Mail Merge'!$H1010),ABS('Mail Merge'!$M1010),'Mail Merge'!$Q1010),0)</f>
        <v>0</v>
      </c>
      <c r="V1010" s="199" t="str">
        <f>IF(OR(IFERROR(SEARCH("Met",'Mail Merge'!$N1010),0)&gt;0,IFERROR(SEARCH("Met",'Mail Merge'!$I1010),0)&gt;0),"Met","Not Met")</f>
        <v>Met</v>
      </c>
    </row>
    <row r="1011" spans="1:22" x14ac:dyDescent="0.35">
      <c r="A1011" s="200" t="s">
        <v>45</v>
      </c>
      <c r="B1011" s="201">
        <v>2139</v>
      </c>
      <c r="C1011" s="201" t="s">
        <v>41</v>
      </c>
      <c r="D1011" s="201">
        <v>297</v>
      </c>
      <c r="E1011" s="201">
        <v>3059897.38</v>
      </c>
      <c r="F1011" s="201">
        <v>204690.35</v>
      </c>
      <c r="G1011" s="201">
        <f>'Mail Merge'!$E1011+'Mail Merge'!$F1011</f>
        <v>3264587.73</v>
      </c>
      <c r="H1011" s="201">
        <v>0</v>
      </c>
      <c r="I1011" s="201" t="s">
        <v>241</v>
      </c>
      <c r="J1011" s="201">
        <f>IFERROR('Mail Merge'!$E1011/'Mail Merge'!$D1011,0)</f>
        <v>10302.684781144781</v>
      </c>
      <c r="K1011" s="201">
        <f>IFERROR('Mail Merge'!$F1011/'Mail Merge'!$D1011,0)</f>
        <v>689.19309764309764</v>
      </c>
      <c r="L1011" s="201">
        <f>IFERROR('Mail Merge'!$G1011/'Mail Merge'!$D1011,0)</f>
        <v>10991.877878787878</v>
      </c>
      <c r="M1011" s="201">
        <v>0</v>
      </c>
      <c r="N1011" s="201" t="s">
        <v>241</v>
      </c>
      <c r="O1011" s="201">
        <v>369016.33</v>
      </c>
      <c r="P1011" s="201">
        <v>3304.9</v>
      </c>
      <c r="Q1011" s="201">
        <f>'Mail Merge'!$O1011+'Mail Merge'!$P1011</f>
        <v>372321.23000000004</v>
      </c>
      <c r="R1011" s="201"/>
      <c r="S1011" s="201"/>
      <c r="T1011" s="201"/>
      <c r="U1011" s="201">
        <f>IF(AND('Mail Merge'!$I1011="Did Not Meet",'Mail Merge'!$N1011="Did Not Meet"),MIN(ABS('Mail Merge'!$H1011),ABS('Mail Merge'!$M1011),'Mail Merge'!$Q1011),0)</f>
        <v>0</v>
      </c>
      <c r="V1011" s="201" t="str">
        <f>IF(OR(IFERROR(SEARCH("Met",'Mail Merge'!$N1011),0)&gt;0,IFERROR(SEARCH("Met",'Mail Merge'!$I1011),0)&gt;0),"Met","Not Met")</f>
        <v>Met</v>
      </c>
    </row>
    <row r="1012" spans="1:22" x14ac:dyDescent="0.35">
      <c r="A1012" s="198" t="s">
        <v>46</v>
      </c>
      <c r="B1012" s="199">
        <v>2185</v>
      </c>
      <c r="C1012" s="199" t="s">
        <v>41</v>
      </c>
      <c r="D1012" s="199">
        <v>872</v>
      </c>
      <c r="E1012" s="199">
        <v>9898343.3900000006</v>
      </c>
      <c r="F1012" s="199">
        <v>1741360.07</v>
      </c>
      <c r="G1012" s="199">
        <f>'Mail Merge'!$E1012+'Mail Merge'!$F1012</f>
        <v>11639703.460000001</v>
      </c>
      <c r="H1012" s="199">
        <v>0</v>
      </c>
      <c r="I1012" s="199" t="s">
        <v>241</v>
      </c>
      <c r="J1012" s="199">
        <f>IFERROR('Mail Merge'!$E1012/'Mail Merge'!$D1012,0)</f>
        <v>11351.311227064221</v>
      </c>
      <c r="K1012" s="199">
        <f>IFERROR('Mail Merge'!$F1012/'Mail Merge'!$D1012,0)</f>
        <v>1996.9725573394496</v>
      </c>
      <c r="L1012" s="199">
        <f>IFERROR('Mail Merge'!$G1012/'Mail Merge'!$D1012,0)</f>
        <v>13348.283784403671</v>
      </c>
      <c r="M1012" s="199">
        <v>0</v>
      </c>
      <c r="N1012" s="199" t="s">
        <v>241</v>
      </c>
      <c r="O1012" s="199">
        <v>959147.71</v>
      </c>
      <c r="P1012" s="199">
        <v>7201.76</v>
      </c>
      <c r="Q1012" s="199">
        <f>'Mail Merge'!$O1012+'Mail Merge'!$P1012</f>
        <v>966349.47</v>
      </c>
      <c r="R1012" s="199"/>
      <c r="S1012" s="199"/>
      <c r="T1012" s="199"/>
      <c r="U1012" s="199">
        <f>IF(AND('Mail Merge'!$I1012="Did Not Meet",'Mail Merge'!$N1012="Did Not Meet"),MIN(ABS('Mail Merge'!$H1012),ABS('Mail Merge'!$M1012),'Mail Merge'!$Q1012),0)</f>
        <v>0</v>
      </c>
      <c r="V1012" s="199" t="str">
        <f>IF(OR(IFERROR(SEARCH("Met",'Mail Merge'!$N1012),0)&gt;0,IFERROR(SEARCH("Met",'Mail Merge'!$I1012),0)&gt;0),"Met","Not Met")</f>
        <v>Met</v>
      </c>
    </row>
    <row r="1013" spans="1:22" x14ac:dyDescent="0.35">
      <c r="A1013" s="200" t="s">
        <v>47</v>
      </c>
      <c r="B1013" s="201">
        <v>1972</v>
      </c>
      <c r="C1013" s="201" t="s">
        <v>41</v>
      </c>
      <c r="D1013" s="201">
        <v>56</v>
      </c>
      <c r="E1013" s="201">
        <v>414264.92</v>
      </c>
      <c r="F1013" s="201">
        <v>178689</v>
      </c>
      <c r="G1013" s="201">
        <f>'Mail Merge'!$E1013+'Mail Merge'!$F1013</f>
        <v>592953.91999999993</v>
      </c>
      <c r="H1013" s="201">
        <v>0</v>
      </c>
      <c r="I1013" s="201" t="s">
        <v>242</v>
      </c>
      <c r="J1013" s="201">
        <f>IFERROR('Mail Merge'!$E1013/'Mail Merge'!$D1013,0)</f>
        <v>7397.5878571428566</v>
      </c>
      <c r="K1013" s="201">
        <f>IFERROR('Mail Merge'!$F1013/'Mail Merge'!$D1013,0)</f>
        <v>3190.875</v>
      </c>
      <c r="L1013" s="201">
        <f>IFERROR('Mail Merge'!$G1013/'Mail Merge'!$D1013,0)</f>
        <v>10588.462857142857</v>
      </c>
      <c r="M1013" s="201">
        <v>0</v>
      </c>
      <c r="N1013" s="201" t="s">
        <v>242</v>
      </c>
      <c r="O1013" s="201">
        <v>107189.45</v>
      </c>
      <c r="P1013" s="201">
        <v>1836.05</v>
      </c>
      <c r="Q1013" s="201">
        <f>'Mail Merge'!$O1013+'Mail Merge'!$P1013</f>
        <v>109025.5</v>
      </c>
      <c r="R1013" s="201"/>
      <c r="S1013" s="201">
        <v>74954.62</v>
      </c>
      <c r="T1013" s="201">
        <v>74954.62</v>
      </c>
      <c r="U1013" s="201">
        <f>IF(AND('Mail Merge'!$I1013="Did Not Meet",'Mail Merge'!$N1013="Did Not Meet"),MIN(ABS('Mail Merge'!$H1013),ABS('Mail Merge'!$M1013),'Mail Merge'!$Q1013),0)</f>
        <v>0</v>
      </c>
      <c r="V1013" s="201" t="str">
        <f>IF(OR(IFERROR(SEARCH("Met",'Mail Merge'!$N1013),0)&gt;0,IFERROR(SEARCH("Met",'Mail Merge'!$I1013),0)&gt;0),"Met","Not Met")</f>
        <v>Met</v>
      </c>
    </row>
    <row r="1014" spans="1:22" x14ac:dyDescent="0.35">
      <c r="A1014" s="198" t="s">
        <v>48</v>
      </c>
      <c r="B1014" s="199">
        <v>2105</v>
      </c>
      <c r="C1014" s="199" t="s">
        <v>41</v>
      </c>
      <c r="D1014" s="199">
        <v>90</v>
      </c>
      <c r="E1014" s="199">
        <v>720812.75</v>
      </c>
      <c r="F1014" s="199">
        <v>80108</v>
      </c>
      <c r="G1014" s="199">
        <f>'Mail Merge'!$E1014+'Mail Merge'!$F1014</f>
        <v>800920.75</v>
      </c>
      <c r="H1014" s="199">
        <v>0</v>
      </c>
      <c r="I1014" s="199" t="s">
        <v>241</v>
      </c>
      <c r="J1014" s="199">
        <f>IFERROR('Mail Merge'!$E1014/'Mail Merge'!$D1014,0)</f>
        <v>8009.0305555555551</v>
      </c>
      <c r="K1014" s="199">
        <f>IFERROR('Mail Merge'!$F1014/'Mail Merge'!$D1014,0)</f>
        <v>890.08888888888885</v>
      </c>
      <c r="L1014" s="199">
        <f>IFERROR('Mail Merge'!$G1014/'Mail Merge'!$D1014,0)</f>
        <v>8899.1194444444445</v>
      </c>
      <c r="M1014" s="199">
        <v>0</v>
      </c>
      <c r="N1014" s="199" t="s">
        <v>241</v>
      </c>
      <c r="O1014" s="199">
        <v>98572.17</v>
      </c>
      <c r="P1014" s="199">
        <v>1101.6300000000001</v>
      </c>
      <c r="Q1014" s="199">
        <f>'Mail Merge'!$O1014+'Mail Merge'!$P1014</f>
        <v>99673.8</v>
      </c>
      <c r="R1014" s="199"/>
      <c r="S1014" s="199"/>
      <c r="T1014" s="199"/>
      <c r="U1014" s="199">
        <f>IF(AND('Mail Merge'!$I1014="Did Not Meet",'Mail Merge'!$N1014="Did Not Meet"),MIN(ABS('Mail Merge'!$H1014),ABS('Mail Merge'!$M1014),'Mail Merge'!$Q1014),0)</f>
        <v>0</v>
      </c>
      <c r="V1014" s="199" t="str">
        <f>IF(OR(IFERROR(SEARCH("Met",'Mail Merge'!$N1014),0)&gt;0,IFERROR(SEARCH("Met",'Mail Merge'!$I1014),0)&gt;0),"Met","Not Met")</f>
        <v>Met</v>
      </c>
    </row>
    <row r="1015" spans="1:22" x14ac:dyDescent="0.35">
      <c r="A1015" s="200" t="s">
        <v>49</v>
      </c>
      <c r="B1015" s="201">
        <v>2042</v>
      </c>
      <c r="C1015" s="201" t="s">
        <v>41</v>
      </c>
      <c r="D1015" s="201">
        <v>654</v>
      </c>
      <c r="E1015" s="201">
        <v>3308771.39</v>
      </c>
      <c r="F1015" s="201">
        <v>1180349.48</v>
      </c>
      <c r="G1015" s="201">
        <f>'Mail Merge'!$E1015+'Mail Merge'!$F1015</f>
        <v>4489120.87</v>
      </c>
      <c r="H1015" s="201">
        <v>0</v>
      </c>
      <c r="I1015" s="201" t="s">
        <v>241</v>
      </c>
      <c r="J1015" s="201">
        <f>IFERROR('Mail Merge'!$E1015/'Mail Merge'!$D1015,0)</f>
        <v>5059.2834709480121</v>
      </c>
      <c r="K1015" s="201">
        <f>IFERROR('Mail Merge'!$F1015/'Mail Merge'!$D1015,0)</f>
        <v>1804.8157186544342</v>
      </c>
      <c r="L1015" s="201">
        <f>IFERROR('Mail Merge'!$G1015/'Mail Merge'!$D1015,0)</f>
        <v>6864.099189602447</v>
      </c>
      <c r="M1015" s="201">
        <v>280242.28999999998</v>
      </c>
      <c r="N1015" s="201" t="s">
        <v>240</v>
      </c>
      <c r="O1015" s="201">
        <v>633382.77</v>
      </c>
      <c r="P1015" s="201">
        <v>7951.73</v>
      </c>
      <c r="Q1015" s="201">
        <f>'Mail Merge'!$O1015+'Mail Merge'!$P1015</f>
        <v>641334.5</v>
      </c>
      <c r="R1015" s="201"/>
      <c r="S1015" s="201"/>
      <c r="T1015" s="201"/>
      <c r="U1015" s="201">
        <f>IF(AND('Mail Merge'!$I1015="Did Not Meet",'Mail Merge'!$N1015="Did Not Meet"),MIN(ABS('Mail Merge'!$H1015),ABS('Mail Merge'!$M1015),'Mail Merge'!$Q1015),0)</f>
        <v>0</v>
      </c>
      <c r="V1015" s="201" t="str">
        <f>IF(OR(IFERROR(SEARCH("Met",'Mail Merge'!$N1015),0)&gt;0,IFERROR(SEARCH("Met",'Mail Merge'!$I1015),0)&gt;0),"Met","Not Met")</f>
        <v>Met</v>
      </c>
    </row>
    <row r="1016" spans="1:22" x14ac:dyDescent="0.35">
      <c r="A1016" s="198" t="s">
        <v>50</v>
      </c>
      <c r="B1016" s="199">
        <v>2191</v>
      </c>
      <c r="C1016" s="199" t="s">
        <v>41</v>
      </c>
      <c r="D1016" s="199">
        <v>374</v>
      </c>
      <c r="E1016" s="199">
        <v>5305328.16</v>
      </c>
      <c r="F1016" s="199">
        <v>455142.1</v>
      </c>
      <c r="G1016" s="199">
        <f>'Mail Merge'!$E1016+'Mail Merge'!$F1016</f>
        <v>5760470.2599999998</v>
      </c>
      <c r="H1016" s="199">
        <v>0</v>
      </c>
      <c r="I1016" s="199" t="s">
        <v>241</v>
      </c>
      <c r="J1016" s="199">
        <f>IFERROR('Mail Merge'!$E1016/'Mail Merge'!$D1016,0)</f>
        <v>14185.369411764706</v>
      </c>
      <c r="K1016" s="199">
        <f>IFERROR('Mail Merge'!$F1016/'Mail Merge'!$D1016,0)</f>
        <v>1216.9574866310161</v>
      </c>
      <c r="L1016" s="199">
        <f>IFERROR('Mail Merge'!$G1016/'Mail Merge'!$D1016,0)</f>
        <v>15402.32689839572</v>
      </c>
      <c r="M1016" s="199">
        <v>0</v>
      </c>
      <c r="N1016" s="199" t="s">
        <v>241</v>
      </c>
      <c r="O1016" s="199">
        <v>417366.96</v>
      </c>
      <c r="P1016" s="199">
        <v>3878.99</v>
      </c>
      <c r="Q1016" s="199">
        <f>'Mail Merge'!$O1016+'Mail Merge'!$P1016</f>
        <v>421245.95</v>
      </c>
      <c r="R1016" s="199"/>
      <c r="S1016" s="199"/>
      <c r="T1016" s="199"/>
      <c r="U1016" s="199">
        <f>IF(AND('Mail Merge'!$I1016="Did Not Meet",'Mail Merge'!$N1016="Did Not Meet"),MIN(ABS('Mail Merge'!$H1016),ABS('Mail Merge'!$M1016),'Mail Merge'!$Q1016),0)</f>
        <v>0</v>
      </c>
      <c r="V1016" s="199" t="str">
        <f>IF(OR(IFERROR(SEARCH("Met",'Mail Merge'!$N1016),0)&gt;0,IFERROR(SEARCH("Met",'Mail Merge'!$I1016),0)&gt;0),"Met","Not Met")</f>
        <v>Met</v>
      </c>
    </row>
    <row r="1017" spans="1:22" x14ac:dyDescent="0.35">
      <c r="A1017" s="200" t="s">
        <v>51</v>
      </c>
      <c r="B1017" s="201">
        <v>1945</v>
      </c>
      <c r="C1017" s="201" t="s">
        <v>41</v>
      </c>
      <c r="D1017" s="201">
        <v>115</v>
      </c>
      <c r="E1017" s="201">
        <v>1069580.07</v>
      </c>
      <c r="F1017" s="201">
        <v>248645</v>
      </c>
      <c r="G1017" s="201">
        <f>'Mail Merge'!$E1017+'Mail Merge'!$F1017</f>
        <v>1318225.07</v>
      </c>
      <c r="H1017" s="201">
        <v>0</v>
      </c>
      <c r="I1017" s="201" t="s">
        <v>241</v>
      </c>
      <c r="J1017" s="201">
        <f>IFERROR('Mail Merge'!$E1017/'Mail Merge'!$D1017,0)</f>
        <v>9300.6962608695667</v>
      </c>
      <c r="K1017" s="201">
        <f>IFERROR('Mail Merge'!$F1017/'Mail Merge'!$D1017,0)</f>
        <v>2162.1304347826085</v>
      </c>
      <c r="L1017" s="201">
        <f>IFERROR('Mail Merge'!$G1017/'Mail Merge'!$D1017,0)</f>
        <v>11462.826695652175</v>
      </c>
      <c r="M1017" s="201">
        <v>0</v>
      </c>
      <c r="N1017" s="201" t="s">
        <v>241</v>
      </c>
      <c r="O1017" s="201">
        <v>117826.05</v>
      </c>
      <c r="P1017" s="201">
        <v>1468.84</v>
      </c>
      <c r="Q1017" s="201">
        <f>'Mail Merge'!$O1017+'Mail Merge'!$P1017</f>
        <v>119294.89</v>
      </c>
      <c r="R1017" s="201"/>
      <c r="S1017" s="201"/>
      <c r="T1017" s="201"/>
      <c r="U1017" s="201">
        <f>IF(AND('Mail Merge'!$I1017="Did Not Meet",'Mail Merge'!$N1017="Did Not Meet"),MIN(ABS('Mail Merge'!$H1017),ABS('Mail Merge'!$M1017),'Mail Merge'!$Q1017),0)</f>
        <v>0</v>
      </c>
      <c r="V1017" s="201" t="str">
        <f>IF(OR(IFERROR(SEARCH("Met",'Mail Merge'!$N1017),0)&gt;0,IFERROR(SEARCH("Met",'Mail Merge'!$I1017),0)&gt;0),"Met","Not Met")</f>
        <v>Met</v>
      </c>
    </row>
    <row r="1018" spans="1:22" x14ac:dyDescent="0.35">
      <c r="A1018" s="198" t="s">
        <v>52</v>
      </c>
      <c r="B1018" s="199">
        <v>1927</v>
      </c>
      <c r="C1018" s="199" t="s">
        <v>41</v>
      </c>
      <c r="D1018" s="199">
        <v>86</v>
      </c>
      <c r="E1018" s="199">
        <v>1041962.81</v>
      </c>
      <c r="F1018" s="199">
        <v>162751</v>
      </c>
      <c r="G1018" s="199">
        <f>'Mail Merge'!$E1018+'Mail Merge'!$F1018</f>
        <v>1204713.81</v>
      </c>
      <c r="H1018" s="199">
        <v>0</v>
      </c>
      <c r="I1018" s="199" t="s">
        <v>241</v>
      </c>
      <c r="J1018" s="199">
        <f>IFERROR('Mail Merge'!$E1018/'Mail Merge'!$D1018,0)</f>
        <v>12115.846627906978</v>
      </c>
      <c r="K1018" s="199">
        <f>IFERROR('Mail Merge'!$F1018/'Mail Merge'!$D1018,0)</f>
        <v>1892.453488372093</v>
      </c>
      <c r="L1018" s="199">
        <f>IFERROR('Mail Merge'!$G1018/'Mail Merge'!$D1018,0)</f>
        <v>14008.30011627907</v>
      </c>
      <c r="M1018" s="199">
        <v>0</v>
      </c>
      <c r="N1018" s="199" t="s">
        <v>241</v>
      </c>
      <c r="O1018" s="199">
        <v>121223.93</v>
      </c>
      <c r="P1018" s="199">
        <v>841.52</v>
      </c>
      <c r="Q1018" s="199">
        <f>'Mail Merge'!$O1018+'Mail Merge'!$P1018</f>
        <v>122065.45</v>
      </c>
      <c r="R1018" s="199"/>
      <c r="S1018" s="199"/>
      <c r="T1018" s="199"/>
      <c r="U1018" s="199">
        <f>IF(AND('Mail Merge'!$I1018="Did Not Meet",'Mail Merge'!$N1018="Did Not Meet"),MIN(ABS('Mail Merge'!$H1018),ABS('Mail Merge'!$M1018),'Mail Merge'!$Q1018),0)</f>
        <v>0</v>
      </c>
      <c r="V1018" s="199" t="str">
        <f>IF(OR(IFERROR(SEARCH("Met",'Mail Merge'!$N1018),0)&gt;0,IFERROR(SEARCH("Met",'Mail Merge'!$I1018),0)&gt;0),"Met","Not Met")</f>
        <v>Met</v>
      </c>
    </row>
    <row r="1019" spans="1:22" x14ac:dyDescent="0.35">
      <c r="A1019" s="200" t="s">
        <v>53</v>
      </c>
      <c r="B1019" s="201">
        <v>2006</v>
      </c>
      <c r="C1019" s="201" t="s">
        <v>41</v>
      </c>
      <c r="D1019" s="201">
        <v>20</v>
      </c>
      <c r="E1019" s="201">
        <v>7141.08</v>
      </c>
      <c r="F1019" s="201">
        <v>99238</v>
      </c>
      <c r="G1019" s="201">
        <f>'Mail Merge'!$E1019+'Mail Merge'!$F1019</f>
        <v>106379.08</v>
      </c>
      <c r="H1019" s="201">
        <v>0</v>
      </c>
      <c r="I1019" s="201" t="s">
        <v>242</v>
      </c>
      <c r="J1019" s="201">
        <f>IFERROR('Mail Merge'!$E1019/'Mail Merge'!$D1019,0)</f>
        <v>357.05399999999997</v>
      </c>
      <c r="K1019" s="201">
        <f>IFERROR('Mail Merge'!$F1019/'Mail Merge'!$D1019,0)</f>
        <v>4961.8999999999996</v>
      </c>
      <c r="L1019" s="201">
        <f>IFERROR('Mail Merge'!$G1019/'Mail Merge'!$D1019,0)</f>
        <v>5318.9539999999997</v>
      </c>
      <c r="M1019" s="201">
        <v>0</v>
      </c>
      <c r="N1019" s="201" t="s">
        <v>241</v>
      </c>
      <c r="O1019" s="201">
        <v>21755.87</v>
      </c>
      <c r="P1019" s="201">
        <v>0</v>
      </c>
      <c r="Q1019" s="201">
        <f>'Mail Merge'!$O1019+'Mail Merge'!$P1019</f>
        <v>21755.87</v>
      </c>
      <c r="R1019" s="201"/>
      <c r="S1019" s="201">
        <v>13831.24</v>
      </c>
      <c r="T1019" s="201">
        <v>13831.24</v>
      </c>
      <c r="U1019" s="201">
        <f>IF(AND('Mail Merge'!$I1019="Did Not Meet",'Mail Merge'!$N1019="Did Not Meet"),MIN(ABS('Mail Merge'!$H1019),ABS('Mail Merge'!$M1019),'Mail Merge'!$Q1019),0)</f>
        <v>0</v>
      </c>
      <c r="V1019" s="201" t="str">
        <f>IF(OR(IFERROR(SEARCH("Met",'Mail Merge'!$N1019),0)&gt;0,IFERROR(SEARCH("Met",'Mail Merge'!$I1019),0)&gt;0),"Met","Not Met")</f>
        <v>Met</v>
      </c>
    </row>
    <row r="1020" spans="1:22" x14ac:dyDescent="0.35">
      <c r="A1020" s="198" t="s">
        <v>54</v>
      </c>
      <c r="B1020" s="199">
        <v>1965</v>
      </c>
      <c r="C1020" s="199" t="s">
        <v>41</v>
      </c>
      <c r="D1020" s="199">
        <v>442</v>
      </c>
      <c r="E1020" s="199">
        <v>4144300.44</v>
      </c>
      <c r="F1020" s="199">
        <v>1087892</v>
      </c>
      <c r="G1020" s="199">
        <f>'Mail Merge'!$E1020+'Mail Merge'!$F1020</f>
        <v>5232192.4399999995</v>
      </c>
      <c r="H1020" s="199">
        <v>0</v>
      </c>
      <c r="I1020" s="199" t="s">
        <v>241</v>
      </c>
      <c r="J1020" s="199">
        <f>IFERROR('Mail Merge'!$E1020/'Mail Merge'!$D1020,0)</f>
        <v>9376.2453393665164</v>
      </c>
      <c r="K1020" s="199">
        <f>IFERROR('Mail Merge'!$F1020/'Mail Merge'!$D1020,0)</f>
        <v>2461.294117647059</v>
      </c>
      <c r="L1020" s="199">
        <f>IFERROR('Mail Merge'!$G1020/'Mail Merge'!$D1020,0)</f>
        <v>11837.539457013574</v>
      </c>
      <c r="M1020" s="199">
        <v>0</v>
      </c>
      <c r="N1020" s="199" t="s">
        <v>241</v>
      </c>
      <c r="O1020" s="199">
        <v>643034.16</v>
      </c>
      <c r="P1020" s="199">
        <v>8117.29</v>
      </c>
      <c r="Q1020" s="199">
        <f>'Mail Merge'!$O1020+'Mail Merge'!$P1020</f>
        <v>651151.45000000007</v>
      </c>
      <c r="R1020" s="199"/>
      <c r="S1020" s="199"/>
      <c r="T1020" s="199"/>
      <c r="U1020" s="199">
        <f>IF(AND('Mail Merge'!$I1020="Did Not Meet",'Mail Merge'!$N1020="Did Not Meet"),MIN(ABS('Mail Merge'!$H1020),ABS('Mail Merge'!$M1020),'Mail Merge'!$Q1020),0)</f>
        <v>0</v>
      </c>
      <c r="V1020" s="199" t="str">
        <f>IF(OR(IFERROR(SEARCH("Met",'Mail Merge'!$N1020),0)&gt;0,IFERROR(SEARCH("Met",'Mail Merge'!$I1020),0)&gt;0),"Met","Not Met")</f>
        <v>Met</v>
      </c>
    </row>
    <row r="1021" spans="1:22" x14ac:dyDescent="0.35">
      <c r="A1021" s="200" t="s">
        <v>55</v>
      </c>
      <c r="B1021" s="201">
        <v>1964</v>
      </c>
      <c r="C1021" s="201" t="s">
        <v>41</v>
      </c>
      <c r="D1021" s="201">
        <v>94</v>
      </c>
      <c r="E1021" s="201">
        <v>852221.62</v>
      </c>
      <c r="F1021" s="201">
        <v>259345</v>
      </c>
      <c r="G1021" s="201">
        <f>'Mail Merge'!$E1021+'Mail Merge'!$F1021</f>
        <v>1111566.6200000001</v>
      </c>
      <c r="H1021" s="201">
        <v>0</v>
      </c>
      <c r="I1021" s="201" t="s">
        <v>241</v>
      </c>
      <c r="J1021" s="201">
        <f>IFERROR('Mail Merge'!$E1021/'Mail Merge'!$D1021,0)</f>
        <v>9066.1874468085098</v>
      </c>
      <c r="K1021" s="201">
        <f>IFERROR('Mail Merge'!$F1021/'Mail Merge'!$D1021,0)</f>
        <v>2758.9893617021276</v>
      </c>
      <c r="L1021" s="201">
        <f>IFERROR('Mail Merge'!$G1021/'Mail Merge'!$D1021,0)</f>
        <v>11825.17680851064</v>
      </c>
      <c r="M1021" s="201">
        <v>0</v>
      </c>
      <c r="N1021" s="201" t="s">
        <v>242</v>
      </c>
      <c r="O1021" s="201">
        <v>145287.46</v>
      </c>
      <c r="P1021" s="201">
        <v>2360.64</v>
      </c>
      <c r="Q1021" s="201">
        <f>'Mail Merge'!$O1021+'Mail Merge'!$P1021</f>
        <v>147648.1</v>
      </c>
      <c r="R1021" s="201"/>
      <c r="S1021" s="201"/>
      <c r="T1021" s="201"/>
      <c r="U1021" s="201">
        <f>IF(AND('Mail Merge'!$I1021="Did Not Meet",'Mail Merge'!$N1021="Did Not Meet"),MIN(ABS('Mail Merge'!$H1021),ABS('Mail Merge'!$M1021),'Mail Merge'!$Q1021),0)</f>
        <v>0</v>
      </c>
      <c r="V1021" s="201" t="str">
        <f>IF(OR(IFERROR(SEARCH("Met",'Mail Merge'!$N1021),0)&gt;0,IFERROR(SEARCH("Met",'Mail Merge'!$I1021),0)&gt;0),"Met","Not Met")</f>
        <v>Met</v>
      </c>
    </row>
    <row r="1022" spans="1:22" x14ac:dyDescent="0.35">
      <c r="A1022" s="198" t="s">
        <v>56</v>
      </c>
      <c r="B1022" s="199">
        <v>2186</v>
      </c>
      <c r="C1022" s="199" t="s">
        <v>41</v>
      </c>
      <c r="D1022" s="199">
        <v>125</v>
      </c>
      <c r="E1022" s="199">
        <v>700203.08</v>
      </c>
      <c r="F1022" s="199">
        <v>260514.74</v>
      </c>
      <c r="G1022" s="199">
        <f>'Mail Merge'!$E1022+'Mail Merge'!$F1022</f>
        <v>960717.82</v>
      </c>
      <c r="H1022" s="199">
        <v>0</v>
      </c>
      <c r="I1022" s="199" t="s">
        <v>241</v>
      </c>
      <c r="J1022" s="199">
        <f>IFERROR('Mail Merge'!$E1022/'Mail Merge'!$D1022,0)</f>
        <v>5601.62464</v>
      </c>
      <c r="K1022" s="199">
        <f>IFERROR('Mail Merge'!$F1022/'Mail Merge'!$D1022,0)</f>
        <v>2084.1179200000001</v>
      </c>
      <c r="L1022" s="199">
        <f>IFERROR('Mail Merge'!$G1022/'Mail Merge'!$D1022,0)</f>
        <v>7685.7425599999997</v>
      </c>
      <c r="M1022" s="199">
        <v>891463.43</v>
      </c>
      <c r="N1022" s="199" t="s">
        <v>240</v>
      </c>
      <c r="O1022" s="199">
        <v>157234.79999999999</v>
      </c>
      <c r="P1022" s="199">
        <v>803.27</v>
      </c>
      <c r="Q1022" s="199">
        <f>'Mail Merge'!$O1022+'Mail Merge'!$P1022</f>
        <v>158038.06999999998</v>
      </c>
      <c r="R1022" s="199"/>
      <c r="S1022" s="199"/>
      <c r="T1022" s="199"/>
      <c r="U1022" s="199">
        <f>IF(AND('Mail Merge'!$I1022="Did Not Meet",'Mail Merge'!$N1022="Did Not Meet"),MIN(ABS('Mail Merge'!$H1022),ABS('Mail Merge'!$M1022),'Mail Merge'!$Q1022),0)</f>
        <v>0</v>
      </c>
      <c r="V1022" s="199" t="str">
        <f>IF(OR(IFERROR(SEARCH("Met",'Mail Merge'!$N1022),0)&gt;0,IFERROR(SEARCH("Met",'Mail Merge'!$I1022),0)&gt;0),"Met","Not Met")</f>
        <v>Met</v>
      </c>
    </row>
    <row r="1023" spans="1:22" x14ac:dyDescent="0.35">
      <c r="A1023" s="200" t="s">
        <v>58</v>
      </c>
      <c r="B1023" s="201">
        <v>1901</v>
      </c>
      <c r="C1023" s="201" t="s">
        <v>41</v>
      </c>
      <c r="D1023" s="201">
        <v>725</v>
      </c>
      <c r="E1023" s="201">
        <v>7166604.9299999997</v>
      </c>
      <c r="F1023" s="201">
        <v>864515</v>
      </c>
      <c r="G1023" s="201">
        <f>'Mail Merge'!$E1023+'Mail Merge'!$F1023</f>
        <v>8031119.9299999997</v>
      </c>
      <c r="H1023" s="201">
        <v>0</v>
      </c>
      <c r="I1023" s="201" t="s">
        <v>241</v>
      </c>
      <c r="J1023" s="201">
        <f>IFERROR('Mail Merge'!$E1023/'Mail Merge'!$D1023,0)</f>
        <v>9884.9723172413796</v>
      </c>
      <c r="K1023" s="201">
        <f>IFERROR('Mail Merge'!$F1023/'Mail Merge'!$D1023,0)</f>
        <v>1192.4344827586208</v>
      </c>
      <c r="L1023" s="201">
        <f>IFERROR('Mail Merge'!$G1023/'Mail Merge'!$D1023,0)</f>
        <v>11077.406799999999</v>
      </c>
      <c r="M1023" s="201">
        <v>0</v>
      </c>
      <c r="N1023" s="201" t="s">
        <v>241</v>
      </c>
      <c r="O1023" s="201">
        <v>1009065.44</v>
      </c>
      <c r="P1023" s="201">
        <v>9639.2800000000007</v>
      </c>
      <c r="Q1023" s="201">
        <f>'Mail Merge'!$O1023+'Mail Merge'!$P1023</f>
        <v>1018704.72</v>
      </c>
      <c r="R1023" s="201"/>
      <c r="S1023" s="201"/>
      <c r="T1023" s="201"/>
      <c r="U1023" s="201">
        <f>IF(AND('Mail Merge'!$I1023="Did Not Meet",'Mail Merge'!$N1023="Did Not Meet"),MIN(ABS('Mail Merge'!$H1023),ABS('Mail Merge'!$M1023),'Mail Merge'!$Q1023),0)</f>
        <v>0</v>
      </c>
      <c r="V1023" s="201" t="str">
        <f>IF(OR(IFERROR(SEARCH("Met",'Mail Merge'!$N1023),0)&gt;0,IFERROR(SEARCH("Met",'Mail Merge'!$I1023),0)&gt;0),"Met","Not Met")</f>
        <v>Met</v>
      </c>
    </row>
    <row r="1024" spans="1:22" x14ac:dyDescent="0.35">
      <c r="A1024" s="198" t="s">
        <v>59</v>
      </c>
      <c r="B1024" s="199">
        <v>2216</v>
      </c>
      <c r="C1024" s="199" t="s">
        <v>41</v>
      </c>
      <c r="D1024" s="199">
        <v>28</v>
      </c>
      <c r="E1024" s="199">
        <v>154769.48000000001</v>
      </c>
      <c r="F1024" s="199">
        <v>47125.63</v>
      </c>
      <c r="G1024" s="199">
        <f>'Mail Merge'!$E1024+'Mail Merge'!$F1024</f>
        <v>201895.11000000002</v>
      </c>
      <c r="H1024" s="199">
        <v>0</v>
      </c>
      <c r="I1024" s="199" t="s">
        <v>241</v>
      </c>
      <c r="J1024" s="199">
        <f>IFERROR('Mail Merge'!$E1024/'Mail Merge'!$D1024,0)</f>
        <v>5527.4814285714292</v>
      </c>
      <c r="K1024" s="199">
        <f>IFERROR('Mail Merge'!$F1024/'Mail Merge'!$D1024,0)</f>
        <v>1683.0582142857143</v>
      </c>
      <c r="L1024" s="199">
        <f>IFERROR('Mail Merge'!$G1024/'Mail Merge'!$D1024,0)</f>
        <v>7210.539642857143</v>
      </c>
      <c r="M1024" s="199">
        <v>0</v>
      </c>
      <c r="N1024" s="199" t="s">
        <v>242</v>
      </c>
      <c r="O1024" s="199">
        <v>40104.71</v>
      </c>
      <c r="P1024" s="199">
        <v>1377.04</v>
      </c>
      <c r="Q1024" s="199">
        <f>'Mail Merge'!$O1024+'Mail Merge'!$P1024</f>
        <v>41481.75</v>
      </c>
      <c r="R1024" s="199"/>
      <c r="S1024" s="199"/>
      <c r="T1024" s="199">
        <v>25879.69</v>
      </c>
      <c r="U1024" s="199">
        <f>IF(AND('Mail Merge'!$I1024="Did Not Meet",'Mail Merge'!$N1024="Did Not Meet"),MIN(ABS('Mail Merge'!$H1024),ABS('Mail Merge'!$M1024),'Mail Merge'!$Q1024),0)</f>
        <v>0</v>
      </c>
      <c r="V1024" s="199" t="str">
        <f>IF(OR(IFERROR(SEARCH("Met",'Mail Merge'!$N1024),0)&gt;0,IFERROR(SEARCH("Met",'Mail Merge'!$I1024),0)&gt;0),"Met","Not Met")</f>
        <v>Met</v>
      </c>
    </row>
    <row r="1025" spans="1:22" x14ac:dyDescent="0.35">
      <c r="A1025" s="200" t="s">
        <v>60</v>
      </c>
      <c r="B1025" s="201">
        <v>2086</v>
      </c>
      <c r="C1025" s="201" t="s">
        <v>41</v>
      </c>
      <c r="D1025" s="201">
        <v>226</v>
      </c>
      <c r="E1025" s="201">
        <v>2404382</v>
      </c>
      <c r="F1025" s="201">
        <v>449353</v>
      </c>
      <c r="G1025" s="201">
        <f>'Mail Merge'!$E1025+'Mail Merge'!$F1025</f>
        <v>2853735</v>
      </c>
      <c r="H1025" s="201">
        <v>0</v>
      </c>
      <c r="I1025" s="201" t="s">
        <v>241</v>
      </c>
      <c r="J1025" s="201">
        <f>IFERROR('Mail Merge'!$E1025/'Mail Merge'!$D1025,0)</f>
        <v>10638.858407079646</v>
      </c>
      <c r="K1025" s="201">
        <f>IFERROR('Mail Merge'!$F1025/'Mail Merge'!$D1025,0)</f>
        <v>1988.287610619469</v>
      </c>
      <c r="L1025" s="201">
        <f>IFERROR('Mail Merge'!$G1025/'Mail Merge'!$D1025,0)</f>
        <v>12627.146017699115</v>
      </c>
      <c r="M1025" s="201">
        <v>0</v>
      </c>
      <c r="N1025" s="201" t="s">
        <v>241</v>
      </c>
      <c r="O1025" s="201">
        <v>250097.78</v>
      </c>
      <c r="P1025" s="201">
        <v>2601.08</v>
      </c>
      <c r="Q1025" s="201">
        <f>'Mail Merge'!$O1025+'Mail Merge'!$P1025</f>
        <v>252698.86</v>
      </c>
      <c r="R1025" s="201"/>
      <c r="S1025" s="201"/>
      <c r="T1025" s="201"/>
      <c r="U1025" s="201">
        <f>IF(AND('Mail Merge'!$I1025="Did Not Meet",'Mail Merge'!$N1025="Did Not Meet"),MIN(ABS('Mail Merge'!$H1025),ABS('Mail Merge'!$M1025),'Mail Merge'!$Q1025),0)</f>
        <v>0</v>
      </c>
      <c r="V1025" s="201" t="str">
        <f>IF(OR(IFERROR(SEARCH("Met",'Mail Merge'!$N1025),0)&gt;0,IFERROR(SEARCH("Met",'Mail Merge'!$I1025),0)&gt;0),"Met","Not Met")</f>
        <v>Met</v>
      </c>
    </row>
    <row r="1026" spans="1:22" x14ac:dyDescent="0.35">
      <c r="A1026" s="198" t="s">
        <v>61</v>
      </c>
      <c r="B1026" s="199">
        <v>1970</v>
      </c>
      <c r="C1026" s="199" t="s">
        <v>41</v>
      </c>
      <c r="D1026" s="199">
        <v>395</v>
      </c>
      <c r="E1026" s="199">
        <v>3411599.71</v>
      </c>
      <c r="F1026" s="199">
        <v>236033.68</v>
      </c>
      <c r="G1026" s="199">
        <f>'Mail Merge'!$E1026+'Mail Merge'!$F1026</f>
        <v>3647633.39</v>
      </c>
      <c r="H1026" s="199">
        <v>0</v>
      </c>
      <c r="I1026" s="199" t="s">
        <v>241</v>
      </c>
      <c r="J1026" s="199">
        <f>IFERROR('Mail Merge'!$E1026/'Mail Merge'!$D1026,0)</f>
        <v>8636.9612911392396</v>
      </c>
      <c r="K1026" s="199">
        <f>IFERROR('Mail Merge'!$F1026/'Mail Merge'!$D1026,0)</f>
        <v>597.55362025316458</v>
      </c>
      <c r="L1026" s="199">
        <f>IFERROR('Mail Merge'!$G1026/'Mail Merge'!$D1026,0)</f>
        <v>9234.5149113924053</v>
      </c>
      <c r="M1026" s="199">
        <v>0</v>
      </c>
      <c r="N1026" s="199" t="s">
        <v>241</v>
      </c>
      <c r="O1026" s="199">
        <v>565267.4</v>
      </c>
      <c r="P1026" s="199">
        <v>4937.1899999999996</v>
      </c>
      <c r="Q1026" s="199">
        <f>'Mail Merge'!$O1026+'Mail Merge'!$P1026</f>
        <v>570204.59</v>
      </c>
      <c r="R1026" s="199"/>
      <c r="S1026" s="199"/>
      <c r="T1026" s="199"/>
      <c r="U1026" s="199">
        <f>IF(AND('Mail Merge'!$I1026="Did Not Meet",'Mail Merge'!$N1026="Did Not Meet"),MIN(ABS('Mail Merge'!$H1026),ABS('Mail Merge'!$M1026),'Mail Merge'!$Q1026),0)</f>
        <v>0</v>
      </c>
      <c r="V1026" s="199" t="str">
        <f>IF(OR(IFERROR(SEARCH("Met",'Mail Merge'!$N1026),0)&gt;0,IFERROR(SEARCH("Met",'Mail Merge'!$I1026),0)&gt;0),"Met","Not Met")</f>
        <v>Met</v>
      </c>
    </row>
    <row r="1027" spans="1:22" x14ac:dyDescent="0.35">
      <c r="A1027" s="200" t="s">
        <v>62</v>
      </c>
      <c r="B1027" s="201">
        <v>2089</v>
      </c>
      <c r="C1027" s="201" t="s">
        <v>41</v>
      </c>
      <c r="D1027" s="201">
        <v>50</v>
      </c>
      <c r="E1027" s="201">
        <v>443133.96</v>
      </c>
      <c r="F1027" s="201">
        <v>104611</v>
      </c>
      <c r="G1027" s="201">
        <f>'Mail Merge'!$E1027+'Mail Merge'!$F1027</f>
        <v>547744.96</v>
      </c>
      <c r="H1027" s="201">
        <v>0</v>
      </c>
      <c r="I1027" s="201" t="s">
        <v>242</v>
      </c>
      <c r="J1027" s="201">
        <f>IFERROR('Mail Merge'!$E1027/'Mail Merge'!$D1027,0)</f>
        <v>8862.6792000000005</v>
      </c>
      <c r="K1027" s="201">
        <f>IFERROR('Mail Merge'!$F1027/'Mail Merge'!$D1027,0)</f>
        <v>2092.2199999999998</v>
      </c>
      <c r="L1027" s="201">
        <f>IFERROR('Mail Merge'!$G1027/'Mail Merge'!$D1027,0)</f>
        <v>10954.8992</v>
      </c>
      <c r="M1027" s="201">
        <v>0</v>
      </c>
      <c r="N1027" s="201" t="s">
        <v>242</v>
      </c>
      <c r="O1027" s="201">
        <v>61000.26</v>
      </c>
      <c r="P1027" s="201">
        <v>0</v>
      </c>
      <c r="Q1027" s="201">
        <f>'Mail Merge'!$O1027+'Mail Merge'!$P1027</f>
        <v>61000.26</v>
      </c>
      <c r="R1027" s="201"/>
      <c r="S1027" s="201">
        <v>31070.83</v>
      </c>
      <c r="T1027" s="201">
        <v>52032.79</v>
      </c>
      <c r="U1027" s="201">
        <f>IF(AND('Mail Merge'!$I1027="Did Not Meet",'Mail Merge'!$N1027="Did Not Meet"),MIN(ABS('Mail Merge'!$H1027),ABS('Mail Merge'!$M1027),'Mail Merge'!$Q1027),0)</f>
        <v>0</v>
      </c>
      <c r="V1027" s="201" t="str">
        <f>IF(OR(IFERROR(SEARCH("Met",'Mail Merge'!$N1027),0)&gt;0,IFERROR(SEARCH("Met",'Mail Merge'!$I1027),0)&gt;0),"Met","Not Met")</f>
        <v>Met</v>
      </c>
    </row>
    <row r="1028" spans="1:22" x14ac:dyDescent="0.35">
      <c r="A1028" s="198" t="s">
        <v>63</v>
      </c>
      <c r="B1028" s="199">
        <v>2050</v>
      </c>
      <c r="C1028" s="199" t="s">
        <v>41</v>
      </c>
      <c r="D1028" s="199">
        <v>87</v>
      </c>
      <c r="E1028" s="199">
        <v>716109.55</v>
      </c>
      <c r="F1028" s="199">
        <v>226707.59</v>
      </c>
      <c r="G1028" s="199">
        <f>'Mail Merge'!$E1028+'Mail Merge'!$F1028</f>
        <v>942817.14</v>
      </c>
      <c r="H1028" s="199">
        <v>0</v>
      </c>
      <c r="I1028" s="199" t="s">
        <v>241</v>
      </c>
      <c r="J1028" s="199">
        <f>IFERROR('Mail Merge'!$E1028/'Mail Merge'!$D1028,0)</f>
        <v>8231.1442528735643</v>
      </c>
      <c r="K1028" s="199">
        <f>IFERROR('Mail Merge'!$F1028/'Mail Merge'!$D1028,0)</f>
        <v>2605.8343678160918</v>
      </c>
      <c r="L1028" s="199">
        <f>IFERROR('Mail Merge'!$G1028/'Mail Merge'!$D1028,0)</f>
        <v>10836.978620689655</v>
      </c>
      <c r="M1028" s="199">
        <v>0</v>
      </c>
      <c r="N1028" s="199" t="s">
        <v>241</v>
      </c>
      <c r="O1028" s="199">
        <v>111930.98</v>
      </c>
      <c r="P1028" s="199">
        <v>1049.17</v>
      </c>
      <c r="Q1028" s="199">
        <f>'Mail Merge'!$O1028+'Mail Merge'!$P1028</f>
        <v>112980.15</v>
      </c>
      <c r="R1028" s="199"/>
      <c r="S1028" s="199"/>
      <c r="T1028" s="199"/>
      <c r="U1028" s="199">
        <f>IF(AND('Mail Merge'!$I1028="Did Not Meet",'Mail Merge'!$N1028="Did Not Meet"),MIN(ABS('Mail Merge'!$H1028),ABS('Mail Merge'!$M1028),'Mail Merge'!$Q1028),0)</f>
        <v>0</v>
      </c>
      <c r="V1028" s="199" t="str">
        <f>IF(OR(IFERROR(SEARCH("Met",'Mail Merge'!$N1028),0)&gt;0,IFERROR(SEARCH("Met",'Mail Merge'!$I1028),0)&gt;0),"Met","Not Met")</f>
        <v>Met</v>
      </c>
    </row>
    <row r="1029" spans="1:22" x14ac:dyDescent="0.35">
      <c r="A1029" s="200" t="s">
        <v>64</v>
      </c>
      <c r="B1029" s="201">
        <v>2190</v>
      </c>
      <c r="C1029" s="201" t="s">
        <v>41</v>
      </c>
      <c r="D1029" s="201">
        <v>462</v>
      </c>
      <c r="E1029" s="201">
        <v>4053359.24</v>
      </c>
      <c r="F1029" s="201">
        <v>273991.75</v>
      </c>
      <c r="G1029" s="201">
        <f>'Mail Merge'!$E1029+'Mail Merge'!$F1029</f>
        <v>4327350.99</v>
      </c>
      <c r="H1029" s="201">
        <v>0</v>
      </c>
      <c r="I1029" s="201" t="s">
        <v>241</v>
      </c>
      <c r="J1029" s="201">
        <f>IFERROR('Mail Merge'!$E1029/'Mail Merge'!$D1029,0)</f>
        <v>8773.5048484848485</v>
      </c>
      <c r="K1029" s="201">
        <f>IFERROR('Mail Merge'!$F1029/'Mail Merge'!$D1029,0)</f>
        <v>593.05573593073598</v>
      </c>
      <c r="L1029" s="201">
        <f>IFERROR('Mail Merge'!$G1029/'Mail Merge'!$D1029,0)</f>
        <v>9366.5605844155853</v>
      </c>
      <c r="M1029" s="201">
        <v>0</v>
      </c>
      <c r="N1029" s="201" t="s">
        <v>241</v>
      </c>
      <c r="O1029" s="201">
        <v>465958.49</v>
      </c>
      <c r="P1029" s="201">
        <v>6854.6</v>
      </c>
      <c r="Q1029" s="201">
        <f>'Mail Merge'!$O1029+'Mail Merge'!$P1029</f>
        <v>472813.08999999997</v>
      </c>
      <c r="R1029" s="201"/>
      <c r="S1029" s="201"/>
      <c r="T1029" s="201"/>
      <c r="U1029" s="201">
        <f>IF(AND('Mail Merge'!$I1029="Did Not Meet",'Mail Merge'!$N1029="Did Not Meet"),MIN(ABS('Mail Merge'!$H1029),ABS('Mail Merge'!$M1029),'Mail Merge'!$Q1029),0)</f>
        <v>0</v>
      </c>
      <c r="V1029" s="201" t="str">
        <f>IF(OR(IFERROR(SEARCH("Met",'Mail Merge'!$N1029),0)&gt;0,IFERROR(SEARCH("Met",'Mail Merge'!$I1029),0)&gt;0),"Met","Not Met")</f>
        <v>Met</v>
      </c>
    </row>
    <row r="1030" spans="1:22" x14ac:dyDescent="0.35">
      <c r="A1030" s="198" t="s">
        <v>65</v>
      </c>
      <c r="B1030" s="199">
        <v>2187</v>
      </c>
      <c r="C1030" s="199" t="s">
        <v>41</v>
      </c>
      <c r="D1030" s="199">
        <v>1293</v>
      </c>
      <c r="E1030" s="199">
        <v>12359545.26</v>
      </c>
      <c r="F1030" s="199">
        <v>1262420.8600000001</v>
      </c>
      <c r="G1030" s="199">
        <f>'Mail Merge'!$E1030+'Mail Merge'!$F1030</f>
        <v>13621966.119999999</v>
      </c>
      <c r="H1030" s="199">
        <v>0</v>
      </c>
      <c r="I1030" s="199" t="s">
        <v>241</v>
      </c>
      <c r="J1030" s="199">
        <f>IFERROR('Mail Merge'!$E1030/'Mail Merge'!$D1030,0)</f>
        <v>9558.8130394431555</v>
      </c>
      <c r="K1030" s="199">
        <f>IFERROR('Mail Merge'!$F1030/'Mail Merge'!$D1030,0)</f>
        <v>976.35023975251363</v>
      </c>
      <c r="L1030" s="199">
        <f>IFERROR('Mail Merge'!$G1030/'Mail Merge'!$D1030,0)</f>
        <v>10535.163279195669</v>
      </c>
      <c r="M1030" s="199">
        <v>0</v>
      </c>
      <c r="N1030" s="199" t="s">
        <v>241</v>
      </c>
      <c r="O1030" s="199">
        <v>1577035.88</v>
      </c>
      <c r="P1030" s="199">
        <v>12262.91</v>
      </c>
      <c r="Q1030" s="199">
        <f>'Mail Merge'!$O1030+'Mail Merge'!$P1030</f>
        <v>1589298.7899999998</v>
      </c>
      <c r="R1030" s="199"/>
      <c r="S1030" s="199"/>
      <c r="T1030" s="199"/>
      <c r="U1030" s="199">
        <f>IF(AND('Mail Merge'!$I1030="Did Not Meet",'Mail Merge'!$N1030="Did Not Meet"),MIN(ABS('Mail Merge'!$H1030),ABS('Mail Merge'!$M1030),'Mail Merge'!$Q1030),0)</f>
        <v>0</v>
      </c>
      <c r="V1030" s="199" t="str">
        <f>IF(OR(IFERROR(SEARCH("Met",'Mail Merge'!$N1030),0)&gt;0,IFERROR(SEARCH("Met",'Mail Merge'!$I1030),0)&gt;0),"Met","Not Met")</f>
        <v>Met</v>
      </c>
    </row>
    <row r="1031" spans="1:22" x14ac:dyDescent="0.35">
      <c r="A1031" s="200" t="s">
        <v>66</v>
      </c>
      <c r="B1031" s="201">
        <v>2253</v>
      </c>
      <c r="C1031" s="201" t="s">
        <v>41</v>
      </c>
      <c r="D1031" s="201">
        <v>133</v>
      </c>
      <c r="E1031" s="201">
        <v>930160.19</v>
      </c>
      <c r="F1031" s="201">
        <v>65704.25</v>
      </c>
      <c r="G1031" s="201">
        <f>'Mail Merge'!$E1031+'Mail Merge'!$F1031</f>
        <v>995864.44</v>
      </c>
      <c r="H1031" s="201">
        <v>0</v>
      </c>
      <c r="I1031" s="201" t="s">
        <v>242</v>
      </c>
      <c r="J1031" s="201">
        <f>IFERROR('Mail Merge'!$E1031/'Mail Merge'!$D1031,0)</f>
        <v>6993.6856390977437</v>
      </c>
      <c r="K1031" s="201">
        <f>IFERROR('Mail Merge'!$F1031/'Mail Merge'!$D1031,0)</f>
        <v>494.01691729323306</v>
      </c>
      <c r="L1031" s="201">
        <f>IFERROR('Mail Merge'!$G1031/'Mail Merge'!$D1031,0)</f>
        <v>7487.7025563909774</v>
      </c>
      <c r="M1031" s="201">
        <v>21304.87</v>
      </c>
      <c r="N1031" s="201" t="s">
        <v>240</v>
      </c>
      <c r="O1031" s="201">
        <v>146285.04</v>
      </c>
      <c r="P1031" s="201">
        <v>1101.6300000000001</v>
      </c>
      <c r="Q1031" s="201">
        <f>'Mail Merge'!$O1031+'Mail Merge'!$P1031</f>
        <v>147386.67000000001</v>
      </c>
      <c r="R1031" s="201"/>
      <c r="S1031" s="201">
        <v>44484.24</v>
      </c>
      <c r="T1031" s="201"/>
      <c r="U1031" s="201">
        <f>IF(AND('Mail Merge'!$I1031="Did Not Meet",'Mail Merge'!$N1031="Did Not Meet"),MIN(ABS('Mail Merge'!$H1031),ABS('Mail Merge'!$M1031),'Mail Merge'!$Q1031),0)</f>
        <v>0</v>
      </c>
      <c r="V1031" s="201" t="str">
        <f>IF(OR(IFERROR(SEARCH("Met",'Mail Merge'!$N1031),0)&gt;0,IFERROR(SEARCH("Met",'Mail Merge'!$I1031),0)&gt;0),"Met","Not Met")</f>
        <v>Met</v>
      </c>
    </row>
    <row r="1032" spans="1:22" x14ac:dyDescent="0.35">
      <c r="A1032" s="198" t="s">
        <v>67</v>
      </c>
      <c r="B1032" s="199">
        <v>2011</v>
      </c>
      <c r="C1032" s="199" t="s">
        <v>41</v>
      </c>
      <c r="D1032" s="199">
        <v>8</v>
      </c>
      <c r="E1032" s="199">
        <v>4941.08</v>
      </c>
      <c r="F1032" s="199">
        <v>69332.820000000007</v>
      </c>
      <c r="G1032" s="199">
        <f>'Mail Merge'!$E1032+'Mail Merge'!$F1032</f>
        <v>74273.900000000009</v>
      </c>
      <c r="H1032" s="199">
        <v>0</v>
      </c>
      <c r="I1032" s="199" t="s">
        <v>242</v>
      </c>
      <c r="J1032" s="199">
        <f>IFERROR('Mail Merge'!$E1032/'Mail Merge'!$D1032,0)</f>
        <v>617.63499999999999</v>
      </c>
      <c r="K1032" s="199">
        <f>IFERROR('Mail Merge'!$F1032/'Mail Merge'!$D1032,0)</f>
        <v>8666.6025000000009</v>
      </c>
      <c r="L1032" s="199">
        <f>IFERROR('Mail Merge'!$G1032/'Mail Merge'!$D1032,0)</f>
        <v>9284.2375000000011</v>
      </c>
      <c r="M1032" s="199">
        <v>0</v>
      </c>
      <c r="N1032" s="199" t="s">
        <v>241</v>
      </c>
      <c r="O1032" s="199">
        <v>9488.11</v>
      </c>
      <c r="P1032" s="199">
        <v>0</v>
      </c>
      <c r="Q1032" s="199">
        <f>'Mail Merge'!$O1032+'Mail Merge'!$P1032</f>
        <v>9488.11</v>
      </c>
      <c r="R1032" s="199"/>
      <c r="S1032" s="199">
        <v>20288.240000000002</v>
      </c>
      <c r="T1032" s="199">
        <v>20288.240000000002</v>
      </c>
      <c r="U1032" s="199">
        <f>IF(AND('Mail Merge'!$I1032="Did Not Meet",'Mail Merge'!$N1032="Did Not Meet"),MIN(ABS('Mail Merge'!$H1032),ABS('Mail Merge'!$M1032),'Mail Merge'!$Q1032),0)</f>
        <v>0</v>
      </c>
      <c r="V1032" s="199" t="str">
        <f>IF(OR(IFERROR(SEARCH("Met",'Mail Merge'!$N1032),0)&gt;0,IFERROR(SEARCH("Met",'Mail Merge'!$I1032),0)&gt;0),"Met","Not Met")</f>
        <v>Met</v>
      </c>
    </row>
    <row r="1033" spans="1:22" x14ac:dyDescent="0.35">
      <c r="A1033" s="200" t="s">
        <v>68</v>
      </c>
      <c r="B1033" s="201">
        <v>2017</v>
      </c>
      <c r="C1033" s="201" t="s">
        <v>41</v>
      </c>
      <c r="D1033" s="201">
        <v>0</v>
      </c>
      <c r="E1033" s="201">
        <v>0</v>
      </c>
      <c r="F1033" s="201">
        <v>6191</v>
      </c>
      <c r="G1033" s="201">
        <f>'Mail Merge'!$E1033+'Mail Merge'!$F1033</f>
        <v>6191</v>
      </c>
      <c r="H1033" s="201">
        <v>0</v>
      </c>
      <c r="I1033" s="201" t="s">
        <v>242</v>
      </c>
      <c r="J1033" s="201">
        <f>IFERROR('Mail Merge'!$E1033/'Mail Merge'!$D1033,0)</f>
        <v>0</v>
      </c>
      <c r="K1033" s="201">
        <f>IFERROR('Mail Merge'!$F1033/'Mail Merge'!$D1033,0)</f>
        <v>0</v>
      </c>
      <c r="L1033" s="201">
        <f>IFERROR('Mail Merge'!$G1033/'Mail Merge'!$D1033,0)</f>
        <v>0</v>
      </c>
      <c r="M1033" s="201">
        <v>0</v>
      </c>
      <c r="N1033" s="201" t="s">
        <v>242</v>
      </c>
      <c r="O1033" s="201">
        <v>0</v>
      </c>
      <c r="P1033" s="201">
        <v>0</v>
      </c>
      <c r="Q1033" s="201">
        <f>'Mail Merge'!$O1033+'Mail Merge'!$P1033</f>
        <v>0</v>
      </c>
      <c r="R1033" s="201"/>
      <c r="S1033" s="201"/>
      <c r="T1033" s="201"/>
      <c r="U1033" s="201">
        <f>IF(AND('Mail Merge'!$I1033="Did Not Meet",'Mail Merge'!$N1033="Did Not Meet"),MIN(ABS('Mail Merge'!$H1033),ABS('Mail Merge'!$M1033),'Mail Merge'!$Q1033),0)</f>
        <v>0</v>
      </c>
      <c r="V1033" s="201" t="str">
        <f>IF(OR(IFERROR(SEARCH("Met",'Mail Merge'!$N1033),0)&gt;0,IFERROR(SEARCH("Met",'Mail Merge'!$I1033),0)&gt;0),"Met","Not Met")</f>
        <v>Met</v>
      </c>
    </row>
    <row r="1034" spans="1:22" x14ac:dyDescent="0.35">
      <c r="A1034" s="198" t="s">
        <v>69</v>
      </c>
      <c r="B1034" s="199">
        <v>2021</v>
      </c>
      <c r="C1034" s="199" t="s">
        <v>41</v>
      </c>
      <c r="D1034" s="199">
        <v>0</v>
      </c>
      <c r="E1034" s="199">
        <v>5012.0600000000004</v>
      </c>
      <c r="F1034" s="199">
        <v>0</v>
      </c>
      <c r="G1034" s="199">
        <f>'Mail Merge'!$E1034+'Mail Merge'!$F1034</f>
        <v>5012.0600000000004</v>
      </c>
      <c r="H1034" s="199">
        <v>0</v>
      </c>
      <c r="I1034" s="199" t="s">
        <v>241</v>
      </c>
      <c r="J1034" s="199">
        <f>IFERROR('Mail Merge'!$E1034/'Mail Merge'!$D1034,0)</f>
        <v>0</v>
      </c>
      <c r="K1034" s="199">
        <f>IFERROR('Mail Merge'!$F1034/'Mail Merge'!$D1034,0)</f>
        <v>0</v>
      </c>
      <c r="L1034" s="199">
        <f>IFERROR('Mail Merge'!$G1034/'Mail Merge'!$D1034,0)</f>
        <v>0</v>
      </c>
      <c r="M1034" s="199">
        <v>0</v>
      </c>
      <c r="N1034" s="199" t="s">
        <v>241</v>
      </c>
      <c r="O1034" s="199">
        <v>0</v>
      </c>
      <c r="P1034" s="199">
        <v>0</v>
      </c>
      <c r="Q1034" s="199">
        <f>'Mail Merge'!$O1034+'Mail Merge'!$P1034</f>
        <v>0</v>
      </c>
      <c r="R1034" s="199"/>
      <c r="S1034" s="199"/>
      <c r="T1034" s="199"/>
      <c r="U1034" s="199">
        <f>IF(AND('Mail Merge'!$I1034="Did Not Meet",'Mail Merge'!$N1034="Did Not Meet"),MIN(ABS('Mail Merge'!$H1034),ABS('Mail Merge'!$M1034),'Mail Merge'!$Q1034),0)</f>
        <v>0</v>
      </c>
      <c r="V1034" s="199" t="str">
        <f>IF(OR(IFERROR(SEARCH("Met",'Mail Merge'!$N1034),0)&gt;0,IFERROR(SEARCH("Met",'Mail Merge'!$I1034),0)&gt;0),"Met","Not Met")</f>
        <v>Met</v>
      </c>
    </row>
    <row r="1035" spans="1:22" x14ac:dyDescent="0.35">
      <c r="A1035" s="200" t="s">
        <v>70</v>
      </c>
      <c r="B1035" s="201">
        <v>1993</v>
      </c>
      <c r="C1035" s="201" t="s">
        <v>41</v>
      </c>
      <c r="D1035" s="201">
        <v>22</v>
      </c>
      <c r="E1035" s="201">
        <v>149501.6</v>
      </c>
      <c r="F1035" s="201">
        <v>32748.28</v>
      </c>
      <c r="G1035" s="201">
        <f>'Mail Merge'!$E1035+'Mail Merge'!$F1035</f>
        <v>182249.88</v>
      </c>
      <c r="H1035" s="201">
        <v>0</v>
      </c>
      <c r="I1035" s="201" t="s">
        <v>241</v>
      </c>
      <c r="J1035" s="201">
        <f>IFERROR('Mail Merge'!$E1035/'Mail Merge'!$D1035,0)</f>
        <v>6795.5272727272732</v>
      </c>
      <c r="K1035" s="201">
        <f>IFERROR('Mail Merge'!$F1035/'Mail Merge'!$D1035,0)</f>
        <v>1488.5581818181818</v>
      </c>
      <c r="L1035" s="201">
        <f>IFERROR('Mail Merge'!$G1035/'Mail Merge'!$D1035,0)</f>
        <v>8284.0854545454549</v>
      </c>
      <c r="M1035" s="201">
        <v>0</v>
      </c>
      <c r="N1035" s="201" t="s">
        <v>242</v>
      </c>
      <c r="O1035" s="201">
        <v>38250.65</v>
      </c>
      <c r="P1035" s="201">
        <v>0</v>
      </c>
      <c r="Q1035" s="201">
        <f>'Mail Merge'!$O1035+'Mail Merge'!$P1035</f>
        <v>38250.65</v>
      </c>
      <c r="R1035" s="201"/>
      <c r="S1035" s="201"/>
      <c r="T1035" s="201">
        <v>24920.25</v>
      </c>
      <c r="U1035" s="201">
        <f>IF(AND('Mail Merge'!$I1035="Did Not Meet",'Mail Merge'!$N1035="Did Not Meet"),MIN(ABS('Mail Merge'!$H1035),ABS('Mail Merge'!$M1035),'Mail Merge'!$Q1035),0)</f>
        <v>0</v>
      </c>
      <c r="V1035" s="201" t="str">
        <f>IF(OR(IFERROR(SEARCH("Met",'Mail Merge'!$N1035),0)&gt;0,IFERROR(SEARCH("Met",'Mail Merge'!$I1035),0)&gt;0),"Met","Not Met")</f>
        <v>Met</v>
      </c>
    </row>
    <row r="1036" spans="1:22" x14ac:dyDescent="0.35">
      <c r="A1036" s="198" t="s">
        <v>71</v>
      </c>
      <c r="B1036" s="199">
        <v>1991</v>
      </c>
      <c r="C1036" s="199" t="s">
        <v>41</v>
      </c>
      <c r="D1036" s="199">
        <v>612</v>
      </c>
      <c r="E1036" s="199">
        <v>5469744.4800000004</v>
      </c>
      <c r="F1036" s="199">
        <v>1476891.2</v>
      </c>
      <c r="G1036" s="199">
        <f>'Mail Merge'!$E1036+'Mail Merge'!$F1036</f>
        <v>6946635.6800000006</v>
      </c>
      <c r="H1036" s="199">
        <v>0</v>
      </c>
      <c r="I1036" s="199" t="s">
        <v>241</v>
      </c>
      <c r="J1036" s="199">
        <f>IFERROR('Mail Merge'!$E1036/'Mail Merge'!$D1036,0)</f>
        <v>8937.4909803921582</v>
      </c>
      <c r="K1036" s="199">
        <f>IFERROR('Mail Merge'!$F1036/'Mail Merge'!$D1036,0)</f>
        <v>2413.2209150326798</v>
      </c>
      <c r="L1036" s="199">
        <f>IFERROR('Mail Merge'!$G1036/'Mail Merge'!$D1036,0)</f>
        <v>11350.711895424838</v>
      </c>
      <c r="M1036" s="199">
        <v>0</v>
      </c>
      <c r="N1036" s="199" t="s">
        <v>241</v>
      </c>
      <c r="O1036" s="199">
        <v>970317.1</v>
      </c>
      <c r="P1036" s="199">
        <v>9282.27</v>
      </c>
      <c r="Q1036" s="199">
        <f>'Mail Merge'!$O1036+'Mail Merge'!$P1036</f>
        <v>979599.37</v>
      </c>
      <c r="R1036" s="199"/>
      <c r="S1036" s="199"/>
      <c r="T1036" s="199"/>
      <c r="U1036" s="199">
        <f>IF(AND('Mail Merge'!$I1036="Did Not Meet",'Mail Merge'!$N1036="Did Not Meet"),MIN(ABS('Mail Merge'!$H1036),ABS('Mail Merge'!$M1036),'Mail Merge'!$Q1036),0)</f>
        <v>0</v>
      </c>
      <c r="V1036" s="199" t="str">
        <f>IF(OR(IFERROR(SEARCH("Met",'Mail Merge'!$N1036),0)&gt;0,IFERROR(SEARCH("Met",'Mail Merge'!$I1036),0)&gt;0),"Met","Not Met")</f>
        <v>Met</v>
      </c>
    </row>
    <row r="1037" spans="1:22" x14ac:dyDescent="0.35">
      <c r="A1037" s="200" t="s">
        <v>72</v>
      </c>
      <c r="B1037" s="201">
        <v>2019</v>
      </c>
      <c r="C1037" s="201" t="s">
        <v>41</v>
      </c>
      <c r="D1037" s="201">
        <v>1</v>
      </c>
      <c r="E1037" s="201">
        <v>3207.72</v>
      </c>
      <c r="F1037" s="201">
        <v>6100</v>
      </c>
      <c r="G1037" s="201">
        <f>'Mail Merge'!$E1037+'Mail Merge'!$F1037</f>
        <v>9307.7199999999993</v>
      </c>
      <c r="H1037" s="201">
        <v>0</v>
      </c>
      <c r="I1037" s="201" t="s">
        <v>241</v>
      </c>
      <c r="J1037" s="201">
        <f>IFERROR('Mail Merge'!$E1037/'Mail Merge'!$D1037,0)</f>
        <v>3207.72</v>
      </c>
      <c r="K1037" s="201">
        <f>IFERROR('Mail Merge'!$F1037/'Mail Merge'!$D1037,0)</f>
        <v>6100</v>
      </c>
      <c r="L1037" s="201">
        <f>IFERROR('Mail Merge'!$G1037/'Mail Merge'!$D1037,0)</f>
        <v>9307.7199999999993</v>
      </c>
      <c r="M1037" s="201">
        <v>0</v>
      </c>
      <c r="N1037" s="201" t="s">
        <v>241</v>
      </c>
      <c r="O1037" s="201">
        <v>1657.57</v>
      </c>
      <c r="P1037" s="201">
        <v>0</v>
      </c>
      <c r="Q1037" s="201">
        <f>'Mail Merge'!$O1037+'Mail Merge'!$P1037</f>
        <v>1657.57</v>
      </c>
      <c r="R1037" s="201"/>
      <c r="S1037" s="201">
        <v>33762</v>
      </c>
      <c r="T1037" s="201">
        <v>33762</v>
      </c>
      <c r="U1037" s="201">
        <f>IF(AND('Mail Merge'!$I1037="Did Not Meet",'Mail Merge'!$N1037="Did Not Meet"),MIN(ABS('Mail Merge'!$H1037),ABS('Mail Merge'!$M1037),'Mail Merge'!$Q1037),0)</f>
        <v>0</v>
      </c>
      <c r="V1037" s="201" t="str">
        <f>IF(OR(IFERROR(SEARCH("Met",'Mail Merge'!$N1037),0)&gt;0,IFERROR(SEARCH("Met",'Mail Merge'!$I1037),0)&gt;0),"Met","Not Met")</f>
        <v>Met</v>
      </c>
    </row>
    <row r="1038" spans="1:22" x14ac:dyDescent="0.35">
      <c r="A1038" s="198" t="s">
        <v>73</v>
      </c>
      <c r="B1038" s="199">
        <v>2229</v>
      </c>
      <c r="C1038" s="199" t="s">
        <v>41</v>
      </c>
      <c r="D1038" s="199">
        <v>44</v>
      </c>
      <c r="E1038" s="199">
        <v>189126.05</v>
      </c>
      <c r="F1038" s="199">
        <v>0</v>
      </c>
      <c r="G1038" s="199">
        <f>'Mail Merge'!$E1038+'Mail Merge'!$F1038</f>
        <v>189126.05</v>
      </c>
      <c r="H1038" s="199">
        <v>0</v>
      </c>
      <c r="I1038" s="199" t="s">
        <v>241</v>
      </c>
      <c r="J1038" s="199">
        <f>IFERROR('Mail Merge'!$E1038/'Mail Merge'!$D1038,0)</f>
        <v>4298.3193181818178</v>
      </c>
      <c r="K1038" s="199">
        <f>IFERROR('Mail Merge'!$F1038/'Mail Merge'!$D1038,0)</f>
        <v>0</v>
      </c>
      <c r="L1038" s="199">
        <f>IFERROR('Mail Merge'!$G1038/'Mail Merge'!$D1038,0)</f>
        <v>4298.3193181818178</v>
      </c>
      <c r="M1038" s="199">
        <v>45801.63</v>
      </c>
      <c r="N1038" s="199" t="s">
        <v>240</v>
      </c>
      <c r="O1038" s="199">
        <v>45650.7</v>
      </c>
      <c r="P1038" s="199">
        <v>688.52</v>
      </c>
      <c r="Q1038" s="199">
        <f>'Mail Merge'!$O1038+'Mail Merge'!$P1038</f>
        <v>46339.219999999994</v>
      </c>
      <c r="R1038" s="199"/>
      <c r="S1038" s="199"/>
      <c r="T1038" s="199"/>
      <c r="U1038" s="199">
        <f>IF(AND('Mail Merge'!$I1038="Did Not Meet",'Mail Merge'!$N1038="Did Not Meet"),MIN(ABS('Mail Merge'!$H1038),ABS('Mail Merge'!$M1038),'Mail Merge'!$Q1038),0)</f>
        <v>0</v>
      </c>
      <c r="V1038" s="199" t="str">
        <f>IF(OR(IFERROR(SEARCH("Met",'Mail Merge'!$N1038),0)&gt;0,IFERROR(SEARCH("Met",'Mail Merge'!$I1038),0)&gt;0),"Met","Not Met")</f>
        <v>Met</v>
      </c>
    </row>
    <row r="1039" spans="1:22" x14ac:dyDescent="0.35">
      <c r="A1039" s="200" t="s">
        <v>74</v>
      </c>
      <c r="B1039" s="201">
        <v>2043</v>
      </c>
      <c r="C1039" s="201" t="s">
        <v>41</v>
      </c>
      <c r="D1039" s="201">
        <v>501</v>
      </c>
      <c r="E1039" s="201">
        <v>3569577.91</v>
      </c>
      <c r="F1039" s="201">
        <v>231110.39</v>
      </c>
      <c r="G1039" s="201">
        <f>'Mail Merge'!$E1039+'Mail Merge'!$F1039</f>
        <v>3800688.3000000003</v>
      </c>
      <c r="H1039" s="201">
        <v>0</v>
      </c>
      <c r="I1039" s="201" t="s">
        <v>242</v>
      </c>
      <c r="J1039" s="201">
        <f>IFERROR('Mail Merge'!$E1039/'Mail Merge'!$D1039,0)</f>
        <v>7124.9060079840319</v>
      </c>
      <c r="K1039" s="201">
        <f>IFERROR('Mail Merge'!$F1039/'Mail Merge'!$D1039,0)</f>
        <v>461.29818363273455</v>
      </c>
      <c r="L1039" s="201">
        <f>IFERROR('Mail Merge'!$G1039/'Mail Merge'!$D1039,0)</f>
        <v>7586.2041916167673</v>
      </c>
      <c r="M1039" s="201">
        <v>17299.599999999999</v>
      </c>
      <c r="N1039" s="201" t="s">
        <v>240</v>
      </c>
      <c r="O1039" s="201">
        <v>614751.42000000004</v>
      </c>
      <c r="P1039" s="201">
        <v>5841.99</v>
      </c>
      <c r="Q1039" s="201">
        <f>'Mail Merge'!$O1039+'Mail Merge'!$P1039</f>
        <v>620593.41</v>
      </c>
      <c r="R1039" s="201"/>
      <c r="S1039" s="201">
        <v>118816.73</v>
      </c>
      <c r="T1039" s="201"/>
      <c r="U1039" s="201">
        <f>IF(AND('Mail Merge'!$I1039="Did Not Meet",'Mail Merge'!$N1039="Did Not Meet"),MIN(ABS('Mail Merge'!$H1039),ABS('Mail Merge'!$M1039),'Mail Merge'!$Q1039),0)</f>
        <v>0</v>
      </c>
      <c r="V1039" s="201" t="str">
        <f>IF(OR(IFERROR(SEARCH("Met",'Mail Merge'!$N1039),0)&gt;0,IFERROR(SEARCH("Met",'Mail Merge'!$I1039),0)&gt;0),"Met","Not Met")</f>
        <v>Met</v>
      </c>
    </row>
    <row r="1040" spans="1:22" x14ac:dyDescent="0.35">
      <c r="A1040" s="198" t="s">
        <v>75</v>
      </c>
      <c r="B1040" s="199">
        <v>2203</v>
      </c>
      <c r="C1040" s="199" t="s">
        <v>41</v>
      </c>
      <c r="D1040" s="199">
        <v>45</v>
      </c>
      <c r="E1040" s="199">
        <v>138503.66</v>
      </c>
      <c r="F1040" s="199">
        <v>75733.38</v>
      </c>
      <c r="G1040" s="199">
        <f>'Mail Merge'!$E1040+'Mail Merge'!$F1040</f>
        <v>214237.04</v>
      </c>
      <c r="H1040" s="199">
        <v>0</v>
      </c>
      <c r="I1040" s="199" t="s">
        <v>241</v>
      </c>
      <c r="J1040" s="199">
        <f>IFERROR('Mail Merge'!$E1040/'Mail Merge'!$D1040,0)</f>
        <v>3077.8591111111114</v>
      </c>
      <c r="K1040" s="199">
        <f>IFERROR('Mail Merge'!$F1040/'Mail Merge'!$D1040,0)</f>
        <v>1682.9640000000002</v>
      </c>
      <c r="L1040" s="199">
        <f>IFERROR('Mail Merge'!$G1040/'Mail Merge'!$D1040,0)</f>
        <v>4760.8231111111108</v>
      </c>
      <c r="M1040" s="199">
        <v>34566.31</v>
      </c>
      <c r="N1040" s="199" t="s">
        <v>240</v>
      </c>
      <c r="O1040" s="199">
        <v>37283.120000000003</v>
      </c>
      <c r="P1040" s="199">
        <v>91.8</v>
      </c>
      <c r="Q1040" s="199">
        <f>'Mail Merge'!$O1040+'Mail Merge'!$P1040</f>
        <v>37374.920000000006</v>
      </c>
      <c r="R1040" s="199"/>
      <c r="S1040" s="199"/>
      <c r="T1040" s="199"/>
      <c r="U1040" s="199">
        <f>IF(AND('Mail Merge'!$I1040="Did Not Meet",'Mail Merge'!$N1040="Did Not Meet"),MIN(ABS('Mail Merge'!$H1040),ABS('Mail Merge'!$M1040),'Mail Merge'!$Q1040),0)</f>
        <v>0</v>
      </c>
      <c r="V1040" s="199" t="str">
        <f>IF(OR(IFERROR(SEARCH("Met",'Mail Merge'!$N1040),0)&gt;0,IFERROR(SEARCH("Met",'Mail Merge'!$I1040),0)&gt;0),"Met","Not Met")</f>
        <v>Met</v>
      </c>
    </row>
    <row r="1041" spans="1:22" x14ac:dyDescent="0.35">
      <c r="A1041" s="200" t="s">
        <v>76</v>
      </c>
      <c r="B1041" s="201">
        <v>2217</v>
      </c>
      <c r="C1041" s="201" t="s">
        <v>41</v>
      </c>
      <c r="D1041" s="201">
        <v>52</v>
      </c>
      <c r="E1041" s="201">
        <v>339124.04</v>
      </c>
      <c r="F1041" s="201">
        <v>131554.1</v>
      </c>
      <c r="G1041" s="201">
        <f>'Mail Merge'!$E1041+'Mail Merge'!$F1041</f>
        <v>470678.14</v>
      </c>
      <c r="H1041" s="201">
        <v>0</v>
      </c>
      <c r="I1041" s="201" t="s">
        <v>241</v>
      </c>
      <c r="J1041" s="201">
        <f>IFERROR('Mail Merge'!$E1041/'Mail Merge'!$D1041,0)</f>
        <v>6521.6161538461538</v>
      </c>
      <c r="K1041" s="201">
        <f>IFERROR('Mail Merge'!$F1041/'Mail Merge'!$D1041,0)</f>
        <v>2529.8865384615387</v>
      </c>
      <c r="L1041" s="201">
        <f>IFERROR('Mail Merge'!$G1041/'Mail Merge'!$D1041,0)</f>
        <v>9051.502692307693</v>
      </c>
      <c r="M1041" s="201">
        <v>27489</v>
      </c>
      <c r="N1041" s="201" t="s">
        <v>240</v>
      </c>
      <c r="O1041" s="201">
        <v>67798.3</v>
      </c>
      <c r="P1041" s="201">
        <v>131.15</v>
      </c>
      <c r="Q1041" s="201">
        <f>'Mail Merge'!$O1041+'Mail Merge'!$P1041</f>
        <v>67929.45</v>
      </c>
      <c r="R1041" s="201"/>
      <c r="S1041" s="201"/>
      <c r="T1041" s="201"/>
      <c r="U1041" s="201">
        <f>IF(AND('Mail Merge'!$I1041="Did Not Meet",'Mail Merge'!$N1041="Did Not Meet"),MIN(ABS('Mail Merge'!$H1041),ABS('Mail Merge'!$M1041),'Mail Merge'!$Q1041),0)</f>
        <v>0</v>
      </c>
      <c r="V1041" s="201" t="str">
        <f>IF(OR(IFERROR(SEARCH("Met",'Mail Merge'!$N1041),0)&gt;0,IFERROR(SEARCH("Met",'Mail Merge'!$I1041),0)&gt;0),"Met","Not Met")</f>
        <v>Met</v>
      </c>
    </row>
    <row r="1042" spans="1:22" x14ac:dyDescent="0.35">
      <c r="A1042" s="198" t="s">
        <v>77</v>
      </c>
      <c r="B1042" s="199">
        <v>1998</v>
      </c>
      <c r="C1042" s="199" t="s">
        <v>41</v>
      </c>
      <c r="D1042" s="199">
        <v>49</v>
      </c>
      <c r="E1042" s="199">
        <v>170444.64</v>
      </c>
      <c r="F1042" s="199">
        <v>55491.46</v>
      </c>
      <c r="G1042" s="199">
        <f>'Mail Merge'!$E1042+'Mail Merge'!$F1042</f>
        <v>225936.1</v>
      </c>
      <c r="H1042" s="199">
        <v>0</v>
      </c>
      <c r="I1042" s="199" t="s">
        <v>241</v>
      </c>
      <c r="J1042" s="199">
        <f>IFERROR('Mail Merge'!$E1042/'Mail Merge'!$D1042,0)</f>
        <v>3478.4620408163269</v>
      </c>
      <c r="K1042" s="199">
        <f>IFERROR('Mail Merge'!$F1042/'Mail Merge'!$D1042,0)</f>
        <v>1132.4787755102041</v>
      </c>
      <c r="L1042" s="199">
        <f>IFERROR('Mail Merge'!$G1042/'Mail Merge'!$D1042,0)</f>
        <v>4610.9408163265307</v>
      </c>
      <c r="M1042" s="199">
        <v>0</v>
      </c>
      <c r="N1042" s="199" t="s">
        <v>242</v>
      </c>
      <c r="O1042" s="199">
        <v>55754.64</v>
      </c>
      <c r="P1042" s="199">
        <v>344.26</v>
      </c>
      <c r="Q1042" s="199">
        <f>'Mail Merge'!$O1042+'Mail Merge'!$P1042</f>
        <v>56098.9</v>
      </c>
      <c r="R1042" s="199"/>
      <c r="S1042" s="199"/>
      <c r="T1042" s="199">
        <v>10524.64</v>
      </c>
      <c r="U1042" s="199">
        <f>IF(AND('Mail Merge'!$I1042="Did Not Meet",'Mail Merge'!$N1042="Did Not Meet"),MIN(ABS('Mail Merge'!$H1042),ABS('Mail Merge'!$M1042),'Mail Merge'!$Q1042),0)</f>
        <v>0</v>
      </c>
      <c r="V1042" s="199" t="str">
        <f>IF(OR(IFERROR(SEARCH("Met",'Mail Merge'!$N1042),0)&gt;0,IFERROR(SEARCH("Met",'Mail Merge'!$I1042),0)&gt;0),"Met","Not Met")</f>
        <v>Met</v>
      </c>
    </row>
    <row r="1043" spans="1:22" x14ac:dyDescent="0.35">
      <c r="A1043" s="200" t="s">
        <v>78</v>
      </c>
      <c r="B1043" s="201">
        <v>2221</v>
      </c>
      <c r="C1043" s="201" t="s">
        <v>41</v>
      </c>
      <c r="D1043" s="201">
        <v>57</v>
      </c>
      <c r="E1043" s="201">
        <v>21106.97</v>
      </c>
      <c r="F1043" s="201">
        <v>297891.24</v>
      </c>
      <c r="G1043" s="201">
        <f>'Mail Merge'!$E1043+'Mail Merge'!$F1043</f>
        <v>318998.20999999996</v>
      </c>
      <c r="H1043" s="201">
        <v>0</v>
      </c>
      <c r="I1043" s="201" t="s">
        <v>241</v>
      </c>
      <c r="J1043" s="201">
        <f>IFERROR('Mail Merge'!$E1043/'Mail Merge'!$D1043,0)</f>
        <v>370.29771929824562</v>
      </c>
      <c r="K1043" s="201">
        <f>IFERROR('Mail Merge'!$F1043/'Mail Merge'!$D1043,0)</f>
        <v>5226.1621052631581</v>
      </c>
      <c r="L1043" s="201">
        <f>IFERROR('Mail Merge'!$G1043/'Mail Merge'!$D1043,0)</f>
        <v>5596.4598245614025</v>
      </c>
      <c r="M1043" s="201">
        <v>0</v>
      </c>
      <c r="N1043" s="201" t="s">
        <v>241</v>
      </c>
      <c r="O1043" s="201">
        <v>96952.73</v>
      </c>
      <c r="P1043" s="201">
        <v>1530.04</v>
      </c>
      <c r="Q1043" s="201">
        <f>'Mail Merge'!$O1043+'Mail Merge'!$P1043</f>
        <v>98482.76999999999</v>
      </c>
      <c r="R1043" s="201"/>
      <c r="S1043" s="201"/>
      <c r="T1043" s="201"/>
      <c r="U1043" s="201">
        <f>IF(AND('Mail Merge'!$I1043="Did Not Meet",'Mail Merge'!$N1043="Did Not Meet"),MIN(ABS('Mail Merge'!$H1043),ABS('Mail Merge'!$M1043),'Mail Merge'!$Q1043),0)</f>
        <v>0</v>
      </c>
      <c r="V1043" s="201" t="str">
        <f>IF(OR(IFERROR(SEARCH("Met",'Mail Merge'!$N1043),0)&gt;0,IFERROR(SEARCH("Met",'Mail Merge'!$I1043),0)&gt;0),"Met","Not Met")</f>
        <v>Met</v>
      </c>
    </row>
    <row r="1044" spans="1:22" x14ac:dyDescent="0.35">
      <c r="A1044" s="198" t="s">
        <v>79</v>
      </c>
      <c r="B1044" s="199">
        <v>1930</v>
      </c>
      <c r="C1044" s="199" t="s">
        <v>41</v>
      </c>
      <c r="D1044" s="199">
        <v>296</v>
      </c>
      <c r="E1044" s="199">
        <v>2261450.62</v>
      </c>
      <c r="F1044" s="199">
        <v>443228</v>
      </c>
      <c r="G1044" s="199">
        <f>'Mail Merge'!$E1044+'Mail Merge'!$F1044</f>
        <v>2704678.62</v>
      </c>
      <c r="H1044" s="199">
        <v>0</v>
      </c>
      <c r="I1044" s="199" t="s">
        <v>242</v>
      </c>
      <c r="J1044" s="199">
        <f>IFERROR('Mail Merge'!$E1044/'Mail Merge'!$D1044,0)</f>
        <v>7640.0358783783786</v>
      </c>
      <c r="K1044" s="199">
        <f>IFERROR('Mail Merge'!$F1044/'Mail Merge'!$D1044,0)</f>
        <v>1497.3918918918919</v>
      </c>
      <c r="L1044" s="199">
        <f>IFERROR('Mail Merge'!$G1044/'Mail Merge'!$D1044,0)</f>
        <v>9137.4277702702711</v>
      </c>
      <c r="M1044" s="199">
        <v>0</v>
      </c>
      <c r="N1044" s="199" t="s">
        <v>242</v>
      </c>
      <c r="O1044" s="199">
        <v>415573.1</v>
      </c>
      <c r="P1044" s="199">
        <v>3029.49</v>
      </c>
      <c r="Q1044" s="199">
        <f>'Mail Merge'!$O1044+'Mail Merge'!$P1044</f>
        <v>418602.58999999997</v>
      </c>
      <c r="R1044" s="199"/>
      <c r="S1044" s="199">
        <v>97340.35</v>
      </c>
      <c r="T1044" s="199">
        <v>739750.55</v>
      </c>
      <c r="U1044" s="199">
        <f>IF(AND('Mail Merge'!$I1044="Did Not Meet",'Mail Merge'!$N1044="Did Not Meet"),MIN(ABS('Mail Merge'!$H1044),ABS('Mail Merge'!$M1044),'Mail Merge'!$Q1044),0)</f>
        <v>0</v>
      </c>
      <c r="V1044" s="199" t="str">
        <f>IF(OR(IFERROR(SEARCH("Met",'Mail Merge'!$N1044),0)&gt;0,IFERROR(SEARCH("Met",'Mail Merge'!$I1044),0)&gt;0),"Met","Not Met")</f>
        <v>Met</v>
      </c>
    </row>
    <row r="1045" spans="1:22" x14ac:dyDescent="0.35">
      <c r="A1045" s="200" t="s">
        <v>80</v>
      </c>
      <c r="B1045" s="201">
        <v>2082</v>
      </c>
      <c r="C1045" s="201" t="s">
        <v>41</v>
      </c>
      <c r="D1045" s="201">
        <v>2192</v>
      </c>
      <c r="E1045" s="201">
        <v>21551726.420000002</v>
      </c>
      <c r="F1045" s="201">
        <v>2539935</v>
      </c>
      <c r="G1045" s="201">
        <f>'Mail Merge'!$E1045+'Mail Merge'!$F1045</f>
        <v>24091661.420000002</v>
      </c>
      <c r="H1045" s="201">
        <v>0</v>
      </c>
      <c r="I1045" s="201" t="s">
        <v>241</v>
      </c>
      <c r="J1045" s="201">
        <f>IFERROR('Mail Merge'!$E1045/'Mail Merge'!$D1045,0)</f>
        <v>9831.9919799270083</v>
      </c>
      <c r="K1045" s="201">
        <f>IFERROR('Mail Merge'!$F1045/'Mail Merge'!$D1045,0)</f>
        <v>1158.7294708029196</v>
      </c>
      <c r="L1045" s="201">
        <f>IFERROR('Mail Merge'!$G1045/'Mail Merge'!$D1045,0)</f>
        <v>10990.721450729929</v>
      </c>
      <c r="M1045" s="201">
        <v>0</v>
      </c>
      <c r="N1045" s="201" t="s">
        <v>241</v>
      </c>
      <c r="O1045" s="201">
        <v>3003766</v>
      </c>
      <c r="P1045" s="201">
        <v>26991.87</v>
      </c>
      <c r="Q1045" s="201">
        <f>'Mail Merge'!$O1045+'Mail Merge'!$P1045</f>
        <v>3030757.87</v>
      </c>
      <c r="R1045" s="201"/>
      <c r="S1045" s="201"/>
      <c r="T1045" s="201"/>
      <c r="U1045" s="201">
        <f>IF(AND('Mail Merge'!$I1045="Did Not Meet",'Mail Merge'!$N1045="Did Not Meet"),MIN(ABS('Mail Merge'!$H1045),ABS('Mail Merge'!$M1045),'Mail Merge'!$Q1045),0)</f>
        <v>0</v>
      </c>
      <c r="V1045" s="201" t="str">
        <f>IF(OR(IFERROR(SEARCH("Met",'Mail Merge'!$N1045),0)&gt;0,IFERROR(SEARCH("Met",'Mail Merge'!$I1045),0)&gt;0),"Met","Not Met")</f>
        <v>Met</v>
      </c>
    </row>
    <row r="1046" spans="1:22" x14ac:dyDescent="0.35">
      <c r="A1046" s="198" t="s">
        <v>81</v>
      </c>
      <c r="B1046" s="199">
        <v>2193</v>
      </c>
      <c r="C1046" s="199" t="s">
        <v>41</v>
      </c>
      <c r="D1046" s="199">
        <v>44</v>
      </c>
      <c r="E1046" s="199">
        <v>358654.2</v>
      </c>
      <c r="F1046" s="199">
        <v>37778.35</v>
      </c>
      <c r="G1046" s="199">
        <f>'Mail Merge'!$E1046+'Mail Merge'!$F1046</f>
        <v>396432.55</v>
      </c>
      <c r="H1046" s="199">
        <v>0</v>
      </c>
      <c r="I1046" s="199" t="s">
        <v>241</v>
      </c>
      <c r="J1046" s="199">
        <f>IFERROR('Mail Merge'!$E1046/'Mail Merge'!$D1046,0)</f>
        <v>8151.2318181818182</v>
      </c>
      <c r="K1046" s="199">
        <f>IFERROR('Mail Merge'!$F1046/'Mail Merge'!$D1046,0)</f>
        <v>858.5988636363636</v>
      </c>
      <c r="L1046" s="199">
        <f>IFERROR('Mail Merge'!$G1046/'Mail Merge'!$D1046,0)</f>
        <v>9009.8306818181809</v>
      </c>
      <c r="M1046" s="199">
        <v>71761.279999999999</v>
      </c>
      <c r="N1046" s="199" t="s">
        <v>240</v>
      </c>
      <c r="O1046" s="199">
        <v>36594.75</v>
      </c>
      <c r="P1046" s="199">
        <v>612.02</v>
      </c>
      <c r="Q1046" s="199">
        <f>'Mail Merge'!$O1046+'Mail Merge'!$P1046</f>
        <v>37206.769999999997</v>
      </c>
      <c r="R1046" s="199"/>
      <c r="S1046" s="199"/>
      <c r="T1046" s="199"/>
      <c r="U1046" s="199">
        <f>IF(AND('Mail Merge'!$I1046="Did Not Meet",'Mail Merge'!$N1046="Did Not Meet"),MIN(ABS('Mail Merge'!$H1046),ABS('Mail Merge'!$M1046),'Mail Merge'!$Q1046),0)</f>
        <v>0</v>
      </c>
      <c r="V1046" s="199" t="str">
        <f>IF(OR(IFERROR(SEARCH("Met",'Mail Merge'!$N1046),0)&gt;0,IFERROR(SEARCH("Met",'Mail Merge'!$I1046),0)&gt;0),"Met","Not Met")</f>
        <v>Met</v>
      </c>
    </row>
    <row r="1047" spans="1:22" x14ac:dyDescent="0.35">
      <c r="A1047" s="200" t="s">
        <v>82</v>
      </c>
      <c r="B1047" s="201">
        <v>2084</v>
      </c>
      <c r="C1047" s="201" t="s">
        <v>41</v>
      </c>
      <c r="D1047" s="201">
        <v>262</v>
      </c>
      <c r="E1047" s="201">
        <v>2382945.7000000002</v>
      </c>
      <c r="F1047" s="201">
        <v>468336</v>
      </c>
      <c r="G1047" s="201">
        <f>'Mail Merge'!$E1047+'Mail Merge'!$F1047</f>
        <v>2851281.7</v>
      </c>
      <c r="H1047" s="201">
        <v>0</v>
      </c>
      <c r="I1047" s="201" t="s">
        <v>242</v>
      </c>
      <c r="J1047" s="201">
        <f>IFERROR('Mail Merge'!$E1047/'Mail Merge'!$D1047,0)</f>
        <v>9095.2125954198473</v>
      </c>
      <c r="K1047" s="201">
        <f>IFERROR('Mail Merge'!$F1047/'Mail Merge'!$D1047,0)</f>
        <v>1787.5419847328244</v>
      </c>
      <c r="L1047" s="201">
        <f>IFERROR('Mail Merge'!$G1047/'Mail Merge'!$D1047,0)</f>
        <v>10882.754580152672</v>
      </c>
      <c r="M1047" s="201">
        <v>182515.69</v>
      </c>
      <c r="N1047" s="201" t="s">
        <v>240</v>
      </c>
      <c r="O1047" s="201">
        <v>307720.93</v>
      </c>
      <c r="P1047" s="201">
        <v>1588.89</v>
      </c>
      <c r="Q1047" s="201">
        <f>'Mail Merge'!$O1047+'Mail Merge'!$P1047</f>
        <v>309309.82</v>
      </c>
      <c r="R1047" s="201"/>
      <c r="S1047" s="201">
        <v>39299</v>
      </c>
      <c r="T1047" s="201"/>
      <c r="U1047" s="201">
        <f>IF(AND('Mail Merge'!$I1047="Did Not Meet",'Mail Merge'!$N1047="Did Not Meet"),MIN(ABS('Mail Merge'!$H1047),ABS('Mail Merge'!$M1047),'Mail Merge'!$Q1047),0)</f>
        <v>0</v>
      </c>
      <c r="V1047" s="201" t="str">
        <f>IF(OR(IFERROR(SEARCH("Met",'Mail Merge'!$N1047),0)&gt;0,IFERROR(SEARCH("Met",'Mail Merge'!$I1047),0)&gt;0),"Met","Not Met")</f>
        <v>Met</v>
      </c>
    </row>
    <row r="1048" spans="1:22" x14ac:dyDescent="0.35">
      <c r="A1048" s="198" t="s">
        <v>83</v>
      </c>
      <c r="B1048" s="199">
        <v>2241</v>
      </c>
      <c r="C1048" s="199" t="s">
        <v>41</v>
      </c>
      <c r="D1048" s="199">
        <v>897</v>
      </c>
      <c r="E1048" s="199">
        <v>11351074.82</v>
      </c>
      <c r="F1048" s="199">
        <v>265136</v>
      </c>
      <c r="G1048" s="199">
        <f>'Mail Merge'!$E1048+'Mail Merge'!$F1048</f>
        <v>11616210.82</v>
      </c>
      <c r="H1048" s="199">
        <v>0</v>
      </c>
      <c r="I1048" s="199" t="s">
        <v>242</v>
      </c>
      <c r="J1048" s="199">
        <f>IFERROR('Mail Merge'!$E1048/'Mail Merge'!$D1048,0)</f>
        <v>12654.486978818284</v>
      </c>
      <c r="K1048" s="199">
        <f>IFERROR('Mail Merge'!$F1048/'Mail Merge'!$D1048,0)</f>
        <v>295.58082497212934</v>
      </c>
      <c r="L1048" s="199">
        <f>IFERROR('Mail Merge'!$G1048/'Mail Merge'!$D1048,0)</f>
        <v>12950.067803790413</v>
      </c>
      <c r="M1048" s="199">
        <v>0</v>
      </c>
      <c r="N1048" s="199" t="s">
        <v>241</v>
      </c>
      <c r="O1048" s="199">
        <v>909207.43</v>
      </c>
      <c r="P1048" s="199">
        <v>5427.83</v>
      </c>
      <c r="Q1048" s="199">
        <f>'Mail Merge'!$O1048+'Mail Merge'!$P1048</f>
        <v>914635.26</v>
      </c>
      <c r="R1048" s="199"/>
      <c r="S1048" s="199">
        <v>119910</v>
      </c>
      <c r="T1048" s="199">
        <v>119910</v>
      </c>
      <c r="U1048" s="199">
        <f>IF(AND('Mail Merge'!$I1048="Did Not Meet",'Mail Merge'!$N1048="Did Not Meet"),MIN(ABS('Mail Merge'!$H1048),ABS('Mail Merge'!$M1048),'Mail Merge'!$Q1048),0)</f>
        <v>0</v>
      </c>
      <c r="V1048" s="199" t="str">
        <f>IF(OR(IFERROR(SEARCH("Met",'Mail Merge'!$N1048),0)&gt;0,IFERROR(SEARCH("Met",'Mail Merge'!$I1048),0)&gt;0),"Met","Not Met")</f>
        <v>Met</v>
      </c>
    </row>
    <row r="1049" spans="1:22" x14ac:dyDescent="0.35">
      <c r="A1049" s="200" t="s">
        <v>84</v>
      </c>
      <c r="B1049" s="201">
        <v>2248</v>
      </c>
      <c r="C1049" s="201" t="s">
        <v>41</v>
      </c>
      <c r="D1049" s="201">
        <v>26</v>
      </c>
      <c r="E1049" s="201">
        <v>116109.83</v>
      </c>
      <c r="F1049" s="201">
        <v>67392</v>
      </c>
      <c r="G1049" s="201">
        <f>'Mail Merge'!$E1049+'Mail Merge'!$F1049</f>
        <v>183501.83000000002</v>
      </c>
      <c r="H1049" s="201">
        <v>0</v>
      </c>
      <c r="I1049" s="201" t="s">
        <v>242</v>
      </c>
      <c r="J1049" s="201">
        <f>IFERROR('Mail Merge'!$E1049/'Mail Merge'!$D1049,0)</f>
        <v>4465.7626923076923</v>
      </c>
      <c r="K1049" s="201">
        <f>IFERROR('Mail Merge'!$F1049/'Mail Merge'!$D1049,0)</f>
        <v>2592</v>
      </c>
      <c r="L1049" s="201">
        <f>IFERROR('Mail Merge'!$G1049/'Mail Merge'!$D1049,0)</f>
        <v>7057.7626923076932</v>
      </c>
      <c r="M1049" s="201">
        <v>0</v>
      </c>
      <c r="N1049" s="201" t="s">
        <v>242</v>
      </c>
      <c r="O1049" s="201">
        <v>32668.31</v>
      </c>
      <c r="P1049" s="201">
        <v>0</v>
      </c>
      <c r="Q1049" s="201">
        <f>'Mail Merge'!$O1049+'Mail Merge'!$P1049</f>
        <v>32668.31</v>
      </c>
      <c r="R1049" s="201"/>
      <c r="S1049" s="201">
        <v>57818.55</v>
      </c>
      <c r="T1049" s="201">
        <v>57818.55</v>
      </c>
      <c r="U1049" s="201">
        <f>IF(AND('Mail Merge'!$I1049="Did Not Meet",'Mail Merge'!$N1049="Did Not Meet"),MIN(ABS('Mail Merge'!$H1049),ABS('Mail Merge'!$M1049),'Mail Merge'!$Q1049),0)</f>
        <v>0</v>
      </c>
      <c r="V1049" s="201" t="str">
        <f>IF(OR(IFERROR(SEARCH("Met",'Mail Merge'!$N1049),0)&gt;0,IFERROR(SEARCH("Met",'Mail Merge'!$I1049),0)&gt;0),"Met","Not Met")</f>
        <v>Met</v>
      </c>
    </row>
    <row r="1050" spans="1:22" x14ac:dyDescent="0.35">
      <c r="A1050" s="198" t="s">
        <v>85</v>
      </c>
      <c r="B1050" s="199">
        <v>2020</v>
      </c>
      <c r="C1050" s="199" t="s">
        <v>41</v>
      </c>
      <c r="D1050" s="199">
        <v>8</v>
      </c>
      <c r="E1050" s="199">
        <v>24878.95</v>
      </c>
      <c r="F1050" s="199">
        <v>9425</v>
      </c>
      <c r="G1050" s="199">
        <f>'Mail Merge'!$E1050+'Mail Merge'!$F1050</f>
        <v>34303.949999999997</v>
      </c>
      <c r="H1050" s="199">
        <v>0</v>
      </c>
      <c r="I1050" s="199" t="s">
        <v>241</v>
      </c>
      <c r="J1050" s="199">
        <f>IFERROR('Mail Merge'!$E1050/'Mail Merge'!$D1050,0)</f>
        <v>3109.8687500000001</v>
      </c>
      <c r="K1050" s="199">
        <f>IFERROR('Mail Merge'!$F1050/'Mail Merge'!$D1050,0)</f>
        <v>1178.125</v>
      </c>
      <c r="L1050" s="199">
        <f>IFERROR('Mail Merge'!$G1050/'Mail Merge'!$D1050,0)</f>
        <v>4287.9937499999996</v>
      </c>
      <c r="M1050" s="199">
        <v>63119.57</v>
      </c>
      <c r="N1050" s="199" t="s">
        <v>240</v>
      </c>
      <c r="O1050" s="199">
        <v>0</v>
      </c>
      <c r="P1050" s="199">
        <v>0</v>
      </c>
      <c r="Q1050" s="199">
        <f>'Mail Merge'!$O1050+'Mail Merge'!$P1050</f>
        <v>0</v>
      </c>
      <c r="R1050" s="199"/>
      <c r="S1050" s="199"/>
      <c r="T1050" s="199"/>
      <c r="U1050" s="199">
        <f>IF(AND('Mail Merge'!$I1050="Did Not Meet",'Mail Merge'!$N1050="Did Not Meet"),MIN(ABS('Mail Merge'!$H1050),ABS('Mail Merge'!$M1050),'Mail Merge'!$Q1050),0)</f>
        <v>0</v>
      </c>
      <c r="V1050" s="199" t="str">
        <f>IF(OR(IFERROR(SEARCH("Met",'Mail Merge'!$N1050),0)&gt;0,IFERROR(SEARCH("Met",'Mail Merge'!$I1050),0)&gt;0),"Met","Not Met")</f>
        <v>Met</v>
      </c>
    </row>
    <row r="1051" spans="1:22" x14ac:dyDescent="0.35">
      <c r="A1051" s="200" t="s">
        <v>86</v>
      </c>
      <c r="B1051" s="201">
        <v>2245</v>
      </c>
      <c r="C1051" s="201" t="s">
        <v>41</v>
      </c>
      <c r="D1051" s="201">
        <v>87</v>
      </c>
      <c r="E1051" s="201">
        <v>813661.19</v>
      </c>
      <c r="F1051" s="201">
        <v>80844</v>
      </c>
      <c r="G1051" s="201">
        <f>'Mail Merge'!$E1051+'Mail Merge'!$F1051</f>
        <v>894505.19</v>
      </c>
      <c r="H1051" s="201">
        <v>0</v>
      </c>
      <c r="I1051" s="201" t="s">
        <v>242</v>
      </c>
      <c r="J1051" s="201">
        <f>IFERROR('Mail Merge'!$E1051/'Mail Merge'!$D1051,0)</f>
        <v>9352.4274712643673</v>
      </c>
      <c r="K1051" s="201">
        <f>IFERROR('Mail Merge'!$F1051/'Mail Merge'!$D1051,0)</f>
        <v>929.24137931034488</v>
      </c>
      <c r="L1051" s="201">
        <f>IFERROR('Mail Merge'!$G1051/'Mail Merge'!$D1051,0)</f>
        <v>10281.668850574712</v>
      </c>
      <c r="M1051" s="201">
        <v>0</v>
      </c>
      <c r="N1051" s="201" t="s">
        <v>241</v>
      </c>
      <c r="O1051" s="201">
        <v>97338.54</v>
      </c>
      <c r="P1051" s="201">
        <v>765.02</v>
      </c>
      <c r="Q1051" s="201">
        <f>'Mail Merge'!$O1051+'Mail Merge'!$P1051</f>
        <v>98103.56</v>
      </c>
      <c r="R1051" s="201"/>
      <c r="S1051" s="201">
        <v>60638.03</v>
      </c>
      <c r="T1051" s="201">
        <v>60638.03</v>
      </c>
      <c r="U1051" s="201">
        <f>IF(AND('Mail Merge'!$I1051="Did Not Meet",'Mail Merge'!$N1051="Did Not Meet"),MIN(ABS('Mail Merge'!$H1051),ABS('Mail Merge'!$M1051),'Mail Merge'!$Q1051),0)</f>
        <v>0</v>
      </c>
      <c r="V1051" s="201" t="str">
        <f>IF(OR(IFERROR(SEARCH("Met",'Mail Merge'!$N1051),0)&gt;0,IFERROR(SEARCH("Met",'Mail Merge'!$I1051),0)&gt;0),"Met","Not Met")</f>
        <v>Met</v>
      </c>
    </row>
    <row r="1052" spans="1:22" x14ac:dyDescent="0.35">
      <c r="A1052" s="198" t="s">
        <v>87</v>
      </c>
      <c r="B1052" s="199">
        <v>2137</v>
      </c>
      <c r="C1052" s="199" t="s">
        <v>41</v>
      </c>
      <c r="D1052" s="199">
        <v>147</v>
      </c>
      <c r="E1052" s="199">
        <v>1317721.79</v>
      </c>
      <c r="F1052" s="199">
        <v>120014</v>
      </c>
      <c r="G1052" s="199">
        <f>'Mail Merge'!$E1052+'Mail Merge'!$F1052</f>
        <v>1437735.79</v>
      </c>
      <c r="H1052" s="199">
        <v>0</v>
      </c>
      <c r="I1052" s="199" t="s">
        <v>241</v>
      </c>
      <c r="J1052" s="199">
        <f>IFERROR('Mail Merge'!$E1052/'Mail Merge'!$D1052,0)</f>
        <v>8964.0938095238089</v>
      </c>
      <c r="K1052" s="199">
        <f>IFERROR('Mail Merge'!$F1052/'Mail Merge'!$D1052,0)</f>
        <v>816.42176870748301</v>
      </c>
      <c r="L1052" s="199">
        <f>IFERROR('Mail Merge'!$G1052/'Mail Merge'!$D1052,0)</f>
        <v>9780.5155782312922</v>
      </c>
      <c r="M1052" s="199">
        <v>54415.65</v>
      </c>
      <c r="N1052" s="199" t="s">
        <v>240</v>
      </c>
      <c r="O1052" s="199">
        <v>159751.18</v>
      </c>
      <c r="P1052" s="199">
        <v>856.83</v>
      </c>
      <c r="Q1052" s="199">
        <f>'Mail Merge'!$O1052+'Mail Merge'!$P1052</f>
        <v>160608.00999999998</v>
      </c>
      <c r="R1052" s="199"/>
      <c r="S1052" s="199"/>
      <c r="T1052" s="199"/>
      <c r="U1052" s="199">
        <f>IF(AND('Mail Merge'!$I1052="Did Not Meet",'Mail Merge'!$N1052="Did Not Meet"),MIN(ABS('Mail Merge'!$H1052),ABS('Mail Merge'!$M1052),'Mail Merge'!$Q1052),0)</f>
        <v>0</v>
      </c>
      <c r="V1052" s="199" t="str">
        <f>IF(OR(IFERROR(SEARCH("Met",'Mail Merge'!$N1052),0)&gt;0,IFERROR(SEARCH("Met",'Mail Merge'!$I1052),0)&gt;0),"Met","Not Met")</f>
        <v>Met</v>
      </c>
    </row>
    <row r="1053" spans="1:22" x14ac:dyDescent="0.35">
      <c r="A1053" s="200" t="s">
        <v>88</v>
      </c>
      <c r="B1053" s="201">
        <v>1931</v>
      </c>
      <c r="C1053" s="201" t="s">
        <v>41</v>
      </c>
      <c r="D1053" s="201">
        <v>308</v>
      </c>
      <c r="E1053" s="201">
        <v>2746134</v>
      </c>
      <c r="F1053" s="201">
        <v>252164</v>
      </c>
      <c r="G1053" s="201">
        <f>'Mail Merge'!$E1053+'Mail Merge'!$F1053</f>
        <v>2998298</v>
      </c>
      <c r="H1053" s="201">
        <v>0</v>
      </c>
      <c r="I1053" s="201" t="s">
        <v>241</v>
      </c>
      <c r="J1053" s="201">
        <f>IFERROR('Mail Merge'!$E1053/'Mail Merge'!$D1053,0)</f>
        <v>8916.0194805194806</v>
      </c>
      <c r="K1053" s="201">
        <f>IFERROR('Mail Merge'!$F1053/'Mail Merge'!$D1053,0)</f>
        <v>818.71428571428567</v>
      </c>
      <c r="L1053" s="201">
        <f>IFERROR('Mail Merge'!$G1053/'Mail Merge'!$D1053,0)</f>
        <v>9734.7337662337668</v>
      </c>
      <c r="M1053" s="201">
        <v>0</v>
      </c>
      <c r="N1053" s="201" t="s">
        <v>242</v>
      </c>
      <c r="O1053" s="201">
        <v>359743.78</v>
      </c>
      <c r="P1053" s="201">
        <v>1139.6199999999999</v>
      </c>
      <c r="Q1053" s="201">
        <f>'Mail Merge'!$O1053+'Mail Merge'!$P1053</f>
        <v>360883.4</v>
      </c>
      <c r="R1053" s="201"/>
      <c r="S1053" s="201"/>
      <c r="T1053" s="201">
        <v>37917</v>
      </c>
      <c r="U1053" s="201">
        <f>IF(AND('Mail Merge'!$I1053="Did Not Meet",'Mail Merge'!$N1053="Did Not Meet"),MIN(ABS('Mail Merge'!$H1053),ABS('Mail Merge'!$M1053),'Mail Merge'!$Q1053),0)</f>
        <v>0</v>
      </c>
      <c r="V1053" s="201" t="str">
        <f>IF(OR(IFERROR(SEARCH("Met",'Mail Merge'!$N1053),0)&gt;0,IFERROR(SEARCH("Met",'Mail Merge'!$I1053),0)&gt;0),"Met","Not Met")</f>
        <v>Met</v>
      </c>
    </row>
    <row r="1054" spans="1:22" x14ac:dyDescent="0.35">
      <c r="A1054" s="198" t="s">
        <v>89</v>
      </c>
      <c r="B1054" s="199">
        <v>2000</v>
      </c>
      <c r="C1054" s="199" t="s">
        <v>41</v>
      </c>
      <c r="D1054" s="199">
        <v>56</v>
      </c>
      <c r="E1054" s="199">
        <v>334803.03999999998</v>
      </c>
      <c r="F1054" s="199">
        <v>82697.88</v>
      </c>
      <c r="G1054" s="199">
        <f>'Mail Merge'!$E1054+'Mail Merge'!$F1054</f>
        <v>417500.92</v>
      </c>
      <c r="H1054" s="199">
        <v>0</v>
      </c>
      <c r="I1054" s="199" t="s">
        <v>242</v>
      </c>
      <c r="J1054" s="199">
        <f>IFERROR('Mail Merge'!$E1054/'Mail Merge'!$D1054,0)</f>
        <v>5978.6257142857139</v>
      </c>
      <c r="K1054" s="199">
        <f>IFERROR('Mail Merge'!$F1054/'Mail Merge'!$D1054,0)</f>
        <v>1476.7478571428571</v>
      </c>
      <c r="L1054" s="199">
        <f>IFERROR('Mail Merge'!$G1054/'Mail Merge'!$D1054,0)</f>
        <v>7455.3735714285713</v>
      </c>
      <c r="M1054" s="199">
        <v>0</v>
      </c>
      <c r="N1054" s="199" t="s">
        <v>242</v>
      </c>
      <c r="O1054" s="199">
        <v>59699.21</v>
      </c>
      <c r="P1054" s="199">
        <v>65.569999999999993</v>
      </c>
      <c r="Q1054" s="199">
        <f>'Mail Merge'!$O1054+'Mail Merge'!$P1054</f>
        <v>59764.78</v>
      </c>
      <c r="R1054" s="199"/>
      <c r="S1054" s="199">
        <v>114798.65</v>
      </c>
      <c r="T1054" s="199">
        <v>229597.3</v>
      </c>
      <c r="U1054" s="199">
        <f>IF(AND('Mail Merge'!$I1054="Did Not Meet",'Mail Merge'!$N1054="Did Not Meet"),MIN(ABS('Mail Merge'!$H1054),ABS('Mail Merge'!$M1054),'Mail Merge'!$Q1054),0)</f>
        <v>0</v>
      </c>
      <c r="V1054" s="199" t="str">
        <f>IF(OR(IFERROR(SEARCH("Met",'Mail Merge'!$N1054),0)&gt;0,IFERROR(SEARCH("Met",'Mail Merge'!$I1054),0)&gt;0),"Met","Not Met")</f>
        <v>Met</v>
      </c>
    </row>
    <row r="1055" spans="1:22" x14ac:dyDescent="0.35">
      <c r="A1055" s="200" t="s">
        <v>90</v>
      </c>
      <c r="B1055" s="201">
        <v>1992</v>
      </c>
      <c r="C1055" s="201" t="s">
        <v>41</v>
      </c>
      <c r="D1055" s="201">
        <v>86</v>
      </c>
      <c r="E1055" s="201">
        <v>503281.36</v>
      </c>
      <c r="F1055" s="201">
        <v>146523.51</v>
      </c>
      <c r="G1055" s="201">
        <f>'Mail Merge'!$E1055+'Mail Merge'!$F1055</f>
        <v>649804.87</v>
      </c>
      <c r="H1055" s="201">
        <v>0</v>
      </c>
      <c r="I1055" s="201" t="s">
        <v>241</v>
      </c>
      <c r="J1055" s="201">
        <f>IFERROR('Mail Merge'!$E1055/'Mail Merge'!$D1055,0)</f>
        <v>5852.1088372093018</v>
      </c>
      <c r="K1055" s="201">
        <f>IFERROR('Mail Merge'!$F1055/'Mail Merge'!$D1055,0)</f>
        <v>1703.7617441860466</v>
      </c>
      <c r="L1055" s="201">
        <f>IFERROR('Mail Merge'!$G1055/'Mail Merge'!$D1055,0)</f>
        <v>7555.8705813953484</v>
      </c>
      <c r="M1055" s="201">
        <v>50709.11</v>
      </c>
      <c r="N1055" s="201" t="s">
        <v>240</v>
      </c>
      <c r="O1055" s="201">
        <v>147077.43</v>
      </c>
      <c r="P1055" s="201">
        <v>1468.84</v>
      </c>
      <c r="Q1055" s="201">
        <f>'Mail Merge'!$O1055+'Mail Merge'!$P1055</f>
        <v>148546.26999999999</v>
      </c>
      <c r="R1055" s="201"/>
      <c r="S1055" s="201"/>
      <c r="T1055" s="201"/>
      <c r="U1055" s="201">
        <f>IF(AND('Mail Merge'!$I1055="Did Not Meet",'Mail Merge'!$N1055="Did Not Meet"),MIN(ABS('Mail Merge'!$H1055),ABS('Mail Merge'!$M1055),'Mail Merge'!$Q1055),0)</f>
        <v>0</v>
      </c>
      <c r="V1055" s="201" t="str">
        <f>IF(OR(IFERROR(SEARCH("Met",'Mail Merge'!$N1055),0)&gt;0,IFERROR(SEARCH("Met",'Mail Merge'!$I1055),0)&gt;0),"Met","Not Met")</f>
        <v>Met</v>
      </c>
    </row>
    <row r="1056" spans="1:22" x14ac:dyDescent="0.35">
      <c r="A1056" s="198" t="s">
        <v>91</v>
      </c>
      <c r="B1056" s="199">
        <v>2054</v>
      </c>
      <c r="C1056" s="199" t="s">
        <v>41</v>
      </c>
      <c r="D1056" s="199">
        <v>697</v>
      </c>
      <c r="E1056" s="199">
        <v>5613602.4000000004</v>
      </c>
      <c r="F1056" s="199">
        <v>0</v>
      </c>
      <c r="G1056" s="199">
        <f>'Mail Merge'!$E1056+'Mail Merge'!$F1056</f>
        <v>5613602.4000000004</v>
      </c>
      <c r="H1056" s="199">
        <v>0</v>
      </c>
      <c r="I1056" s="199" t="s">
        <v>241</v>
      </c>
      <c r="J1056" s="199">
        <f>IFERROR('Mail Merge'!$E1056/'Mail Merge'!$D1056,0)</f>
        <v>8053.9489239598288</v>
      </c>
      <c r="K1056" s="199">
        <f>IFERROR('Mail Merge'!$F1056/'Mail Merge'!$D1056,0)</f>
        <v>0</v>
      </c>
      <c r="L1056" s="199">
        <f>IFERROR('Mail Merge'!$G1056/'Mail Merge'!$D1056,0)</f>
        <v>8053.9489239598288</v>
      </c>
      <c r="M1056" s="199">
        <v>0</v>
      </c>
      <c r="N1056" s="199" t="s">
        <v>241</v>
      </c>
      <c r="O1056" s="199">
        <v>836865.11</v>
      </c>
      <c r="P1056" s="199">
        <v>9280.06</v>
      </c>
      <c r="Q1056" s="199">
        <f>'Mail Merge'!$O1056+'Mail Merge'!$P1056</f>
        <v>846145.17</v>
      </c>
      <c r="R1056" s="199"/>
      <c r="S1056" s="199"/>
      <c r="T1056" s="199"/>
      <c r="U1056" s="199">
        <f>IF(AND('Mail Merge'!$I1056="Did Not Meet",'Mail Merge'!$N1056="Did Not Meet"),MIN(ABS('Mail Merge'!$H1056),ABS('Mail Merge'!$M1056),'Mail Merge'!$Q1056),0)</f>
        <v>0</v>
      </c>
      <c r="V1056" s="199" t="str">
        <f>IF(OR(IFERROR(SEARCH("Met",'Mail Merge'!$N1056),0)&gt;0,IFERROR(SEARCH("Met",'Mail Merge'!$I1056),0)&gt;0),"Met","Not Met")</f>
        <v>Met</v>
      </c>
    </row>
    <row r="1057" spans="1:22" x14ac:dyDescent="0.35">
      <c r="A1057" s="200" t="s">
        <v>92</v>
      </c>
      <c r="B1057" s="201">
        <v>2100</v>
      </c>
      <c r="C1057" s="201" t="s">
        <v>41</v>
      </c>
      <c r="D1057" s="201">
        <v>1298</v>
      </c>
      <c r="E1057" s="201">
        <v>11130203.470000001</v>
      </c>
      <c r="F1057" s="201">
        <v>988866</v>
      </c>
      <c r="G1057" s="201">
        <f>'Mail Merge'!$E1057+'Mail Merge'!$F1057</f>
        <v>12119069.470000001</v>
      </c>
      <c r="H1057" s="201">
        <v>0</v>
      </c>
      <c r="I1057" s="201" t="s">
        <v>241</v>
      </c>
      <c r="J1057" s="201">
        <f>IFERROR('Mail Merge'!$E1057/'Mail Merge'!$D1057,0)</f>
        <v>8574.8871109399079</v>
      </c>
      <c r="K1057" s="201">
        <f>IFERROR('Mail Merge'!$F1057/'Mail Merge'!$D1057,0)</f>
        <v>761.83821263482275</v>
      </c>
      <c r="L1057" s="201">
        <f>IFERROR('Mail Merge'!$G1057/'Mail Merge'!$D1057,0)</f>
        <v>9336.7253235747303</v>
      </c>
      <c r="M1057" s="201">
        <v>10174.030000000001</v>
      </c>
      <c r="N1057" s="201" t="s">
        <v>240</v>
      </c>
      <c r="O1057" s="201">
        <v>1455686.53</v>
      </c>
      <c r="P1057" s="201">
        <v>13444.48</v>
      </c>
      <c r="Q1057" s="201">
        <f>'Mail Merge'!$O1057+'Mail Merge'!$P1057</f>
        <v>1469131.01</v>
      </c>
      <c r="R1057" s="201"/>
      <c r="S1057" s="201"/>
      <c r="T1057" s="201"/>
      <c r="U1057" s="201">
        <f>IF(AND('Mail Merge'!$I1057="Did Not Meet",'Mail Merge'!$N1057="Did Not Meet"),MIN(ABS('Mail Merge'!$H1057),ABS('Mail Merge'!$M1057),'Mail Merge'!$Q1057),0)</f>
        <v>0</v>
      </c>
      <c r="V1057" s="201" t="str">
        <f>IF(OR(IFERROR(SEARCH("Met",'Mail Merge'!$N1057),0)&gt;0,IFERROR(SEARCH("Met",'Mail Merge'!$I1057),0)&gt;0),"Met","Not Met")</f>
        <v>Met</v>
      </c>
    </row>
    <row r="1058" spans="1:22" x14ac:dyDescent="0.35">
      <c r="A1058" s="198" t="s">
        <v>93</v>
      </c>
      <c r="B1058" s="199">
        <v>2183</v>
      </c>
      <c r="C1058" s="199" t="s">
        <v>41</v>
      </c>
      <c r="D1058" s="199">
        <v>1500</v>
      </c>
      <c r="E1058" s="199">
        <v>14759652.390000001</v>
      </c>
      <c r="F1058" s="199">
        <v>777944.54</v>
      </c>
      <c r="G1058" s="199">
        <f>'Mail Merge'!$E1058+'Mail Merge'!$F1058</f>
        <v>15537596.93</v>
      </c>
      <c r="H1058" s="199">
        <v>0</v>
      </c>
      <c r="I1058" s="199" t="s">
        <v>241</v>
      </c>
      <c r="J1058" s="199">
        <f>IFERROR('Mail Merge'!$E1058/'Mail Merge'!$D1058,0)</f>
        <v>9839.7682600000007</v>
      </c>
      <c r="K1058" s="199">
        <f>IFERROR('Mail Merge'!$F1058/'Mail Merge'!$D1058,0)</f>
        <v>518.62969333333331</v>
      </c>
      <c r="L1058" s="199">
        <f>IFERROR('Mail Merge'!$G1058/'Mail Merge'!$D1058,0)</f>
        <v>10358.397953333333</v>
      </c>
      <c r="M1058" s="199">
        <v>742533.33</v>
      </c>
      <c r="N1058" s="199" t="s">
        <v>240</v>
      </c>
      <c r="O1058" s="199">
        <v>2005358.38</v>
      </c>
      <c r="P1058" s="199">
        <v>11431.09</v>
      </c>
      <c r="Q1058" s="199">
        <f>'Mail Merge'!$O1058+'Mail Merge'!$P1058</f>
        <v>2016789.47</v>
      </c>
      <c r="R1058" s="199"/>
      <c r="S1058" s="199"/>
      <c r="T1058" s="199"/>
      <c r="U1058" s="199">
        <f>IF(AND('Mail Merge'!$I1058="Did Not Meet",'Mail Merge'!$N1058="Did Not Meet"),MIN(ABS('Mail Merge'!$H1058),ABS('Mail Merge'!$M1058),'Mail Merge'!$Q1058),0)</f>
        <v>0</v>
      </c>
      <c r="V1058" s="199" t="str">
        <f>IF(OR(IFERROR(SEARCH("Met",'Mail Merge'!$N1058),0)&gt;0,IFERROR(SEARCH("Met",'Mail Merge'!$I1058),0)&gt;0),"Met","Not Met")</f>
        <v>Met</v>
      </c>
    </row>
    <row r="1059" spans="1:22" x14ac:dyDescent="0.35">
      <c r="A1059" s="200" t="s">
        <v>94</v>
      </c>
      <c r="B1059" s="201">
        <v>2014</v>
      </c>
      <c r="C1059" s="201" t="s">
        <v>41</v>
      </c>
      <c r="D1059" s="201">
        <v>129</v>
      </c>
      <c r="E1059" s="201">
        <v>1363404.4</v>
      </c>
      <c r="F1059" s="201">
        <v>207425</v>
      </c>
      <c r="G1059" s="201">
        <f>'Mail Merge'!$E1059+'Mail Merge'!$F1059</f>
        <v>1570829.4</v>
      </c>
      <c r="H1059" s="201">
        <v>0</v>
      </c>
      <c r="I1059" s="201" t="s">
        <v>241</v>
      </c>
      <c r="J1059" s="201">
        <f>IFERROR('Mail Merge'!$E1059/'Mail Merge'!$D1059,0)</f>
        <v>10569.026356589147</v>
      </c>
      <c r="K1059" s="201">
        <f>IFERROR('Mail Merge'!$F1059/'Mail Merge'!$D1059,0)</f>
        <v>1607.9457364341085</v>
      </c>
      <c r="L1059" s="201">
        <f>IFERROR('Mail Merge'!$G1059/'Mail Merge'!$D1059,0)</f>
        <v>12176.972093023254</v>
      </c>
      <c r="M1059" s="201">
        <v>66503.91</v>
      </c>
      <c r="N1059" s="201" t="s">
        <v>240</v>
      </c>
      <c r="O1059" s="201">
        <v>169466.89</v>
      </c>
      <c r="P1059" s="201">
        <v>1938.06</v>
      </c>
      <c r="Q1059" s="201">
        <f>'Mail Merge'!$O1059+'Mail Merge'!$P1059</f>
        <v>171404.95</v>
      </c>
      <c r="R1059" s="201"/>
      <c r="S1059" s="201"/>
      <c r="T1059" s="201"/>
      <c r="U1059" s="201">
        <f>IF(AND('Mail Merge'!$I1059="Did Not Meet",'Mail Merge'!$N1059="Did Not Meet"),MIN(ABS('Mail Merge'!$H1059),ABS('Mail Merge'!$M1059),'Mail Merge'!$Q1059),0)</f>
        <v>0</v>
      </c>
      <c r="V1059" s="201" t="str">
        <f>IF(OR(IFERROR(SEARCH("Met",'Mail Merge'!$N1059),0)&gt;0,IFERROR(SEARCH("Met",'Mail Merge'!$I1059),0)&gt;0),"Met","Not Met")</f>
        <v>Met</v>
      </c>
    </row>
    <row r="1060" spans="1:22" x14ac:dyDescent="0.35">
      <c r="A1060" s="198" t="s">
        <v>95</v>
      </c>
      <c r="B1060" s="199">
        <v>2015</v>
      </c>
      <c r="C1060" s="199" t="s">
        <v>41</v>
      </c>
      <c r="D1060" s="199">
        <v>8</v>
      </c>
      <c r="E1060" s="199">
        <v>15479.21</v>
      </c>
      <c r="F1060" s="199">
        <v>5194.5</v>
      </c>
      <c r="G1060" s="199">
        <f>'Mail Merge'!$E1060+'Mail Merge'!$F1060</f>
        <v>20673.71</v>
      </c>
      <c r="H1060" s="199">
        <v>83130.89</v>
      </c>
      <c r="I1060" s="199" t="s">
        <v>240</v>
      </c>
      <c r="J1060" s="199">
        <f>IFERROR('Mail Merge'!$E1060/'Mail Merge'!$D1060,0)</f>
        <v>1934.9012499999999</v>
      </c>
      <c r="K1060" s="199">
        <f>IFERROR('Mail Merge'!$F1060/'Mail Merge'!$D1060,0)</f>
        <v>649.3125</v>
      </c>
      <c r="L1060" s="199">
        <f>IFERROR('Mail Merge'!$G1060/'Mail Merge'!$D1060,0)</f>
        <v>2584.2137499999999</v>
      </c>
      <c r="M1060" s="199">
        <v>117732.42</v>
      </c>
      <c r="N1060" s="199" t="s">
        <v>240</v>
      </c>
      <c r="O1060" s="199">
        <v>8278.33</v>
      </c>
      <c r="P1060" s="199">
        <v>0</v>
      </c>
      <c r="Q1060" s="199">
        <f>'Mail Merge'!$O1060+'Mail Merge'!$P1060</f>
        <v>8278.33</v>
      </c>
      <c r="R1060" s="199"/>
      <c r="S1060" s="199"/>
      <c r="T1060" s="199"/>
      <c r="U1060" s="199">
        <f>IF(AND('Mail Merge'!$I1060="Did Not Meet",'Mail Merge'!$N1060="Did Not Meet"),MIN(ABS('Mail Merge'!$H1060),ABS('Mail Merge'!$M1060),'Mail Merge'!$Q1060),0)</f>
        <v>8278.33</v>
      </c>
      <c r="V1060" s="199" t="str">
        <f>IF(OR(IFERROR(SEARCH("Met",'Mail Merge'!$N1060),0)&gt;0,IFERROR(SEARCH("Met",'Mail Merge'!$I1060),0)&gt;0),"Met","Not Met")</f>
        <v>Not Met</v>
      </c>
    </row>
    <row r="1061" spans="1:22" x14ac:dyDescent="0.35">
      <c r="A1061" s="200" t="s">
        <v>96</v>
      </c>
      <c r="B1061" s="201">
        <v>2023</v>
      </c>
      <c r="C1061" s="201" t="s">
        <v>41</v>
      </c>
      <c r="D1061" s="201">
        <v>1</v>
      </c>
      <c r="E1061" s="201">
        <v>39137.99</v>
      </c>
      <c r="F1061" s="201">
        <v>5719.5</v>
      </c>
      <c r="G1061" s="201">
        <f>'Mail Merge'!$E1061+'Mail Merge'!$F1061</f>
        <v>44857.49</v>
      </c>
      <c r="H1061" s="201">
        <v>0</v>
      </c>
      <c r="I1061" s="201" t="s">
        <v>242</v>
      </c>
      <c r="J1061" s="201">
        <f>IFERROR('Mail Merge'!$E1061/'Mail Merge'!$D1061,0)</f>
        <v>39137.99</v>
      </c>
      <c r="K1061" s="201">
        <f>IFERROR('Mail Merge'!$F1061/'Mail Merge'!$D1061,0)</f>
        <v>5719.5</v>
      </c>
      <c r="L1061" s="201">
        <f>IFERROR('Mail Merge'!$G1061/'Mail Merge'!$D1061,0)</f>
        <v>44857.49</v>
      </c>
      <c r="M1061" s="201">
        <v>0</v>
      </c>
      <c r="N1061" s="201" t="s">
        <v>241</v>
      </c>
      <c r="O1061" s="201">
        <v>13244.61</v>
      </c>
      <c r="P1061" s="201">
        <v>0</v>
      </c>
      <c r="Q1061" s="201">
        <f>'Mail Merge'!$O1061+'Mail Merge'!$P1061</f>
        <v>13244.61</v>
      </c>
      <c r="R1061" s="201"/>
      <c r="S1061" s="201"/>
      <c r="T1061" s="201"/>
      <c r="U1061" s="201">
        <f>IF(AND('Mail Merge'!$I1061="Did Not Meet",'Mail Merge'!$N1061="Did Not Meet"),MIN(ABS('Mail Merge'!$H1061),ABS('Mail Merge'!$M1061),'Mail Merge'!$Q1061),0)</f>
        <v>0</v>
      </c>
      <c r="V1061" s="201" t="str">
        <f>IF(OR(IFERROR(SEARCH("Met",'Mail Merge'!$N1061),0)&gt;0,IFERROR(SEARCH("Met",'Mail Merge'!$I1061),0)&gt;0),"Met","Not Met")</f>
        <v>Met</v>
      </c>
    </row>
    <row r="1062" spans="1:22" x14ac:dyDescent="0.35">
      <c r="A1062" s="198" t="s">
        <v>97</v>
      </c>
      <c r="B1062" s="199">
        <v>2114</v>
      </c>
      <c r="C1062" s="199" t="s">
        <v>41</v>
      </c>
      <c r="D1062" s="199">
        <v>16</v>
      </c>
      <c r="E1062" s="199">
        <v>65897.960000000006</v>
      </c>
      <c r="F1062" s="199">
        <v>32076.13</v>
      </c>
      <c r="G1062" s="199">
        <f>'Mail Merge'!$E1062+'Mail Merge'!$F1062</f>
        <v>97974.090000000011</v>
      </c>
      <c r="H1062" s="199">
        <v>0</v>
      </c>
      <c r="I1062" s="199" t="s">
        <v>241</v>
      </c>
      <c r="J1062" s="199">
        <f>IFERROR('Mail Merge'!$E1062/'Mail Merge'!$D1062,0)</f>
        <v>4118.6225000000004</v>
      </c>
      <c r="K1062" s="199">
        <f>IFERROR('Mail Merge'!$F1062/'Mail Merge'!$D1062,0)</f>
        <v>2004.7581250000001</v>
      </c>
      <c r="L1062" s="199">
        <f>IFERROR('Mail Merge'!$G1062/'Mail Merge'!$D1062,0)</f>
        <v>6123.3806250000007</v>
      </c>
      <c r="M1062" s="199">
        <v>0</v>
      </c>
      <c r="N1062" s="199" t="s">
        <v>241</v>
      </c>
      <c r="O1062" s="199">
        <v>14674.32</v>
      </c>
      <c r="P1062" s="199">
        <v>0</v>
      </c>
      <c r="Q1062" s="199">
        <f>'Mail Merge'!$O1062+'Mail Merge'!$P1062</f>
        <v>14674.32</v>
      </c>
      <c r="R1062" s="199"/>
      <c r="S1062" s="199"/>
      <c r="T1062" s="199"/>
      <c r="U1062" s="199">
        <f>IF(AND('Mail Merge'!$I1062="Did Not Meet",'Mail Merge'!$N1062="Did Not Meet"),MIN(ABS('Mail Merge'!$H1062),ABS('Mail Merge'!$M1062),'Mail Merge'!$Q1062),0)</f>
        <v>0</v>
      </c>
      <c r="V1062" s="199" t="str">
        <f>IF(OR(IFERROR(SEARCH("Met",'Mail Merge'!$N1062),0)&gt;0,IFERROR(SEARCH("Met",'Mail Merge'!$I1062),0)&gt;0),"Met","Not Met")</f>
        <v>Met</v>
      </c>
    </row>
    <row r="1063" spans="1:22" x14ac:dyDescent="0.35">
      <c r="A1063" s="200" t="s">
        <v>98</v>
      </c>
      <c r="B1063" s="201">
        <v>2099</v>
      </c>
      <c r="C1063" s="201" t="s">
        <v>41</v>
      </c>
      <c r="D1063" s="201">
        <v>127</v>
      </c>
      <c r="E1063" s="201">
        <v>1134970.74</v>
      </c>
      <c r="F1063" s="201">
        <v>97207</v>
      </c>
      <c r="G1063" s="201">
        <f>'Mail Merge'!$E1063+'Mail Merge'!$F1063</f>
        <v>1232177.74</v>
      </c>
      <c r="H1063" s="201">
        <v>0</v>
      </c>
      <c r="I1063" s="201" t="s">
        <v>241</v>
      </c>
      <c r="J1063" s="201">
        <f>IFERROR('Mail Merge'!$E1063/'Mail Merge'!$D1063,0)</f>
        <v>8936.7774803149605</v>
      </c>
      <c r="K1063" s="201">
        <f>IFERROR('Mail Merge'!$F1063/'Mail Merge'!$D1063,0)</f>
        <v>765.40944881889766</v>
      </c>
      <c r="L1063" s="201">
        <f>IFERROR('Mail Merge'!$G1063/'Mail Merge'!$D1063,0)</f>
        <v>9702.1869291338589</v>
      </c>
      <c r="M1063" s="201">
        <v>0</v>
      </c>
      <c r="N1063" s="201" t="s">
        <v>241</v>
      </c>
      <c r="O1063" s="201">
        <v>132133.63</v>
      </c>
      <c r="P1063" s="201">
        <v>306.01</v>
      </c>
      <c r="Q1063" s="201">
        <f>'Mail Merge'!$O1063+'Mail Merge'!$P1063</f>
        <v>132439.64000000001</v>
      </c>
      <c r="R1063" s="201"/>
      <c r="S1063" s="201"/>
      <c r="T1063" s="201"/>
      <c r="U1063" s="201">
        <f>IF(AND('Mail Merge'!$I1063="Did Not Meet",'Mail Merge'!$N1063="Did Not Meet"),MIN(ABS('Mail Merge'!$H1063),ABS('Mail Merge'!$M1063),'Mail Merge'!$Q1063),0)</f>
        <v>0</v>
      </c>
      <c r="V1063" s="201" t="str">
        <f>IF(OR(IFERROR(SEARCH("Met",'Mail Merge'!$N1063),0)&gt;0,IFERROR(SEARCH("Met",'Mail Merge'!$I1063),0)&gt;0),"Met","Not Met")</f>
        <v>Met</v>
      </c>
    </row>
    <row r="1064" spans="1:22" x14ac:dyDescent="0.35">
      <c r="A1064" s="198" t="s">
        <v>99</v>
      </c>
      <c r="B1064" s="199">
        <v>2201</v>
      </c>
      <c r="C1064" s="199" t="s">
        <v>41</v>
      </c>
      <c r="D1064" s="199">
        <v>31</v>
      </c>
      <c r="E1064" s="199">
        <v>76872.789999999994</v>
      </c>
      <c r="F1064" s="199">
        <v>52170.57</v>
      </c>
      <c r="G1064" s="199">
        <f>'Mail Merge'!$E1064+'Mail Merge'!$F1064</f>
        <v>129043.35999999999</v>
      </c>
      <c r="H1064" s="199">
        <v>0</v>
      </c>
      <c r="I1064" s="199" t="s">
        <v>241</v>
      </c>
      <c r="J1064" s="199">
        <f>IFERROR('Mail Merge'!$E1064/'Mail Merge'!$D1064,0)</f>
        <v>2479.7674193548387</v>
      </c>
      <c r="K1064" s="199">
        <f>IFERROR('Mail Merge'!$F1064/'Mail Merge'!$D1064,0)</f>
        <v>1682.9216129032259</v>
      </c>
      <c r="L1064" s="199">
        <f>IFERROR('Mail Merge'!$G1064/'Mail Merge'!$D1064,0)</f>
        <v>4162.6890322580639</v>
      </c>
      <c r="M1064" s="199">
        <v>5517.82</v>
      </c>
      <c r="N1064" s="199" t="s">
        <v>240</v>
      </c>
      <c r="O1064" s="199">
        <v>24029.4</v>
      </c>
      <c r="P1064" s="199">
        <v>918.03</v>
      </c>
      <c r="Q1064" s="199">
        <f>'Mail Merge'!$O1064+'Mail Merge'!$P1064</f>
        <v>24947.43</v>
      </c>
      <c r="R1064" s="199"/>
      <c r="S1064" s="199"/>
      <c r="T1064" s="199"/>
      <c r="U1064" s="199">
        <f>IF(AND('Mail Merge'!$I1064="Did Not Meet",'Mail Merge'!$N1064="Did Not Meet"),MIN(ABS('Mail Merge'!$H1064),ABS('Mail Merge'!$M1064),'Mail Merge'!$Q1064),0)</f>
        <v>0</v>
      </c>
      <c r="V1064" s="199" t="str">
        <f>IF(OR(IFERROR(SEARCH("Met",'Mail Merge'!$N1064),0)&gt;0,IFERROR(SEARCH("Met",'Mail Merge'!$I1064),0)&gt;0),"Met","Not Met")</f>
        <v>Met</v>
      </c>
    </row>
    <row r="1065" spans="1:22" x14ac:dyDescent="0.35">
      <c r="A1065" s="200" t="s">
        <v>100</v>
      </c>
      <c r="B1065" s="201">
        <v>2206</v>
      </c>
      <c r="C1065" s="201" t="s">
        <v>41</v>
      </c>
      <c r="D1065" s="201">
        <v>637</v>
      </c>
      <c r="E1065" s="201">
        <v>4622764.88</v>
      </c>
      <c r="F1065" s="201">
        <v>0</v>
      </c>
      <c r="G1065" s="201">
        <f>'Mail Merge'!$E1065+'Mail Merge'!$F1065</f>
        <v>4622764.88</v>
      </c>
      <c r="H1065" s="201">
        <v>0</v>
      </c>
      <c r="I1065" s="201" t="s">
        <v>241</v>
      </c>
      <c r="J1065" s="201">
        <f>IFERROR('Mail Merge'!$E1065/'Mail Merge'!$D1065,0)</f>
        <v>7257.0877237048662</v>
      </c>
      <c r="K1065" s="201">
        <f>IFERROR('Mail Merge'!$F1065/'Mail Merge'!$D1065,0)</f>
        <v>0</v>
      </c>
      <c r="L1065" s="201">
        <f>IFERROR('Mail Merge'!$G1065/'Mail Merge'!$D1065,0)</f>
        <v>7257.0877237048662</v>
      </c>
      <c r="M1065" s="201">
        <v>763814.01</v>
      </c>
      <c r="N1065" s="201" t="s">
        <v>240</v>
      </c>
      <c r="O1065" s="201">
        <v>734721.13</v>
      </c>
      <c r="P1065" s="201">
        <v>5437.54</v>
      </c>
      <c r="Q1065" s="201">
        <f>'Mail Merge'!$O1065+'Mail Merge'!$P1065</f>
        <v>740158.67</v>
      </c>
      <c r="R1065" s="201"/>
      <c r="S1065" s="201"/>
      <c r="T1065" s="201"/>
      <c r="U1065" s="201">
        <f>IF(AND('Mail Merge'!$I1065="Did Not Meet",'Mail Merge'!$N1065="Did Not Meet"),MIN(ABS('Mail Merge'!$H1065),ABS('Mail Merge'!$M1065),'Mail Merge'!$Q1065),0)</f>
        <v>0</v>
      </c>
      <c r="V1065" s="201" t="str">
        <f>IF(OR(IFERROR(SEARCH("Met",'Mail Merge'!$N1065),0)&gt;0,IFERROR(SEARCH("Met",'Mail Merge'!$I1065),0)&gt;0),"Met","Not Met")</f>
        <v>Met</v>
      </c>
    </row>
    <row r="1066" spans="1:22" x14ac:dyDescent="0.35">
      <c r="A1066" s="198" t="s">
        <v>101</v>
      </c>
      <c r="B1066" s="199">
        <v>2239</v>
      </c>
      <c r="C1066" s="199" t="s">
        <v>41</v>
      </c>
      <c r="D1066" s="199">
        <v>2843</v>
      </c>
      <c r="E1066" s="199">
        <v>31634388.620000001</v>
      </c>
      <c r="F1066" s="199">
        <v>3630195</v>
      </c>
      <c r="G1066" s="199">
        <f>'Mail Merge'!$E1066+'Mail Merge'!$F1066</f>
        <v>35264583.620000005</v>
      </c>
      <c r="H1066" s="199">
        <v>0</v>
      </c>
      <c r="I1066" s="199" t="s">
        <v>241</v>
      </c>
      <c r="J1066" s="199">
        <f>IFERROR('Mail Merge'!$E1066/'Mail Merge'!$D1066,0)</f>
        <v>11127.115237425256</v>
      </c>
      <c r="K1066" s="199">
        <f>IFERROR('Mail Merge'!$F1066/'Mail Merge'!$D1066,0)</f>
        <v>1276.8888498065423</v>
      </c>
      <c r="L1066" s="199">
        <f>IFERROR('Mail Merge'!$G1066/'Mail Merge'!$D1066,0)</f>
        <v>12404.004087231799</v>
      </c>
      <c r="M1066" s="199">
        <v>0</v>
      </c>
      <c r="N1066" s="199" t="s">
        <v>241</v>
      </c>
      <c r="O1066" s="199">
        <v>2877042.36</v>
      </c>
      <c r="P1066" s="199">
        <v>16484.86</v>
      </c>
      <c r="Q1066" s="199">
        <f>'Mail Merge'!$O1066+'Mail Merge'!$P1066</f>
        <v>2893527.2199999997</v>
      </c>
      <c r="R1066" s="199"/>
      <c r="S1066" s="199"/>
      <c r="T1066" s="199"/>
      <c r="U1066" s="199">
        <f>IF(AND('Mail Merge'!$I1066="Did Not Meet",'Mail Merge'!$N1066="Did Not Meet"),MIN(ABS('Mail Merge'!$H1066),ABS('Mail Merge'!$M1066),'Mail Merge'!$Q1066),0)</f>
        <v>0</v>
      </c>
      <c r="V1066" s="199" t="str">
        <f>IF(OR(IFERROR(SEARCH("Met",'Mail Merge'!$N1066),0)&gt;0,IFERROR(SEARCH("Met",'Mail Merge'!$I1066),0)&gt;0),"Met","Not Met")</f>
        <v>Met</v>
      </c>
    </row>
    <row r="1067" spans="1:22" x14ac:dyDescent="0.35">
      <c r="A1067" s="200" t="s">
        <v>102</v>
      </c>
      <c r="B1067" s="201">
        <v>2024</v>
      </c>
      <c r="C1067" s="201" t="s">
        <v>41</v>
      </c>
      <c r="D1067" s="201">
        <v>514</v>
      </c>
      <c r="E1067" s="201">
        <v>3814231.57</v>
      </c>
      <c r="F1067" s="201">
        <v>0</v>
      </c>
      <c r="G1067" s="201">
        <f>'Mail Merge'!$E1067+'Mail Merge'!$F1067</f>
        <v>3814231.57</v>
      </c>
      <c r="H1067" s="201">
        <v>0</v>
      </c>
      <c r="I1067" s="201" t="s">
        <v>242</v>
      </c>
      <c r="J1067" s="201">
        <f>IFERROR('Mail Merge'!$E1067/'Mail Merge'!$D1067,0)</f>
        <v>7420.6839883268476</v>
      </c>
      <c r="K1067" s="201">
        <f>IFERROR('Mail Merge'!$F1067/'Mail Merge'!$D1067,0)</f>
        <v>0</v>
      </c>
      <c r="L1067" s="201">
        <f>IFERROR('Mail Merge'!$G1067/'Mail Merge'!$D1067,0)</f>
        <v>7420.6839883268476</v>
      </c>
      <c r="M1067" s="201">
        <v>0</v>
      </c>
      <c r="N1067" s="201" t="s">
        <v>241</v>
      </c>
      <c r="O1067" s="201">
        <v>667390.44999999995</v>
      </c>
      <c r="P1067" s="201">
        <v>6070.82</v>
      </c>
      <c r="Q1067" s="201">
        <f>'Mail Merge'!$O1067+'Mail Merge'!$P1067</f>
        <v>673461.2699999999</v>
      </c>
      <c r="R1067" s="201"/>
      <c r="S1067" s="201">
        <v>210490.06</v>
      </c>
      <c r="T1067" s="201">
        <v>210490.06</v>
      </c>
      <c r="U1067" s="201">
        <f>IF(AND('Mail Merge'!$I1067="Did Not Meet",'Mail Merge'!$N1067="Did Not Meet"),MIN(ABS('Mail Merge'!$H1067),ABS('Mail Merge'!$M1067),'Mail Merge'!$Q1067),0)</f>
        <v>0</v>
      </c>
      <c r="V1067" s="201" t="str">
        <f>IF(OR(IFERROR(SEARCH("Met",'Mail Merge'!$N1067),0)&gt;0,IFERROR(SEARCH("Met",'Mail Merge'!$I1067),0)&gt;0),"Met","Not Met")</f>
        <v>Met</v>
      </c>
    </row>
    <row r="1068" spans="1:22" x14ac:dyDescent="0.35">
      <c r="A1068" s="198" t="s">
        <v>103</v>
      </c>
      <c r="B1068" s="199">
        <v>1895</v>
      </c>
      <c r="C1068" s="199" t="s">
        <v>41</v>
      </c>
      <c r="D1068" s="199">
        <v>9</v>
      </c>
      <c r="E1068" s="199">
        <v>69750.39</v>
      </c>
      <c r="F1068" s="199">
        <v>18304.240000000002</v>
      </c>
      <c r="G1068" s="199">
        <f>'Mail Merge'!$E1068+'Mail Merge'!$F1068</f>
        <v>88054.63</v>
      </c>
      <c r="H1068" s="199">
        <v>26858.43</v>
      </c>
      <c r="I1068" s="199" t="s">
        <v>240</v>
      </c>
      <c r="J1068" s="199">
        <f>IFERROR('Mail Merge'!$E1068/'Mail Merge'!$D1068,0)</f>
        <v>7750.0433333333331</v>
      </c>
      <c r="K1068" s="199">
        <f>IFERROR('Mail Merge'!$F1068/'Mail Merge'!$D1068,0)</f>
        <v>2033.8044444444447</v>
      </c>
      <c r="L1068" s="199">
        <f>IFERROR('Mail Merge'!$G1068/'Mail Merge'!$D1068,0)</f>
        <v>9783.8477777777789</v>
      </c>
      <c r="M1068" s="199">
        <v>41222.559999999998</v>
      </c>
      <c r="N1068" s="199" t="s">
        <v>240</v>
      </c>
      <c r="O1068" s="199">
        <v>13015.23</v>
      </c>
      <c r="P1068" s="199">
        <v>0</v>
      </c>
      <c r="Q1068" s="199">
        <f>'Mail Merge'!$O1068+'Mail Merge'!$P1068</f>
        <v>13015.23</v>
      </c>
      <c r="R1068" s="199"/>
      <c r="S1068" s="199"/>
      <c r="T1068" s="199"/>
      <c r="U1068" s="199">
        <f>IF(AND('Mail Merge'!$I1068="Did Not Meet",'Mail Merge'!$N1068="Did Not Meet"),MIN(ABS('Mail Merge'!$H1068),ABS('Mail Merge'!$M1068),'Mail Merge'!$Q1068),0)</f>
        <v>13015.23</v>
      </c>
      <c r="V1068" s="199" t="str">
        <f>IF(OR(IFERROR(SEARCH("Met",'Mail Merge'!$N1068),0)&gt;0,IFERROR(SEARCH("Met",'Mail Merge'!$I1068),0)&gt;0),"Met","Not Met")</f>
        <v>Not Met</v>
      </c>
    </row>
    <row r="1069" spans="1:22" x14ac:dyDescent="0.35">
      <c r="A1069" s="200" t="s">
        <v>104</v>
      </c>
      <c r="B1069" s="201">
        <v>2215</v>
      </c>
      <c r="C1069" s="201" t="s">
        <v>41</v>
      </c>
      <c r="D1069" s="201">
        <v>36</v>
      </c>
      <c r="E1069" s="201">
        <v>207529.7</v>
      </c>
      <c r="F1069" s="201">
        <v>60598.58</v>
      </c>
      <c r="G1069" s="201">
        <f>'Mail Merge'!$E1069+'Mail Merge'!$F1069</f>
        <v>268128.28000000003</v>
      </c>
      <c r="H1069" s="201">
        <v>0</v>
      </c>
      <c r="I1069" s="201" t="s">
        <v>241</v>
      </c>
      <c r="J1069" s="201">
        <f>IFERROR('Mail Merge'!$E1069/'Mail Merge'!$D1069,0)</f>
        <v>5764.7138888888894</v>
      </c>
      <c r="K1069" s="201">
        <f>IFERROR('Mail Merge'!$F1069/'Mail Merge'!$D1069,0)</f>
        <v>1683.2938888888889</v>
      </c>
      <c r="L1069" s="201">
        <f>IFERROR('Mail Merge'!$G1069/'Mail Merge'!$D1069,0)</f>
        <v>7448.0077777777788</v>
      </c>
      <c r="M1069" s="201">
        <v>0</v>
      </c>
      <c r="N1069" s="201" t="s">
        <v>242</v>
      </c>
      <c r="O1069" s="201">
        <v>63467.46</v>
      </c>
      <c r="P1069" s="201">
        <v>229.51</v>
      </c>
      <c r="Q1069" s="201">
        <f>'Mail Merge'!$O1069+'Mail Merge'!$P1069</f>
        <v>63696.97</v>
      </c>
      <c r="R1069" s="201"/>
      <c r="S1069" s="201"/>
      <c r="T1069" s="201">
        <v>55892.4</v>
      </c>
      <c r="U1069" s="201">
        <f>IF(AND('Mail Merge'!$I1069="Did Not Meet",'Mail Merge'!$N1069="Did Not Meet"),MIN(ABS('Mail Merge'!$H1069),ABS('Mail Merge'!$M1069),'Mail Merge'!$Q1069),0)</f>
        <v>0</v>
      </c>
      <c r="V1069" s="201" t="str">
        <f>IF(OR(IFERROR(SEARCH("Met",'Mail Merge'!$N1069),0)&gt;0,IFERROR(SEARCH("Met",'Mail Merge'!$I1069),0)&gt;0),"Met","Not Met")</f>
        <v>Met</v>
      </c>
    </row>
    <row r="1070" spans="1:22" x14ac:dyDescent="0.35">
      <c r="A1070" s="198" t="s">
        <v>105</v>
      </c>
      <c r="B1070" s="199">
        <v>3997</v>
      </c>
      <c r="C1070" s="199" t="s">
        <v>41</v>
      </c>
      <c r="D1070" s="199">
        <v>24</v>
      </c>
      <c r="E1070" s="199">
        <v>155399.85999999999</v>
      </c>
      <c r="F1070" s="199">
        <v>40389.160000000003</v>
      </c>
      <c r="G1070" s="199">
        <f>'Mail Merge'!$E1070+'Mail Merge'!$F1070</f>
        <v>195789.02</v>
      </c>
      <c r="H1070" s="199">
        <v>0</v>
      </c>
      <c r="I1070" s="199" t="s">
        <v>241</v>
      </c>
      <c r="J1070" s="199">
        <f>IFERROR('Mail Merge'!$E1070/'Mail Merge'!$D1070,0)</f>
        <v>6474.9941666666664</v>
      </c>
      <c r="K1070" s="199">
        <f>IFERROR('Mail Merge'!$F1070/'Mail Merge'!$D1070,0)</f>
        <v>1682.8816666666669</v>
      </c>
      <c r="L1070" s="199">
        <f>IFERROR('Mail Merge'!$G1070/'Mail Merge'!$D1070,0)</f>
        <v>8157.8758333333326</v>
      </c>
      <c r="M1070" s="199">
        <v>0</v>
      </c>
      <c r="N1070" s="199" t="s">
        <v>241</v>
      </c>
      <c r="O1070" s="199">
        <v>22511.84</v>
      </c>
      <c r="P1070" s="199">
        <v>153</v>
      </c>
      <c r="Q1070" s="199">
        <f>'Mail Merge'!$O1070+'Mail Merge'!$P1070</f>
        <v>22664.84</v>
      </c>
      <c r="R1070" s="199"/>
      <c r="S1070" s="199"/>
      <c r="T1070" s="199"/>
      <c r="U1070" s="199">
        <f>IF(AND('Mail Merge'!$I1070="Did Not Meet",'Mail Merge'!$N1070="Did Not Meet"),MIN(ABS('Mail Merge'!$H1070),ABS('Mail Merge'!$M1070),'Mail Merge'!$Q1070),0)</f>
        <v>0</v>
      </c>
      <c r="V1070" s="199" t="str">
        <f>IF(OR(IFERROR(SEARCH("Met",'Mail Merge'!$N1070),0)&gt;0,IFERROR(SEARCH("Met",'Mail Merge'!$I1070),0)&gt;0),"Met","Not Met")</f>
        <v>Met</v>
      </c>
    </row>
    <row r="1071" spans="1:22" x14ac:dyDescent="0.35">
      <c r="A1071" s="200" t="s">
        <v>106</v>
      </c>
      <c r="B1071" s="201">
        <v>2053</v>
      </c>
      <c r="C1071" s="201" t="s">
        <v>41</v>
      </c>
      <c r="D1071" s="201">
        <v>420</v>
      </c>
      <c r="E1071" s="201">
        <v>3666875.37</v>
      </c>
      <c r="F1071" s="201">
        <v>963239.72</v>
      </c>
      <c r="G1071" s="201">
        <f>'Mail Merge'!$E1071+'Mail Merge'!$F1071</f>
        <v>4630115.09</v>
      </c>
      <c r="H1071" s="201">
        <v>0</v>
      </c>
      <c r="I1071" s="201" t="s">
        <v>241</v>
      </c>
      <c r="J1071" s="201">
        <f>IFERROR('Mail Merge'!$E1071/'Mail Merge'!$D1071,0)</f>
        <v>8730.6556428571439</v>
      </c>
      <c r="K1071" s="201">
        <f>IFERROR('Mail Merge'!$F1071/'Mail Merge'!$D1071,0)</f>
        <v>2293.4279047619048</v>
      </c>
      <c r="L1071" s="201">
        <f>IFERROR('Mail Merge'!$G1071/'Mail Merge'!$D1071,0)</f>
        <v>11024.083547619048</v>
      </c>
      <c r="M1071" s="201">
        <v>11733.17</v>
      </c>
      <c r="N1071" s="201" t="s">
        <v>240</v>
      </c>
      <c r="O1071" s="201">
        <v>474509.54</v>
      </c>
      <c r="P1071" s="201">
        <v>10722.35</v>
      </c>
      <c r="Q1071" s="201">
        <f>'Mail Merge'!$O1071+'Mail Merge'!$P1071</f>
        <v>485231.88999999996</v>
      </c>
      <c r="R1071" s="201"/>
      <c r="S1071" s="201"/>
      <c r="T1071" s="201"/>
      <c r="U1071" s="201">
        <f>IF(AND('Mail Merge'!$I1071="Did Not Meet",'Mail Merge'!$N1071="Did Not Meet"),MIN(ABS('Mail Merge'!$H1071),ABS('Mail Merge'!$M1071),'Mail Merge'!$Q1071),0)</f>
        <v>0</v>
      </c>
      <c r="V1071" s="201" t="str">
        <f>IF(OR(IFERROR(SEARCH("Met",'Mail Merge'!$N1071),0)&gt;0,IFERROR(SEARCH("Met",'Mail Merge'!$I1071),0)&gt;0),"Met","Not Met")</f>
        <v>Met</v>
      </c>
    </row>
    <row r="1072" spans="1:22" x14ac:dyDescent="0.35">
      <c r="A1072" s="198" t="s">
        <v>107</v>
      </c>
      <c r="B1072" s="199">
        <v>2140</v>
      </c>
      <c r="C1072" s="199" t="s">
        <v>41</v>
      </c>
      <c r="D1072" s="199">
        <v>134</v>
      </c>
      <c r="E1072" s="199">
        <v>1028765.96</v>
      </c>
      <c r="F1072" s="199">
        <v>76086.850000000006</v>
      </c>
      <c r="G1072" s="199">
        <f>'Mail Merge'!$E1072+'Mail Merge'!$F1072</f>
        <v>1104852.81</v>
      </c>
      <c r="H1072" s="199">
        <v>0</v>
      </c>
      <c r="I1072" s="199" t="s">
        <v>242</v>
      </c>
      <c r="J1072" s="199">
        <f>IFERROR('Mail Merge'!$E1072/'Mail Merge'!$D1072,0)</f>
        <v>7677.3579104477612</v>
      </c>
      <c r="K1072" s="199">
        <f>IFERROR('Mail Merge'!$F1072/'Mail Merge'!$D1072,0)</f>
        <v>567.81231343283582</v>
      </c>
      <c r="L1072" s="199">
        <f>IFERROR('Mail Merge'!$G1072/'Mail Merge'!$D1072,0)</f>
        <v>8245.1702238805974</v>
      </c>
      <c r="M1072" s="199">
        <v>0</v>
      </c>
      <c r="N1072" s="199" t="s">
        <v>242</v>
      </c>
      <c r="O1072" s="199">
        <v>136433.51</v>
      </c>
      <c r="P1072" s="199">
        <v>459.01</v>
      </c>
      <c r="Q1072" s="199">
        <f>'Mail Merge'!$O1072+'Mail Merge'!$P1072</f>
        <v>136892.52000000002</v>
      </c>
      <c r="R1072" s="199"/>
      <c r="S1072" s="199">
        <v>173637.55</v>
      </c>
      <c r="T1072" s="199">
        <v>173637.55</v>
      </c>
      <c r="U1072" s="199">
        <f>IF(AND('Mail Merge'!$I1072="Did Not Meet",'Mail Merge'!$N1072="Did Not Meet"),MIN(ABS('Mail Merge'!$H1072),ABS('Mail Merge'!$M1072),'Mail Merge'!$Q1072),0)</f>
        <v>0</v>
      </c>
      <c r="V1072" s="199" t="str">
        <f>IF(OR(IFERROR(SEARCH("Met",'Mail Merge'!$N1072),0)&gt;0,IFERROR(SEARCH("Met",'Mail Merge'!$I1072),0)&gt;0),"Met","Not Met")</f>
        <v>Met</v>
      </c>
    </row>
    <row r="1073" spans="1:22" x14ac:dyDescent="0.35">
      <c r="A1073" s="200" t="s">
        <v>108</v>
      </c>
      <c r="B1073" s="201">
        <v>1934</v>
      </c>
      <c r="C1073" s="201" t="s">
        <v>41</v>
      </c>
      <c r="D1073" s="201">
        <v>17</v>
      </c>
      <c r="E1073" s="201">
        <v>226890.51</v>
      </c>
      <c r="F1073" s="201">
        <v>44557</v>
      </c>
      <c r="G1073" s="201">
        <f>'Mail Merge'!$E1073+'Mail Merge'!$F1073</f>
        <v>271447.51</v>
      </c>
      <c r="H1073" s="201">
        <v>0</v>
      </c>
      <c r="I1073" s="201" t="s">
        <v>242</v>
      </c>
      <c r="J1073" s="201">
        <f>IFERROR('Mail Merge'!$E1073/'Mail Merge'!$D1073,0)</f>
        <v>13346.500588235294</v>
      </c>
      <c r="K1073" s="201">
        <f>IFERROR('Mail Merge'!$F1073/'Mail Merge'!$D1073,0)</f>
        <v>2621</v>
      </c>
      <c r="L1073" s="201">
        <f>IFERROR('Mail Merge'!$G1073/'Mail Merge'!$D1073,0)</f>
        <v>15967.500588235294</v>
      </c>
      <c r="M1073" s="201">
        <v>0</v>
      </c>
      <c r="N1073" s="201" t="s">
        <v>241</v>
      </c>
      <c r="O1073" s="201">
        <v>23425.200000000001</v>
      </c>
      <c r="P1073" s="201">
        <v>918.03</v>
      </c>
      <c r="Q1073" s="201">
        <f>'Mail Merge'!$O1073+'Mail Merge'!$P1073</f>
        <v>24343.23</v>
      </c>
      <c r="R1073" s="201"/>
      <c r="S1073" s="201">
        <v>15462.48</v>
      </c>
      <c r="T1073" s="201">
        <v>15462.48</v>
      </c>
      <c r="U1073" s="201">
        <f>IF(AND('Mail Merge'!$I1073="Did Not Meet",'Mail Merge'!$N1073="Did Not Meet"),MIN(ABS('Mail Merge'!$H1073),ABS('Mail Merge'!$M1073),'Mail Merge'!$Q1073),0)</f>
        <v>0</v>
      </c>
      <c r="V1073" s="201" t="str">
        <f>IF(OR(IFERROR(SEARCH("Met",'Mail Merge'!$N1073),0)&gt;0,IFERROR(SEARCH("Met",'Mail Merge'!$I1073),0)&gt;0),"Met","Not Met")</f>
        <v>Met</v>
      </c>
    </row>
    <row r="1074" spans="1:22" x14ac:dyDescent="0.35">
      <c r="A1074" s="198" t="s">
        <v>109</v>
      </c>
      <c r="B1074" s="199">
        <v>2008</v>
      </c>
      <c r="C1074" s="199" t="s">
        <v>41</v>
      </c>
      <c r="D1074" s="199">
        <v>90</v>
      </c>
      <c r="E1074" s="199">
        <v>704673.58</v>
      </c>
      <c r="F1074" s="199">
        <v>155265.67000000001</v>
      </c>
      <c r="G1074" s="199">
        <f>'Mail Merge'!$E1074+'Mail Merge'!$F1074</f>
        <v>859939.25</v>
      </c>
      <c r="H1074" s="199">
        <v>0</v>
      </c>
      <c r="I1074" s="199" t="s">
        <v>242</v>
      </c>
      <c r="J1074" s="199">
        <f>IFERROR('Mail Merge'!$E1074/'Mail Merge'!$D1074,0)</f>
        <v>7829.7064444444441</v>
      </c>
      <c r="K1074" s="199">
        <f>IFERROR('Mail Merge'!$F1074/'Mail Merge'!$D1074,0)</f>
        <v>1725.1741111111112</v>
      </c>
      <c r="L1074" s="199">
        <f>IFERROR('Mail Merge'!$G1074/'Mail Merge'!$D1074,0)</f>
        <v>9554.8805555555555</v>
      </c>
      <c r="M1074" s="199">
        <v>0</v>
      </c>
      <c r="N1074" s="199" t="s">
        <v>242</v>
      </c>
      <c r="O1074" s="199">
        <v>134511.5</v>
      </c>
      <c r="P1074" s="199">
        <v>2244.0700000000002</v>
      </c>
      <c r="Q1074" s="199">
        <f>'Mail Merge'!$O1074+'Mail Merge'!$P1074</f>
        <v>136755.57</v>
      </c>
      <c r="R1074" s="199"/>
      <c r="S1074" s="199">
        <v>84473.13</v>
      </c>
      <c r="T1074" s="199">
        <v>84473.13</v>
      </c>
      <c r="U1074" s="199">
        <f>IF(AND('Mail Merge'!$I1074="Did Not Meet",'Mail Merge'!$N1074="Did Not Meet"),MIN(ABS('Mail Merge'!$H1074),ABS('Mail Merge'!$M1074),'Mail Merge'!$Q1074),0)</f>
        <v>0</v>
      </c>
      <c r="V1074" s="199" t="str">
        <f>IF(OR(IFERROR(SEARCH("Met",'Mail Merge'!$N1074),0)&gt;0,IFERROR(SEARCH("Met",'Mail Merge'!$I1074),0)&gt;0),"Met","Not Met")</f>
        <v>Met</v>
      </c>
    </row>
    <row r="1075" spans="1:22" x14ac:dyDescent="0.35">
      <c r="A1075" s="200" t="s">
        <v>110</v>
      </c>
      <c r="B1075" s="201">
        <v>2107</v>
      </c>
      <c r="C1075" s="201" t="s">
        <v>41</v>
      </c>
      <c r="D1075" s="201">
        <v>9</v>
      </c>
      <c r="E1075" s="201">
        <v>66257.789999999994</v>
      </c>
      <c r="F1075" s="201">
        <v>22020.2</v>
      </c>
      <c r="G1075" s="201">
        <f>'Mail Merge'!$E1075+'Mail Merge'!$F1075</f>
        <v>88277.989999999991</v>
      </c>
      <c r="H1075" s="201">
        <v>11179.29</v>
      </c>
      <c r="I1075" s="201" t="s">
        <v>240</v>
      </c>
      <c r="J1075" s="201">
        <f>IFERROR('Mail Merge'!$E1075/'Mail Merge'!$D1075,0)</f>
        <v>7361.9766666666656</v>
      </c>
      <c r="K1075" s="201">
        <f>IFERROR('Mail Merge'!$F1075/'Mail Merge'!$D1075,0)</f>
        <v>2446.6888888888889</v>
      </c>
      <c r="L1075" s="201">
        <f>IFERROR('Mail Merge'!$G1075/'Mail Merge'!$D1075,0)</f>
        <v>9808.6655555555553</v>
      </c>
      <c r="M1075" s="201">
        <v>60907.93</v>
      </c>
      <c r="N1075" s="201" t="s">
        <v>240</v>
      </c>
      <c r="O1075" s="201">
        <v>18290.900000000001</v>
      </c>
      <c r="P1075" s="201">
        <v>459.01</v>
      </c>
      <c r="Q1075" s="201">
        <f>'Mail Merge'!$O1075+'Mail Merge'!$P1075</f>
        <v>18749.91</v>
      </c>
      <c r="R1075" s="201"/>
      <c r="S1075" s="201"/>
      <c r="T1075" s="201"/>
      <c r="U1075" s="201">
        <f>IF(AND('Mail Merge'!$I1075="Did Not Meet",'Mail Merge'!$N1075="Did Not Meet"),MIN(ABS('Mail Merge'!$H1075),ABS('Mail Merge'!$M1075),'Mail Merge'!$Q1075),0)</f>
        <v>11179.29</v>
      </c>
      <c r="V1075" s="201" t="str">
        <f>IF(OR(IFERROR(SEARCH("Met",'Mail Merge'!$N1075),0)&gt;0,IFERROR(SEARCH("Met",'Mail Merge'!$I1075),0)&gt;0),"Met","Not Met")</f>
        <v>Not Met</v>
      </c>
    </row>
    <row r="1076" spans="1:22" x14ac:dyDescent="0.35">
      <c r="A1076" s="198" t="s">
        <v>111</v>
      </c>
      <c r="B1076" s="199">
        <v>2219</v>
      </c>
      <c r="C1076" s="199" t="s">
        <v>41</v>
      </c>
      <c r="D1076" s="199">
        <v>21</v>
      </c>
      <c r="E1076" s="199">
        <v>112930.83</v>
      </c>
      <c r="F1076" s="199">
        <v>107487.4</v>
      </c>
      <c r="G1076" s="199">
        <f>'Mail Merge'!$E1076+'Mail Merge'!$F1076</f>
        <v>220418.22999999998</v>
      </c>
      <c r="H1076" s="199">
        <v>0</v>
      </c>
      <c r="I1076" s="199" t="s">
        <v>242</v>
      </c>
      <c r="J1076" s="199">
        <f>IFERROR('Mail Merge'!$E1076/'Mail Merge'!$D1076,0)</f>
        <v>5377.6585714285711</v>
      </c>
      <c r="K1076" s="199">
        <f>IFERROR('Mail Merge'!$F1076/'Mail Merge'!$D1076,0)</f>
        <v>5118.4476190476189</v>
      </c>
      <c r="L1076" s="199">
        <f>IFERROR('Mail Merge'!$G1076/'Mail Merge'!$D1076,0)</f>
        <v>10496.10619047619</v>
      </c>
      <c r="M1076" s="199">
        <v>0</v>
      </c>
      <c r="N1076" s="199" t="s">
        <v>241</v>
      </c>
      <c r="O1076" s="199">
        <v>50839.05</v>
      </c>
      <c r="P1076" s="199">
        <v>1147.53</v>
      </c>
      <c r="Q1076" s="199">
        <f>'Mail Merge'!$O1076+'Mail Merge'!$P1076</f>
        <v>51986.58</v>
      </c>
      <c r="R1076" s="199"/>
      <c r="S1076" s="199">
        <v>43585.11</v>
      </c>
      <c r="T1076" s="199">
        <v>43585.11</v>
      </c>
      <c r="U1076" s="199">
        <f>IF(AND('Mail Merge'!$I1076="Did Not Meet",'Mail Merge'!$N1076="Did Not Meet"),MIN(ABS('Mail Merge'!$H1076),ABS('Mail Merge'!$M1076),'Mail Merge'!$Q1076),0)</f>
        <v>0</v>
      </c>
      <c r="V1076" s="199" t="str">
        <f>IF(OR(IFERROR(SEARCH("Met",'Mail Merge'!$N1076),0)&gt;0,IFERROR(SEARCH("Met",'Mail Merge'!$I1076),0)&gt;0),"Met","Not Met")</f>
        <v>Met</v>
      </c>
    </row>
    <row r="1077" spans="1:22" x14ac:dyDescent="0.35">
      <c r="A1077" s="200" t="s">
        <v>112</v>
      </c>
      <c r="B1077" s="201">
        <v>2091</v>
      </c>
      <c r="C1077" s="201" t="s">
        <v>41</v>
      </c>
      <c r="D1077" s="201">
        <v>242</v>
      </c>
      <c r="E1077" s="201">
        <v>1623335.51</v>
      </c>
      <c r="F1077" s="201">
        <v>388688</v>
      </c>
      <c r="G1077" s="201">
        <f>'Mail Merge'!$E1077+'Mail Merge'!$F1077</f>
        <v>2012023.51</v>
      </c>
      <c r="H1077" s="201">
        <v>0</v>
      </c>
      <c r="I1077" s="201" t="s">
        <v>241</v>
      </c>
      <c r="J1077" s="201">
        <f>IFERROR('Mail Merge'!$E1077/'Mail Merge'!$D1077,0)</f>
        <v>6707.997975206612</v>
      </c>
      <c r="K1077" s="201">
        <f>IFERROR('Mail Merge'!$F1077/'Mail Merge'!$D1077,0)</f>
        <v>1606.1487603305786</v>
      </c>
      <c r="L1077" s="201">
        <f>IFERROR('Mail Merge'!$G1077/'Mail Merge'!$D1077,0)</f>
        <v>8314.1467355371897</v>
      </c>
      <c r="M1077" s="201">
        <v>160571.72</v>
      </c>
      <c r="N1077" s="201" t="s">
        <v>240</v>
      </c>
      <c r="O1077" s="201">
        <v>287089.01</v>
      </c>
      <c r="P1077" s="201">
        <v>1367.27</v>
      </c>
      <c r="Q1077" s="201">
        <f>'Mail Merge'!$O1077+'Mail Merge'!$P1077</f>
        <v>288456.28000000003</v>
      </c>
      <c r="R1077" s="201"/>
      <c r="S1077" s="201"/>
      <c r="T1077" s="201"/>
      <c r="U1077" s="201">
        <f>IF(AND('Mail Merge'!$I1077="Did Not Meet",'Mail Merge'!$N1077="Did Not Meet"),MIN(ABS('Mail Merge'!$H1077),ABS('Mail Merge'!$M1077),'Mail Merge'!$Q1077),0)</f>
        <v>0</v>
      </c>
      <c r="V1077" s="201" t="str">
        <f>IF(OR(IFERROR(SEARCH("Met",'Mail Merge'!$N1077),0)&gt;0,IFERROR(SEARCH("Met",'Mail Merge'!$I1077),0)&gt;0),"Met","Not Met")</f>
        <v>Met</v>
      </c>
    </row>
    <row r="1078" spans="1:22" x14ac:dyDescent="0.35">
      <c r="A1078" s="198" t="s">
        <v>113</v>
      </c>
      <c r="B1078" s="199">
        <v>2109</v>
      </c>
      <c r="C1078" s="199" t="s">
        <v>41</v>
      </c>
      <c r="D1078" s="199">
        <v>2</v>
      </c>
      <c r="E1078" s="199">
        <v>0</v>
      </c>
      <c r="F1078" s="199">
        <v>2914.32</v>
      </c>
      <c r="G1078" s="199">
        <f>'Mail Merge'!$E1078+'Mail Merge'!$F1078</f>
        <v>2914.32</v>
      </c>
      <c r="H1078" s="199">
        <v>0</v>
      </c>
      <c r="I1078" s="199" t="s">
        <v>241</v>
      </c>
      <c r="J1078" s="199">
        <f>IFERROR('Mail Merge'!$E1078/'Mail Merge'!$D1078,0)</f>
        <v>0</v>
      </c>
      <c r="K1078" s="199">
        <f>IFERROR('Mail Merge'!$F1078/'Mail Merge'!$D1078,0)</f>
        <v>1457.16</v>
      </c>
      <c r="L1078" s="199">
        <f>IFERROR('Mail Merge'!$G1078/'Mail Merge'!$D1078,0)</f>
        <v>1457.16</v>
      </c>
      <c r="M1078" s="199">
        <v>2744.7</v>
      </c>
      <c r="N1078" s="199" t="s">
        <v>240</v>
      </c>
      <c r="O1078" s="199">
        <v>1355.83</v>
      </c>
      <c r="P1078" s="199">
        <v>0</v>
      </c>
      <c r="Q1078" s="199">
        <f>'Mail Merge'!$O1078+'Mail Merge'!$P1078</f>
        <v>1355.83</v>
      </c>
      <c r="R1078" s="199"/>
      <c r="S1078" s="199"/>
      <c r="T1078" s="199"/>
      <c r="U1078" s="199">
        <f>IF(AND('Mail Merge'!$I1078="Did Not Meet",'Mail Merge'!$N1078="Did Not Meet"),MIN(ABS('Mail Merge'!$H1078),ABS('Mail Merge'!$M1078),'Mail Merge'!$Q1078),0)</f>
        <v>0</v>
      </c>
      <c r="V1078" s="199" t="str">
        <f>IF(OR(IFERROR(SEARCH("Met",'Mail Merge'!$N1078),0)&gt;0,IFERROR(SEARCH("Met",'Mail Merge'!$I1078),0)&gt;0),"Met","Not Met")</f>
        <v>Met</v>
      </c>
    </row>
    <row r="1079" spans="1:22" x14ac:dyDescent="0.35">
      <c r="A1079" s="200" t="s">
        <v>114</v>
      </c>
      <c r="B1079" s="201">
        <v>2057</v>
      </c>
      <c r="C1079" s="201" t="s">
        <v>41</v>
      </c>
      <c r="D1079" s="201">
        <v>847</v>
      </c>
      <c r="E1079" s="201">
        <v>6504652.1500000004</v>
      </c>
      <c r="F1079" s="201">
        <v>240462.27</v>
      </c>
      <c r="G1079" s="201">
        <f>'Mail Merge'!$E1079+'Mail Merge'!$F1079</f>
        <v>6745114.4199999999</v>
      </c>
      <c r="H1079" s="201">
        <v>0</v>
      </c>
      <c r="I1079" s="201" t="s">
        <v>241</v>
      </c>
      <c r="J1079" s="201">
        <f>IFERROR('Mail Merge'!$E1079/'Mail Merge'!$D1079,0)</f>
        <v>7679.6365407319954</v>
      </c>
      <c r="K1079" s="201">
        <f>IFERROR('Mail Merge'!$F1079/'Mail Merge'!$D1079,0)</f>
        <v>283.89878394332936</v>
      </c>
      <c r="L1079" s="201">
        <f>IFERROR('Mail Merge'!$G1079/'Mail Merge'!$D1079,0)</f>
        <v>7963.5353246753248</v>
      </c>
      <c r="M1079" s="201">
        <v>0</v>
      </c>
      <c r="N1079" s="201" t="s">
        <v>241</v>
      </c>
      <c r="O1079" s="201">
        <v>1158151.81</v>
      </c>
      <c r="P1079" s="201">
        <v>6867.38</v>
      </c>
      <c r="Q1079" s="201">
        <f>'Mail Merge'!$O1079+'Mail Merge'!$P1079</f>
        <v>1165019.19</v>
      </c>
      <c r="R1079" s="201"/>
      <c r="S1079" s="201"/>
      <c r="T1079" s="201"/>
      <c r="U1079" s="201">
        <f>IF(AND('Mail Merge'!$I1079="Did Not Meet",'Mail Merge'!$N1079="Did Not Meet"),MIN(ABS('Mail Merge'!$H1079),ABS('Mail Merge'!$M1079),'Mail Merge'!$Q1079),0)</f>
        <v>0</v>
      </c>
      <c r="V1079" s="201" t="str">
        <f>IF(OR(IFERROR(SEARCH("Met",'Mail Merge'!$N1079),0)&gt;0,IFERROR(SEARCH("Met",'Mail Merge'!$I1079),0)&gt;0),"Met","Not Met")</f>
        <v>Met</v>
      </c>
    </row>
    <row r="1080" spans="1:22" x14ac:dyDescent="0.35">
      <c r="A1080" s="198" t="s">
        <v>115</v>
      </c>
      <c r="B1080" s="199">
        <v>2056</v>
      </c>
      <c r="C1080" s="199" t="s">
        <v>41</v>
      </c>
      <c r="D1080" s="199">
        <v>470</v>
      </c>
      <c r="E1080" s="199">
        <v>3473882.41</v>
      </c>
      <c r="F1080" s="199">
        <v>32226.28</v>
      </c>
      <c r="G1080" s="199">
        <f>'Mail Merge'!$E1080+'Mail Merge'!$F1080</f>
        <v>3506108.69</v>
      </c>
      <c r="H1080" s="199">
        <v>0</v>
      </c>
      <c r="I1080" s="199" t="s">
        <v>241</v>
      </c>
      <c r="J1080" s="199">
        <f>IFERROR('Mail Merge'!$E1080/'Mail Merge'!$D1080,0)</f>
        <v>7391.2391702127661</v>
      </c>
      <c r="K1080" s="199">
        <f>IFERROR('Mail Merge'!$F1080/'Mail Merge'!$D1080,0)</f>
        <v>68.566553191489362</v>
      </c>
      <c r="L1080" s="199">
        <f>IFERROR('Mail Merge'!$G1080/'Mail Merge'!$D1080,0)</f>
        <v>7459.8057234042553</v>
      </c>
      <c r="M1080" s="199">
        <v>0</v>
      </c>
      <c r="N1080" s="199" t="s">
        <v>241</v>
      </c>
      <c r="O1080" s="199">
        <v>637139.99</v>
      </c>
      <c r="P1080" s="199">
        <v>4498.33</v>
      </c>
      <c r="Q1080" s="199">
        <f>'Mail Merge'!$O1080+'Mail Merge'!$P1080</f>
        <v>641638.31999999995</v>
      </c>
      <c r="R1080" s="199"/>
      <c r="S1080" s="199"/>
      <c r="T1080" s="199"/>
      <c r="U1080" s="199">
        <f>IF(AND('Mail Merge'!$I1080="Did Not Meet",'Mail Merge'!$N1080="Did Not Meet"),MIN(ABS('Mail Merge'!$H1080),ABS('Mail Merge'!$M1080),'Mail Merge'!$Q1080),0)</f>
        <v>0</v>
      </c>
      <c r="V1080" s="199" t="str">
        <f>IF(OR(IFERROR(SEARCH("Met",'Mail Merge'!$N1080),0)&gt;0,IFERROR(SEARCH("Met",'Mail Merge'!$I1080),0)&gt;0),"Met","Not Met")</f>
        <v>Met</v>
      </c>
    </row>
    <row r="1081" spans="1:22" x14ac:dyDescent="0.35">
      <c r="A1081" s="200" t="s">
        <v>116</v>
      </c>
      <c r="B1081" s="201">
        <v>2262</v>
      </c>
      <c r="C1081" s="201" t="s">
        <v>41</v>
      </c>
      <c r="D1081" s="201">
        <v>79</v>
      </c>
      <c r="E1081" s="201">
        <v>490348.67</v>
      </c>
      <c r="F1081" s="201">
        <v>169964</v>
      </c>
      <c r="G1081" s="201">
        <f>'Mail Merge'!$E1081+'Mail Merge'!$F1081</f>
        <v>660312.66999999993</v>
      </c>
      <c r="H1081" s="201">
        <v>0</v>
      </c>
      <c r="I1081" s="201" t="s">
        <v>242</v>
      </c>
      <c r="J1081" s="201">
        <f>IFERROR('Mail Merge'!$E1081/'Mail Merge'!$D1081,0)</f>
        <v>6206.9451898734178</v>
      </c>
      <c r="K1081" s="201">
        <f>IFERROR('Mail Merge'!$F1081/'Mail Merge'!$D1081,0)</f>
        <v>2151.4430379746836</v>
      </c>
      <c r="L1081" s="201">
        <f>IFERROR('Mail Merge'!$G1081/'Mail Merge'!$D1081,0)</f>
        <v>8358.3882278480996</v>
      </c>
      <c r="M1081" s="201">
        <v>0</v>
      </c>
      <c r="N1081" s="201" t="s">
        <v>241</v>
      </c>
      <c r="O1081" s="201">
        <v>78668.97</v>
      </c>
      <c r="P1081" s="201">
        <v>803.27</v>
      </c>
      <c r="Q1081" s="201">
        <f>'Mail Merge'!$O1081+'Mail Merge'!$P1081</f>
        <v>79472.240000000005</v>
      </c>
      <c r="R1081" s="201"/>
      <c r="S1081" s="201">
        <v>40683.11</v>
      </c>
      <c r="T1081" s="201">
        <v>40683.11</v>
      </c>
      <c r="U1081" s="201">
        <f>IF(AND('Mail Merge'!$I1081="Did Not Meet",'Mail Merge'!$N1081="Did Not Meet"),MIN(ABS('Mail Merge'!$H1081),ABS('Mail Merge'!$M1081),'Mail Merge'!$Q1081),0)</f>
        <v>0</v>
      </c>
      <c r="V1081" s="201" t="str">
        <f>IF(OR(IFERROR(SEARCH("Met",'Mail Merge'!$N1081),0)&gt;0,IFERROR(SEARCH("Met",'Mail Merge'!$I1081),0)&gt;0),"Met","Not Met")</f>
        <v>Met</v>
      </c>
    </row>
    <row r="1082" spans="1:22" x14ac:dyDescent="0.35">
      <c r="A1082" s="198" t="s">
        <v>117</v>
      </c>
      <c r="B1082" s="199">
        <v>2212</v>
      </c>
      <c r="C1082" s="199" t="s">
        <v>41</v>
      </c>
      <c r="D1082" s="199">
        <v>300</v>
      </c>
      <c r="E1082" s="199">
        <v>2204778.3199999998</v>
      </c>
      <c r="F1082" s="199">
        <v>405879.87</v>
      </c>
      <c r="G1082" s="199">
        <f>'Mail Merge'!$E1082+'Mail Merge'!$F1082</f>
        <v>2610658.19</v>
      </c>
      <c r="H1082" s="199">
        <v>0</v>
      </c>
      <c r="I1082" s="199" t="s">
        <v>241</v>
      </c>
      <c r="J1082" s="199">
        <f>IFERROR('Mail Merge'!$E1082/'Mail Merge'!$D1082,0)</f>
        <v>7349.261066666666</v>
      </c>
      <c r="K1082" s="199">
        <f>IFERROR('Mail Merge'!$F1082/'Mail Merge'!$D1082,0)</f>
        <v>1352.9329</v>
      </c>
      <c r="L1082" s="199">
        <f>IFERROR('Mail Merge'!$G1082/'Mail Merge'!$D1082,0)</f>
        <v>8702.1939666666658</v>
      </c>
      <c r="M1082" s="199">
        <v>56060.41</v>
      </c>
      <c r="N1082" s="199" t="s">
        <v>240</v>
      </c>
      <c r="O1082" s="199">
        <v>430289.12</v>
      </c>
      <c r="P1082" s="199">
        <v>2882.18</v>
      </c>
      <c r="Q1082" s="199">
        <f>'Mail Merge'!$O1082+'Mail Merge'!$P1082</f>
        <v>433171.3</v>
      </c>
      <c r="R1082" s="199"/>
      <c r="S1082" s="199"/>
      <c r="T1082" s="199"/>
      <c r="U1082" s="199">
        <f>IF(AND('Mail Merge'!$I1082="Did Not Meet",'Mail Merge'!$N1082="Did Not Meet"),MIN(ABS('Mail Merge'!$H1082),ABS('Mail Merge'!$M1082),'Mail Merge'!$Q1082),0)</f>
        <v>0</v>
      </c>
      <c r="V1082" s="199" t="str">
        <f>IF(OR(IFERROR(SEARCH("Met",'Mail Merge'!$N1082),0)&gt;0,IFERROR(SEARCH("Met",'Mail Merge'!$I1082),0)&gt;0),"Met","Not Met")</f>
        <v>Met</v>
      </c>
    </row>
    <row r="1083" spans="1:22" x14ac:dyDescent="0.35">
      <c r="A1083" s="200" t="s">
        <v>118</v>
      </c>
      <c r="B1083" s="201">
        <v>2059</v>
      </c>
      <c r="C1083" s="201" t="s">
        <v>41</v>
      </c>
      <c r="D1083" s="201">
        <v>109</v>
      </c>
      <c r="E1083" s="201">
        <v>490323.11</v>
      </c>
      <c r="F1083" s="201">
        <v>246118.39999999999</v>
      </c>
      <c r="G1083" s="201">
        <f>'Mail Merge'!$E1083+'Mail Merge'!$F1083</f>
        <v>736441.51</v>
      </c>
      <c r="H1083" s="201">
        <v>0</v>
      </c>
      <c r="I1083" s="201" t="s">
        <v>241</v>
      </c>
      <c r="J1083" s="201">
        <f>IFERROR('Mail Merge'!$E1083/'Mail Merge'!$D1083,0)</f>
        <v>4498.3771559633024</v>
      </c>
      <c r="K1083" s="201">
        <f>IFERROR('Mail Merge'!$F1083/'Mail Merge'!$D1083,0)</f>
        <v>2257.9669724770642</v>
      </c>
      <c r="L1083" s="201">
        <f>IFERROR('Mail Merge'!$G1083/'Mail Merge'!$D1083,0)</f>
        <v>6756.3441284403671</v>
      </c>
      <c r="M1083" s="201">
        <v>0</v>
      </c>
      <c r="N1083" s="201" t="s">
        <v>241</v>
      </c>
      <c r="O1083" s="201">
        <v>136508.96</v>
      </c>
      <c r="P1083" s="201">
        <v>2754.08</v>
      </c>
      <c r="Q1083" s="201">
        <f>'Mail Merge'!$O1083+'Mail Merge'!$P1083</f>
        <v>139263.03999999998</v>
      </c>
      <c r="R1083" s="201"/>
      <c r="S1083" s="201"/>
      <c r="T1083" s="201"/>
      <c r="U1083" s="201">
        <f>IF(AND('Mail Merge'!$I1083="Did Not Meet",'Mail Merge'!$N1083="Did Not Meet"),MIN(ABS('Mail Merge'!$H1083),ABS('Mail Merge'!$M1083),'Mail Merge'!$Q1083),0)</f>
        <v>0</v>
      </c>
      <c r="V1083" s="201" t="str">
        <f>IF(OR(IFERROR(SEARCH("Met",'Mail Merge'!$N1083),0)&gt;0,IFERROR(SEARCH("Met",'Mail Merge'!$I1083),0)&gt;0),"Met","Not Met")</f>
        <v>Met</v>
      </c>
    </row>
    <row r="1084" spans="1:22" x14ac:dyDescent="0.35">
      <c r="A1084" s="198" t="s">
        <v>119</v>
      </c>
      <c r="B1084" s="199">
        <v>1923</v>
      </c>
      <c r="C1084" s="199" t="s">
        <v>41</v>
      </c>
      <c r="D1084" s="199">
        <v>596</v>
      </c>
      <c r="E1084" s="199">
        <v>10712967.02</v>
      </c>
      <c r="F1084" s="199">
        <v>255120</v>
      </c>
      <c r="G1084" s="199">
        <f>'Mail Merge'!$E1084+'Mail Merge'!$F1084</f>
        <v>10968087.02</v>
      </c>
      <c r="H1084" s="199">
        <v>0</v>
      </c>
      <c r="I1084" s="199" t="s">
        <v>241</v>
      </c>
      <c r="J1084" s="199">
        <f>IFERROR('Mail Merge'!$E1084/'Mail Merge'!$D1084,0)</f>
        <v>17974.776879194629</v>
      </c>
      <c r="K1084" s="199">
        <f>IFERROR('Mail Merge'!$F1084/'Mail Merge'!$D1084,0)</f>
        <v>428.05369127516781</v>
      </c>
      <c r="L1084" s="199">
        <f>IFERROR('Mail Merge'!$G1084/'Mail Merge'!$D1084,0)</f>
        <v>18402.8305704698</v>
      </c>
      <c r="M1084" s="199">
        <v>0</v>
      </c>
      <c r="N1084" s="199" t="s">
        <v>241</v>
      </c>
      <c r="O1084" s="199">
        <v>993038</v>
      </c>
      <c r="P1084" s="199">
        <v>2790.08</v>
      </c>
      <c r="Q1084" s="199">
        <f>'Mail Merge'!$O1084+'Mail Merge'!$P1084</f>
        <v>995828.08</v>
      </c>
      <c r="R1084" s="199"/>
      <c r="S1084" s="199"/>
      <c r="T1084" s="199"/>
      <c r="U1084" s="199">
        <f>IF(AND('Mail Merge'!$I1084="Did Not Meet",'Mail Merge'!$N1084="Did Not Meet"),MIN(ABS('Mail Merge'!$H1084),ABS('Mail Merge'!$M1084),'Mail Merge'!$Q1084),0)</f>
        <v>0</v>
      </c>
      <c r="V1084" s="199" t="str">
        <f>IF(OR(IFERROR(SEARCH("Met",'Mail Merge'!$N1084),0)&gt;0,IFERROR(SEARCH("Met",'Mail Merge'!$I1084),0)&gt;0),"Met","Not Met")</f>
        <v>Met</v>
      </c>
    </row>
    <row r="1085" spans="1:22" x14ac:dyDescent="0.35">
      <c r="A1085" s="200" t="s">
        <v>120</v>
      </c>
      <c r="B1085" s="201">
        <v>2101</v>
      </c>
      <c r="C1085" s="201" t="s">
        <v>41</v>
      </c>
      <c r="D1085" s="201">
        <v>614</v>
      </c>
      <c r="E1085" s="201">
        <v>4647746.33</v>
      </c>
      <c r="F1085" s="201">
        <v>715524</v>
      </c>
      <c r="G1085" s="201">
        <f>'Mail Merge'!$E1085+'Mail Merge'!$F1085</f>
        <v>5363270.33</v>
      </c>
      <c r="H1085" s="201">
        <v>0</v>
      </c>
      <c r="I1085" s="201" t="s">
        <v>241</v>
      </c>
      <c r="J1085" s="201">
        <f>IFERROR('Mail Merge'!$E1085/'Mail Merge'!$D1085,0)</f>
        <v>7569.6194299674271</v>
      </c>
      <c r="K1085" s="201">
        <f>IFERROR('Mail Merge'!$F1085/'Mail Merge'!$D1085,0)</f>
        <v>1165.3485342019544</v>
      </c>
      <c r="L1085" s="201">
        <f>IFERROR('Mail Merge'!$G1085/'Mail Merge'!$D1085,0)</f>
        <v>8734.967964169382</v>
      </c>
      <c r="M1085" s="201">
        <v>0</v>
      </c>
      <c r="N1085" s="201" t="s">
        <v>241</v>
      </c>
      <c r="O1085" s="201">
        <v>747173.85</v>
      </c>
      <c r="P1085" s="201">
        <v>5874.28</v>
      </c>
      <c r="Q1085" s="201">
        <f>'Mail Merge'!$O1085+'Mail Merge'!$P1085</f>
        <v>753048.13</v>
      </c>
      <c r="R1085" s="201"/>
      <c r="S1085" s="201"/>
      <c r="T1085" s="201"/>
      <c r="U1085" s="201">
        <f>IF(AND('Mail Merge'!$I1085="Did Not Meet",'Mail Merge'!$N1085="Did Not Meet"),MIN(ABS('Mail Merge'!$H1085),ABS('Mail Merge'!$M1085),'Mail Merge'!$Q1085),0)</f>
        <v>0</v>
      </c>
      <c r="V1085" s="201" t="str">
        <f>IF(OR(IFERROR(SEARCH("Met",'Mail Merge'!$N1085),0)&gt;0,IFERROR(SEARCH("Met",'Mail Merge'!$I1085),0)&gt;0),"Met","Not Met")</f>
        <v>Met</v>
      </c>
    </row>
    <row r="1086" spans="1:22" x14ac:dyDescent="0.35">
      <c r="A1086" s="198" t="s">
        <v>121</v>
      </c>
      <c r="B1086" s="199">
        <v>2097</v>
      </c>
      <c r="C1086" s="199" t="s">
        <v>41</v>
      </c>
      <c r="D1086" s="199">
        <v>674</v>
      </c>
      <c r="E1086" s="199">
        <v>6268277.6100000003</v>
      </c>
      <c r="F1086" s="199">
        <v>531977</v>
      </c>
      <c r="G1086" s="199">
        <f>'Mail Merge'!$E1086+'Mail Merge'!$F1086</f>
        <v>6800254.6100000003</v>
      </c>
      <c r="H1086" s="199">
        <v>0</v>
      </c>
      <c r="I1086" s="199" t="s">
        <v>241</v>
      </c>
      <c r="J1086" s="199">
        <f>IFERROR('Mail Merge'!$E1086/'Mail Merge'!$D1086,0)</f>
        <v>9300.1151483679532</v>
      </c>
      <c r="K1086" s="199">
        <f>IFERROR('Mail Merge'!$F1086/'Mail Merge'!$D1086,0)</f>
        <v>789.28338278931756</v>
      </c>
      <c r="L1086" s="199">
        <f>IFERROR('Mail Merge'!$G1086/'Mail Merge'!$D1086,0)</f>
        <v>10089.398531157271</v>
      </c>
      <c r="M1086" s="199">
        <v>0</v>
      </c>
      <c r="N1086" s="199" t="s">
        <v>241</v>
      </c>
      <c r="O1086" s="199">
        <v>938907.34</v>
      </c>
      <c r="P1086" s="199">
        <v>10121.25</v>
      </c>
      <c r="Q1086" s="199">
        <f>'Mail Merge'!$O1086+'Mail Merge'!$P1086</f>
        <v>949028.59</v>
      </c>
      <c r="R1086" s="199"/>
      <c r="S1086" s="199"/>
      <c r="T1086" s="199"/>
      <c r="U1086" s="199">
        <f>IF(AND('Mail Merge'!$I1086="Did Not Meet",'Mail Merge'!$N1086="Did Not Meet"),MIN(ABS('Mail Merge'!$H1086),ABS('Mail Merge'!$M1086),'Mail Merge'!$Q1086),0)</f>
        <v>0</v>
      </c>
      <c r="V1086" s="199" t="str">
        <f>IF(OR(IFERROR(SEARCH("Met",'Mail Merge'!$N1086),0)&gt;0,IFERROR(SEARCH("Met",'Mail Merge'!$I1086),0)&gt;0),"Met","Not Met")</f>
        <v>Met</v>
      </c>
    </row>
    <row r="1087" spans="1:22" x14ac:dyDescent="0.35">
      <c r="A1087" s="200" t="s">
        <v>122</v>
      </c>
      <c r="B1087" s="201">
        <v>2012</v>
      </c>
      <c r="C1087" s="201" t="s">
        <v>41</v>
      </c>
      <c r="D1087" s="201">
        <v>5</v>
      </c>
      <c r="E1087" s="201">
        <v>30278.240000000002</v>
      </c>
      <c r="F1087" s="201">
        <v>51946.14</v>
      </c>
      <c r="G1087" s="201">
        <f>'Mail Merge'!$E1087+'Mail Merge'!$F1087</f>
        <v>82224.38</v>
      </c>
      <c r="H1087" s="201">
        <v>0</v>
      </c>
      <c r="I1087" s="201" t="s">
        <v>241</v>
      </c>
      <c r="J1087" s="201">
        <f>IFERROR('Mail Merge'!$E1087/'Mail Merge'!$D1087,0)</f>
        <v>6055.6480000000001</v>
      </c>
      <c r="K1087" s="201">
        <f>IFERROR('Mail Merge'!$F1087/'Mail Merge'!$D1087,0)</f>
        <v>10389.227999999999</v>
      </c>
      <c r="L1087" s="201">
        <f>IFERROR('Mail Merge'!$G1087/'Mail Merge'!$D1087,0)</f>
        <v>16444.876</v>
      </c>
      <c r="M1087" s="201">
        <v>117779.8</v>
      </c>
      <c r="N1087" s="201" t="s">
        <v>240</v>
      </c>
      <c r="O1087" s="201">
        <v>7157.09</v>
      </c>
      <c r="P1087" s="201">
        <v>0</v>
      </c>
      <c r="Q1087" s="201">
        <f>'Mail Merge'!$O1087+'Mail Merge'!$P1087</f>
        <v>7157.09</v>
      </c>
      <c r="R1087" s="201"/>
      <c r="S1087" s="201"/>
      <c r="T1087" s="201"/>
      <c r="U1087" s="201">
        <f>IF(AND('Mail Merge'!$I1087="Did Not Meet",'Mail Merge'!$N1087="Did Not Meet"),MIN(ABS('Mail Merge'!$H1087),ABS('Mail Merge'!$M1087),'Mail Merge'!$Q1087),0)</f>
        <v>0</v>
      </c>
      <c r="V1087" s="201" t="str">
        <f>IF(OR(IFERROR(SEARCH("Met",'Mail Merge'!$N1087),0)&gt;0,IFERROR(SEARCH("Met",'Mail Merge'!$I1087),0)&gt;0),"Met","Not Met")</f>
        <v>Met</v>
      </c>
    </row>
    <row r="1088" spans="1:22" x14ac:dyDescent="0.35">
      <c r="A1088" s="198" t="s">
        <v>123</v>
      </c>
      <c r="B1088" s="199">
        <v>2092</v>
      </c>
      <c r="C1088" s="199" t="s">
        <v>41</v>
      </c>
      <c r="D1088" s="199">
        <v>53</v>
      </c>
      <c r="E1088" s="199">
        <v>436382.26</v>
      </c>
      <c r="F1088" s="199">
        <v>97821</v>
      </c>
      <c r="G1088" s="199">
        <f>'Mail Merge'!$E1088+'Mail Merge'!$F1088</f>
        <v>534203.26</v>
      </c>
      <c r="H1088" s="199">
        <v>0</v>
      </c>
      <c r="I1088" s="199" t="s">
        <v>242</v>
      </c>
      <c r="J1088" s="199">
        <f>IFERROR('Mail Merge'!$E1088/'Mail Merge'!$D1088,0)</f>
        <v>8233.6275471698118</v>
      </c>
      <c r="K1088" s="199">
        <f>IFERROR('Mail Merge'!$F1088/'Mail Merge'!$D1088,0)</f>
        <v>1845.6792452830189</v>
      </c>
      <c r="L1088" s="199">
        <f>IFERROR('Mail Merge'!$G1088/'Mail Merge'!$D1088,0)</f>
        <v>10079.30679245283</v>
      </c>
      <c r="M1088" s="199">
        <v>65927.539999999994</v>
      </c>
      <c r="N1088" s="199" t="s">
        <v>240</v>
      </c>
      <c r="O1088" s="199">
        <v>61786.77</v>
      </c>
      <c r="P1088" s="199">
        <v>196.72</v>
      </c>
      <c r="Q1088" s="199">
        <f>'Mail Merge'!$O1088+'Mail Merge'!$P1088</f>
        <v>61983.49</v>
      </c>
      <c r="R1088" s="199"/>
      <c r="S1088" s="199">
        <v>6968</v>
      </c>
      <c r="T1088" s="199"/>
      <c r="U1088" s="199">
        <f>IF(AND('Mail Merge'!$I1088="Did Not Meet",'Mail Merge'!$N1088="Did Not Meet"),MIN(ABS('Mail Merge'!$H1088),ABS('Mail Merge'!$M1088),'Mail Merge'!$Q1088),0)</f>
        <v>0</v>
      </c>
      <c r="V1088" s="199" t="str">
        <f>IF(OR(IFERROR(SEARCH("Met",'Mail Merge'!$N1088),0)&gt;0,IFERROR(SEARCH("Met",'Mail Merge'!$I1088),0)&gt;0),"Met","Not Met")</f>
        <v>Met</v>
      </c>
    </row>
    <row r="1089" spans="1:22" x14ac:dyDescent="0.35">
      <c r="A1089" s="200" t="s">
        <v>124</v>
      </c>
      <c r="B1089" s="201">
        <v>2112</v>
      </c>
      <c r="C1089" s="201" t="s">
        <v>41</v>
      </c>
      <c r="D1089" s="201">
        <v>0</v>
      </c>
      <c r="E1089" s="201">
        <v>0</v>
      </c>
      <c r="F1089" s="201">
        <v>264.45999999999998</v>
      </c>
      <c r="G1089" s="201">
        <f>'Mail Merge'!$E1089+'Mail Merge'!$F1089</f>
        <v>264.45999999999998</v>
      </c>
      <c r="H1089" s="201">
        <v>0</v>
      </c>
      <c r="I1089" s="201" t="s">
        <v>241</v>
      </c>
      <c r="J1089" s="201">
        <f>IFERROR('Mail Merge'!$E1089/'Mail Merge'!$D1089,0)</f>
        <v>0</v>
      </c>
      <c r="K1089" s="201">
        <f>IFERROR('Mail Merge'!$F1089/'Mail Merge'!$D1089,0)</f>
        <v>0</v>
      </c>
      <c r="L1089" s="201">
        <f>IFERROR('Mail Merge'!$G1089/'Mail Merge'!$D1089,0)</f>
        <v>0</v>
      </c>
      <c r="M1089" s="201">
        <v>0</v>
      </c>
      <c r="N1089" s="201" t="s">
        <v>241</v>
      </c>
      <c r="O1089" s="201">
        <v>771.95</v>
      </c>
      <c r="P1089" s="201">
        <v>0</v>
      </c>
      <c r="Q1089" s="201">
        <f>'Mail Merge'!$O1089+'Mail Merge'!$P1089</f>
        <v>771.95</v>
      </c>
      <c r="R1089" s="201"/>
      <c r="S1089" s="201"/>
      <c r="T1089" s="201"/>
      <c r="U1089" s="201">
        <f>IF(AND('Mail Merge'!$I1089="Did Not Meet",'Mail Merge'!$N1089="Did Not Meet"),MIN(ABS('Mail Merge'!$H1089),ABS('Mail Merge'!$M1089),'Mail Merge'!$Q1089),0)</f>
        <v>0</v>
      </c>
      <c r="V1089" s="201" t="str">
        <f>IF(OR(IFERROR(SEARCH("Met",'Mail Merge'!$N1089),0)&gt;0,IFERROR(SEARCH("Met",'Mail Merge'!$I1089),0)&gt;0),"Met","Not Met")</f>
        <v>Met</v>
      </c>
    </row>
    <row r="1090" spans="1:22" x14ac:dyDescent="0.35">
      <c r="A1090" s="198" t="s">
        <v>125</v>
      </c>
      <c r="B1090" s="199">
        <v>2085</v>
      </c>
      <c r="C1090" s="199" t="s">
        <v>41</v>
      </c>
      <c r="D1090" s="199">
        <v>32</v>
      </c>
      <c r="E1090" s="199">
        <v>229650.93</v>
      </c>
      <c r="F1090" s="199">
        <v>93389</v>
      </c>
      <c r="G1090" s="199">
        <f>'Mail Merge'!$E1090+'Mail Merge'!$F1090</f>
        <v>323039.93</v>
      </c>
      <c r="H1090" s="199">
        <v>0</v>
      </c>
      <c r="I1090" s="199" t="s">
        <v>241</v>
      </c>
      <c r="J1090" s="199">
        <f>IFERROR('Mail Merge'!$E1090/'Mail Merge'!$D1090,0)</f>
        <v>7176.5915624999998</v>
      </c>
      <c r="K1090" s="199">
        <f>IFERROR('Mail Merge'!$F1090/'Mail Merge'!$D1090,0)</f>
        <v>2918.40625</v>
      </c>
      <c r="L1090" s="199">
        <f>IFERROR('Mail Merge'!$G1090/'Mail Merge'!$D1090,0)</f>
        <v>10094.9978125</v>
      </c>
      <c r="M1090" s="199">
        <v>0</v>
      </c>
      <c r="N1090" s="199" t="s">
        <v>241</v>
      </c>
      <c r="O1090" s="199">
        <v>51132.25</v>
      </c>
      <c r="P1090" s="199">
        <v>0</v>
      </c>
      <c r="Q1090" s="199">
        <f>'Mail Merge'!$O1090+'Mail Merge'!$P1090</f>
        <v>51132.25</v>
      </c>
      <c r="R1090" s="199"/>
      <c r="S1090" s="199"/>
      <c r="T1090" s="199"/>
      <c r="U1090" s="199">
        <f>IF(AND('Mail Merge'!$I1090="Did Not Meet",'Mail Merge'!$N1090="Did Not Meet"),MIN(ABS('Mail Merge'!$H1090),ABS('Mail Merge'!$M1090),'Mail Merge'!$Q1090),0)</f>
        <v>0</v>
      </c>
      <c r="V1090" s="199" t="str">
        <f>IF(OR(IFERROR(SEARCH("Met",'Mail Merge'!$N1090),0)&gt;0,IFERROR(SEARCH("Met",'Mail Merge'!$I1090),0)&gt;0),"Met","Not Met")</f>
        <v>Met</v>
      </c>
    </row>
    <row r="1091" spans="1:22" x14ac:dyDescent="0.35">
      <c r="A1091" s="200" t="s">
        <v>126</v>
      </c>
      <c r="B1091" s="201">
        <v>2094</v>
      </c>
      <c r="C1091" s="201" t="s">
        <v>41</v>
      </c>
      <c r="D1091" s="201">
        <v>39</v>
      </c>
      <c r="E1091" s="201">
        <v>240107.83</v>
      </c>
      <c r="F1091" s="201">
        <v>75144</v>
      </c>
      <c r="G1091" s="201">
        <f>'Mail Merge'!$E1091+'Mail Merge'!$F1091</f>
        <v>315251.82999999996</v>
      </c>
      <c r="H1091" s="201">
        <v>0</v>
      </c>
      <c r="I1091" s="201" t="s">
        <v>241</v>
      </c>
      <c r="J1091" s="201">
        <f>IFERROR('Mail Merge'!$E1091/'Mail Merge'!$D1091,0)</f>
        <v>6156.6110256410257</v>
      </c>
      <c r="K1091" s="201">
        <f>IFERROR('Mail Merge'!$F1091/'Mail Merge'!$D1091,0)</f>
        <v>1926.7692307692307</v>
      </c>
      <c r="L1091" s="201">
        <f>IFERROR('Mail Merge'!$G1091/'Mail Merge'!$D1091,0)</f>
        <v>8083.3802564102552</v>
      </c>
      <c r="M1091" s="201">
        <v>82398.570000000007</v>
      </c>
      <c r="N1091" s="201" t="s">
        <v>240</v>
      </c>
      <c r="O1091" s="201">
        <v>45104.47</v>
      </c>
      <c r="P1091" s="201">
        <v>612.02</v>
      </c>
      <c r="Q1091" s="201">
        <f>'Mail Merge'!$O1091+'Mail Merge'!$P1091</f>
        <v>45716.49</v>
      </c>
      <c r="R1091" s="201"/>
      <c r="S1091" s="201"/>
      <c r="T1091" s="201"/>
      <c r="U1091" s="201">
        <f>IF(AND('Mail Merge'!$I1091="Did Not Meet",'Mail Merge'!$N1091="Did Not Meet"),MIN(ABS('Mail Merge'!$H1091),ABS('Mail Merge'!$M1091),'Mail Merge'!$Q1091),0)</f>
        <v>0</v>
      </c>
      <c r="V1091" s="201" t="str">
        <f>IF(OR(IFERROR(SEARCH("Met",'Mail Merge'!$N1091),0)&gt;0,IFERROR(SEARCH("Met",'Mail Merge'!$I1091),0)&gt;0),"Met","Not Met")</f>
        <v>Met</v>
      </c>
    </row>
    <row r="1092" spans="1:22" x14ac:dyDescent="0.35">
      <c r="A1092" s="198" t="s">
        <v>127</v>
      </c>
      <c r="B1092" s="199">
        <v>2090</v>
      </c>
      <c r="C1092" s="199" t="s">
        <v>41</v>
      </c>
      <c r="D1092" s="199">
        <v>30</v>
      </c>
      <c r="E1092" s="199">
        <v>321572.31</v>
      </c>
      <c r="F1092" s="199">
        <v>84287</v>
      </c>
      <c r="G1092" s="199">
        <f>'Mail Merge'!$E1092+'Mail Merge'!$F1092</f>
        <v>405859.31</v>
      </c>
      <c r="H1092" s="199">
        <v>0</v>
      </c>
      <c r="I1092" s="199" t="s">
        <v>241</v>
      </c>
      <c r="J1092" s="199">
        <f>IFERROR('Mail Merge'!$E1092/'Mail Merge'!$D1092,0)</f>
        <v>10719.076999999999</v>
      </c>
      <c r="K1092" s="199">
        <f>IFERROR('Mail Merge'!$F1092/'Mail Merge'!$D1092,0)</f>
        <v>2809.5666666666666</v>
      </c>
      <c r="L1092" s="199">
        <f>IFERROR('Mail Merge'!$G1092/'Mail Merge'!$D1092,0)</f>
        <v>13528.643666666667</v>
      </c>
      <c r="M1092" s="199">
        <v>0</v>
      </c>
      <c r="N1092" s="199" t="s">
        <v>241</v>
      </c>
      <c r="O1092" s="199">
        <v>46429.63</v>
      </c>
      <c r="P1092" s="199">
        <v>153</v>
      </c>
      <c r="Q1092" s="199">
        <f>'Mail Merge'!$O1092+'Mail Merge'!$P1092</f>
        <v>46582.63</v>
      </c>
      <c r="R1092" s="199"/>
      <c r="S1092" s="199"/>
      <c r="T1092" s="199"/>
      <c r="U1092" s="199">
        <f>IF(AND('Mail Merge'!$I1092="Did Not Meet",'Mail Merge'!$N1092="Did Not Meet"),MIN(ABS('Mail Merge'!$H1092),ABS('Mail Merge'!$M1092),'Mail Merge'!$Q1092),0)</f>
        <v>0</v>
      </c>
      <c r="V1092" s="199" t="str">
        <f>IF(OR(IFERROR(SEARCH("Met",'Mail Merge'!$N1092),0)&gt;0,IFERROR(SEARCH("Met",'Mail Merge'!$I1092),0)&gt;0),"Met","Not Met")</f>
        <v>Met</v>
      </c>
    </row>
    <row r="1093" spans="1:22" x14ac:dyDescent="0.35">
      <c r="A1093" s="200" t="s">
        <v>128</v>
      </c>
      <c r="B1093" s="201">
        <v>2256</v>
      </c>
      <c r="C1093" s="201" t="s">
        <v>41</v>
      </c>
      <c r="D1093" s="201">
        <v>781</v>
      </c>
      <c r="E1093" s="201">
        <v>6468574.9400000004</v>
      </c>
      <c r="F1093" s="201">
        <v>26440.9</v>
      </c>
      <c r="G1093" s="201">
        <f>'Mail Merge'!$E1093+'Mail Merge'!$F1093</f>
        <v>6495015.8400000008</v>
      </c>
      <c r="H1093" s="201">
        <v>0</v>
      </c>
      <c r="I1093" s="201" t="s">
        <v>241</v>
      </c>
      <c r="J1093" s="201">
        <f>IFERROR('Mail Merge'!$E1093/'Mail Merge'!$D1093,0)</f>
        <v>8282.4262996158777</v>
      </c>
      <c r="K1093" s="201">
        <f>IFERROR('Mail Merge'!$F1093/'Mail Merge'!$D1093,0)</f>
        <v>33.855185659411013</v>
      </c>
      <c r="L1093" s="201">
        <f>IFERROR('Mail Merge'!$G1093/'Mail Merge'!$D1093,0)</f>
        <v>8316.281485275289</v>
      </c>
      <c r="M1093" s="201">
        <v>0</v>
      </c>
      <c r="N1093" s="201" t="s">
        <v>241</v>
      </c>
      <c r="O1093" s="201">
        <v>927932.85</v>
      </c>
      <c r="P1093" s="201">
        <v>11016.32</v>
      </c>
      <c r="Q1093" s="201">
        <f>'Mail Merge'!$O1093+'Mail Merge'!$P1093</f>
        <v>938949.16999999993</v>
      </c>
      <c r="R1093" s="201"/>
      <c r="S1093" s="201"/>
      <c r="T1093" s="201"/>
      <c r="U1093" s="201">
        <f>IF(AND('Mail Merge'!$I1093="Did Not Meet",'Mail Merge'!$N1093="Did Not Meet"),MIN(ABS('Mail Merge'!$H1093),ABS('Mail Merge'!$M1093),'Mail Merge'!$Q1093),0)</f>
        <v>0</v>
      </c>
      <c r="V1093" s="201" t="str">
        <f>IF(OR(IFERROR(SEARCH("Met",'Mail Merge'!$N1093),0)&gt;0,IFERROR(SEARCH("Met",'Mail Merge'!$I1093),0)&gt;0),"Met","Not Met")</f>
        <v>Met</v>
      </c>
    </row>
    <row r="1094" spans="1:22" x14ac:dyDescent="0.35">
      <c r="A1094" s="198" t="s">
        <v>129</v>
      </c>
      <c r="B1094" s="199">
        <v>2048</v>
      </c>
      <c r="C1094" s="199" t="s">
        <v>41</v>
      </c>
      <c r="D1094" s="199">
        <v>1709</v>
      </c>
      <c r="E1094" s="199">
        <v>12681415.560000001</v>
      </c>
      <c r="F1094" s="199">
        <v>1835221.64</v>
      </c>
      <c r="G1094" s="199">
        <f>'Mail Merge'!$E1094+'Mail Merge'!$F1094</f>
        <v>14516637.200000001</v>
      </c>
      <c r="H1094" s="199">
        <v>0</v>
      </c>
      <c r="I1094" s="199" t="s">
        <v>241</v>
      </c>
      <c r="J1094" s="199">
        <f>IFERROR('Mail Merge'!$E1094/'Mail Merge'!$D1094,0)</f>
        <v>7420.3718899941487</v>
      </c>
      <c r="K1094" s="199">
        <f>IFERROR('Mail Merge'!$F1094/'Mail Merge'!$D1094,0)</f>
        <v>1073.8570157987126</v>
      </c>
      <c r="L1094" s="199">
        <f>IFERROR('Mail Merge'!$G1094/'Mail Merge'!$D1094,0)</f>
        <v>8494.2289057928629</v>
      </c>
      <c r="M1094" s="199">
        <v>232802.53</v>
      </c>
      <c r="N1094" s="199" t="s">
        <v>240</v>
      </c>
      <c r="O1094" s="199">
        <v>2037572.8</v>
      </c>
      <c r="P1094" s="199">
        <v>21961.53</v>
      </c>
      <c r="Q1094" s="199">
        <f>'Mail Merge'!$O1094+'Mail Merge'!$P1094</f>
        <v>2059534.33</v>
      </c>
      <c r="R1094" s="199"/>
      <c r="S1094" s="199"/>
      <c r="T1094" s="199"/>
      <c r="U1094" s="199">
        <f>IF(AND('Mail Merge'!$I1094="Did Not Meet",'Mail Merge'!$N1094="Did Not Meet"),MIN(ABS('Mail Merge'!$H1094),ABS('Mail Merge'!$M1094),'Mail Merge'!$Q1094),0)</f>
        <v>0</v>
      </c>
      <c r="V1094" s="199" t="str">
        <f>IF(OR(IFERROR(SEARCH("Met",'Mail Merge'!$N1094),0)&gt;0,IFERROR(SEARCH("Met",'Mail Merge'!$I1094),0)&gt;0),"Met","Not Met")</f>
        <v>Met</v>
      </c>
    </row>
    <row r="1095" spans="1:22" x14ac:dyDescent="0.35">
      <c r="A1095" s="200" t="s">
        <v>130</v>
      </c>
      <c r="B1095" s="201">
        <v>2205</v>
      </c>
      <c r="C1095" s="201" t="s">
        <v>41</v>
      </c>
      <c r="D1095" s="201">
        <v>184</v>
      </c>
      <c r="E1095" s="201">
        <v>1470697.07</v>
      </c>
      <c r="F1095" s="201">
        <v>309729.33</v>
      </c>
      <c r="G1095" s="201">
        <f>'Mail Merge'!$E1095+'Mail Merge'!$F1095</f>
        <v>1780426.4000000001</v>
      </c>
      <c r="H1095" s="201">
        <v>0</v>
      </c>
      <c r="I1095" s="201" t="s">
        <v>241</v>
      </c>
      <c r="J1095" s="201">
        <f>IFERROR('Mail Merge'!$E1095/'Mail Merge'!$D1095,0)</f>
        <v>7992.9188586956525</v>
      </c>
      <c r="K1095" s="201">
        <f>IFERROR('Mail Merge'!$F1095/'Mail Merge'!$D1095,0)</f>
        <v>1683.3115760869566</v>
      </c>
      <c r="L1095" s="201">
        <f>IFERROR('Mail Merge'!$G1095/'Mail Merge'!$D1095,0)</f>
        <v>9676.2304347826102</v>
      </c>
      <c r="M1095" s="201">
        <v>0</v>
      </c>
      <c r="N1095" s="201" t="s">
        <v>241</v>
      </c>
      <c r="O1095" s="201">
        <v>296743.27</v>
      </c>
      <c r="P1095" s="201">
        <v>3332.1</v>
      </c>
      <c r="Q1095" s="201">
        <f>'Mail Merge'!$O1095+'Mail Merge'!$P1095</f>
        <v>300075.37</v>
      </c>
      <c r="R1095" s="201"/>
      <c r="S1095" s="201"/>
      <c r="T1095" s="201"/>
      <c r="U1095" s="201">
        <f>IF(AND('Mail Merge'!$I1095="Did Not Meet",'Mail Merge'!$N1095="Did Not Meet"),MIN(ABS('Mail Merge'!$H1095),ABS('Mail Merge'!$M1095),'Mail Merge'!$Q1095),0)</f>
        <v>0</v>
      </c>
      <c r="V1095" s="201" t="str">
        <f>IF(OR(IFERROR(SEARCH("Met",'Mail Merge'!$N1095),0)&gt;0,IFERROR(SEARCH("Met",'Mail Merge'!$I1095),0)&gt;0),"Met","Not Met")</f>
        <v>Met</v>
      </c>
    </row>
    <row r="1096" spans="1:22" x14ac:dyDescent="0.35">
      <c r="A1096" s="198" t="s">
        <v>131</v>
      </c>
      <c r="B1096" s="199">
        <v>2249</v>
      </c>
      <c r="C1096" s="199" t="s">
        <v>41</v>
      </c>
      <c r="D1096" s="199">
        <v>56</v>
      </c>
      <c r="E1096" s="199">
        <v>35934.85</v>
      </c>
      <c r="F1096" s="199">
        <v>44579</v>
      </c>
      <c r="G1096" s="199">
        <f>'Mail Merge'!$E1096+'Mail Merge'!$F1096</f>
        <v>80513.850000000006</v>
      </c>
      <c r="H1096" s="199">
        <v>0</v>
      </c>
      <c r="I1096" s="199" t="s">
        <v>241</v>
      </c>
      <c r="J1096" s="199">
        <f>IFERROR('Mail Merge'!$E1096/'Mail Merge'!$D1096,0)</f>
        <v>641.69375000000002</v>
      </c>
      <c r="K1096" s="199">
        <f>IFERROR('Mail Merge'!$F1096/'Mail Merge'!$D1096,0)</f>
        <v>796.05357142857144</v>
      </c>
      <c r="L1096" s="199">
        <f>IFERROR('Mail Merge'!$G1096/'Mail Merge'!$D1096,0)</f>
        <v>1437.7473214285715</v>
      </c>
      <c r="M1096" s="199">
        <v>542321.17000000004</v>
      </c>
      <c r="N1096" s="199" t="s">
        <v>240</v>
      </c>
      <c r="O1096" s="199">
        <v>13549.06</v>
      </c>
      <c r="P1096" s="199">
        <v>0</v>
      </c>
      <c r="Q1096" s="199">
        <f>'Mail Merge'!$O1096+'Mail Merge'!$P1096</f>
        <v>13549.06</v>
      </c>
      <c r="R1096" s="199"/>
      <c r="S1096" s="199"/>
      <c r="T1096" s="199"/>
      <c r="U1096" s="199">
        <f>IF(AND('Mail Merge'!$I1096="Did Not Meet",'Mail Merge'!$N1096="Did Not Meet"),MIN(ABS('Mail Merge'!$H1096),ABS('Mail Merge'!$M1096),'Mail Merge'!$Q1096),0)</f>
        <v>0</v>
      </c>
      <c r="V1096" s="199" t="str">
        <f>IF(OR(IFERROR(SEARCH("Met",'Mail Merge'!$N1096),0)&gt;0,IFERROR(SEARCH("Met",'Mail Merge'!$I1096),0)&gt;0),"Met","Not Met")</f>
        <v>Met</v>
      </c>
    </row>
    <row r="1097" spans="1:22" x14ac:dyDescent="0.35">
      <c r="A1097" s="200" t="s">
        <v>132</v>
      </c>
      <c r="B1097" s="201">
        <v>1925</v>
      </c>
      <c r="C1097" s="201" t="s">
        <v>41</v>
      </c>
      <c r="D1097" s="201">
        <v>430</v>
      </c>
      <c r="E1097" s="201">
        <v>3451820.06</v>
      </c>
      <c r="F1097" s="201">
        <v>404674</v>
      </c>
      <c r="G1097" s="201">
        <f>'Mail Merge'!$E1097+'Mail Merge'!$F1097</f>
        <v>3856494.06</v>
      </c>
      <c r="H1097" s="201">
        <v>0</v>
      </c>
      <c r="I1097" s="201" t="s">
        <v>242</v>
      </c>
      <c r="J1097" s="201">
        <f>IFERROR('Mail Merge'!$E1097/'Mail Merge'!$D1097,0)</f>
        <v>8027.4885116279074</v>
      </c>
      <c r="K1097" s="201">
        <f>IFERROR('Mail Merge'!$F1097/'Mail Merge'!$D1097,0)</f>
        <v>941.10232558139535</v>
      </c>
      <c r="L1097" s="201">
        <f>IFERROR('Mail Merge'!$G1097/'Mail Merge'!$D1097,0)</f>
        <v>8968.5908372093018</v>
      </c>
      <c r="M1097" s="201">
        <v>71343.88</v>
      </c>
      <c r="N1097" s="201" t="s">
        <v>240</v>
      </c>
      <c r="O1097" s="201">
        <v>429942.03</v>
      </c>
      <c r="P1097" s="201">
        <v>2922.7</v>
      </c>
      <c r="Q1097" s="201">
        <f>'Mail Merge'!$O1097+'Mail Merge'!$P1097</f>
        <v>432864.73000000004</v>
      </c>
      <c r="R1097" s="201"/>
      <c r="S1097" s="201">
        <v>33762</v>
      </c>
      <c r="T1097" s="201"/>
      <c r="U1097" s="201">
        <f>IF(AND('Mail Merge'!$I1097="Did Not Meet",'Mail Merge'!$N1097="Did Not Meet"),MIN(ABS('Mail Merge'!$H1097),ABS('Mail Merge'!$M1097),'Mail Merge'!$Q1097),0)</f>
        <v>0</v>
      </c>
      <c r="V1097" s="201" t="str">
        <f>IF(OR(IFERROR(SEARCH("Met",'Mail Merge'!$N1097),0)&gt;0,IFERROR(SEARCH("Met",'Mail Merge'!$I1097),0)&gt;0),"Met","Not Met")</f>
        <v>Met</v>
      </c>
    </row>
    <row r="1098" spans="1:22" x14ac:dyDescent="0.35">
      <c r="A1098" s="198" t="s">
        <v>133</v>
      </c>
      <c r="B1098" s="199">
        <v>1898</v>
      </c>
      <c r="C1098" s="199" t="s">
        <v>41</v>
      </c>
      <c r="D1098" s="199">
        <v>66</v>
      </c>
      <c r="E1098" s="199">
        <v>634284.85</v>
      </c>
      <c r="F1098" s="199">
        <v>59049</v>
      </c>
      <c r="G1098" s="199">
        <f>'Mail Merge'!$E1098+'Mail Merge'!$F1098</f>
        <v>693333.85</v>
      </c>
      <c r="H1098" s="199">
        <v>0</v>
      </c>
      <c r="I1098" s="199" t="s">
        <v>241</v>
      </c>
      <c r="J1098" s="199">
        <f>IFERROR('Mail Merge'!$E1098/'Mail Merge'!$D1098,0)</f>
        <v>9610.3765151515145</v>
      </c>
      <c r="K1098" s="199">
        <f>IFERROR('Mail Merge'!$F1098/'Mail Merge'!$D1098,0)</f>
        <v>894.68181818181813</v>
      </c>
      <c r="L1098" s="199">
        <f>IFERROR('Mail Merge'!$G1098/'Mail Merge'!$D1098,0)</f>
        <v>10505.058333333332</v>
      </c>
      <c r="M1098" s="199">
        <v>0</v>
      </c>
      <c r="N1098" s="199" t="s">
        <v>241</v>
      </c>
      <c r="O1098" s="199">
        <v>78098.34</v>
      </c>
      <c r="P1098" s="199">
        <v>550.82000000000005</v>
      </c>
      <c r="Q1098" s="199">
        <f>'Mail Merge'!$O1098+'Mail Merge'!$P1098</f>
        <v>78649.16</v>
      </c>
      <c r="R1098" s="199"/>
      <c r="S1098" s="199"/>
      <c r="T1098" s="199"/>
      <c r="U1098" s="199">
        <f>IF(AND('Mail Merge'!$I1098="Did Not Meet",'Mail Merge'!$N1098="Did Not Meet"),MIN(ABS('Mail Merge'!$H1098),ABS('Mail Merge'!$M1098),'Mail Merge'!$Q1098),0)</f>
        <v>0</v>
      </c>
      <c r="V1098" s="199" t="str">
        <f>IF(OR(IFERROR(SEARCH("Met",'Mail Merge'!$N1098),0)&gt;0,IFERROR(SEARCH("Met",'Mail Merge'!$I1098),0)&gt;0),"Met","Not Met")</f>
        <v>Met</v>
      </c>
    </row>
    <row r="1099" spans="1:22" x14ac:dyDescent="0.35">
      <c r="A1099" s="200" t="s">
        <v>134</v>
      </c>
      <c r="B1099" s="201">
        <v>2010</v>
      </c>
      <c r="C1099" s="201" t="s">
        <v>41</v>
      </c>
      <c r="D1099" s="201">
        <v>8</v>
      </c>
      <c r="E1099" s="201">
        <v>0</v>
      </c>
      <c r="F1099" s="201">
        <v>88998.22</v>
      </c>
      <c r="G1099" s="201">
        <f>'Mail Merge'!$E1099+'Mail Merge'!$F1099</f>
        <v>88998.22</v>
      </c>
      <c r="H1099" s="201">
        <v>0</v>
      </c>
      <c r="I1099" s="201" t="s">
        <v>242</v>
      </c>
      <c r="J1099" s="201">
        <f>IFERROR('Mail Merge'!$E1099/'Mail Merge'!$D1099,0)</f>
        <v>0</v>
      </c>
      <c r="K1099" s="201">
        <f>IFERROR('Mail Merge'!$F1099/'Mail Merge'!$D1099,0)</f>
        <v>11124.7775</v>
      </c>
      <c r="L1099" s="201">
        <f>IFERROR('Mail Merge'!$G1099/'Mail Merge'!$D1099,0)</f>
        <v>11124.7775</v>
      </c>
      <c r="M1099" s="201">
        <v>0</v>
      </c>
      <c r="N1099" s="201" t="s">
        <v>241</v>
      </c>
      <c r="O1099" s="201">
        <v>10722.01</v>
      </c>
      <c r="P1099" s="201">
        <v>0</v>
      </c>
      <c r="Q1099" s="201">
        <f>'Mail Merge'!$O1099+'Mail Merge'!$P1099</f>
        <v>10722.01</v>
      </c>
      <c r="R1099" s="201"/>
      <c r="S1099" s="201">
        <v>18219</v>
      </c>
      <c r="T1099" s="201">
        <v>18219</v>
      </c>
      <c r="U1099" s="201">
        <f>IF(AND('Mail Merge'!$I1099="Did Not Meet",'Mail Merge'!$N1099="Did Not Meet"),MIN(ABS('Mail Merge'!$H1099),ABS('Mail Merge'!$M1099),'Mail Merge'!$Q1099),0)</f>
        <v>0</v>
      </c>
      <c r="V1099" s="201" t="str">
        <f>IF(OR(IFERROR(SEARCH("Met",'Mail Merge'!$N1099),0)&gt;0,IFERROR(SEARCH("Met",'Mail Merge'!$I1099),0)&gt;0),"Met","Not Met")</f>
        <v>Met</v>
      </c>
    </row>
    <row r="1100" spans="1:22" x14ac:dyDescent="0.35">
      <c r="A1100" s="198" t="s">
        <v>135</v>
      </c>
      <c r="B1100" s="199">
        <v>2147</v>
      </c>
      <c r="C1100" s="199" t="s">
        <v>41</v>
      </c>
      <c r="D1100" s="199">
        <v>268</v>
      </c>
      <c r="E1100" s="199">
        <v>1608470.43</v>
      </c>
      <c r="F1100" s="199">
        <v>451106.22</v>
      </c>
      <c r="G1100" s="199">
        <f>'Mail Merge'!$E1100+'Mail Merge'!$F1100</f>
        <v>2059576.65</v>
      </c>
      <c r="H1100" s="199">
        <v>0</v>
      </c>
      <c r="I1100" s="199" t="s">
        <v>241</v>
      </c>
      <c r="J1100" s="199">
        <f>IFERROR('Mail Merge'!$E1100/'Mail Merge'!$D1100,0)</f>
        <v>6001.7553358208952</v>
      </c>
      <c r="K1100" s="199">
        <f>IFERROR('Mail Merge'!$F1100/'Mail Merge'!$D1100,0)</f>
        <v>1683.2321641791043</v>
      </c>
      <c r="L1100" s="199">
        <f>IFERROR('Mail Merge'!$G1100/'Mail Merge'!$D1100,0)</f>
        <v>7684.9874999999993</v>
      </c>
      <c r="M1100" s="199">
        <v>0</v>
      </c>
      <c r="N1100" s="199" t="s">
        <v>241</v>
      </c>
      <c r="O1100" s="199">
        <v>316488.03000000003</v>
      </c>
      <c r="P1100" s="199">
        <v>1501.1</v>
      </c>
      <c r="Q1100" s="199">
        <f>'Mail Merge'!$O1100+'Mail Merge'!$P1100</f>
        <v>317989.13</v>
      </c>
      <c r="R1100" s="199"/>
      <c r="S1100" s="199"/>
      <c r="T1100" s="199"/>
      <c r="U1100" s="199">
        <f>IF(AND('Mail Merge'!$I1100="Did Not Meet",'Mail Merge'!$N1100="Did Not Meet"),MIN(ABS('Mail Merge'!$H1100),ABS('Mail Merge'!$M1100),'Mail Merge'!$Q1100),0)</f>
        <v>0</v>
      </c>
      <c r="V1100" s="199" t="str">
        <f>IF(OR(IFERROR(SEARCH("Met",'Mail Merge'!$N1100),0)&gt;0,IFERROR(SEARCH("Met",'Mail Merge'!$I1100),0)&gt;0),"Met","Not Met")</f>
        <v>Met</v>
      </c>
    </row>
    <row r="1101" spans="1:22" x14ac:dyDescent="0.35">
      <c r="A1101" s="200" t="s">
        <v>136</v>
      </c>
      <c r="B1101" s="201">
        <v>2145</v>
      </c>
      <c r="C1101" s="201" t="s">
        <v>41</v>
      </c>
      <c r="D1101" s="201">
        <v>71</v>
      </c>
      <c r="E1101" s="201">
        <v>431808.95</v>
      </c>
      <c r="F1101" s="201">
        <v>80433.91</v>
      </c>
      <c r="G1101" s="201">
        <f>'Mail Merge'!$E1101+'Mail Merge'!$F1101</f>
        <v>512242.86</v>
      </c>
      <c r="H1101" s="201">
        <v>0</v>
      </c>
      <c r="I1101" s="201" t="s">
        <v>241</v>
      </c>
      <c r="J1101" s="201">
        <f>IFERROR('Mail Merge'!$E1101/'Mail Merge'!$D1101,0)</f>
        <v>6081.8161971830987</v>
      </c>
      <c r="K1101" s="201">
        <f>IFERROR('Mail Merge'!$F1101/'Mail Merge'!$D1101,0)</f>
        <v>1132.871971830986</v>
      </c>
      <c r="L1101" s="201">
        <f>IFERROR('Mail Merge'!$G1101/'Mail Merge'!$D1101,0)</f>
        <v>7214.6881690140845</v>
      </c>
      <c r="M1101" s="201">
        <v>30581.23</v>
      </c>
      <c r="N1101" s="201" t="s">
        <v>240</v>
      </c>
      <c r="O1101" s="201">
        <v>114073.01</v>
      </c>
      <c r="P1101" s="201">
        <v>803.27</v>
      </c>
      <c r="Q1101" s="201">
        <f>'Mail Merge'!$O1101+'Mail Merge'!$P1101</f>
        <v>114876.28</v>
      </c>
      <c r="R1101" s="201"/>
      <c r="S1101" s="201"/>
      <c r="T1101" s="201"/>
      <c r="U1101" s="201">
        <f>IF(AND('Mail Merge'!$I1101="Did Not Meet",'Mail Merge'!$N1101="Did Not Meet"),MIN(ABS('Mail Merge'!$H1101),ABS('Mail Merge'!$M1101),'Mail Merge'!$Q1101),0)</f>
        <v>0</v>
      </c>
      <c r="V1101" s="201" t="str">
        <f>IF(OR(IFERROR(SEARCH("Met",'Mail Merge'!$N1101),0)&gt;0,IFERROR(SEARCH("Met",'Mail Merge'!$I1101),0)&gt;0),"Met","Not Met")</f>
        <v>Met</v>
      </c>
    </row>
    <row r="1102" spans="1:22" x14ac:dyDescent="0.35">
      <c r="A1102" s="198" t="s">
        <v>137</v>
      </c>
      <c r="B1102" s="199">
        <v>1968</v>
      </c>
      <c r="C1102" s="199" t="s">
        <v>41</v>
      </c>
      <c r="D1102" s="199">
        <v>79</v>
      </c>
      <c r="E1102" s="199">
        <v>703918.02</v>
      </c>
      <c r="F1102" s="199">
        <v>76854</v>
      </c>
      <c r="G1102" s="199">
        <f>'Mail Merge'!$E1102+'Mail Merge'!$F1102</f>
        <v>780772.02</v>
      </c>
      <c r="H1102" s="199">
        <v>0</v>
      </c>
      <c r="I1102" s="199" t="s">
        <v>242</v>
      </c>
      <c r="J1102" s="199">
        <f>IFERROR('Mail Merge'!$E1102/'Mail Merge'!$D1102,0)</f>
        <v>8910.3546835443049</v>
      </c>
      <c r="K1102" s="199">
        <f>IFERROR('Mail Merge'!$F1102/'Mail Merge'!$D1102,0)</f>
        <v>972.83544303797464</v>
      </c>
      <c r="L1102" s="199">
        <f>IFERROR('Mail Merge'!$G1102/'Mail Merge'!$D1102,0)</f>
        <v>9883.190126582278</v>
      </c>
      <c r="M1102" s="199">
        <v>11448.81</v>
      </c>
      <c r="N1102" s="199" t="s">
        <v>240</v>
      </c>
      <c r="O1102" s="199">
        <v>130803.45</v>
      </c>
      <c r="P1102" s="199">
        <v>367.21</v>
      </c>
      <c r="Q1102" s="199">
        <f>'Mail Merge'!$O1102+'Mail Merge'!$P1102</f>
        <v>131170.66</v>
      </c>
      <c r="R1102" s="199"/>
      <c r="S1102" s="199">
        <v>41966</v>
      </c>
      <c r="T1102" s="199"/>
      <c r="U1102" s="199">
        <f>IF(AND('Mail Merge'!$I1102="Did Not Meet",'Mail Merge'!$N1102="Did Not Meet"),MIN(ABS('Mail Merge'!$H1102),ABS('Mail Merge'!$M1102),'Mail Merge'!$Q1102),0)</f>
        <v>0</v>
      </c>
      <c r="V1102" s="199" t="str">
        <f>IF(OR(IFERROR(SEARCH("Met",'Mail Merge'!$N1102),0)&gt;0,IFERROR(SEARCH("Met",'Mail Merge'!$I1102),0)&gt;0),"Met","Not Met")</f>
        <v>Met</v>
      </c>
    </row>
    <row r="1103" spans="1:22" x14ac:dyDescent="0.35">
      <c r="A1103" s="200" t="s">
        <v>138</v>
      </c>
      <c r="B1103" s="201">
        <v>2198</v>
      </c>
      <c r="C1103" s="201" t="s">
        <v>41</v>
      </c>
      <c r="D1103" s="201">
        <v>100</v>
      </c>
      <c r="E1103" s="201">
        <v>1308772.67</v>
      </c>
      <c r="F1103" s="201">
        <v>222515</v>
      </c>
      <c r="G1103" s="201">
        <f>'Mail Merge'!$E1103+'Mail Merge'!$F1103</f>
        <v>1531287.67</v>
      </c>
      <c r="H1103" s="201">
        <v>0</v>
      </c>
      <c r="I1103" s="201" t="s">
        <v>241</v>
      </c>
      <c r="J1103" s="201">
        <f>IFERROR('Mail Merge'!$E1103/'Mail Merge'!$D1103,0)</f>
        <v>13087.726699999999</v>
      </c>
      <c r="K1103" s="201">
        <f>IFERROR('Mail Merge'!$F1103/'Mail Merge'!$D1103,0)</f>
        <v>2225.15</v>
      </c>
      <c r="L1103" s="201">
        <f>IFERROR('Mail Merge'!$G1103/'Mail Merge'!$D1103,0)</f>
        <v>15312.876699999999</v>
      </c>
      <c r="M1103" s="201">
        <v>129976.94</v>
      </c>
      <c r="N1103" s="201" t="s">
        <v>240</v>
      </c>
      <c r="O1103" s="201">
        <v>103217.62</v>
      </c>
      <c r="P1103" s="201">
        <v>1573.76</v>
      </c>
      <c r="Q1103" s="201">
        <f>'Mail Merge'!$O1103+'Mail Merge'!$P1103</f>
        <v>104791.37999999999</v>
      </c>
      <c r="R1103" s="201"/>
      <c r="S1103" s="201"/>
      <c r="T1103" s="201"/>
      <c r="U1103" s="201">
        <f>IF(AND('Mail Merge'!$I1103="Did Not Meet",'Mail Merge'!$N1103="Did Not Meet"),MIN(ABS('Mail Merge'!$H1103),ABS('Mail Merge'!$M1103),'Mail Merge'!$Q1103),0)</f>
        <v>0</v>
      </c>
      <c r="V1103" s="201" t="str">
        <f>IF(OR(IFERROR(SEARCH("Met",'Mail Merge'!$N1103),0)&gt;0,IFERROR(SEARCH("Met",'Mail Merge'!$I1103),0)&gt;0),"Met","Not Met")</f>
        <v>Met</v>
      </c>
    </row>
    <row r="1104" spans="1:22" x14ac:dyDescent="0.35">
      <c r="A1104" s="198" t="s">
        <v>139</v>
      </c>
      <c r="B1104" s="199">
        <v>2199</v>
      </c>
      <c r="C1104" s="199" t="s">
        <v>41</v>
      </c>
      <c r="D1104" s="199">
        <v>92</v>
      </c>
      <c r="E1104" s="199">
        <v>898407.99</v>
      </c>
      <c r="F1104" s="199">
        <v>117764</v>
      </c>
      <c r="G1104" s="199">
        <f>'Mail Merge'!$E1104+'Mail Merge'!$F1104</f>
        <v>1016171.99</v>
      </c>
      <c r="H1104" s="199">
        <v>0</v>
      </c>
      <c r="I1104" s="199" t="s">
        <v>241</v>
      </c>
      <c r="J1104" s="199">
        <f>IFERROR('Mail Merge'!$E1104/'Mail Merge'!$D1104,0)</f>
        <v>9765.3042391304352</v>
      </c>
      <c r="K1104" s="199">
        <f>IFERROR('Mail Merge'!$F1104/'Mail Merge'!$D1104,0)</f>
        <v>1280.0434782608695</v>
      </c>
      <c r="L1104" s="199">
        <f>IFERROR('Mail Merge'!$G1104/'Mail Merge'!$D1104,0)</f>
        <v>11045.347717391303</v>
      </c>
      <c r="M1104" s="199">
        <v>23467.1</v>
      </c>
      <c r="N1104" s="199" t="s">
        <v>240</v>
      </c>
      <c r="O1104" s="199">
        <v>95181.85</v>
      </c>
      <c r="P1104" s="199">
        <v>1049.17</v>
      </c>
      <c r="Q1104" s="199">
        <f>'Mail Merge'!$O1104+'Mail Merge'!$P1104</f>
        <v>96231.02</v>
      </c>
      <c r="R1104" s="199"/>
      <c r="S1104" s="199"/>
      <c r="T1104" s="199"/>
      <c r="U1104" s="199">
        <f>IF(AND('Mail Merge'!$I1104="Did Not Meet",'Mail Merge'!$N1104="Did Not Meet"),MIN(ABS('Mail Merge'!$H1104),ABS('Mail Merge'!$M1104),'Mail Merge'!$Q1104),0)</f>
        <v>0</v>
      </c>
      <c r="V1104" s="199" t="str">
        <f>IF(OR(IFERROR(SEARCH("Met",'Mail Merge'!$N1104),0)&gt;0,IFERROR(SEARCH("Met",'Mail Merge'!$I1104),0)&gt;0),"Met","Not Met")</f>
        <v>Met</v>
      </c>
    </row>
    <row r="1105" spans="1:22" x14ac:dyDescent="0.35">
      <c r="A1105" s="200" t="s">
        <v>140</v>
      </c>
      <c r="B1105" s="201">
        <v>2254</v>
      </c>
      <c r="C1105" s="201" t="s">
        <v>41</v>
      </c>
      <c r="D1105" s="201">
        <v>660</v>
      </c>
      <c r="E1105" s="201">
        <v>6052048.6600000001</v>
      </c>
      <c r="F1105" s="201">
        <v>0</v>
      </c>
      <c r="G1105" s="201">
        <f>'Mail Merge'!$E1105+'Mail Merge'!$F1105</f>
        <v>6052048.6600000001</v>
      </c>
      <c r="H1105" s="201">
        <v>0</v>
      </c>
      <c r="I1105" s="201" t="s">
        <v>241</v>
      </c>
      <c r="J1105" s="201">
        <f>IFERROR('Mail Merge'!$E1105/'Mail Merge'!$D1105,0)</f>
        <v>9169.7706969696974</v>
      </c>
      <c r="K1105" s="201">
        <f>IFERROR('Mail Merge'!$F1105/'Mail Merge'!$D1105,0)</f>
        <v>0</v>
      </c>
      <c r="L1105" s="201">
        <f>IFERROR('Mail Merge'!$G1105/'Mail Merge'!$D1105,0)</f>
        <v>9169.7706969696974</v>
      </c>
      <c r="M1105" s="201">
        <v>80827.94</v>
      </c>
      <c r="N1105" s="201" t="s">
        <v>240</v>
      </c>
      <c r="O1105" s="201">
        <v>727091.74</v>
      </c>
      <c r="P1105" s="201">
        <v>4590.13</v>
      </c>
      <c r="Q1105" s="201">
        <f>'Mail Merge'!$O1105+'Mail Merge'!$P1105</f>
        <v>731681.87</v>
      </c>
      <c r="R1105" s="201"/>
      <c r="S1105" s="201"/>
      <c r="T1105" s="201"/>
      <c r="U1105" s="201">
        <f>IF(AND('Mail Merge'!$I1105="Did Not Meet",'Mail Merge'!$N1105="Did Not Meet"),MIN(ABS('Mail Merge'!$H1105),ABS('Mail Merge'!$M1105),'Mail Merge'!$Q1105),0)</f>
        <v>0</v>
      </c>
      <c r="V1105" s="201" t="str">
        <f>IF(OR(IFERROR(SEARCH("Met",'Mail Merge'!$N1105),0)&gt;0,IFERROR(SEARCH("Met",'Mail Merge'!$I1105),0)&gt;0),"Met","Not Met")</f>
        <v>Met</v>
      </c>
    </row>
    <row r="1106" spans="1:22" x14ac:dyDescent="0.35">
      <c r="A1106" s="198" t="s">
        <v>141</v>
      </c>
      <c r="B1106" s="199">
        <v>1966</v>
      </c>
      <c r="C1106" s="199" t="s">
        <v>41</v>
      </c>
      <c r="D1106" s="199">
        <v>565</v>
      </c>
      <c r="E1106" s="199">
        <v>3648976.24</v>
      </c>
      <c r="F1106" s="199">
        <v>940706</v>
      </c>
      <c r="G1106" s="199">
        <f>'Mail Merge'!$E1106+'Mail Merge'!$F1106</f>
        <v>4589682.24</v>
      </c>
      <c r="H1106" s="199">
        <v>0</v>
      </c>
      <c r="I1106" s="199" t="s">
        <v>241</v>
      </c>
      <c r="J1106" s="199">
        <f>IFERROR('Mail Merge'!$E1106/'Mail Merge'!$D1106,0)</f>
        <v>6458.3650265486731</v>
      </c>
      <c r="K1106" s="199">
        <f>IFERROR('Mail Merge'!$F1106/'Mail Merge'!$D1106,0)</f>
        <v>1664.9663716814159</v>
      </c>
      <c r="L1106" s="199">
        <f>IFERROR('Mail Merge'!$G1106/'Mail Merge'!$D1106,0)</f>
        <v>8123.3313982300888</v>
      </c>
      <c r="M1106" s="199">
        <v>1371669.26</v>
      </c>
      <c r="N1106" s="199" t="s">
        <v>240</v>
      </c>
      <c r="O1106" s="199">
        <v>545258.80000000005</v>
      </c>
      <c r="P1106" s="199">
        <v>4896.1400000000003</v>
      </c>
      <c r="Q1106" s="199">
        <f>'Mail Merge'!$O1106+'Mail Merge'!$P1106</f>
        <v>550154.94000000006</v>
      </c>
      <c r="R1106" s="199"/>
      <c r="S1106" s="199"/>
      <c r="T1106" s="199"/>
      <c r="U1106" s="199">
        <f>IF(AND('Mail Merge'!$I1106="Did Not Meet",'Mail Merge'!$N1106="Did Not Meet"),MIN(ABS('Mail Merge'!$H1106),ABS('Mail Merge'!$M1106),'Mail Merge'!$Q1106),0)</f>
        <v>0</v>
      </c>
      <c r="V1106" s="199" t="str">
        <f>IF(OR(IFERROR(SEARCH("Met",'Mail Merge'!$N1106),0)&gt;0,IFERROR(SEARCH("Met",'Mail Merge'!$I1106),0)&gt;0),"Met","Not Met")</f>
        <v>Met</v>
      </c>
    </row>
    <row r="1107" spans="1:22" x14ac:dyDescent="0.35">
      <c r="A1107" s="200" t="s">
        <v>142</v>
      </c>
      <c r="B1107" s="201">
        <v>1924</v>
      </c>
      <c r="C1107" s="201" t="s">
        <v>41</v>
      </c>
      <c r="D1107" s="201">
        <v>2609</v>
      </c>
      <c r="E1107" s="201">
        <v>19490333.5</v>
      </c>
      <c r="F1107" s="201">
        <v>2373634</v>
      </c>
      <c r="G1107" s="201">
        <f>'Mail Merge'!$E1107+'Mail Merge'!$F1107</f>
        <v>21863967.5</v>
      </c>
      <c r="H1107" s="201">
        <v>0</v>
      </c>
      <c r="I1107" s="201" t="s">
        <v>241</v>
      </c>
      <c r="J1107" s="201">
        <f>IFERROR('Mail Merge'!$E1107/'Mail Merge'!$D1107,0)</f>
        <v>7470.4229589881179</v>
      </c>
      <c r="K1107" s="201">
        <f>IFERROR('Mail Merge'!$F1107/'Mail Merge'!$D1107,0)</f>
        <v>909.78689152932157</v>
      </c>
      <c r="L1107" s="201">
        <f>IFERROR('Mail Merge'!$G1107/'Mail Merge'!$D1107,0)</f>
        <v>8380.2098505174399</v>
      </c>
      <c r="M1107" s="201">
        <v>0</v>
      </c>
      <c r="N1107" s="201" t="s">
        <v>241</v>
      </c>
      <c r="O1107" s="201">
        <v>2504636.2400000002</v>
      </c>
      <c r="P1107" s="201">
        <v>18058.439999999999</v>
      </c>
      <c r="Q1107" s="201">
        <f>'Mail Merge'!$O1107+'Mail Merge'!$P1107</f>
        <v>2522694.6800000002</v>
      </c>
      <c r="R1107" s="201"/>
      <c r="S1107" s="201"/>
      <c r="T1107" s="201"/>
      <c r="U1107" s="201">
        <f>IF(AND('Mail Merge'!$I1107="Did Not Meet",'Mail Merge'!$N1107="Did Not Meet"),MIN(ABS('Mail Merge'!$H1107),ABS('Mail Merge'!$M1107),'Mail Merge'!$Q1107),0)</f>
        <v>0</v>
      </c>
      <c r="V1107" s="201" t="str">
        <f>IF(OR(IFERROR(SEARCH("Met",'Mail Merge'!$N1107),0)&gt;0,IFERROR(SEARCH("Met",'Mail Merge'!$I1107),0)&gt;0),"Met","Not Met")</f>
        <v>Met</v>
      </c>
    </row>
    <row r="1108" spans="1:22" x14ac:dyDescent="0.35">
      <c r="A1108" s="198" t="s">
        <v>143</v>
      </c>
      <c r="B1108" s="199">
        <v>1996</v>
      </c>
      <c r="C1108" s="199" t="s">
        <v>41</v>
      </c>
      <c r="D1108" s="199">
        <v>30</v>
      </c>
      <c r="E1108" s="199">
        <v>294750.52</v>
      </c>
      <c r="F1108" s="199">
        <v>48094.6</v>
      </c>
      <c r="G1108" s="199">
        <f>'Mail Merge'!$E1108+'Mail Merge'!$F1108</f>
        <v>342845.12</v>
      </c>
      <c r="H1108" s="199">
        <v>0</v>
      </c>
      <c r="I1108" s="199" t="s">
        <v>242</v>
      </c>
      <c r="J1108" s="199">
        <f>IFERROR('Mail Merge'!$E1108/'Mail Merge'!$D1108,0)</f>
        <v>9825.0173333333332</v>
      </c>
      <c r="K1108" s="199">
        <f>IFERROR('Mail Merge'!$F1108/'Mail Merge'!$D1108,0)</f>
        <v>1603.1533333333332</v>
      </c>
      <c r="L1108" s="199">
        <f>IFERROR('Mail Merge'!$G1108/'Mail Merge'!$D1108,0)</f>
        <v>11428.170666666667</v>
      </c>
      <c r="M1108" s="199">
        <v>0</v>
      </c>
      <c r="N1108" s="199" t="s">
        <v>241</v>
      </c>
      <c r="O1108" s="199">
        <v>56509.22</v>
      </c>
      <c r="P1108" s="199">
        <v>0</v>
      </c>
      <c r="Q1108" s="199">
        <f>'Mail Merge'!$O1108+'Mail Merge'!$P1108</f>
        <v>56509.22</v>
      </c>
      <c r="R1108" s="199"/>
      <c r="S1108" s="199">
        <v>75808.84</v>
      </c>
      <c r="T1108" s="199">
        <v>75808.84</v>
      </c>
      <c r="U1108" s="199">
        <f>IF(AND('Mail Merge'!$I1108="Did Not Meet",'Mail Merge'!$N1108="Did Not Meet"),MIN(ABS('Mail Merge'!$H1108),ABS('Mail Merge'!$M1108),'Mail Merge'!$Q1108),0)</f>
        <v>0</v>
      </c>
      <c r="V1108" s="199" t="str">
        <f>IF(OR(IFERROR(SEARCH("Met",'Mail Merge'!$N1108),0)&gt;0,IFERROR(SEARCH("Met",'Mail Merge'!$I1108),0)&gt;0),"Met","Not Met")</f>
        <v>Met</v>
      </c>
    </row>
    <row r="1109" spans="1:22" x14ac:dyDescent="0.35">
      <c r="A1109" s="200" t="s">
        <v>144</v>
      </c>
      <c r="B1109" s="201">
        <v>2061</v>
      </c>
      <c r="C1109" s="201" t="s">
        <v>41</v>
      </c>
      <c r="D1109" s="201">
        <v>47</v>
      </c>
      <c r="E1109" s="201">
        <v>195621.48</v>
      </c>
      <c r="F1109" s="201">
        <v>86813.31</v>
      </c>
      <c r="G1109" s="201">
        <f>'Mail Merge'!$E1109+'Mail Merge'!$F1109</f>
        <v>282434.79000000004</v>
      </c>
      <c r="H1109" s="201">
        <v>0</v>
      </c>
      <c r="I1109" s="201" t="s">
        <v>241</v>
      </c>
      <c r="J1109" s="201">
        <f>IFERROR('Mail Merge'!$E1109/'Mail Merge'!$D1109,0)</f>
        <v>4162.1591489361708</v>
      </c>
      <c r="K1109" s="201">
        <f>IFERROR('Mail Merge'!$F1109/'Mail Merge'!$D1109,0)</f>
        <v>1847.0917021276596</v>
      </c>
      <c r="L1109" s="201">
        <f>IFERROR('Mail Merge'!$G1109/'Mail Merge'!$D1109,0)</f>
        <v>6009.2508510638309</v>
      </c>
      <c r="M1109" s="201">
        <v>29952.36</v>
      </c>
      <c r="N1109" s="201" t="s">
        <v>240</v>
      </c>
      <c r="O1109" s="201">
        <v>42607.24</v>
      </c>
      <c r="P1109" s="201">
        <v>918.03</v>
      </c>
      <c r="Q1109" s="201">
        <f>'Mail Merge'!$O1109+'Mail Merge'!$P1109</f>
        <v>43525.27</v>
      </c>
      <c r="R1109" s="201"/>
      <c r="S1109" s="201"/>
      <c r="T1109" s="201"/>
      <c r="U1109" s="201">
        <f>IF(AND('Mail Merge'!$I1109="Did Not Meet",'Mail Merge'!$N1109="Did Not Meet"),MIN(ABS('Mail Merge'!$H1109),ABS('Mail Merge'!$M1109),'Mail Merge'!$Q1109),0)</f>
        <v>0</v>
      </c>
      <c r="V1109" s="201" t="str">
        <f>IF(OR(IFERROR(SEARCH("Met",'Mail Merge'!$N1109),0)&gt;0,IFERROR(SEARCH("Met",'Mail Merge'!$I1109),0)&gt;0),"Met","Not Met")</f>
        <v>Met</v>
      </c>
    </row>
    <row r="1110" spans="1:22" x14ac:dyDescent="0.35">
      <c r="A1110" s="198" t="s">
        <v>145</v>
      </c>
      <c r="B1110" s="199">
        <v>2141</v>
      </c>
      <c r="C1110" s="199" t="s">
        <v>41</v>
      </c>
      <c r="D1110" s="199">
        <v>296</v>
      </c>
      <c r="E1110" s="199">
        <v>2358496.81</v>
      </c>
      <c r="F1110" s="199">
        <v>343860.47999999998</v>
      </c>
      <c r="G1110" s="199">
        <f>'Mail Merge'!$E1110+'Mail Merge'!$F1110</f>
        <v>2702357.29</v>
      </c>
      <c r="H1110" s="199">
        <v>0</v>
      </c>
      <c r="I1110" s="199" t="s">
        <v>241</v>
      </c>
      <c r="J1110" s="199">
        <f>IFERROR('Mail Merge'!$E1110/'Mail Merge'!$D1110,0)</f>
        <v>7967.8946283783789</v>
      </c>
      <c r="K1110" s="199">
        <f>IFERROR('Mail Merge'!$F1110/'Mail Merge'!$D1110,0)</f>
        <v>1161.6908108108107</v>
      </c>
      <c r="L1110" s="199">
        <f>IFERROR('Mail Merge'!$G1110/'Mail Merge'!$D1110,0)</f>
        <v>9129.5854391891899</v>
      </c>
      <c r="M1110" s="199">
        <v>70254.86</v>
      </c>
      <c r="N1110" s="199" t="s">
        <v>240</v>
      </c>
      <c r="O1110" s="199">
        <v>260281.91</v>
      </c>
      <c r="P1110" s="199">
        <v>1596.57</v>
      </c>
      <c r="Q1110" s="199">
        <f>'Mail Merge'!$O1110+'Mail Merge'!$P1110</f>
        <v>261878.48</v>
      </c>
      <c r="R1110" s="199"/>
      <c r="S1110" s="199"/>
      <c r="T1110" s="199"/>
      <c r="U1110" s="199">
        <f>IF(AND('Mail Merge'!$I1110="Did Not Meet",'Mail Merge'!$N1110="Did Not Meet"),MIN(ABS('Mail Merge'!$H1110),ABS('Mail Merge'!$M1110),'Mail Merge'!$Q1110),0)</f>
        <v>0</v>
      </c>
      <c r="V1110" s="199" t="str">
        <f>IF(OR(IFERROR(SEARCH("Met",'Mail Merge'!$N1110),0)&gt;0,IFERROR(SEARCH("Met",'Mail Merge'!$I1110),0)&gt;0),"Met","Not Met")</f>
        <v>Met</v>
      </c>
    </row>
    <row r="1111" spans="1:22" x14ac:dyDescent="0.35">
      <c r="A1111" s="200" t="s">
        <v>146</v>
      </c>
      <c r="B1111" s="201">
        <v>2214</v>
      </c>
      <c r="C1111" s="201" t="s">
        <v>41</v>
      </c>
      <c r="D1111" s="201">
        <v>43</v>
      </c>
      <c r="E1111" s="201">
        <v>180103.98</v>
      </c>
      <c r="F1111" s="201">
        <v>52378.29</v>
      </c>
      <c r="G1111" s="201">
        <f>'Mail Merge'!$E1111+'Mail Merge'!$F1111</f>
        <v>232482.27000000002</v>
      </c>
      <c r="H1111" s="201">
        <v>0</v>
      </c>
      <c r="I1111" s="201" t="s">
        <v>241</v>
      </c>
      <c r="J1111" s="201">
        <f>IFERROR('Mail Merge'!$E1111/'Mail Merge'!$D1111,0)</f>
        <v>4188.4646511627907</v>
      </c>
      <c r="K1111" s="201">
        <f>IFERROR('Mail Merge'!$F1111/'Mail Merge'!$D1111,0)</f>
        <v>1218.0997674418604</v>
      </c>
      <c r="L1111" s="201">
        <f>IFERROR('Mail Merge'!$G1111/'Mail Merge'!$D1111,0)</f>
        <v>5406.564418604652</v>
      </c>
      <c r="M1111" s="201">
        <v>0</v>
      </c>
      <c r="N1111" s="201" t="s">
        <v>241</v>
      </c>
      <c r="O1111" s="201">
        <v>42677.53</v>
      </c>
      <c r="P1111" s="201">
        <v>0</v>
      </c>
      <c r="Q1111" s="201">
        <f>'Mail Merge'!$O1111+'Mail Merge'!$P1111</f>
        <v>42677.53</v>
      </c>
      <c r="R1111" s="201"/>
      <c r="S1111" s="201"/>
      <c r="T1111" s="201"/>
      <c r="U1111" s="201">
        <f>IF(AND('Mail Merge'!$I1111="Did Not Meet",'Mail Merge'!$N1111="Did Not Meet"),MIN(ABS('Mail Merge'!$H1111),ABS('Mail Merge'!$M1111),'Mail Merge'!$Q1111),0)</f>
        <v>0</v>
      </c>
      <c r="V1111" s="201" t="str">
        <f>IF(OR(IFERROR(SEARCH("Met",'Mail Merge'!$N1111),0)&gt;0,IFERROR(SEARCH("Met",'Mail Merge'!$I1111),0)&gt;0),"Met","Not Met")</f>
        <v>Met</v>
      </c>
    </row>
    <row r="1112" spans="1:22" x14ac:dyDescent="0.35">
      <c r="A1112" s="198" t="s">
        <v>147</v>
      </c>
      <c r="B1112" s="199">
        <v>2143</v>
      </c>
      <c r="C1112" s="199" t="s">
        <v>41</v>
      </c>
      <c r="D1112" s="199">
        <v>290</v>
      </c>
      <c r="E1112" s="199">
        <v>2659606.38</v>
      </c>
      <c r="F1112" s="199">
        <v>122231.24</v>
      </c>
      <c r="G1112" s="199">
        <f>'Mail Merge'!$E1112+'Mail Merge'!$F1112</f>
        <v>2781837.62</v>
      </c>
      <c r="H1112" s="199">
        <v>0</v>
      </c>
      <c r="I1112" s="199" t="s">
        <v>241</v>
      </c>
      <c r="J1112" s="199">
        <f>IFERROR('Mail Merge'!$E1112/'Mail Merge'!$D1112,0)</f>
        <v>9171.0564827586204</v>
      </c>
      <c r="K1112" s="199">
        <f>IFERROR('Mail Merge'!$F1112/'Mail Merge'!$D1112,0)</f>
        <v>421.48703448275865</v>
      </c>
      <c r="L1112" s="199">
        <f>IFERROR('Mail Merge'!$G1112/'Mail Merge'!$D1112,0)</f>
        <v>9592.54351724138</v>
      </c>
      <c r="M1112" s="199">
        <v>146572.04999999999</v>
      </c>
      <c r="N1112" s="199" t="s">
        <v>240</v>
      </c>
      <c r="O1112" s="199">
        <v>420358.69</v>
      </c>
      <c r="P1112" s="199">
        <v>2503.71</v>
      </c>
      <c r="Q1112" s="199">
        <f>'Mail Merge'!$O1112+'Mail Merge'!$P1112</f>
        <v>422862.4</v>
      </c>
      <c r="R1112" s="199"/>
      <c r="S1112" s="199"/>
      <c r="T1112" s="199"/>
      <c r="U1112" s="199">
        <f>IF(AND('Mail Merge'!$I1112="Did Not Meet",'Mail Merge'!$N1112="Did Not Meet"),MIN(ABS('Mail Merge'!$H1112),ABS('Mail Merge'!$M1112),'Mail Merge'!$Q1112),0)</f>
        <v>0</v>
      </c>
      <c r="V1112" s="199" t="str">
        <f>IF(OR(IFERROR(SEARCH("Met",'Mail Merge'!$N1112),0)&gt;0,IFERROR(SEARCH("Met",'Mail Merge'!$I1112),0)&gt;0),"Met","Not Met")</f>
        <v>Met</v>
      </c>
    </row>
    <row r="1113" spans="1:22" x14ac:dyDescent="0.35">
      <c r="A1113" s="200" t="s">
        <v>148</v>
      </c>
      <c r="B1113" s="201">
        <v>4131</v>
      </c>
      <c r="C1113" s="201" t="s">
        <v>41</v>
      </c>
      <c r="D1113" s="201">
        <v>461</v>
      </c>
      <c r="E1113" s="201">
        <v>3991369.95</v>
      </c>
      <c r="F1113" s="201">
        <v>0</v>
      </c>
      <c r="G1113" s="201">
        <f>'Mail Merge'!$E1113+'Mail Merge'!$F1113</f>
        <v>3991369.95</v>
      </c>
      <c r="H1113" s="201">
        <v>0</v>
      </c>
      <c r="I1113" s="201" t="s">
        <v>241</v>
      </c>
      <c r="J1113" s="201">
        <f>IFERROR('Mail Merge'!$E1113/'Mail Merge'!$D1113,0)</f>
        <v>8658.069305856834</v>
      </c>
      <c r="K1113" s="201">
        <f>IFERROR('Mail Merge'!$F1113/'Mail Merge'!$D1113,0)</f>
        <v>0</v>
      </c>
      <c r="L1113" s="201">
        <f>IFERROR('Mail Merge'!$G1113/'Mail Merge'!$D1113,0)</f>
        <v>8658.069305856834</v>
      </c>
      <c r="M1113" s="201">
        <v>133951.76999999999</v>
      </c>
      <c r="N1113" s="201" t="s">
        <v>240</v>
      </c>
      <c r="O1113" s="201">
        <v>505452.52</v>
      </c>
      <c r="P1113" s="201">
        <v>6819.63</v>
      </c>
      <c r="Q1113" s="201">
        <f>'Mail Merge'!$O1113+'Mail Merge'!$P1113</f>
        <v>512272.15</v>
      </c>
      <c r="R1113" s="201"/>
      <c r="S1113" s="201"/>
      <c r="T1113" s="201"/>
      <c r="U1113" s="201">
        <f>IF(AND('Mail Merge'!$I1113="Did Not Meet",'Mail Merge'!$N1113="Did Not Meet"),MIN(ABS('Mail Merge'!$H1113),ABS('Mail Merge'!$M1113),'Mail Merge'!$Q1113),0)</f>
        <v>0</v>
      </c>
      <c r="V1113" s="201" t="str">
        <f>IF(OR(IFERROR(SEARCH("Met",'Mail Merge'!$N1113),0)&gt;0,IFERROR(SEARCH("Met",'Mail Merge'!$I1113),0)&gt;0),"Met","Not Met")</f>
        <v>Met</v>
      </c>
    </row>
    <row r="1114" spans="1:22" x14ac:dyDescent="0.35">
      <c r="A1114" s="198" t="s">
        <v>149</v>
      </c>
      <c r="B1114" s="199">
        <v>2110</v>
      </c>
      <c r="C1114" s="199" t="s">
        <v>41</v>
      </c>
      <c r="D1114" s="199">
        <v>180</v>
      </c>
      <c r="E1114" s="199">
        <v>777495.49</v>
      </c>
      <c r="F1114" s="199">
        <v>370445.87</v>
      </c>
      <c r="G1114" s="199">
        <f>'Mail Merge'!$E1114+'Mail Merge'!$F1114</f>
        <v>1147941.3599999999</v>
      </c>
      <c r="H1114" s="199">
        <v>0</v>
      </c>
      <c r="I1114" s="199" t="s">
        <v>241</v>
      </c>
      <c r="J1114" s="199">
        <f>IFERROR('Mail Merge'!$E1114/'Mail Merge'!$D1114,0)</f>
        <v>4319.4193888888885</v>
      </c>
      <c r="K1114" s="199">
        <f>IFERROR('Mail Merge'!$F1114/'Mail Merge'!$D1114,0)</f>
        <v>2058.0326111111112</v>
      </c>
      <c r="L1114" s="199">
        <f>IFERROR('Mail Merge'!$G1114/'Mail Merge'!$D1114,0)</f>
        <v>6377.4519999999993</v>
      </c>
      <c r="M1114" s="199">
        <v>130267.9</v>
      </c>
      <c r="N1114" s="199" t="s">
        <v>240</v>
      </c>
      <c r="O1114" s="199">
        <v>214090.14</v>
      </c>
      <c r="P1114" s="199">
        <v>1032.78</v>
      </c>
      <c r="Q1114" s="199">
        <f>'Mail Merge'!$O1114+'Mail Merge'!$P1114</f>
        <v>215122.92</v>
      </c>
      <c r="R1114" s="199"/>
      <c r="S1114" s="199"/>
      <c r="T1114" s="199"/>
      <c r="U1114" s="199">
        <f>IF(AND('Mail Merge'!$I1114="Did Not Meet",'Mail Merge'!$N1114="Did Not Meet"),MIN(ABS('Mail Merge'!$H1114),ABS('Mail Merge'!$M1114),'Mail Merge'!$Q1114),0)</f>
        <v>0</v>
      </c>
      <c r="V1114" s="199" t="str">
        <f>IF(OR(IFERROR(SEARCH("Met",'Mail Merge'!$N1114),0)&gt;0,IFERROR(SEARCH("Met",'Mail Merge'!$I1114),0)&gt;0),"Met","Not Met")</f>
        <v>Met</v>
      </c>
    </row>
    <row r="1115" spans="1:22" x14ac:dyDescent="0.35">
      <c r="A1115" s="200" t="s">
        <v>150</v>
      </c>
      <c r="B1115" s="201">
        <v>1990</v>
      </c>
      <c r="C1115" s="201" t="s">
        <v>41</v>
      </c>
      <c r="D1115" s="201">
        <v>78</v>
      </c>
      <c r="E1115" s="201">
        <v>351152.72</v>
      </c>
      <c r="F1115" s="201">
        <v>112587.32</v>
      </c>
      <c r="G1115" s="201">
        <f>'Mail Merge'!$E1115+'Mail Merge'!$F1115</f>
        <v>463740.04</v>
      </c>
      <c r="H1115" s="201">
        <v>0</v>
      </c>
      <c r="I1115" s="201" t="s">
        <v>241</v>
      </c>
      <c r="J1115" s="201">
        <f>IFERROR('Mail Merge'!$E1115/'Mail Merge'!$D1115,0)</f>
        <v>4501.9579487179481</v>
      </c>
      <c r="K1115" s="201">
        <f>IFERROR('Mail Merge'!$F1115/'Mail Merge'!$D1115,0)</f>
        <v>1443.4271794871795</v>
      </c>
      <c r="L1115" s="201">
        <f>IFERROR('Mail Merge'!$G1115/'Mail Merge'!$D1115,0)</f>
        <v>5945.3851282051282</v>
      </c>
      <c r="M1115" s="201">
        <v>142094.37</v>
      </c>
      <c r="N1115" s="201" t="s">
        <v>240</v>
      </c>
      <c r="O1115" s="201">
        <v>90208.34</v>
      </c>
      <c r="P1115" s="201">
        <v>2360.64</v>
      </c>
      <c r="Q1115" s="201">
        <f>'Mail Merge'!$O1115+'Mail Merge'!$P1115</f>
        <v>92568.98</v>
      </c>
      <c r="R1115" s="201"/>
      <c r="S1115" s="201"/>
      <c r="T1115" s="201"/>
      <c r="U1115" s="201">
        <f>IF(AND('Mail Merge'!$I1115="Did Not Meet",'Mail Merge'!$N1115="Did Not Meet"),MIN(ABS('Mail Merge'!$H1115),ABS('Mail Merge'!$M1115),'Mail Merge'!$Q1115),0)</f>
        <v>0</v>
      </c>
      <c r="V1115" s="201" t="str">
        <f>IF(OR(IFERROR(SEARCH("Met",'Mail Merge'!$N1115),0)&gt;0,IFERROR(SEARCH("Met",'Mail Merge'!$I1115),0)&gt;0),"Met","Not Met")</f>
        <v>Met</v>
      </c>
    </row>
    <row r="1116" spans="1:22" x14ac:dyDescent="0.35">
      <c r="A1116" s="198" t="s">
        <v>151</v>
      </c>
      <c r="B1116" s="199">
        <v>2093</v>
      </c>
      <c r="C1116" s="199" t="s">
        <v>41</v>
      </c>
      <c r="D1116" s="199">
        <v>90</v>
      </c>
      <c r="E1116" s="199">
        <v>423017.81</v>
      </c>
      <c r="F1116" s="199">
        <v>189577</v>
      </c>
      <c r="G1116" s="199">
        <f>'Mail Merge'!$E1116+'Mail Merge'!$F1116</f>
        <v>612594.81000000006</v>
      </c>
      <c r="H1116" s="199">
        <v>0</v>
      </c>
      <c r="I1116" s="199" t="s">
        <v>241</v>
      </c>
      <c r="J1116" s="199">
        <f>IFERROR('Mail Merge'!$E1116/'Mail Merge'!$D1116,0)</f>
        <v>4700.1978888888889</v>
      </c>
      <c r="K1116" s="199">
        <f>IFERROR('Mail Merge'!$F1116/'Mail Merge'!$D1116,0)</f>
        <v>2106.411111111111</v>
      </c>
      <c r="L1116" s="199">
        <f>IFERROR('Mail Merge'!$G1116/'Mail Merge'!$D1116,0)</f>
        <v>6806.6090000000004</v>
      </c>
      <c r="M1116" s="199">
        <v>8070.1</v>
      </c>
      <c r="N1116" s="199" t="s">
        <v>240</v>
      </c>
      <c r="O1116" s="199">
        <v>114597.07</v>
      </c>
      <c r="P1116" s="199">
        <v>1156.71</v>
      </c>
      <c r="Q1116" s="199">
        <f>'Mail Merge'!$O1116+'Mail Merge'!$P1116</f>
        <v>115753.78000000001</v>
      </c>
      <c r="R1116" s="199"/>
      <c r="S1116" s="199"/>
      <c r="T1116" s="199"/>
      <c r="U1116" s="199">
        <f>IF(AND('Mail Merge'!$I1116="Did Not Meet",'Mail Merge'!$N1116="Did Not Meet"),MIN(ABS('Mail Merge'!$H1116),ABS('Mail Merge'!$M1116),'Mail Merge'!$Q1116),0)</f>
        <v>0</v>
      </c>
      <c r="V1116" s="199" t="str">
        <f>IF(OR(IFERROR(SEARCH("Met",'Mail Merge'!$N1116),0)&gt;0,IFERROR(SEARCH("Met",'Mail Merge'!$I1116),0)&gt;0),"Met","Not Met")</f>
        <v>Met</v>
      </c>
    </row>
    <row r="1117" spans="1:22" x14ac:dyDescent="0.35">
      <c r="A1117" s="200" t="s">
        <v>152</v>
      </c>
      <c r="B1117" s="201">
        <v>2108</v>
      </c>
      <c r="C1117" s="201" t="s">
        <v>41</v>
      </c>
      <c r="D1117" s="201">
        <v>288</v>
      </c>
      <c r="E1117" s="201">
        <v>2689996.26</v>
      </c>
      <c r="F1117" s="201">
        <v>0</v>
      </c>
      <c r="G1117" s="201">
        <f>'Mail Merge'!$E1117+'Mail Merge'!$F1117</f>
        <v>2689996.26</v>
      </c>
      <c r="H1117" s="201">
        <v>0</v>
      </c>
      <c r="I1117" s="201" t="s">
        <v>241</v>
      </c>
      <c r="J1117" s="201">
        <f>IFERROR('Mail Merge'!$E1117/'Mail Merge'!$D1117,0)</f>
        <v>9340.2647916666665</v>
      </c>
      <c r="K1117" s="201">
        <f>IFERROR('Mail Merge'!$F1117/'Mail Merge'!$D1117,0)</f>
        <v>0</v>
      </c>
      <c r="L1117" s="201">
        <f>IFERROR('Mail Merge'!$G1117/'Mail Merge'!$D1117,0)</f>
        <v>9340.2647916666665</v>
      </c>
      <c r="M1117" s="201">
        <v>0</v>
      </c>
      <c r="N1117" s="201" t="s">
        <v>241</v>
      </c>
      <c r="O1117" s="201">
        <v>470091.51</v>
      </c>
      <c r="P1117" s="201">
        <v>2142.06</v>
      </c>
      <c r="Q1117" s="201">
        <f>'Mail Merge'!$O1117+'Mail Merge'!$P1117</f>
        <v>472233.57</v>
      </c>
      <c r="R1117" s="201"/>
      <c r="S1117" s="201"/>
      <c r="T1117" s="201"/>
      <c r="U1117" s="201">
        <f>IF(AND('Mail Merge'!$I1117="Did Not Meet",'Mail Merge'!$N1117="Did Not Meet"),MIN(ABS('Mail Merge'!$H1117),ABS('Mail Merge'!$M1117),'Mail Merge'!$Q1117),0)</f>
        <v>0</v>
      </c>
      <c r="V1117" s="201" t="str">
        <f>IF(OR(IFERROR(SEARCH("Met",'Mail Merge'!$N1117),0)&gt;0,IFERROR(SEARCH("Met",'Mail Merge'!$I1117),0)&gt;0),"Met","Not Met")</f>
        <v>Met</v>
      </c>
    </row>
    <row r="1118" spans="1:22" x14ac:dyDescent="0.35">
      <c r="A1118" s="198" t="s">
        <v>153</v>
      </c>
      <c r="B1118" s="199">
        <v>1928</v>
      </c>
      <c r="C1118" s="199" t="s">
        <v>41</v>
      </c>
      <c r="D1118" s="199">
        <v>1310</v>
      </c>
      <c r="E1118" s="199">
        <v>13476689.08</v>
      </c>
      <c r="F1118" s="199">
        <v>1841326</v>
      </c>
      <c r="G1118" s="199">
        <f>'Mail Merge'!$E1118+'Mail Merge'!$F1118</f>
        <v>15318015.08</v>
      </c>
      <c r="H1118" s="199">
        <v>0</v>
      </c>
      <c r="I1118" s="199" t="s">
        <v>241</v>
      </c>
      <c r="J1118" s="199">
        <f>IFERROR('Mail Merge'!$E1118/'Mail Merge'!$D1118,0)</f>
        <v>10287.548916030535</v>
      </c>
      <c r="K1118" s="199">
        <f>IFERROR('Mail Merge'!$F1118/'Mail Merge'!$D1118,0)</f>
        <v>1405.5923664122138</v>
      </c>
      <c r="L1118" s="199">
        <f>IFERROR('Mail Merge'!$G1118/'Mail Merge'!$D1118,0)</f>
        <v>11693.141282442748</v>
      </c>
      <c r="M1118" s="199">
        <v>25035.919999999998</v>
      </c>
      <c r="N1118" s="199" t="s">
        <v>240</v>
      </c>
      <c r="O1118" s="199">
        <v>1256079.21</v>
      </c>
      <c r="P1118" s="199">
        <v>9466.1200000000008</v>
      </c>
      <c r="Q1118" s="199">
        <f>'Mail Merge'!$O1118+'Mail Merge'!$P1118</f>
        <v>1265545.33</v>
      </c>
      <c r="R1118" s="199"/>
      <c r="S1118" s="199"/>
      <c r="T1118" s="199"/>
      <c r="U1118" s="199">
        <f>IF(AND('Mail Merge'!$I1118="Did Not Meet",'Mail Merge'!$N1118="Did Not Meet"),MIN(ABS('Mail Merge'!$H1118),ABS('Mail Merge'!$M1118),'Mail Merge'!$Q1118),0)</f>
        <v>0</v>
      </c>
      <c r="V1118" s="199" t="str">
        <f>IF(OR(IFERROR(SEARCH("Met",'Mail Merge'!$N1118),0)&gt;0,IFERROR(SEARCH("Met",'Mail Merge'!$I1118),0)&gt;0),"Met","Not Met")</f>
        <v>Met</v>
      </c>
    </row>
    <row r="1119" spans="1:22" x14ac:dyDescent="0.35">
      <c r="A1119" s="200" t="s">
        <v>154</v>
      </c>
      <c r="B1119" s="201">
        <v>1926</v>
      </c>
      <c r="C1119" s="201" t="s">
        <v>41</v>
      </c>
      <c r="D1119" s="201">
        <v>526</v>
      </c>
      <c r="E1119" s="201">
        <v>5833243.1600000001</v>
      </c>
      <c r="F1119" s="201">
        <v>628098</v>
      </c>
      <c r="G1119" s="201">
        <f>'Mail Merge'!$E1119+'Mail Merge'!$F1119</f>
        <v>6461341.1600000001</v>
      </c>
      <c r="H1119" s="201">
        <v>0</v>
      </c>
      <c r="I1119" s="201" t="s">
        <v>241</v>
      </c>
      <c r="J1119" s="201">
        <f>IFERROR('Mail Merge'!$E1119/'Mail Merge'!$D1119,0)</f>
        <v>11089.815893536123</v>
      </c>
      <c r="K1119" s="201">
        <f>IFERROR('Mail Merge'!$F1119/'Mail Merge'!$D1119,0)</f>
        <v>1194.1026615969581</v>
      </c>
      <c r="L1119" s="201">
        <f>IFERROR('Mail Merge'!$G1119/'Mail Merge'!$D1119,0)</f>
        <v>12283.918555133079</v>
      </c>
      <c r="M1119" s="201">
        <v>0</v>
      </c>
      <c r="N1119" s="201" t="s">
        <v>241</v>
      </c>
      <c r="O1119" s="201">
        <v>617448.95999999996</v>
      </c>
      <c r="P1119" s="201">
        <v>5166.57</v>
      </c>
      <c r="Q1119" s="201">
        <f>'Mail Merge'!$O1119+'Mail Merge'!$P1119</f>
        <v>622615.52999999991</v>
      </c>
      <c r="R1119" s="201"/>
      <c r="S1119" s="201"/>
      <c r="T1119" s="201"/>
      <c r="U1119" s="201">
        <f>IF(AND('Mail Merge'!$I1119="Did Not Meet",'Mail Merge'!$N1119="Did Not Meet"),MIN(ABS('Mail Merge'!$H1119),ABS('Mail Merge'!$M1119),'Mail Merge'!$Q1119),0)</f>
        <v>0</v>
      </c>
      <c r="V1119" s="201" t="str">
        <f>IF(OR(IFERROR(SEARCH("Met",'Mail Merge'!$N1119),0)&gt;0,IFERROR(SEARCH("Met",'Mail Merge'!$I1119),0)&gt;0),"Met","Not Met")</f>
        <v>Met</v>
      </c>
    </row>
    <row r="1120" spans="1:22" x14ac:dyDescent="0.35">
      <c r="A1120" s="198" t="s">
        <v>155</v>
      </c>
      <c r="B1120" s="199">
        <v>2060</v>
      </c>
      <c r="C1120" s="199" t="s">
        <v>41</v>
      </c>
      <c r="D1120" s="199">
        <v>24</v>
      </c>
      <c r="E1120" s="199">
        <v>64444.41</v>
      </c>
      <c r="F1120" s="199">
        <v>76280.03</v>
      </c>
      <c r="G1120" s="199">
        <f>'Mail Merge'!$E1120+'Mail Merge'!$F1120</f>
        <v>140724.44</v>
      </c>
      <c r="H1120" s="199">
        <v>0</v>
      </c>
      <c r="I1120" s="199" t="s">
        <v>241</v>
      </c>
      <c r="J1120" s="199">
        <f>IFERROR('Mail Merge'!$E1120/'Mail Merge'!$D1120,0)</f>
        <v>2685.1837500000001</v>
      </c>
      <c r="K1120" s="199">
        <f>IFERROR('Mail Merge'!$F1120/'Mail Merge'!$D1120,0)</f>
        <v>3178.3345833333333</v>
      </c>
      <c r="L1120" s="199">
        <f>IFERROR('Mail Merge'!$G1120/'Mail Merge'!$D1120,0)</f>
        <v>5863.5183333333334</v>
      </c>
      <c r="M1120" s="199">
        <v>0</v>
      </c>
      <c r="N1120" s="199" t="s">
        <v>241</v>
      </c>
      <c r="O1120" s="199">
        <v>27922.86</v>
      </c>
      <c r="P1120" s="199">
        <v>459.01</v>
      </c>
      <c r="Q1120" s="199">
        <f>'Mail Merge'!$O1120+'Mail Merge'!$P1120</f>
        <v>28381.87</v>
      </c>
      <c r="R1120" s="199"/>
      <c r="S1120" s="199"/>
      <c r="T1120" s="199"/>
      <c r="U1120" s="199">
        <f>IF(AND('Mail Merge'!$I1120="Did Not Meet",'Mail Merge'!$N1120="Did Not Meet"),MIN(ABS('Mail Merge'!$H1120),ABS('Mail Merge'!$M1120),'Mail Merge'!$Q1120),0)</f>
        <v>0</v>
      </c>
      <c r="V1120" s="199" t="str">
        <f>IF(OR(IFERROR(SEARCH("Met",'Mail Merge'!$N1120),0)&gt;0,IFERROR(SEARCH("Met",'Mail Merge'!$I1120),0)&gt;0),"Met","Not Met")</f>
        <v>Met</v>
      </c>
    </row>
    <row r="1121" spans="1:22" x14ac:dyDescent="0.35">
      <c r="A1121" s="200" t="s">
        <v>156</v>
      </c>
      <c r="B1121" s="201">
        <v>2181</v>
      </c>
      <c r="C1121" s="201" t="s">
        <v>41</v>
      </c>
      <c r="D1121" s="201">
        <v>500</v>
      </c>
      <c r="E1121" s="201">
        <v>6692362.3499999996</v>
      </c>
      <c r="F1121" s="201">
        <v>801948.98</v>
      </c>
      <c r="G1121" s="201">
        <f>'Mail Merge'!$E1121+'Mail Merge'!$F1121</f>
        <v>7494311.3300000001</v>
      </c>
      <c r="H1121" s="201">
        <v>0</v>
      </c>
      <c r="I1121" s="201" t="s">
        <v>241</v>
      </c>
      <c r="J1121" s="201">
        <f>IFERROR('Mail Merge'!$E1121/'Mail Merge'!$D1121,0)</f>
        <v>13384.724699999999</v>
      </c>
      <c r="K1121" s="201">
        <f>IFERROR('Mail Merge'!$F1121/'Mail Merge'!$D1121,0)</f>
        <v>1603.89796</v>
      </c>
      <c r="L1121" s="201">
        <f>IFERROR('Mail Merge'!$G1121/'Mail Merge'!$D1121,0)</f>
        <v>14988.622660000001</v>
      </c>
      <c r="M1121" s="201">
        <v>0</v>
      </c>
      <c r="N1121" s="201" t="s">
        <v>241</v>
      </c>
      <c r="O1121" s="201">
        <v>604464.04</v>
      </c>
      <c r="P1121" s="201">
        <v>3049.72</v>
      </c>
      <c r="Q1121" s="201">
        <f>'Mail Merge'!$O1121+'Mail Merge'!$P1121</f>
        <v>607513.76</v>
      </c>
      <c r="R1121" s="201"/>
      <c r="S1121" s="201"/>
      <c r="T1121" s="201"/>
      <c r="U1121" s="201">
        <f>IF(AND('Mail Merge'!$I1121="Did Not Meet",'Mail Merge'!$N1121="Did Not Meet"),MIN(ABS('Mail Merge'!$H1121),ABS('Mail Merge'!$M1121),'Mail Merge'!$Q1121),0)</f>
        <v>0</v>
      </c>
      <c r="V1121" s="201" t="str">
        <f>IF(OR(IFERROR(SEARCH("Met",'Mail Merge'!$N1121),0)&gt;0,IFERROR(SEARCH("Met",'Mail Merge'!$I1121),0)&gt;0),"Met","Not Met")</f>
        <v>Met</v>
      </c>
    </row>
    <row r="1122" spans="1:22" x14ac:dyDescent="0.35">
      <c r="A1122" s="198" t="s">
        <v>157</v>
      </c>
      <c r="B1122" s="199">
        <v>2207</v>
      </c>
      <c r="C1122" s="199" t="s">
        <v>41</v>
      </c>
      <c r="D1122" s="199">
        <v>399</v>
      </c>
      <c r="E1122" s="199">
        <v>3824684.62</v>
      </c>
      <c r="F1122" s="199">
        <v>671629.23</v>
      </c>
      <c r="G1122" s="199">
        <f>'Mail Merge'!$E1122+'Mail Merge'!$F1122</f>
        <v>4496313.8499999996</v>
      </c>
      <c r="H1122" s="199">
        <v>0</v>
      </c>
      <c r="I1122" s="199" t="s">
        <v>241</v>
      </c>
      <c r="J1122" s="199">
        <f>IFERROR('Mail Merge'!$E1122/'Mail Merge'!$D1122,0)</f>
        <v>9585.6757393483713</v>
      </c>
      <c r="K1122" s="199">
        <f>IFERROR('Mail Merge'!$F1122/'Mail Merge'!$D1122,0)</f>
        <v>1683.2812781954888</v>
      </c>
      <c r="L1122" s="199">
        <f>IFERROR('Mail Merge'!$G1122/'Mail Merge'!$D1122,0)</f>
        <v>11268.957017543858</v>
      </c>
      <c r="M1122" s="199">
        <v>0</v>
      </c>
      <c r="N1122" s="199" t="s">
        <v>241</v>
      </c>
      <c r="O1122" s="199">
        <v>515816.23</v>
      </c>
      <c r="P1122" s="199">
        <v>3851.05</v>
      </c>
      <c r="Q1122" s="199">
        <f>'Mail Merge'!$O1122+'Mail Merge'!$P1122</f>
        <v>519667.27999999997</v>
      </c>
      <c r="R1122" s="199"/>
      <c r="S1122" s="199"/>
      <c r="T1122" s="199"/>
      <c r="U1122" s="199">
        <f>IF(AND('Mail Merge'!$I1122="Did Not Meet",'Mail Merge'!$N1122="Did Not Meet"),MIN(ABS('Mail Merge'!$H1122),ABS('Mail Merge'!$M1122),'Mail Merge'!$Q1122),0)</f>
        <v>0</v>
      </c>
      <c r="V1122" s="199" t="str">
        <f>IF(OR(IFERROR(SEARCH("Met",'Mail Merge'!$N1122),0)&gt;0,IFERROR(SEARCH("Met",'Mail Merge'!$I1122),0)&gt;0),"Met","Not Met")</f>
        <v>Met</v>
      </c>
    </row>
    <row r="1123" spans="1:22" x14ac:dyDescent="0.35">
      <c r="A1123" s="200" t="s">
        <v>158</v>
      </c>
      <c r="B1123" s="201">
        <v>2192</v>
      </c>
      <c r="C1123" s="201" t="s">
        <v>41</v>
      </c>
      <c r="D1123" s="201">
        <v>37</v>
      </c>
      <c r="E1123" s="201">
        <v>287489.21999999997</v>
      </c>
      <c r="F1123" s="201">
        <v>21025.95</v>
      </c>
      <c r="G1123" s="201">
        <f>'Mail Merge'!$E1123+'Mail Merge'!$F1123</f>
        <v>308515.17</v>
      </c>
      <c r="H1123" s="201">
        <v>0</v>
      </c>
      <c r="I1123" s="201" t="s">
        <v>241</v>
      </c>
      <c r="J1123" s="201">
        <f>IFERROR('Mail Merge'!$E1123/'Mail Merge'!$D1123,0)</f>
        <v>7769.9789189189178</v>
      </c>
      <c r="K1123" s="201">
        <f>IFERROR('Mail Merge'!$F1123/'Mail Merge'!$D1123,0)</f>
        <v>568.26891891891898</v>
      </c>
      <c r="L1123" s="201">
        <f>IFERROR('Mail Merge'!$G1123/'Mail Merge'!$D1123,0)</f>
        <v>8338.2478378378382</v>
      </c>
      <c r="M1123" s="201">
        <v>573557.55000000005</v>
      </c>
      <c r="N1123" s="201" t="s">
        <v>240</v>
      </c>
      <c r="O1123" s="201">
        <v>28221.57</v>
      </c>
      <c r="P1123" s="201">
        <v>344.26</v>
      </c>
      <c r="Q1123" s="201">
        <f>'Mail Merge'!$O1123+'Mail Merge'!$P1123</f>
        <v>28565.829999999998</v>
      </c>
      <c r="R1123" s="201"/>
      <c r="S1123" s="201"/>
      <c r="T1123" s="201"/>
      <c r="U1123" s="201">
        <f>IF(AND('Mail Merge'!$I1123="Did Not Meet",'Mail Merge'!$N1123="Did Not Meet"),MIN(ABS('Mail Merge'!$H1123),ABS('Mail Merge'!$M1123),'Mail Merge'!$Q1123),0)</f>
        <v>0</v>
      </c>
      <c r="V1123" s="201" t="str">
        <f>IF(OR(IFERROR(SEARCH("Met",'Mail Merge'!$N1123),0)&gt;0,IFERROR(SEARCH("Met",'Mail Merge'!$I1123),0)&gt;0),"Met","Not Met")</f>
        <v>Met</v>
      </c>
    </row>
    <row r="1124" spans="1:22" x14ac:dyDescent="0.35">
      <c r="A1124" s="198" t="s">
        <v>160</v>
      </c>
      <c r="B1124" s="199">
        <v>1900</v>
      </c>
      <c r="C1124" s="199" t="s">
        <v>41</v>
      </c>
      <c r="D1124" s="199">
        <v>195</v>
      </c>
      <c r="E1124" s="199">
        <v>1257365.94</v>
      </c>
      <c r="F1124" s="199">
        <v>402434</v>
      </c>
      <c r="G1124" s="199">
        <f>'Mail Merge'!$E1124+'Mail Merge'!$F1124</f>
        <v>1659799.94</v>
      </c>
      <c r="H1124" s="199">
        <v>0</v>
      </c>
      <c r="I1124" s="199" t="s">
        <v>241</v>
      </c>
      <c r="J1124" s="199">
        <f>IFERROR('Mail Merge'!$E1124/'Mail Merge'!$D1124,0)</f>
        <v>6448.0304615384612</v>
      </c>
      <c r="K1124" s="199">
        <f>IFERROR('Mail Merge'!$F1124/'Mail Merge'!$D1124,0)</f>
        <v>2063.7641025641024</v>
      </c>
      <c r="L1124" s="199">
        <f>IFERROR('Mail Merge'!$G1124/'Mail Merge'!$D1124,0)</f>
        <v>8511.7945641025635</v>
      </c>
      <c r="M1124" s="199">
        <v>0</v>
      </c>
      <c r="N1124" s="199" t="s">
        <v>241</v>
      </c>
      <c r="O1124" s="199">
        <v>227188.32</v>
      </c>
      <c r="P1124" s="199">
        <v>3978.12</v>
      </c>
      <c r="Q1124" s="199">
        <f>'Mail Merge'!$O1124+'Mail Merge'!$P1124</f>
        <v>231166.44</v>
      </c>
      <c r="R1124" s="199"/>
      <c r="S1124" s="199"/>
      <c r="T1124" s="199"/>
      <c r="U1124" s="199">
        <f>IF(AND('Mail Merge'!$I1124="Did Not Meet",'Mail Merge'!$N1124="Did Not Meet"),MIN(ABS('Mail Merge'!$H1124),ABS('Mail Merge'!$M1124),'Mail Merge'!$Q1124),0)</f>
        <v>0</v>
      </c>
      <c r="V1124" s="199" t="str">
        <f>IF(OR(IFERROR(SEARCH("Met",'Mail Merge'!$N1124),0)&gt;0,IFERROR(SEARCH("Met",'Mail Merge'!$I1124),0)&gt;0),"Met","Not Met")</f>
        <v>Met</v>
      </c>
    </row>
    <row r="1125" spans="1:22" x14ac:dyDescent="0.35">
      <c r="A1125" s="200" t="s">
        <v>161</v>
      </c>
      <c r="B1125" s="201">
        <v>2039</v>
      </c>
      <c r="C1125" s="201" t="s">
        <v>41</v>
      </c>
      <c r="D1125" s="201">
        <v>421</v>
      </c>
      <c r="E1125" s="201">
        <v>2655932.48</v>
      </c>
      <c r="F1125" s="201">
        <v>704842.75</v>
      </c>
      <c r="G1125" s="201">
        <f>'Mail Merge'!$E1125+'Mail Merge'!$F1125</f>
        <v>3360775.23</v>
      </c>
      <c r="H1125" s="201">
        <v>0</v>
      </c>
      <c r="I1125" s="201" t="s">
        <v>241</v>
      </c>
      <c r="J1125" s="201">
        <f>IFERROR('Mail Merge'!$E1125/'Mail Merge'!$D1125,0)</f>
        <v>6308.6282185273158</v>
      </c>
      <c r="K1125" s="201">
        <f>IFERROR('Mail Merge'!$F1125/'Mail Merge'!$D1125,0)</f>
        <v>1674.2108076009501</v>
      </c>
      <c r="L1125" s="201">
        <f>IFERROR('Mail Merge'!$G1125/'Mail Merge'!$D1125,0)</f>
        <v>7982.8390261282657</v>
      </c>
      <c r="M1125" s="201">
        <v>51572.59</v>
      </c>
      <c r="N1125" s="201" t="s">
        <v>240</v>
      </c>
      <c r="O1125" s="201">
        <v>435228.23</v>
      </c>
      <c r="P1125" s="201">
        <v>4619.43</v>
      </c>
      <c r="Q1125" s="201">
        <f>'Mail Merge'!$O1125+'Mail Merge'!$P1125</f>
        <v>439847.66</v>
      </c>
      <c r="R1125" s="201"/>
      <c r="S1125" s="201"/>
      <c r="T1125" s="201"/>
      <c r="U1125" s="201">
        <f>IF(AND('Mail Merge'!$I1125="Did Not Meet",'Mail Merge'!$N1125="Did Not Meet"),MIN(ABS('Mail Merge'!$H1125),ABS('Mail Merge'!$M1125),'Mail Merge'!$Q1125),0)</f>
        <v>0</v>
      </c>
      <c r="V1125" s="201" t="str">
        <f>IF(OR(IFERROR(SEARCH("Met",'Mail Merge'!$N1125),0)&gt;0,IFERROR(SEARCH("Met",'Mail Merge'!$I1125),0)&gt;0),"Met","Not Met")</f>
        <v>Met</v>
      </c>
    </row>
    <row r="1126" spans="1:22" x14ac:dyDescent="0.35">
      <c r="A1126" s="198" t="s">
        <v>162</v>
      </c>
      <c r="B1126" s="199">
        <v>2202</v>
      </c>
      <c r="C1126" s="199" t="s">
        <v>41</v>
      </c>
      <c r="D1126" s="199">
        <v>43</v>
      </c>
      <c r="E1126" s="199">
        <v>309185.55</v>
      </c>
      <c r="F1126" s="199">
        <v>72379.98</v>
      </c>
      <c r="G1126" s="199">
        <f>'Mail Merge'!$E1126+'Mail Merge'!$F1126</f>
        <v>381565.52999999997</v>
      </c>
      <c r="H1126" s="199">
        <v>0</v>
      </c>
      <c r="I1126" s="199" t="s">
        <v>241</v>
      </c>
      <c r="J1126" s="199">
        <f>IFERROR('Mail Merge'!$E1126/'Mail Merge'!$D1126,0)</f>
        <v>7190.3616279069765</v>
      </c>
      <c r="K1126" s="199">
        <f>IFERROR('Mail Merge'!$F1126/'Mail Merge'!$D1126,0)</f>
        <v>1683.2553488372091</v>
      </c>
      <c r="L1126" s="199">
        <f>IFERROR('Mail Merge'!$G1126/'Mail Merge'!$D1126,0)</f>
        <v>8873.6169767441861</v>
      </c>
      <c r="M1126" s="199">
        <v>0</v>
      </c>
      <c r="N1126" s="199" t="s">
        <v>241</v>
      </c>
      <c r="O1126" s="199">
        <v>78341.81</v>
      </c>
      <c r="P1126" s="199">
        <v>1377.04</v>
      </c>
      <c r="Q1126" s="199">
        <f>'Mail Merge'!$O1126+'Mail Merge'!$P1126</f>
        <v>79718.849999999991</v>
      </c>
      <c r="R1126" s="199"/>
      <c r="S1126" s="199"/>
      <c r="T1126" s="199"/>
      <c r="U1126" s="199">
        <f>IF(AND('Mail Merge'!$I1126="Did Not Meet",'Mail Merge'!$N1126="Did Not Meet"),MIN(ABS('Mail Merge'!$H1126),ABS('Mail Merge'!$M1126),'Mail Merge'!$Q1126),0)</f>
        <v>0</v>
      </c>
      <c r="V1126" s="199" t="str">
        <f>IF(OR(IFERROR(SEARCH("Met",'Mail Merge'!$N1126),0)&gt;0,IFERROR(SEARCH("Met",'Mail Merge'!$I1126),0)&gt;0),"Met","Not Met")</f>
        <v>Met</v>
      </c>
    </row>
    <row r="1127" spans="1:22" x14ac:dyDescent="0.35">
      <c r="A1127" s="200" t="s">
        <v>163</v>
      </c>
      <c r="B1127" s="201">
        <v>2016</v>
      </c>
      <c r="C1127" s="201" t="s">
        <v>41</v>
      </c>
      <c r="D1127" s="201">
        <v>1</v>
      </c>
      <c r="E1127" s="201">
        <v>31465.02</v>
      </c>
      <c r="F1127" s="201">
        <v>6099</v>
      </c>
      <c r="G1127" s="201">
        <f>'Mail Merge'!$E1127+'Mail Merge'!$F1127</f>
        <v>37564.020000000004</v>
      </c>
      <c r="H1127" s="201">
        <v>0</v>
      </c>
      <c r="I1127" s="201" t="s">
        <v>241</v>
      </c>
      <c r="J1127" s="201">
        <f>IFERROR('Mail Merge'!$E1127/'Mail Merge'!$D1127,0)</f>
        <v>31465.02</v>
      </c>
      <c r="K1127" s="201">
        <f>IFERROR('Mail Merge'!$F1127/'Mail Merge'!$D1127,0)</f>
        <v>6099</v>
      </c>
      <c r="L1127" s="201">
        <f>IFERROR('Mail Merge'!$G1127/'Mail Merge'!$D1127,0)</f>
        <v>37564.020000000004</v>
      </c>
      <c r="M1127" s="201">
        <v>0</v>
      </c>
      <c r="N1127" s="201" t="s">
        <v>241</v>
      </c>
      <c r="O1127" s="201">
        <v>0</v>
      </c>
      <c r="P1127" s="201">
        <v>0</v>
      </c>
      <c r="Q1127" s="201">
        <f>'Mail Merge'!$O1127+'Mail Merge'!$P1127</f>
        <v>0</v>
      </c>
      <c r="R1127" s="201"/>
      <c r="S1127" s="201"/>
      <c r="T1127" s="201"/>
      <c r="U1127" s="201">
        <f>IF(AND('Mail Merge'!$I1127="Did Not Meet",'Mail Merge'!$N1127="Did Not Meet"),MIN(ABS('Mail Merge'!$H1127),ABS('Mail Merge'!$M1127),'Mail Merge'!$Q1127),0)</f>
        <v>0</v>
      </c>
      <c r="V1127" s="201" t="str">
        <f>IF(OR(IFERROR(SEARCH("Met",'Mail Merge'!$N1127),0)&gt;0,IFERROR(SEARCH("Met",'Mail Merge'!$I1127),0)&gt;0),"Met","Not Met")</f>
        <v>Met</v>
      </c>
    </row>
    <row r="1128" spans="1:22" x14ac:dyDescent="0.35">
      <c r="A1128" s="198" t="s">
        <v>164</v>
      </c>
      <c r="B1128" s="199">
        <v>1897</v>
      </c>
      <c r="C1128" s="199" t="s">
        <v>41</v>
      </c>
      <c r="D1128" s="199">
        <v>27</v>
      </c>
      <c r="E1128" s="199">
        <v>159008.70000000001</v>
      </c>
      <c r="F1128" s="199">
        <v>0</v>
      </c>
      <c r="G1128" s="199">
        <f>'Mail Merge'!$E1128+'Mail Merge'!$F1128</f>
        <v>159008.70000000001</v>
      </c>
      <c r="H1128" s="199">
        <v>0</v>
      </c>
      <c r="I1128" s="199" t="s">
        <v>241</v>
      </c>
      <c r="J1128" s="199">
        <f>IFERROR('Mail Merge'!$E1128/'Mail Merge'!$D1128,0)</f>
        <v>5889.2111111111117</v>
      </c>
      <c r="K1128" s="199">
        <f>IFERROR('Mail Merge'!$F1128/'Mail Merge'!$D1128,0)</f>
        <v>0</v>
      </c>
      <c r="L1128" s="199">
        <f>IFERROR('Mail Merge'!$G1128/'Mail Merge'!$D1128,0)</f>
        <v>5889.2111111111117</v>
      </c>
      <c r="M1128" s="199">
        <v>0</v>
      </c>
      <c r="N1128" s="199" t="s">
        <v>242</v>
      </c>
      <c r="O1128" s="199">
        <v>30394.63</v>
      </c>
      <c r="P1128" s="199">
        <v>0</v>
      </c>
      <c r="Q1128" s="199">
        <f>'Mail Merge'!$O1128+'Mail Merge'!$P1128</f>
        <v>30394.63</v>
      </c>
      <c r="R1128" s="199"/>
      <c r="S1128" s="199"/>
      <c r="T1128" s="199"/>
      <c r="U1128" s="199">
        <f>IF(AND('Mail Merge'!$I1128="Did Not Meet",'Mail Merge'!$N1128="Did Not Meet"),MIN(ABS('Mail Merge'!$H1128),ABS('Mail Merge'!$M1128),'Mail Merge'!$Q1128),0)</f>
        <v>0</v>
      </c>
      <c r="V1128" s="199" t="str">
        <f>IF(OR(IFERROR(SEARCH("Met",'Mail Merge'!$N1128),0)&gt;0,IFERROR(SEARCH("Met",'Mail Merge'!$I1128),0)&gt;0),"Met","Not Met")</f>
        <v>Met</v>
      </c>
    </row>
    <row r="1129" spans="1:22" x14ac:dyDescent="0.35">
      <c r="A1129" s="200" t="s">
        <v>165</v>
      </c>
      <c r="B1129" s="201">
        <v>2047</v>
      </c>
      <c r="C1129" s="201" t="s">
        <v>41</v>
      </c>
      <c r="D1129" s="201">
        <v>2</v>
      </c>
      <c r="E1129" s="201">
        <v>8438</v>
      </c>
      <c r="F1129" s="201">
        <v>4386.17</v>
      </c>
      <c r="G1129" s="201">
        <f>'Mail Merge'!$E1129+'Mail Merge'!$F1129</f>
        <v>12824.17</v>
      </c>
      <c r="H1129" s="201">
        <v>2504.59</v>
      </c>
      <c r="I1129" s="201" t="s">
        <v>240</v>
      </c>
      <c r="J1129" s="201">
        <f>IFERROR('Mail Merge'!$E1129/'Mail Merge'!$D1129,0)</f>
        <v>4219</v>
      </c>
      <c r="K1129" s="201">
        <f>IFERROR('Mail Merge'!$F1129/'Mail Merge'!$D1129,0)</f>
        <v>2193.085</v>
      </c>
      <c r="L1129" s="201">
        <f>IFERROR('Mail Merge'!$G1129/'Mail Merge'!$D1129,0)</f>
        <v>6412.085</v>
      </c>
      <c r="M1129" s="201">
        <v>2504.59</v>
      </c>
      <c r="N1129" s="201" t="s">
        <v>240</v>
      </c>
      <c r="O1129" s="201">
        <v>8063.82</v>
      </c>
      <c r="P1129" s="201">
        <v>918.03</v>
      </c>
      <c r="Q1129" s="201">
        <f>'Mail Merge'!$O1129+'Mail Merge'!$P1129</f>
        <v>8981.85</v>
      </c>
      <c r="R1129" s="201"/>
      <c r="S1129" s="201"/>
      <c r="T1129" s="201"/>
      <c r="U1129" s="201">
        <f>IF(AND('Mail Merge'!$I1129="Did Not Meet",'Mail Merge'!$N1129="Did Not Meet"),MIN(ABS('Mail Merge'!$H1129),ABS('Mail Merge'!$M1129),'Mail Merge'!$Q1129),0)</f>
        <v>2504.59</v>
      </c>
      <c r="V1129" s="201" t="str">
        <f>IF(OR(IFERROR(SEARCH("Met",'Mail Merge'!$N1129),0)&gt;0,IFERROR(SEARCH("Met",'Mail Merge'!$I1129),0)&gt;0),"Met","Not Met")</f>
        <v>Not Met</v>
      </c>
    </row>
    <row r="1130" spans="1:22" x14ac:dyDescent="0.35">
      <c r="A1130" s="198" t="s">
        <v>166</v>
      </c>
      <c r="B1130" s="199">
        <v>2081</v>
      </c>
      <c r="C1130" s="199" t="s">
        <v>41</v>
      </c>
      <c r="D1130" s="199">
        <v>130</v>
      </c>
      <c r="E1130" s="199">
        <v>1062604.82</v>
      </c>
      <c r="F1130" s="199">
        <v>277421</v>
      </c>
      <c r="G1130" s="199">
        <f>'Mail Merge'!$E1130+'Mail Merge'!$F1130</f>
        <v>1340025.82</v>
      </c>
      <c r="H1130" s="199">
        <v>0</v>
      </c>
      <c r="I1130" s="199" t="s">
        <v>241</v>
      </c>
      <c r="J1130" s="199">
        <f>IFERROR('Mail Merge'!$E1130/'Mail Merge'!$D1130,0)</f>
        <v>8173.883230769231</v>
      </c>
      <c r="K1130" s="199">
        <f>IFERROR('Mail Merge'!$F1130/'Mail Merge'!$D1130,0)</f>
        <v>2134.0076923076922</v>
      </c>
      <c r="L1130" s="199">
        <f>IFERROR('Mail Merge'!$G1130/'Mail Merge'!$D1130,0)</f>
        <v>10307.890923076924</v>
      </c>
      <c r="M1130" s="199">
        <v>132977.57999999999</v>
      </c>
      <c r="N1130" s="199" t="s">
        <v>240</v>
      </c>
      <c r="O1130" s="199">
        <v>175160.32000000001</v>
      </c>
      <c r="P1130" s="199">
        <v>918.03</v>
      </c>
      <c r="Q1130" s="199">
        <f>'Mail Merge'!$O1130+'Mail Merge'!$P1130</f>
        <v>176078.35</v>
      </c>
      <c r="R1130" s="199"/>
      <c r="S1130" s="199"/>
      <c r="T1130" s="199"/>
      <c r="U1130" s="199">
        <f>IF(AND('Mail Merge'!$I1130="Did Not Meet",'Mail Merge'!$N1130="Did Not Meet"),MIN(ABS('Mail Merge'!$H1130),ABS('Mail Merge'!$M1130),'Mail Merge'!$Q1130),0)</f>
        <v>0</v>
      </c>
      <c r="V1130" s="199" t="str">
        <f>IF(OR(IFERROR(SEARCH("Met",'Mail Merge'!$N1130),0)&gt;0,IFERROR(SEARCH("Met",'Mail Merge'!$I1130),0)&gt;0),"Met","Not Met")</f>
        <v>Met</v>
      </c>
    </row>
    <row r="1131" spans="1:22" x14ac:dyDescent="0.35">
      <c r="A1131" s="200" t="s">
        <v>167</v>
      </c>
      <c r="B1131" s="201">
        <v>2062</v>
      </c>
      <c r="C1131" s="201" t="s">
        <v>41</v>
      </c>
      <c r="D1131" s="201">
        <v>3</v>
      </c>
      <c r="E1131" s="201">
        <v>0</v>
      </c>
      <c r="F1131" s="201">
        <v>12762.13</v>
      </c>
      <c r="G1131" s="201">
        <f>'Mail Merge'!$E1131+'Mail Merge'!$F1131</f>
        <v>12762.13</v>
      </c>
      <c r="H1131" s="201">
        <v>0</v>
      </c>
      <c r="I1131" s="201" t="s">
        <v>241</v>
      </c>
      <c r="J1131" s="201">
        <f>IFERROR('Mail Merge'!$E1131/'Mail Merge'!$D1131,0)</f>
        <v>0</v>
      </c>
      <c r="K1131" s="201">
        <f>IFERROR('Mail Merge'!$F1131/'Mail Merge'!$D1131,0)</f>
        <v>4254.0433333333331</v>
      </c>
      <c r="L1131" s="201">
        <f>IFERROR('Mail Merge'!$G1131/'Mail Merge'!$D1131,0)</f>
        <v>4254.0433333333331</v>
      </c>
      <c r="M1131" s="201">
        <v>6501.38</v>
      </c>
      <c r="N1131" s="201" t="s">
        <v>240</v>
      </c>
      <c r="O1131" s="201">
        <v>2315.15</v>
      </c>
      <c r="P1131" s="201">
        <v>0</v>
      </c>
      <c r="Q1131" s="201">
        <f>'Mail Merge'!$O1131+'Mail Merge'!$P1131</f>
        <v>2315.15</v>
      </c>
      <c r="R1131" s="201"/>
      <c r="S1131" s="201"/>
      <c r="T1131" s="201"/>
      <c r="U1131" s="201">
        <f>IF(AND('Mail Merge'!$I1131="Did Not Meet",'Mail Merge'!$N1131="Did Not Meet"),MIN(ABS('Mail Merge'!$H1131),ABS('Mail Merge'!$M1131),'Mail Merge'!$Q1131),0)</f>
        <v>0</v>
      </c>
      <c r="V1131" s="201" t="str">
        <f>IF(OR(IFERROR(SEARCH("Met",'Mail Merge'!$N1131),0)&gt;0,IFERROR(SEARCH("Met",'Mail Merge'!$I1131),0)&gt;0),"Met","Not Met")</f>
        <v>Met</v>
      </c>
    </row>
    <row r="1132" spans="1:22" x14ac:dyDescent="0.35">
      <c r="A1132" s="198" t="s">
        <v>168</v>
      </c>
      <c r="B1132" s="199">
        <v>1973</v>
      </c>
      <c r="C1132" s="199" t="s">
        <v>41</v>
      </c>
      <c r="D1132" s="199">
        <v>20</v>
      </c>
      <c r="E1132" s="199">
        <v>168618.46</v>
      </c>
      <c r="F1132" s="199">
        <v>85193</v>
      </c>
      <c r="G1132" s="199">
        <f>'Mail Merge'!$E1132+'Mail Merge'!$F1132</f>
        <v>253811.46</v>
      </c>
      <c r="H1132" s="199">
        <v>0</v>
      </c>
      <c r="I1132" s="199" t="s">
        <v>242</v>
      </c>
      <c r="J1132" s="199">
        <f>IFERROR('Mail Merge'!$E1132/'Mail Merge'!$D1132,0)</f>
        <v>8430.9229999999989</v>
      </c>
      <c r="K1132" s="199">
        <f>IFERROR('Mail Merge'!$F1132/'Mail Merge'!$D1132,0)</f>
        <v>4259.6499999999996</v>
      </c>
      <c r="L1132" s="199">
        <f>IFERROR('Mail Merge'!$G1132/'Mail Merge'!$D1132,0)</f>
        <v>12690.573</v>
      </c>
      <c r="M1132" s="199">
        <v>0</v>
      </c>
      <c r="N1132" s="199" t="s">
        <v>241</v>
      </c>
      <c r="O1132" s="199">
        <v>63545.46</v>
      </c>
      <c r="P1132" s="199">
        <v>765.02</v>
      </c>
      <c r="Q1132" s="199">
        <f>'Mail Merge'!$O1132+'Mail Merge'!$P1132</f>
        <v>64310.479999999996</v>
      </c>
      <c r="R1132" s="199"/>
      <c r="S1132" s="199">
        <v>46432.21</v>
      </c>
      <c r="T1132" s="199">
        <v>46432.21</v>
      </c>
      <c r="U1132" s="199">
        <f>IF(AND('Mail Merge'!$I1132="Did Not Meet",'Mail Merge'!$N1132="Did Not Meet"),MIN(ABS('Mail Merge'!$H1132),ABS('Mail Merge'!$M1132),'Mail Merge'!$Q1132),0)</f>
        <v>0</v>
      </c>
      <c r="V1132" s="199" t="str">
        <f>IF(OR(IFERROR(SEARCH("Met",'Mail Merge'!$N1132),0)&gt;0,IFERROR(SEARCH("Met",'Mail Merge'!$I1132),0)&gt;0),"Met","Not Met")</f>
        <v>Met</v>
      </c>
    </row>
    <row r="1133" spans="1:22" x14ac:dyDescent="0.35">
      <c r="A1133" s="200" t="s">
        <v>169</v>
      </c>
      <c r="B1133" s="201">
        <v>2180</v>
      </c>
      <c r="C1133" s="201" t="s">
        <v>41</v>
      </c>
      <c r="D1133" s="201">
        <v>6890</v>
      </c>
      <c r="E1133" s="201">
        <v>76515109.239999995</v>
      </c>
      <c r="F1133" s="201">
        <v>815492.02</v>
      </c>
      <c r="G1133" s="201">
        <f>'Mail Merge'!$E1133+'Mail Merge'!$F1133</f>
        <v>77330601.25999999</v>
      </c>
      <c r="H1133" s="201">
        <v>0</v>
      </c>
      <c r="I1133" s="201" t="s">
        <v>241</v>
      </c>
      <c r="J1133" s="201">
        <f>IFERROR('Mail Merge'!$E1133/'Mail Merge'!$D1133,0)</f>
        <v>11105.240818577648</v>
      </c>
      <c r="K1133" s="201">
        <f>IFERROR('Mail Merge'!$F1133/'Mail Merge'!$D1133,0)</f>
        <v>118.35878374455733</v>
      </c>
      <c r="L1133" s="201">
        <f>IFERROR('Mail Merge'!$G1133/'Mail Merge'!$D1133,0)</f>
        <v>11223.599602322205</v>
      </c>
      <c r="M1133" s="201">
        <v>0</v>
      </c>
      <c r="N1133" s="201" t="s">
        <v>241</v>
      </c>
      <c r="O1133" s="201">
        <v>7804486.8200000003</v>
      </c>
      <c r="P1133" s="201">
        <v>91704.02</v>
      </c>
      <c r="Q1133" s="201">
        <f>'Mail Merge'!$O1133+'Mail Merge'!$P1133</f>
        <v>7896190.8399999999</v>
      </c>
      <c r="R1133" s="201"/>
      <c r="S1133" s="201"/>
      <c r="T1133" s="201"/>
      <c r="U1133" s="201">
        <f>IF(AND('Mail Merge'!$I1133="Did Not Meet",'Mail Merge'!$N1133="Did Not Meet"),MIN(ABS('Mail Merge'!$H1133),ABS('Mail Merge'!$M1133),'Mail Merge'!$Q1133),0)</f>
        <v>0</v>
      </c>
      <c r="V1133" s="201" t="str">
        <f>IF(OR(IFERROR(SEARCH("Met",'Mail Merge'!$N1133),0)&gt;0,IFERROR(SEARCH("Met",'Mail Merge'!$I1133),0)&gt;0),"Met","Not Met")</f>
        <v>Met</v>
      </c>
    </row>
    <row r="1134" spans="1:22" x14ac:dyDescent="0.35">
      <c r="A1134" s="198" t="s">
        <v>170</v>
      </c>
      <c r="B1134" s="199">
        <v>1967</v>
      </c>
      <c r="C1134" s="199" t="s">
        <v>41</v>
      </c>
      <c r="D1134" s="199">
        <v>18</v>
      </c>
      <c r="E1134" s="199">
        <v>118397.54</v>
      </c>
      <c r="F1134" s="199">
        <v>30456</v>
      </c>
      <c r="G1134" s="199">
        <f>'Mail Merge'!$E1134+'Mail Merge'!$F1134</f>
        <v>148853.53999999998</v>
      </c>
      <c r="H1134" s="199">
        <v>0</v>
      </c>
      <c r="I1134" s="199" t="s">
        <v>242</v>
      </c>
      <c r="J1134" s="199">
        <f>IFERROR('Mail Merge'!$E1134/'Mail Merge'!$D1134,0)</f>
        <v>6577.6411111111111</v>
      </c>
      <c r="K1134" s="199">
        <f>IFERROR('Mail Merge'!$F1134/'Mail Merge'!$D1134,0)</f>
        <v>1692</v>
      </c>
      <c r="L1134" s="199">
        <f>IFERROR('Mail Merge'!$G1134/'Mail Merge'!$D1134,0)</f>
        <v>8269.6411111111101</v>
      </c>
      <c r="M1134" s="199">
        <v>0</v>
      </c>
      <c r="N1134" s="199" t="s">
        <v>242</v>
      </c>
      <c r="O1134" s="199">
        <v>30527.64</v>
      </c>
      <c r="P1134" s="199">
        <v>0</v>
      </c>
      <c r="Q1134" s="199">
        <f>'Mail Merge'!$O1134+'Mail Merge'!$P1134</f>
        <v>30527.64</v>
      </c>
      <c r="R1134" s="199"/>
      <c r="S1134" s="199">
        <v>6973.32</v>
      </c>
      <c r="T1134" s="199">
        <v>43296.78</v>
      </c>
      <c r="U1134" s="199">
        <f>IF(AND('Mail Merge'!$I1134="Did Not Meet",'Mail Merge'!$N1134="Did Not Meet"),MIN(ABS('Mail Merge'!$H1134),ABS('Mail Merge'!$M1134),'Mail Merge'!$Q1134),0)</f>
        <v>0</v>
      </c>
      <c r="V1134" s="199" t="str">
        <f>IF(OR(IFERROR(SEARCH("Met",'Mail Merge'!$N1134),0)&gt;0,IFERROR(SEARCH("Met",'Mail Merge'!$I1134),0)&gt;0),"Met","Not Met")</f>
        <v>Met</v>
      </c>
    </row>
    <row r="1135" spans="1:22" x14ac:dyDescent="0.35">
      <c r="A1135" s="200" t="s">
        <v>171</v>
      </c>
      <c r="B1135" s="201">
        <v>2009</v>
      </c>
      <c r="C1135" s="201" t="s">
        <v>41</v>
      </c>
      <c r="D1135" s="201">
        <v>26</v>
      </c>
      <c r="E1135" s="201">
        <v>136238.97</v>
      </c>
      <c r="F1135" s="201">
        <v>99322.93</v>
      </c>
      <c r="G1135" s="201">
        <f>'Mail Merge'!$E1135+'Mail Merge'!$F1135</f>
        <v>235561.9</v>
      </c>
      <c r="H1135" s="201">
        <v>0</v>
      </c>
      <c r="I1135" s="201" t="s">
        <v>241</v>
      </c>
      <c r="J1135" s="201">
        <f>IFERROR('Mail Merge'!$E1135/'Mail Merge'!$D1135,0)</f>
        <v>5239.960384615385</v>
      </c>
      <c r="K1135" s="201">
        <f>IFERROR('Mail Merge'!$F1135/'Mail Merge'!$D1135,0)</f>
        <v>3820.1126923076922</v>
      </c>
      <c r="L1135" s="201">
        <f>IFERROR('Mail Merge'!$G1135/'Mail Merge'!$D1135,0)</f>
        <v>9060.0730769230759</v>
      </c>
      <c r="M1135" s="201">
        <v>0</v>
      </c>
      <c r="N1135" s="201" t="s">
        <v>241</v>
      </c>
      <c r="O1135" s="201">
        <v>28821.13</v>
      </c>
      <c r="P1135" s="201">
        <v>918.03</v>
      </c>
      <c r="Q1135" s="201">
        <f>'Mail Merge'!$O1135+'Mail Merge'!$P1135</f>
        <v>29739.16</v>
      </c>
      <c r="R1135" s="201"/>
      <c r="S1135" s="201"/>
      <c r="T1135" s="201"/>
      <c r="U1135" s="201">
        <f>IF(AND('Mail Merge'!$I1135="Did Not Meet",'Mail Merge'!$N1135="Did Not Meet"),MIN(ABS('Mail Merge'!$H1135),ABS('Mail Merge'!$M1135),'Mail Merge'!$Q1135),0)</f>
        <v>0</v>
      </c>
      <c r="V1135" s="201" t="str">
        <f>IF(OR(IFERROR(SEARCH("Met",'Mail Merge'!$N1135),0)&gt;0,IFERROR(SEARCH("Met",'Mail Merge'!$I1135),0)&gt;0),"Met","Not Met")</f>
        <v>Met</v>
      </c>
    </row>
    <row r="1136" spans="1:22" x14ac:dyDescent="0.35">
      <c r="A1136" s="198" t="s">
        <v>172</v>
      </c>
      <c r="B1136" s="199">
        <v>2045</v>
      </c>
      <c r="C1136" s="199" t="s">
        <v>41</v>
      </c>
      <c r="D1136" s="199">
        <v>21</v>
      </c>
      <c r="E1136" s="199">
        <v>154254.81</v>
      </c>
      <c r="F1136" s="199">
        <v>86920.3</v>
      </c>
      <c r="G1136" s="199">
        <f>'Mail Merge'!$E1136+'Mail Merge'!$F1136</f>
        <v>241175.11</v>
      </c>
      <c r="H1136" s="199">
        <v>4140.82</v>
      </c>
      <c r="I1136" s="199" t="s">
        <v>240</v>
      </c>
      <c r="J1136" s="199">
        <f>IFERROR('Mail Merge'!$E1136/'Mail Merge'!$D1136,0)</f>
        <v>7345.4671428571428</v>
      </c>
      <c r="K1136" s="199">
        <f>IFERROR('Mail Merge'!$F1136/'Mail Merge'!$D1136,0)</f>
        <v>4139.0619047619048</v>
      </c>
      <c r="L1136" s="199">
        <f>IFERROR('Mail Merge'!$G1136/'Mail Merge'!$D1136,0)</f>
        <v>11484.529047619048</v>
      </c>
      <c r="M1136" s="199">
        <v>61862.22</v>
      </c>
      <c r="N1136" s="199" t="s">
        <v>240</v>
      </c>
      <c r="O1136" s="199">
        <v>37552.050000000003</v>
      </c>
      <c r="P1136" s="199">
        <v>918.03</v>
      </c>
      <c r="Q1136" s="199">
        <f>'Mail Merge'!$O1136+'Mail Merge'!$P1136</f>
        <v>38470.080000000002</v>
      </c>
      <c r="R1136" s="199"/>
      <c r="S1136" s="199"/>
      <c r="T1136" s="199"/>
      <c r="U1136" s="199">
        <f>IF(AND('Mail Merge'!$I1136="Did Not Meet",'Mail Merge'!$N1136="Did Not Meet"),MIN(ABS('Mail Merge'!$H1136),ABS('Mail Merge'!$M1136),'Mail Merge'!$Q1136),0)</f>
        <v>4140.82</v>
      </c>
      <c r="V1136" s="199" t="str">
        <f>IF(OR(IFERROR(SEARCH("Met",'Mail Merge'!$N1136),0)&gt;0,IFERROR(SEARCH("Met",'Mail Merge'!$I1136),0)&gt;0),"Met","Not Met")</f>
        <v>Not Met</v>
      </c>
    </row>
    <row r="1137" spans="1:22" x14ac:dyDescent="0.35">
      <c r="A1137" s="200" t="s">
        <v>173</v>
      </c>
      <c r="B1137" s="201">
        <v>1946</v>
      </c>
      <c r="C1137" s="201" t="s">
        <v>41</v>
      </c>
      <c r="D1137" s="201">
        <v>105</v>
      </c>
      <c r="E1137" s="201">
        <v>1377137.23</v>
      </c>
      <c r="F1137" s="201">
        <v>131707</v>
      </c>
      <c r="G1137" s="201">
        <f>'Mail Merge'!$E1137+'Mail Merge'!$F1137</f>
        <v>1508844.23</v>
      </c>
      <c r="H1137" s="201">
        <v>0</v>
      </c>
      <c r="I1137" s="201" t="s">
        <v>242</v>
      </c>
      <c r="J1137" s="201">
        <f>IFERROR('Mail Merge'!$E1137/'Mail Merge'!$D1137,0)</f>
        <v>13115.592666666667</v>
      </c>
      <c r="K1137" s="201">
        <f>IFERROR('Mail Merge'!$F1137/'Mail Merge'!$D1137,0)</f>
        <v>1254.3523809523811</v>
      </c>
      <c r="L1137" s="201">
        <f>IFERROR('Mail Merge'!$G1137/'Mail Merge'!$D1137,0)</f>
        <v>14369.945047619047</v>
      </c>
      <c r="M1137" s="201">
        <v>0</v>
      </c>
      <c r="N1137" s="201" t="s">
        <v>241</v>
      </c>
      <c r="O1137" s="201">
        <v>188579.06</v>
      </c>
      <c r="P1137" s="201">
        <v>510.01</v>
      </c>
      <c r="Q1137" s="201">
        <f>'Mail Merge'!$O1137+'Mail Merge'!$P1137</f>
        <v>189089.07</v>
      </c>
      <c r="R1137" s="201"/>
      <c r="S1137" s="201">
        <v>219331.35</v>
      </c>
      <c r="T1137" s="201">
        <v>219331.35</v>
      </c>
      <c r="U1137" s="201">
        <f>IF(AND('Mail Merge'!$I1137="Did Not Meet",'Mail Merge'!$N1137="Did Not Meet"),MIN(ABS('Mail Merge'!$H1137),ABS('Mail Merge'!$M1137),'Mail Merge'!$Q1137),0)</f>
        <v>0</v>
      </c>
      <c r="V1137" s="201" t="str">
        <f>IF(OR(IFERROR(SEARCH("Met",'Mail Merge'!$N1137),0)&gt;0,IFERROR(SEARCH("Met",'Mail Merge'!$I1137),0)&gt;0),"Met","Not Met")</f>
        <v>Met</v>
      </c>
    </row>
    <row r="1138" spans="1:22" x14ac:dyDescent="0.35">
      <c r="A1138" s="198" t="s">
        <v>174</v>
      </c>
      <c r="B1138" s="199">
        <v>1977</v>
      </c>
      <c r="C1138" s="199" t="s">
        <v>41</v>
      </c>
      <c r="D1138" s="199">
        <v>966</v>
      </c>
      <c r="E1138" s="199">
        <v>8138093.5999999996</v>
      </c>
      <c r="F1138" s="199">
        <v>1310559.29</v>
      </c>
      <c r="G1138" s="199">
        <f>'Mail Merge'!$E1138+'Mail Merge'!$F1138</f>
        <v>9448652.8900000006</v>
      </c>
      <c r="H1138" s="199">
        <v>0</v>
      </c>
      <c r="I1138" s="199" t="s">
        <v>241</v>
      </c>
      <c r="J1138" s="199">
        <f>IFERROR('Mail Merge'!$E1138/'Mail Merge'!$D1138,0)</f>
        <v>8424.5275362318844</v>
      </c>
      <c r="K1138" s="199">
        <f>IFERROR('Mail Merge'!$F1138/'Mail Merge'!$D1138,0)</f>
        <v>1356.6866356107662</v>
      </c>
      <c r="L1138" s="199">
        <f>IFERROR('Mail Merge'!$G1138/'Mail Merge'!$D1138,0)</f>
        <v>9781.2141718426501</v>
      </c>
      <c r="M1138" s="199">
        <v>0</v>
      </c>
      <c r="N1138" s="199" t="s">
        <v>241</v>
      </c>
      <c r="O1138" s="199">
        <v>1026403.06</v>
      </c>
      <c r="P1138" s="199">
        <v>4437.13</v>
      </c>
      <c r="Q1138" s="199">
        <f>'Mail Merge'!$O1138+'Mail Merge'!$P1138</f>
        <v>1030840.1900000001</v>
      </c>
      <c r="R1138" s="199"/>
      <c r="S1138" s="199"/>
      <c r="T1138" s="199"/>
      <c r="U1138" s="199">
        <f>IF(AND('Mail Merge'!$I1138="Did Not Meet",'Mail Merge'!$N1138="Did Not Meet"),MIN(ABS('Mail Merge'!$H1138),ABS('Mail Merge'!$M1138),'Mail Merge'!$Q1138),0)</f>
        <v>0</v>
      </c>
      <c r="V1138" s="199" t="str">
        <f>IF(OR(IFERROR(SEARCH("Met",'Mail Merge'!$N1138),0)&gt;0,IFERROR(SEARCH("Met",'Mail Merge'!$I1138),0)&gt;0),"Met","Not Met")</f>
        <v>Met</v>
      </c>
    </row>
    <row r="1139" spans="1:22" x14ac:dyDescent="0.35">
      <c r="A1139" s="200" t="s">
        <v>175</v>
      </c>
      <c r="B1139" s="201">
        <v>2001</v>
      </c>
      <c r="C1139" s="201" t="s">
        <v>41</v>
      </c>
      <c r="D1139" s="201">
        <v>104</v>
      </c>
      <c r="E1139" s="201">
        <v>821647.92</v>
      </c>
      <c r="F1139" s="201">
        <v>231049</v>
      </c>
      <c r="G1139" s="201">
        <f>'Mail Merge'!$E1139+'Mail Merge'!$F1139</f>
        <v>1052696.92</v>
      </c>
      <c r="H1139" s="201">
        <v>0</v>
      </c>
      <c r="I1139" s="201" t="s">
        <v>241</v>
      </c>
      <c r="J1139" s="201">
        <f>IFERROR('Mail Merge'!$E1139/'Mail Merge'!$D1139,0)</f>
        <v>7900.46076923077</v>
      </c>
      <c r="K1139" s="201">
        <f>IFERROR('Mail Merge'!$F1139/'Mail Merge'!$D1139,0)</f>
        <v>2221.625</v>
      </c>
      <c r="L1139" s="201">
        <f>IFERROR('Mail Merge'!$G1139/'Mail Merge'!$D1139,0)</f>
        <v>10122.085769230769</v>
      </c>
      <c r="M1139" s="201">
        <v>0</v>
      </c>
      <c r="N1139" s="201" t="s">
        <v>241</v>
      </c>
      <c r="O1139" s="201">
        <v>126777.9</v>
      </c>
      <c r="P1139" s="201">
        <v>2725.39</v>
      </c>
      <c r="Q1139" s="201">
        <f>'Mail Merge'!$O1139+'Mail Merge'!$P1139</f>
        <v>129503.29</v>
      </c>
      <c r="R1139" s="201"/>
      <c r="S1139" s="201"/>
      <c r="T1139" s="201"/>
      <c r="U1139" s="201">
        <f>IF(AND('Mail Merge'!$I1139="Did Not Meet",'Mail Merge'!$N1139="Did Not Meet"),MIN(ABS('Mail Merge'!$H1139),ABS('Mail Merge'!$M1139),'Mail Merge'!$Q1139),0)</f>
        <v>0</v>
      </c>
      <c r="V1139" s="201" t="str">
        <f>IF(OR(IFERROR(SEARCH("Met",'Mail Merge'!$N1139),0)&gt;0,IFERROR(SEARCH("Met",'Mail Merge'!$I1139),0)&gt;0),"Met","Not Met")</f>
        <v>Met</v>
      </c>
    </row>
    <row r="1140" spans="1:22" x14ac:dyDescent="0.35">
      <c r="A1140" s="198" t="s">
        <v>176</v>
      </c>
      <c r="B1140" s="199">
        <v>2182</v>
      </c>
      <c r="C1140" s="199" t="s">
        <v>41</v>
      </c>
      <c r="D1140" s="199">
        <v>1736</v>
      </c>
      <c r="E1140" s="199">
        <v>16645782.630000001</v>
      </c>
      <c r="F1140" s="199">
        <v>1078229.19</v>
      </c>
      <c r="G1140" s="199">
        <f>'Mail Merge'!$E1140+'Mail Merge'!$F1140</f>
        <v>17724011.82</v>
      </c>
      <c r="H1140" s="199">
        <v>0</v>
      </c>
      <c r="I1140" s="199" t="s">
        <v>241</v>
      </c>
      <c r="J1140" s="199">
        <f>IFERROR('Mail Merge'!$E1140/'Mail Merge'!$D1140,0)</f>
        <v>9588.5844642857155</v>
      </c>
      <c r="K1140" s="199">
        <f>IFERROR('Mail Merge'!$F1140/'Mail Merge'!$D1140,0)</f>
        <v>621.0997638248848</v>
      </c>
      <c r="L1140" s="199">
        <f>IFERROR('Mail Merge'!$G1140/'Mail Merge'!$D1140,0)</f>
        <v>10209.6842281106</v>
      </c>
      <c r="M1140" s="199">
        <v>358747.52</v>
      </c>
      <c r="N1140" s="199" t="s">
        <v>240</v>
      </c>
      <c r="O1140" s="199">
        <v>1709515.57</v>
      </c>
      <c r="P1140" s="199">
        <v>10456.17</v>
      </c>
      <c r="Q1140" s="199">
        <f>'Mail Merge'!$O1140+'Mail Merge'!$P1140</f>
        <v>1719971.74</v>
      </c>
      <c r="R1140" s="199"/>
      <c r="S1140" s="199"/>
      <c r="T1140" s="199"/>
      <c r="U1140" s="199">
        <f>IF(AND('Mail Merge'!$I1140="Did Not Meet",'Mail Merge'!$N1140="Did Not Meet"),MIN(ABS('Mail Merge'!$H1140),ABS('Mail Merge'!$M1140),'Mail Merge'!$Q1140),0)</f>
        <v>0</v>
      </c>
      <c r="V1140" s="199" t="str">
        <f>IF(OR(IFERROR(SEARCH("Met",'Mail Merge'!$N1140),0)&gt;0,IFERROR(SEARCH("Met",'Mail Merge'!$I1140),0)&gt;0),"Met","Not Met")</f>
        <v>Met</v>
      </c>
    </row>
    <row r="1141" spans="1:22" x14ac:dyDescent="0.35">
      <c r="A1141" s="200" t="s">
        <v>177</v>
      </c>
      <c r="B1141" s="201">
        <v>1999</v>
      </c>
      <c r="C1141" s="201" t="s">
        <v>41</v>
      </c>
      <c r="D1141" s="201">
        <v>72</v>
      </c>
      <c r="E1141" s="201">
        <v>490901.32</v>
      </c>
      <c r="F1141" s="201">
        <v>98511.99</v>
      </c>
      <c r="G1141" s="201">
        <f>'Mail Merge'!$E1141+'Mail Merge'!$F1141</f>
        <v>589413.31000000006</v>
      </c>
      <c r="H1141" s="201">
        <v>0</v>
      </c>
      <c r="I1141" s="201" t="s">
        <v>241</v>
      </c>
      <c r="J1141" s="201">
        <f>IFERROR('Mail Merge'!$E1141/'Mail Merge'!$D1141,0)</f>
        <v>6818.0738888888891</v>
      </c>
      <c r="K1141" s="201">
        <f>IFERROR('Mail Merge'!$F1141/'Mail Merge'!$D1141,0)</f>
        <v>1368.2220833333333</v>
      </c>
      <c r="L1141" s="201">
        <f>IFERROR('Mail Merge'!$G1141/'Mail Merge'!$D1141,0)</f>
        <v>8186.2959722222231</v>
      </c>
      <c r="M1141" s="201">
        <v>105124.36</v>
      </c>
      <c r="N1141" s="201" t="s">
        <v>240</v>
      </c>
      <c r="O1141" s="201">
        <v>66870.600000000006</v>
      </c>
      <c r="P1141" s="201">
        <v>0</v>
      </c>
      <c r="Q1141" s="201">
        <f>'Mail Merge'!$O1141+'Mail Merge'!$P1141</f>
        <v>66870.600000000006</v>
      </c>
      <c r="R1141" s="201"/>
      <c r="S1141" s="201"/>
      <c r="T1141" s="201"/>
      <c r="U1141" s="201">
        <f>IF(AND('Mail Merge'!$I1141="Did Not Meet",'Mail Merge'!$N1141="Did Not Meet"),MIN(ABS('Mail Merge'!$H1141),ABS('Mail Merge'!$M1141),'Mail Merge'!$Q1141),0)</f>
        <v>0</v>
      </c>
      <c r="V1141" s="201" t="str">
        <f>IF(OR(IFERROR(SEARCH("Met",'Mail Merge'!$N1141),0)&gt;0,IFERROR(SEARCH("Met",'Mail Merge'!$I1141),0)&gt;0),"Met","Not Met")</f>
        <v>Met</v>
      </c>
    </row>
    <row r="1142" spans="1:22" x14ac:dyDescent="0.35">
      <c r="A1142" s="198" t="s">
        <v>178</v>
      </c>
      <c r="B1142" s="199">
        <v>2188</v>
      </c>
      <c r="C1142" s="199" t="s">
        <v>41</v>
      </c>
      <c r="D1142" s="199">
        <v>57</v>
      </c>
      <c r="E1142" s="199">
        <v>365096.72</v>
      </c>
      <c r="F1142" s="199">
        <v>208440.74</v>
      </c>
      <c r="G1142" s="199">
        <f>'Mail Merge'!$E1142+'Mail Merge'!$F1142</f>
        <v>573537.46</v>
      </c>
      <c r="H1142" s="199">
        <v>0</v>
      </c>
      <c r="I1142" s="199" t="s">
        <v>241</v>
      </c>
      <c r="J1142" s="199">
        <f>IFERROR('Mail Merge'!$E1142/'Mail Merge'!$D1142,0)</f>
        <v>6405.2056140350869</v>
      </c>
      <c r="K1142" s="199">
        <f>IFERROR('Mail Merge'!$F1142/'Mail Merge'!$D1142,0)</f>
        <v>3656.8550877192979</v>
      </c>
      <c r="L1142" s="199">
        <f>IFERROR('Mail Merge'!$G1142/'Mail Merge'!$D1142,0)</f>
        <v>10062.060701754386</v>
      </c>
      <c r="M1142" s="199">
        <v>0</v>
      </c>
      <c r="N1142" s="199" t="s">
        <v>241</v>
      </c>
      <c r="O1142" s="199">
        <v>56529.05</v>
      </c>
      <c r="P1142" s="199">
        <v>229.51</v>
      </c>
      <c r="Q1142" s="199">
        <f>'Mail Merge'!$O1142+'Mail Merge'!$P1142</f>
        <v>56758.560000000005</v>
      </c>
      <c r="R1142" s="199"/>
      <c r="S1142" s="199"/>
      <c r="T1142" s="199"/>
      <c r="U1142" s="199">
        <f>IF(AND('Mail Merge'!$I1142="Did Not Meet",'Mail Merge'!$N1142="Did Not Meet"),MIN(ABS('Mail Merge'!$H1142),ABS('Mail Merge'!$M1142),'Mail Merge'!$Q1142),0)</f>
        <v>0</v>
      </c>
      <c r="V1142" s="199" t="str">
        <f>IF(OR(IFERROR(SEARCH("Met",'Mail Merge'!$N1142),0)&gt;0,IFERROR(SEARCH("Met",'Mail Merge'!$I1142),0)&gt;0),"Met","Not Met")</f>
        <v>Met</v>
      </c>
    </row>
    <row r="1143" spans="1:22" x14ac:dyDescent="0.35">
      <c r="A1143" s="200" t="s">
        <v>179</v>
      </c>
      <c r="B1143" s="201">
        <v>2044</v>
      </c>
      <c r="C1143" s="201" t="s">
        <v>41</v>
      </c>
      <c r="D1143" s="201">
        <v>138</v>
      </c>
      <c r="E1143" s="201">
        <v>852135.3</v>
      </c>
      <c r="F1143" s="201">
        <v>373749.22</v>
      </c>
      <c r="G1143" s="201">
        <f>'Mail Merge'!$E1143+'Mail Merge'!$F1143</f>
        <v>1225884.52</v>
      </c>
      <c r="H1143" s="201">
        <v>0</v>
      </c>
      <c r="I1143" s="201" t="s">
        <v>242</v>
      </c>
      <c r="J1143" s="201">
        <f>IFERROR('Mail Merge'!$E1143/'Mail Merge'!$D1143,0)</f>
        <v>6174.8934782608703</v>
      </c>
      <c r="K1143" s="201">
        <f>IFERROR('Mail Merge'!$F1143/'Mail Merge'!$D1143,0)</f>
        <v>2708.3276811594201</v>
      </c>
      <c r="L1143" s="201">
        <f>IFERROR('Mail Merge'!$G1143/'Mail Merge'!$D1143,0)</f>
        <v>8883.2211594202909</v>
      </c>
      <c r="M1143" s="201">
        <v>0</v>
      </c>
      <c r="N1143" s="201" t="s">
        <v>242</v>
      </c>
      <c r="O1143" s="201">
        <v>163255.31</v>
      </c>
      <c r="P1143" s="201">
        <v>1836.05</v>
      </c>
      <c r="Q1143" s="201">
        <f>'Mail Merge'!$O1143+'Mail Merge'!$P1143</f>
        <v>165091.35999999999</v>
      </c>
      <c r="R1143" s="201"/>
      <c r="S1143" s="201">
        <v>61795.92</v>
      </c>
      <c r="T1143" s="201">
        <v>208697.19</v>
      </c>
      <c r="U1143" s="201">
        <f>IF(AND('Mail Merge'!$I1143="Did Not Meet",'Mail Merge'!$N1143="Did Not Meet"),MIN(ABS('Mail Merge'!$H1143),ABS('Mail Merge'!$M1143),'Mail Merge'!$Q1143),0)</f>
        <v>0</v>
      </c>
      <c r="V1143" s="201" t="str">
        <f>IF(OR(IFERROR(SEARCH("Met",'Mail Merge'!$N1143),0)&gt;0,IFERROR(SEARCH("Met",'Mail Merge'!$I1143),0)&gt;0),"Met","Not Met")</f>
        <v>Met</v>
      </c>
    </row>
    <row r="1144" spans="1:22" x14ac:dyDescent="0.35">
      <c r="A1144" s="198" t="s">
        <v>180</v>
      </c>
      <c r="B1144" s="199">
        <v>2142</v>
      </c>
      <c r="C1144" s="199" t="s">
        <v>41</v>
      </c>
      <c r="D1144" s="199">
        <v>6602</v>
      </c>
      <c r="E1144" s="199">
        <v>72398958.599999994</v>
      </c>
      <c r="F1144" s="199">
        <v>0</v>
      </c>
      <c r="G1144" s="199">
        <f>'Mail Merge'!$E1144+'Mail Merge'!$F1144</f>
        <v>72398958.599999994</v>
      </c>
      <c r="H1144" s="199">
        <v>0</v>
      </c>
      <c r="I1144" s="199" t="s">
        <v>241</v>
      </c>
      <c r="J1144" s="199">
        <f>IFERROR('Mail Merge'!$E1144/'Mail Merge'!$D1144,0)</f>
        <v>10966.216086034534</v>
      </c>
      <c r="K1144" s="199">
        <f>IFERROR('Mail Merge'!$F1144/'Mail Merge'!$D1144,0)</f>
        <v>0</v>
      </c>
      <c r="L1144" s="199">
        <f>IFERROR('Mail Merge'!$G1144/'Mail Merge'!$D1144,0)</f>
        <v>10966.216086034534</v>
      </c>
      <c r="M1144" s="199">
        <v>0</v>
      </c>
      <c r="N1144" s="199" t="s">
        <v>241</v>
      </c>
      <c r="O1144" s="199">
        <v>6754059.96</v>
      </c>
      <c r="P1144" s="199">
        <v>37425.69</v>
      </c>
      <c r="Q1144" s="199">
        <f>'Mail Merge'!$O1144+'Mail Merge'!$P1144</f>
        <v>6791485.6500000004</v>
      </c>
      <c r="R1144" s="199"/>
      <c r="S1144" s="199"/>
      <c r="T1144" s="199"/>
      <c r="U1144" s="199">
        <f>IF(AND('Mail Merge'!$I1144="Did Not Meet",'Mail Merge'!$N1144="Did Not Meet"),MIN(ABS('Mail Merge'!$H1144),ABS('Mail Merge'!$M1144),'Mail Merge'!$Q1144),0)</f>
        <v>0</v>
      </c>
      <c r="V1144" s="199" t="str">
        <f>IF(OR(IFERROR(SEARCH("Met",'Mail Merge'!$N1144),0)&gt;0,IFERROR(SEARCH("Met",'Mail Merge'!$I1144),0)&gt;0),"Met","Not Met")</f>
        <v>Met</v>
      </c>
    </row>
    <row r="1145" spans="1:22" x14ac:dyDescent="0.35">
      <c r="A1145" s="200" t="s">
        <v>181</v>
      </c>
      <c r="B1145" s="201">
        <v>2104</v>
      </c>
      <c r="C1145" s="201" t="s">
        <v>41</v>
      </c>
      <c r="D1145" s="201">
        <v>564</v>
      </c>
      <c r="E1145" s="201">
        <v>2764044.37</v>
      </c>
      <c r="F1145" s="201">
        <v>357941</v>
      </c>
      <c r="G1145" s="201">
        <f>'Mail Merge'!$E1145+'Mail Merge'!$F1145</f>
        <v>3121985.37</v>
      </c>
      <c r="H1145" s="201">
        <v>0</v>
      </c>
      <c r="I1145" s="201" t="s">
        <v>241</v>
      </c>
      <c r="J1145" s="201">
        <f>IFERROR('Mail Merge'!$E1145/'Mail Merge'!$D1145,0)</f>
        <v>4900.787890070922</v>
      </c>
      <c r="K1145" s="201">
        <f>IFERROR('Mail Merge'!$F1145/'Mail Merge'!$D1145,0)</f>
        <v>634.64716312056737</v>
      </c>
      <c r="L1145" s="201">
        <f>IFERROR('Mail Merge'!$G1145/'Mail Merge'!$D1145,0)</f>
        <v>5535.4350531914897</v>
      </c>
      <c r="M1145" s="201">
        <v>2178382.96</v>
      </c>
      <c r="N1145" s="201" t="s">
        <v>240</v>
      </c>
      <c r="O1145" s="201">
        <v>125431.94</v>
      </c>
      <c r="P1145" s="201">
        <v>1147.53</v>
      </c>
      <c r="Q1145" s="201">
        <f>'Mail Merge'!$O1145+'Mail Merge'!$P1145</f>
        <v>126579.47</v>
      </c>
      <c r="R1145" s="201"/>
      <c r="S1145" s="201"/>
      <c r="T1145" s="201"/>
      <c r="U1145" s="201">
        <f>IF(AND('Mail Merge'!$I1145="Did Not Meet",'Mail Merge'!$N1145="Did Not Meet"),MIN(ABS('Mail Merge'!$H1145),ABS('Mail Merge'!$M1145),'Mail Merge'!$Q1145),0)</f>
        <v>0</v>
      </c>
      <c r="V1145" s="201" t="str">
        <f>IF(OR(IFERROR(SEARCH("Met",'Mail Merge'!$N1145),0)&gt;0,IFERROR(SEARCH("Met",'Mail Merge'!$I1145),0)&gt;0),"Met","Not Met")</f>
        <v>Met</v>
      </c>
    </row>
    <row r="1146" spans="1:22" x14ac:dyDescent="0.35">
      <c r="A1146" s="198" t="s">
        <v>182</v>
      </c>
      <c r="B1146" s="199">
        <v>1944</v>
      </c>
      <c r="C1146" s="199" t="s">
        <v>41</v>
      </c>
      <c r="D1146" s="199">
        <v>269</v>
      </c>
      <c r="E1146" s="199">
        <v>2375983.91</v>
      </c>
      <c r="F1146" s="199">
        <v>430338</v>
      </c>
      <c r="G1146" s="199">
        <f>'Mail Merge'!$E1146+'Mail Merge'!$F1146</f>
        <v>2806321.91</v>
      </c>
      <c r="H1146" s="199">
        <v>0</v>
      </c>
      <c r="I1146" s="199" t="s">
        <v>241</v>
      </c>
      <c r="J1146" s="199">
        <f>IFERROR('Mail Merge'!$E1146/'Mail Merge'!$D1146,0)</f>
        <v>8832.6539405204458</v>
      </c>
      <c r="K1146" s="199">
        <f>IFERROR('Mail Merge'!$F1146/'Mail Merge'!$D1146,0)</f>
        <v>1599.7695167286245</v>
      </c>
      <c r="L1146" s="199">
        <f>IFERROR('Mail Merge'!$G1146/'Mail Merge'!$D1146,0)</f>
        <v>10432.423457249071</v>
      </c>
      <c r="M1146" s="199">
        <v>124420.33</v>
      </c>
      <c r="N1146" s="199" t="s">
        <v>240</v>
      </c>
      <c r="O1146" s="199">
        <v>374782.44</v>
      </c>
      <c r="P1146" s="199">
        <v>2106.06</v>
      </c>
      <c r="Q1146" s="199">
        <f>'Mail Merge'!$O1146+'Mail Merge'!$P1146</f>
        <v>376888.5</v>
      </c>
      <c r="R1146" s="199"/>
      <c r="S1146" s="199"/>
      <c r="T1146" s="199"/>
      <c r="U1146" s="199">
        <f>IF(AND('Mail Merge'!$I1146="Did Not Meet",'Mail Merge'!$N1146="Did Not Meet"),MIN(ABS('Mail Merge'!$H1146),ABS('Mail Merge'!$M1146),'Mail Merge'!$Q1146),0)</f>
        <v>0</v>
      </c>
      <c r="V1146" s="199" t="str">
        <f>IF(OR(IFERROR(SEARCH("Met",'Mail Merge'!$N1146),0)&gt;0,IFERROR(SEARCH("Met",'Mail Merge'!$I1146),0)&gt;0),"Met","Not Met")</f>
        <v>Met</v>
      </c>
    </row>
    <row r="1147" spans="1:22" x14ac:dyDescent="0.35">
      <c r="A1147" s="200" t="s">
        <v>183</v>
      </c>
      <c r="B1147" s="201">
        <v>2103</v>
      </c>
      <c r="C1147" s="201" t="s">
        <v>41</v>
      </c>
      <c r="D1147" s="201">
        <v>91</v>
      </c>
      <c r="E1147" s="201">
        <v>446058.66</v>
      </c>
      <c r="F1147" s="201">
        <v>187578</v>
      </c>
      <c r="G1147" s="201">
        <f>'Mail Merge'!$E1147+'Mail Merge'!$F1147</f>
        <v>633636.65999999992</v>
      </c>
      <c r="H1147" s="201">
        <v>0</v>
      </c>
      <c r="I1147" s="201" t="s">
        <v>242</v>
      </c>
      <c r="J1147" s="201">
        <f>IFERROR('Mail Merge'!$E1147/'Mail Merge'!$D1147,0)</f>
        <v>4901.743516483516</v>
      </c>
      <c r="K1147" s="201">
        <f>IFERROR('Mail Merge'!$F1147/'Mail Merge'!$D1147,0)</f>
        <v>2061.2967032967031</v>
      </c>
      <c r="L1147" s="201">
        <f>IFERROR('Mail Merge'!$G1147/'Mail Merge'!$D1147,0)</f>
        <v>6963.0402197802186</v>
      </c>
      <c r="M1147" s="201">
        <v>0</v>
      </c>
      <c r="N1147" s="201" t="s">
        <v>241</v>
      </c>
      <c r="O1147" s="201">
        <v>450248.7</v>
      </c>
      <c r="P1147" s="201">
        <v>688.52</v>
      </c>
      <c r="Q1147" s="201">
        <f>'Mail Merge'!$O1147+'Mail Merge'!$P1147</f>
        <v>450937.22000000003</v>
      </c>
      <c r="R1147" s="201"/>
      <c r="S1147" s="201">
        <v>30000</v>
      </c>
      <c r="T1147" s="201">
        <v>30000</v>
      </c>
      <c r="U1147" s="201">
        <f>IF(AND('Mail Merge'!$I1147="Did Not Meet",'Mail Merge'!$N1147="Did Not Meet"),MIN(ABS('Mail Merge'!$H1147),ABS('Mail Merge'!$M1147),'Mail Merge'!$Q1147),0)</f>
        <v>0</v>
      </c>
      <c r="V1147" s="201" t="str">
        <f>IF(OR(IFERROR(SEARCH("Met",'Mail Merge'!$N1147),0)&gt;0,IFERROR(SEARCH("Met",'Mail Merge'!$I1147),0)&gt;0),"Met","Not Met")</f>
        <v>Met</v>
      </c>
    </row>
    <row r="1148" spans="1:22" x14ac:dyDescent="0.35">
      <c r="A1148" s="198" t="s">
        <v>184</v>
      </c>
      <c r="B1148" s="199">
        <v>1935</v>
      </c>
      <c r="C1148" s="199" t="s">
        <v>41</v>
      </c>
      <c r="D1148" s="199">
        <v>261</v>
      </c>
      <c r="E1148" s="199">
        <v>2227695.92</v>
      </c>
      <c r="F1148" s="199">
        <v>400921</v>
      </c>
      <c r="G1148" s="199">
        <f>'Mail Merge'!$E1148+'Mail Merge'!$F1148</f>
        <v>2628616.92</v>
      </c>
      <c r="H1148" s="199">
        <v>0</v>
      </c>
      <c r="I1148" s="199" t="s">
        <v>241</v>
      </c>
      <c r="J1148" s="199">
        <f>IFERROR('Mail Merge'!$E1148/'Mail Merge'!$D1148,0)</f>
        <v>8535.2334099616855</v>
      </c>
      <c r="K1148" s="199">
        <f>IFERROR('Mail Merge'!$F1148/'Mail Merge'!$D1148,0)</f>
        <v>1536.0957854406131</v>
      </c>
      <c r="L1148" s="199">
        <f>IFERROR('Mail Merge'!$G1148/'Mail Merge'!$D1148,0)</f>
        <v>10071.329195402299</v>
      </c>
      <c r="M1148" s="199">
        <v>0</v>
      </c>
      <c r="N1148" s="199" t="s">
        <v>242</v>
      </c>
      <c r="O1148" s="199">
        <v>234276.23</v>
      </c>
      <c r="P1148" s="199">
        <v>2394.85</v>
      </c>
      <c r="Q1148" s="199">
        <f>'Mail Merge'!$O1148+'Mail Merge'!$P1148</f>
        <v>236671.08000000002</v>
      </c>
      <c r="R1148" s="199"/>
      <c r="S1148" s="199">
        <v>91395.43</v>
      </c>
      <c r="T1148" s="199">
        <v>91395.43</v>
      </c>
      <c r="U1148" s="199">
        <f>IF(AND('Mail Merge'!$I1148="Did Not Meet",'Mail Merge'!$N1148="Did Not Meet"),MIN(ABS('Mail Merge'!$H1148),ABS('Mail Merge'!$M1148),'Mail Merge'!$Q1148),0)</f>
        <v>0</v>
      </c>
      <c r="V1148" s="199" t="str">
        <f>IF(OR(IFERROR(SEARCH("Met",'Mail Merge'!$N1148),0)&gt;0,IFERROR(SEARCH("Met",'Mail Merge'!$I1148),0)&gt;0),"Met","Not Met")</f>
        <v>Met</v>
      </c>
    </row>
    <row r="1149" spans="1:22" x14ac:dyDescent="0.35">
      <c r="A1149" s="200" t="s">
        <v>185</v>
      </c>
      <c r="B1149" s="201">
        <v>2257</v>
      </c>
      <c r="C1149" s="201" t="s">
        <v>41</v>
      </c>
      <c r="D1149" s="201">
        <v>102</v>
      </c>
      <c r="E1149" s="201">
        <v>921861.69</v>
      </c>
      <c r="F1149" s="201">
        <v>40302.15</v>
      </c>
      <c r="G1149" s="201">
        <f>'Mail Merge'!$E1149+'Mail Merge'!$F1149</f>
        <v>962163.84</v>
      </c>
      <c r="H1149" s="201">
        <v>0</v>
      </c>
      <c r="I1149" s="201" t="s">
        <v>242</v>
      </c>
      <c r="J1149" s="201">
        <f>IFERROR('Mail Merge'!$E1149/'Mail Merge'!$D1149,0)</f>
        <v>9037.8597058823525</v>
      </c>
      <c r="K1149" s="201">
        <f>IFERROR('Mail Merge'!$F1149/'Mail Merge'!$D1149,0)</f>
        <v>395.11911764705883</v>
      </c>
      <c r="L1149" s="201">
        <f>IFERROR('Mail Merge'!$G1149/'Mail Merge'!$D1149,0)</f>
        <v>9432.9788235294109</v>
      </c>
      <c r="M1149" s="201">
        <v>0</v>
      </c>
      <c r="N1149" s="201" t="s">
        <v>241</v>
      </c>
      <c r="O1149" s="201">
        <v>166680.13</v>
      </c>
      <c r="P1149" s="201">
        <v>1271.1099999999999</v>
      </c>
      <c r="Q1149" s="201">
        <f>'Mail Merge'!$O1149+'Mail Merge'!$P1149</f>
        <v>167951.24</v>
      </c>
      <c r="R1149" s="201"/>
      <c r="S1149" s="201">
        <v>118604.55</v>
      </c>
      <c r="T1149" s="201">
        <v>118604.55</v>
      </c>
      <c r="U1149" s="201">
        <f>IF(AND('Mail Merge'!$I1149="Did Not Meet",'Mail Merge'!$N1149="Did Not Meet"),MIN(ABS('Mail Merge'!$H1149),ABS('Mail Merge'!$M1149),'Mail Merge'!$Q1149),0)</f>
        <v>0</v>
      </c>
      <c r="V1149" s="201" t="str">
        <f>IF(OR(IFERROR(SEARCH("Met",'Mail Merge'!$N1149),0)&gt;0,IFERROR(SEARCH("Met",'Mail Merge'!$I1149),0)&gt;0),"Met","Not Met")</f>
        <v>Met</v>
      </c>
    </row>
    <row r="1150" spans="1:22" x14ac:dyDescent="0.35">
      <c r="A1150" s="198" t="s">
        <v>186</v>
      </c>
      <c r="B1150" s="199">
        <v>2195</v>
      </c>
      <c r="C1150" s="199" t="s">
        <v>41</v>
      </c>
      <c r="D1150" s="199">
        <v>46</v>
      </c>
      <c r="E1150" s="199">
        <v>165398.17000000001</v>
      </c>
      <c r="F1150" s="199">
        <v>161136</v>
      </c>
      <c r="G1150" s="199">
        <f>'Mail Merge'!$E1150+'Mail Merge'!$F1150</f>
        <v>326534.17000000004</v>
      </c>
      <c r="H1150" s="199">
        <v>12674.45</v>
      </c>
      <c r="I1150" s="199" t="s">
        <v>240</v>
      </c>
      <c r="J1150" s="199">
        <f>IFERROR('Mail Merge'!$E1150/'Mail Merge'!$D1150,0)</f>
        <v>3595.612391304348</v>
      </c>
      <c r="K1150" s="199">
        <f>IFERROR('Mail Merge'!$F1150/'Mail Merge'!$D1150,0)</f>
        <v>3502.9565217391305</v>
      </c>
      <c r="L1150" s="199">
        <f>IFERROR('Mail Merge'!$G1150/'Mail Merge'!$D1150,0)</f>
        <v>7098.5689130434794</v>
      </c>
      <c r="M1150" s="199">
        <v>84086.79</v>
      </c>
      <c r="N1150" s="199" t="s">
        <v>240</v>
      </c>
      <c r="O1150" s="199">
        <v>53389.59</v>
      </c>
      <c r="P1150" s="199">
        <v>153</v>
      </c>
      <c r="Q1150" s="199">
        <f>'Mail Merge'!$O1150+'Mail Merge'!$P1150</f>
        <v>53542.59</v>
      </c>
      <c r="R1150" s="199"/>
      <c r="S1150" s="199"/>
      <c r="T1150" s="199"/>
      <c r="U1150" s="199">
        <f>IF(AND('Mail Merge'!$I1150="Did Not Meet",'Mail Merge'!$N1150="Did Not Meet"),MIN(ABS('Mail Merge'!$H1150),ABS('Mail Merge'!$M1150),'Mail Merge'!$Q1150),0)</f>
        <v>12674.45</v>
      </c>
      <c r="V1150" s="199" t="str">
        <f>IF(OR(IFERROR(SEARCH("Met",'Mail Merge'!$N1150),0)&gt;0,IFERROR(SEARCH("Met",'Mail Merge'!$I1150),0)&gt;0),"Met","Not Met")</f>
        <v>Not Met</v>
      </c>
    </row>
    <row r="1151" spans="1:22" x14ac:dyDescent="0.35">
      <c r="A1151" s="200" t="s">
        <v>187</v>
      </c>
      <c r="B1151" s="201">
        <v>2244</v>
      </c>
      <c r="C1151" s="201" t="s">
        <v>41</v>
      </c>
      <c r="D1151" s="201">
        <v>549</v>
      </c>
      <c r="E1151" s="201">
        <v>4337360.26</v>
      </c>
      <c r="F1151" s="201">
        <v>754651</v>
      </c>
      <c r="G1151" s="201">
        <f>'Mail Merge'!$E1151+'Mail Merge'!$F1151</f>
        <v>5092011.26</v>
      </c>
      <c r="H1151" s="201">
        <v>0</v>
      </c>
      <c r="I1151" s="201" t="s">
        <v>241</v>
      </c>
      <c r="J1151" s="201">
        <f>IFERROR('Mail Merge'!$E1151/'Mail Merge'!$D1151,0)</f>
        <v>7900.4740619307831</v>
      </c>
      <c r="K1151" s="201">
        <f>IFERROR('Mail Merge'!$F1151/'Mail Merge'!$D1151,0)</f>
        <v>1374.591985428051</v>
      </c>
      <c r="L1151" s="201">
        <f>IFERROR('Mail Merge'!$G1151/'Mail Merge'!$D1151,0)</f>
        <v>9275.0660473588341</v>
      </c>
      <c r="M1151" s="201">
        <v>0</v>
      </c>
      <c r="N1151" s="201" t="s">
        <v>241</v>
      </c>
      <c r="O1151" s="201">
        <v>665352.32999999996</v>
      </c>
      <c r="P1151" s="201">
        <v>2325.67</v>
      </c>
      <c r="Q1151" s="201">
        <f>'Mail Merge'!$O1151+'Mail Merge'!$P1151</f>
        <v>667678</v>
      </c>
      <c r="R1151" s="201"/>
      <c r="S1151" s="201"/>
      <c r="T1151" s="201"/>
      <c r="U1151" s="201">
        <f>IF(AND('Mail Merge'!$I1151="Did Not Meet",'Mail Merge'!$N1151="Did Not Meet"),MIN(ABS('Mail Merge'!$H1151),ABS('Mail Merge'!$M1151),'Mail Merge'!$Q1151),0)</f>
        <v>0</v>
      </c>
      <c r="V1151" s="201" t="str">
        <f>IF(OR(IFERROR(SEARCH("Met",'Mail Merge'!$N1151),0)&gt;0,IFERROR(SEARCH("Met",'Mail Merge'!$I1151),0)&gt;0),"Met","Not Met")</f>
        <v>Met</v>
      </c>
    </row>
    <row r="1152" spans="1:22" x14ac:dyDescent="0.35">
      <c r="A1152" s="198" t="s">
        <v>188</v>
      </c>
      <c r="B1152" s="199">
        <v>2138</v>
      </c>
      <c r="C1152" s="199" t="s">
        <v>41</v>
      </c>
      <c r="D1152" s="199">
        <v>471</v>
      </c>
      <c r="E1152" s="199">
        <v>4092299.46</v>
      </c>
      <c r="F1152" s="199">
        <v>364615.1</v>
      </c>
      <c r="G1152" s="199">
        <f>'Mail Merge'!$E1152+'Mail Merge'!$F1152</f>
        <v>4456914.5599999996</v>
      </c>
      <c r="H1152" s="199">
        <v>0</v>
      </c>
      <c r="I1152" s="199" t="s">
        <v>241</v>
      </c>
      <c r="J1152" s="199">
        <f>IFERROR('Mail Merge'!$E1152/'Mail Merge'!$D1152,0)</f>
        <v>8688.5338853503181</v>
      </c>
      <c r="K1152" s="199">
        <f>IFERROR('Mail Merge'!$F1152/'Mail Merge'!$D1152,0)</f>
        <v>774.12972399150738</v>
      </c>
      <c r="L1152" s="199">
        <f>IFERROR('Mail Merge'!$G1152/'Mail Merge'!$D1152,0)</f>
        <v>9462.6636093418256</v>
      </c>
      <c r="M1152" s="199">
        <v>0</v>
      </c>
      <c r="N1152" s="199" t="s">
        <v>241</v>
      </c>
      <c r="O1152" s="199">
        <v>504089.64</v>
      </c>
      <c r="P1152" s="199">
        <v>2386.87</v>
      </c>
      <c r="Q1152" s="199">
        <f>'Mail Merge'!$O1152+'Mail Merge'!$P1152</f>
        <v>506476.51</v>
      </c>
      <c r="R1152" s="199"/>
      <c r="S1152" s="199"/>
      <c r="T1152" s="199"/>
      <c r="U1152" s="199">
        <f>IF(AND('Mail Merge'!$I1152="Did Not Meet",'Mail Merge'!$N1152="Did Not Meet"),MIN(ABS('Mail Merge'!$H1152),ABS('Mail Merge'!$M1152),'Mail Merge'!$Q1152),0)</f>
        <v>0</v>
      </c>
      <c r="V1152" s="199" t="str">
        <f>IF(OR(IFERROR(SEARCH("Met",'Mail Merge'!$N1152),0)&gt;0,IFERROR(SEARCH("Met",'Mail Merge'!$I1152),0)&gt;0),"Met","Not Met")</f>
        <v>Met</v>
      </c>
    </row>
    <row r="1153" spans="1:22" x14ac:dyDescent="0.35">
      <c r="A1153" s="200" t="s">
        <v>189</v>
      </c>
      <c r="B1153" s="201">
        <v>1978</v>
      </c>
      <c r="C1153" s="201" t="s">
        <v>41</v>
      </c>
      <c r="D1153" s="201">
        <v>108</v>
      </c>
      <c r="E1153" s="201">
        <v>775274.8</v>
      </c>
      <c r="F1153" s="201">
        <v>108809.97</v>
      </c>
      <c r="G1153" s="201">
        <f>'Mail Merge'!$E1153+'Mail Merge'!$F1153</f>
        <v>884084.77</v>
      </c>
      <c r="H1153" s="201">
        <v>0</v>
      </c>
      <c r="I1153" s="201" t="s">
        <v>241</v>
      </c>
      <c r="J1153" s="201">
        <f>IFERROR('Mail Merge'!$E1153/'Mail Merge'!$D1153,0)</f>
        <v>7178.4703703703708</v>
      </c>
      <c r="K1153" s="201">
        <f>IFERROR('Mail Merge'!$F1153/'Mail Merge'!$D1153,0)</f>
        <v>1007.4997222222222</v>
      </c>
      <c r="L1153" s="201">
        <f>IFERROR('Mail Merge'!$G1153/'Mail Merge'!$D1153,0)</f>
        <v>8185.9700925925927</v>
      </c>
      <c r="M1153" s="201">
        <v>0</v>
      </c>
      <c r="N1153" s="201" t="s">
        <v>241</v>
      </c>
      <c r="O1153" s="201">
        <v>168281.85</v>
      </c>
      <c r="P1153" s="201">
        <v>765.02</v>
      </c>
      <c r="Q1153" s="201">
        <f>'Mail Merge'!$O1153+'Mail Merge'!$P1153</f>
        <v>169046.87</v>
      </c>
      <c r="R1153" s="201"/>
      <c r="S1153" s="201"/>
      <c r="T1153" s="201"/>
      <c r="U1153" s="201">
        <f>IF(AND('Mail Merge'!$I1153="Did Not Meet",'Mail Merge'!$N1153="Did Not Meet"),MIN(ABS('Mail Merge'!$H1153),ABS('Mail Merge'!$M1153),'Mail Merge'!$Q1153),0)</f>
        <v>0</v>
      </c>
      <c r="V1153" s="201" t="str">
        <f>IF(OR(IFERROR(SEARCH("Met",'Mail Merge'!$N1153),0)&gt;0,IFERROR(SEARCH("Met",'Mail Merge'!$I1153),0)&gt;0),"Met","Not Met")</f>
        <v>Met</v>
      </c>
    </row>
    <row r="1154" spans="1:22" x14ac:dyDescent="0.35">
      <c r="A1154" s="198" t="s">
        <v>190</v>
      </c>
      <c r="B1154" s="199">
        <v>2096</v>
      </c>
      <c r="C1154" s="199" t="s">
        <v>41</v>
      </c>
      <c r="D1154" s="199">
        <v>169</v>
      </c>
      <c r="E1154" s="199">
        <v>1499723.94</v>
      </c>
      <c r="F1154" s="199">
        <v>416910</v>
      </c>
      <c r="G1154" s="199">
        <f>'Mail Merge'!$E1154+'Mail Merge'!$F1154</f>
        <v>1916633.94</v>
      </c>
      <c r="H1154" s="199">
        <v>0</v>
      </c>
      <c r="I1154" s="199" t="s">
        <v>241</v>
      </c>
      <c r="J1154" s="199">
        <f>IFERROR('Mail Merge'!$E1154/'Mail Merge'!$D1154,0)</f>
        <v>8874.1061538461527</v>
      </c>
      <c r="K1154" s="199">
        <f>IFERROR('Mail Merge'!$F1154/'Mail Merge'!$D1154,0)</f>
        <v>2466.9230769230771</v>
      </c>
      <c r="L1154" s="199">
        <f>IFERROR('Mail Merge'!$G1154/'Mail Merge'!$D1154,0)</f>
        <v>11341.029230769231</v>
      </c>
      <c r="M1154" s="199">
        <v>0</v>
      </c>
      <c r="N1154" s="199" t="s">
        <v>241</v>
      </c>
      <c r="O1154" s="199">
        <v>204672.98</v>
      </c>
      <c r="P1154" s="199">
        <v>1022.94</v>
      </c>
      <c r="Q1154" s="199">
        <f>'Mail Merge'!$O1154+'Mail Merge'!$P1154</f>
        <v>205695.92</v>
      </c>
      <c r="R1154" s="199"/>
      <c r="S1154" s="199"/>
      <c r="T1154" s="199"/>
      <c r="U1154" s="199">
        <f>IF(AND('Mail Merge'!$I1154="Did Not Meet",'Mail Merge'!$N1154="Did Not Meet"),MIN(ABS('Mail Merge'!$H1154),ABS('Mail Merge'!$M1154),'Mail Merge'!$Q1154),0)</f>
        <v>0</v>
      </c>
      <c r="V1154" s="199" t="str">
        <f>IF(OR(IFERROR(SEARCH("Met",'Mail Merge'!$N1154),0)&gt;0,IFERROR(SEARCH("Met",'Mail Merge'!$I1154),0)&gt;0),"Met","Not Met")</f>
        <v>Met</v>
      </c>
    </row>
    <row r="1155" spans="1:22" x14ac:dyDescent="0.35">
      <c r="A1155" s="200" t="s">
        <v>191</v>
      </c>
      <c r="B1155" s="201">
        <v>2022</v>
      </c>
      <c r="C1155" s="201" t="s">
        <v>41</v>
      </c>
      <c r="D1155" s="201">
        <v>1</v>
      </c>
      <c r="E1155" s="201">
        <v>0</v>
      </c>
      <c r="F1155" s="201">
        <v>6010</v>
      </c>
      <c r="G1155" s="201">
        <f>'Mail Merge'!$E1155+'Mail Merge'!$F1155</f>
        <v>6010</v>
      </c>
      <c r="H1155" s="201">
        <v>0</v>
      </c>
      <c r="I1155" s="201" t="s">
        <v>242</v>
      </c>
      <c r="J1155" s="201">
        <f>IFERROR('Mail Merge'!$E1155/'Mail Merge'!$D1155,0)</f>
        <v>0</v>
      </c>
      <c r="K1155" s="201">
        <f>IFERROR('Mail Merge'!$F1155/'Mail Merge'!$D1155,0)</f>
        <v>6010</v>
      </c>
      <c r="L1155" s="201">
        <f>IFERROR('Mail Merge'!$G1155/'Mail Merge'!$D1155,0)</f>
        <v>6010</v>
      </c>
      <c r="M1155" s="201">
        <v>0</v>
      </c>
      <c r="N1155" s="201" t="s">
        <v>242</v>
      </c>
      <c r="O1155" s="201">
        <v>2846.08</v>
      </c>
      <c r="P1155" s="201">
        <v>0</v>
      </c>
      <c r="Q1155" s="201">
        <f>'Mail Merge'!$O1155+'Mail Merge'!$P1155</f>
        <v>2846.08</v>
      </c>
      <c r="R1155" s="201"/>
      <c r="S1155" s="201">
        <v>5020</v>
      </c>
      <c r="T1155" s="201">
        <v>7537.53</v>
      </c>
      <c r="U1155" s="201">
        <f>IF(AND('Mail Merge'!$I1155="Did Not Meet",'Mail Merge'!$N1155="Did Not Meet"),MIN(ABS('Mail Merge'!$H1155),ABS('Mail Merge'!$M1155),'Mail Merge'!$Q1155),0)</f>
        <v>0</v>
      </c>
      <c r="V1155" s="201" t="str">
        <f>IF(OR(IFERROR(SEARCH("Met",'Mail Merge'!$N1155),0)&gt;0,IFERROR(SEARCH("Met",'Mail Merge'!$I1155),0)&gt;0),"Met","Not Met")</f>
        <v>Met</v>
      </c>
    </row>
    <row r="1156" spans="1:22" x14ac:dyDescent="0.35">
      <c r="A1156" s="198" t="s">
        <v>192</v>
      </c>
      <c r="B1156" s="199">
        <v>2087</v>
      </c>
      <c r="C1156" s="199" t="s">
        <v>41</v>
      </c>
      <c r="D1156" s="199">
        <v>458</v>
      </c>
      <c r="E1156" s="199">
        <v>3575366</v>
      </c>
      <c r="F1156" s="199">
        <v>524865</v>
      </c>
      <c r="G1156" s="199">
        <f>'Mail Merge'!$E1156+'Mail Merge'!$F1156</f>
        <v>4100231</v>
      </c>
      <c r="H1156" s="199">
        <v>0</v>
      </c>
      <c r="I1156" s="199" t="s">
        <v>241</v>
      </c>
      <c r="J1156" s="199">
        <f>IFERROR('Mail Merge'!$E1156/'Mail Merge'!$D1156,0)</f>
        <v>7806.475982532751</v>
      </c>
      <c r="K1156" s="199">
        <f>IFERROR('Mail Merge'!$F1156/'Mail Merge'!$D1156,0)</f>
        <v>1145.9934497816594</v>
      </c>
      <c r="L1156" s="199">
        <f>IFERROR('Mail Merge'!$G1156/'Mail Merge'!$D1156,0)</f>
        <v>8952.4694323144104</v>
      </c>
      <c r="M1156" s="199">
        <v>0</v>
      </c>
      <c r="N1156" s="199" t="s">
        <v>241</v>
      </c>
      <c r="O1156" s="199">
        <v>526841.63</v>
      </c>
      <c r="P1156" s="199">
        <v>3264.1</v>
      </c>
      <c r="Q1156" s="199">
        <f>'Mail Merge'!$O1156+'Mail Merge'!$P1156</f>
        <v>530105.73</v>
      </c>
      <c r="R1156" s="199"/>
      <c r="S1156" s="199"/>
      <c r="T1156" s="199"/>
      <c r="U1156" s="199">
        <f>IF(AND('Mail Merge'!$I1156="Did Not Meet",'Mail Merge'!$N1156="Did Not Meet"),MIN(ABS('Mail Merge'!$H1156),ABS('Mail Merge'!$M1156),'Mail Merge'!$Q1156),0)</f>
        <v>0</v>
      </c>
      <c r="V1156" s="199" t="str">
        <f>IF(OR(IFERROR(SEARCH("Met",'Mail Merge'!$N1156),0)&gt;0,IFERROR(SEARCH("Met",'Mail Merge'!$I1156),0)&gt;0),"Met","Not Met")</f>
        <v>Met</v>
      </c>
    </row>
    <row r="1157" spans="1:22" x14ac:dyDescent="0.35">
      <c r="A1157" s="200" t="s">
        <v>193</v>
      </c>
      <c r="B1157" s="201">
        <v>1994</v>
      </c>
      <c r="C1157" s="201" t="s">
        <v>41</v>
      </c>
      <c r="D1157" s="201">
        <v>234</v>
      </c>
      <c r="E1157" s="201">
        <v>1944774.91</v>
      </c>
      <c r="F1157" s="201">
        <v>313802.23</v>
      </c>
      <c r="G1157" s="201">
        <f>'Mail Merge'!$E1157+'Mail Merge'!$F1157</f>
        <v>2258577.1399999997</v>
      </c>
      <c r="H1157" s="201">
        <v>0</v>
      </c>
      <c r="I1157" s="201" t="s">
        <v>241</v>
      </c>
      <c r="J1157" s="201">
        <f>IFERROR('Mail Merge'!$E1157/'Mail Merge'!$D1157,0)</f>
        <v>8311.0038888888885</v>
      </c>
      <c r="K1157" s="201">
        <f>IFERROR('Mail Merge'!$F1157/'Mail Merge'!$D1157,0)</f>
        <v>1341.0351709401709</v>
      </c>
      <c r="L1157" s="201">
        <f>IFERROR('Mail Merge'!$G1157/'Mail Merge'!$D1157,0)</f>
        <v>9652.0390598290578</v>
      </c>
      <c r="M1157" s="201">
        <v>144718.43</v>
      </c>
      <c r="N1157" s="201" t="s">
        <v>240</v>
      </c>
      <c r="O1157" s="201">
        <v>298712.87</v>
      </c>
      <c r="P1157" s="201">
        <v>3029.49</v>
      </c>
      <c r="Q1157" s="201">
        <f>'Mail Merge'!$O1157+'Mail Merge'!$P1157</f>
        <v>301742.36</v>
      </c>
      <c r="R1157" s="201"/>
      <c r="S1157" s="201"/>
      <c r="T1157" s="201"/>
      <c r="U1157" s="201">
        <f>IF(AND('Mail Merge'!$I1157="Did Not Meet",'Mail Merge'!$N1157="Did Not Meet"),MIN(ABS('Mail Merge'!$H1157),ABS('Mail Merge'!$M1157),'Mail Merge'!$Q1157),0)</f>
        <v>0</v>
      </c>
      <c r="V1157" s="201" t="str">
        <f>IF(OR(IFERROR(SEARCH("Met",'Mail Merge'!$N1157),0)&gt;0,IFERROR(SEARCH("Met",'Mail Merge'!$I1157),0)&gt;0),"Met","Not Met")</f>
        <v>Met</v>
      </c>
    </row>
    <row r="1158" spans="1:22" x14ac:dyDescent="0.35">
      <c r="A1158" s="198" t="s">
        <v>194</v>
      </c>
      <c r="B1158" s="199">
        <v>2225</v>
      </c>
      <c r="C1158" s="199" t="s">
        <v>41</v>
      </c>
      <c r="D1158" s="199">
        <v>34</v>
      </c>
      <c r="E1158" s="199">
        <v>202672.25</v>
      </c>
      <c r="F1158" s="199">
        <v>48760</v>
      </c>
      <c r="G1158" s="199">
        <f>'Mail Merge'!$E1158+'Mail Merge'!$F1158</f>
        <v>251432.25</v>
      </c>
      <c r="H1158" s="199">
        <v>0</v>
      </c>
      <c r="I1158" s="199" t="s">
        <v>241</v>
      </c>
      <c r="J1158" s="199">
        <f>IFERROR('Mail Merge'!$E1158/'Mail Merge'!$D1158,0)</f>
        <v>5960.9485294117649</v>
      </c>
      <c r="K1158" s="199">
        <f>IFERROR('Mail Merge'!$F1158/'Mail Merge'!$D1158,0)</f>
        <v>1434.1176470588234</v>
      </c>
      <c r="L1158" s="199">
        <f>IFERROR('Mail Merge'!$G1158/'Mail Merge'!$D1158,0)</f>
        <v>7395.0661764705883</v>
      </c>
      <c r="M1158" s="199">
        <v>24138.79</v>
      </c>
      <c r="N1158" s="199" t="s">
        <v>240</v>
      </c>
      <c r="O1158" s="199">
        <v>46097.15</v>
      </c>
      <c r="P1158" s="199">
        <v>0</v>
      </c>
      <c r="Q1158" s="199">
        <f>'Mail Merge'!$O1158+'Mail Merge'!$P1158</f>
        <v>46097.15</v>
      </c>
      <c r="R1158" s="199"/>
      <c r="S1158" s="199"/>
      <c r="T1158" s="199"/>
      <c r="U1158" s="199">
        <f>IF(AND('Mail Merge'!$I1158="Did Not Meet",'Mail Merge'!$N1158="Did Not Meet"),MIN(ABS('Mail Merge'!$H1158),ABS('Mail Merge'!$M1158),'Mail Merge'!$Q1158),0)</f>
        <v>0</v>
      </c>
      <c r="V1158" s="199" t="str">
        <f>IF(OR(IFERROR(SEARCH("Met",'Mail Merge'!$N1158),0)&gt;0,IFERROR(SEARCH("Met",'Mail Merge'!$I1158),0)&gt;0),"Met","Not Met")</f>
        <v>Met</v>
      </c>
    </row>
    <row r="1159" spans="1:22" x14ac:dyDescent="0.35">
      <c r="A1159" s="200" t="s">
        <v>195</v>
      </c>
      <c r="B1159" s="201">
        <v>2247</v>
      </c>
      <c r="C1159" s="201" t="s">
        <v>41</v>
      </c>
      <c r="D1159" s="201">
        <v>5</v>
      </c>
      <c r="E1159" s="201">
        <v>17331.43</v>
      </c>
      <c r="F1159" s="201">
        <v>16025</v>
      </c>
      <c r="G1159" s="201">
        <f>'Mail Merge'!$E1159+'Mail Merge'!$F1159</f>
        <v>33356.43</v>
      </c>
      <c r="H1159" s="201">
        <v>0</v>
      </c>
      <c r="I1159" s="201" t="s">
        <v>241</v>
      </c>
      <c r="J1159" s="201">
        <f>IFERROR('Mail Merge'!$E1159/'Mail Merge'!$D1159,0)</f>
        <v>3466.2860000000001</v>
      </c>
      <c r="K1159" s="201">
        <f>IFERROR('Mail Merge'!$F1159/'Mail Merge'!$D1159,0)</f>
        <v>3205</v>
      </c>
      <c r="L1159" s="201">
        <f>IFERROR('Mail Merge'!$G1159/'Mail Merge'!$D1159,0)</f>
        <v>6671.2860000000001</v>
      </c>
      <c r="M1159" s="201">
        <v>19141.150000000001</v>
      </c>
      <c r="N1159" s="201" t="s">
        <v>240</v>
      </c>
      <c r="O1159" s="201">
        <v>5469.1</v>
      </c>
      <c r="P1159" s="201">
        <v>0</v>
      </c>
      <c r="Q1159" s="201">
        <f>'Mail Merge'!$O1159+'Mail Merge'!$P1159</f>
        <v>5469.1</v>
      </c>
      <c r="R1159" s="201"/>
      <c r="S1159" s="201"/>
      <c r="T1159" s="201"/>
      <c r="U1159" s="201">
        <f>IF(AND('Mail Merge'!$I1159="Did Not Meet",'Mail Merge'!$N1159="Did Not Meet"),MIN(ABS('Mail Merge'!$H1159),ABS('Mail Merge'!$M1159),'Mail Merge'!$Q1159),0)</f>
        <v>0</v>
      </c>
      <c r="V1159" s="201" t="str">
        <f>IF(OR(IFERROR(SEARCH("Met",'Mail Merge'!$N1159),0)&gt;0,IFERROR(SEARCH("Met",'Mail Merge'!$I1159),0)&gt;0),"Met","Not Met")</f>
        <v>Met</v>
      </c>
    </row>
    <row r="1160" spans="1:22" x14ac:dyDescent="0.35">
      <c r="A1160" s="198" t="s">
        <v>196</v>
      </c>
      <c r="B1160" s="199">
        <v>2083</v>
      </c>
      <c r="C1160" s="199" t="s">
        <v>41</v>
      </c>
      <c r="D1160" s="199">
        <v>1637</v>
      </c>
      <c r="E1160" s="199">
        <v>16111473.23</v>
      </c>
      <c r="F1160" s="199">
        <v>1925492</v>
      </c>
      <c r="G1160" s="199">
        <f>'Mail Merge'!$E1160+'Mail Merge'!$F1160</f>
        <v>18036965.23</v>
      </c>
      <c r="H1160" s="199">
        <v>0</v>
      </c>
      <c r="I1160" s="199" t="s">
        <v>241</v>
      </c>
      <c r="J1160" s="199">
        <f>IFERROR('Mail Merge'!$E1160/'Mail Merge'!$D1160,0)</f>
        <v>9842.072834453269</v>
      </c>
      <c r="K1160" s="199">
        <f>IFERROR('Mail Merge'!$F1160/'Mail Merge'!$D1160,0)</f>
        <v>1176.2321319486866</v>
      </c>
      <c r="L1160" s="199">
        <f>IFERROR('Mail Merge'!$G1160/'Mail Merge'!$D1160,0)</f>
        <v>11018.304966401955</v>
      </c>
      <c r="M1160" s="199">
        <v>0</v>
      </c>
      <c r="N1160" s="199" t="s">
        <v>241</v>
      </c>
      <c r="O1160" s="199">
        <v>1822370.49</v>
      </c>
      <c r="P1160" s="199">
        <v>22232.66</v>
      </c>
      <c r="Q1160" s="199">
        <f>'Mail Merge'!$O1160+'Mail Merge'!$P1160</f>
        <v>1844603.15</v>
      </c>
      <c r="R1160" s="199"/>
      <c r="S1160" s="199"/>
      <c r="T1160" s="199"/>
      <c r="U1160" s="199">
        <f>IF(AND('Mail Merge'!$I1160="Did Not Meet",'Mail Merge'!$N1160="Did Not Meet"),MIN(ABS('Mail Merge'!$H1160),ABS('Mail Merge'!$M1160),'Mail Merge'!$Q1160),0)</f>
        <v>0</v>
      </c>
      <c r="V1160" s="199" t="str">
        <f>IF(OR(IFERROR(SEARCH("Met",'Mail Merge'!$N1160),0)&gt;0,IFERROR(SEARCH("Met",'Mail Merge'!$I1160),0)&gt;0),"Met","Not Met")</f>
        <v>Met</v>
      </c>
    </row>
    <row r="1161" spans="1:22" x14ac:dyDescent="0.35">
      <c r="A1161" s="200" t="s">
        <v>197</v>
      </c>
      <c r="B1161" s="201">
        <v>1948</v>
      </c>
      <c r="C1161" s="201" t="s">
        <v>41</v>
      </c>
      <c r="D1161" s="201">
        <v>457</v>
      </c>
      <c r="E1161" s="201">
        <v>3440018.51</v>
      </c>
      <c r="F1161" s="201">
        <v>717784</v>
      </c>
      <c r="G1161" s="201">
        <f>'Mail Merge'!$E1161+'Mail Merge'!$F1161</f>
        <v>4157802.51</v>
      </c>
      <c r="H1161" s="201">
        <v>0</v>
      </c>
      <c r="I1161" s="201" t="s">
        <v>242</v>
      </c>
      <c r="J1161" s="201">
        <f>IFERROR('Mail Merge'!$E1161/'Mail Merge'!$D1161,0)</f>
        <v>7527.3928008752728</v>
      </c>
      <c r="K1161" s="201">
        <f>IFERROR('Mail Merge'!$F1161/'Mail Merge'!$D1161,0)</f>
        <v>1570.6433260393874</v>
      </c>
      <c r="L1161" s="201">
        <f>IFERROR('Mail Merge'!$G1161/'Mail Merge'!$D1161,0)</f>
        <v>9098.0361269146597</v>
      </c>
      <c r="M1161" s="201">
        <v>0</v>
      </c>
      <c r="N1161" s="201" t="s">
        <v>241</v>
      </c>
      <c r="O1161" s="201">
        <v>536047.42000000004</v>
      </c>
      <c r="P1161" s="201">
        <v>5286.85</v>
      </c>
      <c r="Q1161" s="201">
        <f>'Mail Merge'!$O1161+'Mail Merge'!$P1161</f>
        <v>541334.27</v>
      </c>
      <c r="R1161" s="201"/>
      <c r="S1161" s="201">
        <v>193887.14</v>
      </c>
      <c r="T1161" s="201">
        <v>193887.14</v>
      </c>
      <c r="U1161" s="201">
        <f>IF(AND('Mail Merge'!$I1161="Did Not Meet",'Mail Merge'!$N1161="Did Not Meet"),MIN(ABS('Mail Merge'!$H1161),ABS('Mail Merge'!$M1161),'Mail Merge'!$Q1161),0)</f>
        <v>0</v>
      </c>
      <c r="V1161" s="201" t="str">
        <f>IF(OR(IFERROR(SEARCH("Met",'Mail Merge'!$N1161),0)&gt;0,IFERROR(SEARCH("Met",'Mail Merge'!$I1161),0)&gt;0),"Met","Not Met")</f>
        <v>Met</v>
      </c>
    </row>
    <row r="1162" spans="1:22" x14ac:dyDescent="0.35">
      <c r="A1162" s="198" t="s">
        <v>198</v>
      </c>
      <c r="B1162" s="199">
        <v>2144</v>
      </c>
      <c r="C1162" s="199" t="s">
        <v>41</v>
      </c>
      <c r="D1162" s="199">
        <v>40</v>
      </c>
      <c r="E1162" s="199">
        <v>292427.43</v>
      </c>
      <c r="F1162" s="199">
        <v>36534.300000000003</v>
      </c>
      <c r="G1162" s="199">
        <f>'Mail Merge'!$E1162+'Mail Merge'!$F1162</f>
        <v>328961.73</v>
      </c>
      <c r="H1162" s="199">
        <v>0</v>
      </c>
      <c r="I1162" s="199" t="s">
        <v>241</v>
      </c>
      <c r="J1162" s="199">
        <f>IFERROR('Mail Merge'!$E1162/'Mail Merge'!$D1162,0)</f>
        <v>7310.6857499999996</v>
      </c>
      <c r="K1162" s="199">
        <f>IFERROR('Mail Merge'!$F1162/'Mail Merge'!$D1162,0)</f>
        <v>913.35750000000007</v>
      </c>
      <c r="L1162" s="199">
        <f>IFERROR('Mail Merge'!$G1162/'Mail Merge'!$D1162,0)</f>
        <v>8224.0432499999988</v>
      </c>
      <c r="M1162" s="199">
        <v>12070.1</v>
      </c>
      <c r="N1162" s="199" t="s">
        <v>240</v>
      </c>
      <c r="O1162" s="199">
        <v>37960.559999999998</v>
      </c>
      <c r="P1162" s="199">
        <v>344.26</v>
      </c>
      <c r="Q1162" s="199">
        <f>'Mail Merge'!$O1162+'Mail Merge'!$P1162</f>
        <v>38304.82</v>
      </c>
      <c r="R1162" s="199"/>
      <c r="S1162" s="199"/>
      <c r="T1162" s="199"/>
      <c r="U1162" s="199">
        <f>IF(AND('Mail Merge'!$I1162="Did Not Meet",'Mail Merge'!$N1162="Did Not Meet"),MIN(ABS('Mail Merge'!$H1162),ABS('Mail Merge'!$M1162),'Mail Merge'!$Q1162),0)</f>
        <v>0</v>
      </c>
      <c r="V1162" s="199" t="str">
        <f>IF(OR(IFERROR(SEARCH("Met",'Mail Merge'!$N1162),0)&gt;0,IFERROR(SEARCH("Met",'Mail Merge'!$I1162),0)&gt;0),"Met","Not Met")</f>
        <v>Met</v>
      </c>
    </row>
    <row r="1163" spans="1:22" x14ac:dyDescent="0.35">
      <c r="A1163" s="200" t="s">
        <v>199</v>
      </c>
      <c r="B1163" s="201">
        <v>2209</v>
      </c>
      <c r="C1163" s="201" t="s">
        <v>41</v>
      </c>
      <c r="D1163" s="201">
        <v>61</v>
      </c>
      <c r="E1163" s="201">
        <v>443373.99</v>
      </c>
      <c r="F1163" s="201">
        <v>102679.26</v>
      </c>
      <c r="G1163" s="201">
        <f>'Mail Merge'!$E1163+'Mail Merge'!$F1163</f>
        <v>546053.25</v>
      </c>
      <c r="H1163" s="201">
        <v>0</v>
      </c>
      <c r="I1163" s="201" t="s">
        <v>242</v>
      </c>
      <c r="J1163" s="201">
        <f>IFERROR('Mail Merge'!$E1163/'Mail Merge'!$D1163,0)</f>
        <v>7268.4260655737708</v>
      </c>
      <c r="K1163" s="201">
        <f>IFERROR('Mail Merge'!$F1163/'Mail Merge'!$D1163,0)</f>
        <v>1683.2665573770491</v>
      </c>
      <c r="L1163" s="201">
        <f>IFERROR('Mail Merge'!$G1163/'Mail Merge'!$D1163,0)</f>
        <v>8951.692622950819</v>
      </c>
      <c r="M1163" s="201">
        <v>0</v>
      </c>
      <c r="N1163" s="201" t="s">
        <v>241</v>
      </c>
      <c r="O1163" s="201">
        <v>81750.39</v>
      </c>
      <c r="P1163" s="201">
        <v>1101.6300000000001</v>
      </c>
      <c r="Q1163" s="201">
        <f>'Mail Merge'!$O1163+'Mail Merge'!$P1163</f>
        <v>82852.02</v>
      </c>
      <c r="R1163" s="201"/>
      <c r="S1163" s="201">
        <v>75859.02</v>
      </c>
      <c r="T1163" s="201">
        <v>75859.02</v>
      </c>
      <c r="U1163" s="201">
        <f>IF(AND('Mail Merge'!$I1163="Did Not Meet",'Mail Merge'!$N1163="Did Not Meet"),MIN(ABS('Mail Merge'!$H1163),ABS('Mail Merge'!$M1163),'Mail Merge'!$Q1163),0)</f>
        <v>0</v>
      </c>
      <c r="V1163" s="201" t="str">
        <f>IF(OR(IFERROR(SEARCH("Met",'Mail Merge'!$N1163),0)&gt;0,IFERROR(SEARCH("Met",'Mail Merge'!$I1163),0)&gt;0),"Met","Not Met")</f>
        <v>Met</v>
      </c>
    </row>
    <row r="1164" spans="1:22" x14ac:dyDescent="0.35">
      <c r="A1164" s="198" t="s">
        <v>200</v>
      </c>
      <c r="B1164" s="199">
        <v>2018</v>
      </c>
      <c r="C1164" s="199" t="s">
        <v>41</v>
      </c>
      <c r="D1164" s="199">
        <v>2</v>
      </c>
      <c r="E1164" s="199">
        <v>7303.02</v>
      </c>
      <c r="F1164" s="199">
        <v>6285</v>
      </c>
      <c r="G1164" s="199">
        <f>'Mail Merge'!$E1164+'Mail Merge'!$F1164</f>
        <v>13588.02</v>
      </c>
      <c r="H1164" s="199">
        <v>0</v>
      </c>
      <c r="I1164" s="199" t="s">
        <v>241</v>
      </c>
      <c r="J1164" s="199">
        <f>IFERROR('Mail Merge'!$E1164/'Mail Merge'!$D1164,0)</f>
        <v>3651.51</v>
      </c>
      <c r="K1164" s="199">
        <f>IFERROR('Mail Merge'!$F1164/'Mail Merge'!$D1164,0)</f>
        <v>3142.5</v>
      </c>
      <c r="L1164" s="199">
        <f>IFERROR('Mail Merge'!$G1164/'Mail Merge'!$D1164,0)</f>
        <v>6794.01</v>
      </c>
      <c r="M1164" s="199">
        <v>10423.02</v>
      </c>
      <c r="N1164" s="199" t="s">
        <v>240</v>
      </c>
      <c r="O1164" s="199">
        <v>0</v>
      </c>
      <c r="P1164" s="199">
        <v>0</v>
      </c>
      <c r="Q1164" s="199">
        <f>'Mail Merge'!$O1164+'Mail Merge'!$P1164</f>
        <v>0</v>
      </c>
      <c r="R1164" s="199"/>
      <c r="S1164" s="199"/>
      <c r="T1164" s="199"/>
      <c r="U1164" s="199">
        <f>IF(AND('Mail Merge'!$I1164="Did Not Meet",'Mail Merge'!$N1164="Did Not Meet"),MIN(ABS('Mail Merge'!$H1164),ABS('Mail Merge'!$M1164),'Mail Merge'!$Q1164),0)</f>
        <v>0</v>
      </c>
      <c r="V1164" s="199" t="str">
        <f>IF(OR(IFERROR(SEARCH("Met",'Mail Merge'!$N1164),0)&gt;0,IFERROR(SEARCH("Met",'Mail Merge'!$I1164),0)&gt;0),"Met","Not Met")</f>
        <v>Met</v>
      </c>
    </row>
    <row r="1165" spans="1:22" x14ac:dyDescent="0.35">
      <c r="A1165" s="200" t="s">
        <v>201</v>
      </c>
      <c r="B1165" s="201">
        <v>2003</v>
      </c>
      <c r="C1165" s="201" t="s">
        <v>41</v>
      </c>
      <c r="D1165" s="201">
        <v>165</v>
      </c>
      <c r="E1165" s="201">
        <v>1027597</v>
      </c>
      <c r="F1165" s="201">
        <v>283204</v>
      </c>
      <c r="G1165" s="201">
        <f>'Mail Merge'!$E1165+'Mail Merge'!$F1165</f>
        <v>1310801</v>
      </c>
      <c r="H1165" s="201">
        <v>0</v>
      </c>
      <c r="I1165" s="201" t="s">
        <v>241</v>
      </c>
      <c r="J1165" s="201">
        <f>IFERROR('Mail Merge'!$E1165/'Mail Merge'!$D1165,0)</f>
        <v>6227.8606060606062</v>
      </c>
      <c r="K1165" s="201">
        <f>IFERROR('Mail Merge'!$F1165/'Mail Merge'!$D1165,0)</f>
        <v>1716.3878787878789</v>
      </c>
      <c r="L1165" s="201">
        <f>IFERROR('Mail Merge'!$G1165/'Mail Merge'!$D1165,0)</f>
        <v>7944.2484848484846</v>
      </c>
      <c r="M1165" s="201">
        <v>29973.200000000001</v>
      </c>
      <c r="N1165" s="201" t="s">
        <v>240</v>
      </c>
      <c r="O1165" s="201">
        <v>218395.05</v>
      </c>
      <c r="P1165" s="201">
        <v>1573.76</v>
      </c>
      <c r="Q1165" s="201">
        <f>'Mail Merge'!$O1165+'Mail Merge'!$P1165</f>
        <v>219968.81</v>
      </c>
      <c r="R1165" s="201"/>
      <c r="S1165" s="201"/>
      <c r="T1165" s="201"/>
      <c r="U1165" s="201">
        <f>IF(AND('Mail Merge'!$I1165="Did Not Meet",'Mail Merge'!$N1165="Did Not Meet"),MIN(ABS('Mail Merge'!$H1165),ABS('Mail Merge'!$M1165),'Mail Merge'!$Q1165),0)</f>
        <v>0</v>
      </c>
      <c r="V1165" s="201" t="str">
        <f>IF(OR(IFERROR(SEARCH("Met",'Mail Merge'!$N1165),0)&gt;0,IFERROR(SEARCH("Met",'Mail Merge'!$I1165),0)&gt;0),"Met","Not Met")</f>
        <v>Met</v>
      </c>
    </row>
    <row r="1166" spans="1:22" x14ac:dyDescent="0.35">
      <c r="A1166" s="198" t="s">
        <v>202</v>
      </c>
      <c r="B1166" s="199">
        <v>2102</v>
      </c>
      <c r="C1166" s="199" t="s">
        <v>41</v>
      </c>
      <c r="D1166" s="199">
        <v>426</v>
      </c>
      <c r="E1166" s="199">
        <v>2356446.7999999998</v>
      </c>
      <c r="F1166" s="199">
        <v>375274</v>
      </c>
      <c r="G1166" s="199">
        <f>'Mail Merge'!$E1166+'Mail Merge'!$F1166</f>
        <v>2731720.8</v>
      </c>
      <c r="H1166" s="199">
        <v>0</v>
      </c>
      <c r="I1166" s="199" t="s">
        <v>241</v>
      </c>
      <c r="J1166" s="199">
        <f>IFERROR('Mail Merge'!$E1166/'Mail Merge'!$D1166,0)</f>
        <v>5531.5652582159619</v>
      </c>
      <c r="K1166" s="199">
        <f>IFERROR('Mail Merge'!$F1166/'Mail Merge'!$D1166,0)</f>
        <v>880.92488262910797</v>
      </c>
      <c r="L1166" s="199">
        <f>IFERROR('Mail Merge'!$G1166/'Mail Merge'!$D1166,0)</f>
        <v>6412.4901408450696</v>
      </c>
      <c r="M1166" s="199">
        <v>0</v>
      </c>
      <c r="N1166" s="199" t="s">
        <v>241</v>
      </c>
      <c r="O1166" s="199">
        <v>420123.26</v>
      </c>
      <c r="P1166" s="199">
        <v>3415.6</v>
      </c>
      <c r="Q1166" s="199">
        <f>'Mail Merge'!$O1166+'Mail Merge'!$P1166</f>
        <v>423538.86</v>
      </c>
      <c r="R1166" s="199"/>
      <c r="S1166" s="199"/>
      <c r="T1166" s="199"/>
      <c r="U1166" s="199">
        <f>IF(AND('Mail Merge'!$I1166="Did Not Meet",'Mail Merge'!$N1166="Did Not Meet"),MIN(ABS('Mail Merge'!$H1166),ABS('Mail Merge'!$M1166),'Mail Merge'!$Q1166),0)</f>
        <v>0</v>
      </c>
      <c r="V1166" s="199" t="str">
        <f>IF(OR(IFERROR(SEARCH("Met",'Mail Merge'!$N1166),0)&gt;0,IFERROR(SEARCH("Met",'Mail Merge'!$I1166),0)&gt;0),"Met","Not Met")</f>
        <v>Met</v>
      </c>
    </row>
    <row r="1167" spans="1:22" x14ac:dyDescent="0.35">
      <c r="A1167" s="200" t="s">
        <v>203</v>
      </c>
      <c r="B1167" s="201">
        <v>2055</v>
      </c>
      <c r="C1167" s="201" t="s">
        <v>41</v>
      </c>
      <c r="D1167" s="201">
        <v>482</v>
      </c>
      <c r="E1167" s="201">
        <v>5906717.9299999997</v>
      </c>
      <c r="F1167" s="201">
        <v>346967.12</v>
      </c>
      <c r="G1167" s="201">
        <f>'Mail Merge'!$E1167+'Mail Merge'!$F1167</f>
        <v>6253685.0499999998</v>
      </c>
      <c r="H1167" s="201">
        <v>0</v>
      </c>
      <c r="I1167" s="201" t="s">
        <v>242</v>
      </c>
      <c r="J1167" s="201">
        <f>IFERROR('Mail Merge'!$E1167/'Mail Merge'!$D1167,0)</f>
        <v>12254.601514522821</v>
      </c>
      <c r="K1167" s="201">
        <f>IFERROR('Mail Merge'!$F1167/'Mail Merge'!$D1167,0)</f>
        <v>719.84879668049791</v>
      </c>
      <c r="L1167" s="201">
        <f>IFERROR('Mail Merge'!$G1167/'Mail Merge'!$D1167,0)</f>
        <v>12974.45031120332</v>
      </c>
      <c r="M1167" s="201">
        <v>0</v>
      </c>
      <c r="N1167" s="201" t="s">
        <v>241</v>
      </c>
      <c r="O1167" s="201">
        <v>868590.97</v>
      </c>
      <c r="P1167" s="201">
        <v>8412.86</v>
      </c>
      <c r="Q1167" s="201">
        <f>'Mail Merge'!$O1167+'Mail Merge'!$P1167</f>
        <v>877003.83</v>
      </c>
      <c r="R1167" s="201"/>
      <c r="S1167" s="201">
        <v>86283</v>
      </c>
      <c r="T1167" s="201">
        <v>86283</v>
      </c>
      <c r="U1167" s="201">
        <f>IF(AND('Mail Merge'!$I1167="Did Not Meet",'Mail Merge'!$N1167="Did Not Meet"),MIN(ABS('Mail Merge'!$H1167),ABS('Mail Merge'!$M1167),'Mail Merge'!$Q1167),0)</f>
        <v>0</v>
      </c>
      <c r="V1167" s="201" t="str">
        <f>IF(OR(IFERROR(SEARCH("Met",'Mail Merge'!$N1167),0)&gt;0,IFERROR(SEARCH("Met",'Mail Merge'!$I1167),0)&gt;0),"Met","Not Met")</f>
        <v>Met</v>
      </c>
    </row>
    <row r="1168" spans="1:22" x14ac:dyDescent="0.35">
      <c r="A1168" s="198" t="s">
        <v>204</v>
      </c>
      <c r="B1168" s="199">
        <v>2242</v>
      </c>
      <c r="C1168" s="199" t="s">
        <v>41</v>
      </c>
      <c r="D1168" s="199">
        <v>1284</v>
      </c>
      <c r="E1168" s="199">
        <v>10316065.800000001</v>
      </c>
      <c r="F1168" s="199">
        <v>1791371</v>
      </c>
      <c r="G1168" s="199">
        <f>'Mail Merge'!$E1168+'Mail Merge'!$F1168</f>
        <v>12107436.800000001</v>
      </c>
      <c r="H1168" s="199">
        <v>0</v>
      </c>
      <c r="I1168" s="199" t="s">
        <v>241</v>
      </c>
      <c r="J1168" s="199">
        <f>IFERROR('Mail Merge'!$E1168/'Mail Merge'!$D1168,0)</f>
        <v>8034.3191588785048</v>
      </c>
      <c r="K1168" s="199">
        <f>IFERROR('Mail Merge'!$F1168/'Mail Merge'!$D1168,0)</f>
        <v>1395.148753894081</v>
      </c>
      <c r="L1168" s="199">
        <f>IFERROR('Mail Merge'!$G1168/'Mail Merge'!$D1168,0)</f>
        <v>9429.4679127725867</v>
      </c>
      <c r="M1168" s="199">
        <v>0</v>
      </c>
      <c r="N1168" s="199" t="s">
        <v>241</v>
      </c>
      <c r="O1168" s="199">
        <v>1917033.06</v>
      </c>
      <c r="P1168" s="199">
        <v>11001.36</v>
      </c>
      <c r="Q1168" s="199">
        <f>'Mail Merge'!$O1168+'Mail Merge'!$P1168</f>
        <v>1928034.4200000002</v>
      </c>
      <c r="R1168" s="199"/>
      <c r="S1168" s="199"/>
      <c r="T1168" s="199"/>
      <c r="U1168" s="199">
        <f>IF(AND('Mail Merge'!$I1168="Did Not Meet",'Mail Merge'!$N1168="Did Not Meet"),MIN(ABS('Mail Merge'!$H1168),ABS('Mail Merge'!$M1168),'Mail Merge'!$Q1168),0)</f>
        <v>0</v>
      </c>
      <c r="V1168" s="199" t="str">
        <f>IF(OR(IFERROR(SEARCH("Met",'Mail Merge'!$N1168),0)&gt;0,IFERROR(SEARCH("Met",'Mail Merge'!$I1168),0)&gt;0),"Met","Not Met")</f>
        <v>Met</v>
      </c>
    </row>
    <row r="1169" spans="1:22" x14ac:dyDescent="0.35">
      <c r="A1169" s="200" t="s">
        <v>205</v>
      </c>
      <c r="B1169" s="201">
        <v>2197</v>
      </c>
      <c r="C1169" s="201" t="s">
        <v>41</v>
      </c>
      <c r="D1169" s="201">
        <v>245</v>
      </c>
      <c r="E1169" s="201">
        <v>2747146.2400000002</v>
      </c>
      <c r="F1169" s="201">
        <v>202752</v>
      </c>
      <c r="G1169" s="201">
        <f>'Mail Merge'!$E1169+'Mail Merge'!$F1169</f>
        <v>2949898.2400000002</v>
      </c>
      <c r="H1169" s="201">
        <v>0</v>
      </c>
      <c r="I1169" s="201" t="s">
        <v>241</v>
      </c>
      <c r="J1169" s="201">
        <f>IFERROR('Mail Merge'!$E1169/'Mail Merge'!$D1169,0)</f>
        <v>11212.841795918368</v>
      </c>
      <c r="K1169" s="201">
        <f>IFERROR('Mail Merge'!$F1169/'Mail Merge'!$D1169,0)</f>
        <v>827.55918367346942</v>
      </c>
      <c r="L1169" s="201">
        <f>IFERROR('Mail Merge'!$G1169/'Mail Merge'!$D1169,0)</f>
        <v>12040.400979591837</v>
      </c>
      <c r="M1169" s="201">
        <v>0</v>
      </c>
      <c r="N1169" s="201" t="s">
        <v>241</v>
      </c>
      <c r="O1169" s="201">
        <v>343478.39</v>
      </c>
      <c r="P1169" s="201">
        <v>3786.86</v>
      </c>
      <c r="Q1169" s="201">
        <f>'Mail Merge'!$O1169+'Mail Merge'!$P1169</f>
        <v>347265.25</v>
      </c>
      <c r="R1169" s="201"/>
      <c r="S1169" s="201"/>
      <c r="T1169" s="201"/>
      <c r="U1169" s="201">
        <f>IF(AND('Mail Merge'!$I1169="Did Not Meet",'Mail Merge'!$N1169="Did Not Meet"),MIN(ABS('Mail Merge'!$H1169),ABS('Mail Merge'!$M1169),'Mail Merge'!$Q1169),0)</f>
        <v>0</v>
      </c>
      <c r="V1169" s="201" t="str">
        <f>IF(OR(IFERROR(SEARCH("Met",'Mail Merge'!$N1169),0)&gt;0,IFERROR(SEARCH("Met",'Mail Merge'!$I1169),0)&gt;0),"Met","Not Met")</f>
        <v>Met</v>
      </c>
    </row>
    <row r="1170" spans="1:22" x14ac:dyDescent="0.35">
      <c r="A1170" s="198" t="s">
        <v>206</v>
      </c>
      <c r="B1170" s="199">
        <v>2222</v>
      </c>
      <c r="C1170" s="199" t="s">
        <v>41</v>
      </c>
      <c r="D1170" s="199">
        <v>0</v>
      </c>
      <c r="E1170" s="199">
        <v>0</v>
      </c>
      <c r="F1170" s="199">
        <v>3700</v>
      </c>
      <c r="G1170" s="199">
        <f>'Mail Merge'!$E1170+'Mail Merge'!$F1170</f>
        <v>3700</v>
      </c>
      <c r="H1170" s="199">
        <v>0</v>
      </c>
      <c r="I1170" s="199" t="s">
        <v>241</v>
      </c>
      <c r="J1170" s="199">
        <f>IFERROR('Mail Merge'!$E1170/'Mail Merge'!$D1170,0)</f>
        <v>0</v>
      </c>
      <c r="K1170" s="199">
        <f>IFERROR('Mail Merge'!$F1170/'Mail Merge'!$D1170,0)</f>
        <v>0</v>
      </c>
      <c r="L1170" s="199">
        <f>IFERROR('Mail Merge'!$G1170/'Mail Merge'!$D1170,0)</f>
        <v>0</v>
      </c>
      <c r="M1170" s="199">
        <v>0</v>
      </c>
      <c r="N1170" s="199"/>
      <c r="O1170" s="199">
        <v>2450.67</v>
      </c>
      <c r="P1170" s="199">
        <v>0</v>
      </c>
      <c r="Q1170" s="199">
        <f>'Mail Merge'!$O1170+'Mail Merge'!$P1170</f>
        <v>2450.67</v>
      </c>
      <c r="R1170" s="199"/>
      <c r="S1170" s="199"/>
      <c r="T1170" s="199"/>
      <c r="U1170" s="199">
        <f>IF(AND('Mail Merge'!$I1170="Did Not Meet",'Mail Merge'!$N1170="Did Not Meet"),MIN(ABS('Mail Merge'!$H1170),ABS('Mail Merge'!$M1170),'Mail Merge'!$Q1170),0)</f>
        <v>0</v>
      </c>
      <c r="V1170" s="199" t="str">
        <f>IF(OR(IFERROR(SEARCH("Met",'Mail Merge'!$N1170),0)&gt;0,IFERROR(SEARCH("Met",'Mail Merge'!$I1170),0)&gt;0),"Met","Not Met")</f>
        <v>Met</v>
      </c>
    </row>
    <row r="1171" spans="1:22" x14ac:dyDescent="0.35">
      <c r="A1171" s="200" t="s">
        <v>207</v>
      </c>
      <c r="B1171" s="201">
        <v>2210</v>
      </c>
      <c r="C1171" s="201" t="s">
        <v>41</v>
      </c>
      <c r="D1171" s="201">
        <v>2</v>
      </c>
      <c r="E1171" s="201">
        <v>4656.28</v>
      </c>
      <c r="F1171" s="201">
        <v>3353.39</v>
      </c>
      <c r="G1171" s="201">
        <f>'Mail Merge'!$E1171+'Mail Merge'!$F1171</f>
        <v>8009.67</v>
      </c>
      <c r="H1171" s="201">
        <v>0</v>
      </c>
      <c r="I1171" s="201" t="s">
        <v>242</v>
      </c>
      <c r="J1171" s="201">
        <f>IFERROR('Mail Merge'!$E1171/'Mail Merge'!$D1171,0)</f>
        <v>2328.14</v>
      </c>
      <c r="K1171" s="201">
        <f>IFERROR('Mail Merge'!$F1171/'Mail Merge'!$D1171,0)</f>
        <v>1676.6949999999999</v>
      </c>
      <c r="L1171" s="201">
        <f>IFERROR('Mail Merge'!$G1171/'Mail Merge'!$D1171,0)</f>
        <v>4004.835</v>
      </c>
      <c r="M1171" s="201">
        <v>0</v>
      </c>
      <c r="N1171" s="201" t="s">
        <v>241</v>
      </c>
      <c r="O1171" s="201">
        <v>8764.2900000000009</v>
      </c>
      <c r="P1171" s="201">
        <v>0</v>
      </c>
      <c r="Q1171" s="201">
        <f>'Mail Merge'!$O1171+'Mail Merge'!$P1171</f>
        <v>8764.2900000000009</v>
      </c>
      <c r="R1171" s="201"/>
      <c r="S1171" s="201">
        <v>6898.28</v>
      </c>
      <c r="T1171" s="201">
        <v>6898.28</v>
      </c>
      <c r="U1171" s="201">
        <f>IF(AND('Mail Merge'!$I1171="Did Not Meet",'Mail Merge'!$N1171="Did Not Meet"),MIN(ABS('Mail Merge'!$H1171),ABS('Mail Merge'!$M1171),'Mail Merge'!$Q1171),0)</f>
        <v>0</v>
      </c>
      <c r="V1171" s="201" t="str">
        <f>IF(OR(IFERROR(SEARCH("Met",'Mail Merge'!$N1171),0)&gt;0,IFERROR(SEARCH("Met",'Mail Merge'!$I1171),0)&gt;0),"Met","Not Met")</f>
        <v>Met</v>
      </c>
    </row>
    <row r="1172" spans="1:22" x14ac:dyDescent="0.35">
      <c r="A1172" s="198" t="s">
        <v>208</v>
      </c>
      <c r="B1172" s="199">
        <v>2204</v>
      </c>
      <c r="C1172" s="199" t="s">
        <v>41</v>
      </c>
      <c r="D1172" s="199">
        <v>130</v>
      </c>
      <c r="E1172" s="199">
        <v>1076694.2</v>
      </c>
      <c r="F1172" s="199">
        <v>218831.48</v>
      </c>
      <c r="G1172" s="199">
        <f>'Mail Merge'!$E1172+'Mail Merge'!$F1172</f>
        <v>1295525.68</v>
      </c>
      <c r="H1172" s="199">
        <v>0</v>
      </c>
      <c r="I1172" s="199" t="s">
        <v>241</v>
      </c>
      <c r="J1172" s="199">
        <f>IFERROR('Mail Merge'!$E1172/'Mail Merge'!$D1172,0)</f>
        <v>8282.2630769230764</v>
      </c>
      <c r="K1172" s="199">
        <f>IFERROR('Mail Merge'!$F1172/'Mail Merge'!$D1172,0)</f>
        <v>1683.3190769230771</v>
      </c>
      <c r="L1172" s="199">
        <f>IFERROR('Mail Merge'!$G1172/'Mail Merge'!$D1172,0)</f>
        <v>9965.5821538461532</v>
      </c>
      <c r="M1172" s="199">
        <v>0</v>
      </c>
      <c r="N1172" s="199" t="s">
        <v>241</v>
      </c>
      <c r="O1172" s="199">
        <v>176706.08</v>
      </c>
      <c r="P1172" s="199">
        <v>734.42</v>
      </c>
      <c r="Q1172" s="199">
        <f>'Mail Merge'!$O1172+'Mail Merge'!$P1172</f>
        <v>177440.5</v>
      </c>
      <c r="R1172" s="199"/>
      <c r="S1172" s="199"/>
      <c r="T1172" s="199"/>
      <c r="U1172" s="199">
        <f>IF(AND('Mail Merge'!$I1172="Did Not Meet",'Mail Merge'!$N1172="Did Not Meet"),MIN(ABS('Mail Merge'!$H1172),ABS('Mail Merge'!$M1172),'Mail Merge'!$Q1172),0)</f>
        <v>0</v>
      </c>
      <c r="V1172" s="199" t="str">
        <f>IF(OR(IFERROR(SEARCH("Met",'Mail Merge'!$N1172),0)&gt;0,IFERROR(SEARCH("Met",'Mail Merge'!$I1172),0)&gt;0),"Met","Not Met")</f>
        <v>Met</v>
      </c>
    </row>
    <row r="1173" spans="1:22" x14ac:dyDescent="0.35">
      <c r="A1173" s="200" t="s">
        <v>209</v>
      </c>
      <c r="B1173" s="201">
        <v>2213</v>
      </c>
      <c r="C1173" s="201" t="s">
        <v>41</v>
      </c>
      <c r="D1173" s="201">
        <v>39</v>
      </c>
      <c r="E1173" s="201">
        <v>329566.07</v>
      </c>
      <c r="F1173" s="201">
        <v>128586.49</v>
      </c>
      <c r="G1173" s="201">
        <f>'Mail Merge'!$E1173+'Mail Merge'!$F1173</f>
        <v>458152.56</v>
      </c>
      <c r="H1173" s="201">
        <v>0</v>
      </c>
      <c r="I1173" s="201" t="s">
        <v>241</v>
      </c>
      <c r="J1173" s="201">
        <f>IFERROR('Mail Merge'!$E1173/'Mail Merge'!$D1173,0)</f>
        <v>8450.4120512820518</v>
      </c>
      <c r="K1173" s="201">
        <f>IFERROR('Mail Merge'!$F1173/'Mail Merge'!$D1173,0)</f>
        <v>3297.0894871794872</v>
      </c>
      <c r="L1173" s="201">
        <f>IFERROR('Mail Merge'!$G1173/'Mail Merge'!$D1173,0)</f>
        <v>11747.501538461538</v>
      </c>
      <c r="M1173" s="201">
        <v>0</v>
      </c>
      <c r="N1173" s="201" t="s">
        <v>241</v>
      </c>
      <c r="O1173" s="201">
        <v>61912.59</v>
      </c>
      <c r="P1173" s="201">
        <v>153</v>
      </c>
      <c r="Q1173" s="201">
        <f>'Mail Merge'!$O1173+'Mail Merge'!$P1173</f>
        <v>62065.59</v>
      </c>
      <c r="R1173" s="201"/>
      <c r="S1173" s="201"/>
      <c r="T1173" s="201"/>
      <c r="U1173" s="201">
        <f>IF(AND('Mail Merge'!$I1173="Did Not Meet",'Mail Merge'!$N1173="Did Not Meet"),MIN(ABS('Mail Merge'!$H1173),ABS('Mail Merge'!$M1173),'Mail Merge'!$Q1173),0)</f>
        <v>0</v>
      </c>
      <c r="V1173" s="201" t="str">
        <f>IF(OR(IFERROR(SEARCH("Met",'Mail Merge'!$N1173),0)&gt;0,IFERROR(SEARCH("Met",'Mail Merge'!$I1173),0)&gt;0),"Met","Not Met")</f>
        <v>Met</v>
      </c>
    </row>
    <row r="1174" spans="1:22" x14ac:dyDescent="0.35">
      <c r="A1174" s="198" t="s">
        <v>210</v>
      </c>
      <c r="B1174" s="199">
        <v>2116</v>
      </c>
      <c r="C1174" s="199" t="s">
        <v>41</v>
      </c>
      <c r="D1174" s="199">
        <v>112</v>
      </c>
      <c r="E1174" s="199">
        <v>767881.27</v>
      </c>
      <c r="F1174" s="199">
        <v>296941.71000000002</v>
      </c>
      <c r="G1174" s="199">
        <f>'Mail Merge'!$E1174+'Mail Merge'!$F1174</f>
        <v>1064822.98</v>
      </c>
      <c r="H1174" s="199">
        <v>0</v>
      </c>
      <c r="I1174" s="199" t="s">
        <v>241</v>
      </c>
      <c r="J1174" s="199">
        <f>IFERROR('Mail Merge'!$E1174/'Mail Merge'!$D1174,0)</f>
        <v>6856.0827678571432</v>
      </c>
      <c r="K1174" s="199">
        <f>IFERROR('Mail Merge'!$F1174/'Mail Merge'!$D1174,0)</f>
        <v>2651.265267857143</v>
      </c>
      <c r="L1174" s="199">
        <f>IFERROR('Mail Merge'!$G1174/'Mail Merge'!$D1174,0)</f>
        <v>9507.3480357142853</v>
      </c>
      <c r="M1174" s="199">
        <v>0</v>
      </c>
      <c r="N1174" s="199" t="s">
        <v>241</v>
      </c>
      <c r="O1174" s="199">
        <v>182061.33</v>
      </c>
      <c r="P1174" s="199">
        <v>847.41</v>
      </c>
      <c r="Q1174" s="199">
        <f>'Mail Merge'!$O1174+'Mail Merge'!$P1174</f>
        <v>182908.74</v>
      </c>
      <c r="R1174" s="199"/>
      <c r="S1174" s="199"/>
      <c r="T1174" s="199"/>
      <c r="U1174" s="199">
        <f>IF(AND('Mail Merge'!$I1174="Did Not Meet",'Mail Merge'!$N1174="Did Not Meet"),MIN(ABS('Mail Merge'!$H1174),ABS('Mail Merge'!$M1174),'Mail Merge'!$Q1174),0)</f>
        <v>0</v>
      </c>
      <c r="V1174" s="199" t="str">
        <f>IF(OR(IFERROR(SEARCH("Met",'Mail Merge'!$N1174),0)&gt;0,IFERROR(SEARCH("Met",'Mail Merge'!$I1174),0)&gt;0),"Met","Not Met")</f>
        <v>Met</v>
      </c>
    </row>
    <row r="1175" spans="1:22" x14ac:dyDescent="0.35">
      <c r="A1175" s="200" t="s">
        <v>211</v>
      </c>
      <c r="B1175" s="201">
        <v>1947</v>
      </c>
      <c r="C1175" s="201" t="s">
        <v>41</v>
      </c>
      <c r="D1175" s="201">
        <v>92</v>
      </c>
      <c r="E1175" s="201">
        <v>1107533.18</v>
      </c>
      <c r="F1175" s="201">
        <v>99253</v>
      </c>
      <c r="G1175" s="201">
        <f>'Mail Merge'!$E1175+'Mail Merge'!$F1175</f>
        <v>1206786.18</v>
      </c>
      <c r="H1175" s="201">
        <v>0</v>
      </c>
      <c r="I1175" s="201" t="s">
        <v>241</v>
      </c>
      <c r="J1175" s="201">
        <f>IFERROR('Mail Merge'!$E1175/'Mail Merge'!$D1175,0)</f>
        <v>12038.404130434781</v>
      </c>
      <c r="K1175" s="201">
        <f>IFERROR('Mail Merge'!$F1175/'Mail Merge'!$D1175,0)</f>
        <v>1078.8369565217392</v>
      </c>
      <c r="L1175" s="201">
        <f>IFERROR('Mail Merge'!$G1175/'Mail Merge'!$D1175,0)</f>
        <v>13117.241086956521</v>
      </c>
      <c r="M1175" s="201">
        <v>0</v>
      </c>
      <c r="N1175" s="201" t="s">
        <v>241</v>
      </c>
      <c r="O1175" s="201">
        <v>110194.26</v>
      </c>
      <c r="P1175" s="201">
        <v>3029.49</v>
      </c>
      <c r="Q1175" s="201">
        <f>'Mail Merge'!$O1175+'Mail Merge'!$P1175</f>
        <v>113223.75</v>
      </c>
      <c r="R1175" s="201"/>
      <c r="S1175" s="201"/>
      <c r="T1175" s="201"/>
      <c r="U1175" s="201">
        <f>IF(AND('Mail Merge'!$I1175="Did Not Meet",'Mail Merge'!$N1175="Did Not Meet"),MIN(ABS('Mail Merge'!$H1175),ABS('Mail Merge'!$M1175),'Mail Merge'!$Q1175),0)</f>
        <v>0</v>
      </c>
      <c r="V1175" s="201" t="str">
        <f>IF(OR(IFERROR(SEARCH("Met",'Mail Merge'!$N1175),0)&gt;0,IFERROR(SEARCH("Met",'Mail Merge'!$I1175),0)&gt;0),"Met","Not Met")</f>
        <v>Met</v>
      </c>
    </row>
    <row r="1176" spans="1:22" x14ac:dyDescent="0.35">
      <c r="A1176" s="198" t="s">
        <v>212</v>
      </c>
      <c r="B1176" s="199">
        <v>2220</v>
      </c>
      <c r="C1176" s="199" t="s">
        <v>41</v>
      </c>
      <c r="D1176" s="199">
        <v>34</v>
      </c>
      <c r="E1176" s="199">
        <v>89111.81</v>
      </c>
      <c r="F1176" s="199">
        <v>179005.86</v>
      </c>
      <c r="G1176" s="199">
        <f>'Mail Merge'!$E1176+'Mail Merge'!$F1176</f>
        <v>268117.67</v>
      </c>
      <c r="H1176" s="199">
        <v>0</v>
      </c>
      <c r="I1176" s="199" t="s">
        <v>241</v>
      </c>
      <c r="J1176" s="199">
        <f>IFERROR('Mail Merge'!$E1176/'Mail Merge'!$D1176,0)</f>
        <v>2620.9355882352938</v>
      </c>
      <c r="K1176" s="199">
        <f>IFERROR('Mail Merge'!$F1176/'Mail Merge'!$D1176,0)</f>
        <v>5264.8782352941171</v>
      </c>
      <c r="L1176" s="199">
        <f>IFERROR('Mail Merge'!$G1176/'Mail Merge'!$D1176,0)</f>
        <v>7885.8138235294109</v>
      </c>
      <c r="M1176" s="199">
        <v>0</v>
      </c>
      <c r="N1176" s="199" t="s">
        <v>241</v>
      </c>
      <c r="O1176" s="199">
        <v>60034.400000000001</v>
      </c>
      <c r="P1176" s="199">
        <v>0</v>
      </c>
      <c r="Q1176" s="199">
        <f>'Mail Merge'!$O1176+'Mail Merge'!$P1176</f>
        <v>60034.400000000001</v>
      </c>
      <c r="R1176" s="199"/>
      <c r="S1176" s="199"/>
      <c r="T1176" s="199"/>
      <c r="U1176" s="199">
        <f>IF(AND('Mail Merge'!$I1176="Did Not Meet",'Mail Merge'!$N1176="Did Not Meet"),MIN(ABS('Mail Merge'!$H1176),ABS('Mail Merge'!$M1176),'Mail Merge'!$Q1176),0)</f>
        <v>0</v>
      </c>
      <c r="V1176" s="199" t="str">
        <f>IF(OR(IFERROR(SEARCH("Met",'Mail Merge'!$N1176),0)&gt;0,IFERROR(SEARCH("Met",'Mail Merge'!$I1176),0)&gt;0),"Met","Not Met")</f>
        <v>Met</v>
      </c>
    </row>
    <row r="1177" spans="1:22" x14ac:dyDescent="0.35">
      <c r="A1177" s="200" t="s">
        <v>213</v>
      </c>
      <c r="B1177" s="201">
        <v>1936</v>
      </c>
      <c r="C1177" s="201" t="s">
        <v>41</v>
      </c>
      <c r="D1177" s="201">
        <v>178</v>
      </c>
      <c r="E1177" s="201">
        <v>1347589.79</v>
      </c>
      <c r="F1177" s="201">
        <v>402560</v>
      </c>
      <c r="G1177" s="201">
        <f>'Mail Merge'!$E1177+'Mail Merge'!$F1177</f>
        <v>1750149.79</v>
      </c>
      <c r="H1177" s="201">
        <v>0</v>
      </c>
      <c r="I1177" s="201" t="s">
        <v>241</v>
      </c>
      <c r="J1177" s="201">
        <f>IFERROR('Mail Merge'!$E1177/'Mail Merge'!$D1177,0)</f>
        <v>7570.7291573033708</v>
      </c>
      <c r="K1177" s="201">
        <f>IFERROR('Mail Merge'!$F1177/'Mail Merge'!$D1177,0)</f>
        <v>2261.5730337078653</v>
      </c>
      <c r="L1177" s="201">
        <f>IFERROR('Mail Merge'!$G1177/'Mail Merge'!$D1177,0)</f>
        <v>9832.3021910112366</v>
      </c>
      <c r="M1177" s="201">
        <v>0</v>
      </c>
      <c r="N1177" s="201" t="s">
        <v>241</v>
      </c>
      <c r="O1177" s="201">
        <v>158958.74</v>
      </c>
      <c r="P1177" s="201">
        <v>1721.3</v>
      </c>
      <c r="Q1177" s="201">
        <f>'Mail Merge'!$O1177+'Mail Merge'!$P1177</f>
        <v>160680.03999999998</v>
      </c>
      <c r="R1177" s="201"/>
      <c r="S1177" s="201"/>
      <c r="T1177" s="201"/>
      <c r="U1177" s="201">
        <f>IF(AND('Mail Merge'!$I1177="Did Not Meet",'Mail Merge'!$N1177="Did Not Meet"),MIN(ABS('Mail Merge'!$H1177),ABS('Mail Merge'!$M1177),'Mail Merge'!$Q1177),0)</f>
        <v>0</v>
      </c>
      <c r="V1177" s="201" t="str">
        <f>IF(OR(IFERROR(SEARCH("Met",'Mail Merge'!$N1177),0)&gt;0,IFERROR(SEARCH("Met",'Mail Merge'!$I1177),0)&gt;0),"Met","Not Met")</f>
        <v>Met</v>
      </c>
    </row>
    <row r="1178" spans="1:22" x14ac:dyDescent="0.35">
      <c r="A1178" s="198" t="s">
        <v>214</v>
      </c>
      <c r="B1178" s="199">
        <v>1922</v>
      </c>
      <c r="C1178" s="199" t="s">
        <v>41</v>
      </c>
      <c r="D1178" s="199">
        <v>970</v>
      </c>
      <c r="E1178" s="199">
        <v>8989526.8300000001</v>
      </c>
      <c r="F1178" s="199">
        <v>66152</v>
      </c>
      <c r="G1178" s="199">
        <f>'Mail Merge'!$E1178+'Mail Merge'!$F1178</f>
        <v>9055678.8300000001</v>
      </c>
      <c r="H1178" s="199">
        <v>0</v>
      </c>
      <c r="I1178" s="199" t="s">
        <v>241</v>
      </c>
      <c r="J1178" s="199">
        <f>IFERROR('Mail Merge'!$E1178/'Mail Merge'!$D1178,0)</f>
        <v>9267.5534329896909</v>
      </c>
      <c r="K1178" s="199">
        <f>IFERROR('Mail Merge'!$F1178/'Mail Merge'!$D1178,0)</f>
        <v>68.197938144329896</v>
      </c>
      <c r="L1178" s="199">
        <f>IFERROR('Mail Merge'!$G1178/'Mail Merge'!$D1178,0)</f>
        <v>9335.7513711340198</v>
      </c>
      <c r="M1178" s="199">
        <v>0</v>
      </c>
      <c r="N1178" s="199" t="s">
        <v>241</v>
      </c>
      <c r="O1178" s="199">
        <v>1238431</v>
      </c>
      <c r="P1178" s="199">
        <v>4138.8999999999996</v>
      </c>
      <c r="Q1178" s="199">
        <f>'Mail Merge'!$O1178+'Mail Merge'!$P1178</f>
        <v>1242569.8999999999</v>
      </c>
      <c r="R1178" s="199"/>
      <c r="S1178" s="199"/>
      <c r="T1178" s="199"/>
      <c r="U1178" s="199">
        <f>IF(AND('Mail Merge'!$I1178="Did Not Meet",'Mail Merge'!$N1178="Did Not Meet"),MIN(ABS('Mail Merge'!$H1178),ABS('Mail Merge'!$M1178),'Mail Merge'!$Q1178),0)</f>
        <v>0</v>
      </c>
      <c r="V1178" s="199" t="str">
        <f>IF(OR(IFERROR(SEARCH("Met",'Mail Merge'!$N1178),0)&gt;0,IFERROR(SEARCH("Met",'Mail Merge'!$I1178),0)&gt;0),"Met","Not Met")</f>
        <v>Met</v>
      </c>
    </row>
    <row r="1179" spans="1:22" x14ac:dyDescent="0.35">
      <c r="A1179" s="200" t="s">
        <v>215</v>
      </c>
      <c r="B1179" s="201">
        <v>2255</v>
      </c>
      <c r="C1179" s="201" t="s">
        <v>41</v>
      </c>
      <c r="D1179" s="201">
        <v>140</v>
      </c>
      <c r="E1179" s="201">
        <v>982248.11</v>
      </c>
      <c r="F1179" s="201">
        <v>37804.269999999997</v>
      </c>
      <c r="G1179" s="201">
        <f>'Mail Merge'!$E1179+'Mail Merge'!$F1179</f>
        <v>1020052.38</v>
      </c>
      <c r="H1179" s="201">
        <v>0</v>
      </c>
      <c r="I1179" s="201" t="s">
        <v>241</v>
      </c>
      <c r="J1179" s="201">
        <f>IFERROR('Mail Merge'!$E1179/'Mail Merge'!$D1179,0)</f>
        <v>7016.0579285714284</v>
      </c>
      <c r="K1179" s="201">
        <f>IFERROR('Mail Merge'!$F1179/'Mail Merge'!$D1179,0)</f>
        <v>270.03049999999996</v>
      </c>
      <c r="L1179" s="201">
        <f>IFERROR('Mail Merge'!$G1179/'Mail Merge'!$D1179,0)</f>
        <v>7286.0884285714283</v>
      </c>
      <c r="M1179" s="201">
        <v>255013.1</v>
      </c>
      <c r="N1179" s="201" t="s">
        <v>240</v>
      </c>
      <c r="O1179" s="201">
        <v>188206.95</v>
      </c>
      <c r="P1179" s="201">
        <v>2786.87</v>
      </c>
      <c r="Q1179" s="201">
        <f>'Mail Merge'!$O1179+'Mail Merge'!$P1179</f>
        <v>190993.82</v>
      </c>
      <c r="R1179" s="201"/>
      <c r="S1179" s="201"/>
      <c r="T1179" s="201"/>
      <c r="U1179" s="201">
        <f>IF(AND('Mail Merge'!$I1179="Did Not Meet",'Mail Merge'!$N1179="Did Not Meet"),MIN(ABS('Mail Merge'!$H1179),ABS('Mail Merge'!$M1179),'Mail Merge'!$Q1179),0)</f>
        <v>0</v>
      </c>
      <c r="V1179" s="201" t="str">
        <f>IF(OR(IFERROR(SEARCH("Met",'Mail Merge'!$N1179),0)&gt;0,IFERROR(SEARCH("Met",'Mail Merge'!$I1179),0)&gt;0),"Met","Not Met")</f>
        <v>Met</v>
      </c>
    </row>
    <row r="1180" spans="1:22" x14ac:dyDescent="0.35">
      <c r="A1180" s="198" t="s">
        <v>216</v>
      </c>
      <c r="B1180" s="199">
        <v>2002</v>
      </c>
      <c r="C1180" s="199" t="s">
        <v>41</v>
      </c>
      <c r="D1180" s="199">
        <v>177</v>
      </c>
      <c r="E1180" s="199">
        <v>1404043.88</v>
      </c>
      <c r="F1180" s="199">
        <v>262674.77</v>
      </c>
      <c r="G1180" s="199">
        <f>'Mail Merge'!$E1180+'Mail Merge'!$F1180</f>
        <v>1666718.65</v>
      </c>
      <c r="H1180" s="199">
        <v>0</v>
      </c>
      <c r="I1180" s="199" t="s">
        <v>242</v>
      </c>
      <c r="J1180" s="199">
        <f>IFERROR('Mail Merge'!$E1180/'Mail Merge'!$D1180,0)</f>
        <v>7932.451299435028</v>
      </c>
      <c r="K1180" s="199">
        <f>IFERROR('Mail Merge'!$F1180/'Mail Merge'!$D1180,0)</f>
        <v>1484.0382485875707</v>
      </c>
      <c r="L1180" s="199">
        <f>IFERROR('Mail Merge'!$G1180/'Mail Merge'!$D1180,0)</f>
        <v>9416.4895480225987</v>
      </c>
      <c r="M1180" s="199">
        <v>0</v>
      </c>
      <c r="N1180" s="199" t="s">
        <v>241</v>
      </c>
      <c r="O1180" s="199">
        <v>271736.45</v>
      </c>
      <c r="P1180" s="199">
        <v>2268.0700000000002</v>
      </c>
      <c r="Q1180" s="199">
        <f>'Mail Merge'!$O1180+'Mail Merge'!$P1180</f>
        <v>274004.52</v>
      </c>
      <c r="R1180" s="199"/>
      <c r="S1180" s="199">
        <v>158939.19</v>
      </c>
      <c r="T1180" s="199">
        <v>228928.41</v>
      </c>
      <c r="U1180" s="199">
        <f>IF(AND('Mail Merge'!$I1180="Did Not Meet",'Mail Merge'!$N1180="Did Not Meet"),MIN(ABS('Mail Merge'!$H1180),ABS('Mail Merge'!$M1180),'Mail Merge'!$Q1180),0)</f>
        <v>0</v>
      </c>
      <c r="V1180" s="199" t="str">
        <f>IF(OR(IFERROR(SEARCH("Met",'Mail Merge'!$N1180),0)&gt;0,IFERROR(SEARCH("Met",'Mail Merge'!$I1180),0)&gt;0),"Met","Not Met")</f>
        <v>Met</v>
      </c>
    </row>
    <row r="1181" spans="1:22" x14ac:dyDescent="0.35">
      <c r="A1181" s="200" t="s">
        <v>217</v>
      </c>
      <c r="B1181" s="201">
        <v>2146</v>
      </c>
      <c r="C1181" s="201" t="s">
        <v>41</v>
      </c>
      <c r="D1181" s="201">
        <v>770</v>
      </c>
      <c r="E1181" s="201">
        <v>6555598.6200000001</v>
      </c>
      <c r="F1181" s="201">
        <v>420762.47</v>
      </c>
      <c r="G1181" s="201">
        <f>'Mail Merge'!$E1181+'Mail Merge'!$F1181</f>
        <v>6976361.0899999999</v>
      </c>
      <c r="H1181" s="201">
        <v>0</v>
      </c>
      <c r="I1181" s="201" t="s">
        <v>241</v>
      </c>
      <c r="J1181" s="201">
        <f>IFERROR('Mail Merge'!$E1181/'Mail Merge'!$D1181,0)</f>
        <v>8513.7644415584418</v>
      </c>
      <c r="K1181" s="201">
        <f>IFERROR('Mail Merge'!$F1181/'Mail Merge'!$D1181,0)</f>
        <v>546.44476623376625</v>
      </c>
      <c r="L1181" s="201">
        <f>IFERROR('Mail Merge'!$G1181/'Mail Merge'!$D1181,0)</f>
        <v>9060.209207792208</v>
      </c>
      <c r="M1181" s="201">
        <v>31657.43</v>
      </c>
      <c r="N1181" s="201" t="s">
        <v>240</v>
      </c>
      <c r="O1181" s="201">
        <v>800002.56000000006</v>
      </c>
      <c r="P1181" s="201">
        <v>3519.1</v>
      </c>
      <c r="Q1181" s="201">
        <f>'Mail Merge'!$O1181+'Mail Merge'!$P1181</f>
        <v>803521.66</v>
      </c>
      <c r="R1181" s="201"/>
      <c r="S1181" s="201"/>
      <c r="T1181" s="201"/>
      <c r="U1181" s="201">
        <f>IF(AND('Mail Merge'!$I1181="Did Not Meet",'Mail Merge'!$N1181="Did Not Meet"),MIN(ABS('Mail Merge'!$H1181),ABS('Mail Merge'!$M1181),'Mail Merge'!$Q1181),0)</f>
        <v>0</v>
      </c>
      <c r="V1181" s="201" t="str">
        <f>IF(OR(IFERROR(SEARCH("Met",'Mail Merge'!$N1181),0)&gt;0,IFERROR(SEARCH("Met",'Mail Merge'!$I1181),0)&gt;0),"Met","Not Met")</f>
        <v>Met</v>
      </c>
    </row>
    <row r="1182" spans="1:22" x14ac:dyDescent="0.35">
      <c r="A1182" s="198" t="s">
        <v>218</v>
      </c>
      <c r="B1182" s="199">
        <v>2251</v>
      </c>
      <c r="C1182" s="199" t="s">
        <v>41</v>
      </c>
      <c r="D1182" s="199">
        <v>164</v>
      </c>
      <c r="E1182" s="199">
        <v>1427983.98</v>
      </c>
      <c r="F1182" s="199">
        <v>101373.38</v>
      </c>
      <c r="G1182" s="199">
        <f>'Mail Merge'!$E1182+'Mail Merge'!$F1182</f>
        <v>1529357.3599999999</v>
      </c>
      <c r="H1182" s="199">
        <v>0</v>
      </c>
      <c r="I1182" s="199" t="s">
        <v>241</v>
      </c>
      <c r="J1182" s="199">
        <f>IFERROR('Mail Merge'!$E1182/'Mail Merge'!$D1182,0)</f>
        <v>8707.219390243903</v>
      </c>
      <c r="K1182" s="199">
        <f>IFERROR('Mail Merge'!$F1182/'Mail Merge'!$D1182,0)</f>
        <v>618.13036585365853</v>
      </c>
      <c r="L1182" s="199">
        <f>IFERROR('Mail Merge'!$G1182/'Mail Merge'!$D1182,0)</f>
        <v>9325.3497560975593</v>
      </c>
      <c r="M1182" s="199">
        <v>0</v>
      </c>
      <c r="N1182" s="199" t="s">
        <v>241</v>
      </c>
      <c r="O1182" s="199">
        <v>196649.1</v>
      </c>
      <c r="P1182" s="199">
        <v>1377.04</v>
      </c>
      <c r="Q1182" s="199">
        <f>'Mail Merge'!$O1182+'Mail Merge'!$P1182</f>
        <v>198026.14</v>
      </c>
      <c r="R1182" s="199"/>
      <c r="S1182" s="199"/>
      <c r="T1182" s="199"/>
      <c r="U1182" s="199">
        <f>IF(AND('Mail Merge'!$I1182="Did Not Meet",'Mail Merge'!$N1182="Did Not Meet"),MIN(ABS('Mail Merge'!$H1182),ABS('Mail Merge'!$M1182),'Mail Merge'!$Q1182),0)</f>
        <v>0</v>
      </c>
      <c r="V1182" s="199" t="str">
        <f>IF(OR(IFERROR(SEARCH("Met",'Mail Merge'!$N1182),0)&gt;0,IFERROR(SEARCH("Met",'Mail Merge'!$I1182),0)&gt;0),"Met","Not Met")</f>
        <v>Met</v>
      </c>
    </row>
    <row r="1183" spans="1:22" x14ac:dyDescent="0.35">
      <c r="A1183" s="200" t="s">
        <v>219</v>
      </c>
      <c r="B1183" s="201">
        <v>1997</v>
      </c>
      <c r="C1183" s="201" t="s">
        <v>41</v>
      </c>
      <c r="D1183" s="201">
        <v>34</v>
      </c>
      <c r="E1183" s="201">
        <v>237159.34</v>
      </c>
      <c r="F1183" s="201">
        <v>54390.12</v>
      </c>
      <c r="G1183" s="201">
        <f>'Mail Merge'!$E1183+'Mail Merge'!$F1183</f>
        <v>291549.46000000002</v>
      </c>
      <c r="H1183" s="201">
        <v>0</v>
      </c>
      <c r="I1183" s="201" t="s">
        <v>241</v>
      </c>
      <c r="J1183" s="201">
        <f>IFERROR('Mail Merge'!$E1183/'Mail Merge'!$D1183,0)</f>
        <v>6975.2747058823525</v>
      </c>
      <c r="K1183" s="201">
        <f>IFERROR('Mail Merge'!$F1183/'Mail Merge'!$D1183,0)</f>
        <v>1599.7094117647059</v>
      </c>
      <c r="L1183" s="201">
        <f>IFERROR('Mail Merge'!$G1183/'Mail Merge'!$D1183,0)</f>
        <v>8574.98411764706</v>
      </c>
      <c r="M1183" s="201">
        <v>0</v>
      </c>
      <c r="N1183" s="201" t="s">
        <v>241</v>
      </c>
      <c r="O1183" s="201">
        <v>60310.879999999997</v>
      </c>
      <c r="P1183" s="201">
        <v>459.01</v>
      </c>
      <c r="Q1183" s="201">
        <f>'Mail Merge'!$O1183+'Mail Merge'!$P1183</f>
        <v>60769.89</v>
      </c>
      <c r="R1183" s="201"/>
      <c r="S1183" s="201"/>
      <c r="T1183" s="201"/>
      <c r="U1183" s="201">
        <f>IF(AND('Mail Merge'!$I1183="Did Not Meet",'Mail Merge'!$N1183="Did Not Meet"),MIN(ABS('Mail Merge'!$H1183),ABS('Mail Merge'!$M1183),'Mail Merge'!$Q1183),0)</f>
        <v>0</v>
      </c>
      <c r="V1183" s="201" t="str">
        <f>IF(OR(IFERROR(SEARCH("Met",'Mail Merge'!$N1183),0)&gt;0,IFERROR(SEARCH("Met",'Mail Merge'!$I1183),0)&gt;0),"Met","Not Met")</f>
        <v>Met</v>
      </c>
    </row>
    <row r="1184" spans="1:22" x14ac:dyDescent="0.35">
      <c r="A1184" s="198" t="s">
        <v>14</v>
      </c>
      <c r="B1184" s="199">
        <v>2063</v>
      </c>
      <c r="C1184" s="199" t="s">
        <v>18</v>
      </c>
      <c r="D1184" s="199">
        <v>1</v>
      </c>
      <c r="E1184" s="199">
        <v>4607.29</v>
      </c>
      <c r="F1184" s="199">
        <v>17026.87</v>
      </c>
      <c r="G1184" s="199">
        <f>'Mail Merge'!$E1184+'Mail Merge'!$F1184</f>
        <v>21634.16</v>
      </c>
      <c r="H1184" s="199">
        <v>0</v>
      </c>
      <c r="I1184" s="199" t="s">
        <v>242</v>
      </c>
      <c r="J1184" s="202">
        <f>IFERROR('Mail Merge'!$E1184/'Mail Merge'!$D1184,0)</f>
        <v>4607.29</v>
      </c>
      <c r="K1184" s="199">
        <f>IFERROR('Mail Merge'!$F1184/'Mail Merge'!$D1184,0)</f>
        <v>17026.87</v>
      </c>
      <c r="L1184" s="203">
        <f>IFERROR('Mail Merge'!$G1184/'Mail Merge'!$D1184,0)</f>
        <v>21634.16</v>
      </c>
      <c r="M1184" s="199">
        <v>0</v>
      </c>
      <c r="N1184" s="199" t="s">
        <v>241</v>
      </c>
      <c r="O1184" s="199">
        <v>2809.93</v>
      </c>
      <c r="P1184" s="199">
        <v>485.19</v>
      </c>
      <c r="Q1184" s="199">
        <f>'Mail Merge'!$O1184+'Mail Merge'!$P1184</f>
        <v>3295.12</v>
      </c>
      <c r="R1184" s="199"/>
      <c r="S1184" s="199">
        <v>13842.43</v>
      </c>
      <c r="T1184" s="199"/>
      <c r="U1184" s="199">
        <f>IF(AND('Mail Merge'!$I1184="Did Not Meet",'Mail Merge'!$N1184="Did Not Meet"),MIN(ABS('Mail Merge'!$H1184),ABS('Mail Merge'!$M1184),'Mail Merge'!$Q1184),0)</f>
        <v>0</v>
      </c>
      <c r="V1184" s="199" t="str">
        <f>IF(OR(IFERROR(SEARCH("Met",'Mail Merge'!$N1184),0)&gt;0,IFERROR(SEARCH("Met",'Mail Merge'!$I1184),0)&gt;0),"Met","Not Met")</f>
        <v>Met</v>
      </c>
    </row>
    <row r="1185" spans="1:22" x14ac:dyDescent="0.35">
      <c r="A1185" s="200" t="s">
        <v>17</v>
      </c>
      <c r="B1185" s="201">
        <v>2113</v>
      </c>
      <c r="C1185" s="201" t="s">
        <v>18</v>
      </c>
      <c r="D1185" s="201">
        <v>41</v>
      </c>
      <c r="E1185" s="201">
        <v>221631.35</v>
      </c>
      <c r="F1185" s="201">
        <v>118685.32</v>
      </c>
      <c r="G1185" s="201">
        <f>'Mail Merge'!$E1185+'Mail Merge'!$F1185</f>
        <v>340316.67000000004</v>
      </c>
      <c r="H1185" s="201">
        <v>0</v>
      </c>
      <c r="I1185" s="201" t="s">
        <v>241</v>
      </c>
      <c r="J1185" s="204">
        <f>IFERROR('Mail Merge'!$E1185/'Mail Merge'!$D1185,0)</f>
        <v>5405.6426829268294</v>
      </c>
      <c r="K1185" s="201">
        <f>IFERROR('Mail Merge'!$F1185/'Mail Merge'!$D1185,0)</f>
        <v>2894.7639024390246</v>
      </c>
      <c r="L1185" s="205">
        <f>IFERROR('Mail Merge'!$G1185/'Mail Merge'!$D1185,0)</f>
        <v>8300.406585365854</v>
      </c>
      <c r="M1185" s="201">
        <v>81311.86</v>
      </c>
      <c r="N1185" s="201" t="s">
        <v>240</v>
      </c>
      <c r="O1185" s="201">
        <v>52207.89</v>
      </c>
      <c r="P1185" s="201">
        <v>0</v>
      </c>
      <c r="Q1185" s="201">
        <f>'Mail Merge'!$O1185+'Mail Merge'!$P1185</f>
        <v>52207.89</v>
      </c>
      <c r="R1185" s="201"/>
      <c r="S1185" s="201"/>
      <c r="T1185" s="201">
        <v>0</v>
      </c>
      <c r="U1185" s="201">
        <f>IF(AND('Mail Merge'!$I1185="Did Not Meet",'Mail Merge'!$N1185="Did Not Meet"),MIN(ABS('Mail Merge'!$H1185),ABS('Mail Merge'!$M1185),'Mail Merge'!$Q1185),0)</f>
        <v>0</v>
      </c>
      <c r="V1185" s="201" t="str">
        <f>IF(OR(IFERROR(SEARCH("Met",'Mail Merge'!$N1185),0)&gt;0,IFERROR(SEARCH("Met",'Mail Merge'!$I1185),0)&gt;0),"Met","Not Met")</f>
        <v>Met</v>
      </c>
    </row>
    <row r="1186" spans="1:22" x14ac:dyDescent="0.35">
      <c r="A1186" s="198" t="s">
        <v>20</v>
      </c>
      <c r="B1186" s="199">
        <v>1899</v>
      </c>
      <c r="C1186" s="199" t="s">
        <v>18</v>
      </c>
      <c r="D1186" s="199">
        <v>19</v>
      </c>
      <c r="E1186" s="199">
        <v>196232.54</v>
      </c>
      <c r="F1186" s="199">
        <v>33915</v>
      </c>
      <c r="G1186" s="199">
        <f>'Mail Merge'!$E1186+'Mail Merge'!$F1186</f>
        <v>230147.54</v>
      </c>
      <c r="H1186" s="199">
        <v>0</v>
      </c>
      <c r="I1186" s="199" t="s">
        <v>242</v>
      </c>
      <c r="J1186" s="202">
        <f>IFERROR('Mail Merge'!$E1186/'Mail Merge'!$D1186,0)</f>
        <v>10328.028421052632</v>
      </c>
      <c r="K1186" s="199">
        <f>IFERROR('Mail Merge'!$F1186/'Mail Merge'!$D1186,0)</f>
        <v>1785</v>
      </c>
      <c r="L1186" s="203">
        <f>IFERROR('Mail Merge'!$G1186/'Mail Merge'!$D1186,0)</f>
        <v>12113.028421052632</v>
      </c>
      <c r="M1186" s="199">
        <v>0</v>
      </c>
      <c r="N1186" s="199" t="s">
        <v>242</v>
      </c>
      <c r="O1186" s="199">
        <v>30448.17</v>
      </c>
      <c r="P1186" s="199">
        <v>0</v>
      </c>
      <c r="Q1186" s="199">
        <f>'Mail Merge'!$O1186+'Mail Merge'!$P1186</f>
        <v>30448.17</v>
      </c>
      <c r="R1186" s="199"/>
      <c r="S1186" s="199">
        <v>62247.44</v>
      </c>
      <c r="T1186" s="199">
        <v>2706.41</v>
      </c>
      <c r="U1186" s="199">
        <f>IF(AND('Mail Merge'!$I1186="Did Not Meet",'Mail Merge'!$N1186="Did Not Meet"),MIN(ABS('Mail Merge'!$H1186),ABS('Mail Merge'!$M1186),'Mail Merge'!$Q1186),0)</f>
        <v>0</v>
      </c>
      <c r="V1186" s="199" t="str">
        <f>IF(OR(IFERROR(SEARCH("Met",'Mail Merge'!$N1186),0)&gt;0,IFERROR(SEARCH("Met",'Mail Merge'!$I1186),0)&gt;0),"Met","Not Met")</f>
        <v>Met</v>
      </c>
    </row>
    <row r="1187" spans="1:22" x14ac:dyDescent="0.35">
      <c r="A1187" s="200" t="s">
        <v>21</v>
      </c>
      <c r="B1187" s="201">
        <v>2252</v>
      </c>
      <c r="C1187" s="201" t="s">
        <v>18</v>
      </c>
      <c r="D1187" s="201">
        <v>137</v>
      </c>
      <c r="E1187" s="201">
        <v>605968.81000000006</v>
      </c>
      <c r="F1187" s="201">
        <v>180725.04</v>
      </c>
      <c r="G1187" s="201">
        <f>'Mail Merge'!$E1187+'Mail Merge'!$F1187</f>
        <v>786693.85000000009</v>
      </c>
      <c r="H1187" s="201">
        <v>0</v>
      </c>
      <c r="I1187" s="201" t="s">
        <v>241</v>
      </c>
      <c r="J1187" s="204">
        <f>IFERROR('Mail Merge'!$E1187/'Mail Merge'!$D1187,0)</f>
        <v>4423.13</v>
      </c>
      <c r="K1187" s="201">
        <f>IFERROR('Mail Merge'!$F1187/'Mail Merge'!$D1187,0)</f>
        <v>1319.1608759124088</v>
      </c>
      <c r="L1187" s="205">
        <f>IFERROR('Mail Merge'!$G1187/'Mail Merge'!$D1187,0)</f>
        <v>5742.2908759124093</v>
      </c>
      <c r="M1187" s="201">
        <v>242554.1</v>
      </c>
      <c r="N1187" s="201" t="s">
        <v>240</v>
      </c>
      <c r="O1187" s="201">
        <v>147677.94</v>
      </c>
      <c r="P1187" s="201">
        <v>3881.54</v>
      </c>
      <c r="Q1187" s="201">
        <f>'Mail Merge'!$O1187+'Mail Merge'!$P1187</f>
        <v>151559.48000000001</v>
      </c>
      <c r="R1187" s="201"/>
      <c r="S1187" s="201"/>
      <c r="T1187" s="201">
        <v>0</v>
      </c>
      <c r="U1187" s="201">
        <f>IF(AND('Mail Merge'!$I1187="Did Not Meet",'Mail Merge'!$N1187="Did Not Meet"),MIN(ABS('Mail Merge'!$H1187),ABS('Mail Merge'!$M1187),'Mail Merge'!$Q1187),0)</f>
        <v>0</v>
      </c>
      <c r="V1187" s="201" t="str">
        <f>IF(OR(IFERROR(SEARCH("Met",'Mail Merge'!$N1187),0)&gt;0,IFERROR(SEARCH("Met",'Mail Merge'!$I1187),0)&gt;0),"Met","Not Met")</f>
        <v>Met</v>
      </c>
    </row>
    <row r="1188" spans="1:22" x14ac:dyDescent="0.35">
      <c r="A1188" s="198" t="s">
        <v>23</v>
      </c>
      <c r="B1188" s="199">
        <v>2111</v>
      </c>
      <c r="C1188" s="199" t="s">
        <v>18</v>
      </c>
      <c r="D1188" s="199">
        <v>11</v>
      </c>
      <c r="E1188" s="199">
        <v>22752.95</v>
      </c>
      <c r="F1188" s="199">
        <v>45490.45</v>
      </c>
      <c r="G1188" s="199">
        <f>'Mail Merge'!$E1188+'Mail Merge'!$F1188</f>
        <v>68243.399999999994</v>
      </c>
      <c r="H1188" s="199">
        <v>0</v>
      </c>
      <c r="I1188" s="199" t="s">
        <v>241</v>
      </c>
      <c r="J1188" s="202">
        <f>IFERROR('Mail Merge'!$E1188/'Mail Merge'!$D1188,0)</f>
        <v>2068.4500000000003</v>
      </c>
      <c r="K1188" s="199">
        <f>IFERROR('Mail Merge'!$F1188/'Mail Merge'!$D1188,0)</f>
        <v>4135.4954545454539</v>
      </c>
      <c r="L1188" s="203">
        <f>IFERROR('Mail Merge'!$G1188/'Mail Merge'!$D1188,0)</f>
        <v>6203.9454545454537</v>
      </c>
      <c r="M1188" s="199">
        <v>0</v>
      </c>
      <c r="N1188" s="199" t="s">
        <v>241</v>
      </c>
      <c r="O1188" s="199">
        <v>20213.169999999998</v>
      </c>
      <c r="P1188" s="199">
        <v>0</v>
      </c>
      <c r="Q1188" s="199">
        <f>'Mail Merge'!$O1188+'Mail Merge'!$P1188</f>
        <v>20213.169999999998</v>
      </c>
      <c r="R1188" s="199"/>
      <c r="S1188" s="199"/>
      <c r="T1188" s="199"/>
      <c r="U1188" s="199">
        <f>IF(AND('Mail Merge'!$I1188="Did Not Meet",'Mail Merge'!$N1188="Did Not Meet"),MIN(ABS('Mail Merge'!$H1188),ABS('Mail Merge'!$M1188),'Mail Merge'!$Q1188),0)</f>
        <v>0</v>
      </c>
      <c r="V1188" s="199" t="str">
        <f>IF(OR(IFERROR(SEARCH("Met",'Mail Merge'!$N1188),0)&gt;0,IFERROR(SEARCH("Met",'Mail Merge'!$I1188),0)&gt;0),"Met","Not Met")</f>
        <v>Met</v>
      </c>
    </row>
    <row r="1189" spans="1:22" x14ac:dyDescent="0.35">
      <c r="A1189" s="200" t="s">
        <v>24</v>
      </c>
      <c r="B1189" s="201">
        <v>2005</v>
      </c>
      <c r="C1189" s="201" t="s">
        <v>18</v>
      </c>
      <c r="D1189" s="201">
        <v>20</v>
      </c>
      <c r="E1189" s="201">
        <v>57382.59</v>
      </c>
      <c r="F1189" s="201">
        <v>107825</v>
      </c>
      <c r="G1189" s="201">
        <f>'Mail Merge'!$E1189+'Mail Merge'!$F1189</f>
        <v>165207.59</v>
      </c>
      <c r="H1189" s="201">
        <v>0</v>
      </c>
      <c r="I1189" s="201" t="s">
        <v>241</v>
      </c>
      <c r="J1189" s="204">
        <f>IFERROR('Mail Merge'!$E1189/'Mail Merge'!$D1189,0)</f>
        <v>2869.1295</v>
      </c>
      <c r="K1189" s="201">
        <f>IFERROR('Mail Merge'!$F1189/'Mail Merge'!$D1189,0)</f>
        <v>5391.25</v>
      </c>
      <c r="L1189" s="205">
        <f>IFERROR('Mail Merge'!$G1189/'Mail Merge'!$D1189,0)</f>
        <v>8260.3794999999991</v>
      </c>
      <c r="M1189" s="201">
        <v>0</v>
      </c>
      <c r="N1189" s="201" t="s">
        <v>242</v>
      </c>
      <c r="O1189" s="201">
        <v>28813.9</v>
      </c>
      <c r="P1189" s="201">
        <v>0</v>
      </c>
      <c r="Q1189" s="201">
        <f>'Mail Merge'!$O1189+'Mail Merge'!$P1189</f>
        <v>28813.9</v>
      </c>
      <c r="R1189" s="201"/>
      <c r="S1189" s="201"/>
      <c r="T1189" s="201">
        <v>2510.58</v>
      </c>
      <c r="U1189" s="201">
        <f>IF(AND('Mail Merge'!$I1189="Did Not Meet",'Mail Merge'!$N1189="Did Not Meet"),MIN(ABS('Mail Merge'!$H1189),ABS('Mail Merge'!$M1189),'Mail Merge'!$Q1189),0)</f>
        <v>0</v>
      </c>
      <c r="V1189" s="201" t="str">
        <f>IF(OR(IFERROR(SEARCH("Met",'Mail Merge'!$N1189),0)&gt;0,IFERROR(SEARCH("Met",'Mail Merge'!$I1189),0)&gt;0),"Met","Not Met")</f>
        <v>Met</v>
      </c>
    </row>
    <row r="1190" spans="1:22" x14ac:dyDescent="0.35">
      <c r="A1190" s="198" t="s">
        <v>25</v>
      </c>
      <c r="B1190" s="199">
        <v>2115</v>
      </c>
      <c r="C1190" s="199" t="s">
        <v>18</v>
      </c>
      <c r="D1190" s="199">
        <v>0</v>
      </c>
      <c r="E1190" s="199">
        <v>0</v>
      </c>
      <c r="F1190" s="199">
        <v>10956.83</v>
      </c>
      <c r="G1190" s="199">
        <f>'Mail Merge'!$E1190+'Mail Merge'!$F1190</f>
        <v>10956.83</v>
      </c>
      <c r="H1190" s="199">
        <v>0</v>
      </c>
      <c r="I1190" s="199" t="s">
        <v>241</v>
      </c>
      <c r="J1190" s="202">
        <f>IFERROR('Mail Merge'!$E1190/'Mail Merge'!$D1190,0)</f>
        <v>0</v>
      </c>
      <c r="K1190" s="199">
        <f>IFERROR('Mail Merge'!$F1190/'Mail Merge'!$D1190,0)</f>
        <v>0</v>
      </c>
      <c r="L1190" s="203">
        <f>IFERROR('Mail Merge'!$G1190/'Mail Merge'!$D1190,0)</f>
        <v>0</v>
      </c>
      <c r="M1190" s="199">
        <v>0</v>
      </c>
      <c r="N1190" s="199" t="s">
        <v>240</v>
      </c>
      <c r="O1190" s="199">
        <v>3314.92</v>
      </c>
      <c r="P1190" s="199">
        <v>0</v>
      </c>
      <c r="Q1190" s="199">
        <f>'Mail Merge'!$O1190+'Mail Merge'!$P1190</f>
        <v>3314.92</v>
      </c>
      <c r="R1190" s="199"/>
      <c r="S1190" s="199"/>
      <c r="T1190" s="199">
        <v>1250.3499999999999</v>
      </c>
      <c r="U1190" s="199">
        <f>IF(AND('Mail Merge'!$I1190="Did Not Meet",'Mail Merge'!$N1190="Did Not Meet"),MIN(ABS('Mail Merge'!$H1190),ABS('Mail Merge'!$M1190),'Mail Merge'!$Q1190),0)</f>
        <v>0</v>
      </c>
      <c r="V1190" s="199" t="str">
        <f>IF(OR(IFERROR(SEARCH("Met",'Mail Merge'!$N1190),0)&gt;0,IFERROR(SEARCH("Met",'Mail Merge'!$I1190),0)&gt;0),"Met","Not Met")</f>
        <v>Met</v>
      </c>
    </row>
    <row r="1191" spans="1:22" x14ac:dyDescent="0.35">
      <c r="A1191" s="200" t="s">
        <v>26</v>
      </c>
      <c r="B1191" s="201">
        <v>2041</v>
      </c>
      <c r="C1191" s="201" t="s">
        <v>18</v>
      </c>
      <c r="D1191" s="201">
        <v>345</v>
      </c>
      <c r="E1191" s="201">
        <v>2545903.9900000002</v>
      </c>
      <c r="F1191" s="201">
        <v>359562.57</v>
      </c>
      <c r="G1191" s="201">
        <f>'Mail Merge'!$E1191+'Mail Merge'!$F1191</f>
        <v>2905466.56</v>
      </c>
      <c r="H1191" s="201">
        <v>0</v>
      </c>
      <c r="I1191" s="201" t="s">
        <v>241</v>
      </c>
      <c r="J1191" s="204">
        <f>IFERROR('Mail Merge'!$E1191/'Mail Merge'!$D1191,0)</f>
        <v>7379.4318550724647</v>
      </c>
      <c r="K1191" s="201">
        <f>IFERROR('Mail Merge'!$F1191/'Mail Merge'!$D1191,0)</f>
        <v>1042.2103478260869</v>
      </c>
      <c r="L1191" s="205">
        <f>IFERROR('Mail Merge'!$G1191/'Mail Merge'!$D1191,0)</f>
        <v>8421.6422028985507</v>
      </c>
      <c r="M1191" s="201">
        <v>31908.46</v>
      </c>
      <c r="N1191" s="201" t="s">
        <v>240</v>
      </c>
      <c r="O1191" s="201">
        <v>475298.07</v>
      </c>
      <c r="P1191" s="201">
        <v>5137.33</v>
      </c>
      <c r="Q1191" s="201">
        <f>'Mail Merge'!$O1191+'Mail Merge'!$P1191</f>
        <v>480435.4</v>
      </c>
      <c r="R1191" s="201"/>
      <c r="S1191" s="201"/>
      <c r="T1191" s="201">
        <v>0</v>
      </c>
      <c r="U1191" s="201">
        <f>IF(AND('Mail Merge'!$I1191="Did Not Meet",'Mail Merge'!$N1191="Did Not Meet"),MIN(ABS('Mail Merge'!$H1191),ABS('Mail Merge'!$M1191),'Mail Merge'!$Q1191),0)</f>
        <v>0</v>
      </c>
      <c r="V1191" s="201" t="str">
        <f>IF(OR(IFERROR(SEARCH("Met",'Mail Merge'!$N1191),0)&gt;0,IFERROR(SEARCH("Met",'Mail Merge'!$I1191),0)&gt;0),"Met","Not Met")</f>
        <v>Met</v>
      </c>
    </row>
    <row r="1192" spans="1:22" x14ac:dyDescent="0.35">
      <c r="A1192" s="198" t="s">
        <v>27</v>
      </c>
      <c r="B1192" s="199">
        <v>2051</v>
      </c>
      <c r="C1192" s="199" t="s">
        <v>18</v>
      </c>
      <c r="D1192" s="199">
        <v>0</v>
      </c>
      <c r="E1192" s="199">
        <v>0</v>
      </c>
      <c r="F1192" s="199">
        <v>7524.01</v>
      </c>
      <c r="G1192" s="199">
        <f>'Mail Merge'!$E1192+'Mail Merge'!$F1192</f>
        <v>7524.01</v>
      </c>
      <c r="H1192" s="199">
        <v>830.89</v>
      </c>
      <c r="I1192" s="199" t="s">
        <v>240</v>
      </c>
      <c r="J1192" s="202">
        <f>IFERROR('Mail Merge'!$E1192/'Mail Merge'!$D1192,0)</f>
        <v>0</v>
      </c>
      <c r="K1192" s="199">
        <f>IFERROR('Mail Merge'!$F1192/'Mail Merge'!$D1192,0)</f>
        <v>0</v>
      </c>
      <c r="L1192" s="203">
        <f>IFERROR('Mail Merge'!$G1192/'Mail Merge'!$D1192,0)</f>
        <v>0</v>
      </c>
      <c r="M1192" s="199">
        <v>0</v>
      </c>
      <c r="N1192" s="199" t="s">
        <v>241</v>
      </c>
      <c r="O1192" s="199">
        <v>825.66</v>
      </c>
      <c r="P1192" s="199">
        <v>0</v>
      </c>
      <c r="Q1192" s="199">
        <f>'Mail Merge'!$O1192+'Mail Merge'!$P1192</f>
        <v>825.66</v>
      </c>
      <c r="R1192" s="199"/>
      <c r="S1192" s="199">
        <v>0</v>
      </c>
      <c r="T1192" s="199"/>
      <c r="U1192" s="199">
        <f>IF(AND('Mail Merge'!$I1192="Did Not Meet",'Mail Merge'!$N1192="Did Not Meet"),MIN(ABS('Mail Merge'!$H1192),ABS('Mail Merge'!$M1192),'Mail Merge'!$Q1192),0)</f>
        <v>0</v>
      </c>
      <c r="V1192" s="199" t="str">
        <f>IF(OR(IFERROR(SEARCH("Met",'Mail Merge'!$N1192),0)&gt;0,IFERROR(SEARCH("Met",'Mail Merge'!$I1192),0)&gt;0),"Met","Not Met")</f>
        <v>Met</v>
      </c>
    </row>
    <row r="1193" spans="1:22" x14ac:dyDescent="0.35">
      <c r="A1193" s="200" t="s">
        <v>28</v>
      </c>
      <c r="B1193" s="201">
        <v>1933</v>
      </c>
      <c r="C1193" s="201" t="s">
        <v>18</v>
      </c>
      <c r="D1193" s="201">
        <v>262</v>
      </c>
      <c r="E1193" s="201">
        <v>2452177.06</v>
      </c>
      <c r="F1193" s="201">
        <v>454170</v>
      </c>
      <c r="G1193" s="201">
        <f>'Mail Merge'!$E1193+'Mail Merge'!$F1193</f>
        <v>2906347.06</v>
      </c>
      <c r="H1193" s="201">
        <v>0</v>
      </c>
      <c r="I1193" s="201" t="s">
        <v>241</v>
      </c>
      <c r="J1193" s="204">
        <f>IFERROR('Mail Merge'!$E1193/'Mail Merge'!$D1193,0)</f>
        <v>9359.4544274809159</v>
      </c>
      <c r="K1193" s="201">
        <f>IFERROR('Mail Merge'!$F1193/'Mail Merge'!$D1193,0)</f>
        <v>1733.4732824427481</v>
      </c>
      <c r="L1193" s="205">
        <f>IFERROR('Mail Merge'!$G1193/'Mail Merge'!$D1193,0)</f>
        <v>11092.927709923664</v>
      </c>
      <c r="M1193" s="201">
        <v>0</v>
      </c>
      <c r="N1193" s="201" t="s">
        <v>241</v>
      </c>
      <c r="O1193" s="201">
        <v>265841.15000000002</v>
      </c>
      <c r="P1193" s="201">
        <v>1816.89</v>
      </c>
      <c r="Q1193" s="201">
        <f>'Mail Merge'!$O1193+'Mail Merge'!$P1193</f>
        <v>267658.04000000004</v>
      </c>
      <c r="R1193" s="201"/>
      <c r="S1193" s="201"/>
      <c r="T1193" s="201"/>
      <c r="U1193" s="201">
        <f>IF(AND('Mail Merge'!$I1193="Did Not Meet",'Mail Merge'!$N1193="Did Not Meet"),MIN(ABS('Mail Merge'!$H1193),ABS('Mail Merge'!$M1193),'Mail Merge'!$Q1193),0)</f>
        <v>0</v>
      </c>
      <c r="V1193" s="201" t="str">
        <f>IF(OR(IFERROR(SEARCH("Met",'Mail Merge'!$N1193),0)&gt;0,IFERROR(SEARCH("Met",'Mail Merge'!$I1193),0)&gt;0),"Met","Not Met")</f>
        <v>Met</v>
      </c>
    </row>
    <row r="1194" spans="1:22" x14ac:dyDescent="0.35">
      <c r="A1194" s="198" t="s">
        <v>29</v>
      </c>
      <c r="B1194" s="199">
        <v>2208</v>
      </c>
      <c r="C1194" s="199" t="s">
        <v>18</v>
      </c>
      <c r="D1194" s="199">
        <v>86</v>
      </c>
      <c r="E1194" s="199">
        <v>357591.92</v>
      </c>
      <c r="F1194" s="199">
        <v>128711.21</v>
      </c>
      <c r="G1194" s="199">
        <f>'Mail Merge'!$E1194+'Mail Merge'!$F1194</f>
        <v>486303.13</v>
      </c>
      <c r="H1194" s="199">
        <v>0</v>
      </c>
      <c r="I1194" s="199" t="s">
        <v>242</v>
      </c>
      <c r="J1194" s="202">
        <f>IFERROR('Mail Merge'!$E1194/'Mail Merge'!$D1194,0)</f>
        <v>4158.0455813953486</v>
      </c>
      <c r="K1194" s="199">
        <f>IFERROR('Mail Merge'!$F1194/'Mail Merge'!$D1194,0)</f>
        <v>1496.6419767441862</v>
      </c>
      <c r="L1194" s="203">
        <f>IFERROR('Mail Merge'!$G1194/'Mail Merge'!$D1194,0)</f>
        <v>5654.6875581395352</v>
      </c>
      <c r="M1194" s="199">
        <v>38498.49</v>
      </c>
      <c r="N1194" s="199" t="s">
        <v>240</v>
      </c>
      <c r="O1194" s="199">
        <v>97695.64</v>
      </c>
      <c r="P1194" s="199">
        <v>808.65</v>
      </c>
      <c r="Q1194" s="199">
        <f>'Mail Merge'!$O1194+'Mail Merge'!$P1194</f>
        <v>98504.29</v>
      </c>
      <c r="R1194" s="199"/>
      <c r="S1194" s="199">
        <v>89456.9</v>
      </c>
      <c r="T1194" s="199">
        <v>1161.78</v>
      </c>
      <c r="U1194" s="199">
        <f>IF(AND('Mail Merge'!$I1194="Did Not Meet",'Mail Merge'!$N1194="Did Not Meet"),MIN(ABS('Mail Merge'!$H1194),ABS('Mail Merge'!$M1194),'Mail Merge'!$Q1194),0)</f>
        <v>0</v>
      </c>
      <c r="V1194" s="199" t="str">
        <f>IF(OR(IFERROR(SEARCH("Met",'Mail Merge'!$N1194),0)&gt;0,IFERROR(SEARCH("Met",'Mail Merge'!$I1194),0)&gt;0),"Met","Not Met")</f>
        <v>Met</v>
      </c>
    </row>
    <row r="1195" spans="1:22" x14ac:dyDescent="0.35">
      <c r="A1195" s="200" t="s">
        <v>30</v>
      </c>
      <c r="B1195" s="201">
        <v>1894</v>
      </c>
      <c r="C1195" s="201" t="s">
        <v>18</v>
      </c>
      <c r="D1195" s="201">
        <v>333</v>
      </c>
      <c r="E1195" s="201">
        <v>2197720.64</v>
      </c>
      <c r="F1195" s="201">
        <v>0</v>
      </c>
      <c r="G1195" s="201">
        <f>'Mail Merge'!$E1195+'Mail Merge'!$F1195</f>
        <v>2197720.64</v>
      </c>
      <c r="H1195" s="201">
        <v>0</v>
      </c>
      <c r="I1195" s="201" t="s">
        <v>241</v>
      </c>
      <c r="J1195" s="204">
        <f>IFERROR('Mail Merge'!$E1195/'Mail Merge'!$D1195,0)</f>
        <v>6599.7616816816817</v>
      </c>
      <c r="K1195" s="201">
        <f>IFERROR('Mail Merge'!$F1195/'Mail Merge'!$D1195,0)</f>
        <v>0</v>
      </c>
      <c r="L1195" s="205">
        <f>IFERROR('Mail Merge'!$G1195/'Mail Merge'!$D1195,0)</f>
        <v>6599.7616816816817</v>
      </c>
      <c r="M1195" s="201">
        <v>357759.1</v>
      </c>
      <c r="N1195" s="201" t="s">
        <v>240</v>
      </c>
      <c r="O1195" s="201">
        <v>443759.89</v>
      </c>
      <c r="P1195" s="201">
        <v>3968.63</v>
      </c>
      <c r="Q1195" s="201">
        <f>'Mail Merge'!$O1195+'Mail Merge'!$P1195</f>
        <v>447728.52</v>
      </c>
      <c r="R1195" s="201"/>
      <c r="S1195" s="201"/>
      <c r="T1195" s="201">
        <v>0</v>
      </c>
      <c r="U1195" s="201">
        <f>IF(AND('Mail Merge'!$I1195="Did Not Meet",'Mail Merge'!$N1195="Did Not Meet"),MIN(ABS('Mail Merge'!$H1195),ABS('Mail Merge'!$M1195),'Mail Merge'!$Q1195),0)</f>
        <v>0</v>
      </c>
      <c r="V1195" s="201" t="str">
        <f>IF(OR(IFERROR(SEARCH("Met",'Mail Merge'!$N1195),0)&gt;0,IFERROR(SEARCH("Met",'Mail Merge'!$I1195),0)&gt;0),"Met","Not Met")</f>
        <v>Met</v>
      </c>
    </row>
    <row r="1196" spans="1:22" x14ac:dyDescent="0.35">
      <c r="A1196" s="198" t="s">
        <v>32</v>
      </c>
      <c r="B1196" s="199">
        <v>1969</v>
      </c>
      <c r="C1196" s="199" t="s">
        <v>18</v>
      </c>
      <c r="D1196" s="199">
        <v>98</v>
      </c>
      <c r="E1196" s="199">
        <v>906428.26</v>
      </c>
      <c r="F1196" s="199">
        <v>299274.40999999997</v>
      </c>
      <c r="G1196" s="199">
        <f>'Mail Merge'!$E1196+'Mail Merge'!$F1196</f>
        <v>1205702.67</v>
      </c>
      <c r="H1196" s="199">
        <v>0</v>
      </c>
      <c r="I1196" s="199" t="s">
        <v>241</v>
      </c>
      <c r="J1196" s="202">
        <f>IFERROR('Mail Merge'!$E1196/'Mail Merge'!$D1196,0)</f>
        <v>9249.2679591836732</v>
      </c>
      <c r="K1196" s="199">
        <f>IFERROR('Mail Merge'!$F1196/'Mail Merge'!$D1196,0)</f>
        <v>3053.8205102040815</v>
      </c>
      <c r="L1196" s="203">
        <f>IFERROR('Mail Merge'!$G1196/'Mail Merge'!$D1196,0)</f>
        <v>12303.088469387754</v>
      </c>
      <c r="M1196" s="199">
        <v>53343.64</v>
      </c>
      <c r="N1196" s="199" t="s">
        <v>240</v>
      </c>
      <c r="O1196" s="199">
        <v>142287.82999999999</v>
      </c>
      <c r="P1196" s="199">
        <v>762.45</v>
      </c>
      <c r="Q1196" s="199">
        <f>'Mail Merge'!$O1196+'Mail Merge'!$P1196</f>
        <v>143050.28</v>
      </c>
      <c r="R1196" s="199"/>
      <c r="S1196" s="199"/>
      <c r="T1196" s="199">
        <v>0</v>
      </c>
      <c r="U1196" s="199">
        <f>IF(AND('Mail Merge'!$I1196="Did Not Meet",'Mail Merge'!$N1196="Did Not Meet"),MIN(ABS('Mail Merge'!$H1196),ABS('Mail Merge'!$M1196),'Mail Merge'!$Q1196),0)</f>
        <v>0</v>
      </c>
      <c r="V1196" s="199" t="str">
        <f>IF(OR(IFERROR(SEARCH("Met",'Mail Merge'!$N1196),0)&gt;0,IFERROR(SEARCH("Met",'Mail Merge'!$I1196),0)&gt;0),"Met","Not Met")</f>
        <v>Met</v>
      </c>
    </row>
    <row r="1197" spans="1:22" x14ac:dyDescent="0.35">
      <c r="A1197" s="200" t="s">
        <v>33</v>
      </c>
      <c r="B1197" s="201">
        <v>2240</v>
      </c>
      <c r="C1197" s="201" t="s">
        <v>18</v>
      </c>
      <c r="D1197" s="201">
        <v>176</v>
      </c>
      <c r="E1197" s="201">
        <v>1568155.34</v>
      </c>
      <c r="F1197" s="201">
        <v>284775</v>
      </c>
      <c r="G1197" s="201">
        <f>'Mail Merge'!$E1197+'Mail Merge'!$F1197</f>
        <v>1852930.34</v>
      </c>
      <c r="H1197" s="201">
        <v>0</v>
      </c>
      <c r="I1197" s="201" t="s">
        <v>241</v>
      </c>
      <c r="J1197" s="204">
        <f>IFERROR('Mail Merge'!$E1197/'Mail Merge'!$D1197,0)</f>
        <v>8909.973522727274</v>
      </c>
      <c r="K1197" s="201">
        <f>IFERROR('Mail Merge'!$F1197/'Mail Merge'!$D1197,0)</f>
        <v>1618.0397727272727</v>
      </c>
      <c r="L1197" s="205">
        <f>IFERROR('Mail Merge'!$G1197/'Mail Merge'!$D1197,0)</f>
        <v>10528.013295454546</v>
      </c>
      <c r="M1197" s="201">
        <v>149645.51</v>
      </c>
      <c r="N1197" s="201" t="s">
        <v>240</v>
      </c>
      <c r="O1197" s="201">
        <v>171430.17</v>
      </c>
      <c r="P1197" s="201">
        <v>415.88</v>
      </c>
      <c r="Q1197" s="201">
        <f>'Mail Merge'!$O1197+'Mail Merge'!$P1197</f>
        <v>171846.05000000002</v>
      </c>
      <c r="R1197" s="201"/>
      <c r="S1197" s="201"/>
      <c r="T1197" s="201">
        <v>0</v>
      </c>
      <c r="U1197" s="201">
        <f>IF(AND('Mail Merge'!$I1197="Did Not Meet",'Mail Merge'!$N1197="Did Not Meet"),MIN(ABS('Mail Merge'!$H1197),ABS('Mail Merge'!$M1197),'Mail Merge'!$Q1197),0)</f>
        <v>0</v>
      </c>
      <c r="V1197" s="201" t="str">
        <f>IF(OR(IFERROR(SEARCH("Met",'Mail Merge'!$N1197),0)&gt;0,IFERROR(SEARCH("Met",'Mail Merge'!$I1197),0)&gt;0),"Met","Not Met")</f>
        <v>Met</v>
      </c>
    </row>
    <row r="1198" spans="1:22" x14ac:dyDescent="0.35">
      <c r="A1198" s="198" t="s">
        <v>34</v>
      </c>
      <c r="B1198" s="199">
        <v>2243</v>
      </c>
      <c r="C1198" s="199" t="s">
        <v>18</v>
      </c>
      <c r="D1198" s="199">
        <v>4923</v>
      </c>
      <c r="E1198" s="199">
        <v>49655566.539999999</v>
      </c>
      <c r="F1198" s="199">
        <v>4234597</v>
      </c>
      <c r="G1198" s="199">
        <f>'Mail Merge'!$E1198+'Mail Merge'!$F1198</f>
        <v>53890163.539999999</v>
      </c>
      <c r="H1198" s="199">
        <v>0</v>
      </c>
      <c r="I1198" s="199" t="s">
        <v>241</v>
      </c>
      <c r="J1198" s="202">
        <f>IFERROR('Mail Merge'!$E1198/'Mail Merge'!$D1198,0)</f>
        <v>10086.444554133659</v>
      </c>
      <c r="K1198" s="199">
        <f>IFERROR('Mail Merge'!$F1198/'Mail Merge'!$D1198,0)</f>
        <v>860.16595571805806</v>
      </c>
      <c r="L1198" s="203">
        <f>IFERROR('Mail Merge'!$G1198/'Mail Merge'!$D1198,0)</f>
        <v>10946.610509851716</v>
      </c>
      <c r="M1198" s="199">
        <v>0</v>
      </c>
      <c r="N1198" s="199" t="s">
        <v>241</v>
      </c>
      <c r="O1198" s="199">
        <v>6876494.1500000004</v>
      </c>
      <c r="P1198" s="199">
        <v>27003.919999999998</v>
      </c>
      <c r="Q1198" s="199">
        <f>'Mail Merge'!$O1198+'Mail Merge'!$P1198</f>
        <v>6903498.0700000003</v>
      </c>
      <c r="R1198" s="199"/>
      <c r="S1198" s="199"/>
      <c r="T1198" s="199"/>
      <c r="U1198" s="199">
        <f>IF(AND('Mail Merge'!$I1198="Did Not Meet",'Mail Merge'!$N1198="Did Not Meet"),MIN(ABS('Mail Merge'!$H1198),ABS('Mail Merge'!$M1198),'Mail Merge'!$Q1198),0)</f>
        <v>0</v>
      </c>
      <c r="V1198" s="199" t="str">
        <f>IF(OR(IFERROR(SEARCH("Met",'Mail Merge'!$N1198),0)&gt;0,IFERROR(SEARCH("Met",'Mail Merge'!$I1198),0)&gt;0),"Met","Not Met")</f>
        <v>Met</v>
      </c>
    </row>
    <row r="1199" spans="1:22" x14ac:dyDescent="0.35">
      <c r="A1199" s="200" t="s">
        <v>35</v>
      </c>
      <c r="B1199" s="201">
        <v>1976</v>
      </c>
      <c r="C1199" s="201" t="s">
        <v>18</v>
      </c>
      <c r="D1199" s="201">
        <v>1926</v>
      </c>
      <c r="E1199" s="201">
        <v>19185156</v>
      </c>
      <c r="F1199" s="201">
        <v>2213704.13</v>
      </c>
      <c r="G1199" s="201">
        <f>'Mail Merge'!$E1199+'Mail Merge'!$F1199</f>
        <v>21398860.129999999</v>
      </c>
      <c r="H1199" s="201">
        <v>0</v>
      </c>
      <c r="I1199" s="201" t="s">
        <v>241</v>
      </c>
      <c r="J1199" s="204">
        <f>IFERROR('Mail Merge'!$E1199/'Mail Merge'!$D1199,0)</f>
        <v>9961.1401869158872</v>
      </c>
      <c r="K1199" s="201">
        <f>IFERROR('Mail Merge'!$F1199/'Mail Merge'!$D1199,0)</f>
        <v>1149.3790913811006</v>
      </c>
      <c r="L1199" s="205">
        <f>IFERROR('Mail Merge'!$G1199/'Mail Merge'!$D1199,0)</f>
        <v>11110.519278296988</v>
      </c>
      <c r="M1199" s="201">
        <v>0</v>
      </c>
      <c r="N1199" s="201" t="s">
        <v>241</v>
      </c>
      <c r="O1199" s="201">
        <v>2648356.42</v>
      </c>
      <c r="P1199" s="201">
        <v>15189.89</v>
      </c>
      <c r="Q1199" s="201">
        <f>'Mail Merge'!$O1199+'Mail Merge'!$P1199</f>
        <v>2663546.31</v>
      </c>
      <c r="R1199" s="201"/>
      <c r="S1199" s="201"/>
      <c r="T1199" s="201"/>
      <c r="U1199" s="201">
        <f>IF(AND('Mail Merge'!$I1199="Did Not Meet",'Mail Merge'!$N1199="Did Not Meet"),MIN(ABS('Mail Merge'!$H1199),ABS('Mail Merge'!$M1199),'Mail Merge'!$Q1199),0)</f>
        <v>0</v>
      </c>
      <c r="V1199" s="201" t="str">
        <f>IF(OR(IFERROR(SEARCH("Met",'Mail Merge'!$N1199),0)&gt;0,IFERROR(SEARCH("Met",'Mail Merge'!$I1199),0)&gt;0),"Met","Not Met")</f>
        <v>Met</v>
      </c>
    </row>
    <row r="1200" spans="1:22" x14ac:dyDescent="0.35">
      <c r="A1200" s="198" t="s">
        <v>36</v>
      </c>
      <c r="B1200" s="199">
        <v>2088</v>
      </c>
      <c r="C1200" s="199" t="s">
        <v>18</v>
      </c>
      <c r="D1200" s="199">
        <v>981</v>
      </c>
      <c r="E1200" s="199">
        <v>9256230.9299999997</v>
      </c>
      <c r="F1200" s="199">
        <v>1286208</v>
      </c>
      <c r="G1200" s="199">
        <f>'Mail Merge'!$E1200+'Mail Merge'!$F1200</f>
        <v>10542438.93</v>
      </c>
      <c r="H1200" s="199">
        <v>0</v>
      </c>
      <c r="I1200" s="199" t="s">
        <v>241</v>
      </c>
      <c r="J1200" s="202">
        <f>IFERROR('Mail Merge'!$E1200/'Mail Merge'!$D1200,0)</f>
        <v>9435.5055351681949</v>
      </c>
      <c r="K1200" s="199">
        <f>IFERROR('Mail Merge'!$F1200/'Mail Merge'!$D1200,0)</f>
        <v>1311.119266055046</v>
      </c>
      <c r="L1200" s="203">
        <f>IFERROR('Mail Merge'!$G1200/'Mail Merge'!$D1200,0)</f>
        <v>10746.624801223241</v>
      </c>
      <c r="M1200" s="199">
        <v>0</v>
      </c>
      <c r="N1200" s="199" t="s">
        <v>241</v>
      </c>
      <c r="O1200" s="199">
        <v>983235.28</v>
      </c>
      <c r="P1200" s="199">
        <v>6602.62</v>
      </c>
      <c r="Q1200" s="199">
        <f>'Mail Merge'!$O1200+'Mail Merge'!$P1200</f>
        <v>989837.9</v>
      </c>
      <c r="R1200" s="199"/>
      <c r="S1200" s="199"/>
      <c r="T1200" s="199"/>
      <c r="U1200" s="199">
        <f>IF(AND('Mail Merge'!$I1200="Did Not Meet",'Mail Merge'!$N1200="Did Not Meet"),MIN(ABS('Mail Merge'!$H1200),ABS('Mail Merge'!$M1200),'Mail Merge'!$Q1200),0)</f>
        <v>0</v>
      </c>
      <c r="V1200" s="199" t="str">
        <f>IF(OR(IFERROR(SEARCH("Met",'Mail Merge'!$N1200),0)&gt;0,IFERROR(SEARCH("Met",'Mail Merge'!$I1200),0)&gt;0),"Met","Not Met")</f>
        <v>Met</v>
      </c>
    </row>
    <row r="1201" spans="1:22" x14ac:dyDescent="0.35">
      <c r="A1201" s="200" t="s">
        <v>37</v>
      </c>
      <c r="B1201" s="201">
        <v>2095</v>
      </c>
      <c r="C1201" s="201" t="s">
        <v>18</v>
      </c>
      <c r="D1201" s="201">
        <v>41</v>
      </c>
      <c r="E1201" s="201">
        <v>332006.84000000003</v>
      </c>
      <c r="F1201" s="201">
        <v>37168</v>
      </c>
      <c r="G1201" s="201">
        <f>'Mail Merge'!$E1201+'Mail Merge'!$F1201</f>
        <v>369174.84</v>
      </c>
      <c r="H1201" s="201">
        <v>0</v>
      </c>
      <c r="I1201" s="201" t="s">
        <v>241</v>
      </c>
      <c r="J1201" s="204">
        <f>IFERROR('Mail Merge'!$E1201/'Mail Merge'!$D1201,0)</f>
        <v>8097.727804878049</v>
      </c>
      <c r="K1201" s="201">
        <f>IFERROR('Mail Merge'!$F1201/'Mail Merge'!$D1201,0)</f>
        <v>906.53658536585363</v>
      </c>
      <c r="L1201" s="205">
        <f>IFERROR('Mail Merge'!$G1201/'Mail Merge'!$D1201,0)</f>
        <v>9004.2643902439031</v>
      </c>
      <c r="M1201" s="201">
        <v>21491.77</v>
      </c>
      <c r="N1201" s="201" t="s">
        <v>240</v>
      </c>
      <c r="O1201" s="201">
        <v>46443.48</v>
      </c>
      <c r="P1201" s="201">
        <v>485.19</v>
      </c>
      <c r="Q1201" s="201">
        <f>'Mail Merge'!$O1201+'Mail Merge'!$P1201</f>
        <v>46928.670000000006</v>
      </c>
      <c r="R1201" s="201"/>
      <c r="S1201" s="201"/>
      <c r="T1201" s="201">
        <v>0</v>
      </c>
      <c r="U1201" s="201">
        <f>IF(AND('Mail Merge'!$I1201="Did Not Meet",'Mail Merge'!$N1201="Did Not Meet"),MIN(ABS('Mail Merge'!$H1201),ABS('Mail Merge'!$M1201),'Mail Merge'!$Q1201),0)</f>
        <v>0</v>
      </c>
      <c r="V1201" s="201" t="str">
        <f>IF(OR(IFERROR(SEARCH("Met",'Mail Merge'!$N1201),0)&gt;0,IFERROR(SEARCH("Met",'Mail Merge'!$I1201),0)&gt;0),"Met","Not Met")</f>
        <v>Met</v>
      </c>
    </row>
    <row r="1202" spans="1:22" x14ac:dyDescent="0.35">
      <c r="A1202" s="198" t="s">
        <v>38</v>
      </c>
      <c r="B1202" s="199">
        <v>2052</v>
      </c>
      <c r="C1202" s="199" t="s">
        <v>18</v>
      </c>
      <c r="D1202" s="199">
        <v>0</v>
      </c>
      <c r="E1202" s="199">
        <v>558.1</v>
      </c>
      <c r="F1202" s="199">
        <v>14608.72</v>
      </c>
      <c r="G1202" s="199">
        <f>'Mail Merge'!$E1202+'Mail Merge'!$F1202</f>
        <v>15166.82</v>
      </c>
      <c r="H1202" s="199">
        <v>1413.72</v>
      </c>
      <c r="I1202" s="199" t="s">
        <v>240</v>
      </c>
      <c r="J1202" s="202">
        <f>IFERROR('Mail Merge'!$E1202/'Mail Merge'!$D1202,0)</f>
        <v>0</v>
      </c>
      <c r="K1202" s="199">
        <f>IFERROR('Mail Merge'!$F1202/'Mail Merge'!$D1202,0)</f>
        <v>0</v>
      </c>
      <c r="L1202" s="203">
        <f>IFERROR('Mail Merge'!$G1202/'Mail Merge'!$D1202,0)</f>
        <v>0</v>
      </c>
      <c r="M1202" s="199">
        <v>0</v>
      </c>
      <c r="N1202" s="199" t="s">
        <v>241</v>
      </c>
      <c r="O1202" s="199">
        <v>3295.78</v>
      </c>
      <c r="P1202" s="199">
        <v>0</v>
      </c>
      <c r="Q1202" s="199">
        <f>'Mail Merge'!$O1202+'Mail Merge'!$P1202</f>
        <v>3295.78</v>
      </c>
      <c r="R1202" s="199"/>
      <c r="S1202" s="199">
        <v>0</v>
      </c>
      <c r="T1202" s="199"/>
      <c r="U1202" s="199">
        <f>IF(AND('Mail Merge'!$I1202="Did Not Meet",'Mail Merge'!$N1202="Did Not Meet"),MIN(ABS('Mail Merge'!$H1202),ABS('Mail Merge'!$M1202),'Mail Merge'!$Q1202),0)</f>
        <v>0</v>
      </c>
      <c r="V1202" s="199" t="str">
        <f>IF(OR(IFERROR(SEARCH("Met",'Mail Merge'!$N1202),0)&gt;0,IFERROR(SEARCH("Met",'Mail Merge'!$I1202),0)&gt;0),"Met","Not Met")</f>
        <v>Met</v>
      </c>
    </row>
    <row r="1203" spans="1:22" x14ac:dyDescent="0.35">
      <c r="A1203" s="200" t="s">
        <v>39</v>
      </c>
      <c r="B1203" s="201">
        <v>1974</v>
      </c>
      <c r="C1203" s="201" t="s">
        <v>18</v>
      </c>
      <c r="D1203" s="201">
        <v>240</v>
      </c>
      <c r="E1203" s="201">
        <v>1868298.17</v>
      </c>
      <c r="F1203" s="201">
        <v>154588.42000000001</v>
      </c>
      <c r="G1203" s="201">
        <f>'Mail Merge'!$E1203+'Mail Merge'!$F1203</f>
        <v>2022886.5899999999</v>
      </c>
      <c r="H1203" s="201">
        <v>0</v>
      </c>
      <c r="I1203" s="201" t="s">
        <v>241</v>
      </c>
      <c r="J1203" s="204">
        <f>IFERROR('Mail Merge'!$E1203/'Mail Merge'!$D1203,0)</f>
        <v>7784.5757083333328</v>
      </c>
      <c r="K1203" s="201">
        <f>IFERROR('Mail Merge'!$F1203/'Mail Merge'!$D1203,0)</f>
        <v>644.11841666666669</v>
      </c>
      <c r="L1203" s="205">
        <f>IFERROR('Mail Merge'!$G1203/'Mail Merge'!$D1203,0)</f>
        <v>8428.694125</v>
      </c>
      <c r="M1203" s="201">
        <v>187140.76</v>
      </c>
      <c r="N1203" s="201" t="s">
        <v>240</v>
      </c>
      <c r="O1203" s="201">
        <v>289656.78999999998</v>
      </c>
      <c r="P1203" s="201">
        <v>3752.15</v>
      </c>
      <c r="Q1203" s="201">
        <f>'Mail Merge'!$O1203+'Mail Merge'!$P1203</f>
        <v>293408.94</v>
      </c>
      <c r="R1203" s="201"/>
      <c r="S1203" s="201"/>
      <c r="T1203" s="201">
        <v>342.6</v>
      </c>
      <c r="U1203" s="201">
        <f>IF(AND('Mail Merge'!$I1203="Did Not Meet",'Mail Merge'!$N1203="Did Not Meet"),MIN(ABS('Mail Merge'!$H1203),ABS('Mail Merge'!$M1203),'Mail Merge'!$Q1203),0)</f>
        <v>0</v>
      </c>
      <c r="V1203" s="201" t="str">
        <f>IF(OR(IFERROR(SEARCH("Met",'Mail Merge'!$N1203),0)&gt;0,IFERROR(SEARCH("Met",'Mail Merge'!$I1203),0)&gt;0),"Met","Not Met")</f>
        <v>Met</v>
      </c>
    </row>
    <row r="1204" spans="1:22" x14ac:dyDescent="0.35">
      <c r="A1204" s="198" t="s">
        <v>40</v>
      </c>
      <c r="B1204" s="199">
        <v>1896</v>
      </c>
      <c r="C1204" s="199" t="s">
        <v>18</v>
      </c>
      <c r="D1204" s="199">
        <v>5</v>
      </c>
      <c r="E1204" s="199">
        <v>47555</v>
      </c>
      <c r="F1204" s="199">
        <v>13858.67</v>
      </c>
      <c r="G1204" s="199">
        <f>'Mail Merge'!$E1204+'Mail Merge'!$F1204</f>
        <v>61413.67</v>
      </c>
      <c r="H1204" s="199">
        <v>0</v>
      </c>
      <c r="I1204" s="199" t="s">
        <v>241</v>
      </c>
      <c r="J1204" s="202">
        <f>IFERROR('Mail Merge'!$E1204/'Mail Merge'!$D1204,0)</f>
        <v>9511</v>
      </c>
      <c r="K1204" s="199">
        <f>IFERROR('Mail Merge'!$F1204/'Mail Merge'!$D1204,0)</f>
        <v>2771.7339999999999</v>
      </c>
      <c r="L1204" s="203">
        <f>IFERROR('Mail Merge'!$G1204/'Mail Merge'!$D1204,0)</f>
        <v>12282.734</v>
      </c>
      <c r="M1204" s="199">
        <v>244329.98</v>
      </c>
      <c r="N1204" s="199" t="s">
        <v>240</v>
      </c>
      <c r="O1204" s="199">
        <v>14024.05</v>
      </c>
      <c r="P1204" s="199">
        <v>0</v>
      </c>
      <c r="Q1204" s="199">
        <f>'Mail Merge'!$O1204+'Mail Merge'!$P1204</f>
        <v>14024.05</v>
      </c>
      <c r="R1204" s="199"/>
      <c r="S1204" s="199"/>
      <c r="T1204" s="199">
        <v>0</v>
      </c>
      <c r="U1204" s="199">
        <f>IF(AND('Mail Merge'!$I1204="Did Not Meet",'Mail Merge'!$N1204="Did Not Meet"),MIN(ABS('Mail Merge'!$H1204),ABS('Mail Merge'!$M1204),'Mail Merge'!$Q1204),0)</f>
        <v>0</v>
      </c>
      <c r="V1204" s="199" t="str">
        <f>IF(OR(IFERROR(SEARCH("Met",'Mail Merge'!$N1204),0)&gt;0,IFERROR(SEARCH("Met",'Mail Merge'!$I1204),0)&gt;0),"Met","Not Met")</f>
        <v>Met</v>
      </c>
    </row>
    <row r="1205" spans="1:22" x14ac:dyDescent="0.35">
      <c r="A1205" s="200" t="s">
        <v>42</v>
      </c>
      <c r="B1205" s="201">
        <v>2046</v>
      </c>
      <c r="C1205" s="201" t="s">
        <v>18</v>
      </c>
      <c r="D1205" s="201">
        <v>37</v>
      </c>
      <c r="E1205" s="201">
        <v>262106.62</v>
      </c>
      <c r="F1205" s="201">
        <v>99349.99</v>
      </c>
      <c r="G1205" s="201">
        <f>'Mail Merge'!$E1205+'Mail Merge'!$F1205</f>
        <v>361456.61</v>
      </c>
      <c r="H1205" s="201">
        <v>0</v>
      </c>
      <c r="I1205" s="201" t="s">
        <v>241</v>
      </c>
      <c r="J1205" s="204">
        <f>IFERROR('Mail Merge'!$E1205/'Mail Merge'!$D1205,0)</f>
        <v>7083.9627027027027</v>
      </c>
      <c r="K1205" s="201">
        <f>IFERROR('Mail Merge'!$F1205/'Mail Merge'!$D1205,0)</f>
        <v>2685.134864864865</v>
      </c>
      <c r="L1205" s="205">
        <f>IFERROR('Mail Merge'!$G1205/'Mail Merge'!$D1205,0)</f>
        <v>9769.0975675675672</v>
      </c>
      <c r="M1205" s="201">
        <v>0</v>
      </c>
      <c r="N1205" s="201" t="s">
        <v>241</v>
      </c>
      <c r="O1205" s="201">
        <v>26390.22</v>
      </c>
      <c r="P1205" s="201">
        <v>485.19</v>
      </c>
      <c r="Q1205" s="201">
        <f>'Mail Merge'!$O1205+'Mail Merge'!$P1205</f>
        <v>26875.41</v>
      </c>
      <c r="R1205" s="201"/>
      <c r="S1205" s="201"/>
      <c r="T1205" s="201"/>
      <c r="U1205" s="201">
        <f>IF(AND('Mail Merge'!$I1205="Did Not Meet",'Mail Merge'!$N1205="Did Not Meet"),MIN(ABS('Mail Merge'!$H1205),ABS('Mail Merge'!$M1205),'Mail Merge'!$Q1205),0)</f>
        <v>0</v>
      </c>
      <c r="V1205" s="201" t="str">
        <f>IF(OR(IFERROR(SEARCH("Met",'Mail Merge'!$N1205),0)&gt;0,IFERROR(SEARCH("Met",'Mail Merge'!$I1205),0)&gt;0),"Met","Not Met")</f>
        <v>Met</v>
      </c>
    </row>
    <row r="1206" spans="1:22" x14ac:dyDescent="0.35">
      <c r="A1206" s="198" t="s">
        <v>43</v>
      </c>
      <c r="B1206" s="199">
        <v>1995</v>
      </c>
      <c r="C1206" s="199" t="s">
        <v>18</v>
      </c>
      <c r="D1206" s="199">
        <v>31</v>
      </c>
      <c r="E1206" s="199">
        <v>202038.62</v>
      </c>
      <c r="F1206" s="199">
        <v>42671.37</v>
      </c>
      <c r="G1206" s="199">
        <f>'Mail Merge'!$E1206+'Mail Merge'!$F1206</f>
        <v>244709.99</v>
      </c>
      <c r="H1206" s="199">
        <v>0</v>
      </c>
      <c r="I1206" s="199" t="s">
        <v>241</v>
      </c>
      <c r="J1206" s="202">
        <f>IFERROR('Mail Merge'!$E1206/'Mail Merge'!$D1206,0)</f>
        <v>6517.3748387096775</v>
      </c>
      <c r="K1206" s="199">
        <f>IFERROR('Mail Merge'!$F1206/'Mail Merge'!$D1206,0)</f>
        <v>1376.4958064516129</v>
      </c>
      <c r="L1206" s="203">
        <f>IFERROR('Mail Merge'!$G1206/'Mail Merge'!$D1206,0)</f>
        <v>7893.8706451612898</v>
      </c>
      <c r="M1206" s="199">
        <v>0</v>
      </c>
      <c r="N1206" s="199" t="s">
        <v>242</v>
      </c>
      <c r="O1206" s="199">
        <v>43079.71</v>
      </c>
      <c r="P1206" s="199">
        <v>0</v>
      </c>
      <c r="Q1206" s="199">
        <f>'Mail Merge'!$O1206+'Mail Merge'!$P1206</f>
        <v>43079.71</v>
      </c>
      <c r="R1206" s="199"/>
      <c r="S1206" s="199"/>
      <c r="T1206" s="199">
        <v>2098.27</v>
      </c>
      <c r="U1206" s="199">
        <f>IF(AND('Mail Merge'!$I1206="Did Not Meet",'Mail Merge'!$N1206="Did Not Meet"),MIN(ABS('Mail Merge'!$H1206),ABS('Mail Merge'!$M1206),'Mail Merge'!$Q1206),0)</f>
        <v>0</v>
      </c>
      <c r="V1206" s="199" t="str">
        <f>IF(OR(IFERROR(SEARCH("Met",'Mail Merge'!$N1206),0)&gt;0,IFERROR(SEARCH("Met",'Mail Merge'!$I1206),0)&gt;0),"Met","Not Met")</f>
        <v>Met</v>
      </c>
    </row>
    <row r="1207" spans="1:22" x14ac:dyDescent="0.35">
      <c r="A1207" s="200" t="s">
        <v>44</v>
      </c>
      <c r="B1207" s="201">
        <v>1929</v>
      </c>
      <c r="C1207" s="201" t="s">
        <v>18</v>
      </c>
      <c r="D1207" s="201">
        <v>545</v>
      </c>
      <c r="E1207" s="201">
        <v>5914041</v>
      </c>
      <c r="F1207" s="201">
        <v>590874</v>
      </c>
      <c r="G1207" s="201">
        <f>'Mail Merge'!$E1207+'Mail Merge'!$F1207</f>
        <v>6504915</v>
      </c>
      <c r="H1207" s="201">
        <v>0</v>
      </c>
      <c r="I1207" s="201" t="s">
        <v>241</v>
      </c>
      <c r="J1207" s="204">
        <f>IFERROR('Mail Merge'!$E1207/'Mail Merge'!$D1207,0)</f>
        <v>10851.45137614679</v>
      </c>
      <c r="K1207" s="201">
        <f>IFERROR('Mail Merge'!$F1207/'Mail Merge'!$D1207,0)</f>
        <v>1084.1724770642202</v>
      </c>
      <c r="L1207" s="205">
        <f>IFERROR('Mail Merge'!$G1207/'Mail Merge'!$D1207,0)</f>
        <v>11935.623853211009</v>
      </c>
      <c r="M1207" s="201">
        <v>0</v>
      </c>
      <c r="N1207" s="201" t="s">
        <v>241</v>
      </c>
      <c r="O1207" s="201">
        <v>752894.12</v>
      </c>
      <c r="P1207" s="201">
        <v>3558.08</v>
      </c>
      <c r="Q1207" s="201">
        <f>'Mail Merge'!$O1207+'Mail Merge'!$P1207</f>
        <v>756452.2</v>
      </c>
      <c r="R1207" s="201"/>
      <c r="S1207" s="201"/>
      <c r="T1207" s="201"/>
      <c r="U1207" s="201">
        <f>IF(AND('Mail Merge'!$I1207="Did Not Meet",'Mail Merge'!$N1207="Did Not Meet"),MIN(ABS('Mail Merge'!$H1207),ABS('Mail Merge'!$M1207),'Mail Merge'!$Q1207),0)</f>
        <v>0</v>
      </c>
      <c r="V1207" s="201" t="str">
        <f>IF(OR(IFERROR(SEARCH("Met",'Mail Merge'!$N1207),0)&gt;0,IFERROR(SEARCH("Met",'Mail Merge'!$I1207),0)&gt;0),"Met","Not Met")</f>
        <v>Met</v>
      </c>
    </row>
    <row r="1208" spans="1:22" x14ac:dyDescent="0.35">
      <c r="A1208" s="198" t="s">
        <v>45</v>
      </c>
      <c r="B1208" s="199">
        <v>2139</v>
      </c>
      <c r="C1208" s="199" t="s">
        <v>18</v>
      </c>
      <c r="D1208" s="199">
        <v>316</v>
      </c>
      <c r="E1208" s="199">
        <v>3302604.95</v>
      </c>
      <c r="F1208" s="199">
        <v>224758.24</v>
      </c>
      <c r="G1208" s="199">
        <f>'Mail Merge'!$E1208+'Mail Merge'!$F1208</f>
        <v>3527363.1900000004</v>
      </c>
      <c r="H1208" s="199">
        <v>0</v>
      </c>
      <c r="I1208" s="199" t="s">
        <v>241</v>
      </c>
      <c r="J1208" s="202">
        <f>IFERROR('Mail Merge'!$E1208/'Mail Merge'!$D1208,0)</f>
        <v>10451.281487341772</v>
      </c>
      <c r="K1208" s="199">
        <f>IFERROR('Mail Merge'!$F1208/'Mail Merge'!$D1208,0)</f>
        <v>711.26025316455696</v>
      </c>
      <c r="L1208" s="203">
        <f>IFERROR('Mail Merge'!$G1208/'Mail Merge'!$D1208,0)</f>
        <v>11162.541740506331</v>
      </c>
      <c r="M1208" s="199">
        <v>0</v>
      </c>
      <c r="N1208" s="199" t="s">
        <v>241</v>
      </c>
      <c r="O1208" s="199">
        <v>395271.61</v>
      </c>
      <c r="P1208" s="199">
        <v>6010.13</v>
      </c>
      <c r="Q1208" s="199">
        <f>'Mail Merge'!$O1208+'Mail Merge'!$P1208</f>
        <v>401281.74</v>
      </c>
      <c r="R1208" s="199"/>
      <c r="S1208" s="199"/>
      <c r="T1208" s="199"/>
      <c r="U1208" s="199">
        <f>IF(AND('Mail Merge'!$I1208="Did Not Meet",'Mail Merge'!$N1208="Did Not Meet"),MIN(ABS('Mail Merge'!$H1208),ABS('Mail Merge'!$M1208),'Mail Merge'!$Q1208),0)</f>
        <v>0</v>
      </c>
      <c r="V1208" s="199" t="str">
        <f>IF(OR(IFERROR(SEARCH("Met",'Mail Merge'!$N1208),0)&gt;0,IFERROR(SEARCH("Met",'Mail Merge'!$I1208),0)&gt;0),"Met","Not Met")</f>
        <v>Met</v>
      </c>
    </row>
    <row r="1209" spans="1:22" x14ac:dyDescent="0.35">
      <c r="A1209" s="200" t="s">
        <v>46</v>
      </c>
      <c r="B1209" s="201">
        <v>2185</v>
      </c>
      <c r="C1209" s="201" t="s">
        <v>18</v>
      </c>
      <c r="D1209" s="201">
        <v>878</v>
      </c>
      <c r="E1209" s="201">
        <v>9908871.3900000006</v>
      </c>
      <c r="F1209" s="201">
        <v>1782236.89</v>
      </c>
      <c r="G1209" s="201">
        <f>'Mail Merge'!$E1209+'Mail Merge'!$F1209</f>
        <v>11691108.280000001</v>
      </c>
      <c r="H1209" s="201">
        <v>0</v>
      </c>
      <c r="I1209" s="201" t="s">
        <v>241</v>
      </c>
      <c r="J1209" s="204">
        <f>IFERROR('Mail Merge'!$E1209/'Mail Merge'!$D1209,0)</f>
        <v>11285.730512528475</v>
      </c>
      <c r="K1209" s="201">
        <f>IFERROR('Mail Merge'!$F1209/'Mail Merge'!$D1209,0)</f>
        <v>2029.8825626423688</v>
      </c>
      <c r="L1209" s="205">
        <f>IFERROR('Mail Merge'!$G1209/'Mail Merge'!$D1209,0)</f>
        <v>13315.613075170844</v>
      </c>
      <c r="M1209" s="201">
        <v>28684.880000000001</v>
      </c>
      <c r="N1209" s="201" t="s">
        <v>240</v>
      </c>
      <c r="O1209" s="201">
        <v>1013466.25</v>
      </c>
      <c r="P1209" s="201">
        <v>10427.719999999999</v>
      </c>
      <c r="Q1209" s="201">
        <f>'Mail Merge'!$O1209+'Mail Merge'!$P1209</f>
        <v>1023893.97</v>
      </c>
      <c r="R1209" s="201"/>
      <c r="S1209" s="201"/>
      <c r="T1209" s="201">
        <v>0</v>
      </c>
      <c r="U1209" s="201">
        <f>IF(AND('Mail Merge'!$I1209="Did Not Meet",'Mail Merge'!$N1209="Did Not Meet"),MIN(ABS('Mail Merge'!$H1209),ABS('Mail Merge'!$M1209),'Mail Merge'!$Q1209),0)</f>
        <v>0</v>
      </c>
      <c r="V1209" s="201" t="str">
        <f>IF(OR(IFERROR(SEARCH("Met",'Mail Merge'!$N1209),0)&gt;0,IFERROR(SEARCH("Met",'Mail Merge'!$I1209),0)&gt;0),"Met","Not Met")</f>
        <v>Met</v>
      </c>
    </row>
    <row r="1210" spans="1:22" x14ac:dyDescent="0.35">
      <c r="A1210" s="198" t="s">
        <v>47</v>
      </c>
      <c r="B1210" s="199">
        <v>1972</v>
      </c>
      <c r="C1210" s="199" t="s">
        <v>18</v>
      </c>
      <c r="D1210" s="199">
        <v>51</v>
      </c>
      <c r="E1210" s="199">
        <v>425836.41</v>
      </c>
      <c r="F1210" s="199">
        <v>196721.36</v>
      </c>
      <c r="G1210" s="199">
        <f>'Mail Merge'!$E1210+'Mail Merge'!$F1210</f>
        <v>622557.77</v>
      </c>
      <c r="H1210" s="199">
        <v>0</v>
      </c>
      <c r="I1210" s="199" t="s">
        <v>241</v>
      </c>
      <c r="J1210" s="202">
        <f>IFERROR('Mail Merge'!$E1210/'Mail Merge'!$D1210,0)</f>
        <v>8349.7335294117638</v>
      </c>
      <c r="K1210" s="199">
        <f>IFERROR('Mail Merge'!$F1210/'Mail Merge'!$D1210,0)</f>
        <v>3857.2815686274507</v>
      </c>
      <c r="L1210" s="203">
        <f>IFERROR('Mail Merge'!$G1210/'Mail Merge'!$D1210,0)</f>
        <v>12207.015098039215</v>
      </c>
      <c r="M1210" s="199">
        <v>0</v>
      </c>
      <c r="N1210" s="199" t="s">
        <v>241</v>
      </c>
      <c r="O1210" s="199">
        <v>106216.82</v>
      </c>
      <c r="P1210" s="199">
        <v>776.31</v>
      </c>
      <c r="Q1210" s="199">
        <f>'Mail Merge'!$O1210+'Mail Merge'!$P1210</f>
        <v>106993.13</v>
      </c>
      <c r="R1210" s="199"/>
      <c r="S1210" s="199"/>
      <c r="T1210" s="199"/>
      <c r="U1210" s="199">
        <f>IF(AND('Mail Merge'!$I1210="Did Not Meet",'Mail Merge'!$N1210="Did Not Meet"),MIN(ABS('Mail Merge'!$H1210),ABS('Mail Merge'!$M1210),'Mail Merge'!$Q1210),0)</f>
        <v>0</v>
      </c>
      <c r="V1210" s="199" t="str">
        <f>IF(OR(IFERROR(SEARCH("Met",'Mail Merge'!$N1210),0)&gt;0,IFERROR(SEARCH("Met",'Mail Merge'!$I1210),0)&gt;0),"Met","Not Met")</f>
        <v>Met</v>
      </c>
    </row>
    <row r="1211" spans="1:22" x14ac:dyDescent="0.35">
      <c r="A1211" s="200" t="s">
        <v>48</v>
      </c>
      <c r="B1211" s="201">
        <v>2105</v>
      </c>
      <c r="C1211" s="201" t="s">
        <v>18</v>
      </c>
      <c r="D1211" s="201">
        <v>103</v>
      </c>
      <c r="E1211" s="201">
        <v>653088.23</v>
      </c>
      <c r="F1211" s="201">
        <v>88640</v>
      </c>
      <c r="G1211" s="201">
        <f>'Mail Merge'!$E1211+'Mail Merge'!$F1211</f>
        <v>741728.23</v>
      </c>
      <c r="H1211" s="201">
        <v>232.3</v>
      </c>
      <c r="I1211" s="201" t="s">
        <v>240</v>
      </c>
      <c r="J1211" s="204">
        <f>IFERROR('Mail Merge'!$E1211/'Mail Merge'!$D1211,0)</f>
        <v>6340.6624271844657</v>
      </c>
      <c r="K1211" s="201">
        <f>IFERROR('Mail Merge'!$F1211/'Mail Merge'!$D1211,0)</f>
        <v>860.5825242718447</v>
      </c>
      <c r="L1211" s="205">
        <f>IFERROR('Mail Merge'!$G1211/'Mail Merge'!$D1211,0)</f>
        <v>7201.2449514563104</v>
      </c>
      <c r="M1211" s="201">
        <v>107404.38</v>
      </c>
      <c r="N1211" s="201" t="s">
        <v>240</v>
      </c>
      <c r="O1211" s="201">
        <v>106298.76</v>
      </c>
      <c r="P1211" s="201">
        <v>431.28</v>
      </c>
      <c r="Q1211" s="201">
        <f>'Mail Merge'!$O1211+'Mail Merge'!$P1211</f>
        <v>106730.04</v>
      </c>
      <c r="R1211" s="201"/>
      <c r="S1211" s="201">
        <v>55096.72</v>
      </c>
      <c r="T1211" s="201">
        <v>612.19000000000005</v>
      </c>
      <c r="U1211" s="201">
        <f>IF(AND('Mail Merge'!$I1211="Did Not Meet",'Mail Merge'!$N1211="Did Not Meet"),MIN(ABS('Mail Merge'!$H1211),ABS('Mail Merge'!$M1211),'Mail Merge'!$Q1211),0)</f>
        <v>232.3</v>
      </c>
      <c r="V1211" s="201" t="str">
        <f>IF(OR(IFERROR(SEARCH("Met",'Mail Merge'!$N1211),0)&gt;0,IFERROR(SEARCH("Met",'Mail Merge'!$I1211),0)&gt;0),"Met","Not Met")</f>
        <v>Not Met</v>
      </c>
    </row>
    <row r="1212" spans="1:22" x14ac:dyDescent="0.35">
      <c r="A1212" s="198" t="s">
        <v>49</v>
      </c>
      <c r="B1212" s="199">
        <v>2042</v>
      </c>
      <c r="C1212" s="199" t="s">
        <v>18</v>
      </c>
      <c r="D1212" s="199">
        <v>680</v>
      </c>
      <c r="E1212" s="199">
        <v>3278479.3599999999</v>
      </c>
      <c r="F1212" s="199">
        <v>1212329.8700000001</v>
      </c>
      <c r="G1212" s="199">
        <f>'Mail Merge'!$E1212+'Mail Merge'!$F1212</f>
        <v>4490809.2300000004</v>
      </c>
      <c r="H1212" s="199">
        <v>0</v>
      </c>
      <c r="I1212" s="199" t="s">
        <v>241</v>
      </c>
      <c r="J1212" s="202">
        <f>IFERROR('Mail Merge'!$E1212/'Mail Merge'!$D1212,0)</f>
        <v>4821.2931764705882</v>
      </c>
      <c r="K1212" s="199">
        <f>IFERROR('Mail Merge'!$F1212/'Mail Merge'!$D1212,0)</f>
        <v>1782.8380441176473</v>
      </c>
      <c r="L1212" s="203">
        <f>IFERROR('Mail Merge'!$G1212/'Mail Merge'!$D1212,0)</f>
        <v>6604.1312205882359</v>
      </c>
      <c r="M1212" s="199">
        <v>468161.64</v>
      </c>
      <c r="N1212" s="199" t="s">
        <v>240</v>
      </c>
      <c r="O1212" s="199">
        <v>695381.8</v>
      </c>
      <c r="P1212" s="199">
        <v>8719.4</v>
      </c>
      <c r="Q1212" s="199">
        <f>'Mail Merge'!$O1212+'Mail Merge'!$P1212</f>
        <v>704101.20000000007</v>
      </c>
      <c r="R1212" s="199"/>
      <c r="S1212" s="199"/>
      <c r="T1212" s="199">
        <v>0</v>
      </c>
      <c r="U1212" s="199">
        <f>IF(AND('Mail Merge'!$I1212="Did Not Meet",'Mail Merge'!$N1212="Did Not Meet"),MIN(ABS('Mail Merge'!$H1212),ABS('Mail Merge'!$M1212),'Mail Merge'!$Q1212),0)</f>
        <v>0</v>
      </c>
      <c r="V1212" s="199" t="str">
        <f>IF(OR(IFERROR(SEARCH("Met",'Mail Merge'!$N1212),0)&gt;0,IFERROR(SEARCH("Met",'Mail Merge'!$I1212),0)&gt;0),"Met","Not Met")</f>
        <v>Met</v>
      </c>
    </row>
    <row r="1213" spans="1:22" x14ac:dyDescent="0.35">
      <c r="A1213" s="200" t="s">
        <v>50</v>
      </c>
      <c r="B1213" s="201">
        <v>2191</v>
      </c>
      <c r="C1213" s="201" t="s">
        <v>18</v>
      </c>
      <c r="D1213" s="201">
        <v>383</v>
      </c>
      <c r="E1213" s="201">
        <v>5508407.54</v>
      </c>
      <c r="F1213" s="201">
        <v>538181.17000000004</v>
      </c>
      <c r="G1213" s="201">
        <f>'Mail Merge'!$E1213+'Mail Merge'!$F1213</f>
        <v>6046588.71</v>
      </c>
      <c r="H1213" s="201">
        <v>0</v>
      </c>
      <c r="I1213" s="201" t="s">
        <v>241</v>
      </c>
      <c r="J1213" s="204">
        <f>IFERROR('Mail Merge'!$E1213/'Mail Merge'!$D1213,0)</f>
        <v>14382.265117493473</v>
      </c>
      <c r="K1213" s="201">
        <f>IFERROR('Mail Merge'!$F1213/'Mail Merge'!$D1213,0)</f>
        <v>1405.1727676240209</v>
      </c>
      <c r="L1213" s="205">
        <f>IFERROR('Mail Merge'!$G1213/'Mail Merge'!$D1213,0)</f>
        <v>15787.437885117493</v>
      </c>
      <c r="M1213" s="201">
        <v>0</v>
      </c>
      <c r="N1213" s="201" t="s">
        <v>241</v>
      </c>
      <c r="O1213" s="201">
        <v>433145.89</v>
      </c>
      <c r="P1213" s="201">
        <v>3424.89</v>
      </c>
      <c r="Q1213" s="201">
        <f>'Mail Merge'!$O1213+'Mail Merge'!$P1213</f>
        <v>436570.78</v>
      </c>
      <c r="R1213" s="201"/>
      <c r="S1213" s="201"/>
      <c r="T1213" s="201"/>
      <c r="U1213" s="201">
        <f>IF(AND('Mail Merge'!$I1213="Did Not Meet",'Mail Merge'!$N1213="Did Not Meet"),MIN(ABS('Mail Merge'!$H1213),ABS('Mail Merge'!$M1213),'Mail Merge'!$Q1213),0)</f>
        <v>0</v>
      </c>
      <c r="V1213" s="201" t="str">
        <f>IF(OR(IFERROR(SEARCH("Met",'Mail Merge'!$N1213),0)&gt;0,IFERROR(SEARCH("Met",'Mail Merge'!$I1213),0)&gt;0),"Met","Not Met")</f>
        <v>Met</v>
      </c>
    </row>
    <row r="1214" spans="1:22" x14ac:dyDescent="0.35">
      <c r="A1214" s="198" t="s">
        <v>51</v>
      </c>
      <c r="B1214" s="199">
        <v>1945</v>
      </c>
      <c r="C1214" s="199" t="s">
        <v>18</v>
      </c>
      <c r="D1214" s="199">
        <v>128</v>
      </c>
      <c r="E1214" s="199">
        <v>1267560.22</v>
      </c>
      <c r="F1214" s="199">
        <v>193968</v>
      </c>
      <c r="G1214" s="199">
        <f>'Mail Merge'!$E1214+'Mail Merge'!$F1214</f>
        <v>1461528.22</v>
      </c>
      <c r="H1214" s="199">
        <v>0</v>
      </c>
      <c r="I1214" s="199" t="s">
        <v>241</v>
      </c>
      <c r="J1214" s="202">
        <f>IFERROR('Mail Merge'!$E1214/'Mail Merge'!$D1214,0)</f>
        <v>9902.8142187499998</v>
      </c>
      <c r="K1214" s="199">
        <f>IFERROR('Mail Merge'!$F1214/'Mail Merge'!$D1214,0)</f>
        <v>1515.375</v>
      </c>
      <c r="L1214" s="203">
        <f>IFERROR('Mail Merge'!$G1214/'Mail Merge'!$D1214,0)</f>
        <v>11418.18921875</v>
      </c>
      <c r="M1214" s="199">
        <v>5713.6</v>
      </c>
      <c r="N1214" s="199" t="s">
        <v>240</v>
      </c>
      <c r="O1214" s="199">
        <v>129054.36</v>
      </c>
      <c r="P1214" s="199">
        <v>2587.69</v>
      </c>
      <c r="Q1214" s="199">
        <f>'Mail Merge'!$O1214+'Mail Merge'!$P1214</f>
        <v>131642.04999999999</v>
      </c>
      <c r="R1214" s="199"/>
      <c r="S1214" s="199"/>
      <c r="T1214" s="199">
        <v>0</v>
      </c>
      <c r="U1214" s="199">
        <f>IF(AND('Mail Merge'!$I1214="Did Not Meet",'Mail Merge'!$N1214="Did Not Meet"),MIN(ABS('Mail Merge'!$H1214),ABS('Mail Merge'!$M1214),'Mail Merge'!$Q1214),0)</f>
        <v>0</v>
      </c>
      <c r="V1214" s="199" t="str">
        <f>IF(OR(IFERROR(SEARCH("Met",'Mail Merge'!$N1214),0)&gt;0,IFERROR(SEARCH("Met",'Mail Merge'!$I1214),0)&gt;0),"Met","Not Met")</f>
        <v>Met</v>
      </c>
    </row>
    <row r="1215" spans="1:22" x14ac:dyDescent="0.35">
      <c r="A1215" s="200" t="s">
        <v>52</v>
      </c>
      <c r="B1215" s="201">
        <v>1927</v>
      </c>
      <c r="C1215" s="201" t="s">
        <v>18</v>
      </c>
      <c r="D1215" s="201">
        <v>98</v>
      </c>
      <c r="E1215" s="201">
        <v>894301.96</v>
      </c>
      <c r="F1215" s="201">
        <v>86232</v>
      </c>
      <c r="G1215" s="201">
        <f>'Mail Merge'!$E1215+'Mail Merge'!$F1215</f>
        <v>980533.96</v>
      </c>
      <c r="H1215" s="201">
        <v>0</v>
      </c>
      <c r="I1215" s="201" t="s">
        <v>242</v>
      </c>
      <c r="J1215" s="204">
        <f>IFERROR('Mail Merge'!$E1215/'Mail Merge'!$D1215,0)</f>
        <v>9125.5302040816314</v>
      </c>
      <c r="K1215" s="201">
        <f>IFERROR('Mail Merge'!$F1215/'Mail Merge'!$D1215,0)</f>
        <v>879.91836734693879</v>
      </c>
      <c r="L1215" s="205">
        <f>IFERROR('Mail Merge'!$G1215/'Mail Merge'!$D1215,0)</f>
        <v>10005.448571428571</v>
      </c>
      <c r="M1215" s="201">
        <v>90206.7</v>
      </c>
      <c r="N1215" s="201" t="s">
        <v>240</v>
      </c>
      <c r="O1215" s="201">
        <v>110374.74</v>
      </c>
      <c r="P1215" s="201">
        <v>533.71</v>
      </c>
      <c r="Q1215" s="201">
        <f>'Mail Merge'!$O1215+'Mail Merge'!$P1215</f>
        <v>110908.45000000001</v>
      </c>
      <c r="R1215" s="201"/>
      <c r="S1215" s="201">
        <v>265084.25</v>
      </c>
      <c r="T1215" s="201">
        <v>3082.38</v>
      </c>
      <c r="U1215" s="201">
        <f>IF(AND('Mail Merge'!$I1215="Did Not Meet",'Mail Merge'!$N1215="Did Not Meet"),MIN(ABS('Mail Merge'!$H1215),ABS('Mail Merge'!$M1215),'Mail Merge'!$Q1215),0)</f>
        <v>0</v>
      </c>
      <c r="V1215" s="201" t="str">
        <f>IF(OR(IFERROR(SEARCH("Met",'Mail Merge'!$N1215),0)&gt;0,IFERROR(SEARCH("Met",'Mail Merge'!$I1215),0)&gt;0),"Met","Not Met")</f>
        <v>Met</v>
      </c>
    </row>
    <row r="1216" spans="1:22" x14ac:dyDescent="0.35">
      <c r="A1216" s="198" t="s">
        <v>53</v>
      </c>
      <c r="B1216" s="199">
        <v>2006</v>
      </c>
      <c r="C1216" s="199" t="s">
        <v>18</v>
      </c>
      <c r="D1216" s="199">
        <v>17</v>
      </c>
      <c r="E1216" s="199">
        <v>10553.33</v>
      </c>
      <c r="F1216" s="199">
        <v>109553</v>
      </c>
      <c r="G1216" s="199">
        <f>'Mail Merge'!$E1216+'Mail Merge'!$F1216</f>
        <v>120106.33</v>
      </c>
      <c r="H1216" s="199">
        <v>0</v>
      </c>
      <c r="I1216" s="199" t="s">
        <v>241</v>
      </c>
      <c r="J1216" s="202">
        <f>IFERROR('Mail Merge'!$E1216/'Mail Merge'!$D1216,0)</f>
        <v>620.78411764705879</v>
      </c>
      <c r="K1216" s="199">
        <f>IFERROR('Mail Merge'!$F1216/'Mail Merge'!$D1216,0)</f>
        <v>6444.2941176470586</v>
      </c>
      <c r="L1216" s="203">
        <f>IFERROR('Mail Merge'!$G1216/'Mail Merge'!$D1216,0)</f>
        <v>7065.0782352941178</v>
      </c>
      <c r="M1216" s="199">
        <v>0</v>
      </c>
      <c r="N1216" s="199" t="s">
        <v>241</v>
      </c>
      <c r="O1216" s="199">
        <v>22070.21</v>
      </c>
      <c r="P1216" s="199">
        <v>0</v>
      </c>
      <c r="Q1216" s="199">
        <f>'Mail Merge'!$O1216+'Mail Merge'!$P1216</f>
        <v>22070.21</v>
      </c>
      <c r="R1216" s="199"/>
      <c r="S1216" s="199"/>
      <c r="T1216" s="199"/>
      <c r="U1216" s="199">
        <f>IF(AND('Mail Merge'!$I1216="Did Not Meet",'Mail Merge'!$N1216="Did Not Meet"),MIN(ABS('Mail Merge'!$H1216),ABS('Mail Merge'!$M1216),'Mail Merge'!$Q1216),0)</f>
        <v>0</v>
      </c>
      <c r="V1216" s="199" t="str">
        <f>IF(OR(IFERROR(SEARCH("Met",'Mail Merge'!$N1216),0)&gt;0,IFERROR(SEARCH("Met",'Mail Merge'!$I1216),0)&gt;0),"Met","Not Met")</f>
        <v>Met</v>
      </c>
    </row>
    <row r="1217" spans="1:22" x14ac:dyDescent="0.35">
      <c r="A1217" s="200" t="s">
        <v>54</v>
      </c>
      <c r="B1217" s="201">
        <v>1965</v>
      </c>
      <c r="C1217" s="201" t="s">
        <v>18</v>
      </c>
      <c r="D1217" s="201">
        <v>511</v>
      </c>
      <c r="E1217" s="201">
        <v>4030768.44</v>
      </c>
      <c r="F1217" s="201">
        <v>1365866.25</v>
      </c>
      <c r="G1217" s="201">
        <f>'Mail Merge'!$E1217+'Mail Merge'!$F1217</f>
        <v>5396634.6899999995</v>
      </c>
      <c r="H1217" s="201">
        <v>0</v>
      </c>
      <c r="I1217" s="201" t="s">
        <v>241</v>
      </c>
      <c r="J1217" s="204">
        <f>IFERROR('Mail Merge'!$E1217/'Mail Merge'!$D1217,0)</f>
        <v>7888.0008610567511</v>
      </c>
      <c r="K1217" s="201">
        <f>IFERROR('Mail Merge'!$F1217/'Mail Merge'!$D1217,0)</f>
        <v>2672.928082191781</v>
      </c>
      <c r="L1217" s="205">
        <f>IFERROR('Mail Merge'!$G1217/'Mail Merge'!$D1217,0)</f>
        <v>10560.928943248531</v>
      </c>
      <c r="M1217" s="201">
        <v>652347.97</v>
      </c>
      <c r="N1217" s="201" t="s">
        <v>240</v>
      </c>
      <c r="O1217" s="201">
        <v>671915.07</v>
      </c>
      <c r="P1217" s="201">
        <v>8625.64</v>
      </c>
      <c r="Q1217" s="201">
        <f>'Mail Merge'!$O1217+'Mail Merge'!$P1217</f>
        <v>680540.71</v>
      </c>
      <c r="R1217" s="201"/>
      <c r="S1217" s="201"/>
      <c r="T1217" s="201">
        <v>0</v>
      </c>
      <c r="U1217" s="201">
        <f>IF(AND('Mail Merge'!$I1217="Did Not Meet",'Mail Merge'!$N1217="Did Not Meet"),MIN(ABS('Mail Merge'!$H1217),ABS('Mail Merge'!$M1217),'Mail Merge'!$Q1217),0)</f>
        <v>0</v>
      </c>
      <c r="V1217" s="201" t="str">
        <f>IF(OR(IFERROR(SEARCH("Met",'Mail Merge'!$N1217),0)&gt;0,IFERROR(SEARCH("Met",'Mail Merge'!$I1217),0)&gt;0),"Met","Not Met")</f>
        <v>Met</v>
      </c>
    </row>
    <row r="1218" spans="1:22" x14ac:dyDescent="0.35">
      <c r="A1218" s="198" t="s">
        <v>55</v>
      </c>
      <c r="B1218" s="199">
        <v>1964</v>
      </c>
      <c r="C1218" s="199" t="s">
        <v>18</v>
      </c>
      <c r="D1218" s="199">
        <v>102</v>
      </c>
      <c r="E1218" s="199">
        <v>940442.93</v>
      </c>
      <c r="F1218" s="199">
        <v>172354.5</v>
      </c>
      <c r="G1218" s="199">
        <f>'Mail Merge'!$E1218+'Mail Merge'!$F1218</f>
        <v>1112797.4300000002</v>
      </c>
      <c r="H1218" s="199">
        <v>0</v>
      </c>
      <c r="I1218" s="199" t="s">
        <v>241</v>
      </c>
      <c r="J1218" s="202">
        <f>IFERROR('Mail Merge'!$E1218/'Mail Merge'!$D1218,0)</f>
        <v>9220.0287254901959</v>
      </c>
      <c r="K1218" s="199">
        <f>IFERROR('Mail Merge'!$F1218/'Mail Merge'!$D1218,0)</f>
        <v>1689.75</v>
      </c>
      <c r="L1218" s="203">
        <f>IFERROR('Mail Merge'!$G1218/'Mail Merge'!$D1218,0)</f>
        <v>10909.778725490198</v>
      </c>
      <c r="M1218" s="199">
        <v>93370.6</v>
      </c>
      <c r="N1218" s="199" t="s">
        <v>240</v>
      </c>
      <c r="O1218" s="199">
        <v>162902.76999999999</v>
      </c>
      <c r="P1218" s="199">
        <v>1637.52</v>
      </c>
      <c r="Q1218" s="199">
        <f>'Mail Merge'!$O1218+'Mail Merge'!$P1218</f>
        <v>164540.28999999998</v>
      </c>
      <c r="R1218" s="199"/>
      <c r="S1218" s="199"/>
      <c r="T1218" s="199">
        <v>0</v>
      </c>
      <c r="U1218" s="199">
        <f>IF(AND('Mail Merge'!$I1218="Did Not Meet",'Mail Merge'!$N1218="Did Not Meet"),MIN(ABS('Mail Merge'!$H1218),ABS('Mail Merge'!$M1218),'Mail Merge'!$Q1218),0)</f>
        <v>0</v>
      </c>
      <c r="V1218" s="199" t="str">
        <f>IF(OR(IFERROR(SEARCH("Met",'Mail Merge'!$N1218),0)&gt;0,IFERROR(SEARCH("Met",'Mail Merge'!$I1218),0)&gt;0),"Met","Not Met")</f>
        <v>Met</v>
      </c>
    </row>
    <row r="1219" spans="1:22" x14ac:dyDescent="0.35">
      <c r="A1219" s="200" t="s">
        <v>56</v>
      </c>
      <c r="B1219" s="201">
        <v>2186</v>
      </c>
      <c r="C1219" s="201" t="s">
        <v>18</v>
      </c>
      <c r="D1219" s="201">
        <v>141</v>
      </c>
      <c r="E1219" s="201">
        <v>580748.11</v>
      </c>
      <c r="F1219" s="201">
        <v>379970.03</v>
      </c>
      <c r="G1219" s="201">
        <f>'Mail Merge'!$E1219+'Mail Merge'!$F1219</f>
        <v>960718.14</v>
      </c>
      <c r="H1219" s="201">
        <v>0</v>
      </c>
      <c r="I1219" s="201" t="s">
        <v>241</v>
      </c>
      <c r="J1219" s="204">
        <f>IFERROR('Mail Merge'!$E1219/'Mail Merge'!$D1219,0)</f>
        <v>4118.7809219858154</v>
      </c>
      <c r="K1219" s="201">
        <f>IFERROR('Mail Merge'!$F1219/'Mail Merge'!$D1219,0)</f>
        <v>2694.8229078014188</v>
      </c>
      <c r="L1219" s="205">
        <f>IFERROR('Mail Merge'!$G1219/'Mail Merge'!$D1219,0)</f>
        <v>6813.6038297872337</v>
      </c>
      <c r="M1219" s="201">
        <v>1128542.31</v>
      </c>
      <c r="N1219" s="201" t="s">
        <v>240</v>
      </c>
      <c r="O1219" s="201">
        <v>153551.03</v>
      </c>
      <c r="P1219" s="201">
        <v>1698.17</v>
      </c>
      <c r="Q1219" s="201">
        <f>'Mail Merge'!$O1219+'Mail Merge'!$P1219</f>
        <v>155249.20000000001</v>
      </c>
      <c r="R1219" s="201"/>
      <c r="S1219" s="201"/>
      <c r="T1219" s="201">
        <v>0</v>
      </c>
      <c r="U1219" s="201">
        <f>IF(AND('Mail Merge'!$I1219="Did Not Meet",'Mail Merge'!$N1219="Did Not Meet"),MIN(ABS('Mail Merge'!$H1219),ABS('Mail Merge'!$M1219),'Mail Merge'!$Q1219),0)</f>
        <v>0</v>
      </c>
      <c r="V1219" s="201" t="str">
        <f>IF(OR(IFERROR(SEARCH("Met",'Mail Merge'!$N1219),0)&gt;0,IFERROR(SEARCH("Met",'Mail Merge'!$I1219),0)&gt;0),"Met","Not Met")</f>
        <v>Met</v>
      </c>
    </row>
    <row r="1220" spans="1:22" x14ac:dyDescent="0.35">
      <c r="A1220" s="198" t="s">
        <v>58</v>
      </c>
      <c r="B1220" s="199">
        <v>1901</v>
      </c>
      <c r="C1220" s="199" t="s">
        <v>18</v>
      </c>
      <c r="D1220" s="199">
        <v>694</v>
      </c>
      <c r="E1220" s="199">
        <v>7685879.3099999996</v>
      </c>
      <c r="F1220" s="199">
        <v>836674</v>
      </c>
      <c r="G1220" s="199">
        <f>'Mail Merge'!$E1220+'Mail Merge'!$F1220</f>
        <v>8522553.3099999987</v>
      </c>
      <c r="H1220" s="199">
        <v>0</v>
      </c>
      <c r="I1220" s="199" t="s">
        <v>241</v>
      </c>
      <c r="J1220" s="202">
        <f>IFERROR('Mail Merge'!$E1220/'Mail Merge'!$D1220,0)</f>
        <v>11074.754048991354</v>
      </c>
      <c r="K1220" s="199">
        <f>IFERROR('Mail Merge'!$F1220/'Mail Merge'!$D1220,0)</f>
        <v>1205.5821325648415</v>
      </c>
      <c r="L1220" s="203">
        <f>IFERROR('Mail Merge'!$G1220/'Mail Merge'!$D1220,0)</f>
        <v>12280.336181556195</v>
      </c>
      <c r="M1220" s="199">
        <v>0</v>
      </c>
      <c r="N1220" s="199" t="s">
        <v>241</v>
      </c>
      <c r="O1220" s="199">
        <v>1004471.35</v>
      </c>
      <c r="P1220" s="199">
        <v>7364.97</v>
      </c>
      <c r="Q1220" s="199">
        <f>'Mail Merge'!$O1220+'Mail Merge'!$P1220</f>
        <v>1011836.32</v>
      </c>
      <c r="R1220" s="199"/>
      <c r="S1220" s="199"/>
      <c r="T1220" s="199"/>
      <c r="U1220" s="199">
        <f>IF(AND('Mail Merge'!$I1220="Did Not Meet",'Mail Merge'!$N1220="Did Not Meet"),MIN(ABS('Mail Merge'!$H1220),ABS('Mail Merge'!$M1220),'Mail Merge'!$Q1220),0)</f>
        <v>0</v>
      </c>
      <c r="V1220" s="199" t="str">
        <f>IF(OR(IFERROR(SEARCH("Met",'Mail Merge'!$N1220),0)&gt;0,IFERROR(SEARCH("Met",'Mail Merge'!$I1220),0)&gt;0),"Met","Not Met")</f>
        <v>Met</v>
      </c>
    </row>
    <row r="1221" spans="1:22" x14ac:dyDescent="0.35">
      <c r="A1221" s="200" t="s">
        <v>59</v>
      </c>
      <c r="B1221" s="201">
        <v>2216</v>
      </c>
      <c r="C1221" s="201" t="s">
        <v>18</v>
      </c>
      <c r="D1221" s="201">
        <v>25</v>
      </c>
      <c r="E1221" s="201">
        <v>128162.52</v>
      </c>
      <c r="F1221" s="201">
        <v>51764.29</v>
      </c>
      <c r="G1221" s="201">
        <f>'Mail Merge'!$E1221+'Mail Merge'!$F1221</f>
        <v>179926.81</v>
      </c>
      <c r="H1221" s="201">
        <v>336.68</v>
      </c>
      <c r="I1221" s="201" t="s">
        <v>240</v>
      </c>
      <c r="J1221" s="204">
        <f>IFERROR('Mail Merge'!$E1221/'Mail Merge'!$D1221,0)</f>
        <v>5126.5007999999998</v>
      </c>
      <c r="K1221" s="201">
        <f>IFERROR('Mail Merge'!$F1221/'Mail Merge'!$D1221,0)</f>
        <v>2070.5716000000002</v>
      </c>
      <c r="L1221" s="205">
        <f>IFERROR('Mail Merge'!$G1221/'Mail Merge'!$D1221,0)</f>
        <v>7197.0724</v>
      </c>
      <c r="M1221" s="201">
        <v>0</v>
      </c>
      <c r="N1221" s="201" t="s">
        <v>242</v>
      </c>
      <c r="O1221" s="201">
        <v>41374.550000000003</v>
      </c>
      <c r="P1221" s="201">
        <v>0</v>
      </c>
      <c r="Q1221" s="201">
        <f>'Mail Merge'!$O1221+'Mail Merge'!$P1221</f>
        <v>41374.550000000003</v>
      </c>
      <c r="R1221" s="201"/>
      <c r="S1221" s="201">
        <v>21631.62</v>
      </c>
      <c r="T1221" s="201">
        <v>772.56</v>
      </c>
      <c r="U1221" s="201">
        <f>IF(AND('Mail Merge'!$I1221="Did Not Meet",'Mail Merge'!$N1221="Did Not Meet"),MIN(ABS('Mail Merge'!$H1221),ABS('Mail Merge'!$M1221),'Mail Merge'!$Q1221),0)</f>
        <v>0</v>
      </c>
      <c r="V1221" s="201" t="str">
        <f>IF(OR(IFERROR(SEARCH("Met",'Mail Merge'!$N1221),0)&gt;0,IFERROR(SEARCH("Met",'Mail Merge'!$I1221),0)&gt;0),"Met","Not Met")</f>
        <v>Met</v>
      </c>
    </row>
    <row r="1222" spans="1:22" x14ac:dyDescent="0.35">
      <c r="A1222" s="198" t="s">
        <v>60</v>
      </c>
      <c r="B1222" s="199">
        <v>2086</v>
      </c>
      <c r="C1222" s="199" t="s">
        <v>18</v>
      </c>
      <c r="D1222" s="199">
        <v>242</v>
      </c>
      <c r="E1222" s="199">
        <v>2548999.56</v>
      </c>
      <c r="F1222" s="199">
        <v>491342</v>
      </c>
      <c r="G1222" s="199">
        <f>'Mail Merge'!$E1222+'Mail Merge'!$F1222</f>
        <v>3040341.56</v>
      </c>
      <c r="H1222" s="199">
        <v>0</v>
      </c>
      <c r="I1222" s="199" t="s">
        <v>241</v>
      </c>
      <c r="J1222" s="202">
        <f>IFERROR('Mail Merge'!$E1222/'Mail Merge'!$D1222,0)</f>
        <v>10533.056033057852</v>
      </c>
      <c r="K1222" s="199">
        <f>IFERROR('Mail Merge'!$F1222/'Mail Merge'!$D1222,0)</f>
        <v>2030.3388429752067</v>
      </c>
      <c r="L1222" s="203">
        <f>IFERROR('Mail Merge'!$G1222/'Mail Merge'!$D1222,0)</f>
        <v>12563.394876033059</v>
      </c>
      <c r="M1222" s="199">
        <v>15427.78</v>
      </c>
      <c r="N1222" s="199" t="s">
        <v>240</v>
      </c>
      <c r="O1222" s="199">
        <v>263697.18</v>
      </c>
      <c r="P1222" s="199">
        <v>2624.45</v>
      </c>
      <c r="Q1222" s="199">
        <f>'Mail Merge'!$O1222+'Mail Merge'!$P1222</f>
        <v>266321.63</v>
      </c>
      <c r="R1222" s="199"/>
      <c r="S1222" s="199"/>
      <c r="T1222" s="199">
        <v>0</v>
      </c>
      <c r="U1222" s="199">
        <f>IF(AND('Mail Merge'!$I1222="Did Not Meet",'Mail Merge'!$N1222="Did Not Meet"),MIN(ABS('Mail Merge'!$H1222),ABS('Mail Merge'!$M1222),'Mail Merge'!$Q1222),0)</f>
        <v>0</v>
      </c>
      <c r="V1222" s="199" t="str">
        <f>IF(OR(IFERROR(SEARCH("Met",'Mail Merge'!$N1222),0)&gt;0,IFERROR(SEARCH("Met",'Mail Merge'!$I1222),0)&gt;0),"Met","Not Met")</f>
        <v>Met</v>
      </c>
    </row>
    <row r="1223" spans="1:22" x14ac:dyDescent="0.35">
      <c r="A1223" s="200" t="s">
        <v>61</v>
      </c>
      <c r="B1223" s="201">
        <v>1970</v>
      </c>
      <c r="C1223" s="201" t="s">
        <v>18</v>
      </c>
      <c r="D1223" s="201">
        <v>410</v>
      </c>
      <c r="E1223" s="201">
        <v>3751015.85</v>
      </c>
      <c r="F1223" s="201">
        <v>247351.28</v>
      </c>
      <c r="G1223" s="201">
        <f>'Mail Merge'!$E1223+'Mail Merge'!$F1223</f>
        <v>3998367.13</v>
      </c>
      <c r="H1223" s="201">
        <v>0</v>
      </c>
      <c r="I1223" s="201" t="s">
        <v>241</v>
      </c>
      <c r="J1223" s="204">
        <f>IFERROR('Mail Merge'!$E1223/'Mail Merge'!$D1223,0)</f>
        <v>9148.8191463414641</v>
      </c>
      <c r="K1223" s="201">
        <f>IFERROR('Mail Merge'!$F1223/'Mail Merge'!$D1223,0)</f>
        <v>603.29580487804878</v>
      </c>
      <c r="L1223" s="205">
        <f>IFERROR('Mail Merge'!$G1223/'Mail Merge'!$D1223,0)</f>
        <v>9752.1149512195116</v>
      </c>
      <c r="M1223" s="201">
        <v>0</v>
      </c>
      <c r="N1223" s="201" t="s">
        <v>241</v>
      </c>
      <c r="O1223" s="201">
        <v>528323.77</v>
      </c>
      <c r="P1223" s="201">
        <v>5528.94</v>
      </c>
      <c r="Q1223" s="201">
        <f>'Mail Merge'!$O1223+'Mail Merge'!$P1223</f>
        <v>533852.71</v>
      </c>
      <c r="R1223" s="201"/>
      <c r="S1223" s="201"/>
      <c r="T1223" s="201"/>
      <c r="U1223" s="201">
        <f>IF(AND('Mail Merge'!$I1223="Did Not Meet",'Mail Merge'!$N1223="Did Not Meet"),MIN(ABS('Mail Merge'!$H1223),ABS('Mail Merge'!$M1223),'Mail Merge'!$Q1223),0)</f>
        <v>0</v>
      </c>
      <c r="V1223" s="201" t="str">
        <f>IF(OR(IFERROR(SEARCH("Met",'Mail Merge'!$N1223),0)&gt;0,IFERROR(SEARCH("Met",'Mail Merge'!$I1223),0)&gt;0),"Met","Not Met")</f>
        <v>Met</v>
      </c>
    </row>
    <row r="1224" spans="1:22" x14ac:dyDescent="0.35">
      <c r="A1224" s="198" t="s">
        <v>62</v>
      </c>
      <c r="B1224" s="199">
        <v>2089</v>
      </c>
      <c r="C1224" s="199" t="s">
        <v>18</v>
      </c>
      <c r="D1224" s="199">
        <v>56</v>
      </c>
      <c r="E1224" s="199">
        <v>525207.67000000004</v>
      </c>
      <c r="F1224" s="199">
        <v>119456</v>
      </c>
      <c r="G1224" s="199">
        <f>'Mail Merge'!$E1224+'Mail Merge'!$F1224</f>
        <v>644663.67000000004</v>
      </c>
      <c r="H1224" s="199">
        <v>0</v>
      </c>
      <c r="I1224" s="199" t="s">
        <v>241</v>
      </c>
      <c r="J1224" s="202">
        <f>IFERROR('Mail Merge'!$E1224/'Mail Merge'!$D1224,0)</f>
        <v>9378.7083928571428</v>
      </c>
      <c r="K1224" s="199">
        <f>IFERROR('Mail Merge'!$F1224/'Mail Merge'!$D1224,0)</f>
        <v>2133.1428571428573</v>
      </c>
      <c r="L1224" s="203">
        <f>IFERROR('Mail Merge'!$G1224/'Mail Merge'!$D1224,0)</f>
        <v>11511.851250000002</v>
      </c>
      <c r="M1224" s="199">
        <v>0</v>
      </c>
      <c r="N1224" s="199" t="s">
        <v>241</v>
      </c>
      <c r="O1224" s="199">
        <v>62888.58</v>
      </c>
      <c r="P1224" s="199">
        <v>0</v>
      </c>
      <c r="Q1224" s="199">
        <f>'Mail Merge'!$O1224+'Mail Merge'!$P1224</f>
        <v>62888.58</v>
      </c>
      <c r="R1224" s="199"/>
      <c r="S1224" s="199"/>
      <c r="T1224" s="199"/>
      <c r="U1224" s="199">
        <f>IF(AND('Mail Merge'!$I1224="Did Not Meet",'Mail Merge'!$N1224="Did Not Meet"),MIN(ABS('Mail Merge'!$H1224),ABS('Mail Merge'!$M1224),'Mail Merge'!$Q1224),0)</f>
        <v>0</v>
      </c>
      <c r="V1224" s="199" t="str">
        <f>IF(OR(IFERROR(SEARCH("Met",'Mail Merge'!$N1224),0)&gt;0,IFERROR(SEARCH("Met",'Mail Merge'!$I1224),0)&gt;0),"Met","Not Met")</f>
        <v>Met</v>
      </c>
    </row>
    <row r="1225" spans="1:22" x14ac:dyDescent="0.35">
      <c r="A1225" s="200" t="s">
        <v>63</v>
      </c>
      <c r="B1225" s="201">
        <v>2050</v>
      </c>
      <c r="C1225" s="201" t="s">
        <v>18</v>
      </c>
      <c r="D1225" s="201">
        <v>85</v>
      </c>
      <c r="E1225" s="201">
        <v>661817.43999999994</v>
      </c>
      <c r="F1225" s="201">
        <v>226137.48</v>
      </c>
      <c r="G1225" s="201">
        <f>'Mail Merge'!$E1225+'Mail Merge'!$F1225</f>
        <v>887954.91999999993</v>
      </c>
      <c r="H1225" s="201">
        <v>33188.26</v>
      </c>
      <c r="I1225" s="201" t="s">
        <v>240</v>
      </c>
      <c r="J1225" s="204">
        <f>IFERROR('Mail Merge'!$E1225/'Mail Merge'!$D1225,0)</f>
        <v>7786.0875294117641</v>
      </c>
      <c r="K1225" s="201">
        <f>IFERROR('Mail Merge'!$F1225/'Mail Merge'!$D1225,0)</f>
        <v>2660.4409411764709</v>
      </c>
      <c r="L1225" s="205">
        <f>IFERROR('Mail Merge'!$G1225/'Mail Merge'!$D1225,0)</f>
        <v>10446.528470588235</v>
      </c>
      <c r="M1225" s="201">
        <v>12012.56</v>
      </c>
      <c r="N1225" s="201" t="s">
        <v>240</v>
      </c>
      <c r="O1225" s="201">
        <v>113353.49</v>
      </c>
      <c r="P1225" s="201">
        <v>485.19</v>
      </c>
      <c r="Q1225" s="201">
        <f>'Mail Merge'!$O1225+'Mail Merge'!$P1225</f>
        <v>113838.68000000001</v>
      </c>
      <c r="R1225" s="201"/>
      <c r="S1225" s="201">
        <v>21673.96</v>
      </c>
      <c r="T1225" s="201">
        <v>249.13</v>
      </c>
      <c r="U1225" s="201">
        <f>IF(AND('Mail Merge'!$I1225="Did Not Meet",'Mail Merge'!$N1225="Did Not Meet"),MIN(ABS('Mail Merge'!$H1225),ABS('Mail Merge'!$M1225),'Mail Merge'!$Q1225),0)</f>
        <v>12012.56</v>
      </c>
      <c r="V1225" s="201" t="str">
        <f>IF(OR(IFERROR(SEARCH("Met",'Mail Merge'!$N1225),0)&gt;0,IFERROR(SEARCH("Met",'Mail Merge'!$I1225),0)&gt;0),"Met","Not Met")</f>
        <v>Not Met</v>
      </c>
    </row>
    <row r="1226" spans="1:22" x14ac:dyDescent="0.35">
      <c r="A1226" s="198" t="s">
        <v>64</v>
      </c>
      <c r="B1226" s="199">
        <v>2190</v>
      </c>
      <c r="C1226" s="199" t="s">
        <v>18</v>
      </c>
      <c r="D1226" s="199">
        <v>485</v>
      </c>
      <c r="E1226" s="199">
        <v>4265257.47</v>
      </c>
      <c r="F1226" s="199">
        <v>296717.25</v>
      </c>
      <c r="G1226" s="199">
        <f>'Mail Merge'!$E1226+'Mail Merge'!$F1226</f>
        <v>4561974.72</v>
      </c>
      <c r="H1226" s="199">
        <v>0</v>
      </c>
      <c r="I1226" s="199" t="s">
        <v>241</v>
      </c>
      <c r="J1226" s="202">
        <f>IFERROR('Mail Merge'!$E1226/'Mail Merge'!$D1226,0)</f>
        <v>8794.3452989690722</v>
      </c>
      <c r="K1226" s="199">
        <f>IFERROR('Mail Merge'!$F1226/'Mail Merge'!$D1226,0)</f>
        <v>611.78814432989691</v>
      </c>
      <c r="L1226" s="203">
        <f>IFERROR('Mail Merge'!$G1226/'Mail Merge'!$D1226,0)</f>
        <v>9406.1334432989679</v>
      </c>
      <c r="M1226" s="199">
        <v>0</v>
      </c>
      <c r="N1226" s="199" t="s">
        <v>241</v>
      </c>
      <c r="O1226" s="199">
        <v>495794.14</v>
      </c>
      <c r="P1226" s="199">
        <v>6499.32</v>
      </c>
      <c r="Q1226" s="199">
        <f>'Mail Merge'!$O1226+'Mail Merge'!$P1226</f>
        <v>502293.46</v>
      </c>
      <c r="R1226" s="199"/>
      <c r="S1226" s="199"/>
      <c r="T1226" s="199"/>
      <c r="U1226" s="199">
        <f>IF(AND('Mail Merge'!$I1226="Did Not Meet",'Mail Merge'!$N1226="Did Not Meet"),MIN(ABS('Mail Merge'!$H1226),ABS('Mail Merge'!$M1226),'Mail Merge'!$Q1226),0)</f>
        <v>0</v>
      </c>
      <c r="V1226" s="199" t="str">
        <f>IF(OR(IFERROR(SEARCH("Met",'Mail Merge'!$N1226),0)&gt;0,IFERROR(SEARCH("Met",'Mail Merge'!$I1226),0)&gt;0),"Met","Not Met")</f>
        <v>Met</v>
      </c>
    </row>
    <row r="1227" spans="1:22" x14ac:dyDescent="0.35">
      <c r="A1227" s="200" t="s">
        <v>65</v>
      </c>
      <c r="B1227" s="201">
        <v>2187</v>
      </c>
      <c r="C1227" s="201" t="s">
        <v>18</v>
      </c>
      <c r="D1227" s="201">
        <v>1260</v>
      </c>
      <c r="E1227" s="201">
        <v>13216777.26</v>
      </c>
      <c r="F1227" s="201">
        <v>1549189.93</v>
      </c>
      <c r="G1227" s="201">
        <f>'Mail Merge'!$E1227+'Mail Merge'!$F1227</f>
        <v>14765967.189999999</v>
      </c>
      <c r="H1227" s="201">
        <v>0</v>
      </c>
      <c r="I1227" s="201" t="s">
        <v>241</v>
      </c>
      <c r="J1227" s="204">
        <f>IFERROR('Mail Merge'!$E1227/'Mail Merge'!$D1227,0)</f>
        <v>10489.505761904762</v>
      </c>
      <c r="K1227" s="201">
        <f>IFERROR('Mail Merge'!$F1227/'Mail Merge'!$D1227,0)</f>
        <v>1229.5158174603175</v>
      </c>
      <c r="L1227" s="205">
        <f>IFERROR('Mail Merge'!$G1227/'Mail Merge'!$D1227,0)</f>
        <v>11719.021579365079</v>
      </c>
      <c r="M1227" s="201">
        <v>0</v>
      </c>
      <c r="N1227" s="201" t="s">
        <v>241</v>
      </c>
      <c r="O1227" s="201">
        <v>1603262.98</v>
      </c>
      <c r="P1227" s="201">
        <v>9739.23</v>
      </c>
      <c r="Q1227" s="201">
        <f>'Mail Merge'!$O1227+'Mail Merge'!$P1227</f>
        <v>1613002.21</v>
      </c>
      <c r="R1227" s="201"/>
      <c r="S1227" s="201"/>
      <c r="T1227" s="201"/>
      <c r="U1227" s="201">
        <f>IF(AND('Mail Merge'!$I1227="Did Not Meet",'Mail Merge'!$N1227="Did Not Meet"),MIN(ABS('Mail Merge'!$H1227),ABS('Mail Merge'!$M1227),'Mail Merge'!$Q1227),0)</f>
        <v>0</v>
      </c>
      <c r="V1227" s="201" t="str">
        <f>IF(OR(IFERROR(SEARCH("Met",'Mail Merge'!$N1227),0)&gt;0,IFERROR(SEARCH("Met",'Mail Merge'!$I1227),0)&gt;0),"Met","Not Met")</f>
        <v>Met</v>
      </c>
    </row>
    <row r="1228" spans="1:22" x14ac:dyDescent="0.35">
      <c r="A1228" s="198" t="s">
        <v>66</v>
      </c>
      <c r="B1228" s="199">
        <v>2253</v>
      </c>
      <c r="C1228" s="199" t="s">
        <v>18</v>
      </c>
      <c r="D1228" s="199">
        <v>132</v>
      </c>
      <c r="E1228" s="199">
        <v>939115.14</v>
      </c>
      <c r="F1228" s="199">
        <v>56891.83</v>
      </c>
      <c r="G1228" s="199">
        <f>'Mail Merge'!$E1228+'Mail Merge'!$F1228</f>
        <v>996006.97</v>
      </c>
      <c r="H1228" s="199">
        <v>0</v>
      </c>
      <c r="I1228" s="199" t="s">
        <v>241</v>
      </c>
      <c r="J1228" s="202">
        <f>IFERROR('Mail Merge'!$E1228/'Mail Merge'!$D1228,0)</f>
        <v>7114.5086363636365</v>
      </c>
      <c r="K1228" s="199">
        <f>IFERROR('Mail Merge'!$F1228/'Mail Merge'!$D1228,0)</f>
        <v>430.99871212121212</v>
      </c>
      <c r="L1228" s="203">
        <f>IFERROR('Mail Merge'!$G1228/'Mail Merge'!$D1228,0)</f>
        <v>7545.5073484848481</v>
      </c>
      <c r="M1228" s="199">
        <v>5911.55</v>
      </c>
      <c r="N1228" s="199" t="s">
        <v>240</v>
      </c>
      <c r="O1228" s="199">
        <v>150229.57999999999</v>
      </c>
      <c r="P1228" s="199">
        <v>1247.6400000000001</v>
      </c>
      <c r="Q1228" s="199">
        <f>'Mail Merge'!$O1228+'Mail Merge'!$P1228</f>
        <v>151477.22</v>
      </c>
      <c r="R1228" s="199"/>
      <c r="S1228" s="199"/>
      <c r="T1228" s="199">
        <v>399.78</v>
      </c>
      <c r="U1228" s="199">
        <f>IF(AND('Mail Merge'!$I1228="Did Not Meet",'Mail Merge'!$N1228="Did Not Meet"),MIN(ABS('Mail Merge'!$H1228),ABS('Mail Merge'!$M1228),'Mail Merge'!$Q1228),0)</f>
        <v>0</v>
      </c>
      <c r="V1228" s="199" t="str">
        <f>IF(OR(IFERROR(SEARCH("Met",'Mail Merge'!$N1228),0)&gt;0,IFERROR(SEARCH("Met",'Mail Merge'!$I1228),0)&gt;0),"Met","Not Met")</f>
        <v>Met</v>
      </c>
    </row>
    <row r="1229" spans="1:22" x14ac:dyDescent="0.35">
      <c r="A1229" s="200" t="s">
        <v>67</v>
      </c>
      <c r="B1229" s="201">
        <v>2011</v>
      </c>
      <c r="C1229" s="201" t="s">
        <v>18</v>
      </c>
      <c r="D1229" s="201">
        <v>3</v>
      </c>
      <c r="E1229" s="201">
        <v>2445.12</v>
      </c>
      <c r="F1229" s="201">
        <v>81627.960000000006</v>
      </c>
      <c r="G1229" s="201">
        <f>'Mail Merge'!$E1229+'Mail Merge'!$F1229</f>
        <v>84073.08</v>
      </c>
      <c r="H1229" s="201">
        <v>0</v>
      </c>
      <c r="I1229" s="201" t="s">
        <v>241</v>
      </c>
      <c r="J1229" s="204">
        <f>IFERROR('Mail Merge'!$E1229/'Mail Merge'!$D1229,0)</f>
        <v>815.04</v>
      </c>
      <c r="K1229" s="201">
        <f>IFERROR('Mail Merge'!$F1229/'Mail Merge'!$D1229,0)</f>
        <v>27209.320000000003</v>
      </c>
      <c r="L1229" s="205">
        <f>IFERROR('Mail Merge'!$G1229/'Mail Merge'!$D1229,0)</f>
        <v>28024.36</v>
      </c>
      <c r="M1229" s="201">
        <v>0</v>
      </c>
      <c r="N1229" s="201" t="s">
        <v>241</v>
      </c>
      <c r="O1229" s="201">
        <v>7924.65</v>
      </c>
      <c r="P1229" s="201">
        <v>1940.77</v>
      </c>
      <c r="Q1229" s="201">
        <f>'Mail Merge'!$O1229+'Mail Merge'!$P1229</f>
        <v>9865.42</v>
      </c>
      <c r="R1229" s="201"/>
      <c r="S1229" s="201"/>
      <c r="T1229" s="201"/>
      <c r="U1229" s="201">
        <f>IF(AND('Mail Merge'!$I1229="Did Not Meet",'Mail Merge'!$N1229="Did Not Meet"),MIN(ABS('Mail Merge'!$H1229),ABS('Mail Merge'!$M1229),'Mail Merge'!$Q1229),0)</f>
        <v>0</v>
      </c>
      <c r="V1229" s="201" t="str">
        <f>IF(OR(IFERROR(SEARCH("Met",'Mail Merge'!$N1229),0)&gt;0,IFERROR(SEARCH("Met",'Mail Merge'!$I1229),0)&gt;0),"Met","Not Met")</f>
        <v>Met</v>
      </c>
    </row>
    <row r="1230" spans="1:22" x14ac:dyDescent="0.35">
      <c r="A1230" s="198" t="s">
        <v>68</v>
      </c>
      <c r="B1230" s="199">
        <v>2017</v>
      </c>
      <c r="C1230" s="199" t="s">
        <v>18</v>
      </c>
      <c r="D1230" s="199">
        <v>0</v>
      </c>
      <c r="E1230" s="199">
        <v>0</v>
      </c>
      <c r="F1230" s="199">
        <v>3045</v>
      </c>
      <c r="G1230" s="199">
        <f>'Mail Merge'!$E1230+'Mail Merge'!$F1230</f>
        <v>3045</v>
      </c>
      <c r="H1230" s="199">
        <v>3146</v>
      </c>
      <c r="I1230" s="199" t="s">
        <v>240</v>
      </c>
      <c r="J1230" s="202">
        <f>IFERROR('Mail Merge'!$E1230/'Mail Merge'!$D1230,0)</f>
        <v>0</v>
      </c>
      <c r="K1230" s="199">
        <f>IFERROR('Mail Merge'!$F1230/'Mail Merge'!$D1230,0)</f>
        <v>0</v>
      </c>
      <c r="L1230" s="203">
        <f>IFERROR('Mail Merge'!$G1230/'Mail Merge'!$D1230,0)</f>
        <v>0</v>
      </c>
      <c r="M1230" s="199">
        <v>0</v>
      </c>
      <c r="N1230" s="199" t="s">
        <v>241</v>
      </c>
      <c r="O1230" s="199">
        <v>0</v>
      </c>
      <c r="P1230" s="199">
        <v>0</v>
      </c>
      <c r="Q1230" s="199">
        <f>'Mail Merge'!$O1230+'Mail Merge'!$P1230</f>
        <v>0</v>
      </c>
      <c r="R1230" s="199"/>
      <c r="S1230" s="199">
        <v>0</v>
      </c>
      <c r="T1230" s="199"/>
      <c r="U1230" s="199">
        <f>IF(AND('Mail Merge'!$I1230="Did Not Meet",'Mail Merge'!$N1230="Did Not Meet"),MIN(ABS('Mail Merge'!$H1230),ABS('Mail Merge'!$M1230),'Mail Merge'!$Q1230),0)</f>
        <v>0</v>
      </c>
      <c r="V1230" s="199" t="str">
        <f>IF(OR(IFERROR(SEARCH("Met",'Mail Merge'!$N1230),0)&gt;0,IFERROR(SEARCH("Met",'Mail Merge'!$I1230),0)&gt;0),"Met","Not Met")</f>
        <v>Met</v>
      </c>
    </row>
    <row r="1231" spans="1:22" x14ac:dyDescent="0.35">
      <c r="A1231" s="200" t="s">
        <v>69</v>
      </c>
      <c r="B1231" s="201">
        <v>2021</v>
      </c>
      <c r="C1231" s="201" t="s">
        <v>18</v>
      </c>
      <c r="D1231" s="201">
        <v>0</v>
      </c>
      <c r="E1231" s="201">
        <v>2378.41</v>
      </c>
      <c r="F1231" s="201">
        <v>3045</v>
      </c>
      <c r="G1231" s="201">
        <f>'Mail Merge'!$E1231+'Mail Merge'!$F1231</f>
        <v>5423.41</v>
      </c>
      <c r="H1231" s="201">
        <v>0</v>
      </c>
      <c r="I1231" s="201" t="s">
        <v>241</v>
      </c>
      <c r="J1231" s="204">
        <f>IFERROR('Mail Merge'!$E1231/'Mail Merge'!$D1231,0)</f>
        <v>0</v>
      </c>
      <c r="K1231" s="201">
        <f>IFERROR('Mail Merge'!$F1231/'Mail Merge'!$D1231,0)</f>
        <v>0</v>
      </c>
      <c r="L1231" s="205">
        <f>IFERROR('Mail Merge'!$G1231/'Mail Merge'!$D1231,0)</f>
        <v>0</v>
      </c>
      <c r="M1231" s="201">
        <v>0</v>
      </c>
      <c r="N1231" s="201" t="s">
        <v>241</v>
      </c>
      <c r="O1231" s="201">
        <v>0</v>
      </c>
      <c r="P1231" s="201">
        <v>0</v>
      </c>
      <c r="Q1231" s="201">
        <f>'Mail Merge'!$O1231+'Mail Merge'!$P1231</f>
        <v>0</v>
      </c>
      <c r="R1231" s="201"/>
      <c r="S1231" s="201"/>
      <c r="T1231" s="201"/>
      <c r="U1231" s="201">
        <f>IF(AND('Mail Merge'!$I1231="Did Not Meet",'Mail Merge'!$N1231="Did Not Meet"),MIN(ABS('Mail Merge'!$H1231),ABS('Mail Merge'!$M1231),'Mail Merge'!$Q1231),0)</f>
        <v>0</v>
      </c>
      <c r="V1231" s="201" t="str">
        <f>IF(OR(IFERROR(SEARCH("Met",'Mail Merge'!$N1231),0)&gt;0,IFERROR(SEARCH("Met",'Mail Merge'!$I1231),0)&gt;0),"Met","Not Met")</f>
        <v>Met</v>
      </c>
    </row>
    <row r="1232" spans="1:22" x14ac:dyDescent="0.35">
      <c r="A1232" s="198" t="s">
        <v>70</v>
      </c>
      <c r="B1232" s="199">
        <v>1993</v>
      </c>
      <c r="C1232" s="199" t="s">
        <v>18</v>
      </c>
      <c r="D1232" s="199">
        <v>21</v>
      </c>
      <c r="E1232" s="199">
        <v>159902.84</v>
      </c>
      <c r="F1232" s="199">
        <v>35556.85</v>
      </c>
      <c r="G1232" s="199">
        <f>'Mail Merge'!$E1232+'Mail Merge'!$F1232</f>
        <v>195459.69</v>
      </c>
      <c r="H1232" s="199">
        <v>0</v>
      </c>
      <c r="I1232" s="199" t="s">
        <v>241</v>
      </c>
      <c r="J1232" s="202">
        <f>IFERROR('Mail Merge'!$E1232/'Mail Merge'!$D1232,0)</f>
        <v>7614.4209523809523</v>
      </c>
      <c r="K1232" s="199">
        <f>IFERROR('Mail Merge'!$F1232/'Mail Merge'!$D1232,0)</f>
        <v>1693.1833333333332</v>
      </c>
      <c r="L1232" s="203">
        <f>IFERROR('Mail Merge'!$G1232/'Mail Merge'!$D1232,0)</f>
        <v>9307.6042857142857</v>
      </c>
      <c r="M1232" s="199">
        <v>0</v>
      </c>
      <c r="N1232" s="199" t="s">
        <v>241</v>
      </c>
      <c r="O1232" s="199">
        <v>32793.360000000001</v>
      </c>
      <c r="P1232" s="199">
        <v>727.79</v>
      </c>
      <c r="Q1232" s="199">
        <f>'Mail Merge'!$O1232+'Mail Merge'!$P1232</f>
        <v>33521.15</v>
      </c>
      <c r="R1232" s="199"/>
      <c r="S1232" s="199"/>
      <c r="T1232" s="199"/>
      <c r="U1232" s="199">
        <f>IF(AND('Mail Merge'!$I1232="Did Not Meet",'Mail Merge'!$N1232="Did Not Meet"),MIN(ABS('Mail Merge'!$H1232),ABS('Mail Merge'!$M1232),'Mail Merge'!$Q1232),0)</f>
        <v>0</v>
      </c>
      <c r="V1232" s="199" t="str">
        <f>IF(OR(IFERROR(SEARCH("Met",'Mail Merge'!$N1232),0)&gt;0,IFERROR(SEARCH("Met",'Mail Merge'!$I1232),0)&gt;0),"Met","Not Met")</f>
        <v>Met</v>
      </c>
    </row>
    <row r="1233" spans="1:22" x14ac:dyDescent="0.35">
      <c r="A1233" s="200" t="s">
        <v>71</v>
      </c>
      <c r="B1233" s="201">
        <v>1991</v>
      </c>
      <c r="C1233" s="201" t="s">
        <v>18</v>
      </c>
      <c r="D1233" s="201">
        <v>650</v>
      </c>
      <c r="E1233" s="201">
        <v>5583344.6399999997</v>
      </c>
      <c r="F1233" s="201">
        <v>1547682.52</v>
      </c>
      <c r="G1233" s="201">
        <f>'Mail Merge'!$E1233+'Mail Merge'!$F1233</f>
        <v>7131027.1600000001</v>
      </c>
      <c r="H1233" s="201">
        <v>0</v>
      </c>
      <c r="I1233" s="201" t="s">
        <v>241</v>
      </c>
      <c r="J1233" s="204">
        <f>IFERROR('Mail Merge'!$E1233/'Mail Merge'!$D1233,0)</f>
        <v>8589.7609846153846</v>
      </c>
      <c r="K1233" s="201">
        <f>IFERROR('Mail Merge'!$F1233/'Mail Merge'!$D1233,0)</f>
        <v>2381.0500307692309</v>
      </c>
      <c r="L1233" s="205">
        <f>IFERROR('Mail Merge'!$G1233/'Mail Merge'!$D1233,0)</f>
        <v>10970.811015384616</v>
      </c>
      <c r="M1233" s="201">
        <v>246935.57</v>
      </c>
      <c r="N1233" s="201" t="s">
        <v>240</v>
      </c>
      <c r="O1233" s="201">
        <v>936653.45</v>
      </c>
      <c r="P1233" s="201">
        <v>10806.56</v>
      </c>
      <c r="Q1233" s="201">
        <f>'Mail Merge'!$O1233+'Mail Merge'!$P1233</f>
        <v>947460.01</v>
      </c>
      <c r="R1233" s="201"/>
      <c r="S1233" s="201"/>
      <c r="T1233" s="201">
        <v>0</v>
      </c>
      <c r="U1233" s="201">
        <f>IF(AND('Mail Merge'!$I1233="Did Not Meet",'Mail Merge'!$N1233="Did Not Meet"),MIN(ABS('Mail Merge'!$H1233),ABS('Mail Merge'!$M1233),'Mail Merge'!$Q1233),0)</f>
        <v>0</v>
      </c>
      <c r="V1233" s="201" t="str">
        <f>IF(OR(IFERROR(SEARCH("Met",'Mail Merge'!$N1233),0)&gt;0,IFERROR(SEARCH("Met",'Mail Merge'!$I1233),0)&gt;0),"Met","Not Met")</f>
        <v>Met</v>
      </c>
    </row>
    <row r="1234" spans="1:22" x14ac:dyDescent="0.35">
      <c r="A1234" s="198" t="s">
        <v>72</v>
      </c>
      <c r="B1234" s="199">
        <v>2019</v>
      </c>
      <c r="C1234" s="199" t="s">
        <v>18</v>
      </c>
      <c r="D1234" s="199">
        <v>1</v>
      </c>
      <c r="E1234" s="199">
        <v>5952.18</v>
      </c>
      <c r="F1234" s="199">
        <v>3045</v>
      </c>
      <c r="G1234" s="199">
        <f>'Mail Merge'!$E1234+'Mail Merge'!$F1234</f>
        <v>8997.18</v>
      </c>
      <c r="H1234" s="199">
        <v>310.54000000000002</v>
      </c>
      <c r="I1234" s="199" t="s">
        <v>240</v>
      </c>
      <c r="J1234" s="202">
        <f>IFERROR('Mail Merge'!$E1234/'Mail Merge'!$D1234,0)</f>
        <v>5952.18</v>
      </c>
      <c r="K1234" s="199">
        <f>IFERROR('Mail Merge'!$F1234/'Mail Merge'!$D1234,0)</f>
        <v>3045</v>
      </c>
      <c r="L1234" s="203">
        <f>IFERROR('Mail Merge'!$G1234/'Mail Merge'!$D1234,0)</f>
        <v>8997.18</v>
      </c>
      <c r="M1234" s="199">
        <v>310.54000000000002</v>
      </c>
      <c r="N1234" s="199" t="s">
        <v>240</v>
      </c>
      <c r="O1234" s="199">
        <v>0</v>
      </c>
      <c r="P1234" s="199">
        <v>0</v>
      </c>
      <c r="Q1234" s="199">
        <f>'Mail Merge'!$O1234+'Mail Merge'!$P1234</f>
        <v>0</v>
      </c>
      <c r="R1234" s="199"/>
      <c r="S1234" s="199">
        <v>0</v>
      </c>
      <c r="T1234" s="199">
        <v>0</v>
      </c>
      <c r="U1234" s="199">
        <f>IF(AND('Mail Merge'!$I1234="Did Not Meet",'Mail Merge'!$N1234="Did Not Meet"),MIN(ABS('Mail Merge'!$H1234),ABS('Mail Merge'!$M1234),'Mail Merge'!$Q1234),0)</f>
        <v>0</v>
      </c>
      <c r="V1234" s="199" t="str">
        <f>IF(OR(IFERROR(SEARCH("Met",'Mail Merge'!$N1234),0)&gt;0,IFERROR(SEARCH("Met",'Mail Merge'!$I1234),0)&gt;0),"Met","Not Met")</f>
        <v>Not Met</v>
      </c>
    </row>
    <row r="1235" spans="1:22" x14ac:dyDescent="0.35">
      <c r="A1235" s="200" t="s">
        <v>73</v>
      </c>
      <c r="B1235" s="201">
        <v>2229</v>
      </c>
      <c r="C1235" s="201" t="s">
        <v>18</v>
      </c>
      <c r="D1235" s="201">
        <v>38</v>
      </c>
      <c r="E1235" s="201">
        <v>206132.57</v>
      </c>
      <c r="F1235" s="201">
        <v>0</v>
      </c>
      <c r="G1235" s="201">
        <f>'Mail Merge'!$E1235+'Mail Merge'!$F1235</f>
        <v>206132.57</v>
      </c>
      <c r="H1235" s="201">
        <v>0</v>
      </c>
      <c r="I1235" s="201" t="s">
        <v>241</v>
      </c>
      <c r="J1235" s="204">
        <f>IFERROR('Mail Merge'!$E1235/'Mail Merge'!$D1235,0)</f>
        <v>5424.5413157894736</v>
      </c>
      <c r="K1235" s="201">
        <f>IFERROR('Mail Merge'!$F1235/'Mail Merge'!$D1235,0)</f>
        <v>0</v>
      </c>
      <c r="L1235" s="205">
        <f>IFERROR('Mail Merge'!$G1235/'Mail Merge'!$D1235,0)</f>
        <v>5424.5413157894736</v>
      </c>
      <c r="M1235" s="201">
        <v>0</v>
      </c>
      <c r="N1235" s="201" t="s">
        <v>242</v>
      </c>
      <c r="O1235" s="201">
        <v>46856.86</v>
      </c>
      <c r="P1235" s="201">
        <v>485.19</v>
      </c>
      <c r="Q1235" s="201">
        <f>'Mail Merge'!$O1235+'Mail Merge'!$P1235</f>
        <v>47342.05</v>
      </c>
      <c r="R1235" s="201"/>
      <c r="S1235" s="201"/>
      <c r="T1235" s="201">
        <v>1254.6300000000001</v>
      </c>
      <c r="U1235" s="201">
        <f>IF(AND('Mail Merge'!$I1235="Did Not Meet",'Mail Merge'!$N1235="Did Not Meet"),MIN(ABS('Mail Merge'!$H1235),ABS('Mail Merge'!$M1235),'Mail Merge'!$Q1235),0)</f>
        <v>0</v>
      </c>
      <c r="V1235" s="201" t="str">
        <f>IF(OR(IFERROR(SEARCH("Met",'Mail Merge'!$N1235),0)&gt;0,IFERROR(SEARCH("Met",'Mail Merge'!$I1235),0)&gt;0),"Met","Not Met")</f>
        <v>Met</v>
      </c>
    </row>
    <row r="1236" spans="1:22" x14ac:dyDescent="0.35">
      <c r="A1236" s="198" t="s">
        <v>74</v>
      </c>
      <c r="B1236" s="199">
        <v>2043</v>
      </c>
      <c r="C1236" s="199" t="s">
        <v>18</v>
      </c>
      <c r="D1236" s="199">
        <v>512</v>
      </c>
      <c r="E1236" s="199">
        <v>3602703.09</v>
      </c>
      <c r="F1236" s="199">
        <v>202464.36</v>
      </c>
      <c r="G1236" s="199">
        <f>'Mail Merge'!$E1236+'Mail Merge'!$F1236</f>
        <v>3805167.4499999997</v>
      </c>
      <c r="H1236" s="199">
        <v>0</v>
      </c>
      <c r="I1236" s="199" t="s">
        <v>241</v>
      </c>
      <c r="J1236" s="202">
        <f>IFERROR('Mail Merge'!$E1236/'Mail Merge'!$D1236,0)</f>
        <v>7036.5294726562497</v>
      </c>
      <c r="K1236" s="199">
        <f>IFERROR('Mail Merge'!$F1236/'Mail Merge'!$D1236,0)</f>
        <v>395.43820312499997</v>
      </c>
      <c r="L1236" s="203">
        <f>IFERROR('Mail Merge'!$G1236/'Mail Merge'!$D1236,0)</f>
        <v>7431.9676757812495</v>
      </c>
      <c r="M1236" s="199">
        <v>96648.53</v>
      </c>
      <c r="N1236" s="199" t="s">
        <v>240</v>
      </c>
      <c r="O1236" s="199">
        <v>662531.72</v>
      </c>
      <c r="P1236" s="199">
        <v>4552.42</v>
      </c>
      <c r="Q1236" s="199">
        <f>'Mail Merge'!$O1236+'Mail Merge'!$P1236</f>
        <v>667084.14</v>
      </c>
      <c r="R1236" s="199"/>
      <c r="S1236" s="199"/>
      <c r="T1236" s="199">
        <v>243.98</v>
      </c>
      <c r="U1236" s="199">
        <f>IF(AND('Mail Merge'!$I1236="Did Not Meet",'Mail Merge'!$N1236="Did Not Meet"),MIN(ABS('Mail Merge'!$H1236),ABS('Mail Merge'!$M1236),'Mail Merge'!$Q1236),0)</f>
        <v>0</v>
      </c>
      <c r="V1236" s="199" t="str">
        <f>IF(OR(IFERROR(SEARCH("Met",'Mail Merge'!$N1236),0)&gt;0,IFERROR(SEARCH("Met",'Mail Merge'!$I1236),0)&gt;0),"Met","Not Met")</f>
        <v>Met</v>
      </c>
    </row>
    <row r="1237" spans="1:22" x14ac:dyDescent="0.35">
      <c r="A1237" s="200" t="s">
        <v>75</v>
      </c>
      <c r="B1237" s="201">
        <v>2203</v>
      </c>
      <c r="C1237" s="201" t="s">
        <v>18</v>
      </c>
      <c r="D1237" s="201">
        <v>41</v>
      </c>
      <c r="E1237" s="201">
        <v>141682.51999999999</v>
      </c>
      <c r="F1237" s="201">
        <v>61365.5</v>
      </c>
      <c r="G1237" s="201">
        <f>'Mail Merge'!$E1237+'Mail Merge'!$F1237</f>
        <v>203048.02</v>
      </c>
      <c r="H1237" s="201">
        <v>0</v>
      </c>
      <c r="I1237" s="201" t="s">
        <v>242</v>
      </c>
      <c r="J1237" s="204">
        <f>IFERROR('Mail Merge'!$E1237/'Mail Merge'!$D1237,0)</f>
        <v>3455.671219512195</v>
      </c>
      <c r="K1237" s="201">
        <f>IFERROR('Mail Merge'!$F1237/'Mail Merge'!$D1237,0)</f>
        <v>1496.719512195122</v>
      </c>
      <c r="L1237" s="205">
        <f>IFERROR('Mail Merge'!$G1237/'Mail Merge'!$D1237,0)</f>
        <v>4952.3907317073172</v>
      </c>
      <c r="M1237" s="201">
        <v>3092.77</v>
      </c>
      <c r="N1237" s="201" t="s">
        <v>240</v>
      </c>
      <c r="O1237" s="201">
        <v>44714.66</v>
      </c>
      <c r="P1237" s="201">
        <v>415.88</v>
      </c>
      <c r="Q1237" s="201">
        <f>'Mail Merge'!$O1237+'Mail Merge'!$P1237</f>
        <v>45130.54</v>
      </c>
      <c r="R1237" s="201"/>
      <c r="S1237" s="201">
        <v>19043.29</v>
      </c>
      <c r="T1237" s="201">
        <v>501.14</v>
      </c>
      <c r="U1237" s="201">
        <f>IF(AND('Mail Merge'!$I1237="Did Not Meet",'Mail Merge'!$N1237="Did Not Meet"),MIN(ABS('Mail Merge'!$H1237),ABS('Mail Merge'!$M1237),'Mail Merge'!$Q1237),0)</f>
        <v>0</v>
      </c>
      <c r="V1237" s="201" t="str">
        <f>IF(OR(IFERROR(SEARCH("Met",'Mail Merge'!$N1237),0)&gt;0,IFERROR(SEARCH("Met",'Mail Merge'!$I1237),0)&gt;0),"Met","Not Met")</f>
        <v>Met</v>
      </c>
    </row>
    <row r="1238" spans="1:22" x14ac:dyDescent="0.35">
      <c r="A1238" s="198" t="s">
        <v>76</v>
      </c>
      <c r="B1238" s="199">
        <v>2217</v>
      </c>
      <c r="C1238" s="199" t="s">
        <v>18</v>
      </c>
      <c r="D1238" s="199">
        <v>54</v>
      </c>
      <c r="E1238" s="199">
        <v>208809.07</v>
      </c>
      <c r="F1238" s="199">
        <v>149842.12</v>
      </c>
      <c r="G1238" s="199">
        <f>'Mail Merge'!$E1238+'Mail Merge'!$F1238</f>
        <v>358651.19</v>
      </c>
      <c r="H1238" s="199">
        <v>110536.45</v>
      </c>
      <c r="I1238" s="199" t="s">
        <v>240</v>
      </c>
      <c r="J1238" s="202">
        <f>IFERROR('Mail Merge'!$E1238/'Mail Merge'!$D1238,0)</f>
        <v>3866.8346296296299</v>
      </c>
      <c r="K1238" s="199">
        <f>IFERROR('Mail Merge'!$F1238/'Mail Merge'!$D1238,0)</f>
        <v>2774.8540740740741</v>
      </c>
      <c r="L1238" s="203">
        <f>IFERROR('Mail Merge'!$G1238/'Mail Merge'!$D1238,0)</f>
        <v>6641.688703703704</v>
      </c>
      <c r="M1238" s="199">
        <v>157033.63</v>
      </c>
      <c r="N1238" s="199" t="s">
        <v>240</v>
      </c>
      <c r="O1238" s="199">
        <v>70779.460000000006</v>
      </c>
      <c r="P1238" s="199">
        <v>194.08</v>
      </c>
      <c r="Q1238" s="199">
        <f>'Mail Merge'!$O1238+'Mail Merge'!$P1238</f>
        <v>70973.540000000008</v>
      </c>
      <c r="R1238" s="199"/>
      <c r="S1238" s="199">
        <v>0</v>
      </c>
      <c r="T1238" s="199">
        <v>0</v>
      </c>
      <c r="U1238" s="199">
        <f>IF(AND('Mail Merge'!$I1238="Did Not Meet",'Mail Merge'!$N1238="Did Not Meet"),MIN(ABS('Mail Merge'!$H1238),ABS('Mail Merge'!$M1238),'Mail Merge'!$Q1238),0)</f>
        <v>70973.540000000008</v>
      </c>
      <c r="V1238" s="199" t="str">
        <f>IF(OR(IFERROR(SEARCH("Met",'Mail Merge'!$N1238),0)&gt;0,IFERROR(SEARCH("Met",'Mail Merge'!$I1238),0)&gt;0),"Met","Not Met")</f>
        <v>Not Met</v>
      </c>
    </row>
    <row r="1239" spans="1:22" x14ac:dyDescent="0.35">
      <c r="A1239" s="200" t="s">
        <v>77</v>
      </c>
      <c r="B1239" s="201">
        <v>1998</v>
      </c>
      <c r="C1239" s="201" t="s">
        <v>18</v>
      </c>
      <c r="D1239" s="201">
        <v>26</v>
      </c>
      <c r="E1239" s="201">
        <v>105529.4</v>
      </c>
      <c r="F1239" s="201">
        <v>44499.97</v>
      </c>
      <c r="G1239" s="201">
        <f>'Mail Merge'!$E1239+'Mail Merge'!$F1239</f>
        <v>150029.37</v>
      </c>
      <c r="H1239" s="201">
        <v>0</v>
      </c>
      <c r="I1239" s="201" t="s">
        <v>242</v>
      </c>
      <c r="J1239" s="204">
        <f>IFERROR('Mail Merge'!$E1239/'Mail Merge'!$D1239,0)</f>
        <v>4058.8230769230768</v>
      </c>
      <c r="K1239" s="201">
        <f>IFERROR('Mail Merge'!$F1239/'Mail Merge'!$D1239,0)</f>
        <v>1711.5373076923076</v>
      </c>
      <c r="L1239" s="205">
        <f>IFERROR('Mail Merge'!$G1239/'Mail Merge'!$D1239,0)</f>
        <v>5770.3603846153846</v>
      </c>
      <c r="M1239" s="201">
        <v>0</v>
      </c>
      <c r="N1239" s="201" t="s">
        <v>241</v>
      </c>
      <c r="O1239" s="201">
        <v>64819.91</v>
      </c>
      <c r="P1239" s="201">
        <v>485.19</v>
      </c>
      <c r="Q1239" s="201">
        <f>'Mail Merge'!$O1239+'Mail Merge'!$P1239</f>
        <v>65305.100000000006</v>
      </c>
      <c r="R1239" s="201"/>
      <c r="S1239" s="201">
        <v>106051.64</v>
      </c>
      <c r="T1239" s="201"/>
      <c r="U1239" s="201">
        <f>IF(AND('Mail Merge'!$I1239="Did Not Meet",'Mail Merge'!$N1239="Did Not Meet"),MIN(ABS('Mail Merge'!$H1239),ABS('Mail Merge'!$M1239),'Mail Merge'!$Q1239),0)</f>
        <v>0</v>
      </c>
      <c r="V1239" s="201" t="str">
        <f>IF(OR(IFERROR(SEARCH("Met",'Mail Merge'!$N1239),0)&gt;0,IFERROR(SEARCH("Met",'Mail Merge'!$I1239),0)&gt;0),"Met","Not Met")</f>
        <v>Met</v>
      </c>
    </row>
    <row r="1240" spans="1:22" x14ac:dyDescent="0.35">
      <c r="A1240" s="198" t="s">
        <v>78</v>
      </c>
      <c r="B1240" s="199">
        <v>2221</v>
      </c>
      <c r="C1240" s="199" t="s">
        <v>18</v>
      </c>
      <c r="D1240" s="199">
        <v>56</v>
      </c>
      <c r="E1240" s="199">
        <v>37921.919999999998</v>
      </c>
      <c r="F1240" s="199">
        <v>299719.15000000002</v>
      </c>
      <c r="G1240" s="199">
        <f>'Mail Merge'!$E1240+'Mail Merge'!$F1240</f>
        <v>337641.07</v>
      </c>
      <c r="H1240" s="199">
        <v>0</v>
      </c>
      <c r="I1240" s="199" t="s">
        <v>241</v>
      </c>
      <c r="J1240" s="202">
        <f>IFERROR('Mail Merge'!$E1240/'Mail Merge'!$D1240,0)</f>
        <v>677.17714285714283</v>
      </c>
      <c r="K1240" s="199">
        <f>IFERROR('Mail Merge'!$F1240/'Mail Merge'!$D1240,0)</f>
        <v>5352.127678571429</v>
      </c>
      <c r="L1240" s="203">
        <f>IFERROR('Mail Merge'!$G1240/'Mail Merge'!$D1240,0)</f>
        <v>6029.3048214285718</v>
      </c>
      <c r="M1240" s="199">
        <v>0</v>
      </c>
      <c r="N1240" s="199" t="s">
        <v>241</v>
      </c>
      <c r="O1240" s="199">
        <v>90238.59</v>
      </c>
      <c r="P1240" s="199">
        <v>404.33</v>
      </c>
      <c r="Q1240" s="199">
        <f>'Mail Merge'!$O1240+'Mail Merge'!$P1240</f>
        <v>90642.92</v>
      </c>
      <c r="R1240" s="199"/>
      <c r="S1240" s="199"/>
      <c r="T1240" s="199"/>
      <c r="U1240" s="199">
        <f>IF(AND('Mail Merge'!$I1240="Did Not Meet",'Mail Merge'!$N1240="Did Not Meet"),MIN(ABS('Mail Merge'!$H1240),ABS('Mail Merge'!$M1240),'Mail Merge'!$Q1240),0)</f>
        <v>0</v>
      </c>
      <c r="V1240" s="199" t="str">
        <f>IF(OR(IFERROR(SEARCH("Met",'Mail Merge'!$N1240),0)&gt;0,IFERROR(SEARCH("Met",'Mail Merge'!$I1240),0)&gt;0),"Met","Not Met")</f>
        <v>Met</v>
      </c>
    </row>
    <row r="1241" spans="1:22" x14ac:dyDescent="0.35">
      <c r="A1241" s="200" t="s">
        <v>79</v>
      </c>
      <c r="B1241" s="201">
        <v>1930</v>
      </c>
      <c r="C1241" s="201" t="s">
        <v>18</v>
      </c>
      <c r="D1241" s="201">
        <v>278</v>
      </c>
      <c r="E1241" s="201">
        <v>2560393.12</v>
      </c>
      <c r="F1241" s="201">
        <v>518952</v>
      </c>
      <c r="G1241" s="201">
        <f>'Mail Merge'!$E1241+'Mail Merge'!$F1241</f>
        <v>3079345.12</v>
      </c>
      <c r="H1241" s="201">
        <v>0</v>
      </c>
      <c r="I1241" s="201" t="s">
        <v>241</v>
      </c>
      <c r="J1241" s="204">
        <f>IFERROR('Mail Merge'!$E1241/'Mail Merge'!$D1241,0)</f>
        <v>9210.0471942446038</v>
      </c>
      <c r="K1241" s="201">
        <f>IFERROR('Mail Merge'!$F1241/'Mail Merge'!$D1241,0)</f>
        <v>1866.7338129496402</v>
      </c>
      <c r="L1241" s="205">
        <f>IFERROR('Mail Merge'!$G1241/'Mail Merge'!$D1241,0)</f>
        <v>11076.781007194246</v>
      </c>
      <c r="M1241" s="201">
        <v>0</v>
      </c>
      <c r="N1241" s="201" t="s">
        <v>241</v>
      </c>
      <c r="O1241" s="201">
        <v>429315.26</v>
      </c>
      <c r="P1241" s="201">
        <v>3453.43</v>
      </c>
      <c r="Q1241" s="201">
        <f>'Mail Merge'!$O1241+'Mail Merge'!$P1241</f>
        <v>432768.69</v>
      </c>
      <c r="R1241" s="201"/>
      <c r="S1241" s="201"/>
      <c r="T1241" s="201"/>
      <c r="U1241" s="201">
        <f>IF(AND('Mail Merge'!$I1241="Did Not Meet",'Mail Merge'!$N1241="Did Not Meet"),MIN(ABS('Mail Merge'!$H1241),ABS('Mail Merge'!$M1241),'Mail Merge'!$Q1241),0)</f>
        <v>0</v>
      </c>
      <c r="V1241" s="201" t="str">
        <f>IF(OR(IFERROR(SEARCH("Met",'Mail Merge'!$N1241),0)&gt;0,IFERROR(SEARCH("Met",'Mail Merge'!$I1241),0)&gt;0),"Met","Not Met")</f>
        <v>Met</v>
      </c>
    </row>
    <row r="1242" spans="1:22" x14ac:dyDescent="0.35">
      <c r="A1242" s="198" t="s">
        <v>80</v>
      </c>
      <c r="B1242" s="199">
        <v>2082</v>
      </c>
      <c r="C1242" s="199" t="s">
        <v>18</v>
      </c>
      <c r="D1242" s="199">
        <v>2270</v>
      </c>
      <c r="E1242" s="199">
        <v>21814271.719999999</v>
      </c>
      <c r="F1242" s="199">
        <v>2928285</v>
      </c>
      <c r="G1242" s="199">
        <f>'Mail Merge'!$E1242+'Mail Merge'!$F1242</f>
        <v>24742556.719999999</v>
      </c>
      <c r="H1242" s="199">
        <v>0</v>
      </c>
      <c r="I1242" s="199" t="s">
        <v>241</v>
      </c>
      <c r="J1242" s="202">
        <f>IFERROR('Mail Merge'!$E1242/'Mail Merge'!$D1242,0)</f>
        <v>9609.8113303964747</v>
      </c>
      <c r="K1242" s="199">
        <f>IFERROR('Mail Merge'!$F1242/'Mail Merge'!$D1242,0)</f>
        <v>1289.9933920704846</v>
      </c>
      <c r="L1242" s="203">
        <f>IFERROR('Mail Merge'!$G1242/'Mail Merge'!$D1242,0)</f>
        <v>10899.804722466959</v>
      </c>
      <c r="M1242" s="199">
        <v>206380.97</v>
      </c>
      <c r="N1242" s="199" t="s">
        <v>240</v>
      </c>
      <c r="O1242" s="199">
        <v>3118229.43</v>
      </c>
      <c r="P1242" s="199">
        <v>25001.24</v>
      </c>
      <c r="Q1242" s="199">
        <f>'Mail Merge'!$O1242+'Mail Merge'!$P1242</f>
        <v>3143230.6700000004</v>
      </c>
      <c r="R1242" s="199"/>
      <c r="S1242" s="199"/>
      <c r="T1242" s="199">
        <v>0</v>
      </c>
      <c r="U1242" s="199">
        <f>IF(AND('Mail Merge'!$I1242="Did Not Meet",'Mail Merge'!$N1242="Did Not Meet"),MIN(ABS('Mail Merge'!$H1242),ABS('Mail Merge'!$M1242),'Mail Merge'!$Q1242),0)</f>
        <v>0</v>
      </c>
      <c r="V1242" s="199" t="str">
        <f>IF(OR(IFERROR(SEARCH("Met",'Mail Merge'!$N1242),0)&gt;0,IFERROR(SEARCH("Met",'Mail Merge'!$I1242),0)&gt;0),"Met","Not Met")</f>
        <v>Met</v>
      </c>
    </row>
    <row r="1243" spans="1:22" x14ac:dyDescent="0.35">
      <c r="A1243" s="200" t="s">
        <v>81</v>
      </c>
      <c r="B1243" s="201">
        <v>2193</v>
      </c>
      <c r="C1243" s="201" t="s">
        <v>18</v>
      </c>
      <c r="D1243" s="201">
        <v>34</v>
      </c>
      <c r="E1243" s="201">
        <v>313960.78999999998</v>
      </c>
      <c r="F1243" s="201">
        <v>34552.85</v>
      </c>
      <c r="G1243" s="201">
        <f>'Mail Merge'!$E1243+'Mail Merge'!$F1243</f>
        <v>348513.63999999996</v>
      </c>
      <c r="H1243" s="201">
        <v>0</v>
      </c>
      <c r="I1243" s="201" t="s">
        <v>242</v>
      </c>
      <c r="J1243" s="204">
        <f>IFERROR('Mail Merge'!$E1243/'Mail Merge'!$D1243,0)</f>
        <v>9234.14088235294</v>
      </c>
      <c r="K1243" s="201">
        <f>IFERROR('Mail Merge'!$F1243/'Mail Merge'!$D1243,0)</f>
        <v>1016.260294117647</v>
      </c>
      <c r="L1243" s="205">
        <f>IFERROR('Mail Merge'!$G1243/'Mail Merge'!$D1243,0)</f>
        <v>10250.401176470587</v>
      </c>
      <c r="M1243" s="201">
        <v>0</v>
      </c>
      <c r="N1243" s="201" t="s">
        <v>242</v>
      </c>
      <c r="O1243" s="201">
        <v>41683.51</v>
      </c>
      <c r="P1243" s="201">
        <v>970.38</v>
      </c>
      <c r="Q1243" s="201">
        <f>'Mail Merge'!$O1243+'Mail Merge'!$P1243</f>
        <v>42653.89</v>
      </c>
      <c r="R1243" s="201"/>
      <c r="S1243" s="201">
        <v>90098.31</v>
      </c>
      <c r="T1243" s="201">
        <v>2815.57</v>
      </c>
      <c r="U1243" s="201">
        <f>IF(AND('Mail Merge'!$I1243="Did Not Meet",'Mail Merge'!$N1243="Did Not Meet"),MIN(ABS('Mail Merge'!$H1243),ABS('Mail Merge'!$M1243),'Mail Merge'!$Q1243),0)</f>
        <v>0</v>
      </c>
      <c r="V1243" s="201" t="str">
        <f>IF(OR(IFERROR(SEARCH("Met",'Mail Merge'!$N1243),0)&gt;0,IFERROR(SEARCH("Met",'Mail Merge'!$I1243),0)&gt;0),"Met","Not Met")</f>
        <v>Met</v>
      </c>
    </row>
    <row r="1244" spans="1:22" x14ac:dyDescent="0.35">
      <c r="A1244" s="198" t="s">
        <v>82</v>
      </c>
      <c r="B1244" s="199">
        <v>2084</v>
      </c>
      <c r="C1244" s="199" t="s">
        <v>18</v>
      </c>
      <c r="D1244" s="199">
        <v>251</v>
      </c>
      <c r="E1244" s="199">
        <v>2464676.66</v>
      </c>
      <c r="F1244" s="199">
        <v>423879</v>
      </c>
      <c r="G1244" s="199">
        <f>'Mail Merge'!$E1244+'Mail Merge'!$F1244</f>
        <v>2888555.66</v>
      </c>
      <c r="H1244" s="199">
        <v>0</v>
      </c>
      <c r="I1244" s="199" t="s">
        <v>241</v>
      </c>
      <c r="J1244" s="202">
        <f>IFERROR('Mail Merge'!$E1244/'Mail Merge'!$D1244,0)</f>
        <v>9819.4289243027888</v>
      </c>
      <c r="K1244" s="199">
        <f>IFERROR('Mail Merge'!$F1244/'Mail Merge'!$D1244,0)</f>
        <v>1688.7609561752988</v>
      </c>
      <c r="L1244" s="203">
        <f>IFERROR('Mail Merge'!$G1244/'Mail Merge'!$D1244,0)</f>
        <v>11508.189880478089</v>
      </c>
      <c r="M1244" s="199">
        <v>0</v>
      </c>
      <c r="N1244" s="199" t="s">
        <v>242</v>
      </c>
      <c r="O1244" s="199">
        <v>329906.3</v>
      </c>
      <c r="P1244" s="199">
        <v>1886.86</v>
      </c>
      <c r="Q1244" s="199">
        <f>'Mail Merge'!$O1244+'Mail Merge'!$P1244</f>
        <v>331793.15999999997</v>
      </c>
      <c r="R1244" s="199"/>
      <c r="S1244" s="199"/>
      <c r="T1244" s="199">
        <v>649.02</v>
      </c>
      <c r="U1244" s="199">
        <f>IF(AND('Mail Merge'!$I1244="Did Not Meet",'Mail Merge'!$N1244="Did Not Meet"),MIN(ABS('Mail Merge'!$H1244),ABS('Mail Merge'!$M1244),'Mail Merge'!$Q1244),0)</f>
        <v>0</v>
      </c>
      <c r="V1244" s="199" t="str">
        <f>IF(OR(IFERROR(SEARCH("Met",'Mail Merge'!$N1244),0)&gt;0,IFERROR(SEARCH("Met",'Mail Merge'!$I1244),0)&gt;0),"Met","Not Met")</f>
        <v>Met</v>
      </c>
    </row>
    <row r="1245" spans="1:22" x14ac:dyDescent="0.35">
      <c r="A1245" s="200" t="s">
        <v>83</v>
      </c>
      <c r="B1245" s="201">
        <v>2241</v>
      </c>
      <c r="C1245" s="201" t="s">
        <v>18</v>
      </c>
      <c r="D1245" s="201">
        <v>914</v>
      </c>
      <c r="E1245" s="201">
        <v>11407837.99</v>
      </c>
      <c r="F1245" s="201">
        <v>239298</v>
      </c>
      <c r="G1245" s="201">
        <f>'Mail Merge'!$E1245+'Mail Merge'!$F1245</f>
        <v>11647135.99</v>
      </c>
      <c r="H1245" s="201">
        <v>0</v>
      </c>
      <c r="I1245" s="201" t="s">
        <v>241</v>
      </c>
      <c r="J1245" s="204">
        <f>IFERROR('Mail Merge'!$E1245/'Mail Merge'!$D1245,0)</f>
        <v>12481.22318380744</v>
      </c>
      <c r="K1245" s="201">
        <f>IFERROR('Mail Merge'!$F1245/'Mail Merge'!$D1245,0)</f>
        <v>261.81400437636762</v>
      </c>
      <c r="L1245" s="205">
        <f>IFERROR('Mail Merge'!$G1245/'Mail Merge'!$D1245,0)</f>
        <v>12743.037188183807</v>
      </c>
      <c r="M1245" s="201">
        <v>189225.98</v>
      </c>
      <c r="N1245" s="201" t="s">
        <v>240</v>
      </c>
      <c r="O1245" s="201">
        <v>910033.37</v>
      </c>
      <c r="P1245" s="201">
        <v>5442.59</v>
      </c>
      <c r="Q1245" s="201">
        <f>'Mail Merge'!$O1245+'Mail Merge'!$P1245</f>
        <v>915475.96</v>
      </c>
      <c r="R1245" s="201"/>
      <c r="S1245" s="201"/>
      <c r="T1245" s="201">
        <v>0</v>
      </c>
      <c r="U1245" s="201">
        <f>IF(AND('Mail Merge'!$I1245="Did Not Meet",'Mail Merge'!$N1245="Did Not Meet"),MIN(ABS('Mail Merge'!$H1245),ABS('Mail Merge'!$M1245),'Mail Merge'!$Q1245),0)</f>
        <v>0</v>
      </c>
      <c r="V1245" s="201" t="str">
        <f>IF(OR(IFERROR(SEARCH("Met",'Mail Merge'!$N1245),0)&gt;0,IFERROR(SEARCH("Met",'Mail Merge'!$I1245),0)&gt;0),"Met","Not Met")</f>
        <v>Met</v>
      </c>
    </row>
    <row r="1246" spans="1:22" x14ac:dyDescent="0.35">
      <c r="A1246" s="198" t="s">
        <v>84</v>
      </c>
      <c r="B1246" s="199">
        <v>2248</v>
      </c>
      <c r="C1246" s="199" t="s">
        <v>18</v>
      </c>
      <c r="D1246" s="199">
        <v>32</v>
      </c>
      <c r="E1246" s="199">
        <v>142118.65</v>
      </c>
      <c r="F1246" s="199">
        <v>104516</v>
      </c>
      <c r="G1246" s="199">
        <f>'Mail Merge'!$E1246+'Mail Merge'!$F1246</f>
        <v>246634.65</v>
      </c>
      <c r="H1246" s="199">
        <v>0</v>
      </c>
      <c r="I1246" s="199" t="s">
        <v>241</v>
      </c>
      <c r="J1246" s="202">
        <f>IFERROR('Mail Merge'!$E1246/'Mail Merge'!$D1246,0)</f>
        <v>4441.2078124999998</v>
      </c>
      <c r="K1246" s="199">
        <f>IFERROR('Mail Merge'!$F1246/'Mail Merge'!$D1246,0)</f>
        <v>3266.125</v>
      </c>
      <c r="L1246" s="203">
        <f>IFERROR('Mail Merge'!$G1246/'Mail Merge'!$D1246,0)</f>
        <v>7707.3328124999998</v>
      </c>
      <c r="M1246" s="199">
        <v>0</v>
      </c>
      <c r="N1246" s="199" t="s">
        <v>241</v>
      </c>
      <c r="O1246" s="199">
        <v>51462.37</v>
      </c>
      <c r="P1246" s="199">
        <v>0</v>
      </c>
      <c r="Q1246" s="199">
        <f>'Mail Merge'!$O1246+'Mail Merge'!$P1246</f>
        <v>51462.37</v>
      </c>
      <c r="R1246" s="199"/>
      <c r="S1246" s="199"/>
      <c r="T1246" s="199"/>
      <c r="U1246" s="199">
        <f>IF(AND('Mail Merge'!$I1246="Did Not Meet",'Mail Merge'!$N1246="Did Not Meet"),MIN(ABS('Mail Merge'!$H1246),ABS('Mail Merge'!$M1246),'Mail Merge'!$Q1246),0)</f>
        <v>0</v>
      </c>
      <c r="V1246" s="199" t="str">
        <f>IF(OR(IFERROR(SEARCH("Met",'Mail Merge'!$N1246),0)&gt;0,IFERROR(SEARCH("Met",'Mail Merge'!$I1246),0)&gt;0),"Met","Not Met")</f>
        <v>Met</v>
      </c>
    </row>
    <row r="1247" spans="1:22" x14ac:dyDescent="0.35">
      <c r="A1247" s="200" t="s">
        <v>85</v>
      </c>
      <c r="B1247" s="201">
        <v>2020</v>
      </c>
      <c r="C1247" s="201" t="s">
        <v>18</v>
      </c>
      <c r="D1247" s="201">
        <v>22</v>
      </c>
      <c r="E1247" s="201">
        <v>93301.07</v>
      </c>
      <c r="F1247" s="201">
        <v>3045</v>
      </c>
      <c r="G1247" s="201">
        <f>'Mail Merge'!$E1247+'Mail Merge'!$F1247</f>
        <v>96346.07</v>
      </c>
      <c r="H1247" s="201">
        <v>0</v>
      </c>
      <c r="I1247" s="201" t="s">
        <v>241</v>
      </c>
      <c r="J1247" s="204">
        <f>IFERROR('Mail Merge'!$E1247/'Mail Merge'!$D1247,0)</f>
        <v>4240.9577272727274</v>
      </c>
      <c r="K1247" s="201">
        <f>IFERROR('Mail Merge'!$F1247/'Mail Merge'!$D1247,0)</f>
        <v>138.40909090909091</v>
      </c>
      <c r="L1247" s="205">
        <f>IFERROR('Mail Merge'!$G1247/'Mail Merge'!$D1247,0)</f>
        <v>4379.3668181818184</v>
      </c>
      <c r="M1247" s="201">
        <v>171568.61</v>
      </c>
      <c r="N1247" s="201" t="s">
        <v>240</v>
      </c>
      <c r="O1247" s="201">
        <v>0</v>
      </c>
      <c r="P1247" s="201">
        <v>0</v>
      </c>
      <c r="Q1247" s="201">
        <f>'Mail Merge'!$O1247+'Mail Merge'!$P1247</f>
        <v>0</v>
      </c>
      <c r="R1247" s="201"/>
      <c r="S1247" s="201"/>
      <c r="T1247" s="201">
        <v>0</v>
      </c>
      <c r="U1247" s="201">
        <f>IF(AND('Mail Merge'!$I1247="Did Not Meet",'Mail Merge'!$N1247="Did Not Meet"),MIN(ABS('Mail Merge'!$H1247),ABS('Mail Merge'!$M1247),'Mail Merge'!$Q1247),0)</f>
        <v>0</v>
      </c>
      <c r="V1247" s="201" t="str">
        <f>IF(OR(IFERROR(SEARCH("Met",'Mail Merge'!$N1247),0)&gt;0,IFERROR(SEARCH("Met",'Mail Merge'!$I1247),0)&gt;0),"Met","Not Met")</f>
        <v>Met</v>
      </c>
    </row>
    <row r="1248" spans="1:22" x14ac:dyDescent="0.35">
      <c r="A1248" s="198" t="s">
        <v>86</v>
      </c>
      <c r="B1248" s="199">
        <v>2245</v>
      </c>
      <c r="C1248" s="199" t="s">
        <v>18</v>
      </c>
      <c r="D1248" s="199">
        <v>86</v>
      </c>
      <c r="E1248" s="199">
        <v>867446.09</v>
      </c>
      <c r="F1248" s="199">
        <v>27586</v>
      </c>
      <c r="G1248" s="199">
        <f>'Mail Merge'!$E1248+'Mail Merge'!$F1248</f>
        <v>895032.09</v>
      </c>
      <c r="H1248" s="199">
        <v>0</v>
      </c>
      <c r="I1248" s="199" t="s">
        <v>241</v>
      </c>
      <c r="J1248" s="202">
        <f>IFERROR('Mail Merge'!$E1248/'Mail Merge'!$D1248,0)</f>
        <v>10086.582441860464</v>
      </c>
      <c r="K1248" s="199">
        <f>IFERROR('Mail Merge'!$F1248/'Mail Merge'!$D1248,0)</f>
        <v>320.76744186046511</v>
      </c>
      <c r="L1248" s="203">
        <f>IFERROR('Mail Merge'!$G1248/'Mail Merge'!$D1248,0)</f>
        <v>10407.34988372093</v>
      </c>
      <c r="M1248" s="199">
        <v>0</v>
      </c>
      <c r="N1248" s="199" t="s">
        <v>241</v>
      </c>
      <c r="O1248" s="199">
        <v>94835.76</v>
      </c>
      <c r="P1248" s="199">
        <v>693.13</v>
      </c>
      <c r="Q1248" s="199">
        <f>'Mail Merge'!$O1248+'Mail Merge'!$P1248</f>
        <v>95528.89</v>
      </c>
      <c r="R1248" s="199"/>
      <c r="S1248" s="199"/>
      <c r="T1248" s="199"/>
      <c r="U1248" s="199">
        <f>IF(AND('Mail Merge'!$I1248="Did Not Meet",'Mail Merge'!$N1248="Did Not Meet"),MIN(ABS('Mail Merge'!$H1248),ABS('Mail Merge'!$M1248),'Mail Merge'!$Q1248),0)</f>
        <v>0</v>
      </c>
      <c r="V1248" s="199" t="str">
        <f>IF(OR(IFERROR(SEARCH("Met",'Mail Merge'!$N1248),0)&gt;0,IFERROR(SEARCH("Met",'Mail Merge'!$I1248),0)&gt;0),"Met","Not Met")</f>
        <v>Met</v>
      </c>
    </row>
    <row r="1249" spans="1:22" x14ac:dyDescent="0.35">
      <c r="A1249" s="200" t="s">
        <v>87</v>
      </c>
      <c r="B1249" s="201">
        <v>2137</v>
      </c>
      <c r="C1249" s="201" t="s">
        <v>18</v>
      </c>
      <c r="D1249" s="201">
        <v>138</v>
      </c>
      <c r="E1249" s="201">
        <v>1326303.28</v>
      </c>
      <c r="F1249" s="201">
        <v>115404.29</v>
      </c>
      <c r="G1249" s="201">
        <f>'Mail Merge'!$E1249+'Mail Merge'!$F1249</f>
        <v>1441707.57</v>
      </c>
      <c r="H1249" s="201">
        <v>0</v>
      </c>
      <c r="I1249" s="201" t="s">
        <v>241</v>
      </c>
      <c r="J1249" s="204">
        <f>IFERROR('Mail Merge'!$E1249/'Mail Merge'!$D1249,0)</f>
        <v>9610.8933333333334</v>
      </c>
      <c r="K1249" s="201">
        <f>IFERROR('Mail Merge'!$F1249/'Mail Merge'!$D1249,0)</f>
        <v>836.26297101449268</v>
      </c>
      <c r="L1249" s="205">
        <f>IFERROR('Mail Merge'!$G1249/'Mail Merge'!$D1249,0)</f>
        <v>10447.156304347827</v>
      </c>
      <c r="M1249" s="201">
        <v>0</v>
      </c>
      <c r="N1249" s="201" t="s">
        <v>241</v>
      </c>
      <c r="O1249" s="201">
        <v>193219.85</v>
      </c>
      <c r="P1249" s="201">
        <v>522.51</v>
      </c>
      <c r="Q1249" s="201">
        <f>'Mail Merge'!$O1249+'Mail Merge'!$P1249</f>
        <v>193742.36000000002</v>
      </c>
      <c r="R1249" s="201"/>
      <c r="S1249" s="201"/>
      <c r="T1249" s="201"/>
      <c r="U1249" s="201">
        <f>IF(AND('Mail Merge'!$I1249="Did Not Meet",'Mail Merge'!$N1249="Did Not Meet"),MIN(ABS('Mail Merge'!$H1249),ABS('Mail Merge'!$M1249),'Mail Merge'!$Q1249),0)</f>
        <v>0</v>
      </c>
      <c r="V1249" s="201" t="str">
        <f>IF(OR(IFERROR(SEARCH("Met",'Mail Merge'!$N1249),0)&gt;0,IFERROR(SEARCH("Met",'Mail Merge'!$I1249),0)&gt;0),"Met","Not Met")</f>
        <v>Met</v>
      </c>
    </row>
    <row r="1250" spans="1:22" x14ac:dyDescent="0.35">
      <c r="A1250" s="198" t="s">
        <v>88</v>
      </c>
      <c r="B1250" s="199">
        <v>1931</v>
      </c>
      <c r="C1250" s="199" t="s">
        <v>18</v>
      </c>
      <c r="D1250" s="199">
        <v>267</v>
      </c>
      <c r="E1250" s="199">
        <v>3117547</v>
      </c>
      <c r="F1250" s="199">
        <v>234919</v>
      </c>
      <c r="G1250" s="199">
        <f>'Mail Merge'!$E1250+'Mail Merge'!$F1250</f>
        <v>3352466</v>
      </c>
      <c r="H1250" s="199">
        <v>0</v>
      </c>
      <c r="I1250" s="199" t="s">
        <v>241</v>
      </c>
      <c r="J1250" s="202">
        <f>IFERROR('Mail Merge'!$E1250/'Mail Merge'!$D1250,0)</f>
        <v>11676.205992509364</v>
      </c>
      <c r="K1250" s="199">
        <f>IFERROR('Mail Merge'!$F1250/'Mail Merge'!$D1250,0)</f>
        <v>879.84644194756549</v>
      </c>
      <c r="L1250" s="203">
        <f>IFERROR('Mail Merge'!$G1250/'Mail Merge'!$D1250,0)</f>
        <v>12556.052434456929</v>
      </c>
      <c r="M1250" s="199">
        <v>0</v>
      </c>
      <c r="N1250" s="199" t="s">
        <v>241</v>
      </c>
      <c r="O1250" s="199">
        <v>348431.64</v>
      </c>
      <c r="P1250" s="199">
        <v>818.76</v>
      </c>
      <c r="Q1250" s="199">
        <f>'Mail Merge'!$O1250+'Mail Merge'!$P1250</f>
        <v>349250.4</v>
      </c>
      <c r="R1250" s="199"/>
      <c r="S1250" s="199"/>
      <c r="T1250" s="199"/>
      <c r="U1250" s="199">
        <f>IF(AND('Mail Merge'!$I1250="Did Not Meet",'Mail Merge'!$N1250="Did Not Meet"),MIN(ABS('Mail Merge'!$H1250),ABS('Mail Merge'!$M1250),'Mail Merge'!$Q1250),0)</f>
        <v>0</v>
      </c>
      <c r="V1250" s="199" t="str">
        <f>IF(OR(IFERROR(SEARCH("Met",'Mail Merge'!$N1250),0)&gt;0,IFERROR(SEARCH("Met",'Mail Merge'!$I1250),0)&gt;0),"Met","Not Met")</f>
        <v>Met</v>
      </c>
    </row>
    <row r="1251" spans="1:22" x14ac:dyDescent="0.35">
      <c r="A1251" s="200" t="s">
        <v>89</v>
      </c>
      <c r="B1251" s="201">
        <v>2000</v>
      </c>
      <c r="C1251" s="201" t="s">
        <v>18</v>
      </c>
      <c r="D1251" s="201">
        <v>48</v>
      </c>
      <c r="E1251" s="201">
        <v>332600.63</v>
      </c>
      <c r="F1251" s="201">
        <v>88738.44</v>
      </c>
      <c r="G1251" s="201">
        <f>'Mail Merge'!$E1251+'Mail Merge'!$F1251</f>
        <v>421339.07</v>
      </c>
      <c r="H1251" s="201">
        <v>0</v>
      </c>
      <c r="I1251" s="201" t="s">
        <v>241</v>
      </c>
      <c r="J1251" s="204">
        <f>IFERROR('Mail Merge'!$E1251/'Mail Merge'!$D1251,0)</f>
        <v>6929.1797916666665</v>
      </c>
      <c r="K1251" s="201">
        <f>IFERROR('Mail Merge'!$F1251/'Mail Merge'!$D1251,0)</f>
        <v>1848.7175</v>
      </c>
      <c r="L1251" s="205">
        <f>IFERROR('Mail Merge'!$G1251/'Mail Merge'!$D1251,0)</f>
        <v>8777.8972916666662</v>
      </c>
      <c r="M1251" s="201">
        <v>0</v>
      </c>
      <c r="N1251" s="201" t="s">
        <v>241</v>
      </c>
      <c r="O1251" s="201">
        <v>61987.22</v>
      </c>
      <c r="P1251" s="201">
        <v>269.55</v>
      </c>
      <c r="Q1251" s="201">
        <f>'Mail Merge'!$O1251+'Mail Merge'!$P1251</f>
        <v>62256.770000000004</v>
      </c>
      <c r="R1251" s="201"/>
      <c r="S1251" s="201"/>
      <c r="T1251" s="201"/>
      <c r="U1251" s="201">
        <f>IF(AND('Mail Merge'!$I1251="Did Not Meet",'Mail Merge'!$N1251="Did Not Meet"),MIN(ABS('Mail Merge'!$H1251),ABS('Mail Merge'!$M1251),'Mail Merge'!$Q1251),0)</f>
        <v>0</v>
      </c>
      <c r="V1251" s="201" t="str">
        <f>IF(OR(IFERROR(SEARCH("Met",'Mail Merge'!$N1251),0)&gt;0,IFERROR(SEARCH("Met",'Mail Merge'!$I1251),0)&gt;0),"Met","Not Met")</f>
        <v>Met</v>
      </c>
    </row>
    <row r="1252" spans="1:22" x14ac:dyDescent="0.35">
      <c r="A1252" s="198" t="s">
        <v>90</v>
      </c>
      <c r="B1252" s="199">
        <v>1992</v>
      </c>
      <c r="C1252" s="199" t="s">
        <v>18</v>
      </c>
      <c r="D1252" s="199">
        <v>87</v>
      </c>
      <c r="E1252" s="199">
        <v>523606.27</v>
      </c>
      <c r="F1252" s="199">
        <v>160862.82</v>
      </c>
      <c r="G1252" s="199">
        <f>'Mail Merge'!$E1252+'Mail Merge'!$F1252</f>
        <v>684469.09000000008</v>
      </c>
      <c r="H1252" s="199">
        <v>0</v>
      </c>
      <c r="I1252" s="199" t="s">
        <v>241</v>
      </c>
      <c r="J1252" s="202">
        <f>IFERROR('Mail Merge'!$E1252/'Mail Merge'!$D1252,0)</f>
        <v>6018.4628735632186</v>
      </c>
      <c r="K1252" s="199">
        <f>IFERROR('Mail Merge'!$F1252/'Mail Merge'!$D1252,0)</f>
        <v>1848.9979310344829</v>
      </c>
      <c r="L1252" s="203">
        <f>IFERROR('Mail Merge'!$G1252/'Mail Merge'!$D1252,0)</f>
        <v>7867.460804597702</v>
      </c>
      <c r="M1252" s="199">
        <v>24190.400000000001</v>
      </c>
      <c r="N1252" s="199" t="s">
        <v>240</v>
      </c>
      <c r="O1252" s="199">
        <v>155247.51999999999</v>
      </c>
      <c r="P1252" s="199">
        <v>0</v>
      </c>
      <c r="Q1252" s="199">
        <f>'Mail Merge'!$O1252+'Mail Merge'!$P1252</f>
        <v>155247.51999999999</v>
      </c>
      <c r="R1252" s="199"/>
      <c r="S1252" s="199"/>
      <c r="T1252" s="199">
        <v>479.05</v>
      </c>
      <c r="U1252" s="199">
        <f>IF(AND('Mail Merge'!$I1252="Did Not Meet",'Mail Merge'!$N1252="Did Not Meet"),MIN(ABS('Mail Merge'!$H1252),ABS('Mail Merge'!$M1252),'Mail Merge'!$Q1252),0)</f>
        <v>0</v>
      </c>
      <c r="V1252" s="199" t="str">
        <f>IF(OR(IFERROR(SEARCH("Met",'Mail Merge'!$N1252),0)&gt;0,IFERROR(SEARCH("Met",'Mail Merge'!$I1252),0)&gt;0),"Met","Not Met")</f>
        <v>Met</v>
      </c>
    </row>
    <row r="1253" spans="1:22" x14ac:dyDescent="0.35">
      <c r="A1253" s="200" t="s">
        <v>91</v>
      </c>
      <c r="B1253" s="201">
        <v>2054</v>
      </c>
      <c r="C1253" s="201" t="s">
        <v>18</v>
      </c>
      <c r="D1253" s="201">
        <v>713</v>
      </c>
      <c r="E1253" s="201">
        <v>6196653.2699999996</v>
      </c>
      <c r="F1253" s="201">
        <v>0</v>
      </c>
      <c r="G1253" s="201">
        <f>'Mail Merge'!$E1253+'Mail Merge'!$F1253</f>
        <v>6196653.2699999996</v>
      </c>
      <c r="H1253" s="201">
        <v>0</v>
      </c>
      <c r="I1253" s="201" t="s">
        <v>241</v>
      </c>
      <c r="J1253" s="204">
        <f>IFERROR('Mail Merge'!$E1253/'Mail Merge'!$D1253,0)</f>
        <v>8690.9583029453006</v>
      </c>
      <c r="K1253" s="201">
        <f>IFERROR('Mail Merge'!$F1253/'Mail Merge'!$D1253,0)</f>
        <v>0</v>
      </c>
      <c r="L1253" s="205">
        <f>IFERROR('Mail Merge'!$G1253/'Mail Merge'!$D1253,0)</f>
        <v>8690.9583029453006</v>
      </c>
      <c r="M1253" s="201">
        <v>0</v>
      </c>
      <c r="N1253" s="201" t="s">
        <v>241</v>
      </c>
      <c r="O1253" s="201">
        <v>884304.26</v>
      </c>
      <c r="P1253" s="201">
        <v>8978.33</v>
      </c>
      <c r="Q1253" s="201">
        <f>'Mail Merge'!$O1253+'Mail Merge'!$P1253</f>
        <v>893282.59</v>
      </c>
      <c r="R1253" s="201"/>
      <c r="S1253" s="201"/>
      <c r="T1253" s="201"/>
      <c r="U1253" s="201">
        <f>IF(AND('Mail Merge'!$I1253="Did Not Meet",'Mail Merge'!$N1253="Did Not Meet"),MIN(ABS('Mail Merge'!$H1253),ABS('Mail Merge'!$M1253),'Mail Merge'!$Q1253),0)</f>
        <v>0</v>
      </c>
      <c r="V1253" s="201" t="str">
        <f>IF(OR(IFERROR(SEARCH("Met",'Mail Merge'!$N1253),0)&gt;0,IFERROR(SEARCH("Met",'Mail Merge'!$I1253),0)&gt;0),"Met","Not Met")</f>
        <v>Met</v>
      </c>
    </row>
    <row r="1254" spans="1:22" x14ac:dyDescent="0.35">
      <c r="A1254" s="198" t="s">
        <v>92</v>
      </c>
      <c r="B1254" s="199">
        <v>2100</v>
      </c>
      <c r="C1254" s="199" t="s">
        <v>18</v>
      </c>
      <c r="D1254" s="199">
        <v>1233</v>
      </c>
      <c r="E1254" s="199">
        <v>12518650.529999999</v>
      </c>
      <c r="F1254" s="199">
        <v>1032102</v>
      </c>
      <c r="G1254" s="199">
        <f>'Mail Merge'!$E1254+'Mail Merge'!$F1254</f>
        <v>13550752.529999999</v>
      </c>
      <c r="H1254" s="199">
        <v>0</v>
      </c>
      <c r="I1254" s="199" t="s">
        <v>241</v>
      </c>
      <c r="J1254" s="202">
        <f>IFERROR('Mail Merge'!$E1254/'Mail Merge'!$D1254,0)</f>
        <v>10153.001240875912</v>
      </c>
      <c r="K1254" s="199">
        <f>IFERROR('Mail Merge'!$F1254/'Mail Merge'!$D1254,0)</f>
        <v>837.06569343065689</v>
      </c>
      <c r="L1254" s="203">
        <f>IFERROR('Mail Merge'!$G1254/'Mail Merge'!$D1254,0)</f>
        <v>10990.066934306569</v>
      </c>
      <c r="M1254" s="199">
        <v>0</v>
      </c>
      <c r="N1254" s="199" t="s">
        <v>241</v>
      </c>
      <c r="O1254" s="199">
        <v>1497873.4</v>
      </c>
      <c r="P1254" s="199">
        <v>14334.77</v>
      </c>
      <c r="Q1254" s="199">
        <f>'Mail Merge'!$O1254+'Mail Merge'!$P1254</f>
        <v>1512208.17</v>
      </c>
      <c r="R1254" s="199"/>
      <c r="S1254" s="199"/>
      <c r="T1254" s="199"/>
      <c r="U1254" s="199">
        <f>IF(AND('Mail Merge'!$I1254="Did Not Meet",'Mail Merge'!$N1254="Did Not Meet"),MIN(ABS('Mail Merge'!$H1254),ABS('Mail Merge'!$M1254),'Mail Merge'!$Q1254),0)</f>
        <v>0</v>
      </c>
      <c r="V1254" s="199" t="str">
        <f>IF(OR(IFERROR(SEARCH("Met",'Mail Merge'!$N1254),0)&gt;0,IFERROR(SEARCH("Met",'Mail Merge'!$I1254),0)&gt;0),"Met","Not Met")</f>
        <v>Met</v>
      </c>
    </row>
    <row r="1255" spans="1:22" x14ac:dyDescent="0.35">
      <c r="A1255" s="200" t="s">
        <v>93</v>
      </c>
      <c r="B1255" s="201">
        <v>2183</v>
      </c>
      <c r="C1255" s="201" t="s">
        <v>18</v>
      </c>
      <c r="D1255" s="201">
        <v>1525</v>
      </c>
      <c r="E1255" s="201">
        <v>15871205.85</v>
      </c>
      <c r="F1255" s="201">
        <v>831378.8</v>
      </c>
      <c r="G1255" s="201">
        <f>'Mail Merge'!$E1255+'Mail Merge'!$F1255</f>
        <v>16702584.65</v>
      </c>
      <c r="H1255" s="201">
        <v>0</v>
      </c>
      <c r="I1255" s="201" t="s">
        <v>241</v>
      </c>
      <c r="J1255" s="204">
        <f>IFERROR('Mail Merge'!$E1255/'Mail Merge'!$D1255,0)</f>
        <v>10407.348098360655</v>
      </c>
      <c r="K1255" s="201">
        <f>IFERROR('Mail Merge'!$F1255/'Mail Merge'!$D1255,0)</f>
        <v>545.16642622950826</v>
      </c>
      <c r="L1255" s="205">
        <f>IFERROR('Mail Merge'!$G1255/'Mail Merge'!$D1255,0)</f>
        <v>10952.514524590164</v>
      </c>
      <c r="M1255" s="201">
        <v>0</v>
      </c>
      <c r="N1255" s="201" t="s">
        <v>241</v>
      </c>
      <c r="O1255" s="201">
        <v>2059623.78</v>
      </c>
      <c r="P1255" s="201">
        <v>14904.21</v>
      </c>
      <c r="Q1255" s="201">
        <f>'Mail Merge'!$O1255+'Mail Merge'!$P1255</f>
        <v>2074527.99</v>
      </c>
      <c r="R1255" s="201"/>
      <c r="S1255" s="201"/>
      <c r="T1255" s="201"/>
      <c r="U1255" s="201">
        <f>IF(AND('Mail Merge'!$I1255="Did Not Meet",'Mail Merge'!$N1255="Did Not Meet"),MIN(ABS('Mail Merge'!$H1255),ABS('Mail Merge'!$M1255),'Mail Merge'!$Q1255),0)</f>
        <v>0</v>
      </c>
      <c r="V1255" s="201" t="str">
        <f>IF(OR(IFERROR(SEARCH("Met",'Mail Merge'!$N1255),0)&gt;0,IFERROR(SEARCH("Met",'Mail Merge'!$I1255),0)&gt;0),"Met","Not Met")</f>
        <v>Met</v>
      </c>
    </row>
    <row r="1256" spans="1:22" x14ac:dyDescent="0.35">
      <c r="A1256" s="198" t="s">
        <v>94</v>
      </c>
      <c r="B1256" s="199">
        <v>2014</v>
      </c>
      <c r="C1256" s="199" t="s">
        <v>18</v>
      </c>
      <c r="D1256" s="199">
        <v>123</v>
      </c>
      <c r="E1256" s="199">
        <v>1303270.45</v>
      </c>
      <c r="F1256" s="199">
        <v>177475</v>
      </c>
      <c r="G1256" s="199">
        <f>'Mail Merge'!$E1256+'Mail Merge'!$F1256</f>
        <v>1480745.45</v>
      </c>
      <c r="H1256" s="199">
        <v>17022.12</v>
      </c>
      <c r="I1256" s="199" t="s">
        <v>240</v>
      </c>
      <c r="J1256" s="202">
        <f>IFERROR('Mail Merge'!$E1256/'Mail Merge'!$D1256,0)</f>
        <v>10595.694715447155</v>
      </c>
      <c r="K1256" s="199">
        <f>IFERROR('Mail Merge'!$F1256/'Mail Merge'!$D1256,0)</f>
        <v>1442.8861788617887</v>
      </c>
      <c r="L1256" s="203">
        <f>IFERROR('Mail Merge'!$G1256/'Mail Merge'!$D1256,0)</f>
        <v>12038.580894308943</v>
      </c>
      <c r="M1256" s="199">
        <v>0</v>
      </c>
      <c r="N1256" s="199" t="s">
        <v>242</v>
      </c>
      <c r="O1256" s="199">
        <v>170903.64</v>
      </c>
      <c r="P1256" s="199">
        <v>1676.12</v>
      </c>
      <c r="Q1256" s="199">
        <f>'Mail Merge'!$O1256+'Mail Merge'!$P1256</f>
        <v>172579.76</v>
      </c>
      <c r="R1256" s="199"/>
      <c r="S1256" s="199">
        <v>73061.83</v>
      </c>
      <c r="T1256" s="199">
        <v>695.83</v>
      </c>
      <c r="U1256" s="199">
        <f>IF(AND('Mail Merge'!$I1256="Did Not Meet",'Mail Merge'!$N1256="Did Not Meet"),MIN(ABS('Mail Merge'!$H1256),ABS('Mail Merge'!$M1256),'Mail Merge'!$Q1256),0)</f>
        <v>0</v>
      </c>
      <c r="V1256" s="199" t="str">
        <f>IF(OR(IFERROR(SEARCH("Met",'Mail Merge'!$N1256),0)&gt;0,IFERROR(SEARCH("Met",'Mail Merge'!$I1256),0)&gt;0),"Met","Not Met")</f>
        <v>Met</v>
      </c>
    </row>
    <row r="1257" spans="1:22" x14ac:dyDescent="0.35">
      <c r="A1257" s="200" t="s">
        <v>95</v>
      </c>
      <c r="B1257" s="201">
        <v>2015</v>
      </c>
      <c r="C1257" s="201" t="s">
        <v>18</v>
      </c>
      <c r="D1257" s="201">
        <v>4</v>
      </c>
      <c r="E1257" s="201">
        <v>46626.65</v>
      </c>
      <c r="F1257" s="201">
        <v>3045</v>
      </c>
      <c r="G1257" s="201">
        <f>'Mail Merge'!$E1257+'Mail Merge'!$F1257</f>
        <v>49671.65</v>
      </c>
      <c r="H1257" s="201">
        <v>40531.599999999999</v>
      </c>
      <c r="I1257" s="201" t="s">
        <v>240</v>
      </c>
      <c r="J1257" s="204">
        <f>IFERROR('Mail Merge'!$E1257/'Mail Merge'!$D1257,0)</f>
        <v>11656.6625</v>
      </c>
      <c r="K1257" s="201">
        <f>IFERROR('Mail Merge'!$F1257/'Mail Merge'!$D1257,0)</f>
        <v>761.25</v>
      </c>
      <c r="L1257" s="205">
        <f>IFERROR('Mail Merge'!$G1257/'Mail Merge'!$D1257,0)</f>
        <v>12417.9125</v>
      </c>
      <c r="M1257" s="201">
        <v>10463.85</v>
      </c>
      <c r="N1257" s="201" t="s">
        <v>240</v>
      </c>
      <c r="O1257" s="201">
        <v>14807.35</v>
      </c>
      <c r="P1257" s="201">
        <v>0</v>
      </c>
      <c r="Q1257" s="201">
        <f>'Mail Merge'!$O1257+'Mail Merge'!$P1257</f>
        <v>14807.35</v>
      </c>
      <c r="R1257" s="201"/>
      <c r="S1257" s="201">
        <v>10336.86</v>
      </c>
      <c r="T1257" s="201">
        <v>1722.81</v>
      </c>
      <c r="U1257" s="201">
        <f>IF(AND('Mail Merge'!$I1257="Did Not Meet",'Mail Merge'!$N1257="Did Not Meet"),MIN(ABS('Mail Merge'!$H1257),ABS('Mail Merge'!$M1257),'Mail Merge'!$Q1257),0)</f>
        <v>10463.85</v>
      </c>
      <c r="V1257" s="201" t="str">
        <f>IF(OR(IFERROR(SEARCH("Met",'Mail Merge'!$N1257),0)&gt;0,IFERROR(SEARCH("Met",'Mail Merge'!$I1257),0)&gt;0),"Met","Not Met")</f>
        <v>Not Met</v>
      </c>
    </row>
    <row r="1258" spans="1:22" x14ac:dyDescent="0.35">
      <c r="A1258" s="198" t="s">
        <v>96</v>
      </c>
      <c r="B1258" s="199">
        <v>2023</v>
      </c>
      <c r="C1258" s="199" t="s">
        <v>18</v>
      </c>
      <c r="D1258" s="199">
        <v>0</v>
      </c>
      <c r="E1258" s="199">
        <v>32808.29</v>
      </c>
      <c r="F1258" s="199">
        <v>3045</v>
      </c>
      <c r="G1258" s="199">
        <f>'Mail Merge'!$E1258+'Mail Merge'!$F1258</f>
        <v>35853.29</v>
      </c>
      <c r="H1258" s="199">
        <v>0</v>
      </c>
      <c r="I1258" s="199" t="s">
        <v>242</v>
      </c>
      <c r="J1258" s="202">
        <f>IFERROR('Mail Merge'!$E1258/'Mail Merge'!$D1258,0)</f>
        <v>0</v>
      </c>
      <c r="K1258" s="199">
        <f>IFERROR('Mail Merge'!$F1258/'Mail Merge'!$D1258,0)</f>
        <v>0</v>
      </c>
      <c r="L1258" s="203">
        <f>IFERROR('Mail Merge'!$G1258/'Mail Merge'!$D1258,0)</f>
        <v>0</v>
      </c>
      <c r="M1258" s="199">
        <v>0</v>
      </c>
      <c r="N1258" s="199" t="s">
        <v>242</v>
      </c>
      <c r="O1258" s="199">
        <v>0</v>
      </c>
      <c r="P1258" s="199">
        <v>0</v>
      </c>
      <c r="Q1258" s="199">
        <f>'Mail Merge'!$O1258+'Mail Merge'!$P1258</f>
        <v>0</v>
      </c>
      <c r="R1258" s="199"/>
      <c r="S1258" s="199">
        <v>44857.49</v>
      </c>
      <c r="T1258" s="199">
        <v>44857.49</v>
      </c>
      <c r="U1258" s="199">
        <f>IF(AND('Mail Merge'!$I1258="Did Not Meet",'Mail Merge'!$N1258="Did Not Meet"),MIN(ABS('Mail Merge'!$H1258),ABS('Mail Merge'!$M1258),'Mail Merge'!$Q1258),0)</f>
        <v>0</v>
      </c>
      <c r="V1258" s="199" t="str">
        <f>IF(OR(IFERROR(SEARCH("Met",'Mail Merge'!$N1258),0)&gt;0,IFERROR(SEARCH("Met",'Mail Merge'!$I1258),0)&gt;0),"Met","Not Met")</f>
        <v>Met</v>
      </c>
    </row>
    <row r="1259" spans="1:22" x14ac:dyDescent="0.35">
      <c r="A1259" s="200" t="s">
        <v>97</v>
      </c>
      <c r="B1259" s="201">
        <v>2114</v>
      </c>
      <c r="C1259" s="201" t="s">
        <v>18</v>
      </c>
      <c r="D1259" s="201">
        <v>14</v>
      </c>
      <c r="E1259" s="201">
        <v>83226.67</v>
      </c>
      <c r="F1259" s="201">
        <v>59517.93</v>
      </c>
      <c r="G1259" s="201">
        <f>'Mail Merge'!$E1259+'Mail Merge'!$F1259</f>
        <v>142744.6</v>
      </c>
      <c r="H1259" s="201">
        <v>0</v>
      </c>
      <c r="I1259" s="201" t="s">
        <v>241</v>
      </c>
      <c r="J1259" s="204">
        <f>IFERROR('Mail Merge'!$E1259/'Mail Merge'!$D1259,0)</f>
        <v>5944.7621428571429</v>
      </c>
      <c r="K1259" s="201">
        <f>IFERROR('Mail Merge'!$F1259/'Mail Merge'!$D1259,0)</f>
        <v>4251.2807142857146</v>
      </c>
      <c r="L1259" s="205">
        <f>IFERROR('Mail Merge'!$G1259/'Mail Merge'!$D1259,0)</f>
        <v>10196.042857142858</v>
      </c>
      <c r="M1259" s="201">
        <v>0</v>
      </c>
      <c r="N1259" s="201" t="s">
        <v>241</v>
      </c>
      <c r="O1259" s="201">
        <v>15797.56</v>
      </c>
      <c r="P1259" s="201">
        <v>485.19</v>
      </c>
      <c r="Q1259" s="201">
        <f>'Mail Merge'!$O1259+'Mail Merge'!$P1259</f>
        <v>16282.75</v>
      </c>
      <c r="R1259" s="201"/>
      <c r="S1259" s="201"/>
      <c r="T1259" s="201"/>
      <c r="U1259" s="201">
        <f>IF(AND('Mail Merge'!$I1259="Did Not Meet",'Mail Merge'!$N1259="Did Not Meet"),MIN(ABS('Mail Merge'!$H1259),ABS('Mail Merge'!$M1259),'Mail Merge'!$Q1259),0)</f>
        <v>0</v>
      </c>
      <c r="V1259" s="201" t="str">
        <f>IF(OR(IFERROR(SEARCH("Met",'Mail Merge'!$N1259),0)&gt;0,IFERROR(SEARCH("Met",'Mail Merge'!$I1259),0)&gt;0),"Met","Not Met")</f>
        <v>Met</v>
      </c>
    </row>
    <row r="1260" spans="1:22" x14ac:dyDescent="0.35">
      <c r="A1260" s="198" t="s">
        <v>98</v>
      </c>
      <c r="B1260" s="199">
        <v>2099</v>
      </c>
      <c r="C1260" s="199" t="s">
        <v>18</v>
      </c>
      <c r="D1260" s="199">
        <v>119</v>
      </c>
      <c r="E1260" s="199">
        <v>1100802.42</v>
      </c>
      <c r="F1260" s="199">
        <v>102162</v>
      </c>
      <c r="G1260" s="199">
        <f>'Mail Merge'!$E1260+'Mail Merge'!$F1260</f>
        <v>1202964.42</v>
      </c>
      <c r="H1260" s="199">
        <v>0</v>
      </c>
      <c r="I1260" s="199" t="s">
        <v>242</v>
      </c>
      <c r="J1260" s="202">
        <f>IFERROR('Mail Merge'!$E1260/'Mail Merge'!$D1260,0)</f>
        <v>9250.4405042016806</v>
      </c>
      <c r="K1260" s="199">
        <f>IFERROR('Mail Merge'!$F1260/'Mail Merge'!$D1260,0)</f>
        <v>858.50420168067228</v>
      </c>
      <c r="L1260" s="203">
        <f>IFERROR('Mail Merge'!$G1260/'Mail Merge'!$D1260,0)</f>
        <v>10108.944705882352</v>
      </c>
      <c r="M1260" s="199">
        <v>0</v>
      </c>
      <c r="N1260" s="199" t="s">
        <v>241</v>
      </c>
      <c r="O1260" s="199">
        <v>143667.47</v>
      </c>
      <c r="P1260" s="199">
        <v>311.91000000000003</v>
      </c>
      <c r="Q1260" s="199">
        <f>'Mail Merge'!$O1260+'Mail Merge'!$P1260</f>
        <v>143979.38</v>
      </c>
      <c r="R1260" s="199"/>
      <c r="S1260" s="199">
        <v>77617.5</v>
      </c>
      <c r="T1260" s="199"/>
      <c r="U1260" s="199">
        <f>IF(AND('Mail Merge'!$I1260="Did Not Meet",'Mail Merge'!$N1260="Did Not Meet"),MIN(ABS('Mail Merge'!$H1260),ABS('Mail Merge'!$M1260),'Mail Merge'!$Q1260),0)</f>
        <v>0</v>
      </c>
      <c r="V1260" s="199" t="str">
        <f>IF(OR(IFERROR(SEARCH("Met",'Mail Merge'!$N1260),0)&gt;0,IFERROR(SEARCH("Met",'Mail Merge'!$I1260),0)&gt;0),"Met","Not Met")</f>
        <v>Met</v>
      </c>
    </row>
    <row r="1261" spans="1:22" x14ac:dyDescent="0.35">
      <c r="A1261" s="200" t="s">
        <v>99</v>
      </c>
      <c r="B1261" s="201">
        <v>2201</v>
      </c>
      <c r="C1261" s="201" t="s">
        <v>18</v>
      </c>
      <c r="D1261" s="201">
        <v>25</v>
      </c>
      <c r="E1261" s="201">
        <v>75364.009999999995</v>
      </c>
      <c r="F1261" s="201">
        <v>37417.32</v>
      </c>
      <c r="G1261" s="201">
        <f>'Mail Merge'!$E1261+'Mail Merge'!$F1261</f>
        <v>112781.32999999999</v>
      </c>
      <c r="H1261" s="201">
        <v>0</v>
      </c>
      <c r="I1261" s="201" t="s">
        <v>242</v>
      </c>
      <c r="J1261" s="204">
        <f>IFERROR('Mail Merge'!$E1261/'Mail Merge'!$D1261,0)</f>
        <v>3014.5603999999998</v>
      </c>
      <c r="K1261" s="201">
        <f>IFERROR('Mail Merge'!$F1261/'Mail Merge'!$D1261,0)</f>
        <v>1496.6928</v>
      </c>
      <c r="L1261" s="205">
        <f>IFERROR('Mail Merge'!$G1261/'Mail Merge'!$D1261,0)</f>
        <v>4511.2531999999992</v>
      </c>
      <c r="M1261" s="201">
        <v>0</v>
      </c>
      <c r="N1261" s="201" t="s">
        <v>241</v>
      </c>
      <c r="O1261" s="201">
        <v>25640.75</v>
      </c>
      <c r="P1261" s="201">
        <v>970.38</v>
      </c>
      <c r="Q1261" s="201">
        <f>'Mail Merge'!$O1261+'Mail Merge'!$P1261</f>
        <v>26611.13</v>
      </c>
      <c r="R1261" s="201"/>
      <c r="S1261" s="201">
        <v>24976.13</v>
      </c>
      <c r="T1261" s="201"/>
      <c r="U1261" s="201">
        <f>IF(AND('Mail Merge'!$I1261="Did Not Meet",'Mail Merge'!$N1261="Did Not Meet"),MIN(ABS('Mail Merge'!$H1261),ABS('Mail Merge'!$M1261),'Mail Merge'!$Q1261),0)</f>
        <v>0</v>
      </c>
      <c r="V1261" s="201" t="str">
        <f>IF(OR(IFERROR(SEARCH("Met",'Mail Merge'!$N1261),0)&gt;0,IFERROR(SEARCH("Met",'Mail Merge'!$I1261),0)&gt;0),"Met","Not Met")</f>
        <v>Met</v>
      </c>
    </row>
    <row r="1262" spans="1:22" x14ac:dyDescent="0.35">
      <c r="A1262" s="198" t="s">
        <v>100</v>
      </c>
      <c r="B1262" s="199">
        <v>2206</v>
      </c>
      <c r="C1262" s="199" t="s">
        <v>18</v>
      </c>
      <c r="D1262" s="199">
        <v>724</v>
      </c>
      <c r="E1262" s="199">
        <v>5635649.2300000004</v>
      </c>
      <c r="F1262" s="199">
        <v>0</v>
      </c>
      <c r="G1262" s="199">
        <f>'Mail Merge'!$E1262+'Mail Merge'!$F1262</f>
        <v>5635649.2300000004</v>
      </c>
      <c r="H1262" s="199">
        <v>0</v>
      </c>
      <c r="I1262" s="199" t="s">
        <v>241</v>
      </c>
      <c r="J1262" s="202">
        <f>IFERROR('Mail Merge'!$E1262/'Mail Merge'!$D1262,0)</f>
        <v>7784.0458977900562</v>
      </c>
      <c r="K1262" s="199">
        <f>IFERROR('Mail Merge'!$F1262/'Mail Merge'!$D1262,0)</f>
        <v>0</v>
      </c>
      <c r="L1262" s="203">
        <f>IFERROR('Mail Merge'!$G1262/'Mail Merge'!$D1262,0)</f>
        <v>7784.0458977900562</v>
      </c>
      <c r="M1262" s="199">
        <v>486616.26</v>
      </c>
      <c r="N1262" s="199" t="s">
        <v>240</v>
      </c>
      <c r="O1262" s="199">
        <v>767054.03</v>
      </c>
      <c r="P1262" s="199">
        <v>4754.8900000000003</v>
      </c>
      <c r="Q1262" s="199">
        <f>'Mail Merge'!$O1262+'Mail Merge'!$P1262</f>
        <v>771808.92</v>
      </c>
      <c r="R1262" s="199"/>
      <c r="S1262" s="199"/>
      <c r="T1262" s="199">
        <v>0</v>
      </c>
      <c r="U1262" s="199">
        <f>IF(AND('Mail Merge'!$I1262="Did Not Meet",'Mail Merge'!$N1262="Did Not Meet"),MIN(ABS('Mail Merge'!$H1262),ABS('Mail Merge'!$M1262),'Mail Merge'!$Q1262),0)</f>
        <v>0</v>
      </c>
      <c r="V1262" s="199" t="str">
        <f>IF(OR(IFERROR(SEARCH("Met",'Mail Merge'!$N1262),0)&gt;0,IFERROR(SEARCH("Met",'Mail Merge'!$I1262),0)&gt;0),"Met","Not Met")</f>
        <v>Met</v>
      </c>
    </row>
    <row r="1263" spans="1:22" x14ac:dyDescent="0.35">
      <c r="A1263" s="200" t="s">
        <v>101</v>
      </c>
      <c r="B1263" s="201">
        <v>2239</v>
      </c>
      <c r="C1263" s="201" t="s">
        <v>18</v>
      </c>
      <c r="D1263" s="201">
        <v>2818</v>
      </c>
      <c r="E1263" s="201">
        <v>32161444.140000001</v>
      </c>
      <c r="F1263" s="201">
        <v>3760450</v>
      </c>
      <c r="G1263" s="201">
        <f>'Mail Merge'!$E1263+'Mail Merge'!$F1263</f>
        <v>35921894.140000001</v>
      </c>
      <c r="H1263" s="201">
        <v>0</v>
      </c>
      <c r="I1263" s="201" t="s">
        <v>241</v>
      </c>
      <c r="J1263" s="204">
        <f>IFERROR('Mail Merge'!$E1263/'Mail Merge'!$D1263,0)</f>
        <v>11412.861653655074</v>
      </c>
      <c r="K1263" s="201">
        <f>IFERROR('Mail Merge'!$F1263/'Mail Merge'!$D1263,0)</f>
        <v>1334.4393186657203</v>
      </c>
      <c r="L1263" s="205">
        <f>IFERROR('Mail Merge'!$G1263/'Mail Merge'!$D1263,0)</f>
        <v>12747.300972320794</v>
      </c>
      <c r="M1263" s="201">
        <v>0</v>
      </c>
      <c r="N1263" s="201" t="s">
        <v>241</v>
      </c>
      <c r="O1263" s="201">
        <v>2909691.09</v>
      </c>
      <c r="P1263" s="201">
        <v>15990.16</v>
      </c>
      <c r="Q1263" s="201">
        <f>'Mail Merge'!$O1263+'Mail Merge'!$P1263</f>
        <v>2925681.25</v>
      </c>
      <c r="R1263" s="201"/>
      <c r="S1263" s="201"/>
      <c r="T1263" s="201"/>
      <c r="U1263" s="201">
        <f>IF(AND('Mail Merge'!$I1263="Did Not Meet",'Mail Merge'!$N1263="Did Not Meet"),MIN(ABS('Mail Merge'!$H1263),ABS('Mail Merge'!$M1263),'Mail Merge'!$Q1263),0)</f>
        <v>0</v>
      </c>
      <c r="V1263" s="201" t="str">
        <f>IF(OR(IFERROR(SEARCH("Met",'Mail Merge'!$N1263),0)&gt;0,IFERROR(SEARCH("Met",'Mail Merge'!$I1263),0)&gt;0),"Met","Not Met")</f>
        <v>Met</v>
      </c>
    </row>
    <row r="1264" spans="1:22" x14ac:dyDescent="0.35">
      <c r="A1264" s="198" t="s">
        <v>102</v>
      </c>
      <c r="B1264" s="199">
        <v>2024</v>
      </c>
      <c r="C1264" s="199" t="s">
        <v>18</v>
      </c>
      <c r="D1264" s="199">
        <v>488</v>
      </c>
      <c r="E1264" s="199">
        <v>4181249</v>
      </c>
      <c r="F1264" s="199">
        <v>0</v>
      </c>
      <c r="G1264" s="199">
        <f>'Mail Merge'!$E1264+'Mail Merge'!$F1264</f>
        <v>4181249</v>
      </c>
      <c r="H1264" s="199">
        <v>0</v>
      </c>
      <c r="I1264" s="199" t="s">
        <v>241</v>
      </c>
      <c r="J1264" s="202">
        <f>IFERROR('Mail Merge'!$E1264/'Mail Merge'!$D1264,0)</f>
        <v>8568.1331967213118</v>
      </c>
      <c r="K1264" s="199">
        <f>IFERROR('Mail Merge'!$F1264/'Mail Merge'!$D1264,0)</f>
        <v>0</v>
      </c>
      <c r="L1264" s="203">
        <f>IFERROR('Mail Merge'!$G1264/'Mail Merge'!$D1264,0)</f>
        <v>8568.1331967213118</v>
      </c>
      <c r="M1264" s="199">
        <v>0</v>
      </c>
      <c r="N1264" s="199" t="s">
        <v>241</v>
      </c>
      <c r="O1264" s="199">
        <v>663782.67000000004</v>
      </c>
      <c r="P1264" s="199">
        <v>5083.74</v>
      </c>
      <c r="Q1264" s="199">
        <f>'Mail Merge'!$O1264+'Mail Merge'!$P1264</f>
        <v>668866.41</v>
      </c>
      <c r="R1264" s="199"/>
      <c r="S1264" s="199"/>
      <c r="T1264" s="199"/>
      <c r="U1264" s="199">
        <f>IF(AND('Mail Merge'!$I1264="Did Not Meet",'Mail Merge'!$N1264="Did Not Meet"),MIN(ABS('Mail Merge'!$H1264),ABS('Mail Merge'!$M1264),'Mail Merge'!$Q1264),0)</f>
        <v>0</v>
      </c>
      <c r="V1264" s="199" t="str">
        <f>IF(OR(IFERROR(SEARCH("Met",'Mail Merge'!$N1264),0)&gt;0,IFERROR(SEARCH("Met",'Mail Merge'!$I1264),0)&gt;0),"Met","Not Met")</f>
        <v>Met</v>
      </c>
    </row>
    <row r="1265" spans="1:22" x14ac:dyDescent="0.35">
      <c r="A1265" s="200" t="s">
        <v>103</v>
      </c>
      <c r="B1265" s="201">
        <v>1895</v>
      </c>
      <c r="C1265" s="201" t="s">
        <v>18</v>
      </c>
      <c r="D1265" s="201">
        <v>8</v>
      </c>
      <c r="E1265" s="201">
        <v>65509.85</v>
      </c>
      <c r="F1265" s="201">
        <v>46573.75</v>
      </c>
      <c r="G1265" s="201">
        <f>'Mail Merge'!$E1265+'Mail Merge'!$F1265</f>
        <v>112083.6</v>
      </c>
      <c r="H1265" s="201">
        <v>0</v>
      </c>
      <c r="I1265" s="201" t="s">
        <v>242</v>
      </c>
      <c r="J1265" s="204">
        <f>IFERROR('Mail Merge'!$E1265/'Mail Merge'!$D1265,0)</f>
        <v>8188.7312499999998</v>
      </c>
      <c r="K1265" s="201">
        <f>IFERROR('Mail Merge'!$F1265/'Mail Merge'!$D1265,0)</f>
        <v>5821.71875</v>
      </c>
      <c r="L1265" s="205">
        <f>IFERROR('Mail Merge'!$G1265/'Mail Merge'!$D1265,0)</f>
        <v>14010.45</v>
      </c>
      <c r="M1265" s="201">
        <v>0</v>
      </c>
      <c r="N1265" s="201" t="s">
        <v>242</v>
      </c>
      <c r="O1265" s="201">
        <v>15475.29</v>
      </c>
      <c r="P1265" s="201">
        <v>970.38</v>
      </c>
      <c r="Q1265" s="201">
        <f>'Mail Merge'!$O1265+'Mail Merge'!$P1265</f>
        <v>16445.670000000002</v>
      </c>
      <c r="R1265" s="201"/>
      <c r="S1265" s="201">
        <v>9783.85</v>
      </c>
      <c r="T1265" s="201">
        <v>1222.98</v>
      </c>
      <c r="U1265" s="201">
        <f>IF(AND('Mail Merge'!$I1265="Did Not Meet",'Mail Merge'!$N1265="Did Not Meet"),MIN(ABS('Mail Merge'!$H1265),ABS('Mail Merge'!$M1265),'Mail Merge'!$Q1265),0)</f>
        <v>0</v>
      </c>
      <c r="V1265" s="201" t="str">
        <f>IF(OR(IFERROR(SEARCH("Met",'Mail Merge'!$N1265),0)&gt;0,IFERROR(SEARCH("Met",'Mail Merge'!$I1265),0)&gt;0),"Met","Not Met")</f>
        <v>Met</v>
      </c>
    </row>
    <row r="1266" spans="1:22" x14ac:dyDescent="0.35">
      <c r="A1266" s="198" t="s">
        <v>104</v>
      </c>
      <c r="B1266" s="199">
        <v>2215</v>
      </c>
      <c r="C1266" s="199" t="s">
        <v>18</v>
      </c>
      <c r="D1266" s="199">
        <v>35</v>
      </c>
      <c r="E1266" s="199">
        <v>228634.52</v>
      </c>
      <c r="F1266" s="199">
        <v>52381.51</v>
      </c>
      <c r="G1266" s="199">
        <f>'Mail Merge'!$E1266+'Mail Merge'!$F1266</f>
        <v>281016.02999999997</v>
      </c>
      <c r="H1266" s="199">
        <v>0</v>
      </c>
      <c r="I1266" s="199" t="s">
        <v>241</v>
      </c>
      <c r="J1266" s="202">
        <f>IFERROR('Mail Merge'!$E1266/'Mail Merge'!$D1266,0)</f>
        <v>6532.4148571428568</v>
      </c>
      <c r="K1266" s="199">
        <f>IFERROR('Mail Merge'!$F1266/'Mail Merge'!$D1266,0)</f>
        <v>1496.6145714285715</v>
      </c>
      <c r="L1266" s="203">
        <f>IFERROR('Mail Merge'!$G1266/'Mail Merge'!$D1266,0)</f>
        <v>8029.0294285714281</v>
      </c>
      <c r="M1266" s="199">
        <v>0</v>
      </c>
      <c r="N1266" s="199" t="s">
        <v>241</v>
      </c>
      <c r="O1266" s="199">
        <v>62226.18</v>
      </c>
      <c r="P1266" s="199">
        <v>0</v>
      </c>
      <c r="Q1266" s="199">
        <f>'Mail Merge'!$O1266+'Mail Merge'!$P1266</f>
        <v>62226.18</v>
      </c>
      <c r="R1266" s="199"/>
      <c r="S1266" s="199"/>
      <c r="T1266" s="199"/>
      <c r="U1266" s="199">
        <f>IF(AND('Mail Merge'!$I1266="Did Not Meet",'Mail Merge'!$N1266="Did Not Meet"),MIN(ABS('Mail Merge'!$H1266),ABS('Mail Merge'!$M1266),'Mail Merge'!$Q1266),0)</f>
        <v>0</v>
      </c>
      <c r="V1266" s="199" t="str">
        <f>IF(OR(IFERROR(SEARCH("Met",'Mail Merge'!$N1266),0)&gt;0,IFERROR(SEARCH("Met",'Mail Merge'!$I1266),0)&gt;0),"Met","Not Met")</f>
        <v>Met</v>
      </c>
    </row>
    <row r="1267" spans="1:22" x14ac:dyDescent="0.35">
      <c r="A1267" s="200" t="s">
        <v>105</v>
      </c>
      <c r="B1267" s="201">
        <v>3997</v>
      </c>
      <c r="C1267" s="201" t="s">
        <v>18</v>
      </c>
      <c r="D1267" s="201">
        <v>24</v>
      </c>
      <c r="E1267" s="201">
        <v>168390.38</v>
      </c>
      <c r="F1267" s="201">
        <v>35908.559999999998</v>
      </c>
      <c r="G1267" s="201">
        <f>'Mail Merge'!$E1267+'Mail Merge'!$F1267</f>
        <v>204298.94</v>
      </c>
      <c r="H1267" s="201">
        <v>0</v>
      </c>
      <c r="I1267" s="201" t="s">
        <v>241</v>
      </c>
      <c r="J1267" s="204">
        <f>IFERROR('Mail Merge'!$E1267/'Mail Merge'!$D1267,0)</f>
        <v>7016.2658333333338</v>
      </c>
      <c r="K1267" s="201">
        <f>IFERROR('Mail Merge'!$F1267/'Mail Merge'!$D1267,0)</f>
        <v>1496.1899999999998</v>
      </c>
      <c r="L1267" s="205">
        <f>IFERROR('Mail Merge'!$G1267/'Mail Merge'!$D1267,0)</f>
        <v>8512.4558333333334</v>
      </c>
      <c r="M1267" s="201">
        <v>0</v>
      </c>
      <c r="N1267" s="201" t="s">
        <v>241</v>
      </c>
      <c r="O1267" s="201">
        <v>22241.91</v>
      </c>
      <c r="P1267" s="201">
        <v>242.6</v>
      </c>
      <c r="Q1267" s="201">
        <f>'Mail Merge'!$O1267+'Mail Merge'!$P1267</f>
        <v>22484.51</v>
      </c>
      <c r="R1267" s="201"/>
      <c r="S1267" s="201"/>
      <c r="T1267" s="201"/>
      <c r="U1267" s="201">
        <f>IF(AND('Mail Merge'!$I1267="Did Not Meet",'Mail Merge'!$N1267="Did Not Meet"),MIN(ABS('Mail Merge'!$H1267),ABS('Mail Merge'!$M1267),'Mail Merge'!$Q1267),0)</f>
        <v>0</v>
      </c>
      <c r="V1267" s="201" t="str">
        <f>IF(OR(IFERROR(SEARCH("Met",'Mail Merge'!$N1267),0)&gt;0,IFERROR(SEARCH("Met",'Mail Merge'!$I1267),0)&gt;0),"Met","Not Met")</f>
        <v>Met</v>
      </c>
    </row>
    <row r="1268" spans="1:22" x14ac:dyDescent="0.35">
      <c r="A1268" s="198" t="s">
        <v>106</v>
      </c>
      <c r="B1268" s="199">
        <v>2053</v>
      </c>
      <c r="C1268" s="199" t="s">
        <v>18</v>
      </c>
      <c r="D1268" s="199">
        <v>440</v>
      </c>
      <c r="E1268" s="199">
        <v>3934226.97</v>
      </c>
      <c r="F1268" s="199">
        <v>973520.18</v>
      </c>
      <c r="G1268" s="199">
        <f>'Mail Merge'!$E1268+'Mail Merge'!$F1268</f>
        <v>4907747.1500000004</v>
      </c>
      <c r="H1268" s="199">
        <v>0</v>
      </c>
      <c r="I1268" s="199" t="s">
        <v>241</v>
      </c>
      <c r="J1268" s="202">
        <f>IFERROR('Mail Merge'!$E1268/'Mail Merge'!$D1268,0)</f>
        <v>8941.4249318181828</v>
      </c>
      <c r="K1268" s="199">
        <f>IFERROR('Mail Merge'!$F1268/'Mail Merge'!$D1268,0)</f>
        <v>2212.5458636363637</v>
      </c>
      <c r="L1268" s="203">
        <f>IFERROR('Mail Merge'!$G1268/'Mail Merge'!$D1268,0)</f>
        <v>11153.970795454547</v>
      </c>
      <c r="M1268" s="199">
        <v>0</v>
      </c>
      <c r="N1268" s="199" t="s">
        <v>241</v>
      </c>
      <c r="O1268" s="199">
        <v>479010.9</v>
      </c>
      <c r="P1268" s="199">
        <v>7317.9</v>
      </c>
      <c r="Q1268" s="199">
        <f>'Mail Merge'!$O1268+'Mail Merge'!$P1268</f>
        <v>486328.80000000005</v>
      </c>
      <c r="R1268" s="199"/>
      <c r="S1268" s="199"/>
      <c r="T1268" s="199"/>
      <c r="U1268" s="199">
        <f>IF(AND('Mail Merge'!$I1268="Did Not Meet",'Mail Merge'!$N1268="Did Not Meet"),MIN(ABS('Mail Merge'!$H1268),ABS('Mail Merge'!$M1268),'Mail Merge'!$Q1268),0)</f>
        <v>0</v>
      </c>
      <c r="V1268" s="199" t="str">
        <f>IF(OR(IFERROR(SEARCH("Met",'Mail Merge'!$N1268),0)&gt;0,IFERROR(SEARCH("Met",'Mail Merge'!$I1268),0)&gt;0),"Met","Not Met")</f>
        <v>Met</v>
      </c>
    </row>
    <row r="1269" spans="1:22" x14ac:dyDescent="0.35">
      <c r="A1269" s="200" t="s">
        <v>107</v>
      </c>
      <c r="B1269" s="201">
        <v>2140</v>
      </c>
      <c r="C1269" s="201" t="s">
        <v>18</v>
      </c>
      <c r="D1269" s="201">
        <v>132</v>
      </c>
      <c r="E1269" s="201">
        <v>1063129.82</v>
      </c>
      <c r="F1269" s="201">
        <v>135980.26999999999</v>
      </c>
      <c r="G1269" s="201">
        <f>'Mail Merge'!$E1269+'Mail Merge'!$F1269</f>
        <v>1199110.0900000001</v>
      </c>
      <c r="H1269" s="201">
        <v>0</v>
      </c>
      <c r="I1269" s="201" t="s">
        <v>241</v>
      </c>
      <c r="J1269" s="204">
        <f>IFERROR('Mail Merge'!$E1269/'Mail Merge'!$D1269,0)</f>
        <v>8054.0137878787882</v>
      </c>
      <c r="K1269" s="201">
        <f>IFERROR('Mail Merge'!$F1269/'Mail Merge'!$D1269,0)</f>
        <v>1030.1535606060606</v>
      </c>
      <c r="L1269" s="205">
        <f>IFERROR('Mail Merge'!$G1269/'Mail Merge'!$D1269,0)</f>
        <v>9084.1673484848488</v>
      </c>
      <c r="M1269" s="201">
        <v>0</v>
      </c>
      <c r="N1269" s="201" t="s">
        <v>241</v>
      </c>
      <c r="O1269" s="201">
        <v>142426.98000000001</v>
      </c>
      <c r="P1269" s="201">
        <v>909.74</v>
      </c>
      <c r="Q1269" s="201">
        <f>'Mail Merge'!$O1269+'Mail Merge'!$P1269</f>
        <v>143336.72</v>
      </c>
      <c r="R1269" s="201"/>
      <c r="S1269" s="201"/>
      <c r="T1269" s="201"/>
      <c r="U1269" s="201">
        <f>IF(AND('Mail Merge'!$I1269="Did Not Meet",'Mail Merge'!$N1269="Did Not Meet"),MIN(ABS('Mail Merge'!$H1269),ABS('Mail Merge'!$M1269),'Mail Merge'!$Q1269),0)</f>
        <v>0</v>
      </c>
      <c r="V1269" s="201" t="str">
        <f>IF(OR(IFERROR(SEARCH("Met",'Mail Merge'!$N1269),0)&gt;0,IFERROR(SEARCH("Met",'Mail Merge'!$I1269),0)&gt;0),"Met","Not Met")</f>
        <v>Met</v>
      </c>
    </row>
    <row r="1270" spans="1:22" x14ac:dyDescent="0.35">
      <c r="A1270" s="198" t="s">
        <v>108</v>
      </c>
      <c r="B1270" s="199">
        <v>1934</v>
      </c>
      <c r="C1270" s="199" t="s">
        <v>18</v>
      </c>
      <c r="D1270" s="199">
        <v>15</v>
      </c>
      <c r="E1270" s="199">
        <v>278181.03999999998</v>
      </c>
      <c r="F1270" s="199">
        <v>51066</v>
      </c>
      <c r="G1270" s="199">
        <f>'Mail Merge'!$E1270+'Mail Merge'!$F1270</f>
        <v>329247.03999999998</v>
      </c>
      <c r="H1270" s="199">
        <v>0</v>
      </c>
      <c r="I1270" s="199" t="s">
        <v>241</v>
      </c>
      <c r="J1270" s="202">
        <f>IFERROR('Mail Merge'!$E1270/'Mail Merge'!$D1270,0)</f>
        <v>18545.402666666665</v>
      </c>
      <c r="K1270" s="199">
        <f>IFERROR('Mail Merge'!$F1270/'Mail Merge'!$D1270,0)</f>
        <v>3404.4</v>
      </c>
      <c r="L1270" s="203">
        <f>IFERROR('Mail Merge'!$G1270/'Mail Merge'!$D1270,0)</f>
        <v>21949.802666666666</v>
      </c>
      <c r="M1270" s="199">
        <v>0</v>
      </c>
      <c r="N1270" s="199" t="s">
        <v>241</v>
      </c>
      <c r="O1270" s="199">
        <v>24798.01</v>
      </c>
      <c r="P1270" s="199">
        <v>970.38</v>
      </c>
      <c r="Q1270" s="199">
        <f>'Mail Merge'!$O1270+'Mail Merge'!$P1270</f>
        <v>25768.39</v>
      </c>
      <c r="R1270" s="199"/>
      <c r="S1270" s="199"/>
      <c r="T1270" s="199"/>
      <c r="U1270" s="199">
        <f>IF(AND('Mail Merge'!$I1270="Did Not Meet",'Mail Merge'!$N1270="Did Not Meet"),MIN(ABS('Mail Merge'!$H1270),ABS('Mail Merge'!$M1270),'Mail Merge'!$Q1270),0)</f>
        <v>0</v>
      </c>
      <c r="V1270" s="199" t="str">
        <f>IF(OR(IFERROR(SEARCH("Met",'Mail Merge'!$N1270),0)&gt;0,IFERROR(SEARCH("Met",'Mail Merge'!$I1270),0)&gt;0),"Met","Not Met")</f>
        <v>Met</v>
      </c>
    </row>
    <row r="1271" spans="1:22" x14ac:dyDescent="0.35">
      <c r="A1271" s="200" t="s">
        <v>109</v>
      </c>
      <c r="B1271" s="201">
        <v>2008</v>
      </c>
      <c r="C1271" s="201" t="s">
        <v>18</v>
      </c>
      <c r="D1271" s="201">
        <v>96</v>
      </c>
      <c r="E1271" s="201">
        <v>803104.23</v>
      </c>
      <c r="F1271" s="201">
        <v>168502.98</v>
      </c>
      <c r="G1271" s="201">
        <f>'Mail Merge'!$E1271+'Mail Merge'!$F1271</f>
        <v>971607.21</v>
      </c>
      <c r="H1271" s="201">
        <v>0</v>
      </c>
      <c r="I1271" s="201" t="s">
        <v>241</v>
      </c>
      <c r="J1271" s="204">
        <f>IFERROR('Mail Merge'!$E1271/'Mail Merge'!$D1271,0)</f>
        <v>8365.6690624999992</v>
      </c>
      <c r="K1271" s="201">
        <f>IFERROR('Mail Merge'!$F1271/'Mail Merge'!$D1271,0)</f>
        <v>1755.2393750000001</v>
      </c>
      <c r="L1271" s="205">
        <f>IFERROR('Mail Merge'!$G1271/'Mail Merge'!$D1271,0)</f>
        <v>10120.9084375</v>
      </c>
      <c r="M1271" s="201">
        <v>0</v>
      </c>
      <c r="N1271" s="201" t="s">
        <v>241</v>
      </c>
      <c r="O1271" s="201">
        <v>137792.32999999999</v>
      </c>
      <c r="P1271" s="201">
        <v>889.52</v>
      </c>
      <c r="Q1271" s="201">
        <f>'Mail Merge'!$O1271+'Mail Merge'!$P1271</f>
        <v>138681.84999999998</v>
      </c>
      <c r="R1271" s="201"/>
      <c r="S1271" s="201"/>
      <c r="T1271" s="201"/>
      <c r="U1271" s="201">
        <f>IF(AND('Mail Merge'!$I1271="Did Not Meet",'Mail Merge'!$N1271="Did Not Meet"),MIN(ABS('Mail Merge'!$H1271),ABS('Mail Merge'!$M1271),'Mail Merge'!$Q1271),0)</f>
        <v>0</v>
      </c>
      <c r="V1271" s="201" t="str">
        <f>IF(OR(IFERROR(SEARCH("Met",'Mail Merge'!$N1271),0)&gt;0,IFERROR(SEARCH("Met",'Mail Merge'!$I1271),0)&gt;0),"Met","Not Met")</f>
        <v>Met</v>
      </c>
    </row>
    <row r="1272" spans="1:22" x14ac:dyDescent="0.35">
      <c r="A1272" s="198" t="s">
        <v>110</v>
      </c>
      <c r="B1272" s="199">
        <v>2107</v>
      </c>
      <c r="C1272" s="199" t="s">
        <v>18</v>
      </c>
      <c r="D1272" s="199">
        <v>8</v>
      </c>
      <c r="E1272" s="199">
        <v>67084.36</v>
      </c>
      <c r="F1272" s="199">
        <v>50912.2</v>
      </c>
      <c r="G1272" s="199">
        <f>'Mail Merge'!$E1272+'Mail Merge'!$F1272</f>
        <v>117996.56</v>
      </c>
      <c r="H1272" s="199">
        <v>0</v>
      </c>
      <c r="I1272" s="199" t="s">
        <v>241</v>
      </c>
      <c r="J1272" s="202">
        <f>IFERROR('Mail Merge'!$E1272/'Mail Merge'!$D1272,0)</f>
        <v>8385.5450000000001</v>
      </c>
      <c r="K1272" s="199">
        <f>IFERROR('Mail Merge'!$F1272/'Mail Merge'!$D1272,0)</f>
        <v>6364.0249999999996</v>
      </c>
      <c r="L1272" s="203">
        <f>IFERROR('Mail Merge'!$G1272/'Mail Merge'!$D1272,0)</f>
        <v>14749.57</v>
      </c>
      <c r="M1272" s="199">
        <v>1534.93</v>
      </c>
      <c r="N1272" s="199" t="s">
        <v>240</v>
      </c>
      <c r="O1272" s="199">
        <v>17897.490000000002</v>
      </c>
      <c r="P1272" s="199">
        <v>485.19</v>
      </c>
      <c r="Q1272" s="199">
        <f>'Mail Merge'!$O1272+'Mail Merge'!$P1272</f>
        <v>18382.68</v>
      </c>
      <c r="R1272" s="199"/>
      <c r="S1272" s="199"/>
      <c r="T1272" s="199">
        <v>1634.78</v>
      </c>
      <c r="U1272" s="199">
        <f>IF(AND('Mail Merge'!$I1272="Did Not Meet",'Mail Merge'!$N1272="Did Not Meet"),MIN(ABS('Mail Merge'!$H1272),ABS('Mail Merge'!$M1272),'Mail Merge'!$Q1272),0)</f>
        <v>0</v>
      </c>
      <c r="V1272" s="199" t="str">
        <f>IF(OR(IFERROR(SEARCH("Met",'Mail Merge'!$N1272),0)&gt;0,IFERROR(SEARCH("Met",'Mail Merge'!$I1272),0)&gt;0),"Met","Not Met")</f>
        <v>Met</v>
      </c>
    </row>
    <row r="1273" spans="1:22" x14ac:dyDescent="0.35">
      <c r="A1273" s="200" t="s">
        <v>111</v>
      </c>
      <c r="B1273" s="201">
        <v>2219</v>
      </c>
      <c r="C1273" s="201" t="s">
        <v>18</v>
      </c>
      <c r="D1273" s="201">
        <v>28</v>
      </c>
      <c r="E1273" s="201">
        <v>112899.75</v>
      </c>
      <c r="F1273" s="201">
        <v>152281.66</v>
      </c>
      <c r="G1273" s="201">
        <f>'Mail Merge'!$E1273+'Mail Merge'!$F1273</f>
        <v>265181.41000000003</v>
      </c>
      <c r="H1273" s="201">
        <v>0</v>
      </c>
      <c r="I1273" s="201" t="s">
        <v>241</v>
      </c>
      <c r="J1273" s="204">
        <f>IFERROR('Mail Merge'!$E1273/'Mail Merge'!$D1273,0)</f>
        <v>4032.1339285714284</v>
      </c>
      <c r="K1273" s="201">
        <f>IFERROR('Mail Merge'!$F1273/'Mail Merge'!$D1273,0)</f>
        <v>5438.630714285714</v>
      </c>
      <c r="L1273" s="205">
        <f>IFERROR('Mail Merge'!$G1273/'Mail Merge'!$D1273,0)</f>
        <v>9470.7646428571443</v>
      </c>
      <c r="M1273" s="201">
        <v>28709.56</v>
      </c>
      <c r="N1273" s="201" t="s">
        <v>240</v>
      </c>
      <c r="O1273" s="201">
        <v>49897.29</v>
      </c>
      <c r="P1273" s="201">
        <v>606.49</v>
      </c>
      <c r="Q1273" s="201">
        <f>'Mail Merge'!$O1273+'Mail Merge'!$P1273</f>
        <v>50503.78</v>
      </c>
      <c r="R1273" s="201"/>
      <c r="S1273" s="201"/>
      <c r="T1273" s="201">
        <v>0</v>
      </c>
      <c r="U1273" s="201">
        <f>IF(AND('Mail Merge'!$I1273="Did Not Meet",'Mail Merge'!$N1273="Did Not Meet"),MIN(ABS('Mail Merge'!$H1273),ABS('Mail Merge'!$M1273),'Mail Merge'!$Q1273),0)</f>
        <v>0</v>
      </c>
      <c r="V1273" s="201" t="str">
        <f>IF(OR(IFERROR(SEARCH("Met",'Mail Merge'!$N1273),0)&gt;0,IFERROR(SEARCH("Met",'Mail Merge'!$I1273),0)&gt;0),"Met","Not Met")</f>
        <v>Met</v>
      </c>
    </row>
    <row r="1274" spans="1:22" x14ac:dyDescent="0.35">
      <c r="A1274" s="198" t="s">
        <v>112</v>
      </c>
      <c r="B1274" s="199">
        <v>2091</v>
      </c>
      <c r="C1274" s="199" t="s">
        <v>18</v>
      </c>
      <c r="D1274" s="199">
        <v>239</v>
      </c>
      <c r="E1274" s="199">
        <v>1607384.62</v>
      </c>
      <c r="F1274" s="199">
        <v>442220</v>
      </c>
      <c r="G1274" s="199">
        <f>'Mail Merge'!$E1274+'Mail Merge'!$F1274</f>
        <v>2049604.62</v>
      </c>
      <c r="H1274" s="199">
        <v>0</v>
      </c>
      <c r="I1274" s="199" t="s">
        <v>241</v>
      </c>
      <c r="J1274" s="202">
        <f>IFERROR('Mail Merge'!$E1274/'Mail Merge'!$D1274,0)</f>
        <v>6725.4586610878669</v>
      </c>
      <c r="K1274" s="199">
        <f>IFERROR('Mail Merge'!$F1274/'Mail Merge'!$D1274,0)</f>
        <v>1850.2928870292887</v>
      </c>
      <c r="L1274" s="203">
        <f>IFERROR('Mail Merge'!$G1274/'Mail Merge'!$D1274,0)</f>
        <v>8575.7515481171558</v>
      </c>
      <c r="M1274" s="199">
        <v>67938.539999999994</v>
      </c>
      <c r="N1274" s="199" t="s">
        <v>240</v>
      </c>
      <c r="O1274" s="199">
        <v>308555.31</v>
      </c>
      <c r="P1274" s="199">
        <v>2953.35</v>
      </c>
      <c r="Q1274" s="199">
        <f>'Mail Merge'!$O1274+'Mail Merge'!$P1274</f>
        <v>311508.65999999997</v>
      </c>
      <c r="R1274" s="199"/>
      <c r="S1274" s="199"/>
      <c r="T1274" s="199">
        <v>588.88</v>
      </c>
      <c r="U1274" s="199">
        <f>IF(AND('Mail Merge'!$I1274="Did Not Meet",'Mail Merge'!$N1274="Did Not Meet"),MIN(ABS('Mail Merge'!$H1274),ABS('Mail Merge'!$M1274),'Mail Merge'!$Q1274),0)</f>
        <v>0</v>
      </c>
      <c r="V1274" s="199" t="str">
        <f>IF(OR(IFERROR(SEARCH("Met",'Mail Merge'!$N1274),0)&gt;0,IFERROR(SEARCH("Met",'Mail Merge'!$I1274),0)&gt;0),"Met","Not Met")</f>
        <v>Met</v>
      </c>
    </row>
    <row r="1275" spans="1:22" x14ac:dyDescent="0.35">
      <c r="A1275" s="200" t="s">
        <v>113</v>
      </c>
      <c r="B1275" s="201">
        <v>2109</v>
      </c>
      <c r="C1275" s="201" t="s">
        <v>18</v>
      </c>
      <c r="D1275" s="201">
        <v>0</v>
      </c>
      <c r="E1275" s="201">
        <v>0</v>
      </c>
      <c r="F1275" s="201">
        <v>10366.42</v>
      </c>
      <c r="G1275" s="201">
        <f>'Mail Merge'!$E1275+'Mail Merge'!$F1275</f>
        <v>10366.42</v>
      </c>
      <c r="H1275" s="201">
        <v>0</v>
      </c>
      <c r="I1275" s="201" t="s">
        <v>241</v>
      </c>
      <c r="J1275" s="204">
        <f>IFERROR('Mail Merge'!$E1275/'Mail Merge'!$D1275,0)</f>
        <v>0</v>
      </c>
      <c r="K1275" s="201">
        <f>IFERROR('Mail Merge'!$F1275/'Mail Merge'!$D1275,0)</f>
        <v>0</v>
      </c>
      <c r="L1275" s="205">
        <f>IFERROR('Mail Merge'!$G1275/'Mail Merge'!$D1275,0)</f>
        <v>0</v>
      </c>
      <c r="M1275" s="201">
        <v>0</v>
      </c>
      <c r="N1275" s="201" t="s">
        <v>242</v>
      </c>
      <c r="O1275" s="201">
        <v>1645.78</v>
      </c>
      <c r="P1275" s="201">
        <v>0</v>
      </c>
      <c r="Q1275" s="201">
        <f>'Mail Merge'!$O1275+'Mail Merge'!$P1275</f>
        <v>1645.78</v>
      </c>
      <c r="R1275" s="201"/>
      <c r="S1275" s="201"/>
      <c r="T1275" s="201">
        <v>2914.32</v>
      </c>
      <c r="U1275" s="201">
        <f>IF(AND('Mail Merge'!$I1275="Did Not Meet",'Mail Merge'!$N1275="Did Not Meet"),MIN(ABS('Mail Merge'!$H1275),ABS('Mail Merge'!$M1275),'Mail Merge'!$Q1275),0)</f>
        <v>0</v>
      </c>
      <c r="V1275" s="201" t="str">
        <f>IF(OR(IFERROR(SEARCH("Met",'Mail Merge'!$N1275),0)&gt;0,IFERROR(SEARCH("Met",'Mail Merge'!$I1275),0)&gt;0),"Met","Not Met")</f>
        <v>Met</v>
      </c>
    </row>
    <row r="1276" spans="1:22" x14ac:dyDescent="0.35">
      <c r="A1276" s="198" t="s">
        <v>114</v>
      </c>
      <c r="B1276" s="199">
        <v>2057</v>
      </c>
      <c r="C1276" s="199" t="s">
        <v>18</v>
      </c>
      <c r="D1276" s="199">
        <v>876</v>
      </c>
      <c r="E1276" s="199">
        <v>6735694.7999999998</v>
      </c>
      <c r="F1276" s="199">
        <v>324239.26</v>
      </c>
      <c r="G1276" s="199">
        <f>'Mail Merge'!$E1276+'Mail Merge'!$F1276</f>
        <v>7059934.0599999996</v>
      </c>
      <c r="H1276" s="199">
        <v>0</v>
      </c>
      <c r="I1276" s="199" t="s">
        <v>241</v>
      </c>
      <c r="J1276" s="202">
        <f>IFERROR('Mail Merge'!$E1276/'Mail Merge'!$D1276,0)</f>
        <v>7689.1493150684928</v>
      </c>
      <c r="K1276" s="199">
        <f>IFERROR('Mail Merge'!$F1276/'Mail Merge'!$D1276,0)</f>
        <v>370.13614155251145</v>
      </c>
      <c r="L1276" s="203">
        <f>IFERROR('Mail Merge'!$G1276/'Mail Merge'!$D1276,0)</f>
        <v>8059.2854566210044</v>
      </c>
      <c r="M1276" s="199">
        <v>0</v>
      </c>
      <c r="N1276" s="199" t="s">
        <v>241</v>
      </c>
      <c r="O1276" s="199">
        <v>1193750.3400000001</v>
      </c>
      <c r="P1276" s="199">
        <v>10750.64</v>
      </c>
      <c r="Q1276" s="199">
        <f>'Mail Merge'!$O1276+'Mail Merge'!$P1276</f>
        <v>1204500.98</v>
      </c>
      <c r="R1276" s="199"/>
      <c r="S1276" s="199"/>
      <c r="T1276" s="199"/>
      <c r="U1276" s="199">
        <f>IF(AND('Mail Merge'!$I1276="Did Not Meet",'Mail Merge'!$N1276="Did Not Meet"),MIN(ABS('Mail Merge'!$H1276),ABS('Mail Merge'!$M1276),'Mail Merge'!$Q1276),0)</f>
        <v>0</v>
      </c>
      <c r="V1276" s="199" t="str">
        <f>IF(OR(IFERROR(SEARCH("Met",'Mail Merge'!$N1276),0)&gt;0,IFERROR(SEARCH("Met",'Mail Merge'!$I1276),0)&gt;0),"Met","Not Met")</f>
        <v>Met</v>
      </c>
    </row>
    <row r="1277" spans="1:22" x14ac:dyDescent="0.35">
      <c r="A1277" s="200" t="s">
        <v>115</v>
      </c>
      <c r="B1277" s="201">
        <v>2056</v>
      </c>
      <c r="C1277" s="201" t="s">
        <v>18</v>
      </c>
      <c r="D1277" s="201">
        <v>413</v>
      </c>
      <c r="E1277" s="201">
        <v>3457935.2</v>
      </c>
      <c r="F1277" s="201">
        <v>48411.19</v>
      </c>
      <c r="G1277" s="201">
        <f>'Mail Merge'!$E1277+'Mail Merge'!$F1277</f>
        <v>3506346.39</v>
      </c>
      <c r="H1277" s="201">
        <v>0</v>
      </c>
      <c r="I1277" s="201" t="s">
        <v>241</v>
      </c>
      <c r="J1277" s="204">
        <f>IFERROR('Mail Merge'!$E1277/'Mail Merge'!$D1277,0)</f>
        <v>8372.724455205811</v>
      </c>
      <c r="K1277" s="201">
        <f>IFERROR('Mail Merge'!$F1277/'Mail Merge'!$D1277,0)</f>
        <v>117.21837772397095</v>
      </c>
      <c r="L1277" s="205">
        <f>IFERROR('Mail Merge'!$G1277/'Mail Merge'!$D1277,0)</f>
        <v>8489.9428329297825</v>
      </c>
      <c r="M1277" s="201">
        <v>0</v>
      </c>
      <c r="N1277" s="201" t="s">
        <v>241</v>
      </c>
      <c r="O1277" s="201">
        <v>642641.53</v>
      </c>
      <c r="P1277" s="201">
        <v>5337.12</v>
      </c>
      <c r="Q1277" s="201">
        <f>'Mail Merge'!$O1277+'Mail Merge'!$P1277</f>
        <v>647978.65</v>
      </c>
      <c r="R1277" s="201"/>
      <c r="S1277" s="201"/>
      <c r="T1277" s="201"/>
      <c r="U1277" s="201">
        <f>IF(AND('Mail Merge'!$I1277="Did Not Meet",'Mail Merge'!$N1277="Did Not Meet"),MIN(ABS('Mail Merge'!$H1277),ABS('Mail Merge'!$M1277),'Mail Merge'!$Q1277),0)</f>
        <v>0</v>
      </c>
      <c r="V1277" s="201" t="str">
        <f>IF(OR(IFERROR(SEARCH("Met",'Mail Merge'!$N1277),0)&gt;0,IFERROR(SEARCH("Met",'Mail Merge'!$I1277),0)&gt;0),"Met","Not Met")</f>
        <v>Met</v>
      </c>
    </row>
    <row r="1278" spans="1:22" x14ac:dyDescent="0.35">
      <c r="A1278" s="198" t="s">
        <v>116</v>
      </c>
      <c r="B1278" s="199">
        <v>2262</v>
      </c>
      <c r="C1278" s="199" t="s">
        <v>18</v>
      </c>
      <c r="D1278" s="199">
        <v>85</v>
      </c>
      <c r="E1278" s="199">
        <v>626637.64</v>
      </c>
      <c r="F1278" s="199">
        <v>104434</v>
      </c>
      <c r="G1278" s="199">
        <f>'Mail Merge'!$E1278+'Mail Merge'!$F1278</f>
        <v>731071.64</v>
      </c>
      <c r="H1278" s="199">
        <v>0</v>
      </c>
      <c r="I1278" s="199" t="s">
        <v>241</v>
      </c>
      <c r="J1278" s="202">
        <f>IFERROR('Mail Merge'!$E1278/'Mail Merge'!$D1278,0)</f>
        <v>7372.2075294117649</v>
      </c>
      <c r="K1278" s="199">
        <f>IFERROR('Mail Merge'!$F1278/'Mail Merge'!$D1278,0)</f>
        <v>1228.6352941176472</v>
      </c>
      <c r="L1278" s="203">
        <f>IFERROR('Mail Merge'!$G1278/'Mail Merge'!$D1278,0)</f>
        <v>8600.8428235294123</v>
      </c>
      <c r="M1278" s="199">
        <v>0</v>
      </c>
      <c r="N1278" s="199" t="s">
        <v>241</v>
      </c>
      <c r="O1278" s="199">
        <v>78158.47</v>
      </c>
      <c r="P1278" s="199">
        <v>377.37</v>
      </c>
      <c r="Q1278" s="199">
        <f>'Mail Merge'!$O1278+'Mail Merge'!$P1278</f>
        <v>78535.839999999997</v>
      </c>
      <c r="R1278" s="199"/>
      <c r="S1278" s="199"/>
      <c r="T1278" s="199"/>
      <c r="U1278" s="199">
        <f>IF(AND('Mail Merge'!$I1278="Did Not Meet",'Mail Merge'!$N1278="Did Not Meet"),MIN(ABS('Mail Merge'!$H1278),ABS('Mail Merge'!$M1278),'Mail Merge'!$Q1278),0)</f>
        <v>0</v>
      </c>
      <c r="V1278" s="199" t="str">
        <f>IF(OR(IFERROR(SEARCH("Met",'Mail Merge'!$N1278),0)&gt;0,IFERROR(SEARCH("Met",'Mail Merge'!$I1278),0)&gt;0),"Met","Not Met")</f>
        <v>Met</v>
      </c>
    </row>
    <row r="1279" spans="1:22" x14ac:dyDescent="0.35">
      <c r="A1279" s="200" t="s">
        <v>117</v>
      </c>
      <c r="B1279" s="201">
        <v>2212</v>
      </c>
      <c r="C1279" s="201" t="s">
        <v>18</v>
      </c>
      <c r="D1279" s="201">
        <v>304</v>
      </c>
      <c r="E1279" s="201">
        <v>2466892.73</v>
      </c>
      <c r="F1279" s="201">
        <v>303947.18</v>
      </c>
      <c r="G1279" s="201">
        <f>'Mail Merge'!$E1279+'Mail Merge'!$F1279</f>
        <v>2770839.91</v>
      </c>
      <c r="H1279" s="201">
        <v>0</v>
      </c>
      <c r="I1279" s="201" t="s">
        <v>241</v>
      </c>
      <c r="J1279" s="204">
        <f>IFERROR('Mail Merge'!$E1279/'Mail Merge'!$D1279,0)</f>
        <v>8114.7787171052632</v>
      </c>
      <c r="K1279" s="201">
        <f>IFERROR('Mail Merge'!$F1279/'Mail Merge'!$D1279,0)</f>
        <v>999.82624999999996</v>
      </c>
      <c r="L1279" s="205">
        <f>IFERROR('Mail Merge'!$G1279/'Mail Merge'!$D1279,0)</f>
        <v>9114.6049671052642</v>
      </c>
      <c r="M1279" s="201">
        <v>0</v>
      </c>
      <c r="N1279" s="201" t="s">
        <v>241</v>
      </c>
      <c r="O1279" s="201">
        <v>435867.23</v>
      </c>
      <c r="P1279" s="201">
        <v>1672.37</v>
      </c>
      <c r="Q1279" s="201">
        <f>'Mail Merge'!$O1279+'Mail Merge'!$P1279</f>
        <v>437539.6</v>
      </c>
      <c r="R1279" s="201"/>
      <c r="S1279" s="201"/>
      <c r="T1279" s="201"/>
      <c r="U1279" s="201">
        <f>IF(AND('Mail Merge'!$I1279="Did Not Meet",'Mail Merge'!$N1279="Did Not Meet"),MIN(ABS('Mail Merge'!$H1279),ABS('Mail Merge'!$M1279),'Mail Merge'!$Q1279),0)</f>
        <v>0</v>
      </c>
      <c r="V1279" s="201" t="str">
        <f>IF(OR(IFERROR(SEARCH("Met",'Mail Merge'!$N1279),0)&gt;0,IFERROR(SEARCH("Met",'Mail Merge'!$I1279),0)&gt;0),"Met","Not Met")</f>
        <v>Met</v>
      </c>
    </row>
    <row r="1280" spans="1:22" x14ac:dyDescent="0.35">
      <c r="A1280" s="198" t="s">
        <v>118</v>
      </c>
      <c r="B1280" s="199">
        <v>2059</v>
      </c>
      <c r="C1280" s="199" t="s">
        <v>18</v>
      </c>
      <c r="D1280" s="199">
        <v>97</v>
      </c>
      <c r="E1280" s="199">
        <v>441259.34</v>
      </c>
      <c r="F1280" s="199">
        <v>268118.5</v>
      </c>
      <c r="G1280" s="199">
        <f>'Mail Merge'!$E1280+'Mail Merge'!$F1280</f>
        <v>709377.84000000008</v>
      </c>
      <c r="H1280" s="199">
        <v>0</v>
      </c>
      <c r="I1280" s="199" t="s">
        <v>242</v>
      </c>
      <c r="J1280" s="202">
        <f>IFERROR('Mail Merge'!$E1280/'Mail Merge'!$D1280,0)</f>
        <v>4549.0653608247421</v>
      </c>
      <c r="K1280" s="199">
        <f>IFERROR('Mail Merge'!$F1280/'Mail Merge'!$D1280,0)</f>
        <v>2764.1082474226805</v>
      </c>
      <c r="L1280" s="203">
        <f>IFERROR('Mail Merge'!$G1280/'Mail Merge'!$D1280,0)</f>
        <v>7313.1736082474235</v>
      </c>
      <c r="M1280" s="199">
        <v>0</v>
      </c>
      <c r="N1280" s="199" t="s">
        <v>241</v>
      </c>
      <c r="O1280" s="199">
        <v>137970.82999999999</v>
      </c>
      <c r="P1280" s="199">
        <v>2646.5</v>
      </c>
      <c r="Q1280" s="199">
        <f>'Mail Merge'!$O1280+'Mail Merge'!$P1280</f>
        <v>140617.32999999999</v>
      </c>
      <c r="R1280" s="199"/>
      <c r="S1280" s="199">
        <v>81076.13</v>
      </c>
      <c r="T1280" s="199"/>
      <c r="U1280" s="199">
        <f>IF(AND('Mail Merge'!$I1280="Did Not Meet",'Mail Merge'!$N1280="Did Not Meet"),MIN(ABS('Mail Merge'!$H1280),ABS('Mail Merge'!$M1280),'Mail Merge'!$Q1280),0)</f>
        <v>0</v>
      </c>
      <c r="V1280" s="199" t="str">
        <f>IF(OR(IFERROR(SEARCH("Met",'Mail Merge'!$N1280),0)&gt;0,IFERROR(SEARCH("Met",'Mail Merge'!$I1280),0)&gt;0),"Met","Not Met")</f>
        <v>Met</v>
      </c>
    </row>
    <row r="1281" spans="1:22" x14ac:dyDescent="0.35">
      <c r="A1281" s="200" t="s">
        <v>119</v>
      </c>
      <c r="B1281" s="201">
        <v>1923</v>
      </c>
      <c r="C1281" s="201" t="s">
        <v>18</v>
      </c>
      <c r="D1281" s="201">
        <v>640</v>
      </c>
      <c r="E1281" s="201">
        <v>11102832.199999999</v>
      </c>
      <c r="F1281" s="201">
        <v>224361</v>
      </c>
      <c r="G1281" s="201">
        <f>'Mail Merge'!$E1281+'Mail Merge'!$F1281</f>
        <v>11327193.199999999</v>
      </c>
      <c r="H1281" s="201">
        <v>0</v>
      </c>
      <c r="I1281" s="201" t="s">
        <v>241</v>
      </c>
      <c r="J1281" s="204">
        <f>IFERROR('Mail Merge'!$E1281/'Mail Merge'!$D1281,0)</f>
        <v>17348.1753125</v>
      </c>
      <c r="K1281" s="201">
        <f>IFERROR('Mail Merge'!$F1281/'Mail Merge'!$D1281,0)</f>
        <v>350.56406249999998</v>
      </c>
      <c r="L1281" s="205">
        <f>IFERROR('Mail Merge'!$G1281/'Mail Merge'!$D1281,0)</f>
        <v>17698.739374999997</v>
      </c>
      <c r="M1281" s="201">
        <v>450618.37</v>
      </c>
      <c r="N1281" s="201" t="s">
        <v>240</v>
      </c>
      <c r="O1281" s="201">
        <v>1013224.61</v>
      </c>
      <c r="P1281" s="201">
        <v>2549.3200000000002</v>
      </c>
      <c r="Q1281" s="201">
        <f>'Mail Merge'!$O1281+'Mail Merge'!$P1281</f>
        <v>1015773.9299999999</v>
      </c>
      <c r="R1281" s="201"/>
      <c r="S1281" s="201"/>
      <c r="T1281" s="201">
        <v>0</v>
      </c>
      <c r="U1281" s="201">
        <f>IF(AND('Mail Merge'!$I1281="Did Not Meet",'Mail Merge'!$N1281="Did Not Meet"),MIN(ABS('Mail Merge'!$H1281),ABS('Mail Merge'!$M1281),'Mail Merge'!$Q1281),0)</f>
        <v>0</v>
      </c>
      <c r="V1281" s="201" t="str">
        <f>IF(OR(IFERROR(SEARCH("Met",'Mail Merge'!$N1281),0)&gt;0,IFERROR(SEARCH("Met",'Mail Merge'!$I1281),0)&gt;0),"Met","Not Met")</f>
        <v>Met</v>
      </c>
    </row>
    <row r="1282" spans="1:22" x14ac:dyDescent="0.35">
      <c r="A1282" s="198" t="s">
        <v>120</v>
      </c>
      <c r="B1282" s="199">
        <v>2101</v>
      </c>
      <c r="C1282" s="199" t="s">
        <v>18</v>
      </c>
      <c r="D1282" s="199">
        <v>642</v>
      </c>
      <c r="E1282" s="199">
        <v>4780529.6500000004</v>
      </c>
      <c r="F1282" s="199">
        <v>848328</v>
      </c>
      <c r="G1282" s="199">
        <f>'Mail Merge'!$E1282+'Mail Merge'!$F1282</f>
        <v>5628857.6500000004</v>
      </c>
      <c r="H1282" s="199">
        <v>0</v>
      </c>
      <c r="I1282" s="199" t="s">
        <v>241</v>
      </c>
      <c r="J1282" s="202">
        <f>IFERROR('Mail Merge'!$E1282/'Mail Merge'!$D1282,0)</f>
        <v>7446.307866043614</v>
      </c>
      <c r="K1282" s="199">
        <f>IFERROR('Mail Merge'!$F1282/'Mail Merge'!$D1282,0)</f>
        <v>1321.3831775700935</v>
      </c>
      <c r="L1282" s="203">
        <f>IFERROR('Mail Merge'!$G1282/'Mail Merge'!$D1282,0)</f>
        <v>8767.6910436137077</v>
      </c>
      <c r="M1282" s="199">
        <v>0</v>
      </c>
      <c r="N1282" s="199" t="s">
        <v>241</v>
      </c>
      <c r="O1282" s="199">
        <v>753814.95</v>
      </c>
      <c r="P1282" s="199">
        <v>4602.1899999999996</v>
      </c>
      <c r="Q1282" s="199">
        <f>'Mail Merge'!$O1282+'Mail Merge'!$P1282</f>
        <v>758417.1399999999</v>
      </c>
      <c r="R1282" s="199"/>
      <c r="S1282" s="199"/>
      <c r="T1282" s="199"/>
      <c r="U1282" s="199">
        <f>IF(AND('Mail Merge'!$I1282="Did Not Meet",'Mail Merge'!$N1282="Did Not Meet"),MIN(ABS('Mail Merge'!$H1282),ABS('Mail Merge'!$M1282),'Mail Merge'!$Q1282),0)</f>
        <v>0</v>
      </c>
      <c r="V1282" s="199" t="str">
        <f>IF(OR(IFERROR(SEARCH("Met",'Mail Merge'!$N1282),0)&gt;0,IFERROR(SEARCH("Met",'Mail Merge'!$I1282),0)&gt;0),"Met","Not Met")</f>
        <v>Met</v>
      </c>
    </row>
    <row r="1283" spans="1:22" x14ac:dyDescent="0.35">
      <c r="A1283" s="200" t="s">
        <v>121</v>
      </c>
      <c r="B1283" s="201">
        <v>2097</v>
      </c>
      <c r="C1283" s="201" t="s">
        <v>18</v>
      </c>
      <c r="D1283" s="201">
        <v>701</v>
      </c>
      <c r="E1283" s="201">
        <v>6715341.7400000002</v>
      </c>
      <c r="F1283" s="201">
        <v>563018</v>
      </c>
      <c r="G1283" s="201">
        <f>'Mail Merge'!$E1283+'Mail Merge'!$F1283</f>
        <v>7278359.7400000002</v>
      </c>
      <c r="H1283" s="201">
        <v>0</v>
      </c>
      <c r="I1283" s="201" t="s">
        <v>241</v>
      </c>
      <c r="J1283" s="204">
        <f>IFERROR('Mail Merge'!$E1283/'Mail Merge'!$D1283,0)</f>
        <v>9579.660114122682</v>
      </c>
      <c r="K1283" s="201">
        <f>IFERROR('Mail Merge'!$F1283/'Mail Merge'!$D1283,0)</f>
        <v>803.16405135520688</v>
      </c>
      <c r="L1283" s="205">
        <f>IFERROR('Mail Merge'!$G1283/'Mail Merge'!$D1283,0)</f>
        <v>10382.824165477889</v>
      </c>
      <c r="M1283" s="201">
        <v>0</v>
      </c>
      <c r="N1283" s="201" t="s">
        <v>241</v>
      </c>
      <c r="O1283" s="201">
        <v>972916.86</v>
      </c>
      <c r="P1283" s="201">
        <v>12495.99</v>
      </c>
      <c r="Q1283" s="201">
        <f>'Mail Merge'!$O1283+'Mail Merge'!$P1283</f>
        <v>985412.85</v>
      </c>
      <c r="R1283" s="201"/>
      <c r="S1283" s="201"/>
      <c r="T1283" s="201"/>
      <c r="U1283" s="201">
        <f>IF(AND('Mail Merge'!$I1283="Did Not Meet",'Mail Merge'!$N1283="Did Not Meet"),MIN(ABS('Mail Merge'!$H1283),ABS('Mail Merge'!$M1283),'Mail Merge'!$Q1283),0)</f>
        <v>0</v>
      </c>
      <c r="V1283" s="201" t="str">
        <f>IF(OR(IFERROR(SEARCH("Met",'Mail Merge'!$N1283),0)&gt;0,IFERROR(SEARCH("Met",'Mail Merge'!$I1283),0)&gt;0),"Met","Not Met")</f>
        <v>Met</v>
      </c>
    </row>
    <row r="1284" spans="1:22" x14ac:dyDescent="0.35">
      <c r="A1284" s="198" t="s">
        <v>122</v>
      </c>
      <c r="B1284" s="199">
        <v>2012</v>
      </c>
      <c r="C1284" s="199" t="s">
        <v>18</v>
      </c>
      <c r="D1284" s="199">
        <v>5</v>
      </c>
      <c r="E1284" s="199">
        <v>24702.69</v>
      </c>
      <c r="F1284" s="199">
        <v>73323.83</v>
      </c>
      <c r="G1284" s="199">
        <f>'Mail Merge'!$E1284+'Mail Merge'!$F1284</f>
        <v>98026.52</v>
      </c>
      <c r="H1284" s="199">
        <v>0</v>
      </c>
      <c r="I1284" s="199" t="s">
        <v>241</v>
      </c>
      <c r="J1284" s="202">
        <f>IFERROR('Mail Merge'!$E1284/'Mail Merge'!$D1284,0)</f>
        <v>4940.5379999999996</v>
      </c>
      <c r="K1284" s="199">
        <f>IFERROR('Mail Merge'!$F1284/'Mail Merge'!$D1284,0)</f>
        <v>14664.766</v>
      </c>
      <c r="L1284" s="203">
        <f>IFERROR('Mail Merge'!$G1284/'Mail Merge'!$D1284,0)</f>
        <v>19605.304</v>
      </c>
      <c r="M1284" s="199">
        <v>101977.66</v>
      </c>
      <c r="N1284" s="199" t="s">
        <v>240</v>
      </c>
      <c r="O1284" s="199">
        <v>6101.63</v>
      </c>
      <c r="P1284" s="199">
        <v>0</v>
      </c>
      <c r="Q1284" s="199">
        <f>'Mail Merge'!$O1284+'Mail Merge'!$P1284</f>
        <v>6101.63</v>
      </c>
      <c r="R1284" s="199"/>
      <c r="S1284" s="199"/>
      <c r="T1284" s="199">
        <v>0</v>
      </c>
      <c r="U1284" s="199">
        <f>IF(AND('Mail Merge'!$I1284="Did Not Meet",'Mail Merge'!$N1284="Did Not Meet"),MIN(ABS('Mail Merge'!$H1284),ABS('Mail Merge'!$M1284),'Mail Merge'!$Q1284),0)</f>
        <v>0</v>
      </c>
      <c r="V1284" s="199" t="str">
        <f>IF(OR(IFERROR(SEARCH("Met",'Mail Merge'!$N1284),0)&gt;0,IFERROR(SEARCH("Met",'Mail Merge'!$I1284),0)&gt;0),"Met","Not Met")</f>
        <v>Met</v>
      </c>
    </row>
    <row r="1285" spans="1:22" x14ac:dyDescent="0.35">
      <c r="A1285" s="200" t="s">
        <v>123</v>
      </c>
      <c r="B1285" s="201">
        <v>2092</v>
      </c>
      <c r="C1285" s="201" t="s">
        <v>18</v>
      </c>
      <c r="D1285" s="201">
        <v>53</v>
      </c>
      <c r="E1285" s="201">
        <v>405350.28</v>
      </c>
      <c r="F1285" s="201">
        <v>128669</v>
      </c>
      <c r="G1285" s="201">
        <f>'Mail Merge'!$E1285+'Mail Merge'!$F1285</f>
        <v>534019.28</v>
      </c>
      <c r="H1285" s="201">
        <v>0</v>
      </c>
      <c r="I1285" s="201" t="s">
        <v>242</v>
      </c>
      <c r="J1285" s="204">
        <f>IFERROR('Mail Merge'!$E1285/'Mail Merge'!$D1285,0)</f>
        <v>7648.1184905660384</v>
      </c>
      <c r="K1285" s="201">
        <f>IFERROR('Mail Merge'!$F1285/'Mail Merge'!$D1285,0)</f>
        <v>2427.7169811320755</v>
      </c>
      <c r="L1285" s="205">
        <f>IFERROR('Mail Merge'!$G1285/'Mail Merge'!$D1285,0)</f>
        <v>10075.835471698114</v>
      </c>
      <c r="M1285" s="201">
        <v>52866.03</v>
      </c>
      <c r="N1285" s="201" t="s">
        <v>240</v>
      </c>
      <c r="O1285" s="201">
        <v>85278.58</v>
      </c>
      <c r="P1285" s="201">
        <v>485.19</v>
      </c>
      <c r="Q1285" s="201">
        <f>'Mail Merge'!$O1285+'Mail Merge'!$P1285</f>
        <v>85763.77</v>
      </c>
      <c r="R1285" s="201"/>
      <c r="S1285" s="201">
        <v>0</v>
      </c>
      <c r="T1285" s="201">
        <v>148.26</v>
      </c>
      <c r="U1285" s="201">
        <f>IF(AND('Mail Merge'!$I1285="Did Not Meet",'Mail Merge'!$N1285="Did Not Meet"),MIN(ABS('Mail Merge'!$H1285),ABS('Mail Merge'!$M1285),'Mail Merge'!$Q1285),0)</f>
        <v>0</v>
      </c>
      <c r="V1285" s="201" t="str">
        <f>IF(OR(IFERROR(SEARCH("Met",'Mail Merge'!$N1285),0)&gt;0,IFERROR(SEARCH("Met",'Mail Merge'!$I1285),0)&gt;0),"Met","Not Met")</f>
        <v>Met</v>
      </c>
    </row>
    <row r="1286" spans="1:22" x14ac:dyDescent="0.35">
      <c r="A1286" s="198" t="s">
        <v>124</v>
      </c>
      <c r="B1286" s="199">
        <v>2112</v>
      </c>
      <c r="C1286" s="199" t="s">
        <v>18</v>
      </c>
      <c r="D1286" s="199">
        <v>0</v>
      </c>
      <c r="E1286" s="199">
        <v>0</v>
      </c>
      <c r="F1286" s="199">
        <v>2337.91</v>
      </c>
      <c r="G1286" s="199">
        <f>'Mail Merge'!$E1286+'Mail Merge'!$F1286</f>
        <v>2337.91</v>
      </c>
      <c r="H1286" s="199">
        <v>0</v>
      </c>
      <c r="I1286" s="199" t="s">
        <v>241</v>
      </c>
      <c r="J1286" s="202">
        <f>IFERROR('Mail Merge'!$E1286/'Mail Merge'!$D1286,0)</f>
        <v>0</v>
      </c>
      <c r="K1286" s="199">
        <f>IFERROR('Mail Merge'!$F1286/'Mail Merge'!$D1286,0)</f>
        <v>0</v>
      </c>
      <c r="L1286" s="203">
        <f>IFERROR('Mail Merge'!$G1286/'Mail Merge'!$D1286,0)</f>
        <v>0</v>
      </c>
      <c r="M1286" s="199">
        <v>0</v>
      </c>
      <c r="N1286" s="199" t="s">
        <v>241</v>
      </c>
      <c r="O1286" s="199">
        <v>1177.6300000000001</v>
      </c>
      <c r="P1286" s="199">
        <v>0</v>
      </c>
      <c r="Q1286" s="199">
        <f>'Mail Merge'!$O1286+'Mail Merge'!$P1286</f>
        <v>1177.6300000000001</v>
      </c>
      <c r="R1286" s="199"/>
      <c r="S1286" s="199"/>
      <c r="T1286" s="199"/>
      <c r="U1286" s="199">
        <f>IF(AND('Mail Merge'!$I1286="Did Not Meet",'Mail Merge'!$N1286="Did Not Meet"),MIN(ABS('Mail Merge'!$H1286),ABS('Mail Merge'!$M1286),'Mail Merge'!$Q1286),0)</f>
        <v>0</v>
      </c>
      <c r="V1286" s="199" t="str">
        <f>IF(OR(IFERROR(SEARCH("Met",'Mail Merge'!$N1286),0)&gt;0,IFERROR(SEARCH("Met",'Mail Merge'!$I1286),0)&gt;0),"Met","Not Met")</f>
        <v>Met</v>
      </c>
    </row>
    <row r="1287" spans="1:22" x14ac:dyDescent="0.35">
      <c r="A1287" s="200" t="s">
        <v>125</v>
      </c>
      <c r="B1287" s="201">
        <v>2085</v>
      </c>
      <c r="C1287" s="201" t="s">
        <v>18</v>
      </c>
      <c r="D1287" s="201">
        <v>23</v>
      </c>
      <c r="E1287" s="201">
        <v>340533.72</v>
      </c>
      <c r="F1287" s="201">
        <v>81265</v>
      </c>
      <c r="G1287" s="201">
        <f>'Mail Merge'!$E1287+'Mail Merge'!$F1287</f>
        <v>421798.72</v>
      </c>
      <c r="H1287" s="201">
        <v>0</v>
      </c>
      <c r="I1287" s="201" t="s">
        <v>241</v>
      </c>
      <c r="J1287" s="204">
        <f>IFERROR('Mail Merge'!$E1287/'Mail Merge'!$D1287,0)</f>
        <v>14805.813913043477</v>
      </c>
      <c r="K1287" s="201">
        <f>IFERROR('Mail Merge'!$F1287/'Mail Merge'!$D1287,0)</f>
        <v>3533.2608695652175</v>
      </c>
      <c r="L1287" s="205">
        <f>IFERROR('Mail Merge'!$G1287/'Mail Merge'!$D1287,0)</f>
        <v>18339.074782608695</v>
      </c>
      <c r="M1287" s="201">
        <v>0</v>
      </c>
      <c r="N1287" s="201" t="s">
        <v>241</v>
      </c>
      <c r="O1287" s="201">
        <v>56370.87</v>
      </c>
      <c r="P1287" s="201">
        <v>0</v>
      </c>
      <c r="Q1287" s="201">
        <f>'Mail Merge'!$O1287+'Mail Merge'!$P1287</f>
        <v>56370.87</v>
      </c>
      <c r="R1287" s="201"/>
      <c r="S1287" s="201"/>
      <c r="T1287" s="201"/>
      <c r="U1287" s="201">
        <f>IF(AND('Mail Merge'!$I1287="Did Not Meet",'Mail Merge'!$N1287="Did Not Meet"),MIN(ABS('Mail Merge'!$H1287),ABS('Mail Merge'!$M1287),'Mail Merge'!$Q1287),0)</f>
        <v>0</v>
      </c>
      <c r="V1287" s="201" t="str">
        <f>IF(OR(IFERROR(SEARCH("Met",'Mail Merge'!$N1287),0)&gt;0,IFERROR(SEARCH("Met",'Mail Merge'!$I1287),0)&gt;0),"Met","Not Met")</f>
        <v>Met</v>
      </c>
    </row>
    <row r="1288" spans="1:22" x14ac:dyDescent="0.35">
      <c r="A1288" s="198" t="s">
        <v>126</v>
      </c>
      <c r="B1288" s="199">
        <v>2094</v>
      </c>
      <c r="C1288" s="199" t="s">
        <v>18</v>
      </c>
      <c r="D1288" s="199">
        <v>41</v>
      </c>
      <c r="E1288" s="199">
        <v>227844.15</v>
      </c>
      <c r="F1288" s="199">
        <v>90283</v>
      </c>
      <c r="G1288" s="199">
        <f>'Mail Merge'!$E1288+'Mail Merge'!$F1288</f>
        <v>318127.15000000002</v>
      </c>
      <c r="H1288" s="199">
        <v>0</v>
      </c>
      <c r="I1288" s="199" t="s">
        <v>241</v>
      </c>
      <c r="J1288" s="202">
        <f>IFERROR('Mail Merge'!$E1288/'Mail Merge'!$D1288,0)</f>
        <v>5557.1743902439021</v>
      </c>
      <c r="K1288" s="199">
        <f>IFERROR('Mail Merge'!$F1288/'Mail Merge'!$D1288,0)</f>
        <v>2202.0243902439024</v>
      </c>
      <c r="L1288" s="203">
        <f>IFERROR('Mail Merge'!$G1288/'Mail Merge'!$D1288,0)</f>
        <v>7759.1987804878054</v>
      </c>
      <c r="M1288" s="199">
        <v>99915.58</v>
      </c>
      <c r="N1288" s="199" t="s">
        <v>240</v>
      </c>
      <c r="O1288" s="199">
        <v>46693.599999999999</v>
      </c>
      <c r="P1288" s="199">
        <v>0</v>
      </c>
      <c r="Q1288" s="199">
        <f>'Mail Merge'!$O1288+'Mail Merge'!$P1288</f>
        <v>46693.599999999999</v>
      </c>
      <c r="R1288" s="199"/>
      <c r="S1288" s="199"/>
      <c r="T1288" s="199">
        <v>253.34</v>
      </c>
      <c r="U1288" s="199">
        <f>IF(AND('Mail Merge'!$I1288="Did Not Meet",'Mail Merge'!$N1288="Did Not Meet"),MIN(ABS('Mail Merge'!$H1288),ABS('Mail Merge'!$M1288),'Mail Merge'!$Q1288),0)</f>
        <v>0</v>
      </c>
      <c r="V1288" s="199" t="str">
        <f>IF(OR(IFERROR(SEARCH("Met",'Mail Merge'!$N1288),0)&gt;0,IFERROR(SEARCH("Met",'Mail Merge'!$I1288),0)&gt;0),"Met","Not Met")</f>
        <v>Met</v>
      </c>
    </row>
    <row r="1289" spans="1:22" x14ac:dyDescent="0.35">
      <c r="A1289" s="200" t="s">
        <v>127</v>
      </c>
      <c r="B1289" s="201">
        <v>2090</v>
      </c>
      <c r="C1289" s="201" t="s">
        <v>18</v>
      </c>
      <c r="D1289" s="201">
        <v>31</v>
      </c>
      <c r="E1289" s="201">
        <v>366717.4</v>
      </c>
      <c r="F1289" s="201">
        <v>140498</v>
      </c>
      <c r="G1289" s="201">
        <f>'Mail Merge'!$E1289+'Mail Merge'!$F1289</f>
        <v>507215.4</v>
      </c>
      <c r="H1289" s="201">
        <v>0</v>
      </c>
      <c r="I1289" s="201" t="s">
        <v>241</v>
      </c>
      <c r="J1289" s="204">
        <f>IFERROR('Mail Merge'!$E1289/'Mail Merge'!$D1289,0)</f>
        <v>11829.593548387098</v>
      </c>
      <c r="K1289" s="201">
        <f>IFERROR('Mail Merge'!$F1289/'Mail Merge'!$D1289,0)</f>
        <v>4532.1935483870966</v>
      </c>
      <c r="L1289" s="205">
        <f>IFERROR('Mail Merge'!$G1289/'Mail Merge'!$D1289,0)</f>
        <v>16361.787096774195</v>
      </c>
      <c r="M1289" s="201">
        <v>0</v>
      </c>
      <c r="N1289" s="201" t="s">
        <v>241</v>
      </c>
      <c r="O1289" s="201">
        <v>39003.79</v>
      </c>
      <c r="P1289" s="201">
        <v>194.08</v>
      </c>
      <c r="Q1289" s="201">
        <f>'Mail Merge'!$O1289+'Mail Merge'!$P1289</f>
        <v>39197.870000000003</v>
      </c>
      <c r="R1289" s="201"/>
      <c r="S1289" s="201"/>
      <c r="T1289" s="201"/>
      <c r="U1289" s="201">
        <f>IF(AND('Mail Merge'!$I1289="Did Not Meet",'Mail Merge'!$N1289="Did Not Meet"),MIN(ABS('Mail Merge'!$H1289),ABS('Mail Merge'!$M1289),'Mail Merge'!$Q1289),0)</f>
        <v>0</v>
      </c>
      <c r="V1289" s="201" t="str">
        <f>IF(OR(IFERROR(SEARCH("Met",'Mail Merge'!$N1289),0)&gt;0,IFERROR(SEARCH("Met",'Mail Merge'!$I1289),0)&gt;0),"Met","Not Met")</f>
        <v>Met</v>
      </c>
    </row>
    <row r="1290" spans="1:22" x14ac:dyDescent="0.35">
      <c r="A1290" s="198" t="s">
        <v>128</v>
      </c>
      <c r="B1290" s="199">
        <v>2256</v>
      </c>
      <c r="C1290" s="199" t="s">
        <v>18</v>
      </c>
      <c r="D1290" s="199">
        <v>831</v>
      </c>
      <c r="E1290" s="199">
        <v>6697493.29</v>
      </c>
      <c r="F1290" s="199">
        <v>116459.55</v>
      </c>
      <c r="G1290" s="199">
        <f>'Mail Merge'!$E1290+'Mail Merge'!$F1290</f>
        <v>6813952.8399999999</v>
      </c>
      <c r="H1290" s="199">
        <v>0</v>
      </c>
      <c r="I1290" s="199" t="s">
        <v>241</v>
      </c>
      <c r="J1290" s="202">
        <f>IFERROR('Mail Merge'!$E1290/'Mail Merge'!$D1290,0)</f>
        <v>8059.5587123947053</v>
      </c>
      <c r="K1290" s="199">
        <f>IFERROR('Mail Merge'!$F1290/'Mail Merge'!$D1290,0)</f>
        <v>140.14386281588449</v>
      </c>
      <c r="L1290" s="203">
        <f>IFERROR('Mail Merge'!$G1290/'Mail Merge'!$D1290,0)</f>
        <v>8199.7025752105892</v>
      </c>
      <c r="M1290" s="199">
        <v>96877.07</v>
      </c>
      <c r="N1290" s="199" t="s">
        <v>240</v>
      </c>
      <c r="O1290" s="199">
        <v>942989.08</v>
      </c>
      <c r="P1290" s="199">
        <v>5087.45</v>
      </c>
      <c r="Q1290" s="199">
        <f>'Mail Merge'!$O1290+'Mail Merge'!$P1290</f>
        <v>948076.52999999991</v>
      </c>
      <c r="R1290" s="199"/>
      <c r="S1290" s="199"/>
      <c r="T1290" s="199">
        <v>0</v>
      </c>
      <c r="U1290" s="199">
        <f>IF(AND('Mail Merge'!$I1290="Did Not Meet",'Mail Merge'!$N1290="Did Not Meet"),MIN(ABS('Mail Merge'!$H1290),ABS('Mail Merge'!$M1290),'Mail Merge'!$Q1290),0)</f>
        <v>0</v>
      </c>
      <c r="V1290" s="199" t="str">
        <f>IF(OR(IFERROR(SEARCH("Met",'Mail Merge'!$N1290),0)&gt;0,IFERROR(SEARCH("Met",'Mail Merge'!$I1290),0)&gt;0),"Met","Not Met")</f>
        <v>Met</v>
      </c>
    </row>
    <row r="1291" spans="1:22" x14ac:dyDescent="0.35">
      <c r="A1291" s="200" t="s">
        <v>129</v>
      </c>
      <c r="B1291" s="201">
        <v>2048</v>
      </c>
      <c r="C1291" s="201" t="s">
        <v>18</v>
      </c>
      <c r="D1291" s="201">
        <v>1858</v>
      </c>
      <c r="E1291" s="201">
        <v>13732298.689999999</v>
      </c>
      <c r="F1291" s="201">
        <v>1390724.14</v>
      </c>
      <c r="G1291" s="201">
        <f>'Mail Merge'!$E1291+'Mail Merge'!$F1291</f>
        <v>15123022.83</v>
      </c>
      <c r="H1291" s="201">
        <v>0</v>
      </c>
      <c r="I1291" s="201" t="s">
        <v>241</v>
      </c>
      <c r="J1291" s="204">
        <f>IFERROR('Mail Merge'!$E1291/'Mail Merge'!$D1291,0)</f>
        <v>7390.9034930032294</v>
      </c>
      <c r="K1291" s="201">
        <f>IFERROR('Mail Merge'!$F1291/'Mail Merge'!$D1291,0)</f>
        <v>748.50599569429494</v>
      </c>
      <c r="L1291" s="205">
        <f>IFERROR('Mail Merge'!$G1291/'Mail Merge'!$D1291,0)</f>
        <v>8139.4094886975245</v>
      </c>
      <c r="M1291" s="201">
        <v>912354.01</v>
      </c>
      <c r="N1291" s="201" t="s">
        <v>240</v>
      </c>
      <c r="O1291" s="201">
        <v>2202736.08</v>
      </c>
      <c r="P1291" s="201">
        <v>26941.55</v>
      </c>
      <c r="Q1291" s="201">
        <f>'Mail Merge'!$O1291+'Mail Merge'!$P1291</f>
        <v>2229677.63</v>
      </c>
      <c r="R1291" s="201"/>
      <c r="S1291" s="201"/>
      <c r="T1291" s="201">
        <v>0</v>
      </c>
      <c r="U1291" s="201">
        <f>IF(AND('Mail Merge'!$I1291="Did Not Meet",'Mail Merge'!$N1291="Did Not Meet"),MIN(ABS('Mail Merge'!$H1291),ABS('Mail Merge'!$M1291),'Mail Merge'!$Q1291),0)</f>
        <v>0</v>
      </c>
      <c r="V1291" s="201" t="str">
        <f>IF(OR(IFERROR(SEARCH("Met",'Mail Merge'!$N1291),0)&gt;0,IFERROR(SEARCH("Met",'Mail Merge'!$I1291),0)&gt;0),"Met","Not Met")</f>
        <v>Met</v>
      </c>
    </row>
    <row r="1292" spans="1:22" x14ac:dyDescent="0.35">
      <c r="A1292" s="198" t="s">
        <v>130</v>
      </c>
      <c r="B1292" s="199">
        <v>2205</v>
      </c>
      <c r="C1292" s="199" t="s">
        <v>18</v>
      </c>
      <c r="D1292" s="199">
        <v>204</v>
      </c>
      <c r="E1292" s="199">
        <v>1498778.8</v>
      </c>
      <c r="F1292" s="199">
        <v>306800.09999999998</v>
      </c>
      <c r="G1292" s="199">
        <f>'Mail Merge'!$E1292+'Mail Merge'!$F1292</f>
        <v>1805578.9</v>
      </c>
      <c r="H1292" s="199">
        <v>0</v>
      </c>
      <c r="I1292" s="199" t="s">
        <v>241</v>
      </c>
      <c r="J1292" s="202">
        <f>IFERROR('Mail Merge'!$E1292/'Mail Merge'!$D1292,0)</f>
        <v>7346.9549019607848</v>
      </c>
      <c r="K1292" s="199">
        <f>IFERROR('Mail Merge'!$F1292/'Mail Merge'!$D1292,0)</f>
        <v>1503.9220588235294</v>
      </c>
      <c r="L1292" s="203">
        <f>IFERROR('Mail Merge'!$G1292/'Mail Merge'!$D1292,0)</f>
        <v>8850.8769607843133</v>
      </c>
      <c r="M1292" s="199">
        <v>168372.11</v>
      </c>
      <c r="N1292" s="199" t="s">
        <v>240</v>
      </c>
      <c r="O1292" s="199">
        <v>284870.21000000002</v>
      </c>
      <c r="P1292" s="199">
        <v>2810.77</v>
      </c>
      <c r="Q1292" s="199">
        <f>'Mail Merge'!$O1292+'Mail Merge'!$P1292</f>
        <v>287680.98000000004</v>
      </c>
      <c r="R1292" s="199"/>
      <c r="S1292" s="199"/>
      <c r="T1292" s="199">
        <v>0</v>
      </c>
      <c r="U1292" s="199">
        <f>IF(AND('Mail Merge'!$I1292="Did Not Meet",'Mail Merge'!$N1292="Did Not Meet"),MIN(ABS('Mail Merge'!$H1292),ABS('Mail Merge'!$M1292),'Mail Merge'!$Q1292),0)</f>
        <v>0</v>
      </c>
      <c r="V1292" s="199" t="str">
        <f>IF(OR(IFERROR(SEARCH("Met",'Mail Merge'!$N1292),0)&gt;0,IFERROR(SEARCH("Met",'Mail Merge'!$I1292),0)&gt;0),"Met","Not Met")</f>
        <v>Met</v>
      </c>
    </row>
    <row r="1293" spans="1:22" x14ac:dyDescent="0.35">
      <c r="A1293" s="200" t="s">
        <v>131</v>
      </c>
      <c r="B1293" s="201">
        <v>2249</v>
      </c>
      <c r="C1293" s="201" t="s">
        <v>18</v>
      </c>
      <c r="D1293" s="201">
        <v>54</v>
      </c>
      <c r="E1293" s="201">
        <v>11863.96</v>
      </c>
      <c r="F1293" s="201">
        <v>75908</v>
      </c>
      <c r="G1293" s="201">
        <f>'Mail Merge'!$E1293+'Mail Merge'!$F1293</f>
        <v>87771.959999999992</v>
      </c>
      <c r="H1293" s="201">
        <v>0</v>
      </c>
      <c r="I1293" s="201" t="s">
        <v>241</v>
      </c>
      <c r="J1293" s="204">
        <f>IFERROR('Mail Merge'!$E1293/'Mail Merge'!$D1293,0)</f>
        <v>219.70296296296294</v>
      </c>
      <c r="K1293" s="201">
        <f>IFERROR('Mail Merge'!$F1293/'Mail Merge'!$D1293,0)</f>
        <v>1405.7037037037037</v>
      </c>
      <c r="L1293" s="205">
        <f>IFERROR('Mail Merge'!$G1293/'Mail Merge'!$D1293,0)</f>
        <v>1625.4066666666665</v>
      </c>
      <c r="M1293" s="201">
        <v>481763.61</v>
      </c>
      <c r="N1293" s="201" t="s">
        <v>240</v>
      </c>
      <c r="O1293" s="201">
        <v>40901.89</v>
      </c>
      <c r="P1293" s="201">
        <v>0</v>
      </c>
      <c r="Q1293" s="201">
        <f>'Mail Merge'!$O1293+'Mail Merge'!$P1293</f>
        <v>40901.89</v>
      </c>
      <c r="R1293" s="201"/>
      <c r="S1293" s="201"/>
      <c r="T1293" s="201">
        <v>575.1</v>
      </c>
      <c r="U1293" s="201">
        <f>IF(AND('Mail Merge'!$I1293="Did Not Meet",'Mail Merge'!$N1293="Did Not Meet"),MIN(ABS('Mail Merge'!$H1293),ABS('Mail Merge'!$M1293),'Mail Merge'!$Q1293),0)</f>
        <v>0</v>
      </c>
      <c r="V1293" s="201" t="str">
        <f>IF(OR(IFERROR(SEARCH("Met",'Mail Merge'!$N1293),0)&gt;0,IFERROR(SEARCH("Met",'Mail Merge'!$I1293),0)&gt;0),"Met","Not Met")</f>
        <v>Met</v>
      </c>
    </row>
    <row r="1294" spans="1:22" x14ac:dyDescent="0.35">
      <c r="A1294" s="198" t="s">
        <v>132</v>
      </c>
      <c r="B1294" s="199">
        <v>1925</v>
      </c>
      <c r="C1294" s="199" t="s">
        <v>18</v>
      </c>
      <c r="D1294" s="199">
        <v>417</v>
      </c>
      <c r="E1294" s="199">
        <v>3747341.65</v>
      </c>
      <c r="F1294" s="199">
        <v>301609</v>
      </c>
      <c r="G1294" s="199">
        <f>'Mail Merge'!$E1294+'Mail Merge'!$F1294</f>
        <v>4048950.65</v>
      </c>
      <c r="H1294" s="199">
        <v>0</v>
      </c>
      <c r="I1294" s="199" t="s">
        <v>241</v>
      </c>
      <c r="J1294" s="202">
        <f>IFERROR('Mail Merge'!$E1294/'Mail Merge'!$D1294,0)</f>
        <v>8986.4308153477214</v>
      </c>
      <c r="K1294" s="199">
        <f>IFERROR('Mail Merge'!$F1294/'Mail Merge'!$D1294,0)</f>
        <v>723.28297362110311</v>
      </c>
      <c r="L1294" s="203">
        <f>IFERROR('Mail Merge'!$G1294/'Mail Merge'!$D1294,0)</f>
        <v>9709.7137889688256</v>
      </c>
      <c r="M1294" s="199">
        <v>0</v>
      </c>
      <c r="N1294" s="199" t="s">
        <v>241</v>
      </c>
      <c r="O1294" s="199">
        <v>432434.38</v>
      </c>
      <c r="P1294" s="199">
        <v>1029.8</v>
      </c>
      <c r="Q1294" s="199">
        <f>'Mail Merge'!$O1294+'Mail Merge'!$P1294</f>
        <v>433464.18</v>
      </c>
      <c r="R1294" s="199"/>
      <c r="S1294" s="199"/>
      <c r="T1294" s="199"/>
      <c r="U1294" s="199">
        <f>IF(AND('Mail Merge'!$I1294="Did Not Meet",'Mail Merge'!$N1294="Did Not Meet"),MIN(ABS('Mail Merge'!$H1294),ABS('Mail Merge'!$M1294),'Mail Merge'!$Q1294),0)</f>
        <v>0</v>
      </c>
      <c r="V1294" s="199" t="str">
        <f>IF(OR(IFERROR(SEARCH("Met",'Mail Merge'!$N1294),0)&gt;0,IFERROR(SEARCH("Met",'Mail Merge'!$I1294),0)&gt;0),"Met","Not Met")</f>
        <v>Met</v>
      </c>
    </row>
    <row r="1295" spans="1:22" x14ac:dyDescent="0.35">
      <c r="A1295" s="200" t="s">
        <v>133</v>
      </c>
      <c r="B1295" s="201">
        <v>1898</v>
      </c>
      <c r="C1295" s="201" t="s">
        <v>18</v>
      </c>
      <c r="D1295" s="201">
        <v>62</v>
      </c>
      <c r="E1295" s="201">
        <v>725582.13</v>
      </c>
      <c r="F1295" s="201">
        <v>57292</v>
      </c>
      <c r="G1295" s="201">
        <f>'Mail Merge'!$E1295+'Mail Merge'!$F1295</f>
        <v>782874.13</v>
      </c>
      <c r="H1295" s="201">
        <v>0</v>
      </c>
      <c r="I1295" s="201" t="s">
        <v>241</v>
      </c>
      <c r="J1295" s="204">
        <f>IFERROR('Mail Merge'!$E1295/'Mail Merge'!$D1295,0)</f>
        <v>11702.937580645161</v>
      </c>
      <c r="K1295" s="201">
        <f>IFERROR('Mail Merge'!$F1295/'Mail Merge'!$D1295,0)</f>
        <v>924.06451612903231</v>
      </c>
      <c r="L1295" s="205">
        <f>IFERROR('Mail Merge'!$G1295/'Mail Merge'!$D1295,0)</f>
        <v>12627.002096774193</v>
      </c>
      <c r="M1295" s="201">
        <v>0</v>
      </c>
      <c r="N1295" s="201" t="s">
        <v>241</v>
      </c>
      <c r="O1295" s="201">
        <v>82373.87</v>
      </c>
      <c r="P1295" s="201">
        <v>970.38</v>
      </c>
      <c r="Q1295" s="201">
        <f>'Mail Merge'!$O1295+'Mail Merge'!$P1295</f>
        <v>83344.25</v>
      </c>
      <c r="R1295" s="201"/>
      <c r="S1295" s="201"/>
      <c r="T1295" s="201"/>
      <c r="U1295" s="201">
        <f>IF(AND('Mail Merge'!$I1295="Did Not Meet",'Mail Merge'!$N1295="Did Not Meet"),MIN(ABS('Mail Merge'!$H1295),ABS('Mail Merge'!$M1295),'Mail Merge'!$Q1295),0)</f>
        <v>0</v>
      </c>
      <c r="V1295" s="201" t="str">
        <f>IF(OR(IFERROR(SEARCH("Met",'Mail Merge'!$N1295),0)&gt;0,IFERROR(SEARCH("Met",'Mail Merge'!$I1295),0)&gt;0),"Met","Not Met")</f>
        <v>Met</v>
      </c>
    </row>
    <row r="1296" spans="1:22" x14ac:dyDescent="0.35">
      <c r="A1296" s="198" t="s">
        <v>134</v>
      </c>
      <c r="B1296" s="199">
        <v>2010</v>
      </c>
      <c r="C1296" s="199" t="s">
        <v>18</v>
      </c>
      <c r="D1296" s="199">
        <v>9</v>
      </c>
      <c r="E1296" s="199">
        <v>0</v>
      </c>
      <c r="F1296" s="199">
        <v>111969.76</v>
      </c>
      <c r="G1296" s="199">
        <f>'Mail Merge'!$E1296+'Mail Merge'!$F1296</f>
        <v>111969.76</v>
      </c>
      <c r="H1296" s="199">
        <v>0</v>
      </c>
      <c r="I1296" s="199" t="s">
        <v>241</v>
      </c>
      <c r="J1296" s="202">
        <f>IFERROR('Mail Merge'!$E1296/'Mail Merge'!$D1296,0)</f>
        <v>0</v>
      </c>
      <c r="K1296" s="199">
        <f>IFERROR('Mail Merge'!$F1296/'Mail Merge'!$D1296,0)</f>
        <v>12441.084444444445</v>
      </c>
      <c r="L1296" s="203">
        <f>IFERROR('Mail Merge'!$G1296/'Mail Merge'!$D1296,0)</f>
        <v>12441.084444444445</v>
      </c>
      <c r="M1296" s="199">
        <v>0</v>
      </c>
      <c r="N1296" s="199" t="s">
        <v>241</v>
      </c>
      <c r="O1296" s="199">
        <v>10869.39</v>
      </c>
      <c r="P1296" s="199">
        <v>0</v>
      </c>
      <c r="Q1296" s="199">
        <f>'Mail Merge'!$O1296+'Mail Merge'!$P1296</f>
        <v>10869.39</v>
      </c>
      <c r="R1296" s="199"/>
      <c r="S1296" s="199"/>
      <c r="T1296" s="199"/>
      <c r="U1296" s="199">
        <f>IF(AND('Mail Merge'!$I1296="Did Not Meet",'Mail Merge'!$N1296="Did Not Meet"),MIN(ABS('Mail Merge'!$H1296),ABS('Mail Merge'!$M1296),'Mail Merge'!$Q1296),0)</f>
        <v>0</v>
      </c>
      <c r="V1296" s="199" t="str">
        <f>IF(OR(IFERROR(SEARCH("Met",'Mail Merge'!$N1296),0)&gt;0,IFERROR(SEARCH("Met",'Mail Merge'!$I1296),0)&gt;0),"Met","Not Met")</f>
        <v>Met</v>
      </c>
    </row>
    <row r="1297" spans="1:22" x14ac:dyDescent="0.35">
      <c r="A1297" s="200" t="s">
        <v>135</v>
      </c>
      <c r="B1297" s="201">
        <v>2147</v>
      </c>
      <c r="C1297" s="201" t="s">
        <v>18</v>
      </c>
      <c r="D1297" s="201">
        <v>291</v>
      </c>
      <c r="E1297" s="201">
        <v>1722106.39</v>
      </c>
      <c r="F1297" s="201">
        <v>435511.31</v>
      </c>
      <c r="G1297" s="201">
        <f>'Mail Merge'!$E1297+'Mail Merge'!$F1297</f>
        <v>2157617.6999999997</v>
      </c>
      <c r="H1297" s="201">
        <v>0</v>
      </c>
      <c r="I1297" s="201" t="s">
        <v>241</v>
      </c>
      <c r="J1297" s="204">
        <f>IFERROR('Mail Merge'!$E1297/'Mail Merge'!$D1297,0)</f>
        <v>5917.8913745704467</v>
      </c>
      <c r="K1297" s="201">
        <f>IFERROR('Mail Merge'!$F1297/'Mail Merge'!$D1297,0)</f>
        <v>1496.602439862543</v>
      </c>
      <c r="L1297" s="205">
        <f>IFERROR('Mail Merge'!$G1297/'Mail Merge'!$D1297,0)</f>
        <v>7414.493814432989</v>
      </c>
      <c r="M1297" s="201">
        <v>78713.66</v>
      </c>
      <c r="N1297" s="201" t="s">
        <v>240</v>
      </c>
      <c r="O1297" s="201">
        <v>322590.65000000002</v>
      </c>
      <c r="P1297" s="201">
        <v>948.82</v>
      </c>
      <c r="Q1297" s="201">
        <f>'Mail Merge'!$O1297+'Mail Merge'!$P1297</f>
        <v>323539.47000000003</v>
      </c>
      <c r="R1297" s="201"/>
      <c r="S1297" s="201"/>
      <c r="T1297" s="201">
        <v>0</v>
      </c>
      <c r="U1297" s="201">
        <f>IF(AND('Mail Merge'!$I1297="Did Not Meet",'Mail Merge'!$N1297="Did Not Meet"),MIN(ABS('Mail Merge'!$H1297),ABS('Mail Merge'!$M1297),'Mail Merge'!$Q1297),0)</f>
        <v>0</v>
      </c>
      <c r="V1297" s="201" t="str">
        <f>IF(OR(IFERROR(SEARCH("Met",'Mail Merge'!$N1297),0)&gt;0,IFERROR(SEARCH("Met",'Mail Merge'!$I1297),0)&gt;0),"Met","Not Met")</f>
        <v>Met</v>
      </c>
    </row>
    <row r="1298" spans="1:22" x14ac:dyDescent="0.35">
      <c r="A1298" s="198" t="s">
        <v>136</v>
      </c>
      <c r="B1298" s="199">
        <v>2145</v>
      </c>
      <c r="C1298" s="199" t="s">
        <v>18</v>
      </c>
      <c r="D1298" s="199">
        <v>80</v>
      </c>
      <c r="E1298" s="199">
        <v>386952.85</v>
      </c>
      <c r="F1298" s="199">
        <v>125296.01</v>
      </c>
      <c r="G1298" s="199">
        <f>'Mail Merge'!$E1298+'Mail Merge'!$F1298</f>
        <v>512248.86</v>
      </c>
      <c r="H1298" s="199">
        <v>0</v>
      </c>
      <c r="I1298" s="199" t="s">
        <v>241</v>
      </c>
      <c r="J1298" s="202">
        <f>IFERROR('Mail Merge'!$E1298/'Mail Merge'!$D1298,0)</f>
        <v>4836.9106249999995</v>
      </c>
      <c r="K1298" s="199">
        <f>IFERROR('Mail Merge'!$F1298/'Mail Merge'!$D1298,0)</f>
        <v>1566.2001249999998</v>
      </c>
      <c r="L1298" s="203">
        <f>IFERROR('Mail Merge'!$G1298/'Mail Merge'!$D1298,0)</f>
        <v>6403.1107499999998</v>
      </c>
      <c r="M1298" s="199">
        <v>99383.92</v>
      </c>
      <c r="N1298" s="199" t="s">
        <v>240</v>
      </c>
      <c r="O1298" s="199">
        <v>110862</v>
      </c>
      <c r="P1298" s="199">
        <v>377.37</v>
      </c>
      <c r="Q1298" s="199">
        <f>'Mail Merge'!$O1298+'Mail Merge'!$P1298</f>
        <v>111239.37</v>
      </c>
      <c r="R1298" s="199"/>
      <c r="S1298" s="199"/>
      <c r="T1298" s="199">
        <v>0</v>
      </c>
      <c r="U1298" s="199">
        <f>IF(AND('Mail Merge'!$I1298="Did Not Meet",'Mail Merge'!$N1298="Did Not Meet"),MIN(ABS('Mail Merge'!$H1298),ABS('Mail Merge'!$M1298),'Mail Merge'!$Q1298),0)</f>
        <v>0</v>
      </c>
      <c r="V1298" s="199" t="str">
        <f>IF(OR(IFERROR(SEARCH("Met",'Mail Merge'!$N1298),0)&gt;0,IFERROR(SEARCH("Met",'Mail Merge'!$I1298),0)&gt;0),"Met","Not Met")</f>
        <v>Met</v>
      </c>
    </row>
    <row r="1299" spans="1:22" x14ac:dyDescent="0.35">
      <c r="A1299" s="200" t="s">
        <v>137</v>
      </c>
      <c r="B1299" s="201">
        <v>1968</v>
      </c>
      <c r="C1299" s="201" t="s">
        <v>18</v>
      </c>
      <c r="D1299" s="201">
        <v>69</v>
      </c>
      <c r="E1299" s="201">
        <v>613174.03</v>
      </c>
      <c r="F1299" s="201">
        <v>181893.4</v>
      </c>
      <c r="G1299" s="201">
        <f>'Mail Merge'!$E1299+'Mail Merge'!$F1299</f>
        <v>795067.43</v>
      </c>
      <c r="H1299" s="201">
        <v>0</v>
      </c>
      <c r="I1299" s="201" t="s">
        <v>241</v>
      </c>
      <c r="J1299" s="204">
        <f>IFERROR('Mail Merge'!$E1299/'Mail Merge'!$D1299,0)</f>
        <v>8886.5801449275368</v>
      </c>
      <c r="K1299" s="201">
        <f>IFERROR('Mail Merge'!$F1299/'Mail Merge'!$D1299,0)</f>
        <v>2636.1362318840579</v>
      </c>
      <c r="L1299" s="205">
        <f>IFERROR('Mail Merge'!$G1299/'Mail Merge'!$D1299,0)</f>
        <v>11522.716376811595</v>
      </c>
      <c r="M1299" s="201">
        <v>0</v>
      </c>
      <c r="N1299" s="201" t="s">
        <v>241</v>
      </c>
      <c r="O1299" s="201">
        <v>136946.37</v>
      </c>
      <c r="P1299" s="201">
        <v>1663.52</v>
      </c>
      <c r="Q1299" s="201">
        <f>'Mail Merge'!$O1299+'Mail Merge'!$P1299</f>
        <v>138609.88999999998</v>
      </c>
      <c r="R1299" s="201"/>
      <c r="S1299" s="201"/>
      <c r="T1299" s="201"/>
      <c r="U1299" s="201">
        <f>IF(AND('Mail Merge'!$I1299="Did Not Meet",'Mail Merge'!$N1299="Did Not Meet"),MIN(ABS('Mail Merge'!$H1299),ABS('Mail Merge'!$M1299),'Mail Merge'!$Q1299),0)</f>
        <v>0</v>
      </c>
      <c r="V1299" s="201" t="str">
        <f>IF(OR(IFERROR(SEARCH("Met",'Mail Merge'!$N1299),0)&gt;0,IFERROR(SEARCH("Met",'Mail Merge'!$I1299),0)&gt;0),"Met","Not Met")</f>
        <v>Met</v>
      </c>
    </row>
    <row r="1300" spans="1:22" x14ac:dyDescent="0.35">
      <c r="A1300" s="198" t="s">
        <v>138</v>
      </c>
      <c r="B1300" s="199">
        <v>2198</v>
      </c>
      <c r="C1300" s="199" t="s">
        <v>18</v>
      </c>
      <c r="D1300" s="199">
        <v>106</v>
      </c>
      <c r="E1300" s="199">
        <v>1556336.87</v>
      </c>
      <c r="F1300" s="199">
        <v>220905</v>
      </c>
      <c r="G1300" s="199">
        <f>'Mail Merge'!$E1300+'Mail Merge'!$F1300</f>
        <v>1777241.87</v>
      </c>
      <c r="H1300" s="199">
        <v>0</v>
      </c>
      <c r="I1300" s="199" t="s">
        <v>241</v>
      </c>
      <c r="J1300" s="202">
        <f>IFERROR('Mail Merge'!$E1300/'Mail Merge'!$D1300,0)</f>
        <v>14682.423301886793</v>
      </c>
      <c r="K1300" s="199">
        <f>IFERROR('Mail Merge'!$F1300/'Mail Merge'!$D1300,0)</f>
        <v>2084.0094339622642</v>
      </c>
      <c r="L1300" s="203">
        <f>IFERROR('Mail Merge'!$G1300/'Mail Merge'!$D1300,0)</f>
        <v>16766.432735849059</v>
      </c>
      <c r="M1300" s="199">
        <v>0</v>
      </c>
      <c r="N1300" s="199" t="s">
        <v>242</v>
      </c>
      <c r="O1300" s="199">
        <v>115964.92</v>
      </c>
      <c r="P1300" s="199">
        <v>895.74</v>
      </c>
      <c r="Q1300" s="199">
        <f>'Mail Merge'!$O1300+'Mail Merge'!$P1300</f>
        <v>116860.66</v>
      </c>
      <c r="R1300" s="199"/>
      <c r="S1300" s="199"/>
      <c r="T1300" s="199">
        <v>1191.21</v>
      </c>
      <c r="U1300" s="199">
        <f>IF(AND('Mail Merge'!$I1300="Did Not Meet",'Mail Merge'!$N1300="Did Not Meet"),MIN(ABS('Mail Merge'!$H1300),ABS('Mail Merge'!$M1300),'Mail Merge'!$Q1300),0)</f>
        <v>0</v>
      </c>
      <c r="V1300" s="199" t="str">
        <f>IF(OR(IFERROR(SEARCH("Met",'Mail Merge'!$N1300),0)&gt;0,IFERROR(SEARCH("Met",'Mail Merge'!$I1300),0)&gt;0),"Met","Not Met")</f>
        <v>Met</v>
      </c>
    </row>
    <row r="1301" spans="1:22" x14ac:dyDescent="0.35">
      <c r="A1301" s="200" t="s">
        <v>139</v>
      </c>
      <c r="B1301" s="201">
        <v>2199</v>
      </c>
      <c r="C1301" s="201" t="s">
        <v>18</v>
      </c>
      <c r="D1301" s="201">
        <v>80</v>
      </c>
      <c r="E1301" s="201">
        <v>885034.35</v>
      </c>
      <c r="F1301" s="201">
        <v>131290</v>
      </c>
      <c r="G1301" s="201">
        <f>'Mail Merge'!$E1301+'Mail Merge'!$F1301</f>
        <v>1016324.35</v>
      </c>
      <c r="H1301" s="201">
        <v>0</v>
      </c>
      <c r="I1301" s="201" t="s">
        <v>241</v>
      </c>
      <c r="J1301" s="204">
        <f>IFERROR('Mail Merge'!$E1301/'Mail Merge'!$D1301,0)</f>
        <v>11062.929375</v>
      </c>
      <c r="K1301" s="201">
        <f>IFERROR('Mail Merge'!$F1301/'Mail Merge'!$D1301,0)</f>
        <v>1641.125</v>
      </c>
      <c r="L1301" s="205">
        <f>IFERROR('Mail Merge'!$G1301/'Mail Merge'!$D1301,0)</f>
        <v>12704.054375</v>
      </c>
      <c r="M1301" s="201">
        <v>0</v>
      </c>
      <c r="N1301" s="201" t="s">
        <v>241</v>
      </c>
      <c r="O1301" s="201">
        <v>99197.41</v>
      </c>
      <c r="P1301" s="201">
        <v>1411.47</v>
      </c>
      <c r="Q1301" s="201">
        <f>'Mail Merge'!$O1301+'Mail Merge'!$P1301</f>
        <v>100608.88</v>
      </c>
      <c r="R1301" s="201"/>
      <c r="S1301" s="201"/>
      <c r="T1301" s="201"/>
      <c r="U1301" s="201">
        <f>IF(AND('Mail Merge'!$I1301="Did Not Meet",'Mail Merge'!$N1301="Did Not Meet"),MIN(ABS('Mail Merge'!$H1301),ABS('Mail Merge'!$M1301),'Mail Merge'!$Q1301),0)</f>
        <v>0</v>
      </c>
      <c r="V1301" s="201" t="str">
        <f>IF(OR(IFERROR(SEARCH("Met",'Mail Merge'!$N1301),0)&gt;0,IFERROR(SEARCH("Met",'Mail Merge'!$I1301),0)&gt;0),"Met","Not Met")</f>
        <v>Met</v>
      </c>
    </row>
    <row r="1302" spans="1:22" x14ac:dyDescent="0.35">
      <c r="A1302" s="198" t="s">
        <v>140</v>
      </c>
      <c r="B1302" s="199">
        <v>2254</v>
      </c>
      <c r="C1302" s="199" t="s">
        <v>18</v>
      </c>
      <c r="D1302" s="199">
        <v>691</v>
      </c>
      <c r="E1302" s="199">
        <v>6289712.9299999997</v>
      </c>
      <c r="F1302" s="199">
        <v>90526.8</v>
      </c>
      <c r="G1302" s="199">
        <f>'Mail Merge'!$E1302+'Mail Merge'!$F1302</f>
        <v>6380239.7299999995</v>
      </c>
      <c r="H1302" s="199">
        <v>0</v>
      </c>
      <c r="I1302" s="199" t="s">
        <v>241</v>
      </c>
      <c r="J1302" s="202">
        <f>IFERROR('Mail Merge'!$E1302/'Mail Merge'!$D1302,0)</f>
        <v>9102.3341968162076</v>
      </c>
      <c r="K1302" s="199">
        <f>IFERROR('Mail Merge'!$F1302/'Mail Merge'!$D1302,0)</f>
        <v>131.00839363241678</v>
      </c>
      <c r="L1302" s="203">
        <f>IFERROR('Mail Merge'!$G1302/'Mail Merge'!$D1302,0)</f>
        <v>9233.3425904486248</v>
      </c>
      <c r="M1302" s="199">
        <v>40696.230000000003</v>
      </c>
      <c r="N1302" s="199" t="s">
        <v>240</v>
      </c>
      <c r="O1302" s="199">
        <v>743404.25</v>
      </c>
      <c r="P1302" s="199">
        <v>5761.66</v>
      </c>
      <c r="Q1302" s="199">
        <f>'Mail Merge'!$O1302+'Mail Merge'!$P1302</f>
        <v>749165.91</v>
      </c>
      <c r="R1302" s="199"/>
      <c r="S1302" s="199"/>
      <c r="T1302" s="199">
        <v>0</v>
      </c>
      <c r="U1302" s="199">
        <f>IF(AND('Mail Merge'!$I1302="Did Not Meet",'Mail Merge'!$N1302="Did Not Meet"),MIN(ABS('Mail Merge'!$H1302),ABS('Mail Merge'!$M1302),'Mail Merge'!$Q1302),0)</f>
        <v>0</v>
      </c>
      <c r="V1302" s="199" t="str">
        <f>IF(OR(IFERROR(SEARCH("Met",'Mail Merge'!$N1302),0)&gt;0,IFERROR(SEARCH("Met",'Mail Merge'!$I1302),0)&gt;0),"Met","Not Met")</f>
        <v>Met</v>
      </c>
    </row>
    <row r="1303" spans="1:22" x14ac:dyDescent="0.35">
      <c r="A1303" s="200" t="s">
        <v>141</v>
      </c>
      <c r="B1303" s="201">
        <v>1966</v>
      </c>
      <c r="C1303" s="201" t="s">
        <v>18</v>
      </c>
      <c r="D1303" s="201">
        <v>554</v>
      </c>
      <c r="E1303" s="201">
        <v>3794679.53</v>
      </c>
      <c r="F1303" s="201">
        <v>1097567.67</v>
      </c>
      <c r="G1303" s="201">
        <f>'Mail Merge'!$E1303+'Mail Merge'!$F1303</f>
        <v>4892247.1999999993</v>
      </c>
      <c r="H1303" s="201">
        <v>0</v>
      </c>
      <c r="I1303" s="201" t="s">
        <v>241</v>
      </c>
      <c r="J1303" s="204">
        <f>IFERROR('Mail Merge'!$E1303/'Mail Merge'!$D1303,0)</f>
        <v>6849.6020397111906</v>
      </c>
      <c r="K1303" s="201">
        <f>IFERROR('Mail Merge'!$F1303/'Mail Merge'!$D1303,0)</f>
        <v>1981.1690794223825</v>
      </c>
      <c r="L1303" s="205">
        <f>IFERROR('Mail Merge'!$G1303/'Mail Merge'!$D1303,0)</f>
        <v>8830.7711191335729</v>
      </c>
      <c r="M1303" s="201">
        <v>764816.05</v>
      </c>
      <c r="N1303" s="201" t="s">
        <v>240</v>
      </c>
      <c r="O1303" s="201">
        <v>572311.6</v>
      </c>
      <c r="P1303" s="201">
        <v>4478.7</v>
      </c>
      <c r="Q1303" s="201">
        <f>'Mail Merge'!$O1303+'Mail Merge'!$P1303</f>
        <v>576790.29999999993</v>
      </c>
      <c r="R1303" s="201"/>
      <c r="S1303" s="201"/>
      <c r="T1303" s="201">
        <v>935.65</v>
      </c>
      <c r="U1303" s="201">
        <f>IF(AND('Mail Merge'!$I1303="Did Not Meet",'Mail Merge'!$N1303="Did Not Meet"),MIN(ABS('Mail Merge'!$H1303),ABS('Mail Merge'!$M1303),'Mail Merge'!$Q1303),0)</f>
        <v>0</v>
      </c>
      <c r="V1303" s="201" t="str">
        <f>IF(OR(IFERROR(SEARCH("Met",'Mail Merge'!$N1303),0)&gt;0,IFERROR(SEARCH("Met",'Mail Merge'!$I1303),0)&gt;0),"Met","Not Met")</f>
        <v>Met</v>
      </c>
    </row>
    <row r="1304" spans="1:22" x14ac:dyDescent="0.35">
      <c r="A1304" s="198" t="s">
        <v>142</v>
      </c>
      <c r="B1304" s="199">
        <v>1924</v>
      </c>
      <c r="C1304" s="199" t="s">
        <v>18</v>
      </c>
      <c r="D1304" s="199">
        <v>2660</v>
      </c>
      <c r="E1304" s="199">
        <v>22371985.550000001</v>
      </c>
      <c r="F1304" s="199">
        <v>2311269</v>
      </c>
      <c r="G1304" s="199">
        <f>'Mail Merge'!$E1304+'Mail Merge'!$F1304</f>
        <v>24683254.550000001</v>
      </c>
      <c r="H1304" s="199">
        <v>0</v>
      </c>
      <c r="I1304" s="199" t="s">
        <v>241</v>
      </c>
      <c r="J1304" s="202">
        <f>IFERROR('Mail Merge'!$E1304/'Mail Merge'!$D1304,0)</f>
        <v>8410.5208834586465</v>
      </c>
      <c r="K1304" s="199">
        <f>IFERROR('Mail Merge'!$F1304/'Mail Merge'!$D1304,0)</f>
        <v>868.89812030075188</v>
      </c>
      <c r="L1304" s="203">
        <f>IFERROR('Mail Merge'!$G1304/'Mail Merge'!$D1304,0)</f>
        <v>9279.419003759398</v>
      </c>
      <c r="M1304" s="199">
        <v>0</v>
      </c>
      <c r="N1304" s="199" t="s">
        <v>241</v>
      </c>
      <c r="O1304" s="199">
        <v>2544735.67</v>
      </c>
      <c r="P1304" s="199">
        <v>17302.5</v>
      </c>
      <c r="Q1304" s="199">
        <f>'Mail Merge'!$O1304+'Mail Merge'!$P1304</f>
        <v>2562038.17</v>
      </c>
      <c r="R1304" s="199"/>
      <c r="S1304" s="199"/>
      <c r="T1304" s="199"/>
      <c r="U1304" s="199">
        <f>IF(AND('Mail Merge'!$I1304="Did Not Meet",'Mail Merge'!$N1304="Did Not Meet"),MIN(ABS('Mail Merge'!$H1304),ABS('Mail Merge'!$M1304),'Mail Merge'!$Q1304),0)</f>
        <v>0</v>
      </c>
      <c r="V1304" s="199" t="str">
        <f>IF(OR(IFERROR(SEARCH("Met",'Mail Merge'!$N1304),0)&gt;0,IFERROR(SEARCH("Met",'Mail Merge'!$I1304),0)&gt;0),"Met","Not Met")</f>
        <v>Met</v>
      </c>
    </row>
    <row r="1305" spans="1:22" x14ac:dyDescent="0.35">
      <c r="A1305" s="200" t="s">
        <v>143</v>
      </c>
      <c r="B1305" s="201">
        <v>1996</v>
      </c>
      <c r="C1305" s="201" t="s">
        <v>18</v>
      </c>
      <c r="D1305" s="201">
        <v>38</v>
      </c>
      <c r="E1305" s="201">
        <v>311311.21000000002</v>
      </c>
      <c r="F1305" s="201">
        <v>50232.38</v>
      </c>
      <c r="G1305" s="201">
        <f>'Mail Merge'!$E1305+'Mail Merge'!$F1305</f>
        <v>361543.59</v>
      </c>
      <c r="H1305" s="201">
        <v>0</v>
      </c>
      <c r="I1305" s="201" t="s">
        <v>241</v>
      </c>
      <c r="J1305" s="204">
        <f>IFERROR('Mail Merge'!$E1305/'Mail Merge'!$D1305,0)</f>
        <v>8192.4002631578951</v>
      </c>
      <c r="K1305" s="201">
        <f>IFERROR('Mail Merge'!$F1305/'Mail Merge'!$D1305,0)</f>
        <v>1321.9047368421052</v>
      </c>
      <c r="L1305" s="205">
        <f>IFERROR('Mail Merge'!$G1305/'Mail Merge'!$D1305,0)</f>
        <v>9514.3050000000003</v>
      </c>
      <c r="M1305" s="201">
        <v>72726.899999999994</v>
      </c>
      <c r="N1305" s="201" t="s">
        <v>240</v>
      </c>
      <c r="O1305" s="201">
        <v>63178.67</v>
      </c>
      <c r="P1305" s="201">
        <v>970.38</v>
      </c>
      <c r="Q1305" s="201">
        <f>'Mail Merge'!$O1305+'Mail Merge'!$P1305</f>
        <v>64149.049999999996</v>
      </c>
      <c r="R1305" s="201"/>
      <c r="S1305" s="201"/>
      <c r="T1305" s="201">
        <v>0</v>
      </c>
      <c r="U1305" s="201">
        <f>IF(AND('Mail Merge'!$I1305="Did Not Meet",'Mail Merge'!$N1305="Did Not Meet"),MIN(ABS('Mail Merge'!$H1305),ABS('Mail Merge'!$M1305),'Mail Merge'!$Q1305),0)</f>
        <v>0</v>
      </c>
      <c r="V1305" s="201" t="str">
        <f>IF(OR(IFERROR(SEARCH("Met",'Mail Merge'!$N1305),0)&gt;0,IFERROR(SEARCH("Met",'Mail Merge'!$I1305),0)&gt;0),"Met","Not Met")</f>
        <v>Met</v>
      </c>
    </row>
    <row r="1306" spans="1:22" x14ac:dyDescent="0.35">
      <c r="A1306" s="198" t="s">
        <v>144</v>
      </c>
      <c r="B1306" s="199">
        <v>2061</v>
      </c>
      <c r="C1306" s="199" t="s">
        <v>18</v>
      </c>
      <c r="D1306" s="199">
        <v>47</v>
      </c>
      <c r="E1306" s="199">
        <v>146666.25</v>
      </c>
      <c r="F1306" s="199">
        <v>111502.53</v>
      </c>
      <c r="G1306" s="199">
        <f>'Mail Merge'!$E1306+'Mail Merge'!$F1306</f>
        <v>258168.78</v>
      </c>
      <c r="H1306" s="199">
        <v>0</v>
      </c>
      <c r="I1306" s="199" t="s">
        <v>242</v>
      </c>
      <c r="J1306" s="202">
        <f>IFERROR('Mail Merge'!$E1306/'Mail Merge'!$D1306,0)</f>
        <v>3120.5585106382978</v>
      </c>
      <c r="K1306" s="199">
        <f>IFERROR('Mail Merge'!$F1306/'Mail Merge'!$D1306,0)</f>
        <v>2372.3942553191491</v>
      </c>
      <c r="L1306" s="203">
        <f>IFERROR('Mail Merge'!$G1306/'Mail Merge'!$D1306,0)</f>
        <v>5492.9527659574469</v>
      </c>
      <c r="M1306" s="199">
        <v>9298.02</v>
      </c>
      <c r="N1306" s="199" t="s">
        <v>240</v>
      </c>
      <c r="O1306" s="199">
        <v>47670.84</v>
      </c>
      <c r="P1306" s="199">
        <v>1819.47</v>
      </c>
      <c r="Q1306" s="199">
        <f>'Mail Merge'!$O1306+'Mail Merge'!$P1306</f>
        <v>49490.31</v>
      </c>
      <c r="R1306" s="199"/>
      <c r="S1306" s="199">
        <v>38230.080000000002</v>
      </c>
      <c r="T1306" s="199">
        <v>955.75</v>
      </c>
      <c r="U1306" s="199">
        <f>IF(AND('Mail Merge'!$I1306="Did Not Meet",'Mail Merge'!$N1306="Did Not Meet"),MIN(ABS('Mail Merge'!$H1306),ABS('Mail Merge'!$M1306),'Mail Merge'!$Q1306),0)</f>
        <v>0</v>
      </c>
      <c r="V1306" s="199" t="str">
        <f>IF(OR(IFERROR(SEARCH("Met",'Mail Merge'!$N1306),0)&gt;0,IFERROR(SEARCH("Met",'Mail Merge'!$I1306),0)&gt;0),"Met","Not Met")</f>
        <v>Met</v>
      </c>
    </row>
    <row r="1307" spans="1:22" x14ac:dyDescent="0.35">
      <c r="A1307" s="200" t="s">
        <v>145</v>
      </c>
      <c r="B1307" s="201">
        <v>2141</v>
      </c>
      <c r="C1307" s="201" t="s">
        <v>18</v>
      </c>
      <c r="D1307" s="201">
        <v>286</v>
      </c>
      <c r="E1307" s="201">
        <v>2373884.36</v>
      </c>
      <c r="F1307" s="201">
        <v>369079.74</v>
      </c>
      <c r="G1307" s="201">
        <f>'Mail Merge'!$E1307+'Mail Merge'!$F1307</f>
        <v>2742964.0999999996</v>
      </c>
      <c r="H1307" s="201">
        <v>0</v>
      </c>
      <c r="I1307" s="201" t="s">
        <v>241</v>
      </c>
      <c r="J1307" s="204">
        <f>IFERROR('Mail Merge'!$E1307/'Mail Merge'!$D1307,0)</f>
        <v>8300.2949650349638</v>
      </c>
      <c r="K1307" s="201">
        <f>IFERROR('Mail Merge'!$F1307/'Mail Merge'!$D1307,0)</f>
        <v>1290.4886013986013</v>
      </c>
      <c r="L1307" s="205">
        <f>IFERROR('Mail Merge'!$G1307/'Mail Merge'!$D1307,0)</f>
        <v>9590.7835664335653</v>
      </c>
      <c r="M1307" s="201">
        <v>0</v>
      </c>
      <c r="N1307" s="201" t="s">
        <v>241</v>
      </c>
      <c r="O1307" s="201">
        <v>267406.78999999998</v>
      </c>
      <c r="P1307" s="201">
        <v>2218.02</v>
      </c>
      <c r="Q1307" s="201">
        <f>'Mail Merge'!$O1307+'Mail Merge'!$P1307</f>
        <v>269624.81</v>
      </c>
      <c r="R1307" s="201"/>
      <c r="S1307" s="201"/>
      <c r="T1307" s="201"/>
      <c r="U1307" s="201">
        <f>IF(AND('Mail Merge'!$I1307="Did Not Meet",'Mail Merge'!$N1307="Did Not Meet"),MIN(ABS('Mail Merge'!$H1307),ABS('Mail Merge'!$M1307),'Mail Merge'!$Q1307),0)</f>
        <v>0</v>
      </c>
      <c r="V1307" s="201" t="str">
        <f>IF(OR(IFERROR(SEARCH("Met",'Mail Merge'!$N1307),0)&gt;0,IFERROR(SEARCH("Met",'Mail Merge'!$I1307),0)&gt;0),"Met","Not Met")</f>
        <v>Met</v>
      </c>
    </row>
    <row r="1308" spans="1:22" x14ac:dyDescent="0.35">
      <c r="A1308" s="198" t="s">
        <v>146</v>
      </c>
      <c r="B1308" s="199">
        <v>2214</v>
      </c>
      <c r="C1308" s="199" t="s">
        <v>18</v>
      </c>
      <c r="D1308" s="199">
        <v>33</v>
      </c>
      <c r="E1308" s="199">
        <v>158707.49</v>
      </c>
      <c r="F1308" s="199">
        <v>49405.13</v>
      </c>
      <c r="G1308" s="199">
        <f>'Mail Merge'!$E1308+'Mail Merge'!$F1308</f>
        <v>208112.62</v>
      </c>
      <c r="H1308" s="199">
        <v>0</v>
      </c>
      <c r="I1308" s="199" t="s">
        <v>242</v>
      </c>
      <c r="J1308" s="202">
        <f>IFERROR('Mail Merge'!$E1308/'Mail Merge'!$D1308,0)</f>
        <v>4809.3178787878787</v>
      </c>
      <c r="K1308" s="199">
        <f>IFERROR('Mail Merge'!$F1308/'Mail Merge'!$D1308,0)</f>
        <v>1497.1251515151514</v>
      </c>
      <c r="L1308" s="203">
        <f>IFERROR('Mail Merge'!$G1308/'Mail Merge'!$D1308,0)</f>
        <v>6306.4430303030304</v>
      </c>
      <c r="M1308" s="199">
        <v>0</v>
      </c>
      <c r="N1308" s="199" t="s">
        <v>241</v>
      </c>
      <c r="O1308" s="199">
        <v>46228.46</v>
      </c>
      <c r="P1308" s="199">
        <v>485.19</v>
      </c>
      <c r="Q1308" s="199">
        <f>'Mail Merge'!$O1308+'Mail Merge'!$P1308</f>
        <v>46713.65</v>
      </c>
      <c r="R1308" s="199"/>
      <c r="S1308" s="199">
        <v>54065.64</v>
      </c>
      <c r="T1308" s="199"/>
      <c r="U1308" s="199">
        <f>IF(AND('Mail Merge'!$I1308="Did Not Meet",'Mail Merge'!$N1308="Did Not Meet"),MIN(ABS('Mail Merge'!$H1308),ABS('Mail Merge'!$M1308),'Mail Merge'!$Q1308),0)</f>
        <v>0</v>
      </c>
      <c r="V1308" s="199" t="str">
        <f>IF(OR(IFERROR(SEARCH("Met",'Mail Merge'!$N1308),0)&gt;0,IFERROR(SEARCH("Met",'Mail Merge'!$I1308),0)&gt;0),"Met","Not Met")</f>
        <v>Met</v>
      </c>
    </row>
    <row r="1309" spans="1:22" x14ac:dyDescent="0.35">
      <c r="A1309" s="200" t="s">
        <v>147</v>
      </c>
      <c r="B1309" s="201">
        <v>2143</v>
      </c>
      <c r="C1309" s="201" t="s">
        <v>18</v>
      </c>
      <c r="D1309" s="201">
        <v>358</v>
      </c>
      <c r="E1309" s="201">
        <v>2733270.1</v>
      </c>
      <c r="F1309" s="201">
        <v>120057.96</v>
      </c>
      <c r="G1309" s="201">
        <f>'Mail Merge'!$E1309+'Mail Merge'!$F1309</f>
        <v>2853328.06</v>
      </c>
      <c r="H1309" s="201">
        <v>0</v>
      </c>
      <c r="I1309" s="201" t="s">
        <v>241</v>
      </c>
      <c r="J1309" s="204">
        <f>IFERROR('Mail Merge'!$E1309/'Mail Merge'!$D1309,0)</f>
        <v>7634.8326815642458</v>
      </c>
      <c r="K1309" s="201">
        <f>IFERROR('Mail Merge'!$F1309/'Mail Merge'!$D1309,0)</f>
        <v>335.35743016759778</v>
      </c>
      <c r="L1309" s="205">
        <f>IFERROR('Mail Merge'!$G1309/'Mail Merge'!$D1309,0)</f>
        <v>7970.1901117318439</v>
      </c>
      <c r="M1309" s="201">
        <v>761743.19</v>
      </c>
      <c r="N1309" s="201" t="s">
        <v>240</v>
      </c>
      <c r="O1309" s="201">
        <v>429023.47</v>
      </c>
      <c r="P1309" s="201">
        <v>2258.65</v>
      </c>
      <c r="Q1309" s="201">
        <f>'Mail Merge'!$O1309+'Mail Merge'!$P1309</f>
        <v>431282.12</v>
      </c>
      <c r="R1309" s="201"/>
      <c r="S1309" s="201"/>
      <c r="T1309" s="201">
        <v>0</v>
      </c>
      <c r="U1309" s="201">
        <f>IF(AND('Mail Merge'!$I1309="Did Not Meet",'Mail Merge'!$N1309="Did Not Meet"),MIN(ABS('Mail Merge'!$H1309),ABS('Mail Merge'!$M1309),'Mail Merge'!$Q1309),0)</f>
        <v>0</v>
      </c>
      <c r="V1309" s="201" t="str">
        <f>IF(OR(IFERROR(SEARCH("Met",'Mail Merge'!$N1309),0)&gt;0,IFERROR(SEARCH("Met",'Mail Merge'!$I1309),0)&gt;0),"Met","Not Met")</f>
        <v>Met</v>
      </c>
    </row>
    <row r="1310" spans="1:22" x14ac:dyDescent="0.35">
      <c r="A1310" s="198" t="s">
        <v>148</v>
      </c>
      <c r="B1310" s="199">
        <v>4131</v>
      </c>
      <c r="C1310" s="199" t="s">
        <v>18</v>
      </c>
      <c r="D1310" s="199">
        <v>474</v>
      </c>
      <c r="E1310" s="199">
        <v>4161081.45</v>
      </c>
      <c r="F1310" s="199">
        <v>0</v>
      </c>
      <c r="G1310" s="199">
        <f>'Mail Merge'!$E1310+'Mail Merge'!$F1310</f>
        <v>4161081.45</v>
      </c>
      <c r="H1310" s="199">
        <v>0</v>
      </c>
      <c r="I1310" s="199" t="s">
        <v>241</v>
      </c>
      <c r="J1310" s="202">
        <f>IFERROR('Mail Merge'!$E1310/'Mail Merge'!$D1310,0)</f>
        <v>8778.6528481012665</v>
      </c>
      <c r="K1310" s="199">
        <f>IFERROR('Mail Merge'!$F1310/'Mail Merge'!$D1310,0)</f>
        <v>0</v>
      </c>
      <c r="L1310" s="203">
        <f>IFERROR('Mail Merge'!$G1310/'Mail Merge'!$D1310,0)</f>
        <v>8778.6528481012665</v>
      </c>
      <c r="M1310" s="199">
        <v>80572.56</v>
      </c>
      <c r="N1310" s="199" t="s">
        <v>240</v>
      </c>
      <c r="O1310" s="199">
        <v>529186.65</v>
      </c>
      <c r="P1310" s="199">
        <v>7967.37</v>
      </c>
      <c r="Q1310" s="199">
        <f>'Mail Merge'!$O1310+'Mail Merge'!$P1310</f>
        <v>537154.02</v>
      </c>
      <c r="R1310" s="199"/>
      <c r="S1310" s="199"/>
      <c r="T1310" s="199">
        <v>0</v>
      </c>
      <c r="U1310" s="199">
        <f>IF(AND('Mail Merge'!$I1310="Did Not Meet",'Mail Merge'!$N1310="Did Not Meet"),MIN(ABS('Mail Merge'!$H1310),ABS('Mail Merge'!$M1310),'Mail Merge'!$Q1310),0)</f>
        <v>0</v>
      </c>
      <c r="V1310" s="199" t="str">
        <f>IF(OR(IFERROR(SEARCH("Met",'Mail Merge'!$N1310),0)&gt;0,IFERROR(SEARCH("Met",'Mail Merge'!$I1310),0)&gt;0),"Met","Not Met")</f>
        <v>Met</v>
      </c>
    </row>
    <row r="1311" spans="1:22" x14ac:dyDescent="0.35">
      <c r="A1311" s="200" t="s">
        <v>149</v>
      </c>
      <c r="B1311" s="201">
        <v>2110</v>
      </c>
      <c r="C1311" s="201" t="s">
        <v>18</v>
      </c>
      <c r="D1311" s="201">
        <v>173</v>
      </c>
      <c r="E1311" s="201">
        <v>803743.83</v>
      </c>
      <c r="F1311" s="201">
        <v>399735.66</v>
      </c>
      <c r="G1311" s="201">
        <f>'Mail Merge'!$E1311+'Mail Merge'!$F1311</f>
        <v>1203479.49</v>
      </c>
      <c r="H1311" s="201">
        <v>0</v>
      </c>
      <c r="I1311" s="201" t="s">
        <v>241</v>
      </c>
      <c r="J1311" s="204">
        <f>IFERROR('Mail Merge'!$E1311/'Mail Merge'!$D1311,0)</f>
        <v>4645.9180924855491</v>
      </c>
      <c r="K1311" s="201">
        <f>IFERROR('Mail Merge'!$F1311/'Mail Merge'!$D1311,0)</f>
        <v>2310.6107514450864</v>
      </c>
      <c r="L1311" s="205">
        <f>IFERROR('Mail Merge'!$G1311/'Mail Merge'!$D1311,0)</f>
        <v>6956.528843930636</v>
      </c>
      <c r="M1311" s="201">
        <v>0</v>
      </c>
      <c r="N1311" s="201" t="s">
        <v>242</v>
      </c>
      <c r="O1311" s="201">
        <v>227233.87</v>
      </c>
      <c r="P1311" s="201">
        <v>1455.58</v>
      </c>
      <c r="Q1311" s="201">
        <f>'Mail Merge'!$O1311+'Mail Merge'!$P1311</f>
        <v>228689.44999999998</v>
      </c>
      <c r="R1311" s="201"/>
      <c r="S1311" s="201"/>
      <c r="T1311" s="201">
        <v>614.5</v>
      </c>
      <c r="U1311" s="201">
        <f>IF(AND('Mail Merge'!$I1311="Did Not Meet",'Mail Merge'!$N1311="Did Not Meet"),MIN(ABS('Mail Merge'!$H1311),ABS('Mail Merge'!$M1311),'Mail Merge'!$Q1311),0)</f>
        <v>0</v>
      </c>
      <c r="V1311" s="201" t="str">
        <f>IF(OR(IFERROR(SEARCH("Met",'Mail Merge'!$N1311),0)&gt;0,IFERROR(SEARCH("Met",'Mail Merge'!$I1311),0)&gt;0),"Met","Not Met")</f>
        <v>Met</v>
      </c>
    </row>
    <row r="1312" spans="1:22" x14ac:dyDescent="0.35">
      <c r="A1312" s="198" t="s">
        <v>150</v>
      </c>
      <c r="B1312" s="199">
        <v>1990</v>
      </c>
      <c r="C1312" s="199" t="s">
        <v>18</v>
      </c>
      <c r="D1312" s="199">
        <v>64</v>
      </c>
      <c r="E1312" s="199">
        <v>403495.13</v>
      </c>
      <c r="F1312" s="199">
        <v>107915.99</v>
      </c>
      <c r="G1312" s="199">
        <f>'Mail Merge'!$E1312+'Mail Merge'!$F1312</f>
        <v>511411.12</v>
      </c>
      <c r="H1312" s="199">
        <v>0</v>
      </c>
      <c r="I1312" s="199" t="s">
        <v>241</v>
      </c>
      <c r="J1312" s="202">
        <f>IFERROR('Mail Merge'!$E1312/'Mail Merge'!$D1312,0)</f>
        <v>6304.6114062500001</v>
      </c>
      <c r="K1312" s="199">
        <f>IFERROR('Mail Merge'!$F1312/'Mail Merge'!$D1312,0)</f>
        <v>1686.1873437500001</v>
      </c>
      <c r="L1312" s="203">
        <f>IFERROR('Mail Merge'!$G1312/'Mail Merge'!$D1312,0)</f>
        <v>7990.7987499999999</v>
      </c>
      <c r="M1312" s="199">
        <v>0</v>
      </c>
      <c r="N1312" s="199" t="s">
        <v>242</v>
      </c>
      <c r="O1312" s="199">
        <v>97394.02</v>
      </c>
      <c r="P1312" s="199">
        <v>2183.37</v>
      </c>
      <c r="Q1312" s="199">
        <f>'Mail Merge'!$O1312+'Mail Merge'!$P1312</f>
        <v>99577.39</v>
      </c>
      <c r="R1312" s="199"/>
      <c r="S1312" s="199"/>
      <c r="T1312" s="199">
        <v>1958.61</v>
      </c>
      <c r="U1312" s="199">
        <f>IF(AND('Mail Merge'!$I1312="Did Not Meet",'Mail Merge'!$N1312="Did Not Meet"),MIN(ABS('Mail Merge'!$H1312),ABS('Mail Merge'!$M1312),'Mail Merge'!$Q1312),0)</f>
        <v>0</v>
      </c>
      <c r="V1312" s="199" t="str">
        <f>IF(OR(IFERROR(SEARCH("Met",'Mail Merge'!$N1312),0)&gt;0,IFERROR(SEARCH("Met",'Mail Merge'!$I1312),0)&gt;0),"Met","Not Met")</f>
        <v>Met</v>
      </c>
    </row>
    <row r="1313" spans="1:22" x14ac:dyDescent="0.35">
      <c r="A1313" s="200" t="s">
        <v>151</v>
      </c>
      <c r="B1313" s="201">
        <v>2093</v>
      </c>
      <c r="C1313" s="201" t="s">
        <v>18</v>
      </c>
      <c r="D1313" s="201">
        <v>96</v>
      </c>
      <c r="E1313" s="201">
        <v>400447.81</v>
      </c>
      <c r="F1313" s="201">
        <v>212147</v>
      </c>
      <c r="G1313" s="201">
        <f>'Mail Merge'!$E1313+'Mail Merge'!$F1313</f>
        <v>612594.81000000006</v>
      </c>
      <c r="H1313" s="201">
        <v>0</v>
      </c>
      <c r="I1313" s="201" t="s">
        <v>241</v>
      </c>
      <c r="J1313" s="204">
        <f>IFERROR('Mail Merge'!$E1313/'Mail Merge'!$D1313,0)</f>
        <v>4171.3313541666666</v>
      </c>
      <c r="K1313" s="201">
        <f>IFERROR('Mail Merge'!$F1313/'Mail Merge'!$D1313,0)</f>
        <v>2209.8645833333335</v>
      </c>
      <c r="L1313" s="205">
        <f>IFERROR('Mail Merge'!$G1313/'Mail Merge'!$D1313,0)</f>
        <v>6381.1959375000006</v>
      </c>
      <c r="M1313" s="201">
        <v>49447.76</v>
      </c>
      <c r="N1313" s="201" t="s">
        <v>240</v>
      </c>
      <c r="O1313" s="201">
        <v>129430.23</v>
      </c>
      <c r="P1313" s="201">
        <v>2264.23</v>
      </c>
      <c r="Q1313" s="201">
        <f>'Mail Merge'!$O1313+'Mail Merge'!$P1313</f>
        <v>131694.46</v>
      </c>
      <c r="R1313" s="201"/>
      <c r="S1313" s="201"/>
      <c r="T1313" s="201">
        <v>862.58</v>
      </c>
      <c r="U1313" s="201">
        <f>IF(AND('Mail Merge'!$I1313="Did Not Meet",'Mail Merge'!$N1313="Did Not Meet"),MIN(ABS('Mail Merge'!$H1313),ABS('Mail Merge'!$M1313),'Mail Merge'!$Q1313),0)</f>
        <v>0</v>
      </c>
      <c r="V1313" s="201" t="str">
        <f>IF(OR(IFERROR(SEARCH("Met",'Mail Merge'!$N1313),0)&gt;0,IFERROR(SEARCH("Met",'Mail Merge'!$I1313),0)&gt;0),"Met","Not Met")</f>
        <v>Met</v>
      </c>
    </row>
    <row r="1314" spans="1:22" x14ac:dyDescent="0.35">
      <c r="A1314" s="198" t="s">
        <v>152</v>
      </c>
      <c r="B1314" s="199">
        <v>2108</v>
      </c>
      <c r="C1314" s="199" t="s">
        <v>18</v>
      </c>
      <c r="D1314" s="199">
        <v>287</v>
      </c>
      <c r="E1314" s="199">
        <v>2605875.75</v>
      </c>
      <c r="F1314" s="199">
        <v>88500</v>
      </c>
      <c r="G1314" s="199">
        <f>'Mail Merge'!$E1314+'Mail Merge'!$F1314</f>
        <v>2694375.75</v>
      </c>
      <c r="H1314" s="199">
        <v>0</v>
      </c>
      <c r="I1314" s="199" t="s">
        <v>241</v>
      </c>
      <c r="J1314" s="202">
        <f>IFERROR('Mail Merge'!$E1314/'Mail Merge'!$D1314,0)</f>
        <v>9079.7064459930316</v>
      </c>
      <c r="K1314" s="199">
        <f>IFERROR('Mail Merge'!$F1314/'Mail Merge'!$D1314,0)</f>
        <v>308.36236933797909</v>
      </c>
      <c r="L1314" s="203">
        <f>IFERROR('Mail Merge'!$G1314/'Mail Merge'!$D1314,0)</f>
        <v>9388.0688153310111</v>
      </c>
      <c r="M1314" s="199">
        <v>0</v>
      </c>
      <c r="N1314" s="199" t="s">
        <v>241</v>
      </c>
      <c r="O1314" s="199">
        <v>503329.41</v>
      </c>
      <c r="P1314" s="199">
        <v>5094.5200000000004</v>
      </c>
      <c r="Q1314" s="199">
        <f>'Mail Merge'!$O1314+'Mail Merge'!$P1314</f>
        <v>508423.93</v>
      </c>
      <c r="R1314" s="199"/>
      <c r="S1314" s="199"/>
      <c r="T1314" s="199"/>
      <c r="U1314" s="199">
        <f>IF(AND('Mail Merge'!$I1314="Did Not Meet",'Mail Merge'!$N1314="Did Not Meet"),MIN(ABS('Mail Merge'!$H1314),ABS('Mail Merge'!$M1314),'Mail Merge'!$Q1314),0)</f>
        <v>0</v>
      </c>
      <c r="V1314" s="199" t="str">
        <f>IF(OR(IFERROR(SEARCH("Met",'Mail Merge'!$N1314),0)&gt;0,IFERROR(SEARCH("Met",'Mail Merge'!$I1314),0)&gt;0),"Met","Not Met")</f>
        <v>Met</v>
      </c>
    </row>
    <row r="1315" spans="1:22" x14ac:dyDescent="0.35">
      <c r="A1315" s="200" t="s">
        <v>153</v>
      </c>
      <c r="B1315" s="201">
        <v>1928</v>
      </c>
      <c r="C1315" s="201" t="s">
        <v>18</v>
      </c>
      <c r="D1315" s="201">
        <v>1293</v>
      </c>
      <c r="E1315" s="201">
        <v>14072336.220000001</v>
      </c>
      <c r="F1315" s="201">
        <v>1964921</v>
      </c>
      <c r="G1315" s="201">
        <f>'Mail Merge'!$E1315+'Mail Merge'!$F1315</f>
        <v>16037257.220000001</v>
      </c>
      <c r="H1315" s="201">
        <v>0</v>
      </c>
      <c r="I1315" s="201" t="s">
        <v>241</v>
      </c>
      <c r="J1315" s="204">
        <f>IFERROR('Mail Merge'!$E1315/'Mail Merge'!$D1315,0)</f>
        <v>10883.477354988399</v>
      </c>
      <c r="K1315" s="201">
        <f>IFERROR('Mail Merge'!$F1315/'Mail Merge'!$D1315,0)</f>
        <v>1519.6604795050271</v>
      </c>
      <c r="L1315" s="205">
        <f>IFERROR('Mail Merge'!$G1315/'Mail Merge'!$D1315,0)</f>
        <v>12403.137834493427</v>
      </c>
      <c r="M1315" s="201">
        <v>0</v>
      </c>
      <c r="N1315" s="201" t="s">
        <v>241</v>
      </c>
      <c r="O1315" s="201">
        <v>1284835.1200000001</v>
      </c>
      <c r="P1315" s="201">
        <v>11797.84</v>
      </c>
      <c r="Q1315" s="201">
        <f>'Mail Merge'!$O1315+'Mail Merge'!$P1315</f>
        <v>1296632.9600000002</v>
      </c>
      <c r="R1315" s="201"/>
      <c r="S1315" s="201"/>
      <c r="T1315" s="201"/>
      <c r="U1315" s="201">
        <f>IF(AND('Mail Merge'!$I1315="Did Not Meet",'Mail Merge'!$N1315="Did Not Meet"),MIN(ABS('Mail Merge'!$H1315),ABS('Mail Merge'!$M1315),'Mail Merge'!$Q1315),0)</f>
        <v>0</v>
      </c>
      <c r="V1315" s="201" t="str">
        <f>IF(OR(IFERROR(SEARCH("Met",'Mail Merge'!$N1315),0)&gt;0,IFERROR(SEARCH("Met",'Mail Merge'!$I1315),0)&gt;0),"Met","Not Met")</f>
        <v>Met</v>
      </c>
    </row>
    <row r="1316" spans="1:22" x14ac:dyDescent="0.35">
      <c r="A1316" s="198" t="s">
        <v>154</v>
      </c>
      <c r="B1316" s="199">
        <v>1926</v>
      </c>
      <c r="C1316" s="199" t="s">
        <v>18</v>
      </c>
      <c r="D1316" s="199">
        <v>539</v>
      </c>
      <c r="E1316" s="199">
        <v>5887593.8300000001</v>
      </c>
      <c r="F1316" s="199">
        <v>647546</v>
      </c>
      <c r="G1316" s="199">
        <f>'Mail Merge'!$E1316+'Mail Merge'!$F1316</f>
        <v>6535139.8300000001</v>
      </c>
      <c r="H1316" s="199">
        <v>0</v>
      </c>
      <c r="I1316" s="199" t="s">
        <v>241</v>
      </c>
      <c r="J1316" s="202">
        <f>IFERROR('Mail Merge'!$E1316/'Mail Merge'!$D1316,0)</f>
        <v>10923.179647495363</v>
      </c>
      <c r="K1316" s="199">
        <f>IFERROR('Mail Merge'!$F1316/'Mail Merge'!$D1316,0)</f>
        <v>1201.3840445269016</v>
      </c>
      <c r="L1316" s="203">
        <f>IFERROR('Mail Merge'!$G1316/'Mail Merge'!$D1316,0)</f>
        <v>12124.563692022264</v>
      </c>
      <c r="M1316" s="199">
        <v>85892.27</v>
      </c>
      <c r="N1316" s="199" t="s">
        <v>240</v>
      </c>
      <c r="O1316" s="199">
        <v>634634.51</v>
      </c>
      <c r="P1316" s="199">
        <v>5267.8</v>
      </c>
      <c r="Q1316" s="199">
        <f>'Mail Merge'!$O1316+'Mail Merge'!$P1316</f>
        <v>639902.31000000006</v>
      </c>
      <c r="R1316" s="199"/>
      <c r="S1316" s="199"/>
      <c r="T1316" s="199">
        <v>0</v>
      </c>
      <c r="U1316" s="199">
        <f>IF(AND('Mail Merge'!$I1316="Did Not Meet",'Mail Merge'!$N1316="Did Not Meet"),MIN(ABS('Mail Merge'!$H1316),ABS('Mail Merge'!$M1316),'Mail Merge'!$Q1316),0)</f>
        <v>0</v>
      </c>
      <c r="V1316" s="199" t="str">
        <f>IF(OR(IFERROR(SEARCH("Met",'Mail Merge'!$N1316),0)&gt;0,IFERROR(SEARCH("Met",'Mail Merge'!$I1316),0)&gt;0),"Met","Not Met")</f>
        <v>Met</v>
      </c>
    </row>
    <row r="1317" spans="1:22" x14ac:dyDescent="0.35">
      <c r="A1317" s="200" t="s">
        <v>155</v>
      </c>
      <c r="B1317" s="201">
        <v>2060</v>
      </c>
      <c r="C1317" s="201" t="s">
        <v>18</v>
      </c>
      <c r="D1317" s="201">
        <v>22</v>
      </c>
      <c r="E1317" s="201">
        <v>82170.19</v>
      </c>
      <c r="F1317" s="201">
        <v>88971.85</v>
      </c>
      <c r="G1317" s="201">
        <f>'Mail Merge'!$E1317+'Mail Merge'!$F1317</f>
        <v>171142.04</v>
      </c>
      <c r="H1317" s="201">
        <v>0</v>
      </c>
      <c r="I1317" s="201" t="s">
        <v>241</v>
      </c>
      <c r="J1317" s="204">
        <f>IFERROR('Mail Merge'!$E1317/'Mail Merge'!$D1317,0)</f>
        <v>3735.0086363636365</v>
      </c>
      <c r="K1317" s="201">
        <f>IFERROR('Mail Merge'!$F1317/'Mail Merge'!$D1317,0)</f>
        <v>4044.1750000000002</v>
      </c>
      <c r="L1317" s="205">
        <f>IFERROR('Mail Merge'!$G1317/'Mail Merge'!$D1317,0)</f>
        <v>7779.1836363636367</v>
      </c>
      <c r="M1317" s="201">
        <v>0</v>
      </c>
      <c r="N1317" s="201" t="s">
        <v>241</v>
      </c>
      <c r="O1317" s="201">
        <v>26656.639999999999</v>
      </c>
      <c r="P1317" s="201">
        <v>242.6</v>
      </c>
      <c r="Q1317" s="201">
        <f>'Mail Merge'!$O1317+'Mail Merge'!$P1317</f>
        <v>26899.239999999998</v>
      </c>
      <c r="R1317" s="201"/>
      <c r="S1317" s="201"/>
      <c r="T1317" s="201"/>
      <c r="U1317" s="201">
        <f>IF(AND('Mail Merge'!$I1317="Did Not Meet",'Mail Merge'!$N1317="Did Not Meet"),MIN(ABS('Mail Merge'!$H1317),ABS('Mail Merge'!$M1317),'Mail Merge'!$Q1317),0)</f>
        <v>0</v>
      </c>
      <c r="V1317" s="201" t="str">
        <f>IF(OR(IFERROR(SEARCH("Met",'Mail Merge'!$N1317),0)&gt;0,IFERROR(SEARCH("Met",'Mail Merge'!$I1317),0)&gt;0),"Met","Not Met")</f>
        <v>Met</v>
      </c>
    </row>
    <row r="1318" spans="1:22" x14ac:dyDescent="0.35">
      <c r="A1318" s="198" t="s">
        <v>156</v>
      </c>
      <c r="B1318" s="199">
        <v>2181</v>
      </c>
      <c r="C1318" s="199" t="s">
        <v>18</v>
      </c>
      <c r="D1318" s="199">
        <v>483</v>
      </c>
      <c r="E1318" s="199">
        <v>6726104.46</v>
      </c>
      <c r="F1318" s="199">
        <v>795748.47</v>
      </c>
      <c r="G1318" s="199">
        <f>'Mail Merge'!$E1318+'Mail Merge'!$F1318</f>
        <v>7521852.9299999997</v>
      </c>
      <c r="H1318" s="199">
        <v>0</v>
      </c>
      <c r="I1318" s="199" t="s">
        <v>241</v>
      </c>
      <c r="J1318" s="202">
        <f>IFERROR('Mail Merge'!$E1318/'Mail Merge'!$D1318,0)</f>
        <v>13925.682111801241</v>
      </c>
      <c r="K1318" s="199">
        <f>IFERROR('Mail Merge'!$F1318/'Mail Merge'!$D1318,0)</f>
        <v>1647.5123602484471</v>
      </c>
      <c r="L1318" s="203">
        <f>IFERROR('Mail Merge'!$G1318/'Mail Merge'!$D1318,0)</f>
        <v>15573.194472049689</v>
      </c>
      <c r="M1318" s="199">
        <v>0</v>
      </c>
      <c r="N1318" s="199" t="s">
        <v>241</v>
      </c>
      <c r="O1318" s="199">
        <v>583629.18999999994</v>
      </c>
      <c r="P1318" s="199">
        <v>3041.5</v>
      </c>
      <c r="Q1318" s="199">
        <f>'Mail Merge'!$O1318+'Mail Merge'!$P1318</f>
        <v>586670.68999999994</v>
      </c>
      <c r="R1318" s="199"/>
      <c r="S1318" s="199"/>
      <c r="T1318" s="199"/>
      <c r="U1318" s="199">
        <f>IF(AND('Mail Merge'!$I1318="Did Not Meet",'Mail Merge'!$N1318="Did Not Meet"),MIN(ABS('Mail Merge'!$H1318),ABS('Mail Merge'!$M1318),'Mail Merge'!$Q1318),0)</f>
        <v>0</v>
      </c>
      <c r="V1318" s="199" t="str">
        <f>IF(OR(IFERROR(SEARCH("Met",'Mail Merge'!$N1318),0)&gt;0,IFERROR(SEARCH("Met",'Mail Merge'!$I1318),0)&gt;0),"Met","Not Met")</f>
        <v>Met</v>
      </c>
    </row>
    <row r="1319" spans="1:22" x14ac:dyDescent="0.35">
      <c r="A1319" s="200" t="s">
        <v>157</v>
      </c>
      <c r="B1319" s="201">
        <v>2207</v>
      </c>
      <c r="C1319" s="201" t="s">
        <v>18</v>
      </c>
      <c r="D1319" s="201">
        <v>416</v>
      </c>
      <c r="E1319" s="201">
        <v>4400878.0599999996</v>
      </c>
      <c r="F1319" s="201">
        <v>639002.29</v>
      </c>
      <c r="G1319" s="201">
        <f>'Mail Merge'!$E1319+'Mail Merge'!$F1319</f>
        <v>5039880.3499999996</v>
      </c>
      <c r="H1319" s="201">
        <v>0</v>
      </c>
      <c r="I1319" s="201" t="s">
        <v>241</v>
      </c>
      <c r="J1319" s="204">
        <f>IFERROR('Mail Merge'!$E1319/'Mail Merge'!$D1319,0)</f>
        <v>10579.033798076922</v>
      </c>
      <c r="K1319" s="201">
        <f>IFERROR('Mail Merge'!$F1319/'Mail Merge'!$D1319,0)</f>
        <v>1536.0631971153848</v>
      </c>
      <c r="L1319" s="205">
        <f>IFERROR('Mail Merge'!$G1319/'Mail Merge'!$D1319,0)</f>
        <v>12115.096995192307</v>
      </c>
      <c r="M1319" s="201">
        <v>0</v>
      </c>
      <c r="N1319" s="201" t="s">
        <v>241</v>
      </c>
      <c r="O1319" s="201">
        <v>516624.74</v>
      </c>
      <c r="P1319" s="201">
        <v>4366.7299999999996</v>
      </c>
      <c r="Q1319" s="201">
        <f>'Mail Merge'!$O1319+'Mail Merge'!$P1319</f>
        <v>520991.47</v>
      </c>
      <c r="R1319" s="201"/>
      <c r="S1319" s="201"/>
      <c r="T1319" s="201"/>
      <c r="U1319" s="201">
        <f>IF(AND('Mail Merge'!$I1319="Did Not Meet",'Mail Merge'!$N1319="Did Not Meet"),MIN(ABS('Mail Merge'!$H1319),ABS('Mail Merge'!$M1319),'Mail Merge'!$Q1319),0)</f>
        <v>0</v>
      </c>
      <c r="V1319" s="201" t="str">
        <f>IF(OR(IFERROR(SEARCH("Met",'Mail Merge'!$N1319),0)&gt;0,IFERROR(SEARCH("Met",'Mail Merge'!$I1319),0)&gt;0),"Met","Not Met")</f>
        <v>Met</v>
      </c>
    </row>
    <row r="1320" spans="1:22" x14ac:dyDescent="0.35">
      <c r="A1320" s="198" t="s">
        <v>158</v>
      </c>
      <c r="B1320" s="199">
        <v>2192</v>
      </c>
      <c r="C1320" s="199" t="s">
        <v>18</v>
      </c>
      <c r="D1320" s="199">
        <v>40</v>
      </c>
      <c r="E1320" s="199">
        <v>286500.15999999997</v>
      </c>
      <c r="F1320" s="199">
        <v>30104.44</v>
      </c>
      <c r="G1320" s="199">
        <f>'Mail Merge'!$E1320+'Mail Merge'!$F1320</f>
        <v>316604.59999999998</v>
      </c>
      <c r="H1320" s="199">
        <v>0</v>
      </c>
      <c r="I1320" s="199" t="s">
        <v>241</v>
      </c>
      <c r="J1320" s="202">
        <f>IFERROR('Mail Merge'!$E1320/'Mail Merge'!$D1320,0)</f>
        <v>7162.503999999999</v>
      </c>
      <c r="K1320" s="199">
        <f>IFERROR('Mail Merge'!$F1320/'Mail Merge'!$D1320,0)</f>
        <v>752.61099999999999</v>
      </c>
      <c r="L1320" s="203">
        <f>IFERROR('Mail Merge'!$G1320/'Mail Merge'!$D1320,0)</f>
        <v>7915.1149999999998</v>
      </c>
      <c r="M1320" s="199">
        <v>636987.53</v>
      </c>
      <c r="N1320" s="199" t="s">
        <v>240</v>
      </c>
      <c r="O1320" s="199">
        <v>32018.93</v>
      </c>
      <c r="P1320" s="199">
        <v>646.91999999999996</v>
      </c>
      <c r="Q1320" s="199">
        <f>'Mail Merge'!$O1320+'Mail Merge'!$P1320</f>
        <v>32665.85</v>
      </c>
      <c r="R1320" s="199"/>
      <c r="S1320" s="199"/>
      <c r="T1320" s="199">
        <v>1935.74</v>
      </c>
      <c r="U1320" s="199">
        <f>IF(AND('Mail Merge'!$I1320="Did Not Meet",'Mail Merge'!$N1320="Did Not Meet"),MIN(ABS('Mail Merge'!$H1320),ABS('Mail Merge'!$M1320),'Mail Merge'!$Q1320),0)</f>
        <v>0</v>
      </c>
      <c r="V1320" s="199" t="str">
        <f>IF(OR(IFERROR(SEARCH("Met",'Mail Merge'!$N1320),0)&gt;0,IFERROR(SEARCH("Met",'Mail Merge'!$I1320),0)&gt;0),"Met","Not Met")</f>
        <v>Met</v>
      </c>
    </row>
    <row r="1321" spans="1:22" x14ac:dyDescent="0.35">
      <c r="A1321" s="200" t="s">
        <v>160</v>
      </c>
      <c r="B1321" s="201">
        <v>1900</v>
      </c>
      <c r="C1321" s="201" t="s">
        <v>18</v>
      </c>
      <c r="D1321" s="201">
        <v>198</v>
      </c>
      <c r="E1321" s="201">
        <v>1783016.65</v>
      </c>
      <c r="F1321" s="201">
        <v>139052</v>
      </c>
      <c r="G1321" s="201">
        <f>'Mail Merge'!$E1321+'Mail Merge'!$F1321</f>
        <v>1922068.65</v>
      </c>
      <c r="H1321" s="201">
        <v>0</v>
      </c>
      <c r="I1321" s="201" t="s">
        <v>241</v>
      </c>
      <c r="J1321" s="204">
        <f>IFERROR('Mail Merge'!$E1321/'Mail Merge'!$D1321,0)</f>
        <v>9005.1345959595947</v>
      </c>
      <c r="K1321" s="201">
        <f>IFERROR('Mail Merge'!$F1321/'Mail Merge'!$D1321,0)</f>
        <v>702.28282828282829</v>
      </c>
      <c r="L1321" s="205">
        <f>IFERROR('Mail Merge'!$G1321/'Mail Merge'!$D1321,0)</f>
        <v>9707.4174242424233</v>
      </c>
      <c r="M1321" s="201">
        <v>0</v>
      </c>
      <c r="N1321" s="201" t="s">
        <v>241</v>
      </c>
      <c r="O1321" s="201">
        <v>237698.48</v>
      </c>
      <c r="P1321" s="201">
        <v>3153.75</v>
      </c>
      <c r="Q1321" s="201">
        <f>'Mail Merge'!$O1321+'Mail Merge'!$P1321</f>
        <v>240852.23</v>
      </c>
      <c r="R1321" s="201"/>
      <c r="S1321" s="201"/>
      <c r="T1321" s="201"/>
      <c r="U1321" s="201">
        <f>IF(AND('Mail Merge'!$I1321="Did Not Meet",'Mail Merge'!$N1321="Did Not Meet"),MIN(ABS('Mail Merge'!$H1321),ABS('Mail Merge'!$M1321),'Mail Merge'!$Q1321),0)</f>
        <v>0</v>
      </c>
      <c r="V1321" s="201" t="str">
        <f>IF(OR(IFERROR(SEARCH("Met",'Mail Merge'!$N1321),0)&gt;0,IFERROR(SEARCH("Met",'Mail Merge'!$I1321),0)&gt;0),"Met","Not Met")</f>
        <v>Met</v>
      </c>
    </row>
    <row r="1322" spans="1:22" x14ac:dyDescent="0.35">
      <c r="A1322" s="198" t="s">
        <v>161</v>
      </c>
      <c r="B1322" s="199">
        <v>2039</v>
      </c>
      <c r="C1322" s="199" t="s">
        <v>18</v>
      </c>
      <c r="D1322" s="199">
        <v>381</v>
      </c>
      <c r="E1322" s="199">
        <v>2861111.74</v>
      </c>
      <c r="F1322" s="199">
        <v>740738.99</v>
      </c>
      <c r="G1322" s="199">
        <f>'Mail Merge'!$E1322+'Mail Merge'!$F1322</f>
        <v>3601850.7300000004</v>
      </c>
      <c r="H1322" s="199">
        <v>0</v>
      </c>
      <c r="I1322" s="199" t="s">
        <v>241</v>
      </c>
      <c r="J1322" s="202">
        <f>IFERROR('Mail Merge'!$E1322/'Mail Merge'!$D1322,0)</f>
        <v>7509.479632545932</v>
      </c>
      <c r="K1322" s="199">
        <f>IFERROR('Mail Merge'!$F1322/'Mail Merge'!$D1322,0)</f>
        <v>1944.1968241469815</v>
      </c>
      <c r="L1322" s="203">
        <f>IFERROR('Mail Merge'!$G1322/'Mail Merge'!$D1322,0)</f>
        <v>9453.6764566929141</v>
      </c>
      <c r="M1322" s="199">
        <v>0</v>
      </c>
      <c r="N1322" s="199" t="s">
        <v>241</v>
      </c>
      <c r="O1322" s="199">
        <v>470156.67</v>
      </c>
      <c r="P1322" s="199">
        <v>7330.34</v>
      </c>
      <c r="Q1322" s="199">
        <f>'Mail Merge'!$O1322+'Mail Merge'!$P1322</f>
        <v>477487.01</v>
      </c>
      <c r="R1322" s="199"/>
      <c r="S1322" s="199"/>
      <c r="T1322" s="199"/>
      <c r="U1322" s="199">
        <f>IF(AND('Mail Merge'!$I1322="Did Not Meet",'Mail Merge'!$N1322="Did Not Meet"),MIN(ABS('Mail Merge'!$H1322),ABS('Mail Merge'!$M1322),'Mail Merge'!$Q1322),0)</f>
        <v>0</v>
      </c>
      <c r="V1322" s="199" t="str">
        <f>IF(OR(IFERROR(SEARCH("Met",'Mail Merge'!$N1322),0)&gt;0,IFERROR(SEARCH("Met",'Mail Merge'!$I1322),0)&gt;0),"Met","Not Met")</f>
        <v>Met</v>
      </c>
    </row>
    <row r="1323" spans="1:22" x14ac:dyDescent="0.35">
      <c r="A1323" s="200" t="s">
        <v>162</v>
      </c>
      <c r="B1323" s="201">
        <v>2202</v>
      </c>
      <c r="C1323" s="201" t="s">
        <v>18</v>
      </c>
      <c r="D1323" s="201">
        <v>39</v>
      </c>
      <c r="E1323" s="201">
        <v>321696.01</v>
      </c>
      <c r="F1323" s="201">
        <v>58375.42</v>
      </c>
      <c r="G1323" s="201">
        <f>'Mail Merge'!$E1323+'Mail Merge'!$F1323</f>
        <v>380071.43</v>
      </c>
      <c r="H1323" s="201">
        <v>0</v>
      </c>
      <c r="I1323" s="201" t="s">
        <v>242</v>
      </c>
      <c r="J1323" s="204">
        <f>IFERROR('Mail Merge'!$E1323/'Mail Merge'!$D1323,0)</f>
        <v>8248.6156410256408</v>
      </c>
      <c r="K1323" s="201">
        <f>IFERROR('Mail Merge'!$F1323/'Mail Merge'!$D1323,0)</f>
        <v>1496.8056410256411</v>
      </c>
      <c r="L1323" s="205">
        <f>IFERROR('Mail Merge'!$G1323/'Mail Merge'!$D1323,0)</f>
        <v>9745.4212820512821</v>
      </c>
      <c r="M1323" s="201">
        <v>0</v>
      </c>
      <c r="N1323" s="201" t="s">
        <v>241</v>
      </c>
      <c r="O1323" s="201">
        <v>79622.48</v>
      </c>
      <c r="P1323" s="201">
        <v>363.89</v>
      </c>
      <c r="Q1323" s="201">
        <f>'Mail Merge'!$O1323+'Mail Merge'!$P1323</f>
        <v>79986.37</v>
      </c>
      <c r="R1323" s="201"/>
      <c r="S1323" s="201">
        <v>35494.47</v>
      </c>
      <c r="T1323" s="201"/>
      <c r="U1323" s="201">
        <f>IF(AND('Mail Merge'!$I1323="Did Not Meet",'Mail Merge'!$N1323="Did Not Meet"),MIN(ABS('Mail Merge'!$H1323),ABS('Mail Merge'!$M1323),'Mail Merge'!$Q1323),0)</f>
        <v>0</v>
      </c>
      <c r="V1323" s="201" t="str">
        <f>IF(OR(IFERROR(SEARCH("Met",'Mail Merge'!$N1323),0)&gt;0,IFERROR(SEARCH("Met",'Mail Merge'!$I1323),0)&gt;0),"Met","Not Met")</f>
        <v>Met</v>
      </c>
    </row>
    <row r="1324" spans="1:22" x14ac:dyDescent="0.35">
      <c r="A1324" s="198" t="s">
        <v>163</v>
      </c>
      <c r="B1324" s="199">
        <v>2016</v>
      </c>
      <c r="C1324" s="199" t="s">
        <v>18</v>
      </c>
      <c r="D1324" s="199">
        <v>0</v>
      </c>
      <c r="E1324" s="199">
        <v>2378.41</v>
      </c>
      <c r="F1324" s="199">
        <v>3045</v>
      </c>
      <c r="G1324" s="199">
        <f>'Mail Merge'!$E1324+'Mail Merge'!$F1324</f>
        <v>5423.41</v>
      </c>
      <c r="H1324" s="199">
        <v>0</v>
      </c>
      <c r="I1324" s="199" t="s">
        <v>242</v>
      </c>
      <c r="J1324" s="202">
        <f>IFERROR('Mail Merge'!$E1324/'Mail Merge'!$D1324,0)</f>
        <v>0</v>
      </c>
      <c r="K1324" s="199">
        <f>IFERROR('Mail Merge'!$F1324/'Mail Merge'!$D1324,0)</f>
        <v>0</v>
      </c>
      <c r="L1324" s="203">
        <f>IFERROR('Mail Merge'!$G1324/'Mail Merge'!$D1324,0)</f>
        <v>0</v>
      </c>
      <c r="M1324" s="199">
        <v>0</v>
      </c>
      <c r="N1324" s="199" t="s">
        <v>242</v>
      </c>
      <c r="O1324" s="199">
        <v>0</v>
      </c>
      <c r="P1324" s="199">
        <v>0</v>
      </c>
      <c r="Q1324" s="199">
        <f>'Mail Merge'!$O1324+'Mail Merge'!$P1324</f>
        <v>0</v>
      </c>
      <c r="R1324" s="199"/>
      <c r="S1324" s="199">
        <v>37564.019999999997</v>
      </c>
      <c r="T1324" s="199">
        <v>37564.019999999997</v>
      </c>
      <c r="U1324" s="199">
        <f>IF(AND('Mail Merge'!$I1324="Did Not Meet",'Mail Merge'!$N1324="Did Not Meet"),MIN(ABS('Mail Merge'!$H1324),ABS('Mail Merge'!$M1324),'Mail Merge'!$Q1324),0)</f>
        <v>0</v>
      </c>
      <c r="V1324" s="199" t="str">
        <f>IF(OR(IFERROR(SEARCH("Met",'Mail Merge'!$N1324),0)&gt;0,IFERROR(SEARCH("Met",'Mail Merge'!$I1324),0)&gt;0),"Met","Not Met")</f>
        <v>Met</v>
      </c>
    </row>
    <row r="1325" spans="1:22" x14ac:dyDescent="0.35">
      <c r="A1325" s="200" t="s">
        <v>164</v>
      </c>
      <c r="B1325" s="201">
        <v>1897</v>
      </c>
      <c r="C1325" s="201" t="s">
        <v>18</v>
      </c>
      <c r="D1325" s="201">
        <v>35</v>
      </c>
      <c r="E1325" s="201">
        <v>164941.5</v>
      </c>
      <c r="F1325" s="201">
        <v>0</v>
      </c>
      <c r="G1325" s="201">
        <f>'Mail Merge'!$E1325+'Mail Merge'!$F1325</f>
        <v>164941.5</v>
      </c>
      <c r="H1325" s="201">
        <v>0</v>
      </c>
      <c r="I1325" s="201" t="s">
        <v>241</v>
      </c>
      <c r="J1325" s="204">
        <f>IFERROR('Mail Merge'!$E1325/'Mail Merge'!$D1325,0)</f>
        <v>4712.6142857142859</v>
      </c>
      <c r="K1325" s="201">
        <f>IFERROR('Mail Merge'!$F1325/'Mail Merge'!$D1325,0)</f>
        <v>0</v>
      </c>
      <c r="L1325" s="205">
        <f>IFERROR('Mail Merge'!$G1325/'Mail Merge'!$D1325,0)</f>
        <v>4712.6142857142859</v>
      </c>
      <c r="M1325" s="201">
        <v>41180.89</v>
      </c>
      <c r="N1325" s="201" t="s">
        <v>240</v>
      </c>
      <c r="O1325" s="201">
        <v>32773.18</v>
      </c>
      <c r="P1325" s="201">
        <v>0</v>
      </c>
      <c r="Q1325" s="201">
        <f>'Mail Merge'!$O1325+'Mail Merge'!$P1325</f>
        <v>32773.18</v>
      </c>
      <c r="R1325" s="201"/>
      <c r="S1325" s="201"/>
      <c r="T1325" s="201">
        <v>0</v>
      </c>
      <c r="U1325" s="201">
        <f>IF(AND('Mail Merge'!$I1325="Did Not Meet",'Mail Merge'!$N1325="Did Not Meet"),MIN(ABS('Mail Merge'!$H1325),ABS('Mail Merge'!$M1325),'Mail Merge'!$Q1325),0)</f>
        <v>0</v>
      </c>
      <c r="V1325" s="201" t="str">
        <f>IF(OR(IFERROR(SEARCH("Met",'Mail Merge'!$N1325),0)&gt;0,IFERROR(SEARCH("Met",'Mail Merge'!$I1325),0)&gt;0),"Met","Not Met")</f>
        <v>Met</v>
      </c>
    </row>
    <row r="1326" spans="1:22" x14ac:dyDescent="0.35">
      <c r="A1326" s="198" t="s">
        <v>165</v>
      </c>
      <c r="B1326" s="199">
        <v>2047</v>
      </c>
      <c r="C1326" s="199" t="s">
        <v>18</v>
      </c>
      <c r="D1326" s="199">
        <v>3</v>
      </c>
      <c r="E1326" s="199">
        <v>8579</v>
      </c>
      <c r="F1326" s="199">
        <v>10272.969999999999</v>
      </c>
      <c r="G1326" s="199">
        <f>'Mail Merge'!$E1326+'Mail Merge'!$F1326</f>
        <v>18851.97</v>
      </c>
      <c r="H1326" s="199">
        <v>0</v>
      </c>
      <c r="I1326" s="199" t="s">
        <v>241</v>
      </c>
      <c r="J1326" s="202">
        <f>IFERROR('Mail Merge'!$E1326/'Mail Merge'!$D1326,0)</f>
        <v>2859.6666666666665</v>
      </c>
      <c r="K1326" s="199">
        <f>IFERROR('Mail Merge'!$F1326/'Mail Merge'!$D1326,0)</f>
        <v>3424.3233333333333</v>
      </c>
      <c r="L1326" s="203">
        <f>IFERROR('Mail Merge'!$G1326/'Mail Merge'!$D1326,0)</f>
        <v>6283.9900000000007</v>
      </c>
      <c r="M1326" s="199">
        <v>4141.17</v>
      </c>
      <c r="N1326" s="199" t="s">
        <v>240</v>
      </c>
      <c r="O1326" s="199">
        <v>6992.96</v>
      </c>
      <c r="P1326" s="199">
        <v>970.38</v>
      </c>
      <c r="Q1326" s="199">
        <f>'Mail Merge'!$O1326+'Mail Merge'!$P1326</f>
        <v>7963.34</v>
      </c>
      <c r="R1326" s="199"/>
      <c r="S1326" s="199"/>
      <c r="T1326" s="199">
        <v>0</v>
      </c>
      <c r="U1326" s="199">
        <f>IF(AND('Mail Merge'!$I1326="Did Not Meet",'Mail Merge'!$N1326="Did Not Meet"),MIN(ABS('Mail Merge'!$H1326),ABS('Mail Merge'!$M1326),'Mail Merge'!$Q1326),0)</f>
        <v>0</v>
      </c>
      <c r="V1326" s="199" t="str">
        <f>IF(OR(IFERROR(SEARCH("Met",'Mail Merge'!$N1326),0)&gt;0,IFERROR(SEARCH("Met",'Mail Merge'!$I1326),0)&gt;0),"Met","Not Met")</f>
        <v>Met</v>
      </c>
    </row>
    <row r="1327" spans="1:22" x14ac:dyDescent="0.35">
      <c r="A1327" s="200" t="s">
        <v>166</v>
      </c>
      <c r="B1327" s="201">
        <v>2081</v>
      </c>
      <c r="C1327" s="201" t="s">
        <v>18</v>
      </c>
      <c r="D1327" s="201">
        <v>140</v>
      </c>
      <c r="E1327" s="201">
        <v>1101476.76</v>
      </c>
      <c r="F1327" s="201">
        <v>238558</v>
      </c>
      <c r="G1327" s="201">
        <f>'Mail Merge'!$E1327+'Mail Merge'!$F1327</f>
        <v>1340034.76</v>
      </c>
      <c r="H1327" s="201">
        <v>0</v>
      </c>
      <c r="I1327" s="201" t="s">
        <v>241</v>
      </c>
      <c r="J1327" s="204">
        <f>IFERROR('Mail Merge'!$E1327/'Mail Merge'!$D1327,0)</f>
        <v>7867.6911428571429</v>
      </c>
      <c r="K1327" s="201">
        <f>IFERROR('Mail Merge'!$F1327/'Mail Merge'!$D1327,0)</f>
        <v>1703.9857142857143</v>
      </c>
      <c r="L1327" s="205">
        <f>IFERROR('Mail Merge'!$G1327/'Mail Merge'!$D1327,0)</f>
        <v>9571.6768571428565</v>
      </c>
      <c r="M1327" s="201">
        <v>246276.59</v>
      </c>
      <c r="N1327" s="201" t="s">
        <v>240</v>
      </c>
      <c r="O1327" s="201">
        <v>182567.46</v>
      </c>
      <c r="P1327" s="201">
        <v>447.87</v>
      </c>
      <c r="Q1327" s="201">
        <f>'Mail Merge'!$O1327+'Mail Merge'!$P1327</f>
        <v>183015.33</v>
      </c>
      <c r="R1327" s="201"/>
      <c r="S1327" s="201"/>
      <c r="T1327" s="201">
        <v>515.01</v>
      </c>
      <c r="U1327" s="201">
        <f>IF(AND('Mail Merge'!$I1327="Did Not Meet",'Mail Merge'!$N1327="Did Not Meet"),MIN(ABS('Mail Merge'!$H1327),ABS('Mail Merge'!$M1327),'Mail Merge'!$Q1327),0)</f>
        <v>0</v>
      </c>
      <c r="V1327" s="201" t="str">
        <f>IF(OR(IFERROR(SEARCH("Met",'Mail Merge'!$N1327),0)&gt;0,IFERROR(SEARCH("Met",'Mail Merge'!$I1327),0)&gt;0),"Met","Not Met")</f>
        <v>Met</v>
      </c>
    </row>
    <row r="1328" spans="1:22" x14ac:dyDescent="0.35">
      <c r="A1328" s="198" t="s">
        <v>167</v>
      </c>
      <c r="B1328" s="199">
        <v>2062</v>
      </c>
      <c r="C1328" s="199" t="s">
        <v>18</v>
      </c>
      <c r="D1328" s="199">
        <v>3</v>
      </c>
      <c r="E1328" s="199">
        <v>0</v>
      </c>
      <c r="F1328" s="199">
        <v>2130.91</v>
      </c>
      <c r="G1328" s="199">
        <f>'Mail Merge'!$E1328+'Mail Merge'!$F1328</f>
        <v>2130.91</v>
      </c>
      <c r="H1328" s="199">
        <v>0</v>
      </c>
      <c r="I1328" s="199" t="s">
        <v>242</v>
      </c>
      <c r="J1328" s="202">
        <f>IFERROR('Mail Merge'!$E1328/'Mail Merge'!$D1328,0)</f>
        <v>0</v>
      </c>
      <c r="K1328" s="199">
        <f>IFERROR('Mail Merge'!$F1328/'Mail Merge'!$D1328,0)</f>
        <v>710.30333333333328</v>
      </c>
      <c r="L1328" s="203">
        <f>IFERROR('Mail Merge'!$G1328/'Mail Merge'!$D1328,0)</f>
        <v>710.30333333333328</v>
      </c>
      <c r="M1328" s="199">
        <v>0</v>
      </c>
      <c r="N1328" s="199" t="s">
        <v>242</v>
      </c>
      <c r="O1328" s="199">
        <v>3050.99</v>
      </c>
      <c r="P1328" s="199">
        <v>0</v>
      </c>
      <c r="Q1328" s="199">
        <f>'Mail Merge'!$O1328+'Mail Merge'!$P1328</f>
        <v>3050.99</v>
      </c>
      <c r="R1328" s="199"/>
      <c r="S1328" s="199">
        <v>10670</v>
      </c>
      <c r="T1328" s="199">
        <v>10670</v>
      </c>
      <c r="U1328" s="199">
        <f>IF(AND('Mail Merge'!$I1328="Did Not Meet",'Mail Merge'!$N1328="Did Not Meet"),MIN(ABS('Mail Merge'!$H1328),ABS('Mail Merge'!$M1328),'Mail Merge'!$Q1328),0)</f>
        <v>0</v>
      </c>
      <c r="V1328" s="199" t="str">
        <f>IF(OR(IFERROR(SEARCH("Met",'Mail Merge'!$N1328),0)&gt;0,IFERROR(SEARCH("Met",'Mail Merge'!$I1328),0)&gt;0),"Met","Not Met")</f>
        <v>Met</v>
      </c>
    </row>
    <row r="1329" spans="1:22" x14ac:dyDescent="0.35">
      <c r="A1329" s="200" t="s">
        <v>168</v>
      </c>
      <c r="B1329" s="201">
        <v>1973</v>
      </c>
      <c r="C1329" s="201" t="s">
        <v>18</v>
      </c>
      <c r="D1329" s="201">
        <v>26</v>
      </c>
      <c r="E1329" s="201">
        <v>170934.07</v>
      </c>
      <c r="F1329" s="201">
        <v>86169.99</v>
      </c>
      <c r="G1329" s="201">
        <f>'Mail Merge'!$E1329+'Mail Merge'!$F1329</f>
        <v>257104.06</v>
      </c>
      <c r="H1329" s="201">
        <v>0</v>
      </c>
      <c r="I1329" s="201" t="s">
        <v>241</v>
      </c>
      <c r="J1329" s="204">
        <f>IFERROR('Mail Merge'!$E1329/'Mail Merge'!$D1329,0)</f>
        <v>6574.3873076923082</v>
      </c>
      <c r="K1329" s="201">
        <f>IFERROR('Mail Merge'!$F1329/'Mail Merge'!$D1329,0)</f>
        <v>3314.230384615385</v>
      </c>
      <c r="L1329" s="205">
        <f>IFERROR('Mail Merge'!$G1329/'Mail Merge'!$D1329,0)</f>
        <v>9888.6176923076928</v>
      </c>
      <c r="M1329" s="201">
        <v>72850.84</v>
      </c>
      <c r="N1329" s="201" t="s">
        <v>240</v>
      </c>
      <c r="O1329" s="201">
        <v>56390.73</v>
      </c>
      <c r="P1329" s="201">
        <v>0</v>
      </c>
      <c r="Q1329" s="201">
        <f>'Mail Merge'!$O1329+'Mail Merge'!$P1329</f>
        <v>56390.73</v>
      </c>
      <c r="R1329" s="201"/>
      <c r="S1329" s="201"/>
      <c r="T1329" s="201">
        <v>0</v>
      </c>
      <c r="U1329" s="201">
        <f>IF(AND('Mail Merge'!$I1329="Did Not Meet",'Mail Merge'!$N1329="Did Not Meet"),MIN(ABS('Mail Merge'!$H1329),ABS('Mail Merge'!$M1329),'Mail Merge'!$Q1329),0)</f>
        <v>0</v>
      </c>
      <c r="V1329" s="201" t="str">
        <f>IF(OR(IFERROR(SEARCH("Met",'Mail Merge'!$N1329),0)&gt;0,IFERROR(SEARCH("Met",'Mail Merge'!$I1329),0)&gt;0),"Met","Not Met")</f>
        <v>Met</v>
      </c>
    </row>
    <row r="1330" spans="1:22" x14ac:dyDescent="0.35">
      <c r="A1330" s="198" t="s">
        <v>169</v>
      </c>
      <c r="B1330" s="199">
        <v>2180</v>
      </c>
      <c r="C1330" s="199" t="s">
        <v>18</v>
      </c>
      <c r="D1330" s="199">
        <v>6900</v>
      </c>
      <c r="E1330" s="199">
        <v>79355469.75</v>
      </c>
      <c r="F1330" s="199">
        <v>1017636.82</v>
      </c>
      <c r="G1330" s="199">
        <f>'Mail Merge'!$E1330+'Mail Merge'!$F1330</f>
        <v>80373106.569999993</v>
      </c>
      <c r="H1330" s="199">
        <v>0</v>
      </c>
      <c r="I1330" s="199" t="s">
        <v>241</v>
      </c>
      <c r="J1330" s="202">
        <f>IFERROR('Mail Merge'!$E1330/'Mail Merge'!$D1330,0)</f>
        <v>11500.792717391305</v>
      </c>
      <c r="K1330" s="199">
        <f>IFERROR('Mail Merge'!$F1330/'Mail Merge'!$D1330,0)</f>
        <v>147.48359710144928</v>
      </c>
      <c r="L1330" s="203">
        <f>IFERROR('Mail Merge'!$G1330/'Mail Merge'!$D1330,0)</f>
        <v>11648.276314492752</v>
      </c>
      <c r="M1330" s="199">
        <v>0</v>
      </c>
      <c r="N1330" s="199" t="s">
        <v>241</v>
      </c>
      <c r="O1330" s="199">
        <v>7881813.8499999996</v>
      </c>
      <c r="P1330" s="199">
        <v>83736.34</v>
      </c>
      <c r="Q1330" s="199">
        <f>'Mail Merge'!$O1330+'Mail Merge'!$P1330</f>
        <v>7965550.1899999995</v>
      </c>
      <c r="R1330" s="199"/>
      <c r="S1330" s="199"/>
      <c r="T1330" s="199"/>
      <c r="U1330" s="199">
        <f>IF(AND('Mail Merge'!$I1330="Did Not Meet",'Mail Merge'!$N1330="Did Not Meet"),MIN(ABS('Mail Merge'!$H1330),ABS('Mail Merge'!$M1330),'Mail Merge'!$Q1330),0)</f>
        <v>0</v>
      </c>
      <c r="V1330" s="199" t="str">
        <f>IF(OR(IFERROR(SEARCH("Met",'Mail Merge'!$N1330),0)&gt;0,IFERROR(SEARCH("Met",'Mail Merge'!$I1330),0)&gt;0),"Met","Not Met")</f>
        <v>Met</v>
      </c>
    </row>
    <row r="1331" spans="1:22" x14ac:dyDescent="0.35">
      <c r="A1331" s="200" t="s">
        <v>170</v>
      </c>
      <c r="B1331" s="201">
        <v>1967</v>
      </c>
      <c r="C1331" s="201" t="s">
        <v>18</v>
      </c>
      <c r="D1331" s="201">
        <v>13</v>
      </c>
      <c r="E1331" s="201">
        <v>78242.320000000007</v>
      </c>
      <c r="F1331" s="201">
        <v>36420.769999999997</v>
      </c>
      <c r="G1331" s="201">
        <f>'Mail Merge'!$E1331+'Mail Merge'!$F1331</f>
        <v>114663.09</v>
      </c>
      <c r="H1331" s="201">
        <v>0</v>
      </c>
      <c r="I1331" s="201" t="s">
        <v>242</v>
      </c>
      <c r="J1331" s="204">
        <f>IFERROR('Mail Merge'!$E1331/'Mail Merge'!$D1331,0)</f>
        <v>6018.64</v>
      </c>
      <c r="K1331" s="201">
        <f>IFERROR('Mail Merge'!$F1331/'Mail Merge'!$D1331,0)</f>
        <v>2801.5976923076919</v>
      </c>
      <c r="L1331" s="205">
        <f>IFERROR('Mail Merge'!$G1331/'Mail Merge'!$D1331,0)</f>
        <v>8820.2376923076918</v>
      </c>
      <c r="M1331" s="201">
        <v>0</v>
      </c>
      <c r="N1331" s="201" t="s">
        <v>241</v>
      </c>
      <c r="O1331" s="201">
        <v>27485.08</v>
      </c>
      <c r="P1331" s="201">
        <v>0</v>
      </c>
      <c r="Q1331" s="201">
        <f>'Mail Merge'!$O1331+'Mail Merge'!$P1331</f>
        <v>27485.08</v>
      </c>
      <c r="R1331" s="201"/>
      <c r="S1331" s="201">
        <v>41348.21</v>
      </c>
      <c r="T1331" s="201"/>
      <c r="U1331" s="201">
        <f>IF(AND('Mail Merge'!$I1331="Did Not Meet",'Mail Merge'!$N1331="Did Not Meet"),MIN(ABS('Mail Merge'!$H1331),ABS('Mail Merge'!$M1331),'Mail Merge'!$Q1331),0)</f>
        <v>0</v>
      </c>
      <c r="V1331" s="201" t="str">
        <f>IF(OR(IFERROR(SEARCH("Met",'Mail Merge'!$N1331),0)&gt;0,IFERROR(SEARCH("Met",'Mail Merge'!$I1331),0)&gt;0),"Met","Not Met")</f>
        <v>Met</v>
      </c>
    </row>
    <row r="1332" spans="1:22" x14ac:dyDescent="0.35">
      <c r="A1332" s="198" t="s">
        <v>171</v>
      </c>
      <c r="B1332" s="199">
        <v>2009</v>
      </c>
      <c r="C1332" s="199" t="s">
        <v>18</v>
      </c>
      <c r="D1332" s="199">
        <v>21</v>
      </c>
      <c r="E1332" s="199">
        <v>134144.73000000001</v>
      </c>
      <c r="F1332" s="199">
        <v>79350.539999999994</v>
      </c>
      <c r="G1332" s="199">
        <f>'Mail Merge'!$E1332+'Mail Merge'!$F1332</f>
        <v>213495.27000000002</v>
      </c>
      <c r="H1332" s="199">
        <v>0</v>
      </c>
      <c r="I1332" s="199" t="s">
        <v>242</v>
      </c>
      <c r="J1332" s="202">
        <f>IFERROR('Mail Merge'!$E1332/'Mail Merge'!$D1332,0)</f>
        <v>6387.8442857142863</v>
      </c>
      <c r="K1332" s="199">
        <f>IFERROR('Mail Merge'!$F1332/'Mail Merge'!$D1332,0)</f>
        <v>3778.5971428571424</v>
      </c>
      <c r="L1332" s="203">
        <f>IFERROR('Mail Merge'!$G1332/'Mail Merge'!$D1332,0)</f>
        <v>10166.44142857143</v>
      </c>
      <c r="M1332" s="199">
        <v>0</v>
      </c>
      <c r="N1332" s="199" t="s">
        <v>241</v>
      </c>
      <c r="O1332" s="199">
        <v>31354.9</v>
      </c>
      <c r="P1332" s="199">
        <v>970.38</v>
      </c>
      <c r="Q1332" s="199">
        <f>'Mail Merge'!$O1332+'Mail Merge'!$P1332</f>
        <v>32325.280000000002</v>
      </c>
      <c r="R1332" s="199"/>
      <c r="S1332" s="199">
        <v>45300.37</v>
      </c>
      <c r="T1332" s="199"/>
      <c r="U1332" s="199">
        <f>IF(AND('Mail Merge'!$I1332="Did Not Meet",'Mail Merge'!$N1332="Did Not Meet"),MIN(ABS('Mail Merge'!$H1332),ABS('Mail Merge'!$M1332),'Mail Merge'!$Q1332),0)</f>
        <v>0</v>
      </c>
      <c r="V1332" s="199" t="str">
        <f>IF(OR(IFERROR(SEARCH("Met",'Mail Merge'!$N1332),0)&gt;0,IFERROR(SEARCH("Met",'Mail Merge'!$I1332),0)&gt;0),"Met","Not Met")</f>
        <v>Met</v>
      </c>
    </row>
    <row r="1333" spans="1:22" x14ac:dyDescent="0.35">
      <c r="A1333" s="200" t="s">
        <v>172</v>
      </c>
      <c r="B1333" s="201">
        <v>2045</v>
      </c>
      <c r="C1333" s="201" t="s">
        <v>18</v>
      </c>
      <c r="D1333" s="201">
        <v>23</v>
      </c>
      <c r="E1333" s="201">
        <v>160970.04</v>
      </c>
      <c r="F1333" s="201">
        <v>94486.81</v>
      </c>
      <c r="G1333" s="201">
        <f>'Mail Merge'!$E1333+'Mail Merge'!$F1333</f>
        <v>255456.85</v>
      </c>
      <c r="H1333" s="201">
        <v>0</v>
      </c>
      <c r="I1333" s="201" t="s">
        <v>241</v>
      </c>
      <c r="J1333" s="204">
        <f>IFERROR('Mail Merge'!$E1333/'Mail Merge'!$D1333,0)</f>
        <v>6998.6973913043485</v>
      </c>
      <c r="K1333" s="201">
        <f>IFERROR('Mail Merge'!$F1333/'Mail Merge'!$D1333,0)</f>
        <v>4108.1221739130433</v>
      </c>
      <c r="L1333" s="205">
        <f>IFERROR('Mail Merge'!$G1333/'Mail Merge'!$D1333,0)</f>
        <v>11106.819565217391</v>
      </c>
      <c r="M1333" s="201">
        <v>76441.17</v>
      </c>
      <c r="N1333" s="201" t="s">
        <v>240</v>
      </c>
      <c r="O1333" s="201">
        <v>37947.279999999999</v>
      </c>
      <c r="P1333" s="201">
        <v>970.38</v>
      </c>
      <c r="Q1333" s="201">
        <f>'Mail Merge'!$O1333+'Mail Merge'!$P1333</f>
        <v>38917.659999999996</v>
      </c>
      <c r="R1333" s="201"/>
      <c r="S1333" s="201"/>
      <c r="T1333" s="201">
        <v>0</v>
      </c>
      <c r="U1333" s="201">
        <f>IF(AND('Mail Merge'!$I1333="Did Not Meet",'Mail Merge'!$N1333="Did Not Meet"),MIN(ABS('Mail Merge'!$H1333),ABS('Mail Merge'!$M1333),'Mail Merge'!$Q1333),0)</f>
        <v>0</v>
      </c>
      <c r="V1333" s="201" t="str">
        <f>IF(OR(IFERROR(SEARCH("Met",'Mail Merge'!$N1333),0)&gt;0,IFERROR(SEARCH("Met",'Mail Merge'!$I1333),0)&gt;0),"Met","Not Met")</f>
        <v>Met</v>
      </c>
    </row>
    <row r="1334" spans="1:22" x14ac:dyDescent="0.35">
      <c r="A1334" s="198" t="s">
        <v>173</v>
      </c>
      <c r="B1334" s="199">
        <v>1946</v>
      </c>
      <c r="C1334" s="199" t="s">
        <v>18</v>
      </c>
      <c r="D1334" s="199">
        <v>125</v>
      </c>
      <c r="E1334" s="199">
        <v>1432131.07</v>
      </c>
      <c r="F1334" s="199">
        <v>143434</v>
      </c>
      <c r="G1334" s="199">
        <f>'Mail Merge'!$E1334+'Mail Merge'!$F1334</f>
        <v>1575565.07</v>
      </c>
      <c r="H1334" s="199">
        <v>0</v>
      </c>
      <c r="I1334" s="199" t="s">
        <v>241</v>
      </c>
      <c r="J1334" s="202">
        <f>IFERROR('Mail Merge'!$E1334/'Mail Merge'!$D1334,0)</f>
        <v>11457.048560000001</v>
      </c>
      <c r="K1334" s="199">
        <f>IFERROR('Mail Merge'!$F1334/'Mail Merge'!$D1334,0)</f>
        <v>1147.472</v>
      </c>
      <c r="L1334" s="203">
        <f>IFERROR('Mail Merge'!$G1334/'Mail Merge'!$D1334,0)</f>
        <v>12604.520560000001</v>
      </c>
      <c r="M1334" s="199">
        <v>220678.06</v>
      </c>
      <c r="N1334" s="199" t="s">
        <v>240</v>
      </c>
      <c r="O1334" s="199">
        <v>183341.25</v>
      </c>
      <c r="P1334" s="199">
        <v>1293.8499999999999</v>
      </c>
      <c r="Q1334" s="199">
        <f>'Mail Merge'!$O1334+'Mail Merge'!$P1334</f>
        <v>184635.1</v>
      </c>
      <c r="R1334" s="199"/>
      <c r="S1334" s="199"/>
      <c r="T1334" s="199">
        <v>0</v>
      </c>
      <c r="U1334" s="199">
        <f>IF(AND('Mail Merge'!$I1334="Did Not Meet",'Mail Merge'!$N1334="Did Not Meet"),MIN(ABS('Mail Merge'!$H1334),ABS('Mail Merge'!$M1334),'Mail Merge'!$Q1334),0)</f>
        <v>0</v>
      </c>
      <c r="V1334" s="199" t="str">
        <f>IF(OR(IFERROR(SEARCH("Met",'Mail Merge'!$N1334),0)&gt;0,IFERROR(SEARCH("Met",'Mail Merge'!$I1334),0)&gt;0),"Met","Not Met")</f>
        <v>Met</v>
      </c>
    </row>
    <row r="1335" spans="1:22" x14ac:dyDescent="0.35">
      <c r="A1335" s="200" t="s">
        <v>174</v>
      </c>
      <c r="B1335" s="201">
        <v>1977</v>
      </c>
      <c r="C1335" s="201" t="s">
        <v>18</v>
      </c>
      <c r="D1335" s="201">
        <v>995</v>
      </c>
      <c r="E1335" s="201">
        <v>8462953</v>
      </c>
      <c r="F1335" s="201">
        <v>1423539.36</v>
      </c>
      <c r="G1335" s="201">
        <f>'Mail Merge'!$E1335+'Mail Merge'!$F1335</f>
        <v>9886492.3599999994</v>
      </c>
      <c r="H1335" s="201">
        <v>0</v>
      </c>
      <c r="I1335" s="201" t="s">
        <v>241</v>
      </c>
      <c r="J1335" s="204">
        <f>IFERROR('Mail Merge'!$E1335/'Mail Merge'!$D1335,0)</f>
        <v>8505.480402010051</v>
      </c>
      <c r="K1335" s="201">
        <f>IFERROR('Mail Merge'!$F1335/'Mail Merge'!$D1335,0)</f>
        <v>1430.6928241206031</v>
      </c>
      <c r="L1335" s="205">
        <f>IFERROR('Mail Merge'!$G1335/'Mail Merge'!$D1335,0)</f>
        <v>9936.1732261306533</v>
      </c>
      <c r="M1335" s="201">
        <v>0</v>
      </c>
      <c r="N1335" s="201" t="s">
        <v>241</v>
      </c>
      <c r="O1335" s="201">
        <v>1074450.4099999999</v>
      </c>
      <c r="P1335" s="201">
        <v>4577.12</v>
      </c>
      <c r="Q1335" s="201">
        <f>'Mail Merge'!$O1335+'Mail Merge'!$P1335</f>
        <v>1079027.53</v>
      </c>
      <c r="R1335" s="201"/>
      <c r="S1335" s="201"/>
      <c r="T1335" s="201"/>
      <c r="U1335" s="201">
        <f>IF(AND('Mail Merge'!$I1335="Did Not Meet",'Mail Merge'!$N1335="Did Not Meet"),MIN(ABS('Mail Merge'!$H1335),ABS('Mail Merge'!$M1335),'Mail Merge'!$Q1335),0)</f>
        <v>0</v>
      </c>
      <c r="V1335" s="201" t="str">
        <f>IF(OR(IFERROR(SEARCH("Met",'Mail Merge'!$N1335),0)&gt;0,IFERROR(SEARCH("Met",'Mail Merge'!$I1335),0)&gt;0),"Met","Not Met")</f>
        <v>Met</v>
      </c>
    </row>
    <row r="1336" spans="1:22" x14ac:dyDescent="0.35">
      <c r="A1336" s="198" t="s">
        <v>175</v>
      </c>
      <c r="B1336" s="199">
        <v>2001</v>
      </c>
      <c r="C1336" s="199" t="s">
        <v>18</v>
      </c>
      <c r="D1336" s="199">
        <v>112</v>
      </c>
      <c r="E1336" s="199">
        <v>1123453.51</v>
      </c>
      <c r="F1336" s="199">
        <v>192442.49</v>
      </c>
      <c r="G1336" s="199">
        <f>'Mail Merge'!$E1336+'Mail Merge'!$F1336</f>
        <v>1315896</v>
      </c>
      <c r="H1336" s="199">
        <v>0</v>
      </c>
      <c r="I1336" s="199" t="s">
        <v>241</v>
      </c>
      <c r="J1336" s="202">
        <f>IFERROR('Mail Merge'!$E1336/'Mail Merge'!$D1336,0)</f>
        <v>10030.834910714286</v>
      </c>
      <c r="K1336" s="199">
        <f>IFERROR('Mail Merge'!$F1336/'Mail Merge'!$D1336,0)</f>
        <v>1718.2365178571429</v>
      </c>
      <c r="L1336" s="203">
        <f>IFERROR('Mail Merge'!$G1336/'Mail Merge'!$D1336,0)</f>
        <v>11749.071428571429</v>
      </c>
      <c r="M1336" s="199">
        <v>0</v>
      </c>
      <c r="N1336" s="199" t="s">
        <v>241</v>
      </c>
      <c r="O1336" s="199">
        <v>138743.06</v>
      </c>
      <c r="P1336" s="199">
        <v>1843.73</v>
      </c>
      <c r="Q1336" s="199">
        <f>'Mail Merge'!$O1336+'Mail Merge'!$P1336</f>
        <v>140586.79</v>
      </c>
      <c r="R1336" s="199"/>
      <c r="S1336" s="199"/>
      <c r="T1336" s="199"/>
      <c r="U1336" s="199">
        <f>IF(AND('Mail Merge'!$I1336="Did Not Meet",'Mail Merge'!$N1336="Did Not Meet"),MIN(ABS('Mail Merge'!$H1336),ABS('Mail Merge'!$M1336),'Mail Merge'!$Q1336),0)</f>
        <v>0</v>
      </c>
      <c r="V1336" s="199" t="str">
        <f>IF(OR(IFERROR(SEARCH("Met",'Mail Merge'!$N1336),0)&gt;0,IFERROR(SEARCH("Met",'Mail Merge'!$I1336),0)&gt;0),"Met","Not Met")</f>
        <v>Met</v>
      </c>
    </row>
    <row r="1337" spans="1:22" x14ac:dyDescent="0.35">
      <c r="A1337" s="200" t="s">
        <v>176</v>
      </c>
      <c r="B1337" s="201">
        <v>2182</v>
      </c>
      <c r="C1337" s="201" t="s">
        <v>18</v>
      </c>
      <c r="D1337" s="201">
        <v>1799</v>
      </c>
      <c r="E1337" s="201">
        <v>18408368.5</v>
      </c>
      <c r="F1337" s="201">
        <v>1432596.77</v>
      </c>
      <c r="G1337" s="201">
        <f>'Mail Merge'!$E1337+'Mail Merge'!$F1337</f>
        <v>19840965.27</v>
      </c>
      <c r="H1337" s="201">
        <v>0</v>
      </c>
      <c r="I1337" s="201" t="s">
        <v>241</v>
      </c>
      <c r="J1337" s="204">
        <f>IFERROR('Mail Merge'!$E1337/'Mail Merge'!$D1337,0)</f>
        <v>10232.556142301279</v>
      </c>
      <c r="K1337" s="201">
        <f>IFERROR('Mail Merge'!$F1337/'Mail Merge'!$D1337,0)</f>
        <v>796.32949972206779</v>
      </c>
      <c r="L1337" s="205">
        <f>IFERROR('Mail Merge'!$G1337/'Mail Merge'!$D1337,0)</f>
        <v>11028.885642023346</v>
      </c>
      <c r="M1337" s="201">
        <v>0</v>
      </c>
      <c r="N1337" s="201" t="s">
        <v>241</v>
      </c>
      <c r="O1337" s="201">
        <v>1757555.08</v>
      </c>
      <c r="P1337" s="201">
        <v>12780.68</v>
      </c>
      <c r="Q1337" s="201">
        <f>'Mail Merge'!$O1337+'Mail Merge'!$P1337</f>
        <v>1770335.76</v>
      </c>
      <c r="R1337" s="201"/>
      <c r="S1337" s="201"/>
      <c r="T1337" s="201"/>
      <c r="U1337" s="201">
        <f>IF(AND('Mail Merge'!$I1337="Did Not Meet",'Mail Merge'!$N1337="Did Not Meet"),MIN(ABS('Mail Merge'!$H1337),ABS('Mail Merge'!$M1337),'Mail Merge'!$Q1337),0)</f>
        <v>0</v>
      </c>
      <c r="V1337" s="201" t="str">
        <f>IF(OR(IFERROR(SEARCH("Met",'Mail Merge'!$N1337),0)&gt;0,IFERROR(SEARCH("Met",'Mail Merge'!$I1337),0)&gt;0),"Met","Not Met")</f>
        <v>Met</v>
      </c>
    </row>
    <row r="1338" spans="1:22" x14ac:dyDescent="0.35">
      <c r="A1338" s="198" t="s">
        <v>177</v>
      </c>
      <c r="B1338" s="199">
        <v>1999</v>
      </c>
      <c r="C1338" s="199" t="s">
        <v>18</v>
      </c>
      <c r="D1338" s="199">
        <v>62</v>
      </c>
      <c r="E1338" s="199">
        <v>481788.87</v>
      </c>
      <c r="F1338" s="199">
        <v>107076.99</v>
      </c>
      <c r="G1338" s="199">
        <f>'Mail Merge'!$E1338+'Mail Merge'!$F1338</f>
        <v>588865.86</v>
      </c>
      <c r="H1338" s="199">
        <v>0</v>
      </c>
      <c r="I1338" s="199" t="s">
        <v>242</v>
      </c>
      <c r="J1338" s="202">
        <f>IFERROR('Mail Merge'!$E1338/'Mail Merge'!$D1338,0)</f>
        <v>7770.7882258064519</v>
      </c>
      <c r="K1338" s="199">
        <f>IFERROR('Mail Merge'!$F1338/'Mail Merge'!$D1338,0)</f>
        <v>1727.0482258064517</v>
      </c>
      <c r="L1338" s="203">
        <f>IFERROR('Mail Merge'!$G1338/'Mail Merge'!$D1338,0)</f>
        <v>9497.8364516129022</v>
      </c>
      <c r="M1338" s="199">
        <v>0</v>
      </c>
      <c r="N1338" s="199" t="s">
        <v>242</v>
      </c>
      <c r="O1338" s="199">
        <v>66343.12</v>
      </c>
      <c r="P1338" s="199">
        <v>161.72999999999999</v>
      </c>
      <c r="Q1338" s="199">
        <f>'Mail Merge'!$O1338+'Mail Merge'!$P1338</f>
        <v>66504.849999999991</v>
      </c>
      <c r="R1338" s="199"/>
      <c r="S1338" s="199">
        <v>81862.960000000006</v>
      </c>
      <c r="T1338" s="199">
        <v>1342.02</v>
      </c>
      <c r="U1338" s="199">
        <f>IF(AND('Mail Merge'!$I1338="Did Not Meet",'Mail Merge'!$N1338="Did Not Meet"),MIN(ABS('Mail Merge'!$H1338),ABS('Mail Merge'!$M1338),'Mail Merge'!$Q1338),0)</f>
        <v>0</v>
      </c>
      <c r="V1338" s="199" t="str">
        <f>IF(OR(IFERROR(SEARCH("Met",'Mail Merge'!$N1338),0)&gt;0,IFERROR(SEARCH("Met",'Mail Merge'!$I1338),0)&gt;0),"Met","Not Met")</f>
        <v>Met</v>
      </c>
    </row>
    <row r="1339" spans="1:22" x14ac:dyDescent="0.35">
      <c r="A1339" s="200" t="s">
        <v>178</v>
      </c>
      <c r="B1339" s="201">
        <v>2188</v>
      </c>
      <c r="C1339" s="201" t="s">
        <v>18</v>
      </c>
      <c r="D1339" s="201">
        <v>49</v>
      </c>
      <c r="E1339" s="201">
        <v>403180.43</v>
      </c>
      <c r="F1339" s="201">
        <v>218240.84</v>
      </c>
      <c r="G1339" s="201">
        <f>'Mail Merge'!$E1339+'Mail Merge'!$F1339</f>
        <v>621421.27</v>
      </c>
      <c r="H1339" s="201">
        <v>0</v>
      </c>
      <c r="I1339" s="201" t="s">
        <v>241</v>
      </c>
      <c r="J1339" s="204">
        <f>IFERROR('Mail Merge'!$E1339/'Mail Merge'!$D1339,0)</f>
        <v>8228.1720408163255</v>
      </c>
      <c r="K1339" s="201">
        <f>IFERROR('Mail Merge'!$F1339/'Mail Merge'!$D1339,0)</f>
        <v>4453.8946938775507</v>
      </c>
      <c r="L1339" s="205">
        <f>IFERROR('Mail Merge'!$G1339/'Mail Merge'!$D1339,0)</f>
        <v>12682.066734693877</v>
      </c>
      <c r="M1339" s="201">
        <v>0</v>
      </c>
      <c r="N1339" s="201" t="s">
        <v>241</v>
      </c>
      <c r="O1339" s="201">
        <v>70385.55</v>
      </c>
      <c r="P1339" s="201">
        <v>485.19</v>
      </c>
      <c r="Q1339" s="201">
        <f>'Mail Merge'!$O1339+'Mail Merge'!$P1339</f>
        <v>70870.740000000005</v>
      </c>
      <c r="R1339" s="201"/>
      <c r="S1339" s="201"/>
      <c r="T1339" s="201"/>
      <c r="U1339" s="201">
        <f>IF(AND('Mail Merge'!$I1339="Did Not Meet",'Mail Merge'!$N1339="Did Not Meet"),MIN(ABS('Mail Merge'!$H1339),ABS('Mail Merge'!$M1339),'Mail Merge'!$Q1339),0)</f>
        <v>0</v>
      </c>
      <c r="V1339" s="201" t="str">
        <f>IF(OR(IFERROR(SEARCH("Met",'Mail Merge'!$N1339),0)&gt;0,IFERROR(SEARCH("Met",'Mail Merge'!$I1339),0)&gt;0),"Met","Not Met")</f>
        <v>Met</v>
      </c>
    </row>
    <row r="1340" spans="1:22" x14ac:dyDescent="0.35">
      <c r="A1340" s="198" t="s">
        <v>179</v>
      </c>
      <c r="B1340" s="199">
        <v>2044</v>
      </c>
      <c r="C1340" s="199" t="s">
        <v>18</v>
      </c>
      <c r="D1340" s="199">
        <v>154</v>
      </c>
      <c r="E1340" s="199">
        <v>1043915.87</v>
      </c>
      <c r="F1340" s="199">
        <v>387147.47</v>
      </c>
      <c r="G1340" s="199">
        <f>'Mail Merge'!$E1340+'Mail Merge'!$F1340</f>
        <v>1431063.3399999999</v>
      </c>
      <c r="H1340" s="199">
        <v>0</v>
      </c>
      <c r="I1340" s="199" t="s">
        <v>241</v>
      </c>
      <c r="J1340" s="202">
        <f>IFERROR('Mail Merge'!$E1340/'Mail Merge'!$D1340,0)</f>
        <v>6778.6744805194803</v>
      </c>
      <c r="K1340" s="199">
        <f>IFERROR('Mail Merge'!$F1340/'Mail Merge'!$D1340,0)</f>
        <v>2513.9446103896103</v>
      </c>
      <c r="L1340" s="203">
        <f>IFERROR('Mail Merge'!$G1340/'Mail Merge'!$D1340,0)</f>
        <v>9292.6190909090892</v>
      </c>
      <c r="M1340" s="199">
        <v>0</v>
      </c>
      <c r="N1340" s="199" t="s">
        <v>241</v>
      </c>
      <c r="O1340" s="199">
        <v>163808.82</v>
      </c>
      <c r="P1340" s="199">
        <v>2218.02</v>
      </c>
      <c r="Q1340" s="199">
        <f>'Mail Merge'!$O1340+'Mail Merge'!$P1340</f>
        <v>166026.84</v>
      </c>
      <c r="R1340" s="199"/>
      <c r="S1340" s="199"/>
      <c r="T1340" s="199"/>
      <c r="U1340" s="199">
        <f>IF(AND('Mail Merge'!$I1340="Did Not Meet",'Mail Merge'!$N1340="Did Not Meet"),MIN(ABS('Mail Merge'!$H1340),ABS('Mail Merge'!$M1340),'Mail Merge'!$Q1340),0)</f>
        <v>0</v>
      </c>
      <c r="V1340" s="199" t="str">
        <f>IF(OR(IFERROR(SEARCH("Met",'Mail Merge'!$N1340),0)&gt;0,IFERROR(SEARCH("Met",'Mail Merge'!$I1340),0)&gt;0),"Met","Not Met")</f>
        <v>Met</v>
      </c>
    </row>
    <row r="1341" spans="1:22" x14ac:dyDescent="0.35">
      <c r="A1341" s="200" t="s">
        <v>180</v>
      </c>
      <c r="B1341" s="201">
        <v>2142</v>
      </c>
      <c r="C1341" s="201" t="s">
        <v>18</v>
      </c>
      <c r="D1341" s="201">
        <v>6750</v>
      </c>
      <c r="E1341" s="201">
        <v>78017371.650000006</v>
      </c>
      <c r="F1341" s="201">
        <v>0</v>
      </c>
      <c r="G1341" s="201">
        <f>'Mail Merge'!$E1341+'Mail Merge'!$F1341</f>
        <v>78017371.650000006</v>
      </c>
      <c r="H1341" s="201">
        <v>0</v>
      </c>
      <c r="I1341" s="201" t="s">
        <v>241</v>
      </c>
      <c r="J1341" s="204">
        <f>IFERROR('Mail Merge'!$E1341/'Mail Merge'!$D1341,0)</f>
        <v>11558.129133333334</v>
      </c>
      <c r="K1341" s="201">
        <f>IFERROR('Mail Merge'!$F1341/'Mail Merge'!$D1341,0)</f>
        <v>0</v>
      </c>
      <c r="L1341" s="205">
        <f>IFERROR('Mail Merge'!$G1341/'Mail Merge'!$D1341,0)</f>
        <v>11558.129133333334</v>
      </c>
      <c r="M1341" s="201">
        <v>0</v>
      </c>
      <c r="N1341" s="201" t="s">
        <v>241</v>
      </c>
      <c r="O1341" s="201">
        <v>7028592</v>
      </c>
      <c r="P1341" s="201">
        <v>36615.85</v>
      </c>
      <c r="Q1341" s="201">
        <f>'Mail Merge'!$O1341+'Mail Merge'!$P1341</f>
        <v>7065207.8499999996</v>
      </c>
      <c r="R1341" s="201"/>
      <c r="S1341" s="201"/>
      <c r="T1341" s="201"/>
      <c r="U1341" s="201">
        <f>IF(AND('Mail Merge'!$I1341="Did Not Meet",'Mail Merge'!$N1341="Did Not Meet"),MIN(ABS('Mail Merge'!$H1341),ABS('Mail Merge'!$M1341),'Mail Merge'!$Q1341),0)</f>
        <v>0</v>
      </c>
      <c r="V1341" s="201" t="str">
        <f>IF(OR(IFERROR(SEARCH("Met",'Mail Merge'!$N1341),0)&gt;0,IFERROR(SEARCH("Met",'Mail Merge'!$I1341),0)&gt;0),"Met","Not Met")</f>
        <v>Met</v>
      </c>
    </row>
    <row r="1342" spans="1:22" x14ac:dyDescent="0.35">
      <c r="A1342" s="198" t="s">
        <v>181</v>
      </c>
      <c r="B1342" s="199">
        <v>2104</v>
      </c>
      <c r="C1342" s="199" t="s">
        <v>18</v>
      </c>
      <c r="D1342" s="199">
        <v>567</v>
      </c>
      <c r="E1342" s="199">
        <v>3525367.3</v>
      </c>
      <c r="F1342" s="199">
        <v>362243</v>
      </c>
      <c r="G1342" s="199">
        <f>'Mail Merge'!$E1342+'Mail Merge'!$F1342</f>
        <v>3887610.3</v>
      </c>
      <c r="H1342" s="199">
        <v>0</v>
      </c>
      <c r="I1342" s="199" t="s">
        <v>241</v>
      </c>
      <c r="J1342" s="202">
        <f>IFERROR('Mail Merge'!$E1342/'Mail Merge'!$D1342,0)</f>
        <v>6217.5790123456791</v>
      </c>
      <c r="K1342" s="199">
        <f>IFERROR('Mail Merge'!$F1342/'Mail Merge'!$D1342,0)</f>
        <v>638.87654320987656</v>
      </c>
      <c r="L1342" s="203">
        <f>IFERROR('Mail Merge'!$G1342/'Mail Merge'!$D1342,0)</f>
        <v>6856.4555555555553</v>
      </c>
      <c r="M1342" s="199">
        <v>1440951.48</v>
      </c>
      <c r="N1342" s="199" t="s">
        <v>240</v>
      </c>
      <c r="O1342" s="199">
        <v>482195.33</v>
      </c>
      <c r="P1342" s="199">
        <v>1039.7</v>
      </c>
      <c r="Q1342" s="199">
        <f>'Mail Merge'!$O1342+'Mail Merge'!$P1342</f>
        <v>483235.03</v>
      </c>
      <c r="R1342" s="199"/>
      <c r="S1342" s="199"/>
      <c r="T1342" s="199">
        <v>0</v>
      </c>
      <c r="U1342" s="199">
        <f>IF(AND('Mail Merge'!$I1342="Did Not Meet",'Mail Merge'!$N1342="Did Not Meet"),MIN(ABS('Mail Merge'!$H1342),ABS('Mail Merge'!$M1342),'Mail Merge'!$Q1342),0)</f>
        <v>0</v>
      </c>
      <c r="V1342" s="199" t="str">
        <f>IF(OR(IFERROR(SEARCH("Met",'Mail Merge'!$N1342),0)&gt;0,IFERROR(SEARCH("Met",'Mail Merge'!$I1342),0)&gt;0),"Met","Not Met")</f>
        <v>Met</v>
      </c>
    </row>
    <row r="1343" spans="1:22" x14ac:dyDescent="0.35">
      <c r="A1343" s="200" t="s">
        <v>182</v>
      </c>
      <c r="B1343" s="201">
        <v>1944</v>
      </c>
      <c r="C1343" s="201" t="s">
        <v>18</v>
      </c>
      <c r="D1343" s="201">
        <v>274</v>
      </c>
      <c r="E1343" s="201">
        <v>2572643.9500000002</v>
      </c>
      <c r="F1343" s="201">
        <v>583314</v>
      </c>
      <c r="G1343" s="201">
        <f>'Mail Merge'!$E1343+'Mail Merge'!$F1343</f>
        <v>3155957.95</v>
      </c>
      <c r="H1343" s="201">
        <v>0</v>
      </c>
      <c r="I1343" s="201" t="s">
        <v>241</v>
      </c>
      <c r="J1343" s="204">
        <f>IFERROR('Mail Merge'!$E1343/'Mail Merge'!$D1343,0)</f>
        <v>9389.2114963503664</v>
      </c>
      <c r="K1343" s="201">
        <f>IFERROR('Mail Merge'!$F1343/'Mail Merge'!$D1343,0)</f>
        <v>2128.8832116788321</v>
      </c>
      <c r="L1343" s="205">
        <f>IFERROR('Mail Merge'!$G1343/'Mail Merge'!$D1343,0)</f>
        <v>11518.094708029197</v>
      </c>
      <c r="M1343" s="201">
        <v>0</v>
      </c>
      <c r="N1343" s="201" t="s">
        <v>241</v>
      </c>
      <c r="O1343" s="201">
        <v>390382.92</v>
      </c>
      <c r="P1343" s="201">
        <v>1831.21</v>
      </c>
      <c r="Q1343" s="201">
        <f>'Mail Merge'!$O1343+'Mail Merge'!$P1343</f>
        <v>392214.13</v>
      </c>
      <c r="R1343" s="201"/>
      <c r="S1343" s="201"/>
      <c r="T1343" s="201"/>
      <c r="U1343" s="201">
        <f>IF(AND('Mail Merge'!$I1343="Did Not Meet",'Mail Merge'!$N1343="Did Not Meet"),MIN(ABS('Mail Merge'!$H1343),ABS('Mail Merge'!$M1343),'Mail Merge'!$Q1343),0)</f>
        <v>0</v>
      </c>
      <c r="V1343" s="201" t="str">
        <f>IF(OR(IFERROR(SEARCH("Met",'Mail Merge'!$N1343),0)&gt;0,IFERROR(SEARCH("Met",'Mail Merge'!$I1343),0)&gt;0),"Met","Not Met")</f>
        <v>Met</v>
      </c>
    </row>
    <row r="1344" spans="1:22" x14ac:dyDescent="0.35">
      <c r="A1344" s="198" t="s">
        <v>183</v>
      </c>
      <c r="B1344" s="199">
        <v>2103</v>
      </c>
      <c r="C1344" s="199" t="s">
        <v>18</v>
      </c>
      <c r="D1344" s="199">
        <v>93</v>
      </c>
      <c r="E1344" s="199">
        <v>405174.72</v>
      </c>
      <c r="F1344" s="199">
        <v>167490</v>
      </c>
      <c r="G1344" s="199">
        <f>'Mail Merge'!$E1344+'Mail Merge'!$F1344</f>
        <v>572664.72</v>
      </c>
      <c r="H1344" s="199">
        <v>0</v>
      </c>
      <c r="I1344" s="199" t="s">
        <v>242</v>
      </c>
      <c r="J1344" s="202">
        <f>IFERROR('Mail Merge'!$E1344/'Mail Merge'!$D1344,0)</f>
        <v>4356.7174193548381</v>
      </c>
      <c r="K1344" s="199">
        <f>IFERROR('Mail Merge'!$F1344/'Mail Merge'!$D1344,0)</f>
        <v>1800.9677419354839</v>
      </c>
      <c r="L1344" s="203">
        <f>IFERROR('Mail Merge'!$G1344/'Mail Merge'!$D1344,0)</f>
        <v>6157.685161290322</v>
      </c>
      <c r="M1344" s="199">
        <v>7824.25</v>
      </c>
      <c r="N1344" s="199" t="s">
        <v>240</v>
      </c>
      <c r="O1344" s="199">
        <v>112407.99</v>
      </c>
      <c r="P1344" s="199">
        <v>323.45999999999998</v>
      </c>
      <c r="Q1344" s="199">
        <f>'Mail Merge'!$O1344+'Mail Merge'!$P1344</f>
        <v>112731.45000000001</v>
      </c>
      <c r="R1344" s="199"/>
      <c r="S1344" s="199">
        <v>65631.320000000007</v>
      </c>
      <c r="T1344" s="199">
        <v>721.22</v>
      </c>
      <c r="U1344" s="199">
        <f>IF(AND('Mail Merge'!$I1344="Did Not Meet",'Mail Merge'!$N1344="Did Not Meet"),MIN(ABS('Mail Merge'!$H1344),ABS('Mail Merge'!$M1344),'Mail Merge'!$Q1344),0)</f>
        <v>0</v>
      </c>
      <c r="V1344" s="199" t="str">
        <f>IF(OR(IFERROR(SEARCH("Met",'Mail Merge'!$N1344),0)&gt;0,IFERROR(SEARCH("Met",'Mail Merge'!$I1344),0)&gt;0),"Met","Not Met")</f>
        <v>Met</v>
      </c>
    </row>
    <row r="1345" spans="1:22" x14ac:dyDescent="0.35">
      <c r="A1345" s="200" t="s">
        <v>184</v>
      </c>
      <c r="B1345" s="201">
        <v>1935</v>
      </c>
      <c r="C1345" s="201" t="s">
        <v>18</v>
      </c>
      <c r="D1345" s="201">
        <v>256</v>
      </c>
      <c r="E1345" s="201">
        <v>2305205.69</v>
      </c>
      <c r="F1345" s="201">
        <v>414490</v>
      </c>
      <c r="G1345" s="201">
        <f>'Mail Merge'!$E1345+'Mail Merge'!$F1345</f>
        <v>2719695.69</v>
      </c>
      <c r="H1345" s="201">
        <v>0</v>
      </c>
      <c r="I1345" s="201" t="s">
        <v>241</v>
      </c>
      <c r="J1345" s="204">
        <f>IFERROR('Mail Merge'!$E1345/'Mail Merge'!$D1345,0)</f>
        <v>9004.7097265624998</v>
      </c>
      <c r="K1345" s="201">
        <f>IFERROR('Mail Merge'!$F1345/'Mail Merge'!$D1345,0)</f>
        <v>1619.1015625</v>
      </c>
      <c r="L1345" s="205">
        <f>IFERROR('Mail Merge'!$G1345/'Mail Merge'!$D1345,0)</f>
        <v>10623.8112890625</v>
      </c>
      <c r="M1345" s="201">
        <v>0</v>
      </c>
      <c r="N1345" s="201" t="s">
        <v>241</v>
      </c>
      <c r="O1345" s="201">
        <v>251022.99</v>
      </c>
      <c r="P1345" s="201">
        <v>3234.62</v>
      </c>
      <c r="Q1345" s="201">
        <f>'Mail Merge'!$O1345+'Mail Merge'!$P1345</f>
        <v>254257.61</v>
      </c>
      <c r="R1345" s="201"/>
      <c r="S1345" s="201"/>
      <c r="T1345" s="201"/>
      <c r="U1345" s="201">
        <f>IF(AND('Mail Merge'!$I1345="Did Not Meet",'Mail Merge'!$N1345="Did Not Meet"),MIN(ABS('Mail Merge'!$H1345),ABS('Mail Merge'!$M1345),'Mail Merge'!$Q1345),0)</f>
        <v>0</v>
      </c>
      <c r="V1345" s="201" t="str">
        <f>IF(OR(IFERROR(SEARCH("Met",'Mail Merge'!$N1345),0)&gt;0,IFERROR(SEARCH("Met",'Mail Merge'!$I1345),0)&gt;0),"Met","Not Met")</f>
        <v>Met</v>
      </c>
    </row>
    <row r="1346" spans="1:22" x14ac:dyDescent="0.35">
      <c r="A1346" s="198" t="s">
        <v>185</v>
      </c>
      <c r="B1346" s="199">
        <v>2257</v>
      </c>
      <c r="C1346" s="199" t="s">
        <v>18</v>
      </c>
      <c r="D1346" s="199">
        <v>101</v>
      </c>
      <c r="E1346" s="199">
        <v>887003.1</v>
      </c>
      <c r="F1346" s="199">
        <v>116612.02</v>
      </c>
      <c r="G1346" s="199">
        <f>'Mail Merge'!$E1346+'Mail Merge'!$F1346</f>
        <v>1003615.12</v>
      </c>
      <c r="H1346" s="199">
        <v>0</v>
      </c>
      <c r="I1346" s="199" t="s">
        <v>241</v>
      </c>
      <c r="J1346" s="202">
        <f>IFERROR('Mail Merge'!$E1346/'Mail Merge'!$D1346,0)</f>
        <v>8782.2089108910895</v>
      </c>
      <c r="K1346" s="199">
        <f>IFERROR('Mail Merge'!$F1346/'Mail Merge'!$D1346,0)</f>
        <v>1154.5744554455446</v>
      </c>
      <c r="L1346" s="203">
        <f>IFERROR('Mail Merge'!$G1346/'Mail Merge'!$D1346,0)</f>
        <v>9936.7833663366328</v>
      </c>
      <c r="M1346" s="199">
        <v>0</v>
      </c>
      <c r="N1346" s="199" t="s">
        <v>241</v>
      </c>
      <c r="O1346" s="199">
        <v>153364.88</v>
      </c>
      <c r="P1346" s="199">
        <v>342.49</v>
      </c>
      <c r="Q1346" s="199">
        <f>'Mail Merge'!$O1346+'Mail Merge'!$P1346</f>
        <v>153707.37</v>
      </c>
      <c r="R1346" s="199"/>
      <c r="S1346" s="199"/>
      <c r="T1346" s="199"/>
      <c r="U1346" s="199">
        <f>IF(AND('Mail Merge'!$I1346="Did Not Meet",'Mail Merge'!$N1346="Did Not Meet"),MIN(ABS('Mail Merge'!$H1346),ABS('Mail Merge'!$M1346),'Mail Merge'!$Q1346),0)</f>
        <v>0</v>
      </c>
      <c r="V1346" s="199" t="str">
        <f>IF(OR(IFERROR(SEARCH("Met",'Mail Merge'!$N1346),0)&gt;0,IFERROR(SEARCH("Met",'Mail Merge'!$I1346),0)&gt;0),"Met","Not Met")</f>
        <v>Met</v>
      </c>
    </row>
    <row r="1347" spans="1:22" x14ac:dyDescent="0.35">
      <c r="A1347" s="200" t="s">
        <v>186</v>
      </c>
      <c r="B1347" s="201">
        <v>2195</v>
      </c>
      <c r="C1347" s="201" t="s">
        <v>18</v>
      </c>
      <c r="D1347" s="201">
        <v>38</v>
      </c>
      <c r="E1347" s="201">
        <v>145774.10999999999</v>
      </c>
      <c r="F1347" s="201">
        <v>158345</v>
      </c>
      <c r="G1347" s="201">
        <f>'Mail Merge'!$E1347+'Mail Merge'!$F1347</f>
        <v>304119.11</v>
      </c>
      <c r="H1347" s="201">
        <v>0</v>
      </c>
      <c r="I1347" s="201" t="s">
        <v>242</v>
      </c>
      <c r="J1347" s="204">
        <f>IFERROR('Mail Merge'!$E1347/'Mail Merge'!$D1347,0)</f>
        <v>3836.160789473684</v>
      </c>
      <c r="K1347" s="201">
        <f>IFERROR('Mail Merge'!$F1347/'Mail Merge'!$D1347,0)</f>
        <v>4166.9736842105267</v>
      </c>
      <c r="L1347" s="205">
        <f>IFERROR('Mail Merge'!$G1347/'Mail Merge'!$D1347,0)</f>
        <v>8003.1344736842102</v>
      </c>
      <c r="M1347" s="201">
        <v>0</v>
      </c>
      <c r="N1347" s="201" t="s">
        <v>242</v>
      </c>
      <c r="O1347" s="201">
        <v>51667.73</v>
      </c>
      <c r="P1347" s="201">
        <v>215.64</v>
      </c>
      <c r="Q1347" s="201">
        <f>'Mail Merge'!$O1347+'Mail Merge'!$P1347</f>
        <v>51883.37</v>
      </c>
      <c r="R1347" s="201"/>
      <c r="S1347" s="201">
        <v>56788.55</v>
      </c>
      <c r="T1347" s="201">
        <v>1494.44</v>
      </c>
      <c r="U1347" s="201">
        <f>IF(AND('Mail Merge'!$I1347="Did Not Meet",'Mail Merge'!$N1347="Did Not Meet"),MIN(ABS('Mail Merge'!$H1347),ABS('Mail Merge'!$M1347),'Mail Merge'!$Q1347),0)</f>
        <v>0</v>
      </c>
      <c r="V1347" s="201" t="str">
        <f>IF(OR(IFERROR(SEARCH("Met",'Mail Merge'!$N1347),0)&gt;0,IFERROR(SEARCH("Met",'Mail Merge'!$I1347),0)&gt;0),"Met","Not Met")</f>
        <v>Met</v>
      </c>
    </row>
    <row r="1348" spans="1:22" x14ac:dyDescent="0.35">
      <c r="A1348" s="198" t="s">
        <v>187</v>
      </c>
      <c r="B1348" s="199">
        <v>2244</v>
      </c>
      <c r="C1348" s="199" t="s">
        <v>18</v>
      </c>
      <c r="D1348" s="199">
        <v>556</v>
      </c>
      <c r="E1348" s="199">
        <v>4757827.2</v>
      </c>
      <c r="F1348" s="199">
        <v>767172</v>
      </c>
      <c r="G1348" s="199">
        <f>'Mail Merge'!$E1348+'Mail Merge'!$F1348</f>
        <v>5524999.2000000002</v>
      </c>
      <c r="H1348" s="199">
        <v>0</v>
      </c>
      <c r="I1348" s="199" t="s">
        <v>241</v>
      </c>
      <c r="J1348" s="202">
        <f>IFERROR('Mail Merge'!$E1348/'Mail Merge'!$D1348,0)</f>
        <v>8557.2431654676257</v>
      </c>
      <c r="K1348" s="199">
        <f>IFERROR('Mail Merge'!$F1348/'Mail Merge'!$D1348,0)</f>
        <v>1379.8057553956835</v>
      </c>
      <c r="L1348" s="203">
        <f>IFERROR('Mail Merge'!$G1348/'Mail Merge'!$D1348,0)</f>
        <v>9937.0489208633098</v>
      </c>
      <c r="M1348" s="199">
        <v>0</v>
      </c>
      <c r="N1348" s="199" t="s">
        <v>241</v>
      </c>
      <c r="O1348" s="199">
        <v>683679.28</v>
      </c>
      <c r="P1348" s="199">
        <v>1842.09</v>
      </c>
      <c r="Q1348" s="199">
        <f>'Mail Merge'!$O1348+'Mail Merge'!$P1348</f>
        <v>685521.37</v>
      </c>
      <c r="R1348" s="199"/>
      <c r="S1348" s="199"/>
      <c r="T1348" s="199"/>
      <c r="U1348" s="199">
        <f>IF(AND('Mail Merge'!$I1348="Did Not Meet",'Mail Merge'!$N1348="Did Not Meet"),MIN(ABS('Mail Merge'!$H1348),ABS('Mail Merge'!$M1348),'Mail Merge'!$Q1348),0)</f>
        <v>0</v>
      </c>
      <c r="V1348" s="199" t="str">
        <f>IF(OR(IFERROR(SEARCH("Met",'Mail Merge'!$N1348),0)&gt;0,IFERROR(SEARCH("Met",'Mail Merge'!$I1348),0)&gt;0),"Met","Not Met")</f>
        <v>Met</v>
      </c>
    </row>
    <row r="1349" spans="1:22" x14ac:dyDescent="0.35">
      <c r="A1349" s="200" t="s">
        <v>188</v>
      </c>
      <c r="B1349" s="201">
        <v>2138</v>
      </c>
      <c r="C1349" s="201" t="s">
        <v>18</v>
      </c>
      <c r="D1349" s="201">
        <v>470</v>
      </c>
      <c r="E1349" s="201">
        <v>4346988.82</v>
      </c>
      <c r="F1349" s="201">
        <v>355620.05</v>
      </c>
      <c r="G1349" s="201">
        <f>'Mail Merge'!$E1349+'Mail Merge'!$F1349</f>
        <v>4702608.87</v>
      </c>
      <c r="H1349" s="201">
        <v>0</v>
      </c>
      <c r="I1349" s="201" t="s">
        <v>241</v>
      </c>
      <c r="J1349" s="204">
        <f>IFERROR('Mail Merge'!$E1349/'Mail Merge'!$D1349,0)</f>
        <v>9248.9123829787241</v>
      </c>
      <c r="K1349" s="201">
        <f>IFERROR('Mail Merge'!$F1349/'Mail Merge'!$D1349,0)</f>
        <v>756.63840425531907</v>
      </c>
      <c r="L1349" s="205">
        <f>IFERROR('Mail Merge'!$G1349/'Mail Merge'!$D1349,0)</f>
        <v>10005.550787234042</v>
      </c>
      <c r="M1349" s="201">
        <v>0</v>
      </c>
      <c r="N1349" s="201" t="s">
        <v>241</v>
      </c>
      <c r="O1349" s="201">
        <v>525224.93000000005</v>
      </c>
      <c r="P1349" s="201">
        <v>3396.35</v>
      </c>
      <c r="Q1349" s="201">
        <f>'Mail Merge'!$O1349+'Mail Merge'!$P1349</f>
        <v>528621.28</v>
      </c>
      <c r="R1349" s="201"/>
      <c r="S1349" s="201"/>
      <c r="T1349" s="201"/>
      <c r="U1349" s="201">
        <f>IF(AND('Mail Merge'!$I1349="Did Not Meet",'Mail Merge'!$N1349="Did Not Meet"),MIN(ABS('Mail Merge'!$H1349),ABS('Mail Merge'!$M1349),'Mail Merge'!$Q1349),0)</f>
        <v>0</v>
      </c>
      <c r="V1349" s="201" t="str">
        <f>IF(OR(IFERROR(SEARCH("Met",'Mail Merge'!$N1349),0)&gt;0,IFERROR(SEARCH("Met",'Mail Merge'!$I1349),0)&gt;0),"Met","Not Met")</f>
        <v>Met</v>
      </c>
    </row>
    <row r="1350" spans="1:22" x14ac:dyDescent="0.35">
      <c r="A1350" s="198" t="s">
        <v>189</v>
      </c>
      <c r="B1350" s="199">
        <v>1978</v>
      </c>
      <c r="C1350" s="199" t="s">
        <v>18</v>
      </c>
      <c r="D1350" s="199">
        <v>111</v>
      </c>
      <c r="E1350" s="199">
        <v>851668.73</v>
      </c>
      <c r="F1350" s="199">
        <v>126166</v>
      </c>
      <c r="G1350" s="199">
        <f>'Mail Merge'!$E1350+'Mail Merge'!$F1350</f>
        <v>977834.73</v>
      </c>
      <c r="H1350" s="199">
        <v>0</v>
      </c>
      <c r="I1350" s="199" t="s">
        <v>241</v>
      </c>
      <c r="J1350" s="202">
        <f>IFERROR('Mail Merge'!$E1350/'Mail Merge'!$D1350,0)</f>
        <v>7672.6912612612614</v>
      </c>
      <c r="K1350" s="199">
        <f>IFERROR('Mail Merge'!$F1350/'Mail Merge'!$D1350,0)</f>
        <v>1136.6306306306305</v>
      </c>
      <c r="L1350" s="203">
        <f>IFERROR('Mail Merge'!$G1350/'Mail Merge'!$D1350,0)</f>
        <v>8809.3218918918919</v>
      </c>
      <c r="M1350" s="199">
        <v>0</v>
      </c>
      <c r="N1350" s="199" t="s">
        <v>241</v>
      </c>
      <c r="O1350" s="199">
        <v>172063.88</v>
      </c>
      <c r="P1350" s="199">
        <v>1212.98</v>
      </c>
      <c r="Q1350" s="199">
        <f>'Mail Merge'!$O1350+'Mail Merge'!$P1350</f>
        <v>173276.86000000002</v>
      </c>
      <c r="R1350" s="199"/>
      <c r="S1350" s="199"/>
      <c r="T1350" s="199"/>
      <c r="U1350" s="199">
        <f>IF(AND('Mail Merge'!$I1350="Did Not Meet",'Mail Merge'!$N1350="Did Not Meet"),MIN(ABS('Mail Merge'!$H1350),ABS('Mail Merge'!$M1350),'Mail Merge'!$Q1350),0)</f>
        <v>0</v>
      </c>
      <c r="V1350" s="199" t="str">
        <f>IF(OR(IFERROR(SEARCH("Met",'Mail Merge'!$N1350),0)&gt;0,IFERROR(SEARCH("Met",'Mail Merge'!$I1350),0)&gt;0),"Met","Not Met")</f>
        <v>Met</v>
      </c>
    </row>
    <row r="1351" spans="1:22" x14ac:dyDescent="0.35">
      <c r="A1351" s="200" t="s">
        <v>190</v>
      </c>
      <c r="B1351" s="201">
        <v>2096</v>
      </c>
      <c r="C1351" s="201" t="s">
        <v>18</v>
      </c>
      <c r="D1351" s="201">
        <v>181</v>
      </c>
      <c r="E1351" s="201">
        <v>1335547.7</v>
      </c>
      <c r="F1351" s="201">
        <v>448913</v>
      </c>
      <c r="G1351" s="201">
        <f>'Mail Merge'!$E1351+'Mail Merge'!$F1351</f>
        <v>1784460.7</v>
      </c>
      <c r="H1351" s="201">
        <v>0</v>
      </c>
      <c r="I1351" s="201" t="s">
        <v>242</v>
      </c>
      <c r="J1351" s="204">
        <f>IFERROR('Mail Merge'!$E1351/'Mail Merge'!$D1351,0)</f>
        <v>7378.7165745856355</v>
      </c>
      <c r="K1351" s="201">
        <f>IFERROR('Mail Merge'!$F1351/'Mail Merge'!$D1351,0)</f>
        <v>2480.1823204419888</v>
      </c>
      <c r="L1351" s="205">
        <f>IFERROR('Mail Merge'!$G1351/'Mail Merge'!$D1351,0)</f>
        <v>9858.8988950276234</v>
      </c>
      <c r="M1351" s="201">
        <v>81130.7</v>
      </c>
      <c r="N1351" s="201" t="s">
        <v>240</v>
      </c>
      <c r="O1351" s="201">
        <v>233559.77</v>
      </c>
      <c r="P1351" s="201">
        <v>1351.61</v>
      </c>
      <c r="Q1351" s="201">
        <f>'Mail Merge'!$O1351+'Mail Merge'!$P1351</f>
        <v>234911.37999999998</v>
      </c>
      <c r="R1351" s="201"/>
      <c r="S1351" s="201">
        <v>91991.69</v>
      </c>
      <c r="T1351" s="201">
        <v>544.33000000000004</v>
      </c>
      <c r="U1351" s="201">
        <f>IF(AND('Mail Merge'!$I1351="Did Not Meet",'Mail Merge'!$N1351="Did Not Meet"),MIN(ABS('Mail Merge'!$H1351),ABS('Mail Merge'!$M1351),'Mail Merge'!$Q1351),0)</f>
        <v>0</v>
      </c>
      <c r="V1351" s="201" t="str">
        <f>IF(OR(IFERROR(SEARCH("Met",'Mail Merge'!$N1351),0)&gt;0,IFERROR(SEARCH("Met",'Mail Merge'!$I1351),0)&gt;0),"Met","Not Met")</f>
        <v>Met</v>
      </c>
    </row>
    <row r="1352" spans="1:22" x14ac:dyDescent="0.35">
      <c r="A1352" s="198" t="s">
        <v>191</v>
      </c>
      <c r="B1352" s="199">
        <v>2022</v>
      </c>
      <c r="C1352" s="199" t="s">
        <v>18</v>
      </c>
      <c r="D1352" s="199">
        <v>1</v>
      </c>
      <c r="E1352" s="199">
        <v>4044</v>
      </c>
      <c r="F1352" s="199">
        <v>3045</v>
      </c>
      <c r="G1352" s="199">
        <f>'Mail Merge'!$E1352+'Mail Merge'!$F1352</f>
        <v>7089</v>
      </c>
      <c r="H1352" s="199">
        <v>0</v>
      </c>
      <c r="I1352" s="199" t="s">
        <v>241</v>
      </c>
      <c r="J1352" s="202">
        <f>IFERROR('Mail Merge'!$E1352/'Mail Merge'!$D1352,0)</f>
        <v>4044</v>
      </c>
      <c r="K1352" s="199">
        <f>IFERROR('Mail Merge'!$F1352/'Mail Merge'!$D1352,0)</f>
        <v>3045</v>
      </c>
      <c r="L1352" s="203">
        <f>IFERROR('Mail Merge'!$G1352/'Mail Merge'!$D1352,0)</f>
        <v>7089</v>
      </c>
      <c r="M1352" s="199">
        <v>0</v>
      </c>
      <c r="N1352" s="199" t="s">
        <v>241</v>
      </c>
      <c r="O1352" s="199">
        <v>3057.38</v>
      </c>
      <c r="P1352" s="199">
        <v>0</v>
      </c>
      <c r="Q1352" s="199">
        <f>'Mail Merge'!$O1352+'Mail Merge'!$P1352</f>
        <v>3057.38</v>
      </c>
      <c r="R1352" s="199"/>
      <c r="S1352" s="199"/>
      <c r="T1352" s="199"/>
      <c r="U1352" s="199">
        <f>IF(AND('Mail Merge'!$I1352="Did Not Meet",'Mail Merge'!$N1352="Did Not Meet"),MIN(ABS('Mail Merge'!$H1352),ABS('Mail Merge'!$M1352),'Mail Merge'!$Q1352),0)</f>
        <v>0</v>
      </c>
      <c r="V1352" s="199" t="str">
        <f>IF(OR(IFERROR(SEARCH("Met",'Mail Merge'!$N1352),0)&gt;0,IFERROR(SEARCH("Met",'Mail Merge'!$I1352),0)&gt;0),"Met","Not Met")</f>
        <v>Met</v>
      </c>
    </row>
    <row r="1353" spans="1:22" x14ac:dyDescent="0.35">
      <c r="A1353" s="200" t="s">
        <v>192</v>
      </c>
      <c r="B1353" s="201">
        <v>2087</v>
      </c>
      <c r="C1353" s="201" t="s">
        <v>18</v>
      </c>
      <c r="D1353" s="201">
        <v>449</v>
      </c>
      <c r="E1353" s="201">
        <v>3636985.41</v>
      </c>
      <c r="F1353" s="201">
        <v>497095</v>
      </c>
      <c r="G1353" s="201">
        <f>'Mail Merge'!$E1353+'Mail Merge'!$F1353</f>
        <v>4134080.41</v>
      </c>
      <c r="H1353" s="201">
        <v>0</v>
      </c>
      <c r="I1353" s="201" t="s">
        <v>241</v>
      </c>
      <c r="J1353" s="204">
        <f>IFERROR('Mail Merge'!$E1353/'Mail Merge'!$D1353,0)</f>
        <v>8100.1902227171495</v>
      </c>
      <c r="K1353" s="201">
        <f>IFERROR('Mail Merge'!$F1353/'Mail Merge'!$D1353,0)</f>
        <v>1107.1158129175947</v>
      </c>
      <c r="L1353" s="205">
        <f>IFERROR('Mail Merge'!$G1353/'Mail Merge'!$D1353,0)</f>
        <v>9207.3060356347451</v>
      </c>
      <c r="M1353" s="201">
        <v>0</v>
      </c>
      <c r="N1353" s="201" t="s">
        <v>241</v>
      </c>
      <c r="O1353" s="201">
        <v>521527.51</v>
      </c>
      <c r="P1353" s="201">
        <v>2484.19</v>
      </c>
      <c r="Q1353" s="201">
        <f>'Mail Merge'!$O1353+'Mail Merge'!$P1353</f>
        <v>524011.7</v>
      </c>
      <c r="R1353" s="201"/>
      <c r="S1353" s="201"/>
      <c r="T1353" s="201"/>
      <c r="U1353" s="201">
        <f>IF(AND('Mail Merge'!$I1353="Did Not Meet",'Mail Merge'!$N1353="Did Not Meet"),MIN(ABS('Mail Merge'!$H1353),ABS('Mail Merge'!$M1353),'Mail Merge'!$Q1353),0)</f>
        <v>0</v>
      </c>
      <c r="V1353" s="201" t="str">
        <f>IF(OR(IFERROR(SEARCH("Met",'Mail Merge'!$N1353),0)&gt;0,IFERROR(SEARCH("Met",'Mail Merge'!$I1353),0)&gt;0),"Met","Not Met")</f>
        <v>Met</v>
      </c>
    </row>
    <row r="1354" spans="1:22" x14ac:dyDescent="0.35">
      <c r="A1354" s="198" t="s">
        <v>193</v>
      </c>
      <c r="B1354" s="199">
        <v>1994</v>
      </c>
      <c r="C1354" s="199" t="s">
        <v>18</v>
      </c>
      <c r="D1354" s="199">
        <v>255</v>
      </c>
      <c r="E1354" s="199">
        <v>1896710.42</v>
      </c>
      <c r="F1354" s="199">
        <v>360053.69</v>
      </c>
      <c r="G1354" s="199">
        <f>'Mail Merge'!$E1354+'Mail Merge'!$F1354</f>
        <v>2256764.11</v>
      </c>
      <c r="H1354" s="199">
        <v>0</v>
      </c>
      <c r="I1354" s="199" t="s">
        <v>242</v>
      </c>
      <c r="J1354" s="202">
        <f>IFERROR('Mail Merge'!$E1354/'Mail Merge'!$D1354,0)</f>
        <v>7438.0800784313724</v>
      </c>
      <c r="K1354" s="199">
        <f>IFERROR('Mail Merge'!$F1354/'Mail Merge'!$D1354,0)</f>
        <v>1411.9752549019609</v>
      </c>
      <c r="L1354" s="203">
        <f>IFERROR('Mail Merge'!$G1354/'Mail Merge'!$D1354,0)</f>
        <v>8850.0553333333337</v>
      </c>
      <c r="M1354" s="199">
        <v>346889.44</v>
      </c>
      <c r="N1354" s="199" t="s">
        <v>240</v>
      </c>
      <c r="O1354" s="199">
        <v>323348.73</v>
      </c>
      <c r="P1354" s="199">
        <v>2328.92</v>
      </c>
      <c r="Q1354" s="199">
        <f>'Mail Merge'!$O1354+'Mail Merge'!$P1354</f>
        <v>325677.64999999997</v>
      </c>
      <c r="R1354" s="199"/>
      <c r="S1354" s="199">
        <v>0</v>
      </c>
      <c r="T1354" s="199">
        <v>0</v>
      </c>
      <c r="U1354" s="199">
        <f>IF(AND('Mail Merge'!$I1354="Did Not Meet",'Mail Merge'!$N1354="Did Not Meet"),MIN(ABS('Mail Merge'!$H1354),ABS('Mail Merge'!$M1354),'Mail Merge'!$Q1354),0)</f>
        <v>0</v>
      </c>
      <c r="V1354" s="199" t="str">
        <f>IF(OR(IFERROR(SEARCH("Met",'Mail Merge'!$N1354),0)&gt;0,IFERROR(SEARCH("Met",'Mail Merge'!$I1354),0)&gt;0),"Met","Not Met")</f>
        <v>Met</v>
      </c>
    </row>
    <row r="1355" spans="1:22" x14ac:dyDescent="0.35">
      <c r="A1355" s="200" t="s">
        <v>194</v>
      </c>
      <c r="B1355" s="201">
        <v>2225</v>
      </c>
      <c r="C1355" s="201" t="s">
        <v>18</v>
      </c>
      <c r="D1355" s="201">
        <v>35</v>
      </c>
      <c r="E1355" s="201">
        <v>209029.62</v>
      </c>
      <c r="F1355" s="201">
        <v>44401</v>
      </c>
      <c r="G1355" s="201">
        <f>'Mail Merge'!$E1355+'Mail Merge'!$F1355</f>
        <v>253430.62</v>
      </c>
      <c r="H1355" s="201">
        <v>0</v>
      </c>
      <c r="I1355" s="201" t="s">
        <v>241</v>
      </c>
      <c r="J1355" s="204">
        <f>IFERROR('Mail Merge'!$E1355/'Mail Merge'!$D1355,0)</f>
        <v>5972.2748571428574</v>
      </c>
      <c r="K1355" s="201">
        <f>IFERROR('Mail Merge'!$F1355/'Mail Merge'!$D1355,0)</f>
        <v>1268.5999999999999</v>
      </c>
      <c r="L1355" s="205">
        <f>IFERROR('Mail Merge'!$G1355/'Mail Merge'!$D1355,0)</f>
        <v>7240.8748571428569</v>
      </c>
      <c r="M1355" s="201">
        <v>30245.45</v>
      </c>
      <c r="N1355" s="201" t="s">
        <v>240</v>
      </c>
      <c r="O1355" s="201">
        <v>51863.519999999997</v>
      </c>
      <c r="P1355" s="201">
        <v>873.35</v>
      </c>
      <c r="Q1355" s="201">
        <f>'Mail Merge'!$O1355+'Mail Merge'!$P1355</f>
        <v>52736.869999999995</v>
      </c>
      <c r="R1355" s="201"/>
      <c r="S1355" s="201"/>
      <c r="T1355" s="201">
        <v>0</v>
      </c>
      <c r="U1355" s="201">
        <f>IF(AND('Mail Merge'!$I1355="Did Not Meet",'Mail Merge'!$N1355="Did Not Meet"),MIN(ABS('Mail Merge'!$H1355),ABS('Mail Merge'!$M1355),'Mail Merge'!$Q1355),0)</f>
        <v>0</v>
      </c>
      <c r="V1355" s="201" t="str">
        <f>IF(OR(IFERROR(SEARCH("Met",'Mail Merge'!$N1355),0)&gt;0,IFERROR(SEARCH("Met",'Mail Merge'!$I1355),0)&gt;0),"Met","Not Met")</f>
        <v>Met</v>
      </c>
    </row>
    <row r="1356" spans="1:22" x14ac:dyDescent="0.35">
      <c r="A1356" s="198" t="s">
        <v>195</v>
      </c>
      <c r="B1356" s="199">
        <v>2247</v>
      </c>
      <c r="C1356" s="199" t="s">
        <v>18</v>
      </c>
      <c r="D1356" s="199">
        <v>6</v>
      </c>
      <c r="E1356" s="199">
        <v>16931.84</v>
      </c>
      <c r="F1356" s="199">
        <v>18116</v>
      </c>
      <c r="G1356" s="199">
        <f>'Mail Merge'!$E1356+'Mail Merge'!$F1356</f>
        <v>35047.839999999997</v>
      </c>
      <c r="H1356" s="199">
        <v>0</v>
      </c>
      <c r="I1356" s="199" t="s">
        <v>241</v>
      </c>
      <c r="J1356" s="202">
        <f>IFERROR('Mail Merge'!$E1356/'Mail Merge'!$D1356,0)</f>
        <v>2821.9733333333334</v>
      </c>
      <c r="K1356" s="199">
        <f>IFERROR('Mail Merge'!$F1356/'Mail Merge'!$D1356,0)</f>
        <v>3019.3333333333335</v>
      </c>
      <c r="L1356" s="203">
        <f>IFERROR('Mail Merge'!$G1356/'Mail Merge'!$D1356,0)</f>
        <v>5841.3066666666664</v>
      </c>
      <c r="M1356" s="199">
        <v>27949.26</v>
      </c>
      <c r="N1356" s="199" t="s">
        <v>240</v>
      </c>
      <c r="O1356" s="199">
        <v>6704.01</v>
      </c>
      <c r="P1356" s="199">
        <v>0</v>
      </c>
      <c r="Q1356" s="199">
        <f>'Mail Merge'!$O1356+'Mail Merge'!$P1356</f>
        <v>6704.01</v>
      </c>
      <c r="R1356" s="199"/>
      <c r="S1356" s="199"/>
      <c r="T1356" s="199">
        <v>0</v>
      </c>
      <c r="U1356" s="199">
        <f>IF(AND('Mail Merge'!$I1356="Did Not Meet",'Mail Merge'!$N1356="Did Not Meet"),MIN(ABS('Mail Merge'!$H1356),ABS('Mail Merge'!$M1356),'Mail Merge'!$Q1356),0)</f>
        <v>0</v>
      </c>
      <c r="V1356" s="199" t="str">
        <f>IF(OR(IFERROR(SEARCH("Met",'Mail Merge'!$N1356),0)&gt;0,IFERROR(SEARCH("Met",'Mail Merge'!$I1356),0)&gt;0),"Met","Not Met")</f>
        <v>Met</v>
      </c>
    </row>
    <row r="1357" spans="1:22" x14ac:dyDescent="0.35">
      <c r="A1357" s="200" t="s">
        <v>196</v>
      </c>
      <c r="B1357" s="201">
        <v>2083</v>
      </c>
      <c r="C1357" s="201" t="s">
        <v>18</v>
      </c>
      <c r="D1357" s="201">
        <v>1639</v>
      </c>
      <c r="E1357" s="201">
        <v>17161587.449999999</v>
      </c>
      <c r="F1357" s="201">
        <v>1978461</v>
      </c>
      <c r="G1357" s="201">
        <f>'Mail Merge'!$E1357+'Mail Merge'!$F1357</f>
        <v>19140048.449999999</v>
      </c>
      <c r="H1357" s="201">
        <v>0</v>
      </c>
      <c r="I1357" s="201" t="s">
        <v>241</v>
      </c>
      <c r="J1357" s="204">
        <f>IFERROR('Mail Merge'!$E1357/'Mail Merge'!$D1357,0)</f>
        <v>10470.767205613178</v>
      </c>
      <c r="K1357" s="201">
        <f>IFERROR('Mail Merge'!$F1357/'Mail Merge'!$D1357,0)</f>
        <v>1207.1147040878584</v>
      </c>
      <c r="L1357" s="205">
        <f>IFERROR('Mail Merge'!$G1357/'Mail Merge'!$D1357,0)</f>
        <v>11677.881909701036</v>
      </c>
      <c r="M1357" s="201">
        <v>0</v>
      </c>
      <c r="N1357" s="201" t="s">
        <v>241</v>
      </c>
      <c r="O1357" s="201">
        <v>1922773.68</v>
      </c>
      <c r="P1357" s="201">
        <v>14745.51</v>
      </c>
      <c r="Q1357" s="201">
        <f>'Mail Merge'!$O1357+'Mail Merge'!$P1357</f>
        <v>1937519.19</v>
      </c>
      <c r="R1357" s="201"/>
      <c r="S1357" s="201"/>
      <c r="T1357" s="201"/>
      <c r="U1357" s="201">
        <f>IF(AND('Mail Merge'!$I1357="Did Not Meet",'Mail Merge'!$N1357="Did Not Meet"),MIN(ABS('Mail Merge'!$H1357),ABS('Mail Merge'!$M1357),'Mail Merge'!$Q1357),0)</f>
        <v>0</v>
      </c>
      <c r="V1357" s="201" t="str">
        <f>IF(OR(IFERROR(SEARCH("Met",'Mail Merge'!$N1357),0)&gt;0,IFERROR(SEARCH("Met",'Mail Merge'!$I1357),0)&gt;0),"Met","Not Met")</f>
        <v>Met</v>
      </c>
    </row>
    <row r="1358" spans="1:22" x14ac:dyDescent="0.35">
      <c r="A1358" s="198" t="s">
        <v>197</v>
      </c>
      <c r="B1358" s="199">
        <v>1948</v>
      </c>
      <c r="C1358" s="199" t="s">
        <v>18</v>
      </c>
      <c r="D1358" s="199">
        <v>478</v>
      </c>
      <c r="E1358" s="199">
        <v>3702025.33</v>
      </c>
      <c r="F1358" s="199">
        <v>762706</v>
      </c>
      <c r="G1358" s="199">
        <f>'Mail Merge'!$E1358+'Mail Merge'!$F1358</f>
        <v>4464731.33</v>
      </c>
      <c r="H1358" s="199">
        <v>0</v>
      </c>
      <c r="I1358" s="199" t="s">
        <v>241</v>
      </c>
      <c r="J1358" s="202">
        <f>IFERROR('Mail Merge'!$E1358/'Mail Merge'!$D1358,0)</f>
        <v>7744.8228661087869</v>
      </c>
      <c r="K1358" s="199">
        <f>IFERROR('Mail Merge'!$F1358/'Mail Merge'!$D1358,0)</f>
        <v>1595.6192468619247</v>
      </c>
      <c r="L1358" s="203">
        <f>IFERROR('Mail Merge'!$G1358/'Mail Merge'!$D1358,0)</f>
        <v>9340.4421129707116</v>
      </c>
      <c r="M1358" s="199">
        <v>0</v>
      </c>
      <c r="N1358" s="199" t="s">
        <v>241</v>
      </c>
      <c r="O1358" s="199">
        <v>522781.2</v>
      </c>
      <c r="P1358" s="199">
        <v>4425.54</v>
      </c>
      <c r="Q1358" s="199">
        <f>'Mail Merge'!$O1358+'Mail Merge'!$P1358</f>
        <v>527206.74</v>
      </c>
      <c r="R1358" s="199"/>
      <c r="S1358" s="199"/>
      <c r="T1358" s="199"/>
      <c r="U1358" s="199">
        <f>IF(AND('Mail Merge'!$I1358="Did Not Meet",'Mail Merge'!$N1358="Did Not Meet"),MIN(ABS('Mail Merge'!$H1358),ABS('Mail Merge'!$M1358),'Mail Merge'!$Q1358),0)</f>
        <v>0</v>
      </c>
      <c r="V1358" s="199" t="str">
        <f>IF(OR(IFERROR(SEARCH("Met",'Mail Merge'!$N1358),0)&gt;0,IFERROR(SEARCH("Met",'Mail Merge'!$I1358),0)&gt;0),"Met","Not Met")</f>
        <v>Met</v>
      </c>
    </row>
    <row r="1359" spans="1:22" x14ac:dyDescent="0.35">
      <c r="A1359" s="200" t="s">
        <v>198</v>
      </c>
      <c r="B1359" s="201">
        <v>2144</v>
      </c>
      <c r="C1359" s="201" t="s">
        <v>18</v>
      </c>
      <c r="D1359" s="201">
        <v>38</v>
      </c>
      <c r="E1359" s="201">
        <v>234974.2</v>
      </c>
      <c r="F1359" s="201">
        <v>72117.929999999993</v>
      </c>
      <c r="G1359" s="201">
        <f>'Mail Merge'!$E1359+'Mail Merge'!$F1359</f>
        <v>307092.13</v>
      </c>
      <c r="H1359" s="201">
        <v>5421.51</v>
      </c>
      <c r="I1359" s="201" t="s">
        <v>240</v>
      </c>
      <c r="J1359" s="204">
        <f>IFERROR('Mail Merge'!$E1359/'Mail Merge'!$D1359,0)</f>
        <v>6183.5315789473689</v>
      </c>
      <c r="K1359" s="201">
        <f>IFERROR('Mail Merge'!$F1359/'Mail Merge'!$D1359,0)</f>
        <v>1897.8402631578945</v>
      </c>
      <c r="L1359" s="205">
        <f>IFERROR('Mail Merge'!$G1359/'Mail Merge'!$D1359,0)</f>
        <v>8081.3718421052636</v>
      </c>
      <c r="M1359" s="201">
        <v>0</v>
      </c>
      <c r="N1359" s="201" t="s">
        <v>242</v>
      </c>
      <c r="O1359" s="201">
        <v>37535.800000000003</v>
      </c>
      <c r="P1359" s="201">
        <v>582.23</v>
      </c>
      <c r="Q1359" s="201">
        <f>'Mail Merge'!$O1359+'Mail Merge'!$P1359</f>
        <v>38118.030000000006</v>
      </c>
      <c r="R1359" s="201"/>
      <c r="S1359" s="201">
        <v>16448.09</v>
      </c>
      <c r="T1359" s="201">
        <v>1674.4</v>
      </c>
      <c r="U1359" s="201">
        <f>IF(AND('Mail Merge'!$I1359="Did Not Meet",'Mail Merge'!$N1359="Did Not Meet"),MIN(ABS('Mail Merge'!$H1359),ABS('Mail Merge'!$M1359),'Mail Merge'!$Q1359),0)</f>
        <v>0</v>
      </c>
      <c r="V1359" s="201" t="str">
        <f>IF(OR(IFERROR(SEARCH("Met",'Mail Merge'!$N1359),0)&gt;0,IFERROR(SEARCH("Met",'Mail Merge'!$I1359),0)&gt;0),"Met","Not Met")</f>
        <v>Met</v>
      </c>
    </row>
    <row r="1360" spans="1:22" x14ac:dyDescent="0.35">
      <c r="A1360" s="198" t="s">
        <v>199</v>
      </c>
      <c r="B1360" s="199">
        <v>2209</v>
      </c>
      <c r="C1360" s="199" t="s">
        <v>18</v>
      </c>
      <c r="D1360" s="199">
        <v>56</v>
      </c>
      <c r="E1360" s="199">
        <v>375972.66</v>
      </c>
      <c r="F1360" s="199">
        <v>83804.929999999993</v>
      </c>
      <c r="G1360" s="199">
        <f>'Mail Merge'!$E1360+'Mail Merge'!$F1360</f>
        <v>459777.58999999997</v>
      </c>
      <c r="H1360" s="199">
        <v>40440.699999999997</v>
      </c>
      <c r="I1360" s="199" t="s">
        <v>240</v>
      </c>
      <c r="J1360" s="202">
        <f>IFERROR('Mail Merge'!$E1360/'Mail Merge'!$D1360,0)</f>
        <v>6713.7974999999997</v>
      </c>
      <c r="K1360" s="199">
        <f>IFERROR('Mail Merge'!$F1360/'Mail Merge'!$D1360,0)</f>
        <v>1496.5166071428571</v>
      </c>
      <c r="L1360" s="203">
        <f>IFERROR('Mail Merge'!$G1360/'Mail Merge'!$D1360,0)</f>
        <v>8210.3141071428563</v>
      </c>
      <c r="M1360" s="199">
        <v>0</v>
      </c>
      <c r="N1360" s="199" t="s">
        <v>242</v>
      </c>
      <c r="O1360" s="199">
        <v>83902.6</v>
      </c>
      <c r="P1360" s="199">
        <v>1455.58</v>
      </c>
      <c r="Q1360" s="199">
        <f>'Mail Merge'!$O1360+'Mail Merge'!$P1360</f>
        <v>85358.180000000008</v>
      </c>
      <c r="R1360" s="199"/>
      <c r="S1360" s="199">
        <v>44758.46</v>
      </c>
      <c r="T1360" s="199">
        <v>733.75</v>
      </c>
      <c r="U1360" s="199">
        <f>IF(AND('Mail Merge'!$I1360="Did Not Meet",'Mail Merge'!$N1360="Did Not Meet"),MIN(ABS('Mail Merge'!$H1360),ABS('Mail Merge'!$M1360),'Mail Merge'!$Q1360),0)</f>
        <v>0</v>
      </c>
      <c r="V1360" s="199" t="str">
        <f>IF(OR(IFERROR(SEARCH("Met",'Mail Merge'!$N1360),0)&gt;0,IFERROR(SEARCH("Met",'Mail Merge'!$I1360),0)&gt;0),"Met","Not Met")</f>
        <v>Met</v>
      </c>
    </row>
    <row r="1361" spans="1:22" x14ac:dyDescent="0.35">
      <c r="A1361" s="200" t="s">
        <v>200</v>
      </c>
      <c r="B1361" s="201">
        <v>2018</v>
      </c>
      <c r="C1361" s="201" t="s">
        <v>18</v>
      </c>
      <c r="D1361" s="201">
        <v>2</v>
      </c>
      <c r="E1361" s="201">
        <v>4724.8999999999996</v>
      </c>
      <c r="F1361" s="201">
        <v>3045</v>
      </c>
      <c r="G1361" s="201">
        <f>'Mail Merge'!$E1361+'Mail Merge'!$F1361</f>
        <v>7769.9</v>
      </c>
      <c r="H1361" s="201">
        <v>5818.12</v>
      </c>
      <c r="I1361" s="201" t="s">
        <v>240</v>
      </c>
      <c r="J1361" s="204">
        <f>IFERROR('Mail Merge'!$E1361/'Mail Merge'!$D1361,0)</f>
        <v>2362.4499999999998</v>
      </c>
      <c r="K1361" s="201">
        <f>IFERROR('Mail Merge'!$F1361/'Mail Merge'!$D1361,0)</f>
        <v>1522.5</v>
      </c>
      <c r="L1361" s="205">
        <f>IFERROR('Mail Merge'!$G1361/'Mail Merge'!$D1361,0)</f>
        <v>3884.95</v>
      </c>
      <c r="M1361" s="201">
        <v>16241.14</v>
      </c>
      <c r="N1361" s="201" t="s">
        <v>240</v>
      </c>
      <c r="O1361" s="201">
        <v>0</v>
      </c>
      <c r="P1361" s="201">
        <v>0</v>
      </c>
      <c r="Q1361" s="201">
        <f>'Mail Merge'!$O1361+'Mail Merge'!$P1361</f>
        <v>0</v>
      </c>
      <c r="R1361" s="201"/>
      <c r="S1361" s="201">
        <v>0</v>
      </c>
      <c r="T1361" s="201">
        <v>0</v>
      </c>
      <c r="U1361" s="201">
        <f>IF(AND('Mail Merge'!$I1361="Did Not Meet",'Mail Merge'!$N1361="Did Not Meet"),MIN(ABS('Mail Merge'!$H1361),ABS('Mail Merge'!$M1361),'Mail Merge'!$Q1361),0)</f>
        <v>0</v>
      </c>
      <c r="V1361" s="201" t="str">
        <f>IF(OR(IFERROR(SEARCH("Met",'Mail Merge'!$N1361),0)&gt;0,IFERROR(SEARCH("Met",'Mail Merge'!$I1361),0)&gt;0),"Met","Not Met")</f>
        <v>Not Met</v>
      </c>
    </row>
    <row r="1362" spans="1:22" x14ac:dyDescent="0.35">
      <c r="A1362" s="198" t="s">
        <v>201</v>
      </c>
      <c r="B1362" s="199">
        <v>2003</v>
      </c>
      <c r="C1362" s="199" t="s">
        <v>18</v>
      </c>
      <c r="D1362" s="199">
        <v>165</v>
      </c>
      <c r="E1362" s="199">
        <v>1082927</v>
      </c>
      <c r="F1362" s="199">
        <v>291716.68</v>
      </c>
      <c r="G1362" s="199">
        <f>'Mail Merge'!$E1362+'Mail Merge'!$F1362</f>
        <v>1374643.68</v>
      </c>
      <c r="H1362" s="199">
        <v>0</v>
      </c>
      <c r="I1362" s="199" t="s">
        <v>241</v>
      </c>
      <c r="J1362" s="202">
        <f>IFERROR('Mail Merge'!$E1362/'Mail Merge'!$D1362,0)</f>
        <v>6563.1939393939392</v>
      </c>
      <c r="K1362" s="199">
        <f>IFERROR('Mail Merge'!$F1362/'Mail Merge'!$D1362,0)</f>
        <v>1767.9798787878788</v>
      </c>
      <c r="L1362" s="203">
        <f>IFERROR('Mail Merge'!$G1362/'Mail Merge'!$D1362,0)</f>
        <v>8331.1738181818182</v>
      </c>
      <c r="M1362" s="199">
        <v>0</v>
      </c>
      <c r="N1362" s="199" t="s">
        <v>241</v>
      </c>
      <c r="O1362" s="199">
        <v>220289.74</v>
      </c>
      <c r="P1362" s="199">
        <v>2218.02</v>
      </c>
      <c r="Q1362" s="199">
        <f>'Mail Merge'!$O1362+'Mail Merge'!$P1362</f>
        <v>222507.75999999998</v>
      </c>
      <c r="R1362" s="199"/>
      <c r="S1362" s="199"/>
      <c r="T1362" s="199"/>
      <c r="U1362" s="199">
        <f>IF(AND('Mail Merge'!$I1362="Did Not Meet",'Mail Merge'!$N1362="Did Not Meet"),MIN(ABS('Mail Merge'!$H1362),ABS('Mail Merge'!$M1362),'Mail Merge'!$Q1362),0)</f>
        <v>0</v>
      </c>
      <c r="V1362" s="199" t="str">
        <f>IF(OR(IFERROR(SEARCH("Met",'Mail Merge'!$N1362),0)&gt;0,IFERROR(SEARCH("Met",'Mail Merge'!$I1362),0)&gt;0),"Met","Not Met")</f>
        <v>Met</v>
      </c>
    </row>
    <row r="1363" spans="1:22" x14ac:dyDescent="0.35">
      <c r="A1363" s="200" t="s">
        <v>202</v>
      </c>
      <c r="B1363" s="201">
        <v>2102</v>
      </c>
      <c r="C1363" s="201" t="s">
        <v>18</v>
      </c>
      <c r="D1363" s="201">
        <v>422</v>
      </c>
      <c r="E1363" s="201">
        <v>2588119.96</v>
      </c>
      <c r="F1363" s="201">
        <v>380642</v>
      </c>
      <c r="G1363" s="201">
        <f>'Mail Merge'!$E1363+'Mail Merge'!$F1363</f>
        <v>2968761.96</v>
      </c>
      <c r="H1363" s="201">
        <v>0</v>
      </c>
      <c r="I1363" s="201" t="s">
        <v>241</v>
      </c>
      <c r="J1363" s="204">
        <f>IFERROR('Mail Merge'!$E1363/'Mail Merge'!$D1363,0)</f>
        <v>6132.9856872037917</v>
      </c>
      <c r="K1363" s="201">
        <f>IFERROR('Mail Merge'!$F1363/'Mail Merge'!$D1363,0)</f>
        <v>901.99526066350711</v>
      </c>
      <c r="L1363" s="205">
        <f>IFERROR('Mail Merge'!$G1363/'Mail Merge'!$D1363,0)</f>
        <v>7034.9809478672987</v>
      </c>
      <c r="M1363" s="201">
        <v>0</v>
      </c>
      <c r="N1363" s="201" t="s">
        <v>241</v>
      </c>
      <c r="O1363" s="201">
        <v>431382.87</v>
      </c>
      <c r="P1363" s="201">
        <v>4835.75</v>
      </c>
      <c r="Q1363" s="201">
        <f>'Mail Merge'!$O1363+'Mail Merge'!$P1363</f>
        <v>436218.62</v>
      </c>
      <c r="R1363" s="201"/>
      <c r="S1363" s="201"/>
      <c r="T1363" s="201"/>
      <c r="U1363" s="201">
        <f>IF(AND('Mail Merge'!$I1363="Did Not Meet",'Mail Merge'!$N1363="Did Not Meet"),MIN(ABS('Mail Merge'!$H1363),ABS('Mail Merge'!$M1363),'Mail Merge'!$Q1363),0)</f>
        <v>0</v>
      </c>
      <c r="V1363" s="201" t="str">
        <f>IF(OR(IFERROR(SEARCH("Met",'Mail Merge'!$N1363),0)&gt;0,IFERROR(SEARCH("Met",'Mail Merge'!$I1363),0)&gt;0),"Met","Not Met")</f>
        <v>Met</v>
      </c>
    </row>
    <row r="1364" spans="1:22" x14ac:dyDescent="0.35">
      <c r="A1364" s="198" t="s">
        <v>203</v>
      </c>
      <c r="B1364" s="199">
        <v>2055</v>
      </c>
      <c r="C1364" s="199" t="s">
        <v>18</v>
      </c>
      <c r="D1364" s="199">
        <v>513</v>
      </c>
      <c r="E1364" s="199">
        <v>6130916.9900000002</v>
      </c>
      <c r="F1364" s="199">
        <v>388382.69</v>
      </c>
      <c r="G1364" s="199">
        <f>'Mail Merge'!$E1364+'Mail Merge'!$F1364</f>
        <v>6519299.6800000006</v>
      </c>
      <c r="H1364" s="199">
        <v>0</v>
      </c>
      <c r="I1364" s="199" t="s">
        <v>241</v>
      </c>
      <c r="J1364" s="202">
        <f>IFERROR('Mail Merge'!$E1364/'Mail Merge'!$D1364,0)</f>
        <v>11951.105243664717</v>
      </c>
      <c r="K1364" s="199">
        <f>IFERROR('Mail Merge'!$F1364/'Mail Merge'!$D1364,0)</f>
        <v>757.08126705653024</v>
      </c>
      <c r="L1364" s="203">
        <f>IFERROR('Mail Merge'!$G1364/'Mail Merge'!$D1364,0)</f>
        <v>12708.186510721249</v>
      </c>
      <c r="M1364" s="199">
        <v>136593.32999999999</v>
      </c>
      <c r="N1364" s="199" t="s">
        <v>240</v>
      </c>
      <c r="O1364" s="199">
        <v>871130.85</v>
      </c>
      <c r="P1364" s="199">
        <v>9764.5</v>
      </c>
      <c r="Q1364" s="199">
        <f>'Mail Merge'!$O1364+'Mail Merge'!$P1364</f>
        <v>880895.35</v>
      </c>
      <c r="R1364" s="199"/>
      <c r="S1364" s="199"/>
      <c r="T1364" s="199">
        <v>0</v>
      </c>
      <c r="U1364" s="199">
        <f>IF(AND('Mail Merge'!$I1364="Did Not Meet",'Mail Merge'!$N1364="Did Not Meet"),MIN(ABS('Mail Merge'!$H1364),ABS('Mail Merge'!$M1364),'Mail Merge'!$Q1364),0)</f>
        <v>0</v>
      </c>
      <c r="V1364" s="199" t="str">
        <f>IF(OR(IFERROR(SEARCH("Met",'Mail Merge'!$N1364),0)&gt;0,IFERROR(SEARCH("Met",'Mail Merge'!$I1364),0)&gt;0),"Met","Not Met")</f>
        <v>Met</v>
      </c>
    </row>
    <row r="1365" spans="1:22" x14ac:dyDescent="0.35">
      <c r="A1365" s="200" t="s">
        <v>204</v>
      </c>
      <c r="B1365" s="201">
        <v>2242</v>
      </c>
      <c r="C1365" s="201" t="s">
        <v>18</v>
      </c>
      <c r="D1365" s="201">
        <v>1288</v>
      </c>
      <c r="E1365" s="201">
        <v>11339007.92</v>
      </c>
      <c r="F1365" s="201">
        <v>1710556</v>
      </c>
      <c r="G1365" s="201">
        <f>'Mail Merge'!$E1365+'Mail Merge'!$F1365</f>
        <v>13049563.92</v>
      </c>
      <c r="H1365" s="201">
        <v>0</v>
      </c>
      <c r="I1365" s="201" t="s">
        <v>241</v>
      </c>
      <c r="J1365" s="204">
        <f>IFERROR('Mail Merge'!$E1365/'Mail Merge'!$D1365,0)</f>
        <v>8803.5775776397513</v>
      </c>
      <c r="K1365" s="201">
        <f>IFERROR('Mail Merge'!$F1365/'Mail Merge'!$D1365,0)</f>
        <v>1328.0714285714287</v>
      </c>
      <c r="L1365" s="205">
        <f>IFERROR('Mail Merge'!$G1365/'Mail Merge'!$D1365,0)</f>
        <v>10131.649006211181</v>
      </c>
      <c r="M1365" s="201">
        <v>0</v>
      </c>
      <c r="N1365" s="201" t="s">
        <v>241</v>
      </c>
      <c r="O1365" s="201">
        <v>1921253.94</v>
      </c>
      <c r="P1365" s="201">
        <v>9727.8700000000008</v>
      </c>
      <c r="Q1365" s="201">
        <f>'Mail Merge'!$O1365+'Mail Merge'!$P1365</f>
        <v>1930981.81</v>
      </c>
      <c r="R1365" s="201"/>
      <c r="S1365" s="201"/>
      <c r="T1365" s="201"/>
      <c r="U1365" s="201">
        <f>IF(AND('Mail Merge'!$I1365="Did Not Meet",'Mail Merge'!$N1365="Did Not Meet"),MIN(ABS('Mail Merge'!$H1365),ABS('Mail Merge'!$M1365),'Mail Merge'!$Q1365),0)</f>
        <v>0</v>
      </c>
      <c r="V1365" s="201" t="str">
        <f>IF(OR(IFERROR(SEARCH("Met",'Mail Merge'!$N1365),0)&gt;0,IFERROR(SEARCH("Met",'Mail Merge'!$I1365),0)&gt;0),"Met","Not Met")</f>
        <v>Met</v>
      </c>
    </row>
    <row r="1366" spans="1:22" x14ac:dyDescent="0.35">
      <c r="A1366" s="198" t="s">
        <v>205</v>
      </c>
      <c r="B1366" s="199">
        <v>2197</v>
      </c>
      <c r="C1366" s="199" t="s">
        <v>18</v>
      </c>
      <c r="D1366" s="199">
        <v>272</v>
      </c>
      <c r="E1366" s="199">
        <v>3014755.11</v>
      </c>
      <c r="F1366" s="199">
        <v>161477</v>
      </c>
      <c r="G1366" s="199">
        <f>'Mail Merge'!$E1366+'Mail Merge'!$F1366</f>
        <v>3176232.11</v>
      </c>
      <c r="H1366" s="199">
        <v>0</v>
      </c>
      <c r="I1366" s="199" t="s">
        <v>241</v>
      </c>
      <c r="J1366" s="202">
        <f>IFERROR('Mail Merge'!$E1366/'Mail Merge'!$D1366,0)</f>
        <v>11083.658492647059</v>
      </c>
      <c r="K1366" s="199">
        <f>IFERROR('Mail Merge'!$F1366/'Mail Merge'!$D1366,0)</f>
        <v>593.66544117647061</v>
      </c>
      <c r="L1366" s="203">
        <f>IFERROR('Mail Merge'!$G1366/'Mail Merge'!$D1366,0)</f>
        <v>11677.323933823529</v>
      </c>
      <c r="M1366" s="199">
        <v>98756.96</v>
      </c>
      <c r="N1366" s="199" t="s">
        <v>240</v>
      </c>
      <c r="O1366" s="199">
        <v>354741.19</v>
      </c>
      <c r="P1366" s="199">
        <v>3767.38</v>
      </c>
      <c r="Q1366" s="199">
        <f>'Mail Merge'!$O1366+'Mail Merge'!$P1366</f>
        <v>358508.57</v>
      </c>
      <c r="R1366" s="199"/>
      <c r="S1366" s="199"/>
      <c r="T1366" s="199">
        <v>0</v>
      </c>
      <c r="U1366" s="199">
        <f>IF(AND('Mail Merge'!$I1366="Did Not Meet",'Mail Merge'!$N1366="Did Not Meet"),MIN(ABS('Mail Merge'!$H1366),ABS('Mail Merge'!$M1366),'Mail Merge'!$Q1366),0)</f>
        <v>0</v>
      </c>
      <c r="V1366" s="199" t="str">
        <f>IF(OR(IFERROR(SEARCH("Met",'Mail Merge'!$N1366),0)&gt;0,IFERROR(SEARCH("Met",'Mail Merge'!$I1366),0)&gt;0),"Met","Not Met")</f>
        <v>Met</v>
      </c>
    </row>
    <row r="1367" spans="1:22" x14ac:dyDescent="0.35">
      <c r="A1367" s="200" t="s">
        <v>206</v>
      </c>
      <c r="B1367" s="201">
        <v>2222</v>
      </c>
      <c r="C1367" s="201" t="s">
        <v>18</v>
      </c>
      <c r="D1367" s="201">
        <v>0</v>
      </c>
      <c r="E1367" s="201">
        <v>0</v>
      </c>
      <c r="F1367" s="201">
        <v>3700</v>
      </c>
      <c r="G1367" s="201">
        <f>'Mail Merge'!$E1367+'Mail Merge'!$F1367</f>
        <v>3700</v>
      </c>
      <c r="H1367" s="201">
        <v>0</v>
      </c>
      <c r="I1367" s="201" t="s">
        <v>241</v>
      </c>
      <c r="J1367" s="204">
        <f>IFERROR('Mail Merge'!$E1367/'Mail Merge'!$D1367,0)</f>
        <v>0</v>
      </c>
      <c r="K1367" s="201">
        <f>IFERROR('Mail Merge'!$F1367/'Mail Merge'!$D1367,0)</f>
        <v>0</v>
      </c>
      <c r="L1367" s="205">
        <f>IFERROR('Mail Merge'!$G1367/'Mail Merge'!$D1367,0)</f>
        <v>0</v>
      </c>
      <c r="M1367" s="201">
        <v>0</v>
      </c>
      <c r="N1367" s="201" t="s">
        <v>241</v>
      </c>
      <c r="O1367" s="201">
        <v>2290.9299999999998</v>
      </c>
      <c r="P1367" s="201">
        <v>0</v>
      </c>
      <c r="Q1367" s="201">
        <f>'Mail Merge'!$O1367+'Mail Merge'!$P1367</f>
        <v>2290.9299999999998</v>
      </c>
      <c r="R1367" s="201"/>
      <c r="S1367" s="201"/>
      <c r="T1367" s="201"/>
      <c r="U1367" s="201">
        <f>IF(AND('Mail Merge'!$I1367="Did Not Meet",'Mail Merge'!$N1367="Did Not Meet"),MIN(ABS('Mail Merge'!$H1367),ABS('Mail Merge'!$M1367),'Mail Merge'!$Q1367),0)</f>
        <v>0</v>
      </c>
      <c r="V1367" s="201" t="str">
        <f>IF(OR(IFERROR(SEARCH("Met",'Mail Merge'!$N1367),0)&gt;0,IFERROR(SEARCH("Met",'Mail Merge'!$I1367),0)&gt;0),"Met","Not Met")</f>
        <v>Met</v>
      </c>
    </row>
    <row r="1368" spans="1:22" x14ac:dyDescent="0.35">
      <c r="A1368" s="198" t="s">
        <v>207</v>
      </c>
      <c r="B1368" s="199">
        <v>2210</v>
      </c>
      <c r="C1368" s="199" t="s">
        <v>18</v>
      </c>
      <c r="D1368" s="199">
        <v>3</v>
      </c>
      <c r="E1368" s="199">
        <v>4598.21</v>
      </c>
      <c r="F1368" s="199">
        <v>4498.8599999999997</v>
      </c>
      <c r="G1368" s="199">
        <f>'Mail Merge'!$E1368+'Mail Merge'!$F1368</f>
        <v>9097.07</v>
      </c>
      <c r="H1368" s="199">
        <v>0</v>
      </c>
      <c r="I1368" s="199" t="s">
        <v>241</v>
      </c>
      <c r="J1368" s="202">
        <f>IFERROR('Mail Merge'!$E1368/'Mail Merge'!$D1368,0)</f>
        <v>1532.7366666666667</v>
      </c>
      <c r="K1368" s="199">
        <f>IFERROR('Mail Merge'!$F1368/'Mail Merge'!$D1368,0)</f>
        <v>1499.62</v>
      </c>
      <c r="L1368" s="203">
        <f>IFERROR('Mail Merge'!$G1368/'Mail Merge'!$D1368,0)</f>
        <v>3032.3566666666666</v>
      </c>
      <c r="M1368" s="199">
        <v>2917.44</v>
      </c>
      <c r="N1368" s="199" t="s">
        <v>240</v>
      </c>
      <c r="O1368" s="199">
        <v>7105.49</v>
      </c>
      <c r="P1368" s="199">
        <v>0</v>
      </c>
      <c r="Q1368" s="199">
        <f>'Mail Merge'!$O1368+'Mail Merge'!$P1368</f>
        <v>7105.49</v>
      </c>
      <c r="R1368" s="199"/>
      <c r="S1368" s="199"/>
      <c r="T1368" s="199">
        <v>0</v>
      </c>
      <c r="U1368" s="199">
        <f>IF(AND('Mail Merge'!$I1368="Did Not Meet",'Mail Merge'!$N1368="Did Not Meet"),MIN(ABS('Mail Merge'!$H1368),ABS('Mail Merge'!$M1368),'Mail Merge'!$Q1368),0)</f>
        <v>0</v>
      </c>
      <c r="V1368" s="199" t="str">
        <f>IF(OR(IFERROR(SEARCH("Met",'Mail Merge'!$N1368),0)&gt;0,IFERROR(SEARCH("Met",'Mail Merge'!$I1368),0)&gt;0),"Met","Not Met")</f>
        <v>Met</v>
      </c>
    </row>
    <row r="1369" spans="1:22" x14ac:dyDescent="0.35">
      <c r="A1369" s="200" t="s">
        <v>208</v>
      </c>
      <c r="B1369" s="201">
        <v>2204</v>
      </c>
      <c r="C1369" s="201" t="s">
        <v>18</v>
      </c>
      <c r="D1369" s="201">
        <v>135</v>
      </c>
      <c r="E1369" s="201">
        <v>1102230.21</v>
      </c>
      <c r="F1369" s="201">
        <v>202037.08</v>
      </c>
      <c r="G1369" s="201">
        <f>'Mail Merge'!$E1369+'Mail Merge'!$F1369</f>
        <v>1304267.29</v>
      </c>
      <c r="H1369" s="201">
        <v>0</v>
      </c>
      <c r="I1369" s="201" t="s">
        <v>241</v>
      </c>
      <c r="J1369" s="204">
        <f>IFERROR('Mail Merge'!$E1369/'Mail Merge'!$D1369,0)</f>
        <v>8164.6682222222216</v>
      </c>
      <c r="K1369" s="201">
        <f>IFERROR('Mail Merge'!$F1369/'Mail Merge'!$D1369,0)</f>
        <v>1496.5709629629628</v>
      </c>
      <c r="L1369" s="205">
        <f>IFERROR('Mail Merge'!$G1369/'Mail Merge'!$D1369,0)</f>
        <v>9661.2391851851862</v>
      </c>
      <c r="M1369" s="201">
        <v>41086.300000000003</v>
      </c>
      <c r="N1369" s="201" t="s">
        <v>240</v>
      </c>
      <c r="O1369" s="201">
        <v>187082.08</v>
      </c>
      <c r="P1369" s="201">
        <v>1204.6199999999999</v>
      </c>
      <c r="Q1369" s="201">
        <f>'Mail Merge'!$O1369+'Mail Merge'!$P1369</f>
        <v>188286.69999999998</v>
      </c>
      <c r="R1369" s="201"/>
      <c r="S1369" s="201"/>
      <c r="T1369" s="201">
        <v>0</v>
      </c>
      <c r="U1369" s="201">
        <f>IF(AND('Mail Merge'!$I1369="Did Not Meet",'Mail Merge'!$N1369="Did Not Meet"),MIN(ABS('Mail Merge'!$H1369),ABS('Mail Merge'!$M1369),'Mail Merge'!$Q1369),0)</f>
        <v>0</v>
      </c>
      <c r="V1369" s="201" t="str">
        <f>IF(OR(IFERROR(SEARCH("Met",'Mail Merge'!$N1369),0)&gt;0,IFERROR(SEARCH("Met",'Mail Merge'!$I1369),0)&gt;0),"Met","Not Met")</f>
        <v>Met</v>
      </c>
    </row>
    <row r="1370" spans="1:22" x14ac:dyDescent="0.35">
      <c r="A1370" s="198" t="s">
        <v>209</v>
      </c>
      <c r="B1370" s="199">
        <v>2213</v>
      </c>
      <c r="C1370" s="199" t="s">
        <v>18</v>
      </c>
      <c r="D1370" s="199">
        <v>38</v>
      </c>
      <c r="E1370" s="199">
        <v>331538.77</v>
      </c>
      <c r="F1370" s="199">
        <v>128574.05</v>
      </c>
      <c r="G1370" s="199">
        <f>'Mail Merge'!$E1370+'Mail Merge'!$F1370</f>
        <v>460112.82</v>
      </c>
      <c r="H1370" s="199">
        <v>0</v>
      </c>
      <c r="I1370" s="199" t="s">
        <v>241</v>
      </c>
      <c r="J1370" s="202">
        <f>IFERROR('Mail Merge'!$E1370/'Mail Merge'!$D1370,0)</f>
        <v>8724.7044736842108</v>
      </c>
      <c r="K1370" s="199">
        <f>IFERROR('Mail Merge'!$F1370/'Mail Merge'!$D1370,0)</f>
        <v>3383.5276315789474</v>
      </c>
      <c r="L1370" s="203">
        <f>IFERROR('Mail Merge'!$G1370/'Mail Merge'!$D1370,0)</f>
        <v>12108.232105263158</v>
      </c>
      <c r="M1370" s="199">
        <v>0</v>
      </c>
      <c r="N1370" s="199" t="s">
        <v>241</v>
      </c>
      <c r="O1370" s="199">
        <v>55888.84</v>
      </c>
      <c r="P1370" s="199">
        <v>0</v>
      </c>
      <c r="Q1370" s="199">
        <f>'Mail Merge'!$O1370+'Mail Merge'!$P1370</f>
        <v>55888.84</v>
      </c>
      <c r="R1370" s="199"/>
      <c r="S1370" s="199"/>
      <c r="T1370" s="199"/>
      <c r="U1370" s="199">
        <f>IF(AND('Mail Merge'!$I1370="Did Not Meet",'Mail Merge'!$N1370="Did Not Meet"),MIN(ABS('Mail Merge'!$H1370),ABS('Mail Merge'!$M1370),'Mail Merge'!$Q1370),0)</f>
        <v>0</v>
      </c>
      <c r="V1370" s="199" t="str">
        <f>IF(OR(IFERROR(SEARCH("Met",'Mail Merge'!$N1370),0)&gt;0,IFERROR(SEARCH("Met",'Mail Merge'!$I1370),0)&gt;0),"Met","Not Met")</f>
        <v>Met</v>
      </c>
    </row>
    <row r="1371" spans="1:22" x14ac:dyDescent="0.35">
      <c r="A1371" s="200" t="s">
        <v>210</v>
      </c>
      <c r="B1371" s="201">
        <v>2116</v>
      </c>
      <c r="C1371" s="201" t="s">
        <v>18</v>
      </c>
      <c r="D1371" s="201">
        <v>118</v>
      </c>
      <c r="E1371" s="201">
        <v>807152.55</v>
      </c>
      <c r="F1371" s="201">
        <v>330541.88</v>
      </c>
      <c r="G1371" s="201">
        <f>'Mail Merge'!$E1371+'Mail Merge'!$F1371</f>
        <v>1137694.4300000002</v>
      </c>
      <c r="H1371" s="201">
        <v>0</v>
      </c>
      <c r="I1371" s="201" t="s">
        <v>241</v>
      </c>
      <c r="J1371" s="204">
        <f>IFERROR('Mail Merge'!$E1371/'Mail Merge'!$D1371,0)</f>
        <v>6840.2758474576276</v>
      </c>
      <c r="K1371" s="201">
        <f>IFERROR('Mail Merge'!$F1371/'Mail Merge'!$D1371,0)</f>
        <v>2801.202372881356</v>
      </c>
      <c r="L1371" s="205">
        <f>IFERROR('Mail Merge'!$G1371/'Mail Merge'!$D1371,0)</f>
        <v>9641.4782203389841</v>
      </c>
      <c r="M1371" s="201">
        <v>0</v>
      </c>
      <c r="N1371" s="201" t="s">
        <v>241</v>
      </c>
      <c r="O1371" s="201">
        <v>176096.75</v>
      </c>
      <c r="P1371" s="201">
        <v>388.15</v>
      </c>
      <c r="Q1371" s="201">
        <f>'Mail Merge'!$O1371+'Mail Merge'!$P1371</f>
        <v>176484.9</v>
      </c>
      <c r="R1371" s="201"/>
      <c r="S1371" s="201"/>
      <c r="T1371" s="201"/>
      <c r="U1371" s="201">
        <f>IF(AND('Mail Merge'!$I1371="Did Not Meet",'Mail Merge'!$N1371="Did Not Meet"),MIN(ABS('Mail Merge'!$H1371),ABS('Mail Merge'!$M1371),'Mail Merge'!$Q1371),0)</f>
        <v>0</v>
      </c>
      <c r="V1371" s="201" t="str">
        <f>IF(OR(IFERROR(SEARCH("Met",'Mail Merge'!$N1371),0)&gt;0,IFERROR(SEARCH("Met",'Mail Merge'!$I1371),0)&gt;0),"Met","Not Met")</f>
        <v>Met</v>
      </c>
    </row>
    <row r="1372" spans="1:22" x14ac:dyDescent="0.35">
      <c r="A1372" s="198" t="s">
        <v>211</v>
      </c>
      <c r="B1372" s="199">
        <v>1947</v>
      </c>
      <c r="C1372" s="199" t="s">
        <v>18</v>
      </c>
      <c r="D1372" s="199">
        <v>86</v>
      </c>
      <c r="E1372" s="199">
        <v>1206414.74</v>
      </c>
      <c r="F1372" s="199">
        <v>101754</v>
      </c>
      <c r="G1372" s="199">
        <f>'Mail Merge'!$E1372+'Mail Merge'!$F1372</f>
        <v>1308168.74</v>
      </c>
      <c r="H1372" s="199">
        <v>0</v>
      </c>
      <c r="I1372" s="199" t="s">
        <v>241</v>
      </c>
      <c r="J1372" s="202">
        <f>IFERROR('Mail Merge'!$E1372/'Mail Merge'!$D1372,0)</f>
        <v>14028.078372093023</v>
      </c>
      <c r="K1372" s="199">
        <f>IFERROR('Mail Merge'!$F1372/'Mail Merge'!$D1372,0)</f>
        <v>1183.1860465116279</v>
      </c>
      <c r="L1372" s="203">
        <f>IFERROR('Mail Merge'!$G1372/'Mail Merge'!$D1372,0)</f>
        <v>15211.264418604651</v>
      </c>
      <c r="M1372" s="199">
        <v>0</v>
      </c>
      <c r="N1372" s="199" t="s">
        <v>241</v>
      </c>
      <c r="O1372" s="199">
        <v>110554.87</v>
      </c>
      <c r="P1372" s="199">
        <v>1186.03</v>
      </c>
      <c r="Q1372" s="199">
        <f>'Mail Merge'!$O1372+'Mail Merge'!$P1372</f>
        <v>111740.9</v>
      </c>
      <c r="R1372" s="199"/>
      <c r="S1372" s="199"/>
      <c r="T1372" s="199"/>
      <c r="U1372" s="199">
        <f>IF(AND('Mail Merge'!$I1372="Did Not Meet",'Mail Merge'!$N1372="Did Not Meet"),MIN(ABS('Mail Merge'!$H1372),ABS('Mail Merge'!$M1372),'Mail Merge'!$Q1372),0)</f>
        <v>0</v>
      </c>
      <c r="V1372" s="199" t="str">
        <f>IF(OR(IFERROR(SEARCH("Met",'Mail Merge'!$N1372),0)&gt;0,IFERROR(SEARCH("Met",'Mail Merge'!$I1372),0)&gt;0),"Met","Not Met")</f>
        <v>Met</v>
      </c>
    </row>
    <row r="1373" spans="1:22" x14ac:dyDescent="0.35">
      <c r="A1373" s="200" t="s">
        <v>212</v>
      </c>
      <c r="B1373" s="201">
        <v>2220</v>
      </c>
      <c r="C1373" s="201" t="s">
        <v>18</v>
      </c>
      <c r="D1373" s="201">
        <v>27</v>
      </c>
      <c r="E1373" s="201">
        <v>51579.79</v>
      </c>
      <c r="F1373" s="201">
        <v>146647.72</v>
      </c>
      <c r="G1373" s="201">
        <f>'Mail Merge'!$E1373+'Mail Merge'!$F1373</f>
        <v>198227.51</v>
      </c>
      <c r="H1373" s="201">
        <v>14689.46</v>
      </c>
      <c r="I1373" s="201" t="s">
        <v>240</v>
      </c>
      <c r="J1373" s="204">
        <f>IFERROR('Mail Merge'!$E1373/'Mail Merge'!$D1373,0)</f>
        <v>1910.3625925925926</v>
      </c>
      <c r="K1373" s="201">
        <f>IFERROR('Mail Merge'!$F1373/'Mail Merge'!$D1373,0)</f>
        <v>5431.3970370370371</v>
      </c>
      <c r="L1373" s="205">
        <f>IFERROR('Mail Merge'!$G1373/'Mail Merge'!$D1373,0)</f>
        <v>7341.7596296296297</v>
      </c>
      <c r="M1373" s="201">
        <v>0</v>
      </c>
      <c r="N1373" s="201" t="s">
        <v>242</v>
      </c>
      <c r="O1373" s="201">
        <v>60513.36</v>
      </c>
      <c r="P1373" s="201">
        <v>970.38</v>
      </c>
      <c r="Q1373" s="201">
        <f>'Mail Merge'!$O1373+'Mail Merge'!$P1373</f>
        <v>61483.74</v>
      </c>
      <c r="R1373" s="201"/>
      <c r="S1373" s="201">
        <v>55200.7</v>
      </c>
      <c r="T1373" s="201">
        <v>1623.55</v>
      </c>
      <c r="U1373" s="201">
        <f>IF(AND('Mail Merge'!$I1373="Did Not Meet",'Mail Merge'!$N1373="Did Not Meet"),MIN(ABS('Mail Merge'!$H1373),ABS('Mail Merge'!$M1373),'Mail Merge'!$Q1373),0)</f>
        <v>0</v>
      </c>
      <c r="V1373" s="201" t="str">
        <f>IF(OR(IFERROR(SEARCH("Met",'Mail Merge'!$N1373),0)&gt;0,IFERROR(SEARCH("Met",'Mail Merge'!$I1373),0)&gt;0),"Met","Not Met")</f>
        <v>Met</v>
      </c>
    </row>
    <row r="1374" spans="1:22" x14ac:dyDescent="0.35">
      <c r="A1374" s="198" t="s">
        <v>213</v>
      </c>
      <c r="B1374" s="199">
        <v>1936</v>
      </c>
      <c r="C1374" s="199" t="s">
        <v>18</v>
      </c>
      <c r="D1374" s="199">
        <v>164</v>
      </c>
      <c r="E1374" s="199">
        <v>1172917.78</v>
      </c>
      <c r="F1374" s="199">
        <v>232082</v>
      </c>
      <c r="G1374" s="199">
        <f>'Mail Merge'!$E1374+'Mail Merge'!$F1374</f>
        <v>1404999.78</v>
      </c>
      <c r="H1374" s="199">
        <v>58943.92</v>
      </c>
      <c r="I1374" s="199" t="s">
        <v>240</v>
      </c>
      <c r="J1374" s="202">
        <f>IFERROR('Mail Merge'!$E1374/'Mail Merge'!$D1374,0)</f>
        <v>7151.9376829268294</v>
      </c>
      <c r="K1374" s="199">
        <f>IFERROR('Mail Merge'!$F1374/'Mail Merge'!$D1374,0)</f>
        <v>1415.1341463414635</v>
      </c>
      <c r="L1374" s="203">
        <f>IFERROR('Mail Merge'!$G1374/'Mail Merge'!$D1374,0)</f>
        <v>8567.0718292682923</v>
      </c>
      <c r="M1374" s="199">
        <v>0</v>
      </c>
      <c r="N1374" s="199" t="s">
        <v>242</v>
      </c>
      <c r="O1374" s="199">
        <v>162389.29</v>
      </c>
      <c r="P1374" s="199">
        <v>1155.22</v>
      </c>
      <c r="Q1374" s="199">
        <f>'Mail Merge'!$O1374+'Mail Merge'!$P1374</f>
        <v>163544.51</v>
      </c>
      <c r="R1374" s="199"/>
      <c r="S1374" s="199">
        <v>286206.09000000003</v>
      </c>
      <c r="T1374" s="199">
        <v>1607.9</v>
      </c>
      <c r="U1374" s="199">
        <f>IF(AND('Mail Merge'!$I1374="Did Not Meet",'Mail Merge'!$N1374="Did Not Meet"),MIN(ABS('Mail Merge'!$H1374),ABS('Mail Merge'!$M1374),'Mail Merge'!$Q1374),0)</f>
        <v>0</v>
      </c>
      <c r="V1374" s="199" t="str">
        <f>IF(OR(IFERROR(SEARCH("Met",'Mail Merge'!$N1374),0)&gt;0,IFERROR(SEARCH("Met",'Mail Merge'!$I1374),0)&gt;0),"Met","Not Met")</f>
        <v>Met</v>
      </c>
    </row>
    <row r="1375" spans="1:22" x14ac:dyDescent="0.35">
      <c r="A1375" s="200" t="s">
        <v>214</v>
      </c>
      <c r="B1375" s="201">
        <v>1922</v>
      </c>
      <c r="C1375" s="201" t="s">
        <v>18</v>
      </c>
      <c r="D1375" s="201">
        <v>1031</v>
      </c>
      <c r="E1375" s="201">
        <v>9786760.8499999996</v>
      </c>
      <c r="F1375" s="201">
        <v>41568</v>
      </c>
      <c r="G1375" s="201">
        <f>'Mail Merge'!$E1375+'Mail Merge'!$F1375</f>
        <v>9828328.8499999996</v>
      </c>
      <c r="H1375" s="201">
        <v>0</v>
      </c>
      <c r="I1375" s="201" t="s">
        <v>241</v>
      </c>
      <c r="J1375" s="204">
        <f>IFERROR('Mail Merge'!$E1375/'Mail Merge'!$D1375,0)</f>
        <v>9492.4935499515032</v>
      </c>
      <c r="K1375" s="201">
        <f>IFERROR('Mail Merge'!$F1375/'Mail Merge'!$D1375,0)</f>
        <v>40.318137730358877</v>
      </c>
      <c r="L1375" s="205">
        <f>IFERROR('Mail Merge'!$G1375/'Mail Merge'!$D1375,0)</f>
        <v>9532.8116876818622</v>
      </c>
      <c r="M1375" s="201">
        <v>0</v>
      </c>
      <c r="N1375" s="201" t="s">
        <v>241</v>
      </c>
      <c r="O1375" s="201">
        <v>1278457.17</v>
      </c>
      <c r="P1375" s="201">
        <v>8475.2900000000009</v>
      </c>
      <c r="Q1375" s="201">
        <f>'Mail Merge'!$O1375+'Mail Merge'!$P1375</f>
        <v>1286932.46</v>
      </c>
      <c r="R1375" s="201"/>
      <c r="S1375" s="201"/>
      <c r="T1375" s="201"/>
      <c r="U1375" s="201">
        <f>IF(AND('Mail Merge'!$I1375="Did Not Meet",'Mail Merge'!$N1375="Did Not Meet"),MIN(ABS('Mail Merge'!$H1375),ABS('Mail Merge'!$M1375),'Mail Merge'!$Q1375),0)</f>
        <v>0</v>
      </c>
      <c r="V1375" s="201" t="str">
        <f>IF(OR(IFERROR(SEARCH("Met",'Mail Merge'!$N1375),0)&gt;0,IFERROR(SEARCH("Met",'Mail Merge'!$I1375),0)&gt;0),"Met","Not Met")</f>
        <v>Met</v>
      </c>
    </row>
    <row r="1376" spans="1:22" x14ac:dyDescent="0.35">
      <c r="A1376" s="198" t="s">
        <v>215</v>
      </c>
      <c r="B1376" s="199">
        <v>2255</v>
      </c>
      <c r="C1376" s="199" t="s">
        <v>18</v>
      </c>
      <c r="D1376" s="199">
        <v>157</v>
      </c>
      <c r="E1376" s="199">
        <v>988742.04</v>
      </c>
      <c r="F1376" s="199">
        <v>39548.660000000003</v>
      </c>
      <c r="G1376" s="199">
        <f>'Mail Merge'!$E1376+'Mail Merge'!$F1376</f>
        <v>1028290.7000000001</v>
      </c>
      <c r="H1376" s="199">
        <v>0</v>
      </c>
      <c r="I1376" s="199" t="s">
        <v>241</v>
      </c>
      <c r="J1376" s="202">
        <f>IFERROR('Mail Merge'!$E1376/'Mail Merge'!$D1376,0)</f>
        <v>6297.72</v>
      </c>
      <c r="K1376" s="199">
        <f>IFERROR('Mail Merge'!$F1376/'Mail Merge'!$D1376,0)</f>
        <v>251.9022929936306</v>
      </c>
      <c r="L1376" s="203">
        <f>IFERROR('Mail Merge'!$G1376/'Mail Merge'!$D1376,0)</f>
        <v>6549.6222929936312</v>
      </c>
      <c r="M1376" s="199">
        <v>401604.15</v>
      </c>
      <c r="N1376" s="199" t="s">
        <v>240</v>
      </c>
      <c r="O1376" s="199">
        <v>197368.22</v>
      </c>
      <c r="P1376" s="199">
        <v>0</v>
      </c>
      <c r="Q1376" s="199">
        <f>'Mail Merge'!$O1376+'Mail Merge'!$P1376</f>
        <v>197368.22</v>
      </c>
      <c r="R1376" s="199"/>
      <c r="S1376" s="199"/>
      <c r="T1376" s="199">
        <v>0</v>
      </c>
      <c r="U1376" s="199">
        <f>IF(AND('Mail Merge'!$I1376="Did Not Meet",'Mail Merge'!$N1376="Did Not Meet"),MIN(ABS('Mail Merge'!$H1376),ABS('Mail Merge'!$M1376),'Mail Merge'!$Q1376),0)</f>
        <v>0</v>
      </c>
      <c r="V1376" s="199" t="str">
        <f>IF(OR(IFERROR(SEARCH("Met",'Mail Merge'!$N1376),0)&gt;0,IFERROR(SEARCH("Met",'Mail Merge'!$I1376),0)&gt;0),"Met","Not Met")</f>
        <v>Met</v>
      </c>
    </row>
    <row r="1377" spans="1:22" x14ac:dyDescent="0.35">
      <c r="A1377" s="200" t="s">
        <v>216</v>
      </c>
      <c r="B1377" s="201">
        <v>2002</v>
      </c>
      <c r="C1377" s="201" t="s">
        <v>18</v>
      </c>
      <c r="D1377" s="201">
        <v>192</v>
      </c>
      <c r="E1377" s="201">
        <v>1344930.88</v>
      </c>
      <c r="F1377" s="201">
        <v>297214.37</v>
      </c>
      <c r="G1377" s="201">
        <f>'Mail Merge'!$E1377+'Mail Merge'!$F1377</f>
        <v>1642145.25</v>
      </c>
      <c r="H1377" s="201">
        <v>0</v>
      </c>
      <c r="I1377" s="201" t="s">
        <v>242</v>
      </c>
      <c r="J1377" s="204">
        <f>IFERROR('Mail Merge'!$E1377/'Mail Merge'!$D1377,0)</f>
        <v>7004.8483333333324</v>
      </c>
      <c r="K1377" s="201">
        <f>IFERROR('Mail Merge'!$F1377/'Mail Merge'!$D1377,0)</f>
        <v>1547.9915104166666</v>
      </c>
      <c r="L1377" s="205">
        <f>IFERROR('Mail Merge'!$G1377/'Mail Merge'!$D1377,0)</f>
        <v>8552.83984375</v>
      </c>
      <c r="M1377" s="201">
        <v>133698.34</v>
      </c>
      <c r="N1377" s="201" t="s">
        <v>240</v>
      </c>
      <c r="O1377" s="201">
        <v>268494.33</v>
      </c>
      <c r="P1377" s="201">
        <v>4382.38</v>
      </c>
      <c r="Q1377" s="201">
        <f>'Mail Merge'!$O1377+'Mail Merge'!$P1377</f>
        <v>272876.71000000002</v>
      </c>
      <c r="R1377" s="201"/>
      <c r="S1377" s="201">
        <v>29612.84</v>
      </c>
      <c r="T1377" s="201">
        <v>167.3</v>
      </c>
      <c r="U1377" s="201">
        <f>IF(AND('Mail Merge'!$I1377="Did Not Meet",'Mail Merge'!$N1377="Did Not Meet"),MIN(ABS('Mail Merge'!$H1377),ABS('Mail Merge'!$M1377),'Mail Merge'!$Q1377),0)</f>
        <v>0</v>
      </c>
      <c r="V1377" s="201" t="str">
        <f>IF(OR(IFERROR(SEARCH("Met",'Mail Merge'!$N1377),0)&gt;0,IFERROR(SEARCH("Met",'Mail Merge'!$I1377),0)&gt;0),"Met","Not Met")</f>
        <v>Met</v>
      </c>
    </row>
    <row r="1378" spans="1:22" x14ac:dyDescent="0.35">
      <c r="A1378" s="198" t="s">
        <v>217</v>
      </c>
      <c r="B1378" s="199">
        <v>2146</v>
      </c>
      <c r="C1378" s="199" t="s">
        <v>18</v>
      </c>
      <c r="D1378" s="199">
        <v>820</v>
      </c>
      <c r="E1378" s="199">
        <v>7040697.8799999999</v>
      </c>
      <c r="F1378" s="199">
        <v>363213.93</v>
      </c>
      <c r="G1378" s="199">
        <f>'Mail Merge'!$E1378+'Mail Merge'!$F1378</f>
        <v>7403911.8099999996</v>
      </c>
      <c r="H1378" s="199">
        <v>0</v>
      </c>
      <c r="I1378" s="199" t="s">
        <v>241</v>
      </c>
      <c r="J1378" s="202">
        <f>IFERROR('Mail Merge'!$E1378/'Mail Merge'!$D1378,0)</f>
        <v>8586.2169268292673</v>
      </c>
      <c r="K1378" s="199">
        <f>IFERROR('Mail Merge'!$F1378/'Mail Merge'!$D1378,0)</f>
        <v>442.94381707317075</v>
      </c>
      <c r="L1378" s="203">
        <f>IFERROR('Mail Merge'!$G1378/'Mail Merge'!$D1378,0)</f>
        <v>9029.1607439024392</v>
      </c>
      <c r="M1378" s="199">
        <v>59172.85</v>
      </c>
      <c r="N1378" s="199" t="s">
        <v>240</v>
      </c>
      <c r="O1378" s="199">
        <v>840685.4</v>
      </c>
      <c r="P1378" s="199">
        <v>3046.56</v>
      </c>
      <c r="Q1378" s="199">
        <f>'Mail Merge'!$O1378+'Mail Merge'!$P1378</f>
        <v>843731.96000000008</v>
      </c>
      <c r="R1378" s="199"/>
      <c r="S1378" s="199"/>
      <c r="T1378" s="199">
        <v>0</v>
      </c>
      <c r="U1378" s="199">
        <f>IF(AND('Mail Merge'!$I1378="Did Not Meet",'Mail Merge'!$N1378="Did Not Meet"),MIN(ABS('Mail Merge'!$H1378),ABS('Mail Merge'!$M1378),'Mail Merge'!$Q1378),0)</f>
        <v>0</v>
      </c>
      <c r="V1378" s="199" t="str">
        <f>IF(OR(IFERROR(SEARCH("Met",'Mail Merge'!$N1378),0)&gt;0,IFERROR(SEARCH("Met",'Mail Merge'!$I1378),0)&gt;0),"Met","Not Met")</f>
        <v>Met</v>
      </c>
    </row>
    <row r="1379" spans="1:22" x14ac:dyDescent="0.35">
      <c r="A1379" s="200" t="s">
        <v>218</v>
      </c>
      <c r="B1379" s="201">
        <v>2251</v>
      </c>
      <c r="C1379" s="201" t="s">
        <v>18</v>
      </c>
      <c r="D1379" s="201">
        <v>140</v>
      </c>
      <c r="E1379" s="201">
        <v>1419424.4</v>
      </c>
      <c r="F1379" s="201">
        <v>139430.57999999999</v>
      </c>
      <c r="G1379" s="201">
        <f>'Mail Merge'!$E1379+'Mail Merge'!$F1379</f>
        <v>1558854.98</v>
      </c>
      <c r="H1379" s="201">
        <v>0</v>
      </c>
      <c r="I1379" s="201" t="s">
        <v>241</v>
      </c>
      <c r="J1379" s="204">
        <f>IFERROR('Mail Merge'!$E1379/'Mail Merge'!$D1379,0)</f>
        <v>10138.745714285713</v>
      </c>
      <c r="K1379" s="201">
        <f>IFERROR('Mail Merge'!$F1379/'Mail Merge'!$D1379,0)</f>
        <v>995.93271428571416</v>
      </c>
      <c r="L1379" s="205">
        <f>IFERROR('Mail Merge'!$G1379/'Mail Merge'!$D1379,0)</f>
        <v>11134.678428571429</v>
      </c>
      <c r="M1379" s="201">
        <v>0</v>
      </c>
      <c r="N1379" s="201" t="s">
        <v>241</v>
      </c>
      <c r="O1379" s="201">
        <v>188814.58</v>
      </c>
      <c r="P1379" s="201">
        <v>1791.48</v>
      </c>
      <c r="Q1379" s="201">
        <f>'Mail Merge'!$O1379+'Mail Merge'!$P1379</f>
        <v>190606.06</v>
      </c>
      <c r="R1379" s="201"/>
      <c r="S1379" s="201"/>
      <c r="T1379" s="201"/>
      <c r="U1379" s="201">
        <f>IF(AND('Mail Merge'!$I1379="Did Not Meet",'Mail Merge'!$N1379="Did Not Meet"),MIN(ABS('Mail Merge'!$H1379),ABS('Mail Merge'!$M1379),'Mail Merge'!$Q1379),0)</f>
        <v>0</v>
      </c>
      <c r="V1379" s="201" t="str">
        <f>IF(OR(IFERROR(SEARCH("Met",'Mail Merge'!$N1379),0)&gt;0,IFERROR(SEARCH("Met",'Mail Merge'!$I1379),0)&gt;0),"Met","Not Met")</f>
        <v>Met</v>
      </c>
    </row>
    <row r="1380" spans="1:22" x14ac:dyDescent="0.35">
      <c r="A1380" s="198" t="s">
        <v>219</v>
      </c>
      <c r="B1380" s="199">
        <v>1997</v>
      </c>
      <c r="C1380" s="199" t="s">
        <v>18</v>
      </c>
      <c r="D1380" s="199">
        <v>39</v>
      </c>
      <c r="E1380" s="199">
        <v>253554.79</v>
      </c>
      <c r="F1380" s="199">
        <v>59359.3</v>
      </c>
      <c r="G1380" s="199">
        <f>'Mail Merge'!$E1380+'Mail Merge'!$F1380</f>
        <v>312914.09000000003</v>
      </c>
      <c r="H1380" s="199">
        <v>0</v>
      </c>
      <c r="I1380" s="199" t="s">
        <v>241</v>
      </c>
      <c r="J1380" s="202">
        <f>IFERROR('Mail Merge'!$E1380/'Mail Merge'!$D1380,0)</f>
        <v>6501.4048717948717</v>
      </c>
      <c r="K1380" s="199">
        <f>IFERROR('Mail Merge'!$F1380/'Mail Merge'!$D1380,0)</f>
        <v>1522.0333333333333</v>
      </c>
      <c r="L1380" s="203">
        <f>IFERROR('Mail Merge'!$G1380/'Mail Merge'!$D1380,0)</f>
        <v>8023.4382051282055</v>
      </c>
      <c r="M1380" s="199">
        <v>21510.29</v>
      </c>
      <c r="N1380" s="199" t="s">
        <v>240</v>
      </c>
      <c r="O1380" s="199">
        <v>61548.92</v>
      </c>
      <c r="P1380" s="199">
        <v>0</v>
      </c>
      <c r="Q1380" s="199">
        <f>'Mail Merge'!$O1380+'Mail Merge'!$P1380</f>
        <v>61548.92</v>
      </c>
      <c r="R1380" s="199"/>
      <c r="S1380" s="199"/>
      <c r="T1380" s="199">
        <v>0</v>
      </c>
      <c r="U1380" s="199">
        <f>IF(AND('Mail Merge'!$I1380="Did Not Meet",'Mail Merge'!$N1380="Did Not Meet"),MIN(ABS('Mail Merge'!$H1380),ABS('Mail Merge'!$M1380),'Mail Merge'!$Q1380),0)</f>
        <v>0</v>
      </c>
      <c r="V1380" s="199" t="str">
        <f>IF(OR(IFERROR(SEARCH("Met",'Mail Merge'!$N1380),0)&gt;0,IFERROR(SEARCH("Met",'Mail Merge'!$I1380),0)&gt;0),"Met","Not Met")</f>
        <v>Met</v>
      </c>
    </row>
    <row r="1381" spans="1:22" x14ac:dyDescent="0.35">
      <c r="A1381" s="200" t="s">
        <v>14</v>
      </c>
      <c r="B1381" s="201">
        <v>2063</v>
      </c>
      <c r="C1381" s="201" t="s">
        <v>16</v>
      </c>
      <c r="D1381" s="201">
        <v>1</v>
      </c>
      <c r="E1381" s="201">
        <v>4498.1400000000003</v>
      </c>
      <c r="F1381" s="201">
        <v>27912.94</v>
      </c>
      <c r="G1381" s="201">
        <f>'Mail Merge'!$E1381+'Mail Merge'!$F1381</f>
        <v>32411.079999999998</v>
      </c>
      <c r="H1381" s="201">
        <v>0</v>
      </c>
      <c r="I1381" s="201" t="s">
        <v>241</v>
      </c>
      <c r="J1381" s="204">
        <f>IFERROR('Mail Merge'!$E1381/'Mail Merge'!$D1381,0)</f>
        <v>4498.1400000000003</v>
      </c>
      <c r="K1381" s="201">
        <f>IFERROR('Mail Merge'!$F1381/'Mail Merge'!$D1381,0)</f>
        <v>27912.94</v>
      </c>
      <c r="L1381" s="205">
        <f>IFERROR('Mail Merge'!$G1381/'Mail Merge'!$D1381,0)</f>
        <v>32411.079999999998</v>
      </c>
      <c r="M1381" s="201">
        <v>0</v>
      </c>
      <c r="N1381" s="201" t="s">
        <v>241</v>
      </c>
      <c r="O1381" s="201">
        <v>2679.54</v>
      </c>
      <c r="P1381" s="201">
        <v>485.19</v>
      </c>
      <c r="Q1381" s="201">
        <f>'Mail Merge'!$O1381+'Mail Merge'!$P1381</f>
        <v>3164.73</v>
      </c>
      <c r="R1381" s="201"/>
      <c r="S1381" s="201"/>
      <c r="T1381" s="201"/>
      <c r="U1381" s="201">
        <f>IF(AND('Mail Merge'!$I1381="Did Not Meet",'Mail Merge'!$N1381="Did Not Meet"),MIN(ABS('Mail Merge'!$H1381),ABS('Mail Merge'!$M1381),'Mail Merge'!$Q1381),0)</f>
        <v>0</v>
      </c>
      <c r="V1381" s="201" t="str">
        <f>IF(OR(IFERROR(SEARCH("Met",'Mail Merge'!$N1381),0)&gt;0,IFERROR(SEARCH("Met",'Mail Merge'!$I1381),0)&gt;0),"Met","Not Met")</f>
        <v>Met</v>
      </c>
    </row>
    <row r="1382" spans="1:22" x14ac:dyDescent="0.35">
      <c r="A1382" s="198" t="s">
        <v>17</v>
      </c>
      <c r="B1382" s="199">
        <v>2113</v>
      </c>
      <c r="C1382" s="199" t="s">
        <v>16</v>
      </c>
      <c r="D1382" s="199">
        <v>53</v>
      </c>
      <c r="E1382" s="199">
        <v>230902.32</v>
      </c>
      <c r="F1382" s="199">
        <v>103524.48</v>
      </c>
      <c r="G1382" s="199">
        <f>'Mail Merge'!$E1382+'Mail Merge'!$F1382</f>
        <v>334426.8</v>
      </c>
      <c r="H1382" s="199">
        <v>5889.87</v>
      </c>
      <c r="I1382" s="199" t="s">
        <v>242</v>
      </c>
      <c r="J1382" s="202">
        <f>IFERROR('Mail Merge'!$E1382/'Mail Merge'!$D1382,0)</f>
        <v>4356.6475471698113</v>
      </c>
      <c r="K1382" s="199">
        <f>IFERROR('Mail Merge'!$F1382/'Mail Merge'!$D1382,0)</f>
        <v>1953.2920754716981</v>
      </c>
      <c r="L1382" s="203">
        <f>IFERROR('Mail Merge'!$G1382/'Mail Merge'!$D1382,0)</f>
        <v>6309.9396226415092</v>
      </c>
      <c r="M1382" s="199">
        <v>210605.21</v>
      </c>
      <c r="N1382" s="199" t="s">
        <v>240</v>
      </c>
      <c r="O1382" s="199">
        <v>57933.43</v>
      </c>
      <c r="P1382" s="199">
        <v>0</v>
      </c>
      <c r="Q1382" s="199">
        <f>'Mail Merge'!$O1382+'Mail Merge'!$P1382</f>
        <v>57933.43</v>
      </c>
      <c r="R1382" s="199"/>
      <c r="S1382" s="199">
        <v>6917</v>
      </c>
      <c r="T1382" s="199">
        <v>238.52</v>
      </c>
      <c r="U1382" s="199">
        <f>IF(AND('Mail Merge'!$I1382="Did Not Meet",'Mail Merge'!$N1382="Did Not Meet"),MIN(ABS('Mail Merge'!$H1382),ABS('Mail Merge'!$M1382),'Mail Merge'!$Q1382),0)</f>
        <v>0</v>
      </c>
      <c r="V1382" s="199" t="str">
        <f>IF(OR(IFERROR(SEARCH("Met",'Mail Merge'!$N1382),0)&gt;0,IFERROR(SEARCH("Met",'Mail Merge'!$I1382),0)&gt;0),"Met","Not Met")</f>
        <v>Met</v>
      </c>
    </row>
    <row r="1383" spans="1:22" x14ac:dyDescent="0.35">
      <c r="A1383" s="200" t="s">
        <v>20</v>
      </c>
      <c r="B1383" s="201">
        <v>1899</v>
      </c>
      <c r="C1383" s="201" t="s">
        <v>16</v>
      </c>
      <c r="D1383" s="201">
        <v>29</v>
      </c>
      <c r="E1383" s="201">
        <v>236842.66</v>
      </c>
      <c r="F1383" s="201">
        <v>48708</v>
      </c>
      <c r="G1383" s="201">
        <f>'Mail Merge'!$E1383+'Mail Merge'!$F1383</f>
        <v>285550.66000000003</v>
      </c>
      <c r="H1383" s="201">
        <v>0</v>
      </c>
      <c r="I1383" s="201" t="s">
        <v>241</v>
      </c>
      <c r="J1383" s="204">
        <f>IFERROR('Mail Merge'!$E1383/'Mail Merge'!$D1383,0)</f>
        <v>8166.9882758620688</v>
      </c>
      <c r="K1383" s="201">
        <f>IFERROR('Mail Merge'!$F1383/'Mail Merge'!$D1383,0)</f>
        <v>1679.5862068965516</v>
      </c>
      <c r="L1383" s="205">
        <f>IFERROR('Mail Merge'!$G1383/'Mail Merge'!$D1383,0)</f>
        <v>9846.5744827586223</v>
      </c>
      <c r="M1383" s="201">
        <v>65727.16</v>
      </c>
      <c r="N1383" s="201" t="s">
        <v>240</v>
      </c>
      <c r="O1383" s="201">
        <v>29755.18</v>
      </c>
      <c r="P1383" s="201">
        <v>0</v>
      </c>
      <c r="Q1383" s="201">
        <f>'Mail Merge'!$O1383+'Mail Merge'!$P1383</f>
        <v>29755.18</v>
      </c>
      <c r="R1383" s="201"/>
      <c r="S1383" s="201"/>
      <c r="T1383" s="201">
        <v>0</v>
      </c>
      <c r="U1383" s="201">
        <f>IF(AND('Mail Merge'!$I1383="Did Not Meet",'Mail Merge'!$N1383="Did Not Meet"),MIN(ABS('Mail Merge'!$H1383),ABS('Mail Merge'!$M1383),'Mail Merge'!$Q1383),0)</f>
        <v>0</v>
      </c>
      <c r="V1383" s="201" t="str">
        <f>IF(OR(IFERROR(SEARCH("Met",'Mail Merge'!$N1383),0)&gt;0,IFERROR(SEARCH("Met",'Mail Merge'!$I1383),0)&gt;0),"Met","Not Met")</f>
        <v>Met</v>
      </c>
    </row>
    <row r="1384" spans="1:22" x14ac:dyDescent="0.35">
      <c r="A1384" s="198" t="s">
        <v>21</v>
      </c>
      <c r="B1384" s="199">
        <v>2252</v>
      </c>
      <c r="C1384" s="199" t="s">
        <v>16</v>
      </c>
      <c r="D1384" s="199">
        <v>129</v>
      </c>
      <c r="E1384" s="199">
        <v>685435.59</v>
      </c>
      <c r="F1384" s="199">
        <v>170528.45</v>
      </c>
      <c r="G1384" s="199">
        <f>'Mail Merge'!$E1384+'Mail Merge'!$F1384</f>
        <v>855964.04</v>
      </c>
      <c r="H1384" s="199">
        <v>0</v>
      </c>
      <c r="I1384" s="199" t="s">
        <v>241</v>
      </c>
      <c r="J1384" s="202">
        <f>IFERROR('Mail Merge'!$E1384/'Mail Merge'!$D1384,0)</f>
        <v>5313.4541860465115</v>
      </c>
      <c r="K1384" s="199">
        <f>IFERROR('Mail Merge'!$F1384/'Mail Merge'!$D1384,0)</f>
        <v>1321.925968992248</v>
      </c>
      <c r="L1384" s="203">
        <f>IFERROR('Mail Merge'!$G1384/'Mail Merge'!$D1384,0)</f>
        <v>6635.3801550387598</v>
      </c>
      <c r="M1384" s="199">
        <v>55647.43</v>
      </c>
      <c r="N1384" s="199" t="s">
        <v>240</v>
      </c>
      <c r="O1384" s="199">
        <v>147085.35</v>
      </c>
      <c r="P1384" s="199">
        <v>3327.03</v>
      </c>
      <c r="Q1384" s="199">
        <f>'Mail Merge'!$O1384+'Mail Merge'!$P1384</f>
        <v>150412.38</v>
      </c>
      <c r="R1384" s="199"/>
      <c r="S1384" s="199"/>
      <c r="T1384" s="199">
        <v>446</v>
      </c>
      <c r="U1384" s="199">
        <f>IF(AND('Mail Merge'!$I1384="Did Not Meet",'Mail Merge'!$N1384="Did Not Meet"),MIN(ABS('Mail Merge'!$H1384),ABS('Mail Merge'!$M1384),'Mail Merge'!$Q1384),0)</f>
        <v>0</v>
      </c>
      <c r="V1384" s="199" t="str">
        <f>IF(OR(IFERROR(SEARCH("Met",'Mail Merge'!$N1384),0)&gt;0,IFERROR(SEARCH("Met",'Mail Merge'!$I1384),0)&gt;0),"Met","Not Met")</f>
        <v>Met</v>
      </c>
    </row>
    <row r="1385" spans="1:22" x14ac:dyDescent="0.35">
      <c r="A1385" s="200" t="s">
        <v>23</v>
      </c>
      <c r="B1385" s="201">
        <v>2111</v>
      </c>
      <c r="C1385" s="201" t="s">
        <v>16</v>
      </c>
      <c r="D1385" s="201">
        <v>12</v>
      </c>
      <c r="E1385" s="201">
        <v>44528.59</v>
      </c>
      <c r="F1385" s="201">
        <v>39411.480000000003</v>
      </c>
      <c r="G1385" s="201">
        <f>'Mail Merge'!$E1385+'Mail Merge'!$F1385</f>
        <v>83940.07</v>
      </c>
      <c r="H1385" s="201">
        <v>28831.919999999998</v>
      </c>
      <c r="I1385" s="201" t="s">
        <v>241</v>
      </c>
      <c r="J1385" s="204">
        <f>IFERROR('Mail Merge'!$E1385/'Mail Merge'!$D1385,0)</f>
        <v>3710.7158333333332</v>
      </c>
      <c r="K1385" s="201">
        <f>IFERROR('Mail Merge'!$F1385/'Mail Merge'!$D1385,0)</f>
        <v>3284.2900000000004</v>
      </c>
      <c r="L1385" s="205">
        <f>IFERROR('Mail Merge'!$G1385/'Mail Merge'!$D1385,0)</f>
        <v>6995.0058333333336</v>
      </c>
      <c r="M1385" s="201">
        <v>35035.870000000003</v>
      </c>
      <c r="N1385" s="201" t="s">
        <v>241</v>
      </c>
      <c r="O1385" s="201">
        <v>20387.89</v>
      </c>
      <c r="P1385" s="201">
        <v>0</v>
      </c>
      <c r="Q1385" s="201">
        <f>'Mail Merge'!$O1385+'Mail Merge'!$P1385</f>
        <v>20387.89</v>
      </c>
      <c r="R1385" s="201"/>
      <c r="S1385" s="201"/>
      <c r="T1385" s="201"/>
      <c r="U1385" s="201">
        <f>IF(AND('Mail Merge'!$I1385="Did Not Meet",'Mail Merge'!$N1385="Did Not Meet"),MIN(ABS('Mail Merge'!$H1385),ABS('Mail Merge'!$M1385),'Mail Merge'!$Q1385),0)</f>
        <v>0</v>
      </c>
      <c r="V1385" s="201" t="str">
        <f>IF(OR(IFERROR(SEARCH("Met",'Mail Merge'!$N1385),0)&gt;0,IFERROR(SEARCH("Met",'Mail Merge'!$I1385),0)&gt;0),"Met","Not Met")</f>
        <v>Met</v>
      </c>
    </row>
    <row r="1386" spans="1:22" x14ac:dyDescent="0.35">
      <c r="A1386" s="198" t="s">
        <v>24</v>
      </c>
      <c r="B1386" s="199">
        <v>2005</v>
      </c>
      <c r="C1386" s="199" t="s">
        <v>16</v>
      </c>
      <c r="D1386" s="199">
        <v>23</v>
      </c>
      <c r="E1386" s="199">
        <v>50369</v>
      </c>
      <c r="F1386" s="199">
        <v>165091</v>
      </c>
      <c r="G1386" s="199">
        <f>'Mail Merge'!$E1386+'Mail Merge'!$F1386</f>
        <v>215460</v>
      </c>
      <c r="H1386" s="199">
        <v>0</v>
      </c>
      <c r="I1386" s="199" t="s">
        <v>241</v>
      </c>
      <c r="J1386" s="202">
        <f>IFERROR('Mail Merge'!$E1386/'Mail Merge'!$D1386,0)</f>
        <v>2189.9565217391305</v>
      </c>
      <c r="K1386" s="199">
        <f>IFERROR('Mail Merge'!$F1386/'Mail Merge'!$D1386,0)</f>
        <v>7177.869565217391</v>
      </c>
      <c r="L1386" s="203">
        <f>IFERROR('Mail Merge'!$G1386/'Mail Merge'!$D1386,0)</f>
        <v>9367.826086956522</v>
      </c>
      <c r="M1386" s="199">
        <v>0</v>
      </c>
      <c r="N1386" s="199" t="s">
        <v>241</v>
      </c>
      <c r="O1386" s="199">
        <v>25700.77</v>
      </c>
      <c r="P1386" s="199">
        <v>0</v>
      </c>
      <c r="Q1386" s="199">
        <f>'Mail Merge'!$O1386+'Mail Merge'!$P1386</f>
        <v>25700.77</v>
      </c>
      <c r="R1386" s="199"/>
      <c r="S1386" s="199"/>
      <c r="T1386" s="199"/>
      <c r="U1386" s="199">
        <f>IF(AND('Mail Merge'!$I1386="Did Not Meet",'Mail Merge'!$N1386="Did Not Meet"),MIN(ABS('Mail Merge'!$H1386),ABS('Mail Merge'!$M1386),'Mail Merge'!$Q1386),0)</f>
        <v>0</v>
      </c>
      <c r="V1386" s="199" t="str">
        <f>IF(OR(IFERROR(SEARCH("Met",'Mail Merge'!$N1386),0)&gt;0,IFERROR(SEARCH("Met",'Mail Merge'!$I1386),0)&gt;0),"Met","Not Met")</f>
        <v>Met</v>
      </c>
    </row>
    <row r="1387" spans="1:22" x14ac:dyDescent="0.35">
      <c r="A1387" s="200" t="s">
        <v>25</v>
      </c>
      <c r="B1387" s="201">
        <v>2115</v>
      </c>
      <c r="C1387" s="201" t="s">
        <v>16</v>
      </c>
      <c r="D1387" s="201">
        <v>0</v>
      </c>
      <c r="E1387" s="201">
        <v>0</v>
      </c>
      <c r="F1387" s="201">
        <v>8960.31</v>
      </c>
      <c r="G1387" s="201">
        <f>'Mail Merge'!$E1387+'Mail Merge'!$F1387</f>
        <v>8960.31</v>
      </c>
      <c r="H1387" s="201">
        <v>1996.52</v>
      </c>
      <c r="I1387" s="201" t="s">
        <v>240</v>
      </c>
      <c r="J1387" s="204">
        <f>IFERROR('Mail Merge'!$E1387/'Mail Merge'!$D1387,0)</f>
        <v>0</v>
      </c>
      <c r="K1387" s="201">
        <f>IFERROR('Mail Merge'!$F1387/'Mail Merge'!$D1387,0)</f>
        <v>0</v>
      </c>
      <c r="L1387" s="205">
        <f>IFERROR('Mail Merge'!$G1387/'Mail Merge'!$D1387,0)</f>
        <v>0</v>
      </c>
      <c r="M1387" s="201">
        <v>0</v>
      </c>
      <c r="N1387" s="201" t="s">
        <v>240</v>
      </c>
      <c r="O1387" s="201">
        <v>3665.97</v>
      </c>
      <c r="P1387" s="201">
        <v>0</v>
      </c>
      <c r="Q1387" s="201">
        <f>'Mail Merge'!$O1387+'Mail Merge'!$P1387</f>
        <v>3665.97</v>
      </c>
      <c r="R1387" s="201"/>
      <c r="S1387" s="201">
        <v>0</v>
      </c>
      <c r="T1387" s="201">
        <v>1250.3499999999999</v>
      </c>
      <c r="U1387" s="201">
        <f>IF(AND('Mail Merge'!$I1387="Did Not Meet",'Mail Merge'!$N1387="Did Not Meet"),MIN(ABS('Mail Merge'!$H1387),ABS('Mail Merge'!$M1387),'Mail Merge'!$Q1387),0)</f>
        <v>0</v>
      </c>
      <c r="V1387" s="201" t="str">
        <f>IF(OR(IFERROR(SEARCH("Met",'Mail Merge'!$N1387),0)&gt;0,IFERROR(SEARCH("Met",'Mail Merge'!$I1387),0)&gt;0),"Met","Not Met")</f>
        <v>Not Met</v>
      </c>
    </row>
    <row r="1388" spans="1:22" x14ac:dyDescent="0.35">
      <c r="A1388" s="198" t="s">
        <v>26</v>
      </c>
      <c r="B1388" s="199">
        <v>2041</v>
      </c>
      <c r="C1388" s="199" t="s">
        <v>16</v>
      </c>
      <c r="D1388" s="199">
        <v>343</v>
      </c>
      <c r="E1388" s="199">
        <v>2735371.51</v>
      </c>
      <c r="F1388" s="199">
        <v>465954.57</v>
      </c>
      <c r="G1388" s="199">
        <f>'Mail Merge'!$E1388+'Mail Merge'!$F1388</f>
        <v>3201326.0799999996</v>
      </c>
      <c r="H1388" s="199">
        <v>0</v>
      </c>
      <c r="I1388" s="199" t="s">
        <v>241</v>
      </c>
      <c r="J1388" s="202">
        <f>IFERROR('Mail Merge'!$E1388/'Mail Merge'!$D1388,0)</f>
        <v>7974.8440524781336</v>
      </c>
      <c r="K1388" s="199">
        <f>IFERROR('Mail Merge'!$F1388/'Mail Merge'!$D1388,0)</f>
        <v>1358.4681341107871</v>
      </c>
      <c r="L1388" s="203">
        <f>IFERROR('Mail Merge'!$G1388/'Mail Merge'!$D1388,0)</f>
        <v>9333.3121865889207</v>
      </c>
      <c r="M1388" s="199">
        <v>0</v>
      </c>
      <c r="N1388" s="199" t="s">
        <v>241</v>
      </c>
      <c r="O1388" s="199">
        <v>494366.77</v>
      </c>
      <c r="P1388" s="199">
        <v>6128.75</v>
      </c>
      <c r="Q1388" s="199">
        <f>'Mail Merge'!$O1388+'Mail Merge'!$P1388</f>
        <v>500495.52</v>
      </c>
      <c r="R1388" s="199"/>
      <c r="S1388" s="199"/>
      <c r="T1388" s="199"/>
      <c r="U1388" s="199">
        <f>IF(AND('Mail Merge'!$I1388="Did Not Meet",'Mail Merge'!$N1388="Did Not Meet"),MIN(ABS('Mail Merge'!$H1388),ABS('Mail Merge'!$M1388),'Mail Merge'!$Q1388),0)</f>
        <v>0</v>
      </c>
      <c r="V1388" s="199" t="str">
        <f>IF(OR(IFERROR(SEARCH("Met",'Mail Merge'!$N1388),0)&gt;0,IFERROR(SEARCH("Met",'Mail Merge'!$I1388),0)&gt;0),"Met","Not Met")</f>
        <v>Met</v>
      </c>
    </row>
    <row r="1389" spans="1:22" x14ac:dyDescent="0.35">
      <c r="A1389" s="200" t="s">
        <v>27</v>
      </c>
      <c r="B1389" s="201">
        <v>2051</v>
      </c>
      <c r="C1389" s="201" t="s">
        <v>16</v>
      </c>
      <c r="D1389" s="201">
        <v>0</v>
      </c>
      <c r="E1389" s="201">
        <v>0</v>
      </c>
      <c r="F1389" s="201">
        <v>8924.43</v>
      </c>
      <c r="G1389" s="201">
        <f>'Mail Merge'!$E1389+'Mail Merge'!$F1389</f>
        <v>8924.43</v>
      </c>
      <c r="H1389" s="201">
        <v>0</v>
      </c>
      <c r="I1389" s="201" t="s">
        <v>241</v>
      </c>
      <c r="J1389" s="204">
        <f>IFERROR('Mail Merge'!$E1389/'Mail Merge'!$D1389,0)</f>
        <v>0</v>
      </c>
      <c r="K1389" s="201">
        <f>IFERROR('Mail Merge'!$F1389/'Mail Merge'!$D1389,0)</f>
        <v>0</v>
      </c>
      <c r="L1389" s="205">
        <f>IFERROR('Mail Merge'!$G1389/'Mail Merge'!$D1389,0)</f>
        <v>0</v>
      </c>
      <c r="M1389" s="201">
        <v>0</v>
      </c>
      <c r="N1389" s="201" t="s">
        <v>241</v>
      </c>
      <c r="O1389" s="201">
        <v>557.01</v>
      </c>
      <c r="P1389" s="201">
        <v>0</v>
      </c>
      <c r="Q1389" s="201">
        <f>'Mail Merge'!$O1389+'Mail Merge'!$P1389</f>
        <v>557.01</v>
      </c>
      <c r="R1389" s="201"/>
      <c r="S1389" s="201"/>
      <c r="T1389" s="201"/>
      <c r="U1389" s="201">
        <f>IF(AND('Mail Merge'!$I1389="Did Not Meet",'Mail Merge'!$N1389="Did Not Meet"),MIN(ABS('Mail Merge'!$H1389),ABS('Mail Merge'!$M1389),'Mail Merge'!$Q1389),0)</f>
        <v>0</v>
      </c>
      <c r="V1389" s="201" t="str">
        <f>IF(OR(IFERROR(SEARCH("Met",'Mail Merge'!$N1389),0)&gt;0,IFERROR(SEARCH("Met",'Mail Merge'!$I1389),0)&gt;0),"Met","Not Met")</f>
        <v>Met</v>
      </c>
    </row>
    <row r="1390" spans="1:22" x14ac:dyDescent="0.35">
      <c r="A1390" s="198" t="s">
        <v>28</v>
      </c>
      <c r="B1390" s="199">
        <v>1933</v>
      </c>
      <c r="C1390" s="199" t="s">
        <v>16</v>
      </c>
      <c r="D1390" s="199">
        <v>247</v>
      </c>
      <c r="E1390" s="199">
        <v>2651981.15</v>
      </c>
      <c r="F1390" s="199">
        <v>477160</v>
      </c>
      <c r="G1390" s="199">
        <f>'Mail Merge'!$E1390+'Mail Merge'!$F1390</f>
        <v>3129141.15</v>
      </c>
      <c r="H1390" s="199">
        <v>0</v>
      </c>
      <c r="I1390" s="199" t="s">
        <v>241</v>
      </c>
      <c r="J1390" s="202">
        <f>IFERROR('Mail Merge'!$E1390/'Mail Merge'!$D1390,0)</f>
        <v>10736.765789473684</v>
      </c>
      <c r="K1390" s="199">
        <f>IFERROR('Mail Merge'!$F1390/'Mail Merge'!$D1390,0)</f>
        <v>1931.8218623481782</v>
      </c>
      <c r="L1390" s="203">
        <f>IFERROR('Mail Merge'!$G1390/'Mail Merge'!$D1390,0)</f>
        <v>12668.587651821861</v>
      </c>
      <c r="M1390" s="199">
        <v>0</v>
      </c>
      <c r="N1390" s="199" t="s">
        <v>241</v>
      </c>
      <c r="O1390" s="199">
        <v>268005.67</v>
      </c>
      <c r="P1390" s="199">
        <v>1634.33</v>
      </c>
      <c r="Q1390" s="199">
        <f>'Mail Merge'!$O1390+'Mail Merge'!$P1390</f>
        <v>269640</v>
      </c>
      <c r="R1390" s="199"/>
      <c r="S1390" s="199"/>
      <c r="T1390" s="199"/>
      <c r="U1390" s="199">
        <f>IF(AND('Mail Merge'!$I1390="Did Not Meet",'Mail Merge'!$N1390="Did Not Meet"),MIN(ABS('Mail Merge'!$H1390),ABS('Mail Merge'!$M1390),'Mail Merge'!$Q1390),0)</f>
        <v>0</v>
      </c>
      <c r="V1390" s="199" t="str">
        <f>IF(OR(IFERROR(SEARCH("Met",'Mail Merge'!$N1390),0)&gt;0,IFERROR(SEARCH("Met",'Mail Merge'!$I1390),0)&gt;0),"Met","Not Met")</f>
        <v>Met</v>
      </c>
    </row>
    <row r="1391" spans="1:22" x14ac:dyDescent="0.35">
      <c r="A1391" s="200" t="s">
        <v>29</v>
      </c>
      <c r="B1391" s="201">
        <v>2208</v>
      </c>
      <c r="C1391" s="201" t="s">
        <v>16</v>
      </c>
      <c r="D1391" s="201">
        <v>78</v>
      </c>
      <c r="E1391" s="201">
        <v>320195.18</v>
      </c>
      <c r="F1391" s="201">
        <v>129326.66</v>
      </c>
      <c r="G1391" s="201">
        <f>'Mail Merge'!$E1391+'Mail Merge'!$F1391</f>
        <v>449521.83999999997</v>
      </c>
      <c r="H1391" s="201">
        <v>0</v>
      </c>
      <c r="I1391" s="201" t="s">
        <v>242</v>
      </c>
      <c r="J1391" s="204">
        <f>IFERROR('Mail Merge'!$E1391/'Mail Merge'!$D1391,0)</f>
        <v>4105.0664102564106</v>
      </c>
      <c r="K1391" s="201">
        <f>IFERROR('Mail Merge'!$F1391/'Mail Merge'!$D1391,0)</f>
        <v>1658.0341025641026</v>
      </c>
      <c r="L1391" s="205">
        <f>IFERROR('Mail Merge'!$G1391/'Mail Merge'!$D1391,0)</f>
        <v>5763.1005128205124</v>
      </c>
      <c r="M1391" s="201">
        <v>0</v>
      </c>
      <c r="N1391" s="201" t="s">
        <v>242</v>
      </c>
      <c r="O1391" s="201">
        <v>97583.07</v>
      </c>
      <c r="P1391" s="201">
        <v>1617.31</v>
      </c>
      <c r="Q1391" s="201">
        <f>'Mail Merge'!$O1391+'Mail Merge'!$P1391</f>
        <v>99200.38</v>
      </c>
      <c r="R1391" s="201"/>
      <c r="S1391" s="201">
        <v>45237.5</v>
      </c>
      <c r="T1391" s="201">
        <v>1749.28</v>
      </c>
      <c r="U1391" s="201">
        <f>IF(AND('Mail Merge'!$I1391="Did Not Meet",'Mail Merge'!$N1391="Did Not Meet"),MIN(ABS('Mail Merge'!$H1391),ABS('Mail Merge'!$M1391),'Mail Merge'!$Q1391),0)</f>
        <v>0</v>
      </c>
      <c r="V1391" s="201" t="str">
        <f>IF(OR(IFERROR(SEARCH("Met",'Mail Merge'!$N1391),0)&gt;0,IFERROR(SEARCH("Met",'Mail Merge'!$I1391),0)&gt;0),"Met","Not Met")</f>
        <v>Met</v>
      </c>
    </row>
    <row r="1392" spans="1:22" x14ac:dyDescent="0.35">
      <c r="A1392" s="198" t="s">
        <v>30</v>
      </c>
      <c r="B1392" s="199">
        <v>1894</v>
      </c>
      <c r="C1392" s="199" t="s">
        <v>16</v>
      </c>
      <c r="D1392" s="199">
        <v>383</v>
      </c>
      <c r="E1392" s="199">
        <v>2410858.56</v>
      </c>
      <c r="F1392" s="199">
        <v>0</v>
      </c>
      <c r="G1392" s="199">
        <f>'Mail Merge'!$E1392+'Mail Merge'!$F1392</f>
        <v>2410858.56</v>
      </c>
      <c r="H1392" s="199">
        <v>0</v>
      </c>
      <c r="I1392" s="199" t="s">
        <v>241</v>
      </c>
      <c r="J1392" s="202">
        <f>IFERROR('Mail Merge'!$E1392/'Mail Merge'!$D1392,0)</f>
        <v>6294.6698694516972</v>
      </c>
      <c r="K1392" s="199">
        <f>IFERROR('Mail Merge'!$F1392/'Mail Merge'!$D1392,0)</f>
        <v>0</v>
      </c>
      <c r="L1392" s="203">
        <f>IFERROR('Mail Merge'!$G1392/'Mail Merge'!$D1392,0)</f>
        <v>6294.6698694516972</v>
      </c>
      <c r="M1392" s="199">
        <v>528326.85</v>
      </c>
      <c r="N1392" s="199" t="s">
        <v>240</v>
      </c>
      <c r="O1392" s="199">
        <v>500242.62</v>
      </c>
      <c r="P1392" s="199">
        <v>5562.79</v>
      </c>
      <c r="Q1392" s="199">
        <f>'Mail Merge'!$O1392+'Mail Merge'!$P1392</f>
        <v>505805.41</v>
      </c>
      <c r="R1392" s="199"/>
      <c r="S1392" s="199"/>
      <c r="T1392" s="199">
        <v>0</v>
      </c>
      <c r="U1392" s="199">
        <f>IF(AND('Mail Merge'!$I1392="Did Not Meet",'Mail Merge'!$N1392="Did Not Meet"),MIN(ABS('Mail Merge'!$H1392),ABS('Mail Merge'!$M1392),'Mail Merge'!$Q1392),0)</f>
        <v>0</v>
      </c>
      <c r="V1392" s="199" t="str">
        <f>IF(OR(IFERROR(SEARCH("Met",'Mail Merge'!$N1392),0)&gt;0,IFERROR(SEARCH("Met",'Mail Merge'!$I1392),0)&gt;0),"Met","Not Met")</f>
        <v>Met</v>
      </c>
    </row>
    <row r="1393" spans="1:22" x14ac:dyDescent="0.35">
      <c r="A1393" s="200" t="s">
        <v>32</v>
      </c>
      <c r="B1393" s="201">
        <v>1969</v>
      </c>
      <c r="C1393" s="201" t="s">
        <v>16</v>
      </c>
      <c r="D1393" s="201">
        <v>102</v>
      </c>
      <c r="E1393" s="201">
        <v>1094357.51</v>
      </c>
      <c r="F1393" s="201">
        <v>311058.48</v>
      </c>
      <c r="G1393" s="201">
        <f>'Mail Merge'!$E1393+'Mail Merge'!$F1393</f>
        <v>1405415.99</v>
      </c>
      <c r="H1393" s="201">
        <v>0</v>
      </c>
      <c r="I1393" s="201" t="s">
        <v>241</v>
      </c>
      <c r="J1393" s="204">
        <f>IFERROR('Mail Merge'!$E1393/'Mail Merge'!$D1393,0)</f>
        <v>10728.995196078431</v>
      </c>
      <c r="K1393" s="201">
        <f>IFERROR('Mail Merge'!$F1393/'Mail Merge'!$D1393,0)</f>
        <v>3049.5929411764705</v>
      </c>
      <c r="L1393" s="205">
        <f>IFERROR('Mail Merge'!$G1393/'Mail Merge'!$D1393,0)</f>
        <v>13778.588137254901</v>
      </c>
      <c r="M1393" s="201">
        <v>0</v>
      </c>
      <c r="N1393" s="201" t="s">
        <v>241</v>
      </c>
      <c r="O1393" s="201">
        <v>146508.6</v>
      </c>
      <c r="P1393" s="201">
        <v>1067.42</v>
      </c>
      <c r="Q1393" s="201">
        <f>'Mail Merge'!$O1393+'Mail Merge'!$P1393</f>
        <v>147576.02000000002</v>
      </c>
      <c r="R1393" s="201"/>
      <c r="S1393" s="201"/>
      <c r="T1393" s="201"/>
      <c r="U1393" s="201">
        <f>IF(AND('Mail Merge'!$I1393="Did Not Meet",'Mail Merge'!$N1393="Did Not Meet"),MIN(ABS('Mail Merge'!$H1393),ABS('Mail Merge'!$M1393),'Mail Merge'!$Q1393),0)</f>
        <v>0</v>
      </c>
      <c r="V1393" s="201" t="str">
        <f>IF(OR(IFERROR(SEARCH("Met",'Mail Merge'!$N1393),0)&gt;0,IFERROR(SEARCH("Met",'Mail Merge'!$I1393),0)&gt;0),"Met","Not Met")</f>
        <v>Met</v>
      </c>
    </row>
    <row r="1394" spans="1:22" x14ac:dyDescent="0.35">
      <c r="A1394" s="198" t="s">
        <v>33</v>
      </c>
      <c r="B1394" s="199">
        <v>2240</v>
      </c>
      <c r="C1394" s="199" t="s">
        <v>16</v>
      </c>
      <c r="D1394" s="199">
        <v>165</v>
      </c>
      <c r="E1394" s="199">
        <v>1705276.95</v>
      </c>
      <c r="F1394" s="199">
        <v>348673</v>
      </c>
      <c r="G1394" s="199">
        <f>'Mail Merge'!$E1394+'Mail Merge'!$F1394</f>
        <v>2053949.95</v>
      </c>
      <c r="H1394" s="199">
        <v>0</v>
      </c>
      <c r="I1394" s="199" t="s">
        <v>241</v>
      </c>
      <c r="J1394" s="202">
        <f>IFERROR('Mail Merge'!$E1394/'Mail Merge'!$D1394,0)</f>
        <v>10335.011818181818</v>
      </c>
      <c r="K1394" s="199">
        <f>IFERROR('Mail Merge'!$F1394/'Mail Merge'!$D1394,0)</f>
        <v>2113.1696969696968</v>
      </c>
      <c r="L1394" s="203">
        <f>IFERROR('Mail Merge'!$G1394/'Mail Merge'!$D1394,0)</f>
        <v>12448.181515151515</v>
      </c>
      <c r="M1394" s="199">
        <v>0</v>
      </c>
      <c r="N1394" s="199" t="s">
        <v>241</v>
      </c>
      <c r="O1394" s="199">
        <v>171258.09</v>
      </c>
      <c r="P1394" s="199">
        <v>391.89</v>
      </c>
      <c r="Q1394" s="199">
        <f>'Mail Merge'!$O1394+'Mail Merge'!$P1394</f>
        <v>171649.98</v>
      </c>
      <c r="R1394" s="199"/>
      <c r="S1394" s="199"/>
      <c r="T1394" s="199"/>
      <c r="U1394" s="199">
        <f>IF(AND('Mail Merge'!$I1394="Did Not Meet",'Mail Merge'!$N1394="Did Not Meet"),MIN(ABS('Mail Merge'!$H1394),ABS('Mail Merge'!$M1394),'Mail Merge'!$Q1394),0)</f>
        <v>0</v>
      </c>
      <c r="V1394" s="199" t="str">
        <f>IF(OR(IFERROR(SEARCH("Met",'Mail Merge'!$N1394),0)&gt;0,IFERROR(SEARCH("Met",'Mail Merge'!$I1394),0)&gt;0),"Met","Not Met")</f>
        <v>Met</v>
      </c>
    </row>
    <row r="1395" spans="1:22" x14ac:dyDescent="0.35">
      <c r="A1395" s="200" t="s">
        <v>34</v>
      </c>
      <c r="B1395" s="201">
        <v>2243</v>
      </c>
      <c r="C1395" s="201" t="s">
        <v>16</v>
      </c>
      <c r="D1395" s="201">
        <v>4893</v>
      </c>
      <c r="E1395" s="201">
        <v>55719745.780000001</v>
      </c>
      <c r="F1395" s="201">
        <v>4294463</v>
      </c>
      <c r="G1395" s="201">
        <f>'Mail Merge'!$E1395+'Mail Merge'!$F1395</f>
        <v>60014208.780000001</v>
      </c>
      <c r="H1395" s="201">
        <v>0</v>
      </c>
      <c r="I1395" s="201" t="s">
        <v>241</v>
      </c>
      <c r="J1395" s="204">
        <f>IFERROR('Mail Merge'!$E1395/'Mail Merge'!$D1395,0)</f>
        <v>11387.644753729819</v>
      </c>
      <c r="K1395" s="201">
        <f>IFERROR('Mail Merge'!$F1395/'Mail Merge'!$D1395,0)</f>
        <v>877.67484161046389</v>
      </c>
      <c r="L1395" s="205">
        <f>IFERROR('Mail Merge'!$G1395/'Mail Merge'!$D1395,0)</f>
        <v>12265.319595340283</v>
      </c>
      <c r="M1395" s="201">
        <v>0</v>
      </c>
      <c r="N1395" s="201" t="s">
        <v>241</v>
      </c>
      <c r="O1395" s="201">
        <v>6793363.7599999998</v>
      </c>
      <c r="P1395" s="201">
        <v>25712.01</v>
      </c>
      <c r="Q1395" s="201">
        <f>'Mail Merge'!$O1395+'Mail Merge'!$P1395</f>
        <v>6819075.7699999996</v>
      </c>
      <c r="R1395" s="201"/>
      <c r="S1395" s="201"/>
      <c r="T1395" s="201"/>
      <c r="U1395" s="201">
        <f>IF(AND('Mail Merge'!$I1395="Did Not Meet",'Mail Merge'!$N1395="Did Not Meet"),MIN(ABS('Mail Merge'!$H1395),ABS('Mail Merge'!$M1395),'Mail Merge'!$Q1395),0)</f>
        <v>0</v>
      </c>
      <c r="V1395" s="201" t="str">
        <f>IF(OR(IFERROR(SEARCH("Met",'Mail Merge'!$N1395),0)&gt;0,IFERROR(SEARCH("Met",'Mail Merge'!$I1395),0)&gt;0),"Met","Not Met")</f>
        <v>Met</v>
      </c>
    </row>
    <row r="1396" spans="1:22" x14ac:dyDescent="0.35">
      <c r="A1396" s="198" t="s">
        <v>35</v>
      </c>
      <c r="B1396" s="199">
        <v>1976</v>
      </c>
      <c r="C1396" s="199" t="s">
        <v>16</v>
      </c>
      <c r="D1396" s="199">
        <v>1852</v>
      </c>
      <c r="E1396" s="199">
        <v>20599131</v>
      </c>
      <c r="F1396" s="199">
        <v>2416847.6</v>
      </c>
      <c r="G1396" s="199">
        <f>'Mail Merge'!$E1396+'Mail Merge'!$F1396</f>
        <v>23015978.600000001</v>
      </c>
      <c r="H1396" s="199">
        <v>0</v>
      </c>
      <c r="I1396" s="199" t="s">
        <v>241</v>
      </c>
      <c r="J1396" s="202">
        <f>IFERROR('Mail Merge'!$E1396/'Mail Merge'!$D1396,0)</f>
        <v>11122.640928725701</v>
      </c>
      <c r="K1396" s="199">
        <f>IFERROR('Mail Merge'!$F1396/'Mail Merge'!$D1396,0)</f>
        <v>1304.9933045356372</v>
      </c>
      <c r="L1396" s="203">
        <f>IFERROR('Mail Merge'!$G1396/'Mail Merge'!$D1396,0)</f>
        <v>12427.63423326134</v>
      </c>
      <c r="M1396" s="199">
        <v>0</v>
      </c>
      <c r="N1396" s="199" t="s">
        <v>241</v>
      </c>
      <c r="O1396" s="199">
        <v>2715113.56</v>
      </c>
      <c r="P1396" s="199">
        <v>15202.7</v>
      </c>
      <c r="Q1396" s="199">
        <f>'Mail Merge'!$O1396+'Mail Merge'!$P1396</f>
        <v>2730316.2600000002</v>
      </c>
      <c r="R1396" s="199"/>
      <c r="S1396" s="199"/>
      <c r="T1396" s="199"/>
      <c r="U1396" s="199">
        <f>IF(AND('Mail Merge'!$I1396="Did Not Meet",'Mail Merge'!$N1396="Did Not Meet"),MIN(ABS('Mail Merge'!$H1396),ABS('Mail Merge'!$M1396),'Mail Merge'!$Q1396),0)</f>
        <v>0</v>
      </c>
      <c r="V1396" s="199" t="str">
        <f>IF(OR(IFERROR(SEARCH("Met",'Mail Merge'!$N1396),0)&gt;0,IFERROR(SEARCH("Met",'Mail Merge'!$I1396),0)&gt;0),"Met","Not Met")</f>
        <v>Met</v>
      </c>
    </row>
    <row r="1397" spans="1:22" x14ac:dyDescent="0.35">
      <c r="A1397" s="200" t="s">
        <v>36</v>
      </c>
      <c r="B1397" s="201">
        <v>2088</v>
      </c>
      <c r="C1397" s="201" t="s">
        <v>16</v>
      </c>
      <c r="D1397" s="201">
        <v>1005</v>
      </c>
      <c r="E1397" s="201">
        <v>9558077.9700000007</v>
      </c>
      <c r="F1397" s="201">
        <v>1124586</v>
      </c>
      <c r="G1397" s="201">
        <f>'Mail Merge'!$E1397+'Mail Merge'!$F1397</f>
        <v>10682663.970000001</v>
      </c>
      <c r="H1397" s="201">
        <v>0</v>
      </c>
      <c r="I1397" s="201" t="s">
        <v>241</v>
      </c>
      <c r="J1397" s="204">
        <f>IFERROR('Mail Merge'!$E1397/'Mail Merge'!$D1397,0)</f>
        <v>9510.5253432835834</v>
      </c>
      <c r="K1397" s="201">
        <f>IFERROR('Mail Merge'!$F1397/'Mail Merge'!$D1397,0)</f>
        <v>1118.9910447761195</v>
      </c>
      <c r="L1397" s="205">
        <f>IFERROR('Mail Merge'!$G1397/'Mail Merge'!$D1397,0)</f>
        <v>10629.516388059703</v>
      </c>
      <c r="M1397" s="201">
        <v>117693.96</v>
      </c>
      <c r="N1397" s="201" t="s">
        <v>240</v>
      </c>
      <c r="O1397" s="201">
        <v>979378.24</v>
      </c>
      <c r="P1397" s="201">
        <v>6052.4</v>
      </c>
      <c r="Q1397" s="201">
        <f>'Mail Merge'!$O1397+'Mail Merge'!$P1397</f>
        <v>985430.64</v>
      </c>
      <c r="R1397" s="201"/>
      <c r="S1397" s="201"/>
      <c r="T1397" s="201">
        <v>0</v>
      </c>
      <c r="U1397" s="201">
        <f>IF(AND('Mail Merge'!$I1397="Did Not Meet",'Mail Merge'!$N1397="Did Not Meet"),MIN(ABS('Mail Merge'!$H1397),ABS('Mail Merge'!$M1397),'Mail Merge'!$Q1397),0)</f>
        <v>0</v>
      </c>
      <c r="V1397" s="201" t="str">
        <f>IF(OR(IFERROR(SEARCH("Met",'Mail Merge'!$N1397),0)&gt;0,IFERROR(SEARCH("Met",'Mail Merge'!$I1397),0)&gt;0),"Met","Not Met")</f>
        <v>Met</v>
      </c>
    </row>
    <row r="1398" spans="1:22" x14ac:dyDescent="0.35">
      <c r="A1398" s="198" t="s">
        <v>37</v>
      </c>
      <c r="B1398" s="199">
        <v>2095</v>
      </c>
      <c r="C1398" s="199" t="s">
        <v>16</v>
      </c>
      <c r="D1398" s="199">
        <v>43</v>
      </c>
      <c r="E1398" s="199">
        <v>364316.29</v>
      </c>
      <c r="F1398" s="199">
        <v>51902</v>
      </c>
      <c r="G1398" s="199">
        <f>'Mail Merge'!$E1398+'Mail Merge'!$F1398</f>
        <v>416218.29</v>
      </c>
      <c r="H1398" s="199">
        <v>0</v>
      </c>
      <c r="I1398" s="199" t="s">
        <v>241</v>
      </c>
      <c r="J1398" s="202">
        <f>IFERROR('Mail Merge'!$E1398/'Mail Merge'!$D1398,0)</f>
        <v>8472.4718604651152</v>
      </c>
      <c r="K1398" s="199">
        <f>IFERROR('Mail Merge'!$F1398/'Mail Merge'!$D1398,0)</f>
        <v>1207.0232558139535</v>
      </c>
      <c r="L1398" s="203">
        <f>IFERROR('Mail Merge'!$G1398/'Mail Merge'!$D1398,0)</f>
        <v>9679.4951162790694</v>
      </c>
      <c r="M1398" s="199">
        <v>0</v>
      </c>
      <c r="N1398" s="199" t="s">
        <v>241</v>
      </c>
      <c r="O1398" s="199">
        <v>47747.77</v>
      </c>
      <c r="P1398" s="199">
        <v>242.6</v>
      </c>
      <c r="Q1398" s="199">
        <f>'Mail Merge'!$O1398+'Mail Merge'!$P1398</f>
        <v>47990.369999999995</v>
      </c>
      <c r="R1398" s="199"/>
      <c r="S1398" s="199"/>
      <c r="T1398" s="199"/>
      <c r="U1398" s="199">
        <f>IF(AND('Mail Merge'!$I1398="Did Not Meet",'Mail Merge'!$N1398="Did Not Meet"),MIN(ABS('Mail Merge'!$H1398),ABS('Mail Merge'!$M1398),'Mail Merge'!$Q1398),0)</f>
        <v>0</v>
      </c>
      <c r="V1398" s="199" t="str">
        <f>IF(OR(IFERROR(SEARCH("Met",'Mail Merge'!$N1398),0)&gt;0,IFERROR(SEARCH("Met",'Mail Merge'!$I1398),0)&gt;0),"Met","Not Met")</f>
        <v>Met</v>
      </c>
    </row>
    <row r="1399" spans="1:22" x14ac:dyDescent="0.35">
      <c r="A1399" s="200" t="s">
        <v>38</v>
      </c>
      <c r="B1399" s="201">
        <v>2052</v>
      </c>
      <c r="C1399" s="201" t="s">
        <v>16</v>
      </c>
      <c r="D1399" s="201">
        <v>2</v>
      </c>
      <c r="E1399" s="201">
        <v>0</v>
      </c>
      <c r="F1399" s="201">
        <v>17778.39</v>
      </c>
      <c r="G1399" s="201">
        <f>'Mail Merge'!$E1399+'Mail Merge'!$F1399</f>
        <v>17778.39</v>
      </c>
      <c r="H1399" s="201">
        <v>0</v>
      </c>
      <c r="I1399" s="201" t="s">
        <v>241</v>
      </c>
      <c r="J1399" s="204">
        <f>IFERROR('Mail Merge'!$E1399/'Mail Merge'!$D1399,0)</f>
        <v>0</v>
      </c>
      <c r="K1399" s="201">
        <f>IFERROR('Mail Merge'!$F1399/'Mail Merge'!$D1399,0)</f>
        <v>8889.1949999999997</v>
      </c>
      <c r="L1399" s="205">
        <f>IFERROR('Mail Merge'!$G1399/'Mail Merge'!$D1399,0)</f>
        <v>8889.1949999999997</v>
      </c>
      <c r="M1399" s="201">
        <v>0</v>
      </c>
      <c r="N1399" s="201" t="s">
        <v>241</v>
      </c>
      <c r="O1399" s="201">
        <v>4140.0200000000004</v>
      </c>
      <c r="P1399" s="201">
        <v>0</v>
      </c>
      <c r="Q1399" s="201">
        <f>'Mail Merge'!$O1399+'Mail Merge'!$P1399</f>
        <v>4140.0200000000004</v>
      </c>
      <c r="R1399" s="201"/>
      <c r="S1399" s="201"/>
      <c r="T1399" s="201"/>
      <c r="U1399" s="201">
        <f>IF(AND('Mail Merge'!$I1399="Did Not Meet",'Mail Merge'!$N1399="Did Not Meet"),MIN(ABS('Mail Merge'!$H1399),ABS('Mail Merge'!$M1399),'Mail Merge'!$Q1399),0)</f>
        <v>0</v>
      </c>
      <c r="V1399" s="201" t="str">
        <f>IF(OR(IFERROR(SEARCH("Met",'Mail Merge'!$N1399),0)&gt;0,IFERROR(SEARCH("Met",'Mail Merge'!$I1399),0)&gt;0),"Met","Not Met")</f>
        <v>Met</v>
      </c>
    </row>
    <row r="1400" spans="1:22" x14ac:dyDescent="0.35">
      <c r="A1400" s="198" t="s">
        <v>39</v>
      </c>
      <c r="B1400" s="199">
        <v>1974</v>
      </c>
      <c r="C1400" s="199" t="s">
        <v>16</v>
      </c>
      <c r="D1400" s="199">
        <v>219</v>
      </c>
      <c r="E1400" s="199">
        <v>2059888.28</v>
      </c>
      <c r="F1400" s="199">
        <v>39209</v>
      </c>
      <c r="G1400" s="199">
        <f>'Mail Merge'!$E1400+'Mail Merge'!$F1400</f>
        <v>2099097.2800000003</v>
      </c>
      <c r="H1400" s="199">
        <v>0</v>
      </c>
      <c r="I1400" s="199" t="s">
        <v>241</v>
      </c>
      <c r="J1400" s="202">
        <f>IFERROR('Mail Merge'!$E1400/'Mail Merge'!$D1400,0)</f>
        <v>9405.8825570776262</v>
      </c>
      <c r="K1400" s="199">
        <f>IFERROR('Mail Merge'!$F1400/'Mail Merge'!$D1400,0)</f>
        <v>179.03652968036531</v>
      </c>
      <c r="L1400" s="203">
        <f>IFERROR('Mail Merge'!$G1400/'Mail Merge'!$D1400,0)</f>
        <v>9584.9190867579928</v>
      </c>
      <c r="M1400" s="199">
        <v>0</v>
      </c>
      <c r="N1400" s="199" t="s">
        <v>241</v>
      </c>
      <c r="O1400" s="199">
        <v>282221.18</v>
      </c>
      <c r="P1400" s="199">
        <v>3939.76</v>
      </c>
      <c r="Q1400" s="199">
        <f>'Mail Merge'!$O1400+'Mail Merge'!$P1400</f>
        <v>286160.94</v>
      </c>
      <c r="R1400" s="199"/>
      <c r="S1400" s="199"/>
      <c r="T1400" s="199"/>
      <c r="U1400" s="199">
        <f>IF(AND('Mail Merge'!$I1400="Did Not Meet",'Mail Merge'!$N1400="Did Not Meet"),MIN(ABS('Mail Merge'!$H1400),ABS('Mail Merge'!$M1400),'Mail Merge'!$Q1400),0)</f>
        <v>0</v>
      </c>
      <c r="V1400" s="199" t="str">
        <f>IF(OR(IFERROR(SEARCH("Met",'Mail Merge'!$N1400),0)&gt;0,IFERROR(SEARCH("Met",'Mail Merge'!$I1400),0)&gt;0),"Met","Not Met")</f>
        <v>Met</v>
      </c>
    </row>
    <row r="1401" spans="1:22" x14ac:dyDescent="0.35">
      <c r="A1401" s="200" t="s">
        <v>40</v>
      </c>
      <c r="B1401" s="201">
        <v>1896</v>
      </c>
      <c r="C1401" s="201" t="s">
        <v>16</v>
      </c>
      <c r="D1401" s="201">
        <v>7</v>
      </c>
      <c r="E1401" s="201">
        <v>47368</v>
      </c>
      <c r="F1401" s="201">
        <v>11319.96</v>
      </c>
      <c r="G1401" s="201">
        <f>'Mail Merge'!$E1401+'Mail Merge'!$F1401</f>
        <v>58687.96</v>
      </c>
      <c r="H1401" s="201">
        <v>2725.71</v>
      </c>
      <c r="I1401" s="201" t="s">
        <v>240</v>
      </c>
      <c r="J1401" s="204">
        <f>IFERROR('Mail Merge'!$E1401/'Mail Merge'!$D1401,0)</f>
        <v>6766.8571428571431</v>
      </c>
      <c r="K1401" s="201">
        <f>IFERROR('Mail Merge'!$F1401/'Mail Merge'!$D1401,0)</f>
        <v>1617.1371428571426</v>
      </c>
      <c r="L1401" s="205">
        <f>IFERROR('Mail Merge'!$G1401/'Mail Merge'!$D1401,0)</f>
        <v>8383.9942857142851</v>
      </c>
      <c r="M1401" s="201">
        <v>369353.15</v>
      </c>
      <c r="N1401" s="201" t="s">
        <v>240</v>
      </c>
      <c r="O1401" s="201">
        <v>11349.66</v>
      </c>
      <c r="P1401" s="201">
        <v>0</v>
      </c>
      <c r="Q1401" s="201">
        <f>'Mail Merge'!$O1401+'Mail Merge'!$P1401</f>
        <v>11349.66</v>
      </c>
      <c r="R1401" s="201"/>
      <c r="S1401" s="201">
        <v>0</v>
      </c>
      <c r="T1401" s="201">
        <v>0</v>
      </c>
      <c r="U1401" s="201">
        <f>IF(AND('Mail Merge'!$I1401="Did Not Meet",'Mail Merge'!$N1401="Did Not Meet"),MIN(ABS('Mail Merge'!$H1401),ABS('Mail Merge'!$M1401),'Mail Merge'!$Q1401),0)</f>
        <v>2725.71</v>
      </c>
      <c r="V1401" s="201" t="str">
        <f>IF(OR(IFERROR(SEARCH("Met",'Mail Merge'!$N1401),0)&gt;0,IFERROR(SEARCH("Met",'Mail Merge'!$I1401),0)&gt;0),"Met","Not Met")</f>
        <v>Not Met</v>
      </c>
    </row>
    <row r="1402" spans="1:22" x14ac:dyDescent="0.35">
      <c r="A1402" s="198" t="s">
        <v>42</v>
      </c>
      <c r="B1402" s="199">
        <v>2046</v>
      </c>
      <c r="C1402" s="199" t="s">
        <v>16</v>
      </c>
      <c r="D1402" s="199">
        <v>52</v>
      </c>
      <c r="E1402" s="199">
        <v>274752.18</v>
      </c>
      <c r="F1402" s="199">
        <v>99666.57</v>
      </c>
      <c r="G1402" s="199">
        <f>'Mail Merge'!$E1402+'Mail Merge'!$F1402</f>
        <v>374418.75</v>
      </c>
      <c r="H1402" s="199">
        <v>0</v>
      </c>
      <c r="I1402" s="199" t="s">
        <v>241</v>
      </c>
      <c r="J1402" s="202">
        <f>IFERROR('Mail Merge'!$E1402/'Mail Merge'!$D1402,0)</f>
        <v>5283.6957692307687</v>
      </c>
      <c r="K1402" s="199">
        <f>IFERROR('Mail Merge'!$F1402/'Mail Merge'!$D1402,0)</f>
        <v>1916.6648076923079</v>
      </c>
      <c r="L1402" s="203">
        <f>IFERROR('Mail Merge'!$G1402/'Mail Merge'!$D1402,0)</f>
        <v>7200.3605769230771</v>
      </c>
      <c r="M1402" s="199">
        <v>133574.32</v>
      </c>
      <c r="N1402" s="199" t="s">
        <v>240</v>
      </c>
      <c r="O1402" s="199">
        <v>27420.560000000001</v>
      </c>
      <c r="P1402" s="199">
        <v>121.3</v>
      </c>
      <c r="Q1402" s="199">
        <f>'Mail Merge'!$O1402+'Mail Merge'!$P1402</f>
        <v>27541.86</v>
      </c>
      <c r="R1402" s="199"/>
      <c r="S1402" s="199"/>
      <c r="T1402" s="199">
        <v>0</v>
      </c>
      <c r="U1402" s="199">
        <f>IF(AND('Mail Merge'!$I1402="Did Not Meet",'Mail Merge'!$N1402="Did Not Meet"),MIN(ABS('Mail Merge'!$H1402),ABS('Mail Merge'!$M1402),'Mail Merge'!$Q1402),0)</f>
        <v>0</v>
      </c>
      <c r="V1402" s="199" t="str">
        <f>IF(OR(IFERROR(SEARCH("Met",'Mail Merge'!$N1402),0)&gt;0,IFERROR(SEARCH("Met",'Mail Merge'!$I1402),0)&gt;0),"Met","Not Met")</f>
        <v>Met</v>
      </c>
    </row>
    <row r="1403" spans="1:22" x14ac:dyDescent="0.35">
      <c r="A1403" s="200" t="s">
        <v>43</v>
      </c>
      <c r="B1403" s="201">
        <v>1995</v>
      </c>
      <c r="C1403" s="201" t="s">
        <v>16</v>
      </c>
      <c r="D1403" s="201">
        <v>34</v>
      </c>
      <c r="E1403" s="201">
        <v>186659.53</v>
      </c>
      <c r="F1403" s="201">
        <v>43087.05</v>
      </c>
      <c r="G1403" s="201">
        <f>'Mail Merge'!$E1403+'Mail Merge'!$F1403</f>
        <v>229746.58000000002</v>
      </c>
      <c r="H1403" s="201">
        <v>14963.41</v>
      </c>
      <c r="I1403" s="201" t="s">
        <v>240</v>
      </c>
      <c r="J1403" s="204">
        <f>IFERROR('Mail Merge'!$E1403/'Mail Merge'!$D1403,0)</f>
        <v>5489.9861764705884</v>
      </c>
      <c r="K1403" s="201">
        <f>IFERROR('Mail Merge'!$F1403/'Mail Merge'!$D1403,0)</f>
        <v>1267.2661764705883</v>
      </c>
      <c r="L1403" s="205">
        <f>IFERROR('Mail Merge'!$G1403/'Mail Merge'!$D1403,0)</f>
        <v>6757.2523529411774</v>
      </c>
      <c r="M1403" s="201">
        <v>38645.019999999997</v>
      </c>
      <c r="N1403" s="201" t="s">
        <v>240</v>
      </c>
      <c r="O1403" s="201">
        <v>41931.49</v>
      </c>
      <c r="P1403" s="201">
        <v>0</v>
      </c>
      <c r="Q1403" s="201">
        <f>'Mail Merge'!$O1403+'Mail Merge'!$P1403</f>
        <v>41931.49</v>
      </c>
      <c r="R1403" s="201"/>
      <c r="S1403" s="201">
        <v>0</v>
      </c>
      <c r="T1403" s="201">
        <v>0</v>
      </c>
      <c r="U1403" s="201">
        <f>IF(AND('Mail Merge'!$I1403="Did Not Meet",'Mail Merge'!$N1403="Did Not Meet"),MIN(ABS('Mail Merge'!$H1403),ABS('Mail Merge'!$M1403),'Mail Merge'!$Q1403),0)</f>
        <v>14963.41</v>
      </c>
      <c r="V1403" s="201" t="str">
        <f>IF(OR(IFERROR(SEARCH("Met",'Mail Merge'!$N1403),0)&gt;0,IFERROR(SEARCH("Met",'Mail Merge'!$I1403),0)&gt;0),"Met","Not Met")</f>
        <v>Not Met</v>
      </c>
    </row>
    <row r="1404" spans="1:22" x14ac:dyDescent="0.35">
      <c r="A1404" s="198" t="s">
        <v>44</v>
      </c>
      <c r="B1404" s="199">
        <v>1929</v>
      </c>
      <c r="C1404" s="199" t="s">
        <v>16</v>
      </c>
      <c r="D1404" s="199">
        <v>560</v>
      </c>
      <c r="E1404" s="199">
        <v>6290761.3099999996</v>
      </c>
      <c r="F1404" s="199">
        <v>603900</v>
      </c>
      <c r="G1404" s="199">
        <f>'Mail Merge'!$E1404+'Mail Merge'!$F1404</f>
        <v>6894661.3099999996</v>
      </c>
      <c r="H1404" s="199">
        <v>0</v>
      </c>
      <c r="I1404" s="199" t="s">
        <v>241</v>
      </c>
      <c r="J1404" s="202">
        <f>IFERROR('Mail Merge'!$E1404/'Mail Merge'!$D1404,0)</f>
        <v>11233.502339285713</v>
      </c>
      <c r="K1404" s="199">
        <f>IFERROR('Mail Merge'!$F1404/'Mail Merge'!$D1404,0)</f>
        <v>1078.3928571428571</v>
      </c>
      <c r="L1404" s="203">
        <f>IFERROR('Mail Merge'!$G1404/'Mail Merge'!$D1404,0)</f>
        <v>12311.895196428572</v>
      </c>
      <c r="M1404" s="199">
        <v>0</v>
      </c>
      <c r="N1404" s="199" t="s">
        <v>241</v>
      </c>
      <c r="O1404" s="199">
        <v>759047.86</v>
      </c>
      <c r="P1404" s="199">
        <v>3217.59</v>
      </c>
      <c r="Q1404" s="199">
        <f>'Mail Merge'!$O1404+'Mail Merge'!$P1404</f>
        <v>762265.45</v>
      </c>
      <c r="R1404" s="199"/>
      <c r="S1404" s="199"/>
      <c r="T1404" s="199"/>
      <c r="U1404" s="199">
        <f>IF(AND('Mail Merge'!$I1404="Did Not Meet",'Mail Merge'!$N1404="Did Not Meet"),MIN(ABS('Mail Merge'!$H1404),ABS('Mail Merge'!$M1404),'Mail Merge'!$Q1404),0)</f>
        <v>0</v>
      </c>
      <c r="V1404" s="199" t="str">
        <f>IF(OR(IFERROR(SEARCH("Met",'Mail Merge'!$N1404),0)&gt;0,IFERROR(SEARCH("Met",'Mail Merge'!$I1404),0)&gt;0),"Met","Not Met")</f>
        <v>Met</v>
      </c>
    </row>
    <row r="1405" spans="1:22" x14ac:dyDescent="0.35">
      <c r="A1405" s="200" t="s">
        <v>45</v>
      </c>
      <c r="B1405" s="201">
        <v>2139</v>
      </c>
      <c r="C1405" s="201" t="s">
        <v>16</v>
      </c>
      <c r="D1405" s="201">
        <v>311</v>
      </c>
      <c r="E1405" s="201">
        <v>3641456.67</v>
      </c>
      <c r="F1405" s="201">
        <v>237734.09</v>
      </c>
      <c r="G1405" s="201">
        <f>'Mail Merge'!$E1405+'Mail Merge'!$F1405</f>
        <v>3879190.76</v>
      </c>
      <c r="H1405" s="201">
        <v>0</v>
      </c>
      <c r="I1405" s="201" t="s">
        <v>241</v>
      </c>
      <c r="J1405" s="204">
        <f>IFERROR('Mail Merge'!$E1405/'Mail Merge'!$D1405,0)</f>
        <v>11708.86389067524</v>
      </c>
      <c r="K1405" s="201">
        <f>IFERROR('Mail Merge'!$F1405/'Mail Merge'!$D1405,0)</f>
        <v>764.41829581993568</v>
      </c>
      <c r="L1405" s="205">
        <f>IFERROR('Mail Merge'!$G1405/'Mail Merge'!$D1405,0)</f>
        <v>12473.282186495177</v>
      </c>
      <c r="M1405" s="201">
        <v>0</v>
      </c>
      <c r="N1405" s="201" t="s">
        <v>241</v>
      </c>
      <c r="O1405" s="201">
        <v>402208.15</v>
      </c>
      <c r="P1405" s="201">
        <v>4657.8500000000004</v>
      </c>
      <c r="Q1405" s="201">
        <f>'Mail Merge'!$O1405+'Mail Merge'!$P1405</f>
        <v>406866</v>
      </c>
      <c r="R1405" s="201"/>
      <c r="S1405" s="201"/>
      <c r="T1405" s="201"/>
      <c r="U1405" s="201">
        <f>IF(AND('Mail Merge'!$I1405="Did Not Meet",'Mail Merge'!$N1405="Did Not Meet"),MIN(ABS('Mail Merge'!$H1405),ABS('Mail Merge'!$M1405),'Mail Merge'!$Q1405),0)</f>
        <v>0</v>
      </c>
      <c r="V1405" s="201" t="str">
        <f>IF(OR(IFERROR(SEARCH("Met",'Mail Merge'!$N1405),0)&gt;0,IFERROR(SEARCH("Met",'Mail Merge'!$I1405),0)&gt;0),"Met","Not Met")</f>
        <v>Met</v>
      </c>
    </row>
    <row r="1406" spans="1:22" x14ac:dyDescent="0.35">
      <c r="A1406" s="198" t="s">
        <v>46</v>
      </c>
      <c r="B1406" s="199">
        <v>2185</v>
      </c>
      <c r="C1406" s="199" t="s">
        <v>16</v>
      </c>
      <c r="D1406" s="199">
        <v>917</v>
      </c>
      <c r="E1406" s="199">
        <v>10942351.560000001</v>
      </c>
      <c r="F1406" s="199">
        <v>1631212.46</v>
      </c>
      <c r="G1406" s="199">
        <f>'Mail Merge'!$E1406+'Mail Merge'!$F1406</f>
        <v>12573564.02</v>
      </c>
      <c r="H1406" s="199">
        <v>0</v>
      </c>
      <c r="I1406" s="199" t="s">
        <v>241</v>
      </c>
      <c r="J1406" s="202">
        <f>IFERROR('Mail Merge'!$E1406/'Mail Merge'!$D1406,0)</f>
        <v>11932.771603053436</v>
      </c>
      <c r="K1406" s="199">
        <f>IFERROR('Mail Merge'!$F1406/'Mail Merge'!$D1406,0)</f>
        <v>1778.8576444929117</v>
      </c>
      <c r="L1406" s="203">
        <f>IFERROR('Mail Merge'!$G1406/'Mail Merge'!$D1406,0)</f>
        <v>13711.629247546347</v>
      </c>
      <c r="M1406" s="199">
        <v>0</v>
      </c>
      <c r="N1406" s="199" t="s">
        <v>241</v>
      </c>
      <c r="O1406" s="199">
        <v>1031358.36</v>
      </c>
      <c r="P1406" s="199">
        <v>7340.63</v>
      </c>
      <c r="Q1406" s="199">
        <f>'Mail Merge'!$O1406+'Mail Merge'!$P1406</f>
        <v>1038698.99</v>
      </c>
      <c r="R1406" s="199"/>
      <c r="S1406" s="199"/>
      <c r="T1406" s="199"/>
      <c r="U1406" s="199">
        <f>IF(AND('Mail Merge'!$I1406="Did Not Meet",'Mail Merge'!$N1406="Did Not Meet"),MIN(ABS('Mail Merge'!$H1406),ABS('Mail Merge'!$M1406),'Mail Merge'!$Q1406),0)</f>
        <v>0</v>
      </c>
      <c r="V1406" s="199" t="str">
        <f>IF(OR(IFERROR(SEARCH("Met",'Mail Merge'!$N1406),0)&gt;0,IFERROR(SEARCH("Met",'Mail Merge'!$I1406),0)&gt;0),"Met","Not Met")</f>
        <v>Met</v>
      </c>
    </row>
    <row r="1407" spans="1:22" x14ac:dyDescent="0.35">
      <c r="A1407" s="200" t="s">
        <v>47</v>
      </c>
      <c r="B1407" s="201">
        <v>1972</v>
      </c>
      <c r="C1407" s="201" t="s">
        <v>16</v>
      </c>
      <c r="D1407" s="201">
        <v>57</v>
      </c>
      <c r="E1407" s="201">
        <v>399955.46</v>
      </c>
      <c r="F1407" s="201">
        <v>199887</v>
      </c>
      <c r="G1407" s="201">
        <f>'Mail Merge'!$E1407+'Mail Merge'!$F1407</f>
        <v>599842.46</v>
      </c>
      <c r="H1407" s="201">
        <v>0</v>
      </c>
      <c r="I1407" s="201" t="s">
        <v>242</v>
      </c>
      <c r="J1407" s="204">
        <f>IFERROR('Mail Merge'!$E1407/'Mail Merge'!$D1407,0)</f>
        <v>7016.7624561403509</v>
      </c>
      <c r="K1407" s="201">
        <f>IFERROR('Mail Merge'!$F1407/'Mail Merge'!$D1407,0)</f>
        <v>3506.7894736842104</v>
      </c>
      <c r="L1407" s="205">
        <f>IFERROR('Mail Merge'!$G1407/'Mail Merge'!$D1407,0)</f>
        <v>10523.55192982456</v>
      </c>
      <c r="M1407" s="201">
        <v>61887.05</v>
      </c>
      <c r="N1407" s="201" t="s">
        <v>240</v>
      </c>
      <c r="O1407" s="201">
        <v>100364.8</v>
      </c>
      <c r="P1407" s="201">
        <v>0</v>
      </c>
      <c r="Q1407" s="201">
        <f>'Mail Merge'!$O1407+'Mail Merge'!$P1407</f>
        <v>100364.8</v>
      </c>
      <c r="R1407" s="201"/>
      <c r="S1407" s="201">
        <v>30484</v>
      </c>
      <c r="T1407" s="201">
        <v>597.73</v>
      </c>
      <c r="U1407" s="201">
        <f>IF(AND('Mail Merge'!$I1407="Did Not Meet",'Mail Merge'!$N1407="Did Not Meet"),MIN(ABS('Mail Merge'!$H1407),ABS('Mail Merge'!$M1407),'Mail Merge'!$Q1407),0)</f>
        <v>0</v>
      </c>
      <c r="V1407" s="201" t="str">
        <f>IF(OR(IFERROR(SEARCH("Met",'Mail Merge'!$N1407),0)&gt;0,IFERROR(SEARCH("Met",'Mail Merge'!$I1407),0)&gt;0),"Met","Not Met")</f>
        <v>Met</v>
      </c>
    </row>
    <row r="1408" spans="1:22" x14ac:dyDescent="0.35">
      <c r="A1408" s="198" t="s">
        <v>48</v>
      </c>
      <c r="B1408" s="199">
        <v>2105</v>
      </c>
      <c r="C1408" s="199" t="s">
        <v>16</v>
      </c>
      <c r="D1408" s="199">
        <v>94</v>
      </c>
      <c r="E1408" s="199">
        <v>698581.39</v>
      </c>
      <c r="F1408" s="199">
        <v>81728</v>
      </c>
      <c r="G1408" s="199">
        <f>'Mail Merge'!$E1408+'Mail Merge'!$F1408</f>
        <v>780309.39</v>
      </c>
      <c r="H1408" s="199">
        <v>0</v>
      </c>
      <c r="I1408" s="199" t="s">
        <v>242</v>
      </c>
      <c r="J1408" s="202">
        <f>IFERROR('Mail Merge'!$E1408/'Mail Merge'!$D1408,0)</f>
        <v>7431.7169148936173</v>
      </c>
      <c r="K1408" s="199">
        <f>IFERROR('Mail Merge'!$F1408/'Mail Merge'!$D1408,0)</f>
        <v>869.44680851063833</v>
      </c>
      <c r="L1408" s="203">
        <f>IFERROR('Mail Merge'!$G1408/'Mail Merge'!$D1408,0)</f>
        <v>8301.1637234042555</v>
      </c>
      <c r="M1408" s="199">
        <v>0</v>
      </c>
      <c r="N1408" s="199" t="s">
        <v>242</v>
      </c>
      <c r="O1408" s="199">
        <v>107672.86</v>
      </c>
      <c r="P1408" s="199">
        <v>2772.53</v>
      </c>
      <c r="Q1408" s="199">
        <f>'Mail Merge'!$O1408+'Mail Merge'!$P1408</f>
        <v>110445.39</v>
      </c>
      <c r="R1408" s="199"/>
      <c r="S1408" s="199">
        <v>119907.92</v>
      </c>
      <c r="T1408" s="199">
        <v>1332.31</v>
      </c>
      <c r="U1408" s="199">
        <f>IF(AND('Mail Merge'!$I1408="Did Not Meet",'Mail Merge'!$N1408="Did Not Meet"),MIN(ABS('Mail Merge'!$H1408),ABS('Mail Merge'!$M1408),'Mail Merge'!$Q1408),0)</f>
        <v>0</v>
      </c>
      <c r="V1408" s="199" t="str">
        <f>IF(OR(IFERROR(SEARCH("Met",'Mail Merge'!$N1408),0)&gt;0,IFERROR(SEARCH("Met",'Mail Merge'!$I1408),0)&gt;0),"Met","Not Met")</f>
        <v>Met</v>
      </c>
    </row>
    <row r="1409" spans="1:22" x14ac:dyDescent="0.35">
      <c r="A1409" s="200" t="s">
        <v>49</v>
      </c>
      <c r="B1409" s="201">
        <v>2042</v>
      </c>
      <c r="C1409" s="201" t="s">
        <v>16</v>
      </c>
      <c r="D1409" s="201">
        <v>668</v>
      </c>
      <c r="E1409" s="201">
        <v>3730552.28</v>
      </c>
      <c r="F1409" s="201">
        <v>754257.56</v>
      </c>
      <c r="G1409" s="201">
        <f>'Mail Merge'!$E1409+'Mail Merge'!$F1409</f>
        <v>4484809.84</v>
      </c>
      <c r="H1409" s="201">
        <v>0</v>
      </c>
      <c r="I1409" s="201" t="s">
        <v>242</v>
      </c>
      <c r="J1409" s="204">
        <f>IFERROR('Mail Merge'!$E1409/'Mail Merge'!$D1409,0)</f>
        <v>5584.6591017964065</v>
      </c>
      <c r="K1409" s="201">
        <f>IFERROR('Mail Merge'!$F1409/'Mail Merge'!$D1409,0)</f>
        <v>1129.1280838323355</v>
      </c>
      <c r="L1409" s="205">
        <f>IFERROR('Mail Merge'!$G1409/'Mail Merge'!$D1409,0)</f>
        <v>6713.787185628742</v>
      </c>
      <c r="M1409" s="201">
        <v>300289.71999999997</v>
      </c>
      <c r="N1409" s="201" t="s">
        <v>240</v>
      </c>
      <c r="O1409" s="201">
        <v>660596.47999999998</v>
      </c>
      <c r="P1409" s="201">
        <v>10148.120000000001</v>
      </c>
      <c r="Q1409" s="201">
        <f>'Mail Merge'!$O1409+'Mail Merge'!$P1409</f>
        <v>670744.6</v>
      </c>
      <c r="R1409" s="201"/>
      <c r="S1409" s="201">
        <v>79249.570000000007</v>
      </c>
      <c r="T1409" s="201">
        <v>129.28</v>
      </c>
      <c r="U1409" s="201">
        <f>IF(AND('Mail Merge'!$I1409="Did Not Meet",'Mail Merge'!$N1409="Did Not Meet"),MIN(ABS('Mail Merge'!$H1409),ABS('Mail Merge'!$M1409),'Mail Merge'!$Q1409),0)</f>
        <v>0</v>
      </c>
      <c r="V1409" s="201" t="str">
        <f>IF(OR(IFERROR(SEARCH("Met",'Mail Merge'!$N1409),0)&gt;0,IFERROR(SEARCH("Met",'Mail Merge'!$I1409),0)&gt;0),"Met","Not Met")</f>
        <v>Met</v>
      </c>
    </row>
    <row r="1410" spans="1:22" x14ac:dyDescent="0.35">
      <c r="A1410" s="198" t="s">
        <v>50</v>
      </c>
      <c r="B1410" s="199">
        <v>2191</v>
      </c>
      <c r="C1410" s="199" t="s">
        <v>16</v>
      </c>
      <c r="D1410" s="199">
        <v>352</v>
      </c>
      <c r="E1410" s="199">
        <v>5725254.3300000001</v>
      </c>
      <c r="F1410" s="199">
        <v>743742.56</v>
      </c>
      <c r="G1410" s="199">
        <f>'Mail Merge'!$E1410+'Mail Merge'!$F1410</f>
        <v>6468996.8900000006</v>
      </c>
      <c r="H1410" s="199">
        <v>0</v>
      </c>
      <c r="I1410" s="199" t="s">
        <v>241</v>
      </c>
      <c r="J1410" s="202">
        <f>IFERROR('Mail Merge'!$E1410/'Mail Merge'!$D1410,0)</f>
        <v>16264.927073863637</v>
      </c>
      <c r="K1410" s="199">
        <f>IFERROR('Mail Merge'!$F1410/'Mail Merge'!$D1410,0)</f>
        <v>2112.9050000000002</v>
      </c>
      <c r="L1410" s="203">
        <f>IFERROR('Mail Merge'!$G1410/'Mail Merge'!$D1410,0)</f>
        <v>18377.832073863639</v>
      </c>
      <c r="M1410" s="199">
        <v>0</v>
      </c>
      <c r="N1410" s="199" t="s">
        <v>241</v>
      </c>
      <c r="O1410" s="199">
        <v>452784.28</v>
      </c>
      <c r="P1410" s="199">
        <v>5019.2299999999996</v>
      </c>
      <c r="Q1410" s="199">
        <f>'Mail Merge'!$O1410+'Mail Merge'!$P1410</f>
        <v>457803.51</v>
      </c>
      <c r="R1410" s="199"/>
      <c r="S1410" s="199"/>
      <c r="T1410" s="199"/>
      <c r="U1410" s="199">
        <f>IF(AND('Mail Merge'!$I1410="Did Not Meet",'Mail Merge'!$N1410="Did Not Meet"),MIN(ABS('Mail Merge'!$H1410),ABS('Mail Merge'!$M1410),'Mail Merge'!$Q1410),0)</f>
        <v>0</v>
      </c>
      <c r="V1410" s="199" t="str">
        <f>IF(OR(IFERROR(SEARCH("Met",'Mail Merge'!$N1410),0)&gt;0,IFERROR(SEARCH("Met",'Mail Merge'!$I1410),0)&gt;0),"Met","Not Met")</f>
        <v>Met</v>
      </c>
    </row>
    <row r="1411" spans="1:22" x14ac:dyDescent="0.35">
      <c r="A1411" s="200" t="s">
        <v>51</v>
      </c>
      <c r="B1411" s="201">
        <v>1945</v>
      </c>
      <c r="C1411" s="201" t="s">
        <v>16</v>
      </c>
      <c r="D1411" s="201">
        <v>121</v>
      </c>
      <c r="E1411" s="201">
        <v>1527272.55</v>
      </c>
      <c r="F1411" s="201">
        <v>220350</v>
      </c>
      <c r="G1411" s="201">
        <f>'Mail Merge'!$E1411+'Mail Merge'!$F1411</f>
        <v>1747622.55</v>
      </c>
      <c r="H1411" s="201">
        <v>0</v>
      </c>
      <c r="I1411" s="201" t="s">
        <v>241</v>
      </c>
      <c r="J1411" s="204">
        <f>IFERROR('Mail Merge'!$E1411/'Mail Merge'!$D1411,0)</f>
        <v>12622.087190082644</v>
      </c>
      <c r="K1411" s="201">
        <f>IFERROR('Mail Merge'!$F1411/'Mail Merge'!$D1411,0)</f>
        <v>1821.0743801652893</v>
      </c>
      <c r="L1411" s="205">
        <f>IFERROR('Mail Merge'!$G1411/'Mail Merge'!$D1411,0)</f>
        <v>14443.161570247934</v>
      </c>
      <c r="M1411" s="201">
        <v>0</v>
      </c>
      <c r="N1411" s="201" t="s">
        <v>241</v>
      </c>
      <c r="O1411" s="201">
        <v>129884.55</v>
      </c>
      <c r="P1411" s="201">
        <v>1826.61</v>
      </c>
      <c r="Q1411" s="201">
        <f>'Mail Merge'!$O1411+'Mail Merge'!$P1411</f>
        <v>131711.16</v>
      </c>
      <c r="R1411" s="201"/>
      <c r="S1411" s="201"/>
      <c r="T1411" s="201"/>
      <c r="U1411" s="201">
        <f>IF(AND('Mail Merge'!$I1411="Did Not Meet",'Mail Merge'!$N1411="Did Not Meet"),MIN(ABS('Mail Merge'!$H1411),ABS('Mail Merge'!$M1411),'Mail Merge'!$Q1411),0)</f>
        <v>0</v>
      </c>
      <c r="V1411" s="201" t="str">
        <f>IF(OR(IFERROR(SEARCH("Met",'Mail Merge'!$N1411),0)&gt;0,IFERROR(SEARCH("Met",'Mail Merge'!$I1411),0)&gt;0),"Met","Not Met")</f>
        <v>Met</v>
      </c>
    </row>
    <row r="1412" spans="1:22" x14ac:dyDescent="0.35">
      <c r="A1412" s="198" t="s">
        <v>52</v>
      </c>
      <c r="B1412" s="199">
        <v>1927</v>
      </c>
      <c r="C1412" s="199" t="s">
        <v>16</v>
      </c>
      <c r="D1412" s="199">
        <v>95</v>
      </c>
      <c r="E1412" s="199">
        <v>814122.84</v>
      </c>
      <c r="F1412" s="199">
        <v>53083</v>
      </c>
      <c r="G1412" s="199">
        <f>'Mail Merge'!$E1412+'Mail Merge'!$F1412</f>
        <v>867205.84</v>
      </c>
      <c r="H1412" s="199">
        <v>0</v>
      </c>
      <c r="I1412" s="199" t="s">
        <v>242</v>
      </c>
      <c r="J1412" s="202">
        <f>IFERROR('Mail Merge'!$E1412/'Mail Merge'!$D1412,0)</f>
        <v>8569.7141052631578</v>
      </c>
      <c r="K1412" s="199">
        <f>IFERROR('Mail Merge'!$F1412/'Mail Merge'!$D1412,0)</f>
        <v>558.76842105263154</v>
      </c>
      <c r="L1412" s="203">
        <f>IFERROR('Mail Merge'!$G1412/'Mail Merge'!$D1412,0)</f>
        <v>9128.4825263157891</v>
      </c>
      <c r="M1412" s="199">
        <v>24678.2</v>
      </c>
      <c r="N1412" s="199" t="s">
        <v>240</v>
      </c>
      <c r="O1412" s="199">
        <v>118237.14</v>
      </c>
      <c r="P1412" s="199">
        <v>1067.42</v>
      </c>
      <c r="Q1412" s="199">
        <f>'Mail Merge'!$O1412+'Mail Merge'!$P1412</f>
        <v>119304.56</v>
      </c>
      <c r="R1412" s="199"/>
      <c r="S1412" s="199">
        <v>132239.79999999999</v>
      </c>
      <c r="T1412" s="199">
        <v>4620.05</v>
      </c>
      <c r="U1412" s="199">
        <f>IF(AND('Mail Merge'!$I1412="Did Not Meet",'Mail Merge'!$N1412="Did Not Meet"),MIN(ABS('Mail Merge'!$H1412),ABS('Mail Merge'!$M1412),'Mail Merge'!$Q1412),0)</f>
        <v>0</v>
      </c>
      <c r="V1412" s="199" t="str">
        <f>IF(OR(IFERROR(SEARCH("Met",'Mail Merge'!$N1412),0)&gt;0,IFERROR(SEARCH("Met",'Mail Merge'!$I1412),0)&gt;0),"Met","Not Met")</f>
        <v>Met</v>
      </c>
    </row>
    <row r="1413" spans="1:22" x14ac:dyDescent="0.35">
      <c r="A1413" s="200" t="s">
        <v>53</v>
      </c>
      <c r="B1413" s="201">
        <v>2006</v>
      </c>
      <c r="C1413" s="201" t="s">
        <v>16</v>
      </c>
      <c r="D1413" s="201">
        <v>22</v>
      </c>
      <c r="E1413" s="201">
        <v>15279.12</v>
      </c>
      <c r="F1413" s="201">
        <v>138398</v>
      </c>
      <c r="G1413" s="201">
        <f>'Mail Merge'!$E1413+'Mail Merge'!$F1413</f>
        <v>153677.12</v>
      </c>
      <c r="H1413" s="201">
        <v>0</v>
      </c>
      <c r="I1413" s="201" t="s">
        <v>241</v>
      </c>
      <c r="J1413" s="204">
        <f>IFERROR('Mail Merge'!$E1413/'Mail Merge'!$D1413,0)</f>
        <v>694.50545454545454</v>
      </c>
      <c r="K1413" s="201">
        <f>IFERROR('Mail Merge'!$F1413/'Mail Merge'!$D1413,0)</f>
        <v>6290.818181818182</v>
      </c>
      <c r="L1413" s="205">
        <f>IFERROR('Mail Merge'!$G1413/'Mail Merge'!$D1413,0)</f>
        <v>6985.3236363636361</v>
      </c>
      <c r="M1413" s="201">
        <v>1754.6</v>
      </c>
      <c r="N1413" s="201" t="s">
        <v>240</v>
      </c>
      <c r="O1413" s="201">
        <v>23938.85</v>
      </c>
      <c r="P1413" s="201">
        <v>0</v>
      </c>
      <c r="Q1413" s="201">
        <f>'Mail Merge'!$O1413+'Mail Merge'!$P1413</f>
        <v>23938.85</v>
      </c>
      <c r="R1413" s="201"/>
      <c r="S1413" s="201"/>
      <c r="T1413" s="201">
        <v>0</v>
      </c>
      <c r="U1413" s="201">
        <f>IF(AND('Mail Merge'!$I1413="Did Not Meet",'Mail Merge'!$N1413="Did Not Meet"),MIN(ABS('Mail Merge'!$H1413),ABS('Mail Merge'!$M1413),'Mail Merge'!$Q1413),0)</f>
        <v>0</v>
      </c>
      <c r="V1413" s="201" t="str">
        <f>IF(OR(IFERROR(SEARCH("Met",'Mail Merge'!$N1413),0)&gt;0,IFERROR(SEARCH("Met",'Mail Merge'!$I1413),0)&gt;0),"Met","Not Met")</f>
        <v>Met</v>
      </c>
    </row>
    <row r="1414" spans="1:22" x14ac:dyDescent="0.35">
      <c r="A1414" s="198" t="s">
        <v>54</v>
      </c>
      <c r="B1414" s="199">
        <v>1965</v>
      </c>
      <c r="C1414" s="199" t="s">
        <v>16</v>
      </c>
      <c r="D1414" s="199">
        <v>499</v>
      </c>
      <c r="E1414" s="199">
        <v>4438175.6500000004</v>
      </c>
      <c r="F1414" s="199">
        <v>1303666</v>
      </c>
      <c r="G1414" s="199">
        <f>'Mail Merge'!$E1414+'Mail Merge'!$F1414</f>
        <v>5741841.6500000004</v>
      </c>
      <c r="H1414" s="199">
        <v>0</v>
      </c>
      <c r="I1414" s="199" t="s">
        <v>241</v>
      </c>
      <c r="J1414" s="202">
        <f>IFERROR('Mail Merge'!$E1414/'Mail Merge'!$D1414,0)</f>
        <v>8894.1395791583182</v>
      </c>
      <c r="K1414" s="199">
        <f>IFERROR('Mail Merge'!$F1414/'Mail Merge'!$D1414,0)</f>
        <v>2612.5571142284571</v>
      </c>
      <c r="L1414" s="203">
        <f>IFERROR('Mail Merge'!$G1414/'Mail Merge'!$D1414,0)</f>
        <v>11506.696693386773</v>
      </c>
      <c r="M1414" s="199">
        <v>22016.23</v>
      </c>
      <c r="N1414" s="199" t="s">
        <v>240</v>
      </c>
      <c r="O1414" s="199">
        <v>719903.14</v>
      </c>
      <c r="P1414" s="199">
        <v>5763.5</v>
      </c>
      <c r="Q1414" s="199">
        <f>'Mail Merge'!$O1414+'Mail Merge'!$P1414</f>
        <v>725666.64</v>
      </c>
      <c r="R1414" s="199"/>
      <c r="S1414" s="199"/>
      <c r="T1414" s="199">
        <v>286.72000000000003</v>
      </c>
      <c r="U1414" s="199">
        <f>IF(AND('Mail Merge'!$I1414="Did Not Meet",'Mail Merge'!$N1414="Did Not Meet"),MIN(ABS('Mail Merge'!$H1414),ABS('Mail Merge'!$M1414),'Mail Merge'!$Q1414),0)</f>
        <v>0</v>
      </c>
      <c r="V1414" s="199" t="str">
        <f>IF(OR(IFERROR(SEARCH("Met",'Mail Merge'!$N1414),0)&gt;0,IFERROR(SEARCH("Met",'Mail Merge'!$I1414),0)&gt;0),"Met","Not Met")</f>
        <v>Met</v>
      </c>
    </row>
    <row r="1415" spans="1:22" x14ac:dyDescent="0.35">
      <c r="A1415" s="200" t="s">
        <v>55</v>
      </c>
      <c r="B1415" s="201">
        <v>1964</v>
      </c>
      <c r="C1415" s="201" t="s">
        <v>16</v>
      </c>
      <c r="D1415" s="201">
        <v>135</v>
      </c>
      <c r="E1415" s="201">
        <v>927362.67</v>
      </c>
      <c r="F1415" s="201">
        <v>224688</v>
      </c>
      <c r="G1415" s="201">
        <f>'Mail Merge'!$E1415+'Mail Merge'!$F1415</f>
        <v>1152050.67</v>
      </c>
      <c r="H1415" s="201">
        <v>0</v>
      </c>
      <c r="I1415" s="201" t="s">
        <v>241</v>
      </c>
      <c r="J1415" s="204">
        <f>IFERROR('Mail Merge'!$E1415/'Mail Merge'!$D1415,0)</f>
        <v>6869.3531111111115</v>
      </c>
      <c r="K1415" s="201">
        <f>IFERROR('Mail Merge'!$F1415/'Mail Merge'!$D1415,0)</f>
        <v>1664.3555555555556</v>
      </c>
      <c r="L1415" s="205">
        <f>IFERROR('Mail Merge'!$G1415/'Mail Merge'!$D1415,0)</f>
        <v>8533.7086666666655</v>
      </c>
      <c r="M1415" s="201">
        <v>444348.2</v>
      </c>
      <c r="N1415" s="201" t="s">
        <v>240</v>
      </c>
      <c r="O1415" s="201">
        <v>184541.67</v>
      </c>
      <c r="P1415" s="201">
        <v>2495.2800000000002</v>
      </c>
      <c r="Q1415" s="201">
        <f>'Mail Merge'!$O1415+'Mail Merge'!$P1415</f>
        <v>187036.95</v>
      </c>
      <c r="R1415" s="201"/>
      <c r="S1415" s="201"/>
      <c r="T1415" s="201">
        <v>0</v>
      </c>
      <c r="U1415" s="201">
        <f>IF(AND('Mail Merge'!$I1415="Did Not Meet",'Mail Merge'!$N1415="Did Not Meet"),MIN(ABS('Mail Merge'!$H1415),ABS('Mail Merge'!$M1415),'Mail Merge'!$Q1415),0)</f>
        <v>0</v>
      </c>
      <c r="V1415" s="201" t="str">
        <f>IF(OR(IFERROR(SEARCH("Met",'Mail Merge'!$N1415),0)&gt;0,IFERROR(SEARCH("Met",'Mail Merge'!$I1415),0)&gt;0),"Met","Not Met")</f>
        <v>Met</v>
      </c>
    </row>
    <row r="1416" spans="1:22" x14ac:dyDescent="0.35">
      <c r="A1416" s="198" t="s">
        <v>56</v>
      </c>
      <c r="B1416" s="199">
        <v>2186</v>
      </c>
      <c r="C1416" s="199" t="s">
        <v>16</v>
      </c>
      <c r="D1416" s="199">
        <v>140</v>
      </c>
      <c r="E1416" s="199">
        <v>685420.5</v>
      </c>
      <c r="F1416" s="199">
        <v>321680.78000000003</v>
      </c>
      <c r="G1416" s="199">
        <f>'Mail Merge'!$E1416+'Mail Merge'!$F1416</f>
        <v>1007101.28</v>
      </c>
      <c r="H1416" s="199">
        <v>0</v>
      </c>
      <c r="I1416" s="199" t="s">
        <v>241</v>
      </c>
      <c r="J1416" s="202">
        <f>IFERROR('Mail Merge'!$E1416/'Mail Merge'!$D1416,0)</f>
        <v>4895.8607142857145</v>
      </c>
      <c r="K1416" s="199">
        <f>IFERROR('Mail Merge'!$F1416/'Mail Merge'!$D1416,0)</f>
        <v>2297.7198571428576</v>
      </c>
      <c r="L1416" s="203">
        <f>IFERROR('Mail Merge'!$G1416/'Mail Merge'!$D1416,0)</f>
        <v>7193.5805714285716</v>
      </c>
      <c r="M1416" s="199">
        <v>1045157.89</v>
      </c>
      <c r="N1416" s="199" t="s">
        <v>240</v>
      </c>
      <c r="O1416" s="199">
        <v>154396.24</v>
      </c>
      <c r="P1416" s="199">
        <v>1358.54</v>
      </c>
      <c r="Q1416" s="199">
        <f>'Mail Merge'!$O1416+'Mail Merge'!$P1416</f>
        <v>155754.78</v>
      </c>
      <c r="R1416" s="199"/>
      <c r="S1416" s="199"/>
      <c r="T1416" s="199">
        <v>158.46</v>
      </c>
      <c r="U1416" s="199">
        <f>IF(AND('Mail Merge'!$I1416="Did Not Meet",'Mail Merge'!$N1416="Did Not Meet"),MIN(ABS('Mail Merge'!$H1416),ABS('Mail Merge'!$M1416),'Mail Merge'!$Q1416),0)</f>
        <v>0</v>
      </c>
      <c r="V1416" s="199" t="str">
        <f>IF(OR(IFERROR(SEARCH("Met",'Mail Merge'!$N1416),0)&gt;0,IFERROR(SEARCH("Met",'Mail Merge'!$I1416),0)&gt;0),"Met","Not Met")</f>
        <v>Met</v>
      </c>
    </row>
    <row r="1417" spans="1:22" x14ac:dyDescent="0.35">
      <c r="A1417" s="200" t="s">
        <v>58</v>
      </c>
      <c r="B1417" s="201">
        <v>1901</v>
      </c>
      <c r="C1417" s="201" t="s">
        <v>16</v>
      </c>
      <c r="D1417" s="201">
        <v>693</v>
      </c>
      <c r="E1417" s="201">
        <v>8102426.1299999999</v>
      </c>
      <c r="F1417" s="201">
        <v>820177</v>
      </c>
      <c r="G1417" s="201">
        <f>'Mail Merge'!$E1417+'Mail Merge'!$F1417</f>
        <v>8922603.129999999</v>
      </c>
      <c r="H1417" s="201">
        <v>0</v>
      </c>
      <c r="I1417" s="201" t="s">
        <v>241</v>
      </c>
      <c r="J1417" s="204">
        <f>IFERROR('Mail Merge'!$E1417/'Mail Merge'!$D1417,0)</f>
        <v>11691.812597402597</v>
      </c>
      <c r="K1417" s="201">
        <f>IFERROR('Mail Merge'!$F1417/'Mail Merge'!$D1417,0)</f>
        <v>1183.5165945165945</v>
      </c>
      <c r="L1417" s="205">
        <f>IFERROR('Mail Merge'!$G1417/'Mail Merge'!$D1417,0)</f>
        <v>12875.329191919191</v>
      </c>
      <c r="M1417" s="201">
        <v>0</v>
      </c>
      <c r="N1417" s="201" t="s">
        <v>241</v>
      </c>
      <c r="O1417" s="201">
        <v>998708.89</v>
      </c>
      <c r="P1417" s="201">
        <v>10587.15</v>
      </c>
      <c r="Q1417" s="201">
        <f>'Mail Merge'!$O1417+'Mail Merge'!$P1417</f>
        <v>1009296.04</v>
      </c>
      <c r="R1417" s="201"/>
      <c r="S1417" s="201"/>
      <c r="T1417" s="201"/>
      <c r="U1417" s="201">
        <f>IF(AND('Mail Merge'!$I1417="Did Not Meet",'Mail Merge'!$N1417="Did Not Meet"),MIN(ABS('Mail Merge'!$H1417),ABS('Mail Merge'!$M1417),'Mail Merge'!$Q1417),0)</f>
        <v>0</v>
      </c>
      <c r="V1417" s="201" t="str">
        <f>IF(OR(IFERROR(SEARCH("Met",'Mail Merge'!$N1417),0)&gt;0,IFERROR(SEARCH("Met",'Mail Merge'!$I1417),0)&gt;0),"Met","Not Met")</f>
        <v>Met</v>
      </c>
    </row>
    <row r="1418" spans="1:22" x14ac:dyDescent="0.35">
      <c r="A1418" s="198" t="s">
        <v>59</v>
      </c>
      <c r="B1418" s="199">
        <v>2216</v>
      </c>
      <c r="C1418" s="199" t="s">
        <v>16</v>
      </c>
      <c r="D1418" s="199">
        <v>36</v>
      </c>
      <c r="E1418" s="199">
        <v>127784.25</v>
      </c>
      <c r="F1418" s="199">
        <v>58305.55</v>
      </c>
      <c r="G1418" s="199">
        <f>'Mail Merge'!$E1418+'Mail Merge'!$F1418</f>
        <v>186089.8</v>
      </c>
      <c r="H1418" s="199">
        <v>0</v>
      </c>
      <c r="I1418" s="199" t="s">
        <v>242</v>
      </c>
      <c r="J1418" s="202">
        <f>IFERROR('Mail Merge'!$E1418/'Mail Merge'!$D1418,0)</f>
        <v>3549.5625</v>
      </c>
      <c r="K1418" s="199">
        <f>IFERROR('Mail Merge'!$F1418/'Mail Merge'!$D1418,0)</f>
        <v>1619.5986111111113</v>
      </c>
      <c r="L1418" s="203">
        <f>IFERROR('Mail Merge'!$G1418/'Mail Merge'!$D1418,0)</f>
        <v>5169.1611111111106</v>
      </c>
      <c r="M1418" s="199">
        <v>73004.81</v>
      </c>
      <c r="N1418" s="199" t="s">
        <v>240</v>
      </c>
      <c r="O1418" s="199">
        <v>46903.48</v>
      </c>
      <c r="P1418" s="199">
        <v>1455.58</v>
      </c>
      <c r="Q1418" s="199">
        <f>'Mail Merge'!$O1418+'Mail Merge'!$P1418</f>
        <v>48359.060000000005</v>
      </c>
      <c r="R1418" s="199"/>
      <c r="S1418" s="199">
        <v>21631.62</v>
      </c>
      <c r="T1418" s="199">
        <v>0</v>
      </c>
      <c r="U1418" s="199">
        <f>IF(AND('Mail Merge'!$I1418="Did Not Meet",'Mail Merge'!$N1418="Did Not Meet"),MIN(ABS('Mail Merge'!$H1418),ABS('Mail Merge'!$M1418),'Mail Merge'!$Q1418),0)</f>
        <v>0</v>
      </c>
      <c r="V1418" s="199" t="str">
        <f>IF(OR(IFERROR(SEARCH("Met",'Mail Merge'!$N1418),0)&gt;0,IFERROR(SEARCH("Met",'Mail Merge'!$I1418),0)&gt;0),"Met","Not Met")</f>
        <v>Met</v>
      </c>
    </row>
    <row r="1419" spans="1:22" x14ac:dyDescent="0.35">
      <c r="A1419" s="200" t="s">
        <v>60</v>
      </c>
      <c r="B1419" s="201">
        <v>2086</v>
      </c>
      <c r="C1419" s="201" t="s">
        <v>16</v>
      </c>
      <c r="D1419" s="201">
        <v>221</v>
      </c>
      <c r="E1419" s="201">
        <v>2678619.4700000002</v>
      </c>
      <c r="F1419" s="201">
        <v>517460</v>
      </c>
      <c r="G1419" s="201">
        <f>'Mail Merge'!$E1419+'Mail Merge'!$F1419</f>
        <v>3196079.47</v>
      </c>
      <c r="H1419" s="201">
        <v>0</v>
      </c>
      <c r="I1419" s="201" t="s">
        <v>241</v>
      </c>
      <c r="J1419" s="204">
        <f>IFERROR('Mail Merge'!$E1419/'Mail Merge'!$D1419,0)</f>
        <v>12120.450090497738</v>
      </c>
      <c r="K1419" s="201">
        <f>IFERROR('Mail Merge'!$F1419/'Mail Merge'!$D1419,0)</f>
        <v>2341.4479638009052</v>
      </c>
      <c r="L1419" s="205">
        <f>IFERROR('Mail Merge'!$G1419/'Mail Merge'!$D1419,0)</f>
        <v>14461.898054298643</v>
      </c>
      <c r="M1419" s="201">
        <v>0</v>
      </c>
      <c r="N1419" s="201" t="s">
        <v>241</v>
      </c>
      <c r="O1419" s="201">
        <v>247959.62</v>
      </c>
      <c r="P1419" s="201">
        <v>1767.49</v>
      </c>
      <c r="Q1419" s="201">
        <f>'Mail Merge'!$O1419+'Mail Merge'!$P1419</f>
        <v>249727.11</v>
      </c>
      <c r="R1419" s="201"/>
      <c r="S1419" s="201"/>
      <c r="T1419" s="201"/>
      <c r="U1419" s="201">
        <f>IF(AND('Mail Merge'!$I1419="Did Not Meet",'Mail Merge'!$N1419="Did Not Meet"),MIN(ABS('Mail Merge'!$H1419),ABS('Mail Merge'!$M1419),'Mail Merge'!$Q1419),0)</f>
        <v>0</v>
      </c>
      <c r="V1419" s="201" t="str">
        <f>IF(OR(IFERROR(SEARCH("Met",'Mail Merge'!$N1419),0)&gt;0,IFERROR(SEARCH("Met",'Mail Merge'!$I1419),0)&gt;0),"Met","Not Met")</f>
        <v>Met</v>
      </c>
    </row>
    <row r="1420" spans="1:22" x14ac:dyDescent="0.35">
      <c r="A1420" s="198" t="s">
        <v>61</v>
      </c>
      <c r="B1420" s="199">
        <v>1970</v>
      </c>
      <c r="C1420" s="199" t="s">
        <v>16</v>
      </c>
      <c r="D1420" s="199">
        <v>385</v>
      </c>
      <c r="E1420" s="199">
        <v>3957470.8</v>
      </c>
      <c r="F1420" s="199">
        <v>237048.88</v>
      </c>
      <c r="G1420" s="199">
        <f>'Mail Merge'!$E1420+'Mail Merge'!$F1420</f>
        <v>4194519.68</v>
      </c>
      <c r="H1420" s="199">
        <v>0</v>
      </c>
      <c r="I1420" s="199" t="s">
        <v>242</v>
      </c>
      <c r="J1420" s="202">
        <f>IFERROR('Mail Merge'!$E1420/'Mail Merge'!$D1420,0)</f>
        <v>10279.144935064935</v>
      </c>
      <c r="K1420" s="199">
        <f>IFERROR('Mail Merge'!$F1420/'Mail Merge'!$D1420,0)</f>
        <v>615.71137662337662</v>
      </c>
      <c r="L1420" s="203">
        <f>IFERROR('Mail Merge'!$G1420/'Mail Merge'!$D1420,0)</f>
        <v>10894.856311688311</v>
      </c>
      <c r="M1420" s="199">
        <v>0</v>
      </c>
      <c r="N1420" s="199" t="s">
        <v>241</v>
      </c>
      <c r="O1420" s="199">
        <v>547018.88</v>
      </c>
      <c r="P1420" s="199">
        <v>9952.09</v>
      </c>
      <c r="Q1420" s="199">
        <f>'Mail Merge'!$O1420+'Mail Merge'!$P1420</f>
        <v>556970.97</v>
      </c>
      <c r="R1420" s="199"/>
      <c r="S1420" s="199">
        <v>243802.87</v>
      </c>
      <c r="T1420" s="199"/>
      <c r="U1420" s="199">
        <f>IF(AND('Mail Merge'!$I1420="Did Not Meet",'Mail Merge'!$N1420="Did Not Meet"),MIN(ABS('Mail Merge'!$H1420),ABS('Mail Merge'!$M1420),'Mail Merge'!$Q1420),0)</f>
        <v>0</v>
      </c>
      <c r="V1420" s="199" t="str">
        <f>IF(OR(IFERROR(SEARCH("Met",'Mail Merge'!$N1420),0)&gt;0,IFERROR(SEARCH("Met",'Mail Merge'!$I1420),0)&gt;0),"Met","Not Met")</f>
        <v>Met</v>
      </c>
    </row>
    <row r="1421" spans="1:22" x14ac:dyDescent="0.35">
      <c r="A1421" s="200" t="s">
        <v>62</v>
      </c>
      <c r="B1421" s="201">
        <v>2089</v>
      </c>
      <c r="C1421" s="201" t="s">
        <v>16</v>
      </c>
      <c r="D1421" s="201">
        <v>42</v>
      </c>
      <c r="E1421" s="201">
        <v>460141.31</v>
      </c>
      <c r="F1421" s="201">
        <v>135797</v>
      </c>
      <c r="G1421" s="201">
        <f>'Mail Merge'!$E1421+'Mail Merge'!$F1421</f>
        <v>595938.31000000006</v>
      </c>
      <c r="H1421" s="201">
        <v>0</v>
      </c>
      <c r="I1421" s="201" t="s">
        <v>242</v>
      </c>
      <c r="J1421" s="204">
        <f>IFERROR('Mail Merge'!$E1421/'Mail Merge'!$D1421,0)</f>
        <v>10955.745476190476</v>
      </c>
      <c r="K1421" s="201">
        <f>IFERROR('Mail Merge'!$F1421/'Mail Merge'!$D1421,0)</f>
        <v>3233.2619047619046</v>
      </c>
      <c r="L1421" s="205">
        <f>IFERROR('Mail Merge'!$G1421/'Mail Merge'!$D1421,0)</f>
        <v>14189.007380952382</v>
      </c>
      <c r="M1421" s="201">
        <v>0</v>
      </c>
      <c r="N1421" s="201" t="s">
        <v>241</v>
      </c>
      <c r="O1421" s="201">
        <v>68201.320000000007</v>
      </c>
      <c r="P1421" s="201">
        <v>363.89</v>
      </c>
      <c r="Q1421" s="201">
        <f>'Mail Merge'!$O1421+'Mail Merge'!$P1421</f>
        <v>68565.210000000006</v>
      </c>
      <c r="R1421" s="201"/>
      <c r="S1421" s="201">
        <v>161165.92000000001</v>
      </c>
      <c r="T1421" s="201"/>
      <c r="U1421" s="201">
        <f>IF(AND('Mail Merge'!$I1421="Did Not Meet",'Mail Merge'!$N1421="Did Not Meet"),MIN(ABS('Mail Merge'!$H1421),ABS('Mail Merge'!$M1421),'Mail Merge'!$Q1421),0)</f>
        <v>0</v>
      </c>
      <c r="V1421" s="201" t="str">
        <f>IF(OR(IFERROR(SEARCH("Met",'Mail Merge'!$N1421),0)&gt;0,IFERROR(SEARCH("Met",'Mail Merge'!$I1421),0)&gt;0),"Met","Not Met")</f>
        <v>Met</v>
      </c>
    </row>
    <row r="1422" spans="1:22" x14ac:dyDescent="0.35">
      <c r="A1422" s="198" t="s">
        <v>63</v>
      </c>
      <c r="B1422" s="199">
        <v>2050</v>
      </c>
      <c r="C1422" s="199" t="s">
        <v>16</v>
      </c>
      <c r="D1422" s="199">
        <v>92</v>
      </c>
      <c r="E1422" s="199">
        <v>752023.14</v>
      </c>
      <c r="F1422" s="199">
        <v>247783.55</v>
      </c>
      <c r="G1422" s="199">
        <f>'Mail Merge'!$E1422+'Mail Merge'!$F1422</f>
        <v>999806.69</v>
      </c>
      <c r="H1422" s="199">
        <v>0</v>
      </c>
      <c r="I1422" s="199" t="s">
        <v>241</v>
      </c>
      <c r="J1422" s="202">
        <f>IFERROR('Mail Merge'!$E1422/'Mail Merge'!$D1422,0)</f>
        <v>8174.1645652173911</v>
      </c>
      <c r="K1422" s="199">
        <f>IFERROR('Mail Merge'!$F1422/'Mail Merge'!$D1422,0)</f>
        <v>2693.2994565217391</v>
      </c>
      <c r="L1422" s="203">
        <f>IFERROR('Mail Merge'!$G1422/'Mail Merge'!$D1422,0)</f>
        <v>10867.46402173913</v>
      </c>
      <c r="M1422" s="199">
        <v>0</v>
      </c>
      <c r="N1422" s="199" t="s">
        <v>241</v>
      </c>
      <c r="O1422" s="199">
        <v>108978.55</v>
      </c>
      <c r="P1422" s="199">
        <v>1411.47</v>
      </c>
      <c r="Q1422" s="199">
        <f>'Mail Merge'!$O1422+'Mail Merge'!$P1422</f>
        <v>110390.02</v>
      </c>
      <c r="R1422" s="199"/>
      <c r="S1422" s="199"/>
      <c r="T1422" s="199"/>
      <c r="U1422" s="199">
        <f>IF(AND('Mail Merge'!$I1422="Did Not Meet",'Mail Merge'!$N1422="Did Not Meet"),MIN(ABS('Mail Merge'!$H1422),ABS('Mail Merge'!$M1422),'Mail Merge'!$Q1422),0)</f>
        <v>0</v>
      </c>
      <c r="V1422" s="199" t="str">
        <f>IF(OR(IFERROR(SEARCH("Met",'Mail Merge'!$N1422),0)&gt;0,IFERROR(SEARCH("Met",'Mail Merge'!$I1422),0)&gt;0),"Met","Not Met")</f>
        <v>Met</v>
      </c>
    </row>
    <row r="1423" spans="1:22" x14ac:dyDescent="0.35">
      <c r="A1423" s="200" t="s">
        <v>64</v>
      </c>
      <c r="B1423" s="201">
        <v>2190</v>
      </c>
      <c r="C1423" s="201" t="s">
        <v>16</v>
      </c>
      <c r="D1423" s="201">
        <v>479</v>
      </c>
      <c r="E1423" s="201">
        <v>4858618.3</v>
      </c>
      <c r="F1423" s="201">
        <v>337066.06</v>
      </c>
      <c r="G1423" s="201">
        <f>'Mail Merge'!$E1423+'Mail Merge'!$F1423</f>
        <v>5195684.3599999994</v>
      </c>
      <c r="H1423" s="201">
        <v>0</v>
      </c>
      <c r="I1423" s="201" t="s">
        <v>241</v>
      </c>
      <c r="J1423" s="204">
        <f>IFERROR('Mail Merge'!$E1423/'Mail Merge'!$D1423,0)</f>
        <v>10143.253235908142</v>
      </c>
      <c r="K1423" s="201">
        <f>IFERROR('Mail Merge'!$F1423/'Mail Merge'!$D1423,0)</f>
        <v>703.68697286012525</v>
      </c>
      <c r="L1423" s="205">
        <f>IFERROR('Mail Merge'!$G1423/'Mail Merge'!$D1423,0)</f>
        <v>10846.940208768267</v>
      </c>
      <c r="M1423" s="201">
        <v>0</v>
      </c>
      <c r="N1423" s="201" t="s">
        <v>241</v>
      </c>
      <c r="O1423" s="201">
        <v>505832.37</v>
      </c>
      <c r="P1423" s="201">
        <v>5822.31</v>
      </c>
      <c r="Q1423" s="201">
        <f>'Mail Merge'!$O1423+'Mail Merge'!$P1423</f>
        <v>511654.68</v>
      </c>
      <c r="R1423" s="201"/>
      <c r="S1423" s="201"/>
      <c r="T1423" s="201"/>
      <c r="U1423" s="201">
        <f>IF(AND('Mail Merge'!$I1423="Did Not Meet",'Mail Merge'!$N1423="Did Not Meet"),MIN(ABS('Mail Merge'!$H1423),ABS('Mail Merge'!$M1423),'Mail Merge'!$Q1423),0)</f>
        <v>0</v>
      </c>
      <c r="V1423" s="201" t="str">
        <f>IF(OR(IFERROR(SEARCH("Met",'Mail Merge'!$N1423),0)&gt;0,IFERROR(SEARCH("Met",'Mail Merge'!$I1423),0)&gt;0),"Met","Not Met")</f>
        <v>Met</v>
      </c>
    </row>
    <row r="1424" spans="1:22" x14ac:dyDescent="0.35">
      <c r="A1424" s="198" t="s">
        <v>65</v>
      </c>
      <c r="B1424" s="199">
        <v>2187</v>
      </c>
      <c r="C1424" s="199" t="s">
        <v>16</v>
      </c>
      <c r="D1424" s="199">
        <v>1185</v>
      </c>
      <c r="E1424" s="199">
        <v>14100567.85</v>
      </c>
      <c r="F1424" s="199">
        <v>1522876.79</v>
      </c>
      <c r="G1424" s="199">
        <f>'Mail Merge'!$E1424+'Mail Merge'!$F1424</f>
        <v>15623444.640000001</v>
      </c>
      <c r="H1424" s="199">
        <v>0</v>
      </c>
      <c r="I1424" s="199" t="s">
        <v>241</v>
      </c>
      <c r="J1424" s="202">
        <f>IFERROR('Mail Merge'!$E1424/'Mail Merge'!$D1424,0)</f>
        <v>11899.213375527426</v>
      </c>
      <c r="K1424" s="199">
        <f>IFERROR('Mail Merge'!$F1424/'Mail Merge'!$D1424,0)</f>
        <v>1285.1280928270041</v>
      </c>
      <c r="L1424" s="203">
        <f>IFERROR('Mail Merge'!$G1424/'Mail Merge'!$D1424,0)</f>
        <v>13184.341468354431</v>
      </c>
      <c r="M1424" s="199">
        <v>0</v>
      </c>
      <c r="N1424" s="199" t="s">
        <v>241</v>
      </c>
      <c r="O1424" s="199">
        <v>1546237.53</v>
      </c>
      <c r="P1424" s="199">
        <v>11715.84</v>
      </c>
      <c r="Q1424" s="199">
        <f>'Mail Merge'!$O1424+'Mail Merge'!$P1424</f>
        <v>1557953.37</v>
      </c>
      <c r="R1424" s="199"/>
      <c r="S1424" s="199"/>
      <c r="T1424" s="199"/>
      <c r="U1424" s="199">
        <f>IF(AND('Mail Merge'!$I1424="Did Not Meet",'Mail Merge'!$N1424="Did Not Meet"),MIN(ABS('Mail Merge'!$H1424),ABS('Mail Merge'!$M1424),'Mail Merge'!$Q1424),0)</f>
        <v>0</v>
      </c>
      <c r="V1424" s="199" t="str">
        <f>IF(OR(IFERROR(SEARCH("Met",'Mail Merge'!$N1424),0)&gt;0,IFERROR(SEARCH("Met",'Mail Merge'!$I1424),0)&gt;0),"Met","Not Met")</f>
        <v>Met</v>
      </c>
    </row>
    <row r="1425" spans="1:22" x14ac:dyDescent="0.35">
      <c r="A1425" s="200" t="s">
        <v>66</v>
      </c>
      <c r="B1425" s="201">
        <v>2253</v>
      </c>
      <c r="C1425" s="201" t="s">
        <v>16</v>
      </c>
      <c r="D1425" s="201">
        <v>128</v>
      </c>
      <c r="E1425" s="201">
        <v>1096091.24</v>
      </c>
      <c r="F1425" s="201">
        <v>72244.210000000006</v>
      </c>
      <c r="G1425" s="201">
        <f>'Mail Merge'!$E1425+'Mail Merge'!$F1425</f>
        <v>1168335.45</v>
      </c>
      <c r="H1425" s="201">
        <v>0</v>
      </c>
      <c r="I1425" s="201" t="s">
        <v>241</v>
      </c>
      <c r="J1425" s="204">
        <f>IFERROR('Mail Merge'!$E1425/'Mail Merge'!$D1425,0)</f>
        <v>8563.2128124999999</v>
      </c>
      <c r="K1425" s="201">
        <f>IFERROR('Mail Merge'!$F1425/'Mail Merge'!$D1425,0)</f>
        <v>564.40789062500005</v>
      </c>
      <c r="L1425" s="205">
        <f>IFERROR('Mail Merge'!$G1425/'Mail Merge'!$D1425,0)</f>
        <v>9127.6207031249996</v>
      </c>
      <c r="M1425" s="201">
        <v>0</v>
      </c>
      <c r="N1425" s="201" t="s">
        <v>241</v>
      </c>
      <c r="O1425" s="201">
        <v>144117.43</v>
      </c>
      <c r="P1425" s="201">
        <v>919.31</v>
      </c>
      <c r="Q1425" s="201">
        <f>'Mail Merge'!$O1425+'Mail Merge'!$P1425</f>
        <v>145036.74</v>
      </c>
      <c r="R1425" s="201"/>
      <c r="S1425" s="201"/>
      <c r="T1425" s="201"/>
      <c r="U1425" s="201">
        <f>IF(AND('Mail Merge'!$I1425="Did Not Meet",'Mail Merge'!$N1425="Did Not Meet"),MIN(ABS('Mail Merge'!$H1425),ABS('Mail Merge'!$M1425),'Mail Merge'!$Q1425),0)</f>
        <v>0</v>
      </c>
      <c r="V1425" s="201" t="str">
        <f>IF(OR(IFERROR(SEARCH("Met",'Mail Merge'!$N1425),0)&gt;0,IFERROR(SEARCH("Met",'Mail Merge'!$I1425),0)&gt;0),"Met","Not Met")</f>
        <v>Met</v>
      </c>
    </row>
    <row r="1426" spans="1:22" x14ac:dyDescent="0.35">
      <c r="A1426" s="198" t="s">
        <v>67</v>
      </c>
      <c r="B1426" s="199">
        <v>2011</v>
      </c>
      <c r="C1426" s="199" t="s">
        <v>16</v>
      </c>
      <c r="D1426" s="199">
        <v>2</v>
      </c>
      <c r="E1426" s="199">
        <v>3363.98</v>
      </c>
      <c r="F1426" s="199">
        <v>71013.539999999994</v>
      </c>
      <c r="G1426" s="199">
        <f>'Mail Merge'!$E1426+'Mail Merge'!$F1426</f>
        <v>74377.51999999999</v>
      </c>
      <c r="H1426" s="199">
        <v>0</v>
      </c>
      <c r="I1426" s="199" t="s">
        <v>242</v>
      </c>
      <c r="J1426" s="202">
        <f>IFERROR('Mail Merge'!$E1426/'Mail Merge'!$D1426,0)</f>
        <v>1681.99</v>
      </c>
      <c r="K1426" s="199">
        <f>IFERROR('Mail Merge'!$F1426/'Mail Merge'!$D1426,0)</f>
        <v>35506.769999999997</v>
      </c>
      <c r="L1426" s="203">
        <f>IFERROR('Mail Merge'!$G1426/'Mail Merge'!$D1426,0)</f>
        <v>37188.759999999995</v>
      </c>
      <c r="M1426" s="199">
        <v>0</v>
      </c>
      <c r="N1426" s="199" t="s">
        <v>241</v>
      </c>
      <c r="O1426" s="199">
        <v>10035.299999999999</v>
      </c>
      <c r="P1426" s="199">
        <v>1940.77</v>
      </c>
      <c r="Q1426" s="199">
        <f>'Mail Merge'!$O1426+'Mail Merge'!$P1426</f>
        <v>11976.07</v>
      </c>
      <c r="R1426" s="199"/>
      <c r="S1426" s="199">
        <v>28024.36</v>
      </c>
      <c r="T1426" s="199"/>
      <c r="U1426" s="199">
        <f>IF(AND('Mail Merge'!$I1426="Did Not Meet",'Mail Merge'!$N1426="Did Not Meet"),MIN(ABS('Mail Merge'!$H1426),ABS('Mail Merge'!$M1426),'Mail Merge'!$Q1426),0)</f>
        <v>0</v>
      </c>
      <c r="V1426" s="199" t="str">
        <f>IF(OR(IFERROR(SEARCH("Met",'Mail Merge'!$N1426),0)&gt;0,IFERROR(SEARCH("Met",'Mail Merge'!$I1426),0)&gt;0),"Met","Not Met")</f>
        <v>Met</v>
      </c>
    </row>
    <row r="1427" spans="1:22" x14ac:dyDescent="0.35">
      <c r="A1427" s="200" t="s">
        <v>68</v>
      </c>
      <c r="B1427" s="201">
        <v>2017</v>
      </c>
      <c r="C1427" s="201" t="s">
        <v>16</v>
      </c>
      <c r="D1427" s="201">
        <v>0</v>
      </c>
      <c r="E1427" s="201">
        <v>0</v>
      </c>
      <c r="F1427" s="201">
        <v>3267.61</v>
      </c>
      <c r="G1427" s="201">
        <f>'Mail Merge'!$E1427+'Mail Merge'!$F1427</f>
        <v>3267.61</v>
      </c>
      <c r="H1427" s="201">
        <v>2923.39</v>
      </c>
      <c r="I1427" s="201" t="s">
        <v>240</v>
      </c>
      <c r="J1427" s="204">
        <f>IFERROR('Mail Merge'!$E1427/'Mail Merge'!$D1427,0)</f>
        <v>0</v>
      </c>
      <c r="K1427" s="201">
        <f>IFERROR('Mail Merge'!$F1427/'Mail Merge'!$D1427,0)</f>
        <v>0</v>
      </c>
      <c r="L1427" s="205">
        <f>IFERROR('Mail Merge'!$G1427/'Mail Merge'!$D1427,0)</f>
        <v>0</v>
      </c>
      <c r="M1427" s="201">
        <v>0</v>
      </c>
      <c r="N1427" s="201" t="s">
        <v>241</v>
      </c>
      <c r="O1427" s="201">
        <v>0</v>
      </c>
      <c r="P1427" s="201">
        <v>0</v>
      </c>
      <c r="Q1427" s="201">
        <f>'Mail Merge'!$O1427+'Mail Merge'!$P1427</f>
        <v>0</v>
      </c>
      <c r="R1427" s="201"/>
      <c r="S1427" s="201">
        <v>0</v>
      </c>
      <c r="T1427" s="201"/>
      <c r="U1427" s="201">
        <f>IF(AND('Mail Merge'!$I1427="Did Not Meet",'Mail Merge'!$N1427="Did Not Meet"),MIN(ABS('Mail Merge'!$H1427),ABS('Mail Merge'!$M1427),'Mail Merge'!$Q1427),0)</f>
        <v>0</v>
      </c>
      <c r="V1427" s="201" t="str">
        <f>IF(OR(IFERROR(SEARCH("Met",'Mail Merge'!$N1427),0)&gt;0,IFERROR(SEARCH("Met",'Mail Merge'!$I1427),0)&gt;0),"Met","Not Met")</f>
        <v>Met</v>
      </c>
    </row>
    <row r="1428" spans="1:22" x14ac:dyDescent="0.35">
      <c r="A1428" s="198" t="s">
        <v>69</v>
      </c>
      <c r="B1428" s="199">
        <v>2021</v>
      </c>
      <c r="C1428" s="199" t="s">
        <v>16</v>
      </c>
      <c r="D1428" s="199">
        <v>0</v>
      </c>
      <c r="E1428" s="199">
        <v>5598.32</v>
      </c>
      <c r="F1428" s="199">
        <v>3267.61</v>
      </c>
      <c r="G1428" s="199">
        <f>'Mail Merge'!$E1428+'Mail Merge'!$F1428</f>
        <v>8865.93</v>
      </c>
      <c r="H1428" s="199">
        <v>0</v>
      </c>
      <c r="I1428" s="199" t="s">
        <v>241</v>
      </c>
      <c r="J1428" s="202">
        <f>IFERROR('Mail Merge'!$E1428/'Mail Merge'!$D1428,0)</f>
        <v>0</v>
      </c>
      <c r="K1428" s="199">
        <f>IFERROR('Mail Merge'!$F1428/'Mail Merge'!$D1428,0)</f>
        <v>0</v>
      </c>
      <c r="L1428" s="203">
        <f>IFERROR('Mail Merge'!$G1428/'Mail Merge'!$D1428,0)</f>
        <v>0</v>
      </c>
      <c r="M1428" s="199">
        <v>0</v>
      </c>
      <c r="N1428" s="199" t="s">
        <v>241</v>
      </c>
      <c r="O1428" s="199">
        <v>0</v>
      </c>
      <c r="P1428" s="199">
        <v>0</v>
      </c>
      <c r="Q1428" s="199">
        <f>'Mail Merge'!$O1428+'Mail Merge'!$P1428</f>
        <v>0</v>
      </c>
      <c r="R1428" s="199"/>
      <c r="S1428" s="199"/>
      <c r="T1428" s="199"/>
      <c r="U1428" s="199">
        <f>IF(AND('Mail Merge'!$I1428="Did Not Meet",'Mail Merge'!$N1428="Did Not Meet"),MIN(ABS('Mail Merge'!$H1428),ABS('Mail Merge'!$M1428),'Mail Merge'!$Q1428),0)</f>
        <v>0</v>
      </c>
      <c r="V1428" s="199" t="str">
        <f>IF(OR(IFERROR(SEARCH("Met",'Mail Merge'!$N1428),0)&gt;0,IFERROR(SEARCH("Met",'Mail Merge'!$I1428),0)&gt;0),"Met","Not Met")</f>
        <v>Met</v>
      </c>
    </row>
    <row r="1429" spans="1:22" x14ac:dyDescent="0.35">
      <c r="A1429" s="200" t="s">
        <v>70</v>
      </c>
      <c r="B1429" s="201">
        <v>1993</v>
      </c>
      <c r="C1429" s="201" t="s">
        <v>16</v>
      </c>
      <c r="D1429" s="201">
        <v>22</v>
      </c>
      <c r="E1429" s="201">
        <v>193995.22</v>
      </c>
      <c r="F1429" s="201">
        <v>42112.66</v>
      </c>
      <c r="G1429" s="201">
        <f>'Mail Merge'!$E1429+'Mail Merge'!$F1429</f>
        <v>236107.88</v>
      </c>
      <c r="H1429" s="201">
        <v>0</v>
      </c>
      <c r="I1429" s="201" t="s">
        <v>241</v>
      </c>
      <c r="J1429" s="204">
        <f>IFERROR('Mail Merge'!$E1429/'Mail Merge'!$D1429,0)</f>
        <v>8817.9645454545462</v>
      </c>
      <c r="K1429" s="201">
        <f>IFERROR('Mail Merge'!$F1429/'Mail Merge'!$D1429,0)</f>
        <v>1914.2118181818184</v>
      </c>
      <c r="L1429" s="205">
        <f>IFERROR('Mail Merge'!$G1429/'Mail Merge'!$D1429,0)</f>
        <v>10732.176363636363</v>
      </c>
      <c r="M1429" s="201">
        <v>0</v>
      </c>
      <c r="N1429" s="201" t="s">
        <v>241</v>
      </c>
      <c r="O1429" s="201">
        <v>33963.21</v>
      </c>
      <c r="P1429" s="201">
        <v>727.79</v>
      </c>
      <c r="Q1429" s="201">
        <f>'Mail Merge'!$O1429+'Mail Merge'!$P1429</f>
        <v>34691</v>
      </c>
      <c r="R1429" s="201"/>
      <c r="S1429" s="201"/>
      <c r="T1429" s="201"/>
      <c r="U1429" s="201">
        <f>IF(AND('Mail Merge'!$I1429="Did Not Meet",'Mail Merge'!$N1429="Did Not Meet"),MIN(ABS('Mail Merge'!$H1429),ABS('Mail Merge'!$M1429),'Mail Merge'!$Q1429),0)</f>
        <v>0</v>
      </c>
      <c r="V1429" s="201" t="str">
        <f>IF(OR(IFERROR(SEARCH("Met",'Mail Merge'!$N1429),0)&gt;0,IFERROR(SEARCH("Met",'Mail Merge'!$I1429),0)&gt;0),"Met","Not Met")</f>
        <v>Met</v>
      </c>
    </row>
    <row r="1430" spans="1:22" x14ac:dyDescent="0.35">
      <c r="A1430" s="198" t="s">
        <v>71</v>
      </c>
      <c r="B1430" s="199">
        <v>1991</v>
      </c>
      <c r="C1430" s="199" t="s">
        <v>16</v>
      </c>
      <c r="D1430" s="199">
        <v>672</v>
      </c>
      <c r="E1430" s="199">
        <v>6209600.4800000004</v>
      </c>
      <c r="F1430" s="199">
        <v>1556369.8</v>
      </c>
      <c r="G1430" s="199">
        <f>'Mail Merge'!$E1430+'Mail Merge'!$F1430</f>
        <v>7765970.2800000003</v>
      </c>
      <c r="H1430" s="199">
        <v>0</v>
      </c>
      <c r="I1430" s="199" t="s">
        <v>241</v>
      </c>
      <c r="J1430" s="202">
        <f>IFERROR('Mail Merge'!$E1430/'Mail Merge'!$D1430,0)</f>
        <v>9240.4769047619047</v>
      </c>
      <c r="K1430" s="199">
        <f>IFERROR('Mail Merge'!$F1430/'Mail Merge'!$D1430,0)</f>
        <v>2316.0264880952382</v>
      </c>
      <c r="L1430" s="203">
        <f>IFERROR('Mail Merge'!$G1430/'Mail Merge'!$D1430,0)</f>
        <v>11556.503392857143</v>
      </c>
      <c r="M1430" s="199">
        <v>0</v>
      </c>
      <c r="N1430" s="199" t="s">
        <v>241</v>
      </c>
      <c r="O1430" s="199">
        <v>944823.78</v>
      </c>
      <c r="P1430" s="199">
        <v>9262.76</v>
      </c>
      <c r="Q1430" s="199">
        <f>'Mail Merge'!$O1430+'Mail Merge'!$P1430</f>
        <v>954086.54</v>
      </c>
      <c r="R1430" s="199"/>
      <c r="S1430" s="199"/>
      <c r="T1430" s="199"/>
      <c r="U1430" s="199">
        <f>IF(AND('Mail Merge'!$I1430="Did Not Meet",'Mail Merge'!$N1430="Did Not Meet"),MIN(ABS('Mail Merge'!$H1430),ABS('Mail Merge'!$M1430),'Mail Merge'!$Q1430),0)</f>
        <v>0</v>
      </c>
      <c r="V1430" s="199" t="str">
        <f>IF(OR(IFERROR(SEARCH("Met",'Mail Merge'!$N1430),0)&gt;0,IFERROR(SEARCH("Met",'Mail Merge'!$I1430),0)&gt;0),"Met","Not Met")</f>
        <v>Met</v>
      </c>
    </row>
    <row r="1431" spans="1:22" x14ac:dyDescent="0.35">
      <c r="A1431" s="200" t="s">
        <v>72</v>
      </c>
      <c r="B1431" s="201">
        <v>2019</v>
      </c>
      <c r="C1431" s="201" t="s">
        <v>16</v>
      </c>
      <c r="D1431" s="201">
        <v>0</v>
      </c>
      <c r="E1431" s="201">
        <v>8221.6299999999992</v>
      </c>
      <c r="F1431" s="201">
        <v>3267.61</v>
      </c>
      <c r="G1431" s="201">
        <f>'Mail Merge'!$E1431+'Mail Merge'!$F1431</f>
        <v>11489.24</v>
      </c>
      <c r="H1431" s="201">
        <v>0</v>
      </c>
      <c r="I1431" s="201" t="s">
        <v>241</v>
      </c>
      <c r="J1431" s="204">
        <f>IFERROR('Mail Merge'!$E1431/'Mail Merge'!$D1431,0)</f>
        <v>0</v>
      </c>
      <c r="K1431" s="201">
        <f>IFERROR('Mail Merge'!$F1431/'Mail Merge'!$D1431,0)</f>
        <v>0</v>
      </c>
      <c r="L1431" s="205">
        <f>IFERROR('Mail Merge'!$G1431/'Mail Merge'!$D1431,0)</f>
        <v>0</v>
      </c>
      <c r="M1431" s="201">
        <v>0</v>
      </c>
      <c r="N1431" s="201" t="s">
        <v>240</v>
      </c>
      <c r="O1431" s="201">
        <v>0</v>
      </c>
      <c r="P1431" s="201">
        <v>0</v>
      </c>
      <c r="Q1431" s="201">
        <f>'Mail Merge'!$O1431+'Mail Merge'!$P1431</f>
        <v>0</v>
      </c>
      <c r="R1431" s="201"/>
      <c r="S1431" s="201"/>
      <c r="T1431" s="201">
        <v>8997.18</v>
      </c>
      <c r="U1431" s="201">
        <f>IF(AND('Mail Merge'!$I1431="Did Not Meet",'Mail Merge'!$N1431="Did Not Meet"),MIN(ABS('Mail Merge'!$H1431),ABS('Mail Merge'!$M1431),'Mail Merge'!$Q1431),0)</f>
        <v>0</v>
      </c>
      <c r="V1431" s="201" t="str">
        <f>IF(OR(IFERROR(SEARCH("Met",'Mail Merge'!$N1431),0)&gt;0,IFERROR(SEARCH("Met",'Mail Merge'!$I1431),0)&gt;0),"Met","Not Met")</f>
        <v>Met</v>
      </c>
    </row>
    <row r="1432" spans="1:22" x14ac:dyDescent="0.35">
      <c r="A1432" s="198" t="s">
        <v>73</v>
      </c>
      <c r="B1432" s="199">
        <v>2229</v>
      </c>
      <c r="C1432" s="199" t="s">
        <v>16</v>
      </c>
      <c r="D1432" s="199">
        <v>34</v>
      </c>
      <c r="E1432" s="199">
        <v>234011.61</v>
      </c>
      <c r="F1432" s="199">
        <v>0</v>
      </c>
      <c r="G1432" s="199">
        <f>'Mail Merge'!$E1432+'Mail Merge'!$F1432</f>
        <v>234011.61</v>
      </c>
      <c r="H1432" s="199">
        <v>0</v>
      </c>
      <c r="I1432" s="199" t="s">
        <v>241</v>
      </c>
      <c r="J1432" s="202">
        <f>IFERROR('Mail Merge'!$E1432/'Mail Merge'!$D1432,0)</f>
        <v>6882.6944117647054</v>
      </c>
      <c r="K1432" s="199">
        <f>IFERROR('Mail Merge'!$F1432/'Mail Merge'!$D1432,0)</f>
        <v>0</v>
      </c>
      <c r="L1432" s="203">
        <f>IFERROR('Mail Merge'!$G1432/'Mail Merge'!$D1432,0)</f>
        <v>6882.6944117647054</v>
      </c>
      <c r="M1432" s="199">
        <v>0</v>
      </c>
      <c r="N1432" s="199" t="s">
        <v>241</v>
      </c>
      <c r="O1432" s="199">
        <v>48406.85</v>
      </c>
      <c r="P1432" s="199">
        <v>485.19</v>
      </c>
      <c r="Q1432" s="199">
        <f>'Mail Merge'!$O1432+'Mail Merge'!$P1432</f>
        <v>48892.04</v>
      </c>
      <c r="R1432" s="199"/>
      <c r="S1432" s="199"/>
      <c r="T1432" s="199"/>
      <c r="U1432" s="199">
        <f>IF(AND('Mail Merge'!$I1432="Did Not Meet",'Mail Merge'!$N1432="Did Not Meet"),MIN(ABS('Mail Merge'!$H1432),ABS('Mail Merge'!$M1432),'Mail Merge'!$Q1432),0)</f>
        <v>0</v>
      </c>
      <c r="V1432" s="199" t="str">
        <f>IF(OR(IFERROR(SEARCH("Met",'Mail Merge'!$N1432),0)&gt;0,IFERROR(SEARCH("Met",'Mail Merge'!$I1432),0)&gt;0),"Met","Not Met")</f>
        <v>Met</v>
      </c>
    </row>
    <row r="1433" spans="1:22" x14ac:dyDescent="0.35">
      <c r="A1433" s="200" t="s">
        <v>74</v>
      </c>
      <c r="B1433" s="201">
        <v>2043</v>
      </c>
      <c r="C1433" s="201" t="s">
        <v>16</v>
      </c>
      <c r="D1433" s="201">
        <v>508</v>
      </c>
      <c r="E1433" s="201">
        <v>3612242.74</v>
      </c>
      <c r="F1433" s="201">
        <v>195252.51</v>
      </c>
      <c r="G1433" s="201">
        <f>'Mail Merge'!$E1433+'Mail Merge'!$F1433</f>
        <v>3807495.25</v>
      </c>
      <c r="H1433" s="201">
        <v>0</v>
      </c>
      <c r="I1433" s="201" t="s">
        <v>241</v>
      </c>
      <c r="J1433" s="204">
        <f>IFERROR('Mail Merge'!$E1433/'Mail Merge'!$D1433,0)</f>
        <v>7110.714055118111</v>
      </c>
      <c r="K1433" s="201">
        <f>IFERROR('Mail Merge'!$F1433/'Mail Merge'!$D1433,0)</f>
        <v>384.3553346456693</v>
      </c>
      <c r="L1433" s="205">
        <f>IFERROR('Mail Merge'!$G1433/'Mail Merge'!$D1433,0)</f>
        <v>7495.0693897637793</v>
      </c>
      <c r="M1433" s="201">
        <v>32828.019999999997</v>
      </c>
      <c r="N1433" s="201" t="s">
        <v>240</v>
      </c>
      <c r="O1433" s="201">
        <v>642266.79</v>
      </c>
      <c r="P1433" s="201">
        <v>5669.66</v>
      </c>
      <c r="Q1433" s="201">
        <f>'Mail Merge'!$O1433+'Mail Merge'!$P1433</f>
        <v>647936.45000000007</v>
      </c>
      <c r="R1433" s="201"/>
      <c r="S1433" s="201"/>
      <c r="T1433" s="201">
        <v>305.02</v>
      </c>
      <c r="U1433" s="201">
        <f>IF(AND('Mail Merge'!$I1433="Did Not Meet",'Mail Merge'!$N1433="Did Not Meet"),MIN(ABS('Mail Merge'!$H1433),ABS('Mail Merge'!$M1433),'Mail Merge'!$Q1433),0)</f>
        <v>0</v>
      </c>
      <c r="V1433" s="201" t="str">
        <f>IF(OR(IFERROR(SEARCH("Met",'Mail Merge'!$N1433),0)&gt;0,IFERROR(SEARCH("Met",'Mail Merge'!$I1433),0)&gt;0),"Met","Not Met")</f>
        <v>Met</v>
      </c>
    </row>
    <row r="1434" spans="1:22" x14ac:dyDescent="0.35">
      <c r="A1434" s="198" t="s">
        <v>75</v>
      </c>
      <c r="B1434" s="199">
        <v>2203</v>
      </c>
      <c r="C1434" s="199" t="s">
        <v>16</v>
      </c>
      <c r="D1434" s="199">
        <v>48</v>
      </c>
      <c r="E1434" s="199">
        <v>142946.60999999999</v>
      </c>
      <c r="F1434" s="199">
        <v>77533.98</v>
      </c>
      <c r="G1434" s="199">
        <f>'Mail Merge'!$E1434+'Mail Merge'!$F1434</f>
        <v>220480.58999999997</v>
      </c>
      <c r="H1434" s="199">
        <v>0</v>
      </c>
      <c r="I1434" s="199" t="s">
        <v>241</v>
      </c>
      <c r="J1434" s="202">
        <f>IFERROR('Mail Merge'!$E1434/'Mail Merge'!$D1434,0)</f>
        <v>2978.0543749999997</v>
      </c>
      <c r="K1434" s="199">
        <f>IFERROR('Mail Merge'!$F1434/'Mail Merge'!$D1434,0)</f>
        <v>1615.29125</v>
      </c>
      <c r="L1434" s="203">
        <f>IFERROR('Mail Merge'!$G1434/'Mail Merge'!$D1434,0)</f>
        <v>4593.345624999999</v>
      </c>
      <c r="M1434" s="199">
        <v>20854.97</v>
      </c>
      <c r="N1434" s="199" t="s">
        <v>240</v>
      </c>
      <c r="O1434" s="199">
        <v>43279.29</v>
      </c>
      <c r="P1434" s="199">
        <v>0</v>
      </c>
      <c r="Q1434" s="199">
        <f>'Mail Merge'!$O1434+'Mail Merge'!$P1434</f>
        <v>43279.29</v>
      </c>
      <c r="R1434" s="199"/>
      <c r="S1434" s="199"/>
      <c r="T1434" s="199">
        <v>501.14</v>
      </c>
      <c r="U1434" s="199">
        <f>IF(AND('Mail Merge'!$I1434="Did Not Meet",'Mail Merge'!$N1434="Did Not Meet"),MIN(ABS('Mail Merge'!$H1434),ABS('Mail Merge'!$M1434),'Mail Merge'!$Q1434),0)</f>
        <v>0</v>
      </c>
      <c r="V1434" s="199" t="str">
        <f>IF(OR(IFERROR(SEARCH("Met",'Mail Merge'!$N1434),0)&gt;0,IFERROR(SEARCH("Met",'Mail Merge'!$I1434),0)&gt;0),"Met","Not Met")</f>
        <v>Met</v>
      </c>
    </row>
    <row r="1435" spans="1:22" x14ac:dyDescent="0.35">
      <c r="A1435" s="200" t="s">
        <v>76</v>
      </c>
      <c r="B1435" s="201">
        <v>2217</v>
      </c>
      <c r="C1435" s="201" t="s">
        <v>16</v>
      </c>
      <c r="D1435" s="201">
        <v>47</v>
      </c>
      <c r="E1435" s="201">
        <v>338511.41</v>
      </c>
      <c r="F1435" s="201">
        <v>85907.64</v>
      </c>
      <c r="G1435" s="201">
        <f>'Mail Merge'!$E1435+'Mail Merge'!$F1435</f>
        <v>424419.05</v>
      </c>
      <c r="H1435" s="201">
        <v>0</v>
      </c>
      <c r="I1435" s="201" t="s">
        <v>242</v>
      </c>
      <c r="J1435" s="204">
        <f>IFERROR('Mail Merge'!$E1435/'Mail Merge'!$D1435,0)</f>
        <v>7202.3704255319144</v>
      </c>
      <c r="K1435" s="201">
        <f>IFERROR('Mail Merge'!$F1435/'Mail Merge'!$D1435,0)</f>
        <v>1827.8221276595746</v>
      </c>
      <c r="L1435" s="205">
        <f>IFERROR('Mail Merge'!$G1435/'Mail Merge'!$D1435,0)</f>
        <v>9030.1925531914894</v>
      </c>
      <c r="M1435" s="201">
        <v>0</v>
      </c>
      <c r="N1435" s="201" t="s">
        <v>242</v>
      </c>
      <c r="O1435" s="201">
        <v>68718.66</v>
      </c>
      <c r="P1435" s="201">
        <v>80.87</v>
      </c>
      <c r="Q1435" s="201">
        <f>'Mail Merge'!$O1435+'Mail Merge'!$P1435</f>
        <v>68799.53</v>
      </c>
      <c r="R1435" s="201"/>
      <c r="S1435" s="201">
        <v>46491.82</v>
      </c>
      <c r="T1435" s="201">
        <v>948.81</v>
      </c>
      <c r="U1435" s="201">
        <f>IF(AND('Mail Merge'!$I1435="Did Not Meet",'Mail Merge'!$N1435="Did Not Meet"),MIN(ABS('Mail Merge'!$H1435),ABS('Mail Merge'!$M1435),'Mail Merge'!$Q1435),0)</f>
        <v>0</v>
      </c>
      <c r="V1435" s="201" t="str">
        <f>IF(OR(IFERROR(SEARCH("Met",'Mail Merge'!$N1435),0)&gt;0,IFERROR(SEARCH("Met",'Mail Merge'!$I1435),0)&gt;0),"Met","Not Met")</f>
        <v>Met</v>
      </c>
    </row>
    <row r="1436" spans="1:22" x14ac:dyDescent="0.35">
      <c r="A1436" s="198" t="s">
        <v>77</v>
      </c>
      <c r="B1436" s="199">
        <v>1998</v>
      </c>
      <c r="C1436" s="199" t="s">
        <v>16</v>
      </c>
      <c r="D1436" s="199">
        <v>26</v>
      </c>
      <c r="E1436" s="199">
        <v>181718.86</v>
      </c>
      <c r="F1436" s="199">
        <v>39813.519999999997</v>
      </c>
      <c r="G1436" s="199">
        <f>'Mail Merge'!$E1436+'Mail Merge'!$F1436</f>
        <v>221532.37999999998</v>
      </c>
      <c r="H1436" s="199">
        <v>0</v>
      </c>
      <c r="I1436" s="199" t="s">
        <v>241</v>
      </c>
      <c r="J1436" s="202">
        <f>IFERROR('Mail Merge'!$E1436/'Mail Merge'!$D1436,0)</f>
        <v>6989.1869230769225</v>
      </c>
      <c r="K1436" s="199">
        <f>IFERROR('Mail Merge'!$F1436/'Mail Merge'!$D1436,0)</f>
        <v>1531.2892307692307</v>
      </c>
      <c r="L1436" s="203">
        <f>IFERROR('Mail Merge'!$G1436/'Mail Merge'!$D1436,0)</f>
        <v>8520.4761538461535</v>
      </c>
      <c r="M1436" s="199">
        <v>0</v>
      </c>
      <c r="N1436" s="199" t="s">
        <v>241</v>
      </c>
      <c r="O1436" s="199">
        <v>41687.31</v>
      </c>
      <c r="P1436" s="199">
        <v>485.19</v>
      </c>
      <c r="Q1436" s="199">
        <f>'Mail Merge'!$O1436+'Mail Merge'!$P1436</f>
        <v>42172.5</v>
      </c>
      <c r="R1436" s="199"/>
      <c r="S1436" s="199"/>
      <c r="T1436" s="199"/>
      <c r="U1436" s="199">
        <f>IF(AND('Mail Merge'!$I1436="Did Not Meet",'Mail Merge'!$N1436="Did Not Meet"),MIN(ABS('Mail Merge'!$H1436),ABS('Mail Merge'!$M1436),'Mail Merge'!$Q1436),0)</f>
        <v>0</v>
      </c>
      <c r="V1436" s="199" t="str">
        <f>IF(OR(IFERROR(SEARCH("Met",'Mail Merge'!$N1436),0)&gt;0,IFERROR(SEARCH("Met",'Mail Merge'!$I1436),0)&gt;0),"Met","Not Met")</f>
        <v>Met</v>
      </c>
    </row>
    <row r="1437" spans="1:22" x14ac:dyDescent="0.35">
      <c r="A1437" s="200" t="s">
        <v>78</v>
      </c>
      <c r="B1437" s="201">
        <v>2221</v>
      </c>
      <c r="C1437" s="201" t="s">
        <v>16</v>
      </c>
      <c r="D1437" s="201">
        <v>63</v>
      </c>
      <c r="E1437" s="201">
        <v>66076.320000000007</v>
      </c>
      <c r="F1437" s="201">
        <v>338607.85</v>
      </c>
      <c r="G1437" s="201">
        <f>'Mail Merge'!$E1437+'Mail Merge'!$F1437</f>
        <v>404684.17</v>
      </c>
      <c r="H1437" s="201">
        <v>0</v>
      </c>
      <c r="I1437" s="201" t="s">
        <v>241</v>
      </c>
      <c r="J1437" s="204">
        <f>IFERROR('Mail Merge'!$E1437/'Mail Merge'!$D1437,0)</f>
        <v>1048.8304761904762</v>
      </c>
      <c r="K1437" s="201">
        <f>IFERROR('Mail Merge'!$F1437/'Mail Merge'!$D1437,0)</f>
        <v>5374.7277777777772</v>
      </c>
      <c r="L1437" s="205">
        <f>IFERROR('Mail Merge'!$G1437/'Mail Merge'!$D1437,0)</f>
        <v>6423.5582539682537</v>
      </c>
      <c r="M1437" s="201">
        <v>0</v>
      </c>
      <c r="N1437" s="201" t="s">
        <v>241</v>
      </c>
      <c r="O1437" s="201">
        <v>99820.08</v>
      </c>
      <c r="P1437" s="201">
        <v>808.65</v>
      </c>
      <c r="Q1437" s="201">
        <f>'Mail Merge'!$O1437+'Mail Merge'!$P1437</f>
        <v>100628.73</v>
      </c>
      <c r="R1437" s="201"/>
      <c r="S1437" s="201"/>
      <c r="T1437" s="201"/>
      <c r="U1437" s="201">
        <f>IF(AND('Mail Merge'!$I1437="Did Not Meet",'Mail Merge'!$N1437="Did Not Meet"),MIN(ABS('Mail Merge'!$H1437),ABS('Mail Merge'!$M1437),'Mail Merge'!$Q1437),0)</f>
        <v>0</v>
      </c>
      <c r="V1437" s="201" t="str">
        <f>IF(OR(IFERROR(SEARCH("Met",'Mail Merge'!$N1437),0)&gt;0,IFERROR(SEARCH("Met",'Mail Merge'!$I1437),0)&gt;0),"Met","Not Met")</f>
        <v>Met</v>
      </c>
    </row>
    <row r="1438" spans="1:22" x14ac:dyDescent="0.35">
      <c r="A1438" s="198" t="s">
        <v>79</v>
      </c>
      <c r="B1438" s="199">
        <v>1930</v>
      </c>
      <c r="C1438" s="199" t="s">
        <v>16</v>
      </c>
      <c r="D1438" s="199">
        <v>302</v>
      </c>
      <c r="E1438" s="199">
        <v>2556157.4900000002</v>
      </c>
      <c r="F1438" s="199">
        <v>415153</v>
      </c>
      <c r="G1438" s="199">
        <f>'Mail Merge'!$E1438+'Mail Merge'!$F1438</f>
        <v>2971310.49</v>
      </c>
      <c r="H1438" s="199">
        <v>108034.63</v>
      </c>
      <c r="I1438" s="199" t="s">
        <v>242</v>
      </c>
      <c r="J1438" s="202">
        <f>IFERROR('Mail Merge'!$E1438/'Mail Merge'!$D1438,0)</f>
        <v>8464.0976490066241</v>
      </c>
      <c r="K1438" s="199">
        <f>IFERROR('Mail Merge'!$F1438/'Mail Merge'!$D1438,0)</f>
        <v>1374.6788079470198</v>
      </c>
      <c r="L1438" s="203">
        <f>IFERROR('Mail Merge'!$G1438/'Mail Merge'!$D1438,0)</f>
        <v>9838.776456953643</v>
      </c>
      <c r="M1438" s="199">
        <v>373877.37</v>
      </c>
      <c r="N1438" s="199" t="s">
        <v>240</v>
      </c>
      <c r="O1438" s="199">
        <v>412425.18</v>
      </c>
      <c r="P1438" s="199">
        <v>3089.91</v>
      </c>
      <c r="Q1438" s="199">
        <f>'Mail Merge'!$O1438+'Mail Merge'!$P1438</f>
        <v>415515.08999999997</v>
      </c>
      <c r="R1438" s="199"/>
      <c r="S1438" s="199">
        <v>307981.3</v>
      </c>
      <c r="T1438" s="199">
        <v>1107.8499999999999</v>
      </c>
      <c r="U1438" s="199">
        <f>IF(AND('Mail Merge'!$I1438="Did Not Meet",'Mail Merge'!$N1438="Did Not Meet"),MIN(ABS('Mail Merge'!$H1438),ABS('Mail Merge'!$M1438),'Mail Merge'!$Q1438),0)</f>
        <v>0</v>
      </c>
      <c r="V1438" s="199" t="str">
        <f>IF(OR(IFERROR(SEARCH("Met",'Mail Merge'!$N1438),0)&gt;0,IFERROR(SEARCH("Met",'Mail Merge'!$I1438),0)&gt;0),"Met","Not Met")</f>
        <v>Met</v>
      </c>
    </row>
    <row r="1439" spans="1:22" x14ac:dyDescent="0.35">
      <c r="A1439" s="200" t="s">
        <v>80</v>
      </c>
      <c r="B1439" s="201">
        <v>2082</v>
      </c>
      <c r="C1439" s="201" t="s">
        <v>16</v>
      </c>
      <c r="D1439" s="201">
        <v>2301</v>
      </c>
      <c r="E1439" s="201">
        <v>23199107.48</v>
      </c>
      <c r="F1439" s="201">
        <v>3525070</v>
      </c>
      <c r="G1439" s="201">
        <f>'Mail Merge'!$E1439+'Mail Merge'!$F1439</f>
        <v>26724177.48</v>
      </c>
      <c r="H1439" s="201">
        <v>0</v>
      </c>
      <c r="I1439" s="201" t="s">
        <v>241</v>
      </c>
      <c r="J1439" s="204">
        <f>IFERROR('Mail Merge'!$E1439/'Mail Merge'!$D1439,0)</f>
        <v>10082.184910908301</v>
      </c>
      <c r="K1439" s="201">
        <f>IFERROR('Mail Merge'!$F1439/'Mail Merge'!$D1439,0)</f>
        <v>1531.9730551933942</v>
      </c>
      <c r="L1439" s="205">
        <f>IFERROR('Mail Merge'!$G1439/'Mail Merge'!$D1439,0)</f>
        <v>11614.157966101695</v>
      </c>
      <c r="M1439" s="201">
        <v>0</v>
      </c>
      <c r="N1439" s="201" t="s">
        <v>241</v>
      </c>
      <c r="O1439" s="201">
        <v>3165267.24</v>
      </c>
      <c r="P1439" s="201">
        <v>28486.51</v>
      </c>
      <c r="Q1439" s="201">
        <f>'Mail Merge'!$O1439+'Mail Merge'!$P1439</f>
        <v>3193753.75</v>
      </c>
      <c r="R1439" s="201"/>
      <c r="S1439" s="201"/>
      <c r="T1439" s="201"/>
      <c r="U1439" s="201">
        <f>IF(AND('Mail Merge'!$I1439="Did Not Meet",'Mail Merge'!$N1439="Did Not Meet"),MIN(ABS('Mail Merge'!$H1439),ABS('Mail Merge'!$M1439),'Mail Merge'!$Q1439),0)</f>
        <v>0</v>
      </c>
      <c r="V1439" s="201" t="str">
        <f>IF(OR(IFERROR(SEARCH("Met",'Mail Merge'!$N1439),0)&gt;0,IFERROR(SEARCH("Met",'Mail Merge'!$I1439),0)&gt;0),"Met","Not Met")</f>
        <v>Met</v>
      </c>
    </row>
    <row r="1440" spans="1:22" x14ac:dyDescent="0.35">
      <c r="A1440" s="198" t="s">
        <v>81</v>
      </c>
      <c r="B1440" s="199">
        <v>2193</v>
      </c>
      <c r="C1440" s="199" t="s">
        <v>16</v>
      </c>
      <c r="D1440" s="199">
        <v>40</v>
      </c>
      <c r="E1440" s="199">
        <v>322936.46999999997</v>
      </c>
      <c r="F1440" s="199">
        <v>42743.81</v>
      </c>
      <c r="G1440" s="199">
        <f>'Mail Merge'!$E1440+'Mail Merge'!$F1440</f>
        <v>365680.27999999997</v>
      </c>
      <c r="H1440" s="199">
        <v>0</v>
      </c>
      <c r="I1440" s="199" t="s">
        <v>241</v>
      </c>
      <c r="J1440" s="202">
        <f>IFERROR('Mail Merge'!$E1440/'Mail Merge'!$D1440,0)</f>
        <v>8073.4117499999993</v>
      </c>
      <c r="K1440" s="199">
        <f>IFERROR('Mail Merge'!$F1440/'Mail Merge'!$D1440,0)</f>
        <v>1068.5952499999999</v>
      </c>
      <c r="L1440" s="203">
        <f>IFERROR('Mail Merge'!$G1440/'Mail Merge'!$D1440,0)</f>
        <v>9142.0069999999996</v>
      </c>
      <c r="M1440" s="199">
        <v>44335.77</v>
      </c>
      <c r="N1440" s="199" t="s">
        <v>240</v>
      </c>
      <c r="O1440" s="199">
        <v>41152.47</v>
      </c>
      <c r="P1440" s="199">
        <v>0</v>
      </c>
      <c r="Q1440" s="199">
        <f>'Mail Merge'!$O1440+'Mail Merge'!$P1440</f>
        <v>41152.47</v>
      </c>
      <c r="R1440" s="199"/>
      <c r="S1440" s="199"/>
      <c r="T1440" s="199">
        <v>0</v>
      </c>
      <c r="U1440" s="199">
        <f>IF(AND('Mail Merge'!$I1440="Did Not Meet",'Mail Merge'!$N1440="Did Not Meet"),MIN(ABS('Mail Merge'!$H1440),ABS('Mail Merge'!$M1440),'Mail Merge'!$Q1440),0)</f>
        <v>0</v>
      </c>
      <c r="V1440" s="199" t="str">
        <f>IF(OR(IFERROR(SEARCH("Met",'Mail Merge'!$N1440),0)&gt;0,IFERROR(SEARCH("Met",'Mail Merge'!$I1440),0)&gt;0),"Met","Not Met")</f>
        <v>Met</v>
      </c>
    </row>
    <row r="1441" spans="1:22" x14ac:dyDescent="0.35">
      <c r="A1441" s="200" t="s">
        <v>82</v>
      </c>
      <c r="B1441" s="201">
        <v>2084</v>
      </c>
      <c r="C1441" s="201" t="s">
        <v>16</v>
      </c>
      <c r="D1441" s="201">
        <v>239</v>
      </c>
      <c r="E1441" s="201">
        <v>2927536.08</v>
      </c>
      <c r="F1441" s="201">
        <v>256341</v>
      </c>
      <c r="G1441" s="201">
        <f>'Mail Merge'!$E1441+'Mail Merge'!$F1441</f>
        <v>3183877.08</v>
      </c>
      <c r="H1441" s="201">
        <v>0</v>
      </c>
      <c r="I1441" s="201" t="s">
        <v>241</v>
      </c>
      <c r="J1441" s="204">
        <f>IFERROR('Mail Merge'!$E1441/'Mail Merge'!$D1441,0)</f>
        <v>12249.104937238493</v>
      </c>
      <c r="K1441" s="201">
        <f>IFERROR('Mail Merge'!$F1441/'Mail Merge'!$D1441,0)</f>
        <v>1072.5564853556486</v>
      </c>
      <c r="L1441" s="205">
        <f>IFERROR('Mail Merge'!$G1441/'Mail Merge'!$D1441,0)</f>
        <v>13321.661422594143</v>
      </c>
      <c r="M1441" s="201">
        <v>0</v>
      </c>
      <c r="N1441" s="201" t="s">
        <v>241</v>
      </c>
      <c r="O1441" s="201">
        <v>330127.68</v>
      </c>
      <c r="P1441" s="201">
        <v>1299.6199999999999</v>
      </c>
      <c r="Q1441" s="201">
        <f>'Mail Merge'!$O1441+'Mail Merge'!$P1441</f>
        <v>331427.3</v>
      </c>
      <c r="R1441" s="201"/>
      <c r="S1441" s="201"/>
      <c r="T1441" s="201"/>
      <c r="U1441" s="201">
        <f>IF(AND('Mail Merge'!$I1441="Did Not Meet",'Mail Merge'!$N1441="Did Not Meet"),MIN(ABS('Mail Merge'!$H1441),ABS('Mail Merge'!$M1441),'Mail Merge'!$Q1441),0)</f>
        <v>0</v>
      </c>
      <c r="V1441" s="201" t="str">
        <f>IF(OR(IFERROR(SEARCH("Met",'Mail Merge'!$N1441),0)&gt;0,IFERROR(SEARCH("Met",'Mail Merge'!$I1441),0)&gt;0),"Met","Not Met")</f>
        <v>Met</v>
      </c>
    </row>
    <row r="1442" spans="1:22" x14ac:dyDescent="0.35">
      <c r="A1442" s="198" t="s">
        <v>83</v>
      </c>
      <c r="B1442" s="199">
        <v>2241</v>
      </c>
      <c r="C1442" s="199" t="s">
        <v>16</v>
      </c>
      <c r="D1442" s="199">
        <v>897</v>
      </c>
      <c r="E1442" s="199">
        <v>11937794</v>
      </c>
      <c r="F1442" s="199">
        <v>415245</v>
      </c>
      <c r="G1442" s="199">
        <f>'Mail Merge'!$E1442+'Mail Merge'!$F1442</f>
        <v>12353039</v>
      </c>
      <c r="H1442" s="199">
        <v>0</v>
      </c>
      <c r="I1442" s="199" t="s">
        <v>241</v>
      </c>
      <c r="J1442" s="202">
        <f>IFERROR('Mail Merge'!$E1442/'Mail Merge'!$D1442,0)</f>
        <v>13308.577480490523</v>
      </c>
      <c r="K1442" s="199">
        <f>IFERROR('Mail Merge'!$F1442/'Mail Merge'!$D1442,0)</f>
        <v>462.92642140468229</v>
      </c>
      <c r="L1442" s="203">
        <f>IFERROR('Mail Merge'!$G1442/'Mail Merge'!$D1442,0)</f>
        <v>13771.503901895207</v>
      </c>
      <c r="M1442" s="199">
        <v>0</v>
      </c>
      <c r="N1442" s="199" t="s">
        <v>241</v>
      </c>
      <c r="O1442" s="199">
        <v>875711.49</v>
      </c>
      <c r="P1442" s="199">
        <v>4753.66</v>
      </c>
      <c r="Q1442" s="199">
        <f>'Mail Merge'!$O1442+'Mail Merge'!$P1442</f>
        <v>880465.15</v>
      </c>
      <c r="R1442" s="199"/>
      <c r="S1442" s="199"/>
      <c r="T1442" s="199"/>
      <c r="U1442" s="199">
        <f>IF(AND('Mail Merge'!$I1442="Did Not Meet",'Mail Merge'!$N1442="Did Not Meet"),MIN(ABS('Mail Merge'!$H1442),ABS('Mail Merge'!$M1442),'Mail Merge'!$Q1442),0)</f>
        <v>0</v>
      </c>
      <c r="V1442" s="199" t="str">
        <f>IF(OR(IFERROR(SEARCH("Met",'Mail Merge'!$N1442),0)&gt;0,IFERROR(SEARCH("Met",'Mail Merge'!$I1442),0)&gt;0),"Met","Not Met")</f>
        <v>Met</v>
      </c>
    </row>
    <row r="1443" spans="1:22" x14ac:dyDescent="0.35">
      <c r="A1443" s="200" t="s">
        <v>84</v>
      </c>
      <c r="B1443" s="201">
        <v>2248</v>
      </c>
      <c r="C1443" s="201" t="s">
        <v>16</v>
      </c>
      <c r="D1443" s="201">
        <v>32</v>
      </c>
      <c r="E1443" s="201">
        <v>112091.84</v>
      </c>
      <c r="F1443" s="201">
        <v>71498</v>
      </c>
      <c r="G1443" s="201">
        <f>'Mail Merge'!$E1443+'Mail Merge'!$F1443</f>
        <v>183589.84</v>
      </c>
      <c r="H1443" s="201">
        <v>63044.81</v>
      </c>
      <c r="I1443" s="201" t="s">
        <v>240</v>
      </c>
      <c r="J1443" s="204">
        <f>IFERROR('Mail Merge'!$E1443/'Mail Merge'!$D1443,0)</f>
        <v>3502.87</v>
      </c>
      <c r="K1443" s="201">
        <f>IFERROR('Mail Merge'!$F1443/'Mail Merge'!$D1443,0)</f>
        <v>2234.3125</v>
      </c>
      <c r="L1443" s="205">
        <f>IFERROR('Mail Merge'!$G1443/'Mail Merge'!$D1443,0)</f>
        <v>5737.1824999999999</v>
      </c>
      <c r="M1443" s="201">
        <v>63044.81</v>
      </c>
      <c r="N1443" s="201" t="s">
        <v>240</v>
      </c>
      <c r="O1443" s="201">
        <v>55554.1</v>
      </c>
      <c r="P1443" s="201">
        <v>0</v>
      </c>
      <c r="Q1443" s="201">
        <f>'Mail Merge'!$O1443+'Mail Merge'!$P1443</f>
        <v>55554.1</v>
      </c>
      <c r="R1443" s="201"/>
      <c r="S1443" s="201">
        <v>0</v>
      </c>
      <c r="T1443" s="201">
        <v>0</v>
      </c>
      <c r="U1443" s="201">
        <f>IF(AND('Mail Merge'!$I1443="Did Not Meet",'Mail Merge'!$N1443="Did Not Meet"),MIN(ABS('Mail Merge'!$H1443),ABS('Mail Merge'!$M1443),'Mail Merge'!$Q1443),0)</f>
        <v>55554.1</v>
      </c>
      <c r="V1443" s="201" t="str">
        <f>IF(OR(IFERROR(SEARCH("Met",'Mail Merge'!$N1443),0)&gt;0,IFERROR(SEARCH("Met",'Mail Merge'!$I1443),0)&gt;0),"Met","Not Met")</f>
        <v>Not Met</v>
      </c>
    </row>
    <row r="1444" spans="1:22" x14ac:dyDescent="0.35">
      <c r="A1444" s="198" t="s">
        <v>85</v>
      </c>
      <c r="B1444" s="199">
        <v>2020</v>
      </c>
      <c r="C1444" s="199" t="s">
        <v>16</v>
      </c>
      <c r="D1444" s="199">
        <v>15</v>
      </c>
      <c r="E1444" s="199">
        <v>7383.74</v>
      </c>
      <c r="F1444" s="199">
        <v>4240.82</v>
      </c>
      <c r="G1444" s="199">
        <f>'Mail Merge'!$E1444+'Mail Merge'!$F1444</f>
        <v>11624.56</v>
      </c>
      <c r="H1444" s="199">
        <v>54065.94</v>
      </c>
      <c r="I1444" s="199" t="s">
        <v>240</v>
      </c>
      <c r="J1444" s="202">
        <f>IFERROR('Mail Merge'!$E1444/'Mail Merge'!$D1444,0)</f>
        <v>492.24933333333331</v>
      </c>
      <c r="K1444" s="199">
        <f>IFERROR('Mail Merge'!$F1444/'Mail Merge'!$D1444,0)</f>
        <v>282.72133333333329</v>
      </c>
      <c r="L1444" s="203">
        <f>IFERROR('Mail Merge'!$G1444/'Mail Merge'!$D1444,0)</f>
        <v>774.9706666666666</v>
      </c>
      <c r="M1444" s="199">
        <v>0</v>
      </c>
      <c r="N1444" s="199" t="s">
        <v>242</v>
      </c>
      <c r="O1444" s="199">
        <v>0</v>
      </c>
      <c r="P1444" s="199">
        <v>0</v>
      </c>
      <c r="Q1444" s="199">
        <f>'Mail Merge'!$O1444+'Mail Merge'!$P1444</f>
        <v>0</v>
      </c>
      <c r="R1444" s="199"/>
      <c r="S1444" s="199">
        <v>30655.57</v>
      </c>
      <c r="T1444" s="199">
        <v>30655.57</v>
      </c>
      <c r="U1444" s="199">
        <f>IF(AND('Mail Merge'!$I1444="Did Not Meet",'Mail Merge'!$N1444="Did Not Meet"),MIN(ABS('Mail Merge'!$H1444),ABS('Mail Merge'!$M1444),'Mail Merge'!$Q1444),0)</f>
        <v>0</v>
      </c>
      <c r="V1444" s="199" t="str">
        <f>IF(OR(IFERROR(SEARCH("Met",'Mail Merge'!$N1444),0)&gt;0,IFERROR(SEARCH("Met",'Mail Merge'!$I1444),0)&gt;0),"Met","Not Met")</f>
        <v>Met</v>
      </c>
    </row>
    <row r="1445" spans="1:22" x14ac:dyDescent="0.35">
      <c r="A1445" s="200" t="s">
        <v>86</v>
      </c>
      <c r="B1445" s="201">
        <v>2245</v>
      </c>
      <c r="C1445" s="201" t="s">
        <v>16</v>
      </c>
      <c r="D1445" s="201">
        <v>90</v>
      </c>
      <c r="E1445" s="201">
        <v>876287.04</v>
      </c>
      <c r="F1445" s="201">
        <v>21305</v>
      </c>
      <c r="G1445" s="201">
        <f>'Mail Merge'!$E1445+'Mail Merge'!$F1445</f>
        <v>897592.04</v>
      </c>
      <c r="H1445" s="201">
        <v>0</v>
      </c>
      <c r="I1445" s="201" t="s">
        <v>241</v>
      </c>
      <c r="J1445" s="204">
        <f>IFERROR('Mail Merge'!$E1445/'Mail Merge'!$D1445,0)</f>
        <v>9736.5226666666676</v>
      </c>
      <c r="K1445" s="201">
        <f>IFERROR('Mail Merge'!$F1445/'Mail Merge'!$D1445,0)</f>
        <v>236.72222222222223</v>
      </c>
      <c r="L1445" s="205">
        <f>IFERROR('Mail Merge'!$G1445/'Mail Merge'!$D1445,0)</f>
        <v>9973.2448888888885</v>
      </c>
      <c r="M1445" s="201">
        <v>39069.449999999997</v>
      </c>
      <c r="N1445" s="201" t="s">
        <v>240</v>
      </c>
      <c r="O1445" s="201">
        <v>98896.27</v>
      </c>
      <c r="P1445" s="201">
        <v>661.63</v>
      </c>
      <c r="Q1445" s="201">
        <f>'Mail Merge'!$O1445+'Mail Merge'!$P1445</f>
        <v>99557.900000000009</v>
      </c>
      <c r="R1445" s="201"/>
      <c r="S1445" s="201"/>
      <c r="T1445" s="201">
        <v>0</v>
      </c>
      <c r="U1445" s="201">
        <f>IF(AND('Mail Merge'!$I1445="Did Not Meet",'Mail Merge'!$N1445="Did Not Meet"),MIN(ABS('Mail Merge'!$H1445),ABS('Mail Merge'!$M1445),'Mail Merge'!$Q1445),0)</f>
        <v>0</v>
      </c>
      <c r="V1445" s="201" t="str">
        <f>IF(OR(IFERROR(SEARCH("Met",'Mail Merge'!$N1445),0)&gt;0,IFERROR(SEARCH("Met",'Mail Merge'!$I1445),0)&gt;0),"Met","Not Met")</f>
        <v>Met</v>
      </c>
    </row>
    <row r="1446" spans="1:22" x14ac:dyDescent="0.35">
      <c r="A1446" s="198" t="s">
        <v>87</v>
      </c>
      <c r="B1446" s="199">
        <v>2137</v>
      </c>
      <c r="C1446" s="199" t="s">
        <v>16</v>
      </c>
      <c r="D1446" s="199">
        <v>133</v>
      </c>
      <c r="E1446" s="199">
        <v>1259840.6000000001</v>
      </c>
      <c r="F1446" s="199">
        <v>187305.37</v>
      </c>
      <c r="G1446" s="199">
        <f>'Mail Merge'!$E1446+'Mail Merge'!$F1446</f>
        <v>1447145.9700000002</v>
      </c>
      <c r="H1446" s="199">
        <v>0</v>
      </c>
      <c r="I1446" s="199" t="s">
        <v>241</v>
      </c>
      <c r="J1446" s="202">
        <f>IFERROR('Mail Merge'!$E1446/'Mail Merge'!$D1446,0)</f>
        <v>9472.4857142857145</v>
      </c>
      <c r="K1446" s="199">
        <f>IFERROR('Mail Merge'!$F1446/'Mail Merge'!$D1446,0)</f>
        <v>1408.3110526315788</v>
      </c>
      <c r="L1446" s="203">
        <f>IFERROR('Mail Merge'!$G1446/'Mail Merge'!$D1446,0)</f>
        <v>10880.796766917294</v>
      </c>
      <c r="M1446" s="199">
        <v>0</v>
      </c>
      <c r="N1446" s="199" t="s">
        <v>241</v>
      </c>
      <c r="O1446" s="199">
        <v>188336.81</v>
      </c>
      <c r="P1446" s="199">
        <v>1567.54</v>
      </c>
      <c r="Q1446" s="199">
        <f>'Mail Merge'!$O1446+'Mail Merge'!$P1446</f>
        <v>189904.35</v>
      </c>
      <c r="R1446" s="199"/>
      <c r="S1446" s="199"/>
      <c r="T1446" s="199"/>
      <c r="U1446" s="199">
        <f>IF(AND('Mail Merge'!$I1446="Did Not Meet",'Mail Merge'!$N1446="Did Not Meet"),MIN(ABS('Mail Merge'!$H1446),ABS('Mail Merge'!$M1446),'Mail Merge'!$Q1446),0)</f>
        <v>0</v>
      </c>
      <c r="V1446" s="199" t="str">
        <f>IF(OR(IFERROR(SEARCH("Met",'Mail Merge'!$N1446),0)&gt;0,IFERROR(SEARCH("Met",'Mail Merge'!$I1446),0)&gt;0),"Met","Not Met")</f>
        <v>Met</v>
      </c>
    </row>
    <row r="1447" spans="1:22" x14ac:dyDescent="0.35">
      <c r="A1447" s="200" t="s">
        <v>88</v>
      </c>
      <c r="B1447" s="201">
        <v>1931</v>
      </c>
      <c r="C1447" s="201" t="s">
        <v>16</v>
      </c>
      <c r="D1447" s="201">
        <v>280</v>
      </c>
      <c r="E1447" s="201">
        <v>3336897</v>
      </c>
      <c r="F1447" s="201">
        <v>215571</v>
      </c>
      <c r="G1447" s="201">
        <f>'Mail Merge'!$E1447+'Mail Merge'!$F1447</f>
        <v>3552468</v>
      </c>
      <c r="H1447" s="201">
        <v>0</v>
      </c>
      <c r="I1447" s="201" t="s">
        <v>241</v>
      </c>
      <c r="J1447" s="204">
        <f>IFERROR('Mail Merge'!$E1447/'Mail Merge'!$D1447,0)</f>
        <v>11917.489285714286</v>
      </c>
      <c r="K1447" s="201">
        <f>IFERROR('Mail Merge'!$F1447/'Mail Merge'!$D1447,0)</f>
        <v>769.8964285714286</v>
      </c>
      <c r="L1447" s="205">
        <f>IFERROR('Mail Merge'!$G1447/'Mail Merge'!$D1447,0)</f>
        <v>12687.385714285714</v>
      </c>
      <c r="M1447" s="201">
        <v>0</v>
      </c>
      <c r="N1447" s="201" t="s">
        <v>241</v>
      </c>
      <c r="O1447" s="201">
        <v>341260.82</v>
      </c>
      <c r="P1447" s="201">
        <v>671.8</v>
      </c>
      <c r="Q1447" s="201">
        <f>'Mail Merge'!$O1447+'Mail Merge'!$P1447</f>
        <v>341932.62</v>
      </c>
      <c r="R1447" s="201"/>
      <c r="S1447" s="201"/>
      <c r="T1447" s="201"/>
      <c r="U1447" s="201">
        <f>IF(AND('Mail Merge'!$I1447="Did Not Meet",'Mail Merge'!$N1447="Did Not Meet"),MIN(ABS('Mail Merge'!$H1447),ABS('Mail Merge'!$M1447),'Mail Merge'!$Q1447),0)</f>
        <v>0</v>
      </c>
      <c r="V1447" s="201" t="str">
        <f>IF(OR(IFERROR(SEARCH("Met",'Mail Merge'!$N1447),0)&gt;0,IFERROR(SEARCH("Met",'Mail Merge'!$I1447),0)&gt;0),"Met","Not Met")</f>
        <v>Met</v>
      </c>
    </row>
    <row r="1448" spans="1:22" x14ac:dyDescent="0.35">
      <c r="A1448" s="198" t="s">
        <v>89</v>
      </c>
      <c r="B1448" s="199">
        <v>2000</v>
      </c>
      <c r="C1448" s="199" t="s">
        <v>16</v>
      </c>
      <c r="D1448" s="199">
        <v>46</v>
      </c>
      <c r="E1448" s="199">
        <v>435130.06</v>
      </c>
      <c r="F1448" s="199">
        <v>98497.68</v>
      </c>
      <c r="G1448" s="199">
        <f>'Mail Merge'!$E1448+'Mail Merge'!$F1448</f>
        <v>533627.74</v>
      </c>
      <c r="H1448" s="199">
        <v>0</v>
      </c>
      <c r="I1448" s="199" t="s">
        <v>241</v>
      </c>
      <c r="J1448" s="202">
        <f>IFERROR('Mail Merge'!$E1448/'Mail Merge'!$D1448,0)</f>
        <v>9459.3491304347826</v>
      </c>
      <c r="K1448" s="199">
        <f>IFERROR('Mail Merge'!$F1448/'Mail Merge'!$D1448,0)</f>
        <v>2141.253913043478</v>
      </c>
      <c r="L1448" s="203">
        <f>IFERROR('Mail Merge'!$G1448/'Mail Merge'!$D1448,0)</f>
        <v>11600.603043478261</v>
      </c>
      <c r="M1448" s="199">
        <v>0</v>
      </c>
      <c r="N1448" s="199" t="s">
        <v>241</v>
      </c>
      <c r="O1448" s="199">
        <v>54134.2</v>
      </c>
      <c r="P1448" s="199">
        <v>121.3</v>
      </c>
      <c r="Q1448" s="199">
        <f>'Mail Merge'!$O1448+'Mail Merge'!$P1448</f>
        <v>54255.5</v>
      </c>
      <c r="R1448" s="199"/>
      <c r="S1448" s="199"/>
      <c r="T1448" s="199"/>
      <c r="U1448" s="199">
        <f>IF(AND('Mail Merge'!$I1448="Did Not Meet",'Mail Merge'!$N1448="Did Not Meet"),MIN(ABS('Mail Merge'!$H1448),ABS('Mail Merge'!$M1448),'Mail Merge'!$Q1448),0)</f>
        <v>0</v>
      </c>
      <c r="V1448" s="199" t="str">
        <f>IF(OR(IFERROR(SEARCH("Met",'Mail Merge'!$N1448),0)&gt;0,IFERROR(SEARCH("Met",'Mail Merge'!$I1448),0)&gt;0),"Met","Not Met")</f>
        <v>Met</v>
      </c>
    </row>
    <row r="1449" spans="1:22" x14ac:dyDescent="0.35">
      <c r="A1449" s="200" t="s">
        <v>90</v>
      </c>
      <c r="B1449" s="201">
        <v>1992</v>
      </c>
      <c r="C1449" s="201" t="s">
        <v>16</v>
      </c>
      <c r="D1449" s="201">
        <v>85</v>
      </c>
      <c r="E1449" s="201">
        <v>589615.06999999995</v>
      </c>
      <c r="F1449" s="201">
        <v>156494.63</v>
      </c>
      <c r="G1449" s="201">
        <f>'Mail Merge'!$E1449+'Mail Merge'!$F1449</f>
        <v>746109.7</v>
      </c>
      <c r="H1449" s="201">
        <v>0</v>
      </c>
      <c r="I1449" s="201" t="s">
        <v>241</v>
      </c>
      <c r="J1449" s="204">
        <f>IFERROR('Mail Merge'!$E1449/'Mail Merge'!$D1449,0)</f>
        <v>6936.6478823529405</v>
      </c>
      <c r="K1449" s="201">
        <f>IFERROR('Mail Merge'!$F1449/'Mail Merge'!$D1449,0)</f>
        <v>1841.113294117647</v>
      </c>
      <c r="L1449" s="205">
        <f>IFERROR('Mail Merge'!$G1449/'Mail Merge'!$D1449,0)</f>
        <v>8777.7611764705871</v>
      </c>
      <c r="M1449" s="201">
        <v>0</v>
      </c>
      <c r="N1449" s="201" t="s">
        <v>241</v>
      </c>
      <c r="O1449" s="201">
        <v>156829.70000000001</v>
      </c>
      <c r="P1449" s="201">
        <v>352.87</v>
      </c>
      <c r="Q1449" s="201">
        <f>'Mail Merge'!$O1449+'Mail Merge'!$P1449</f>
        <v>157182.57</v>
      </c>
      <c r="R1449" s="201"/>
      <c r="S1449" s="201"/>
      <c r="T1449" s="201"/>
      <c r="U1449" s="201">
        <f>IF(AND('Mail Merge'!$I1449="Did Not Meet",'Mail Merge'!$N1449="Did Not Meet"),MIN(ABS('Mail Merge'!$H1449),ABS('Mail Merge'!$M1449),'Mail Merge'!$Q1449),0)</f>
        <v>0</v>
      </c>
      <c r="V1449" s="201" t="str">
        <f>IF(OR(IFERROR(SEARCH("Met",'Mail Merge'!$N1449),0)&gt;0,IFERROR(SEARCH("Met",'Mail Merge'!$I1449),0)&gt;0),"Met","Not Met")</f>
        <v>Met</v>
      </c>
    </row>
    <row r="1450" spans="1:22" x14ac:dyDescent="0.35">
      <c r="A1450" s="198" t="s">
        <v>91</v>
      </c>
      <c r="B1450" s="199">
        <v>2054</v>
      </c>
      <c r="C1450" s="199" t="s">
        <v>16</v>
      </c>
      <c r="D1450" s="199">
        <v>739</v>
      </c>
      <c r="E1450" s="199">
        <v>7058987.6600000001</v>
      </c>
      <c r="F1450" s="199">
        <v>0</v>
      </c>
      <c r="G1450" s="199">
        <f>'Mail Merge'!$E1450+'Mail Merge'!$F1450</f>
        <v>7058987.6600000001</v>
      </c>
      <c r="H1450" s="199">
        <v>0</v>
      </c>
      <c r="I1450" s="199" t="s">
        <v>241</v>
      </c>
      <c r="J1450" s="202">
        <f>IFERROR('Mail Merge'!$E1450/'Mail Merge'!$D1450,0)</f>
        <v>9552.0807307171854</v>
      </c>
      <c r="K1450" s="199">
        <f>IFERROR('Mail Merge'!$F1450/'Mail Merge'!$D1450,0)</f>
        <v>0</v>
      </c>
      <c r="L1450" s="203">
        <f>IFERROR('Mail Merge'!$G1450/'Mail Merge'!$D1450,0)</f>
        <v>9552.0807307171854</v>
      </c>
      <c r="M1450" s="199">
        <v>0</v>
      </c>
      <c r="N1450" s="199" t="s">
        <v>241</v>
      </c>
      <c r="O1450" s="199">
        <v>822751.79</v>
      </c>
      <c r="P1450" s="199">
        <v>7277.89</v>
      </c>
      <c r="Q1450" s="199">
        <f>'Mail Merge'!$O1450+'Mail Merge'!$P1450</f>
        <v>830029.68</v>
      </c>
      <c r="R1450" s="199"/>
      <c r="S1450" s="199"/>
      <c r="T1450" s="199"/>
      <c r="U1450" s="199">
        <f>IF(AND('Mail Merge'!$I1450="Did Not Meet",'Mail Merge'!$N1450="Did Not Meet"),MIN(ABS('Mail Merge'!$H1450),ABS('Mail Merge'!$M1450),'Mail Merge'!$Q1450),0)</f>
        <v>0</v>
      </c>
      <c r="V1450" s="199" t="str">
        <f>IF(OR(IFERROR(SEARCH("Met",'Mail Merge'!$N1450),0)&gt;0,IFERROR(SEARCH("Met",'Mail Merge'!$I1450),0)&gt;0),"Met","Not Met")</f>
        <v>Met</v>
      </c>
    </row>
    <row r="1451" spans="1:22" x14ac:dyDescent="0.35">
      <c r="A1451" s="200" t="s">
        <v>92</v>
      </c>
      <c r="B1451" s="201">
        <v>2100</v>
      </c>
      <c r="C1451" s="201" t="s">
        <v>16</v>
      </c>
      <c r="D1451" s="201">
        <v>1240</v>
      </c>
      <c r="E1451" s="201">
        <v>13588063.33</v>
      </c>
      <c r="F1451" s="201">
        <v>1095125</v>
      </c>
      <c r="G1451" s="201">
        <f>'Mail Merge'!$E1451+'Mail Merge'!$F1451</f>
        <v>14683188.33</v>
      </c>
      <c r="H1451" s="201">
        <v>0</v>
      </c>
      <c r="I1451" s="201" t="s">
        <v>241</v>
      </c>
      <c r="J1451" s="204">
        <f>IFERROR('Mail Merge'!$E1451/'Mail Merge'!$D1451,0)</f>
        <v>10958.115588709677</v>
      </c>
      <c r="K1451" s="201">
        <f>IFERROR('Mail Merge'!$F1451/'Mail Merge'!$D1451,0)</f>
        <v>883.16532258064512</v>
      </c>
      <c r="L1451" s="205">
        <f>IFERROR('Mail Merge'!$G1451/'Mail Merge'!$D1451,0)</f>
        <v>11841.280911290323</v>
      </c>
      <c r="M1451" s="201">
        <v>0</v>
      </c>
      <c r="N1451" s="201" t="s">
        <v>241</v>
      </c>
      <c r="O1451" s="201">
        <v>1464162.76</v>
      </c>
      <c r="P1451" s="201">
        <v>13827.98</v>
      </c>
      <c r="Q1451" s="201">
        <f>'Mail Merge'!$O1451+'Mail Merge'!$P1451</f>
        <v>1477990.74</v>
      </c>
      <c r="R1451" s="201"/>
      <c r="S1451" s="201"/>
      <c r="T1451" s="201"/>
      <c r="U1451" s="201">
        <f>IF(AND('Mail Merge'!$I1451="Did Not Meet",'Mail Merge'!$N1451="Did Not Meet"),MIN(ABS('Mail Merge'!$H1451),ABS('Mail Merge'!$M1451),'Mail Merge'!$Q1451),0)</f>
        <v>0</v>
      </c>
      <c r="V1451" s="201" t="str">
        <f>IF(OR(IFERROR(SEARCH("Met",'Mail Merge'!$N1451),0)&gt;0,IFERROR(SEARCH("Met",'Mail Merge'!$I1451),0)&gt;0),"Met","Not Met")</f>
        <v>Met</v>
      </c>
    </row>
    <row r="1452" spans="1:22" x14ac:dyDescent="0.35">
      <c r="A1452" s="198" t="s">
        <v>93</v>
      </c>
      <c r="B1452" s="199">
        <v>2183</v>
      </c>
      <c r="C1452" s="199" t="s">
        <v>16</v>
      </c>
      <c r="D1452" s="199">
        <v>1534</v>
      </c>
      <c r="E1452" s="199">
        <v>16952002.260000002</v>
      </c>
      <c r="F1452" s="199">
        <v>999479.62</v>
      </c>
      <c r="G1452" s="199">
        <f>'Mail Merge'!$E1452+'Mail Merge'!$F1452</f>
        <v>17951481.880000003</v>
      </c>
      <c r="H1452" s="199">
        <v>0</v>
      </c>
      <c r="I1452" s="199" t="s">
        <v>241</v>
      </c>
      <c r="J1452" s="202">
        <f>IFERROR('Mail Merge'!$E1452/'Mail Merge'!$D1452,0)</f>
        <v>11050.84893089961</v>
      </c>
      <c r="K1452" s="199">
        <f>IFERROR('Mail Merge'!$F1452/'Mail Merge'!$D1452,0)</f>
        <v>651.55125162972615</v>
      </c>
      <c r="L1452" s="203">
        <f>IFERROR('Mail Merge'!$G1452/'Mail Merge'!$D1452,0)</f>
        <v>11702.400182529336</v>
      </c>
      <c r="M1452" s="199">
        <v>0</v>
      </c>
      <c r="N1452" s="199" t="s">
        <v>241</v>
      </c>
      <c r="O1452" s="199">
        <v>2130384.23</v>
      </c>
      <c r="P1452" s="199">
        <v>18083.2</v>
      </c>
      <c r="Q1452" s="199">
        <f>'Mail Merge'!$O1452+'Mail Merge'!$P1452</f>
        <v>2148467.4300000002</v>
      </c>
      <c r="R1452" s="199"/>
      <c r="S1452" s="199"/>
      <c r="T1452" s="199"/>
      <c r="U1452" s="199">
        <f>IF(AND('Mail Merge'!$I1452="Did Not Meet",'Mail Merge'!$N1452="Did Not Meet"),MIN(ABS('Mail Merge'!$H1452),ABS('Mail Merge'!$M1452),'Mail Merge'!$Q1452),0)</f>
        <v>0</v>
      </c>
      <c r="V1452" s="199" t="str">
        <f>IF(OR(IFERROR(SEARCH("Met",'Mail Merge'!$N1452),0)&gt;0,IFERROR(SEARCH("Met",'Mail Merge'!$I1452),0)&gt;0),"Met","Not Met")</f>
        <v>Met</v>
      </c>
    </row>
    <row r="1453" spans="1:22" x14ac:dyDescent="0.35">
      <c r="A1453" s="200" t="s">
        <v>94</v>
      </c>
      <c r="B1453" s="201">
        <v>2014</v>
      </c>
      <c r="C1453" s="201" t="s">
        <v>16</v>
      </c>
      <c r="D1453" s="201">
        <v>116</v>
      </c>
      <c r="E1453" s="201">
        <v>1210894.6299999999</v>
      </c>
      <c r="F1453" s="201">
        <v>159572.1</v>
      </c>
      <c r="G1453" s="201">
        <f>'Mail Merge'!$E1453+'Mail Merge'!$F1453</f>
        <v>1370466.73</v>
      </c>
      <c r="H1453" s="201">
        <v>0</v>
      </c>
      <c r="I1453" s="201" t="s">
        <v>242</v>
      </c>
      <c r="J1453" s="204">
        <f>IFERROR('Mail Merge'!$E1453/'Mail Merge'!$D1453,0)</f>
        <v>10438.746810344826</v>
      </c>
      <c r="K1453" s="201">
        <f>IFERROR('Mail Merge'!$F1453/'Mail Merge'!$D1453,0)</f>
        <v>1375.621551724138</v>
      </c>
      <c r="L1453" s="205">
        <f>IFERROR('Mail Merge'!$G1453/'Mail Merge'!$D1453,0)</f>
        <v>11814.368362068966</v>
      </c>
      <c r="M1453" s="201">
        <v>0</v>
      </c>
      <c r="N1453" s="201" t="s">
        <v>242</v>
      </c>
      <c r="O1453" s="201">
        <v>174278.64</v>
      </c>
      <c r="P1453" s="201">
        <v>2543.08</v>
      </c>
      <c r="Q1453" s="201">
        <f>'Mail Merge'!$O1453+'Mail Merge'!$P1453</f>
        <v>176821.72</v>
      </c>
      <c r="R1453" s="201"/>
      <c r="S1453" s="201">
        <v>305041.90000000002</v>
      </c>
      <c r="T1453" s="201">
        <v>1886.02</v>
      </c>
      <c r="U1453" s="201">
        <f>IF(AND('Mail Merge'!$I1453="Did Not Meet",'Mail Merge'!$N1453="Did Not Meet"),MIN(ABS('Mail Merge'!$H1453),ABS('Mail Merge'!$M1453),'Mail Merge'!$Q1453),0)</f>
        <v>0</v>
      </c>
      <c r="V1453" s="201" t="str">
        <f>IF(OR(IFERROR(SEARCH("Met",'Mail Merge'!$N1453),0)&gt;0,IFERROR(SEARCH("Met",'Mail Merge'!$I1453),0)&gt;0),"Met","Not Met")</f>
        <v>Met</v>
      </c>
    </row>
    <row r="1454" spans="1:22" x14ac:dyDescent="0.35">
      <c r="A1454" s="198" t="s">
        <v>95</v>
      </c>
      <c r="B1454" s="199">
        <v>2015</v>
      </c>
      <c r="C1454" s="199" t="s">
        <v>16</v>
      </c>
      <c r="D1454" s="199">
        <v>7</v>
      </c>
      <c r="E1454" s="199">
        <v>59552.160000000003</v>
      </c>
      <c r="F1454" s="199">
        <v>5839.24</v>
      </c>
      <c r="G1454" s="199">
        <f>'Mail Merge'!$E1454+'Mail Merge'!$F1454</f>
        <v>65391.4</v>
      </c>
      <c r="H1454" s="199">
        <v>24811.85</v>
      </c>
      <c r="I1454" s="199" t="s">
        <v>240</v>
      </c>
      <c r="J1454" s="202">
        <f>IFERROR('Mail Merge'!$E1454/'Mail Merge'!$D1454,0)</f>
        <v>8507.4514285714286</v>
      </c>
      <c r="K1454" s="199">
        <f>IFERROR('Mail Merge'!$F1454/'Mail Merge'!$D1454,0)</f>
        <v>834.17714285714283</v>
      </c>
      <c r="L1454" s="203">
        <f>IFERROR('Mail Merge'!$G1454/'Mail Merge'!$D1454,0)</f>
        <v>9341.6285714285714</v>
      </c>
      <c r="M1454" s="199">
        <v>39845.72</v>
      </c>
      <c r="N1454" s="199" t="s">
        <v>240</v>
      </c>
      <c r="O1454" s="199">
        <v>10670.35</v>
      </c>
      <c r="P1454" s="199">
        <v>0</v>
      </c>
      <c r="Q1454" s="199">
        <f>'Mail Merge'!$O1454+'Mail Merge'!$P1454</f>
        <v>10670.35</v>
      </c>
      <c r="R1454" s="199"/>
      <c r="S1454" s="199">
        <v>10336.86</v>
      </c>
      <c r="T1454" s="199">
        <v>1722.81</v>
      </c>
      <c r="U1454" s="199">
        <f>IF(AND('Mail Merge'!$I1454="Did Not Meet",'Mail Merge'!$N1454="Did Not Meet"),MIN(ABS('Mail Merge'!$H1454),ABS('Mail Merge'!$M1454),'Mail Merge'!$Q1454),0)</f>
        <v>10670.35</v>
      </c>
      <c r="V1454" s="199" t="str">
        <f>IF(OR(IFERROR(SEARCH("Met",'Mail Merge'!$N1454),0)&gt;0,IFERROR(SEARCH("Met",'Mail Merge'!$I1454),0)&gt;0),"Met","Not Met")</f>
        <v>Not Met</v>
      </c>
    </row>
    <row r="1455" spans="1:22" x14ac:dyDescent="0.35">
      <c r="A1455" s="200" t="s">
        <v>96</v>
      </c>
      <c r="B1455" s="201">
        <v>2023</v>
      </c>
      <c r="C1455" s="201" t="s">
        <v>16</v>
      </c>
      <c r="D1455" s="201">
        <v>3</v>
      </c>
      <c r="E1455" s="201">
        <v>20579.689999999999</v>
      </c>
      <c r="F1455" s="201">
        <v>7785.65</v>
      </c>
      <c r="G1455" s="201">
        <f>'Mail Merge'!$E1455+'Mail Merge'!$F1455</f>
        <v>28365.339999999997</v>
      </c>
      <c r="H1455" s="201">
        <v>7487.95</v>
      </c>
      <c r="I1455" s="201" t="s">
        <v>242</v>
      </c>
      <c r="J1455" s="204">
        <f>IFERROR('Mail Merge'!$E1455/'Mail Merge'!$D1455,0)</f>
        <v>6859.8966666666665</v>
      </c>
      <c r="K1455" s="201">
        <f>IFERROR('Mail Merge'!$F1455/'Mail Merge'!$D1455,0)</f>
        <v>2595.2166666666667</v>
      </c>
      <c r="L1455" s="205">
        <f>IFERROR('Mail Merge'!$G1455/'Mail Merge'!$D1455,0)</f>
        <v>9455.1133333333328</v>
      </c>
      <c r="M1455" s="201">
        <v>0</v>
      </c>
      <c r="N1455" s="201" t="s">
        <v>241</v>
      </c>
      <c r="O1455" s="201">
        <v>9777.0499999999993</v>
      </c>
      <c r="P1455" s="201">
        <v>0</v>
      </c>
      <c r="Q1455" s="201">
        <f>'Mail Merge'!$O1455+'Mail Merge'!$P1455</f>
        <v>9777.0499999999993</v>
      </c>
      <c r="R1455" s="201"/>
      <c r="S1455" s="201">
        <v>32808.29</v>
      </c>
      <c r="T1455" s="201"/>
      <c r="U1455" s="201">
        <f>IF(AND('Mail Merge'!$I1455="Did Not Meet",'Mail Merge'!$N1455="Did Not Meet"),MIN(ABS('Mail Merge'!$H1455),ABS('Mail Merge'!$M1455),'Mail Merge'!$Q1455),0)</f>
        <v>0</v>
      </c>
      <c r="V1455" s="201" t="str">
        <f>IF(OR(IFERROR(SEARCH("Met",'Mail Merge'!$N1455),0)&gt;0,IFERROR(SEARCH("Met",'Mail Merge'!$I1455),0)&gt;0),"Met","Not Met")</f>
        <v>Met</v>
      </c>
    </row>
    <row r="1456" spans="1:22" x14ac:dyDescent="0.35">
      <c r="A1456" s="198" t="s">
        <v>97</v>
      </c>
      <c r="B1456" s="199">
        <v>2114</v>
      </c>
      <c r="C1456" s="199" t="s">
        <v>16</v>
      </c>
      <c r="D1456" s="199">
        <v>18</v>
      </c>
      <c r="E1456" s="199">
        <v>83934.02</v>
      </c>
      <c r="F1456" s="199">
        <v>49524.32</v>
      </c>
      <c r="G1456" s="199">
        <f>'Mail Merge'!$E1456+'Mail Merge'!$F1456</f>
        <v>133458.34</v>
      </c>
      <c r="H1456" s="199">
        <v>9286.26</v>
      </c>
      <c r="I1456" s="199" t="s">
        <v>240</v>
      </c>
      <c r="J1456" s="202">
        <f>IFERROR('Mail Merge'!$E1456/'Mail Merge'!$D1456,0)</f>
        <v>4663.0011111111116</v>
      </c>
      <c r="K1456" s="199">
        <f>IFERROR('Mail Merge'!$F1456/'Mail Merge'!$D1456,0)</f>
        <v>2751.3511111111111</v>
      </c>
      <c r="L1456" s="203">
        <f>IFERROR('Mail Merge'!$G1456/'Mail Merge'!$D1456,0)</f>
        <v>7414.3522222222218</v>
      </c>
      <c r="M1456" s="199">
        <v>50070.43</v>
      </c>
      <c r="N1456" s="199" t="s">
        <v>240</v>
      </c>
      <c r="O1456" s="199">
        <v>13989.61</v>
      </c>
      <c r="P1456" s="199">
        <v>242.6</v>
      </c>
      <c r="Q1456" s="199">
        <f>'Mail Merge'!$O1456+'Mail Merge'!$P1456</f>
        <v>14232.210000000001</v>
      </c>
      <c r="R1456" s="199"/>
      <c r="S1456" s="199">
        <v>0</v>
      </c>
      <c r="T1456" s="199">
        <v>0</v>
      </c>
      <c r="U1456" s="199">
        <f>IF(AND('Mail Merge'!$I1456="Did Not Meet",'Mail Merge'!$N1456="Did Not Meet"),MIN(ABS('Mail Merge'!$H1456),ABS('Mail Merge'!$M1456),'Mail Merge'!$Q1456),0)</f>
        <v>9286.26</v>
      </c>
      <c r="V1456" s="199" t="str">
        <f>IF(OR(IFERROR(SEARCH("Met",'Mail Merge'!$N1456),0)&gt;0,IFERROR(SEARCH("Met",'Mail Merge'!$I1456),0)&gt;0),"Met","Not Met")</f>
        <v>Not Met</v>
      </c>
    </row>
    <row r="1457" spans="1:22" x14ac:dyDescent="0.35">
      <c r="A1457" s="200" t="s">
        <v>98</v>
      </c>
      <c r="B1457" s="201">
        <v>2099</v>
      </c>
      <c r="C1457" s="201" t="s">
        <v>16</v>
      </c>
      <c r="D1457" s="201">
        <v>124</v>
      </c>
      <c r="E1457" s="201">
        <v>1285253.31</v>
      </c>
      <c r="F1457" s="201">
        <v>116698</v>
      </c>
      <c r="G1457" s="201">
        <f>'Mail Merge'!$E1457+'Mail Merge'!$F1457</f>
        <v>1401951.31</v>
      </c>
      <c r="H1457" s="201">
        <v>0</v>
      </c>
      <c r="I1457" s="201" t="s">
        <v>241</v>
      </c>
      <c r="J1457" s="204">
        <f>IFERROR('Mail Merge'!$E1457/'Mail Merge'!$D1457,0)</f>
        <v>10364.946048387097</v>
      </c>
      <c r="K1457" s="201">
        <f>IFERROR('Mail Merge'!$F1457/'Mail Merge'!$D1457,0)</f>
        <v>941.11290322580646</v>
      </c>
      <c r="L1457" s="205">
        <f>IFERROR('Mail Merge'!$G1457/'Mail Merge'!$D1457,0)</f>
        <v>11306.058951612904</v>
      </c>
      <c r="M1457" s="201">
        <v>0</v>
      </c>
      <c r="N1457" s="201" t="s">
        <v>241</v>
      </c>
      <c r="O1457" s="201">
        <v>129259.19</v>
      </c>
      <c r="P1457" s="201">
        <v>256.87</v>
      </c>
      <c r="Q1457" s="201">
        <f>'Mail Merge'!$O1457+'Mail Merge'!$P1457</f>
        <v>129516.06</v>
      </c>
      <c r="R1457" s="201"/>
      <c r="S1457" s="201"/>
      <c r="T1457" s="201"/>
      <c r="U1457" s="201">
        <f>IF(AND('Mail Merge'!$I1457="Did Not Meet",'Mail Merge'!$N1457="Did Not Meet"),MIN(ABS('Mail Merge'!$H1457),ABS('Mail Merge'!$M1457),'Mail Merge'!$Q1457),0)</f>
        <v>0</v>
      </c>
      <c r="V1457" s="201" t="str">
        <f>IF(OR(IFERROR(SEARCH("Met",'Mail Merge'!$N1457),0)&gt;0,IFERROR(SEARCH("Met",'Mail Merge'!$I1457),0)&gt;0),"Met","Not Met")</f>
        <v>Met</v>
      </c>
    </row>
    <row r="1458" spans="1:22" x14ac:dyDescent="0.35">
      <c r="A1458" s="198" t="s">
        <v>99</v>
      </c>
      <c r="B1458" s="199">
        <v>2201</v>
      </c>
      <c r="C1458" s="199" t="s">
        <v>16</v>
      </c>
      <c r="D1458" s="199">
        <v>22</v>
      </c>
      <c r="E1458" s="199">
        <v>83057.070000000007</v>
      </c>
      <c r="F1458" s="199">
        <v>35665.629999999997</v>
      </c>
      <c r="G1458" s="199">
        <f>'Mail Merge'!$E1458+'Mail Merge'!$F1458</f>
        <v>118722.70000000001</v>
      </c>
      <c r="H1458" s="199">
        <v>0</v>
      </c>
      <c r="I1458" s="199" t="s">
        <v>241</v>
      </c>
      <c r="J1458" s="202">
        <f>IFERROR('Mail Merge'!$E1458/'Mail Merge'!$D1458,0)</f>
        <v>3775.3213636363639</v>
      </c>
      <c r="K1458" s="199">
        <f>IFERROR('Mail Merge'!$F1458/'Mail Merge'!$D1458,0)</f>
        <v>1621.165</v>
      </c>
      <c r="L1458" s="203">
        <f>IFERROR('Mail Merge'!$G1458/'Mail Merge'!$D1458,0)</f>
        <v>5396.4863636363643</v>
      </c>
      <c r="M1458" s="199">
        <v>0</v>
      </c>
      <c r="N1458" s="199" t="s">
        <v>241</v>
      </c>
      <c r="O1458" s="199">
        <v>24628.77</v>
      </c>
      <c r="P1458" s="199">
        <v>970.38</v>
      </c>
      <c r="Q1458" s="199">
        <f>'Mail Merge'!$O1458+'Mail Merge'!$P1458</f>
        <v>25599.15</v>
      </c>
      <c r="R1458" s="199"/>
      <c r="S1458" s="199"/>
      <c r="T1458" s="199"/>
      <c r="U1458" s="199">
        <f>IF(AND('Mail Merge'!$I1458="Did Not Meet",'Mail Merge'!$N1458="Did Not Meet"),MIN(ABS('Mail Merge'!$H1458),ABS('Mail Merge'!$M1458),'Mail Merge'!$Q1458),0)</f>
        <v>0</v>
      </c>
      <c r="V1458" s="199" t="str">
        <f>IF(OR(IFERROR(SEARCH("Met",'Mail Merge'!$N1458),0)&gt;0,IFERROR(SEARCH("Met",'Mail Merge'!$I1458),0)&gt;0),"Met","Not Met")</f>
        <v>Met</v>
      </c>
    </row>
    <row r="1459" spans="1:22" x14ac:dyDescent="0.35">
      <c r="A1459" s="200" t="s">
        <v>100</v>
      </c>
      <c r="B1459" s="201">
        <v>2206</v>
      </c>
      <c r="C1459" s="201" t="s">
        <v>16</v>
      </c>
      <c r="D1459" s="201">
        <v>723</v>
      </c>
      <c r="E1459" s="201">
        <v>6008254.7999999998</v>
      </c>
      <c r="F1459" s="201">
        <v>0</v>
      </c>
      <c r="G1459" s="201">
        <f>'Mail Merge'!$E1459+'Mail Merge'!$F1459</f>
        <v>6008254.7999999998</v>
      </c>
      <c r="H1459" s="201">
        <v>0</v>
      </c>
      <c r="I1459" s="201" t="s">
        <v>241</v>
      </c>
      <c r="J1459" s="204">
        <f>IFERROR('Mail Merge'!$E1459/'Mail Merge'!$D1459,0)</f>
        <v>8310.1726141078834</v>
      </c>
      <c r="K1459" s="201">
        <f>IFERROR('Mail Merge'!$F1459/'Mail Merge'!$D1459,0)</f>
        <v>0</v>
      </c>
      <c r="L1459" s="205">
        <f>IFERROR('Mail Merge'!$G1459/'Mail Merge'!$D1459,0)</f>
        <v>8310.1726141078834</v>
      </c>
      <c r="M1459" s="201">
        <v>94773.17</v>
      </c>
      <c r="N1459" s="201" t="s">
        <v>240</v>
      </c>
      <c r="O1459" s="201">
        <v>772470.35</v>
      </c>
      <c r="P1459" s="201">
        <v>7086.61</v>
      </c>
      <c r="Q1459" s="201">
        <f>'Mail Merge'!$O1459+'Mail Merge'!$P1459</f>
        <v>779556.96</v>
      </c>
      <c r="R1459" s="201"/>
      <c r="S1459" s="201"/>
      <c r="T1459" s="201">
        <v>14.91</v>
      </c>
      <c r="U1459" s="201">
        <f>IF(AND('Mail Merge'!$I1459="Did Not Meet",'Mail Merge'!$N1459="Did Not Meet"),MIN(ABS('Mail Merge'!$H1459),ABS('Mail Merge'!$M1459),'Mail Merge'!$Q1459),0)</f>
        <v>0</v>
      </c>
      <c r="V1459" s="201" t="str">
        <f>IF(OR(IFERROR(SEARCH("Met",'Mail Merge'!$N1459),0)&gt;0,IFERROR(SEARCH("Met",'Mail Merge'!$I1459),0)&gt;0),"Met","Not Met")</f>
        <v>Met</v>
      </c>
    </row>
    <row r="1460" spans="1:22" x14ac:dyDescent="0.35">
      <c r="A1460" s="198" t="s">
        <v>101</v>
      </c>
      <c r="B1460" s="199">
        <v>2239</v>
      </c>
      <c r="C1460" s="199" t="s">
        <v>16</v>
      </c>
      <c r="D1460" s="199">
        <v>2967</v>
      </c>
      <c r="E1460" s="199">
        <v>32371139.550000001</v>
      </c>
      <c r="F1460" s="199">
        <v>3777337</v>
      </c>
      <c r="G1460" s="199">
        <f>'Mail Merge'!$E1460+'Mail Merge'!$F1460</f>
        <v>36148476.549999997</v>
      </c>
      <c r="H1460" s="199">
        <v>0</v>
      </c>
      <c r="I1460" s="199" t="s">
        <v>241</v>
      </c>
      <c r="J1460" s="202">
        <f>IFERROR('Mail Merge'!$E1460/'Mail Merge'!$D1460,0)</f>
        <v>10910.394186046511</v>
      </c>
      <c r="K1460" s="199">
        <f>IFERROR('Mail Merge'!$F1460/'Mail Merge'!$D1460,0)</f>
        <v>1273.1166161105493</v>
      </c>
      <c r="L1460" s="203">
        <f>IFERROR('Mail Merge'!$G1460/'Mail Merge'!$D1460,0)</f>
        <v>12183.51080215706</v>
      </c>
      <c r="M1460" s="199">
        <v>1672765.43</v>
      </c>
      <c r="N1460" s="199" t="s">
        <v>240</v>
      </c>
      <c r="O1460" s="199">
        <v>2837049.07</v>
      </c>
      <c r="P1460" s="199">
        <v>14056.6</v>
      </c>
      <c r="Q1460" s="199">
        <f>'Mail Merge'!$O1460+'Mail Merge'!$P1460</f>
        <v>2851105.67</v>
      </c>
      <c r="R1460" s="199"/>
      <c r="S1460" s="199"/>
      <c r="T1460" s="199">
        <v>0</v>
      </c>
      <c r="U1460" s="199">
        <f>IF(AND('Mail Merge'!$I1460="Did Not Meet",'Mail Merge'!$N1460="Did Not Meet"),MIN(ABS('Mail Merge'!$H1460),ABS('Mail Merge'!$M1460),'Mail Merge'!$Q1460),0)</f>
        <v>0</v>
      </c>
      <c r="V1460" s="199" t="str">
        <f>IF(OR(IFERROR(SEARCH("Met",'Mail Merge'!$N1460),0)&gt;0,IFERROR(SEARCH("Met",'Mail Merge'!$I1460),0)&gt;0),"Met","Not Met")</f>
        <v>Met</v>
      </c>
    </row>
    <row r="1461" spans="1:22" x14ac:dyDescent="0.35">
      <c r="A1461" s="200" t="s">
        <v>102</v>
      </c>
      <c r="B1461" s="201">
        <v>2024</v>
      </c>
      <c r="C1461" s="201" t="s">
        <v>16</v>
      </c>
      <c r="D1461" s="201">
        <v>474</v>
      </c>
      <c r="E1461" s="201">
        <v>4361520.79</v>
      </c>
      <c r="F1461" s="201">
        <v>0</v>
      </c>
      <c r="G1461" s="201">
        <f>'Mail Merge'!$E1461+'Mail Merge'!$F1461</f>
        <v>4361520.79</v>
      </c>
      <c r="H1461" s="201">
        <v>0</v>
      </c>
      <c r="I1461" s="201" t="s">
        <v>241</v>
      </c>
      <c r="J1461" s="204">
        <f>IFERROR('Mail Merge'!$E1461/'Mail Merge'!$D1461,0)</f>
        <v>9201.5206540084382</v>
      </c>
      <c r="K1461" s="201">
        <f>IFERROR('Mail Merge'!$F1461/'Mail Merge'!$D1461,0)</f>
        <v>0</v>
      </c>
      <c r="L1461" s="205">
        <f>IFERROR('Mail Merge'!$G1461/'Mail Merge'!$D1461,0)</f>
        <v>9201.5206540084382</v>
      </c>
      <c r="M1461" s="201">
        <v>0</v>
      </c>
      <c r="N1461" s="201" t="s">
        <v>241</v>
      </c>
      <c r="O1461" s="201">
        <v>643909.15</v>
      </c>
      <c r="P1461" s="201">
        <v>6339.49</v>
      </c>
      <c r="Q1461" s="201">
        <f>'Mail Merge'!$O1461+'Mail Merge'!$P1461</f>
        <v>650248.64</v>
      </c>
      <c r="R1461" s="201"/>
      <c r="S1461" s="201"/>
      <c r="T1461" s="201"/>
      <c r="U1461" s="201">
        <f>IF(AND('Mail Merge'!$I1461="Did Not Meet",'Mail Merge'!$N1461="Did Not Meet"),MIN(ABS('Mail Merge'!$H1461),ABS('Mail Merge'!$M1461),'Mail Merge'!$Q1461),0)</f>
        <v>0</v>
      </c>
      <c r="V1461" s="201" t="str">
        <f>IF(OR(IFERROR(SEARCH("Met",'Mail Merge'!$N1461),0)&gt;0,IFERROR(SEARCH("Met",'Mail Merge'!$I1461),0)&gt;0),"Met","Not Met")</f>
        <v>Met</v>
      </c>
    </row>
    <row r="1462" spans="1:22" x14ac:dyDescent="0.35">
      <c r="A1462" s="198" t="s">
        <v>103</v>
      </c>
      <c r="B1462" s="199">
        <v>1895</v>
      </c>
      <c r="C1462" s="199" t="s">
        <v>16</v>
      </c>
      <c r="D1462" s="199">
        <v>10</v>
      </c>
      <c r="E1462" s="199">
        <v>70018.820000000007</v>
      </c>
      <c r="F1462" s="199">
        <v>42585.29</v>
      </c>
      <c r="G1462" s="199">
        <f>'Mail Merge'!$E1462+'Mail Merge'!$F1462</f>
        <v>112604.11000000002</v>
      </c>
      <c r="H1462" s="199">
        <v>0</v>
      </c>
      <c r="I1462" s="199" t="s">
        <v>241</v>
      </c>
      <c r="J1462" s="202">
        <f>IFERROR('Mail Merge'!$E1462/'Mail Merge'!$D1462,0)</f>
        <v>7001.8820000000005</v>
      </c>
      <c r="K1462" s="199">
        <f>IFERROR('Mail Merge'!$F1462/'Mail Merge'!$D1462,0)</f>
        <v>4258.5290000000005</v>
      </c>
      <c r="L1462" s="203">
        <f>IFERROR('Mail Merge'!$G1462/'Mail Merge'!$D1462,0)</f>
        <v>11260.411000000002</v>
      </c>
      <c r="M1462" s="199">
        <v>27500.39</v>
      </c>
      <c r="N1462" s="199" t="s">
        <v>240</v>
      </c>
      <c r="O1462" s="199">
        <v>16831.599999999999</v>
      </c>
      <c r="P1462" s="199">
        <v>970.38</v>
      </c>
      <c r="Q1462" s="199">
        <f>'Mail Merge'!$O1462+'Mail Merge'!$P1462</f>
        <v>17801.98</v>
      </c>
      <c r="R1462" s="199"/>
      <c r="S1462" s="199"/>
      <c r="T1462" s="199">
        <v>0</v>
      </c>
      <c r="U1462" s="199">
        <f>IF(AND('Mail Merge'!$I1462="Did Not Meet",'Mail Merge'!$N1462="Did Not Meet"),MIN(ABS('Mail Merge'!$H1462),ABS('Mail Merge'!$M1462),'Mail Merge'!$Q1462),0)</f>
        <v>0</v>
      </c>
      <c r="V1462" s="199" t="str">
        <f>IF(OR(IFERROR(SEARCH("Met",'Mail Merge'!$N1462),0)&gt;0,IFERROR(SEARCH("Met",'Mail Merge'!$I1462),0)&gt;0),"Met","Not Met")</f>
        <v>Met</v>
      </c>
    </row>
    <row r="1463" spans="1:22" x14ac:dyDescent="0.35">
      <c r="A1463" s="200" t="s">
        <v>104</v>
      </c>
      <c r="B1463" s="201">
        <v>2215</v>
      </c>
      <c r="C1463" s="201" t="s">
        <v>16</v>
      </c>
      <c r="D1463" s="201">
        <v>41</v>
      </c>
      <c r="E1463" s="201">
        <v>248482.43</v>
      </c>
      <c r="F1463" s="201">
        <v>66276.039999999994</v>
      </c>
      <c r="G1463" s="201">
        <f>'Mail Merge'!$E1463+'Mail Merge'!$F1463</f>
        <v>314758.46999999997</v>
      </c>
      <c r="H1463" s="201">
        <v>0</v>
      </c>
      <c r="I1463" s="201" t="s">
        <v>241</v>
      </c>
      <c r="J1463" s="204">
        <f>IFERROR('Mail Merge'!$E1463/'Mail Merge'!$D1463,0)</f>
        <v>6060.5470731707319</v>
      </c>
      <c r="K1463" s="201">
        <f>IFERROR('Mail Merge'!$F1463/'Mail Merge'!$D1463,0)</f>
        <v>1616.4887804878047</v>
      </c>
      <c r="L1463" s="205">
        <f>IFERROR('Mail Merge'!$G1463/'Mail Merge'!$D1463,0)</f>
        <v>7677.0358536585363</v>
      </c>
      <c r="M1463" s="201">
        <v>14431.74</v>
      </c>
      <c r="N1463" s="201" t="s">
        <v>240</v>
      </c>
      <c r="O1463" s="201">
        <v>59498.23</v>
      </c>
      <c r="P1463" s="201">
        <v>242.6</v>
      </c>
      <c r="Q1463" s="201">
        <f>'Mail Merge'!$O1463+'Mail Merge'!$P1463</f>
        <v>59740.83</v>
      </c>
      <c r="R1463" s="201"/>
      <c r="S1463" s="201"/>
      <c r="T1463" s="201">
        <v>0</v>
      </c>
      <c r="U1463" s="201">
        <f>IF(AND('Mail Merge'!$I1463="Did Not Meet",'Mail Merge'!$N1463="Did Not Meet"),MIN(ABS('Mail Merge'!$H1463),ABS('Mail Merge'!$M1463),'Mail Merge'!$Q1463),0)</f>
        <v>0</v>
      </c>
      <c r="V1463" s="201" t="str">
        <f>IF(OR(IFERROR(SEARCH("Met",'Mail Merge'!$N1463),0)&gt;0,IFERROR(SEARCH("Met",'Mail Merge'!$I1463),0)&gt;0),"Met","Not Met")</f>
        <v>Met</v>
      </c>
    </row>
    <row r="1464" spans="1:22" x14ac:dyDescent="0.35">
      <c r="A1464" s="198" t="s">
        <v>105</v>
      </c>
      <c r="B1464" s="199">
        <v>3997</v>
      </c>
      <c r="C1464" s="199" t="s">
        <v>16</v>
      </c>
      <c r="D1464" s="199">
        <v>28</v>
      </c>
      <c r="E1464" s="199">
        <v>172856.48</v>
      </c>
      <c r="F1464" s="199">
        <v>45279.839999999997</v>
      </c>
      <c r="G1464" s="199">
        <f>'Mail Merge'!$E1464+'Mail Merge'!$F1464</f>
        <v>218136.32000000001</v>
      </c>
      <c r="H1464" s="199">
        <v>0</v>
      </c>
      <c r="I1464" s="199" t="s">
        <v>241</v>
      </c>
      <c r="J1464" s="202">
        <f>IFERROR('Mail Merge'!$E1464/'Mail Merge'!$D1464,0)</f>
        <v>6173.4457142857145</v>
      </c>
      <c r="K1464" s="199">
        <f>IFERROR('Mail Merge'!$F1464/'Mail Merge'!$D1464,0)</f>
        <v>1617.1371428571426</v>
      </c>
      <c r="L1464" s="203">
        <f>IFERROR('Mail Merge'!$G1464/'Mail Merge'!$D1464,0)</f>
        <v>7790.5828571428574</v>
      </c>
      <c r="M1464" s="199">
        <v>20212.439999999999</v>
      </c>
      <c r="N1464" s="199" t="s">
        <v>240</v>
      </c>
      <c r="O1464" s="199">
        <v>22365.27</v>
      </c>
      <c r="P1464" s="199">
        <v>0</v>
      </c>
      <c r="Q1464" s="199">
        <f>'Mail Merge'!$O1464+'Mail Merge'!$P1464</f>
        <v>22365.27</v>
      </c>
      <c r="R1464" s="199"/>
      <c r="S1464" s="199"/>
      <c r="T1464" s="199">
        <v>0</v>
      </c>
      <c r="U1464" s="199">
        <f>IF(AND('Mail Merge'!$I1464="Did Not Meet",'Mail Merge'!$N1464="Did Not Meet"),MIN(ABS('Mail Merge'!$H1464),ABS('Mail Merge'!$M1464),'Mail Merge'!$Q1464),0)</f>
        <v>0</v>
      </c>
      <c r="V1464" s="199" t="str">
        <f>IF(OR(IFERROR(SEARCH("Met",'Mail Merge'!$N1464),0)&gt;0,IFERROR(SEARCH("Met",'Mail Merge'!$I1464),0)&gt;0),"Met","Not Met")</f>
        <v>Met</v>
      </c>
    </row>
    <row r="1465" spans="1:22" x14ac:dyDescent="0.35">
      <c r="A1465" s="200" t="s">
        <v>106</v>
      </c>
      <c r="B1465" s="201">
        <v>2053</v>
      </c>
      <c r="C1465" s="201" t="s">
        <v>16</v>
      </c>
      <c r="D1465" s="201">
        <v>463</v>
      </c>
      <c r="E1465" s="201">
        <v>4321609.8</v>
      </c>
      <c r="F1465" s="201">
        <v>1073140.6599999999</v>
      </c>
      <c r="G1465" s="201">
        <f>'Mail Merge'!$E1465+'Mail Merge'!$F1465</f>
        <v>5394750.46</v>
      </c>
      <c r="H1465" s="201">
        <v>0</v>
      </c>
      <c r="I1465" s="201" t="s">
        <v>241</v>
      </c>
      <c r="J1465" s="204">
        <f>IFERROR('Mail Merge'!$E1465/'Mail Merge'!$D1465,0)</f>
        <v>9333.9304535637148</v>
      </c>
      <c r="K1465" s="201">
        <f>IFERROR('Mail Merge'!$F1465/'Mail Merge'!$D1465,0)</f>
        <v>2317.7984017278618</v>
      </c>
      <c r="L1465" s="205">
        <f>IFERROR('Mail Merge'!$G1465/'Mail Merge'!$D1465,0)</f>
        <v>11651.728855291576</v>
      </c>
      <c r="M1465" s="201">
        <v>0</v>
      </c>
      <c r="N1465" s="201" t="s">
        <v>241</v>
      </c>
      <c r="O1465" s="201">
        <v>509803.68</v>
      </c>
      <c r="P1465" s="201">
        <v>10074.56</v>
      </c>
      <c r="Q1465" s="201">
        <f>'Mail Merge'!$O1465+'Mail Merge'!$P1465</f>
        <v>519878.24</v>
      </c>
      <c r="R1465" s="201"/>
      <c r="S1465" s="201"/>
      <c r="T1465" s="201"/>
      <c r="U1465" s="201">
        <f>IF(AND('Mail Merge'!$I1465="Did Not Meet",'Mail Merge'!$N1465="Did Not Meet"),MIN(ABS('Mail Merge'!$H1465),ABS('Mail Merge'!$M1465),'Mail Merge'!$Q1465),0)</f>
        <v>0</v>
      </c>
      <c r="V1465" s="201" t="str">
        <f>IF(OR(IFERROR(SEARCH("Met",'Mail Merge'!$N1465),0)&gt;0,IFERROR(SEARCH("Met",'Mail Merge'!$I1465),0)&gt;0),"Met","Not Met")</f>
        <v>Met</v>
      </c>
    </row>
    <row r="1466" spans="1:22" x14ac:dyDescent="0.35">
      <c r="A1466" s="198" t="s">
        <v>107</v>
      </c>
      <c r="B1466" s="199">
        <v>2140</v>
      </c>
      <c r="C1466" s="199" t="s">
        <v>16</v>
      </c>
      <c r="D1466" s="199">
        <v>136</v>
      </c>
      <c r="E1466" s="199">
        <v>1212144.01</v>
      </c>
      <c r="F1466" s="199">
        <v>160085.89000000001</v>
      </c>
      <c r="G1466" s="199">
        <f>'Mail Merge'!$E1466+'Mail Merge'!$F1466</f>
        <v>1372229.9</v>
      </c>
      <c r="H1466" s="199">
        <v>0</v>
      </c>
      <c r="I1466" s="199" t="s">
        <v>241</v>
      </c>
      <c r="J1466" s="202">
        <f>IFERROR('Mail Merge'!$E1466/'Mail Merge'!$D1466,0)</f>
        <v>8912.8236029411764</v>
      </c>
      <c r="K1466" s="199">
        <f>IFERROR('Mail Merge'!$F1466/'Mail Merge'!$D1466,0)</f>
        <v>1177.1021323529412</v>
      </c>
      <c r="L1466" s="203">
        <f>IFERROR('Mail Merge'!$G1466/'Mail Merge'!$D1466,0)</f>
        <v>10089.925735294117</v>
      </c>
      <c r="M1466" s="199">
        <v>0</v>
      </c>
      <c r="N1466" s="199" t="s">
        <v>241</v>
      </c>
      <c r="O1466" s="199">
        <v>130893.83</v>
      </c>
      <c r="P1466" s="199">
        <v>242.6</v>
      </c>
      <c r="Q1466" s="199">
        <f>'Mail Merge'!$O1466+'Mail Merge'!$P1466</f>
        <v>131136.43</v>
      </c>
      <c r="R1466" s="199"/>
      <c r="S1466" s="199"/>
      <c r="T1466" s="199"/>
      <c r="U1466" s="199">
        <f>IF(AND('Mail Merge'!$I1466="Did Not Meet",'Mail Merge'!$N1466="Did Not Meet"),MIN(ABS('Mail Merge'!$H1466),ABS('Mail Merge'!$M1466),'Mail Merge'!$Q1466),0)</f>
        <v>0</v>
      </c>
      <c r="V1466" s="199" t="str">
        <f>IF(OR(IFERROR(SEARCH("Met",'Mail Merge'!$N1466),0)&gt;0,IFERROR(SEARCH("Met",'Mail Merge'!$I1466),0)&gt;0),"Met","Not Met")</f>
        <v>Met</v>
      </c>
    </row>
    <row r="1467" spans="1:22" x14ac:dyDescent="0.35">
      <c r="A1467" s="200" t="s">
        <v>108</v>
      </c>
      <c r="B1467" s="201">
        <v>1934</v>
      </c>
      <c r="C1467" s="201" t="s">
        <v>16</v>
      </c>
      <c r="D1467" s="201">
        <v>27</v>
      </c>
      <c r="E1467" s="201">
        <v>319519.62</v>
      </c>
      <c r="F1467" s="201">
        <v>10355</v>
      </c>
      <c r="G1467" s="201">
        <f>'Mail Merge'!$E1467+'Mail Merge'!$F1467</f>
        <v>329874.62</v>
      </c>
      <c r="H1467" s="201">
        <v>0</v>
      </c>
      <c r="I1467" s="201" t="s">
        <v>241</v>
      </c>
      <c r="J1467" s="204">
        <f>IFERROR('Mail Merge'!$E1467/'Mail Merge'!$D1467,0)</f>
        <v>11834.06</v>
      </c>
      <c r="K1467" s="201">
        <f>IFERROR('Mail Merge'!$F1467/'Mail Merge'!$D1467,0)</f>
        <v>383.51851851851853</v>
      </c>
      <c r="L1467" s="205">
        <f>IFERROR('Mail Merge'!$G1467/'Mail Merge'!$D1467,0)</f>
        <v>12217.578518518518</v>
      </c>
      <c r="M1467" s="201">
        <v>262770.05</v>
      </c>
      <c r="N1467" s="201" t="s">
        <v>240</v>
      </c>
      <c r="O1467" s="201">
        <v>22956.21</v>
      </c>
      <c r="P1467" s="201">
        <v>0</v>
      </c>
      <c r="Q1467" s="201">
        <f>'Mail Merge'!$O1467+'Mail Merge'!$P1467</f>
        <v>22956.21</v>
      </c>
      <c r="R1467" s="201"/>
      <c r="S1467" s="201"/>
      <c r="T1467" s="201">
        <v>0</v>
      </c>
      <c r="U1467" s="201">
        <f>IF(AND('Mail Merge'!$I1467="Did Not Meet",'Mail Merge'!$N1467="Did Not Meet"),MIN(ABS('Mail Merge'!$H1467),ABS('Mail Merge'!$M1467),'Mail Merge'!$Q1467),0)</f>
        <v>0</v>
      </c>
      <c r="V1467" s="201" t="str">
        <f>IF(OR(IFERROR(SEARCH("Met",'Mail Merge'!$N1467),0)&gt;0,IFERROR(SEARCH("Met",'Mail Merge'!$I1467),0)&gt;0),"Met","Not Met")</f>
        <v>Met</v>
      </c>
    </row>
    <row r="1468" spans="1:22" x14ac:dyDescent="0.35">
      <c r="A1468" s="198" t="s">
        <v>109</v>
      </c>
      <c r="B1468" s="199">
        <v>2008</v>
      </c>
      <c r="C1468" s="199" t="s">
        <v>16</v>
      </c>
      <c r="D1468" s="199">
        <v>88</v>
      </c>
      <c r="E1468" s="199">
        <v>772510</v>
      </c>
      <c r="F1468" s="199">
        <v>144704.87</v>
      </c>
      <c r="G1468" s="199">
        <f>'Mail Merge'!$E1468+'Mail Merge'!$F1468</f>
        <v>917214.87</v>
      </c>
      <c r="H1468" s="199">
        <v>0</v>
      </c>
      <c r="I1468" s="199" t="s">
        <v>242</v>
      </c>
      <c r="J1468" s="202">
        <f>IFERROR('Mail Merge'!$E1468/'Mail Merge'!$D1468,0)</f>
        <v>8778.5227272727279</v>
      </c>
      <c r="K1468" s="199">
        <f>IFERROR('Mail Merge'!$F1468/'Mail Merge'!$D1468,0)</f>
        <v>1644.3735227272728</v>
      </c>
      <c r="L1468" s="203">
        <f>IFERROR('Mail Merge'!$G1468/'Mail Merge'!$D1468,0)</f>
        <v>10422.89625</v>
      </c>
      <c r="M1468" s="199">
        <v>0</v>
      </c>
      <c r="N1468" s="199" t="s">
        <v>241</v>
      </c>
      <c r="O1468" s="199">
        <v>137963.28</v>
      </c>
      <c r="P1468" s="199">
        <v>2075.5500000000002</v>
      </c>
      <c r="Q1468" s="199">
        <f>'Mail Merge'!$O1468+'Mail Merge'!$P1468</f>
        <v>140038.82999999999</v>
      </c>
      <c r="R1468" s="199"/>
      <c r="S1468" s="199">
        <v>80967.27</v>
      </c>
      <c r="T1468" s="199"/>
      <c r="U1468" s="199">
        <f>IF(AND('Mail Merge'!$I1468="Did Not Meet",'Mail Merge'!$N1468="Did Not Meet"),MIN(ABS('Mail Merge'!$H1468),ABS('Mail Merge'!$M1468),'Mail Merge'!$Q1468),0)</f>
        <v>0</v>
      </c>
      <c r="V1468" s="199" t="str">
        <f>IF(OR(IFERROR(SEARCH("Met",'Mail Merge'!$N1468),0)&gt;0,IFERROR(SEARCH("Met",'Mail Merge'!$I1468),0)&gt;0),"Met","Not Met")</f>
        <v>Met</v>
      </c>
    </row>
    <row r="1469" spans="1:22" x14ac:dyDescent="0.35">
      <c r="A1469" s="200" t="s">
        <v>110</v>
      </c>
      <c r="B1469" s="201">
        <v>2107</v>
      </c>
      <c r="C1469" s="201" t="s">
        <v>16</v>
      </c>
      <c r="D1469" s="201">
        <v>6</v>
      </c>
      <c r="E1469" s="201">
        <v>39503.5</v>
      </c>
      <c r="F1469" s="201">
        <v>40031.08</v>
      </c>
      <c r="G1469" s="201">
        <f>'Mail Merge'!$E1469+'Mail Merge'!$F1469</f>
        <v>79534.58</v>
      </c>
      <c r="H1469" s="201">
        <v>8962.84</v>
      </c>
      <c r="I1469" s="201" t="s">
        <v>240</v>
      </c>
      <c r="J1469" s="204">
        <f>IFERROR('Mail Merge'!$E1469/'Mail Merge'!$D1469,0)</f>
        <v>6583.916666666667</v>
      </c>
      <c r="K1469" s="201">
        <f>IFERROR('Mail Merge'!$F1469/'Mail Merge'!$D1469,0)</f>
        <v>6671.8466666666673</v>
      </c>
      <c r="L1469" s="205">
        <f>IFERROR('Mail Merge'!$G1469/'Mail Merge'!$D1469,0)</f>
        <v>13255.763333333334</v>
      </c>
      <c r="M1469" s="201">
        <v>0</v>
      </c>
      <c r="N1469" s="201" t="s">
        <v>242</v>
      </c>
      <c r="O1469" s="201">
        <v>17699.07</v>
      </c>
      <c r="P1469" s="201">
        <v>485.19</v>
      </c>
      <c r="Q1469" s="201">
        <f>'Mail Merge'!$O1469+'Mail Merge'!$P1469</f>
        <v>18184.259999999998</v>
      </c>
      <c r="R1469" s="201"/>
      <c r="S1469" s="201">
        <v>29499.14</v>
      </c>
      <c r="T1469" s="201">
        <v>6551.3</v>
      </c>
      <c r="U1469" s="201">
        <f>IF(AND('Mail Merge'!$I1469="Did Not Meet",'Mail Merge'!$N1469="Did Not Meet"),MIN(ABS('Mail Merge'!$H1469),ABS('Mail Merge'!$M1469),'Mail Merge'!$Q1469),0)</f>
        <v>0</v>
      </c>
      <c r="V1469" s="201" t="str">
        <f>IF(OR(IFERROR(SEARCH("Met",'Mail Merge'!$N1469),0)&gt;0,IFERROR(SEARCH("Met",'Mail Merge'!$I1469),0)&gt;0),"Met","Not Met")</f>
        <v>Met</v>
      </c>
    </row>
    <row r="1470" spans="1:22" x14ac:dyDescent="0.35">
      <c r="A1470" s="198" t="s">
        <v>111</v>
      </c>
      <c r="B1470" s="199">
        <v>2219</v>
      </c>
      <c r="C1470" s="199" t="s">
        <v>16</v>
      </c>
      <c r="D1470" s="199">
        <v>30</v>
      </c>
      <c r="E1470" s="199">
        <v>116500.98</v>
      </c>
      <c r="F1470" s="199">
        <v>155959.67999999999</v>
      </c>
      <c r="G1470" s="199">
        <f>'Mail Merge'!$E1470+'Mail Merge'!$F1470</f>
        <v>272460.65999999997</v>
      </c>
      <c r="H1470" s="199">
        <v>0</v>
      </c>
      <c r="I1470" s="199" t="s">
        <v>241</v>
      </c>
      <c r="J1470" s="202">
        <f>IFERROR('Mail Merge'!$E1470/'Mail Merge'!$D1470,0)</f>
        <v>3883.366</v>
      </c>
      <c r="K1470" s="199">
        <f>IFERROR('Mail Merge'!$F1470/'Mail Merge'!$D1470,0)</f>
        <v>5198.6559999999999</v>
      </c>
      <c r="L1470" s="203">
        <f>IFERROR('Mail Merge'!$G1470/'Mail Merge'!$D1470,0)</f>
        <v>9082.021999999999</v>
      </c>
      <c r="M1470" s="199">
        <v>42422.53</v>
      </c>
      <c r="N1470" s="199" t="s">
        <v>240</v>
      </c>
      <c r="O1470" s="199">
        <v>59196.05</v>
      </c>
      <c r="P1470" s="199">
        <v>1212.98</v>
      </c>
      <c r="Q1470" s="199">
        <f>'Mail Merge'!$O1470+'Mail Merge'!$P1470</f>
        <v>60409.030000000006</v>
      </c>
      <c r="R1470" s="199"/>
      <c r="S1470" s="199"/>
      <c r="T1470" s="199">
        <v>0</v>
      </c>
      <c r="U1470" s="199">
        <f>IF(AND('Mail Merge'!$I1470="Did Not Meet",'Mail Merge'!$N1470="Did Not Meet"),MIN(ABS('Mail Merge'!$H1470),ABS('Mail Merge'!$M1470),'Mail Merge'!$Q1470),0)</f>
        <v>0</v>
      </c>
      <c r="V1470" s="199" t="str">
        <f>IF(OR(IFERROR(SEARCH("Met",'Mail Merge'!$N1470),0)&gt;0,IFERROR(SEARCH("Met",'Mail Merge'!$I1470),0)&gt;0),"Met","Not Met")</f>
        <v>Met</v>
      </c>
    </row>
    <row r="1471" spans="1:22" x14ac:dyDescent="0.35">
      <c r="A1471" s="200" t="s">
        <v>112</v>
      </c>
      <c r="B1471" s="201">
        <v>2091</v>
      </c>
      <c r="C1471" s="201" t="s">
        <v>16</v>
      </c>
      <c r="D1471" s="201">
        <v>225</v>
      </c>
      <c r="E1471" s="201">
        <v>1708756.77</v>
      </c>
      <c r="F1471" s="201">
        <v>459921</v>
      </c>
      <c r="G1471" s="201">
        <f>'Mail Merge'!$E1471+'Mail Merge'!$F1471</f>
        <v>2168677.77</v>
      </c>
      <c r="H1471" s="201">
        <v>0</v>
      </c>
      <c r="I1471" s="201" t="s">
        <v>241</v>
      </c>
      <c r="J1471" s="204">
        <f>IFERROR('Mail Merge'!$E1471/'Mail Merge'!$D1471,0)</f>
        <v>7594.4745333333331</v>
      </c>
      <c r="K1471" s="201">
        <f>IFERROR('Mail Merge'!$F1471/'Mail Merge'!$D1471,0)</f>
        <v>2044.0933333333332</v>
      </c>
      <c r="L1471" s="205">
        <f>IFERROR('Mail Merge'!$G1471/'Mail Merge'!$D1471,0)</f>
        <v>9638.5678666666663</v>
      </c>
      <c r="M1471" s="201">
        <v>0</v>
      </c>
      <c r="N1471" s="201" t="s">
        <v>241</v>
      </c>
      <c r="O1471" s="201">
        <v>284604.52</v>
      </c>
      <c r="P1471" s="201">
        <v>3757.66</v>
      </c>
      <c r="Q1471" s="201">
        <f>'Mail Merge'!$O1471+'Mail Merge'!$P1471</f>
        <v>288362.18</v>
      </c>
      <c r="R1471" s="201"/>
      <c r="S1471" s="201"/>
      <c r="T1471" s="201"/>
      <c r="U1471" s="201">
        <f>IF(AND('Mail Merge'!$I1471="Did Not Meet",'Mail Merge'!$N1471="Did Not Meet"),MIN(ABS('Mail Merge'!$H1471),ABS('Mail Merge'!$M1471),'Mail Merge'!$Q1471),0)</f>
        <v>0</v>
      </c>
      <c r="V1471" s="201" t="str">
        <f>IF(OR(IFERROR(SEARCH("Met",'Mail Merge'!$N1471),0)&gt;0,IFERROR(SEARCH("Met",'Mail Merge'!$I1471),0)&gt;0),"Met","Not Met")</f>
        <v>Met</v>
      </c>
    </row>
    <row r="1472" spans="1:22" x14ac:dyDescent="0.35">
      <c r="A1472" s="198" t="s">
        <v>113</v>
      </c>
      <c r="B1472" s="199">
        <v>2109</v>
      </c>
      <c r="C1472" s="199" t="s">
        <v>16</v>
      </c>
      <c r="D1472" s="199">
        <v>0</v>
      </c>
      <c r="E1472" s="199">
        <v>0</v>
      </c>
      <c r="F1472" s="199">
        <v>6068.13</v>
      </c>
      <c r="G1472" s="199">
        <f>'Mail Merge'!$E1472+'Mail Merge'!$F1472</f>
        <v>6068.13</v>
      </c>
      <c r="H1472" s="199">
        <v>4298.29</v>
      </c>
      <c r="I1472" s="199" t="s">
        <v>240</v>
      </c>
      <c r="J1472" s="202">
        <f>IFERROR('Mail Merge'!$E1472/'Mail Merge'!$D1472,0)</f>
        <v>0</v>
      </c>
      <c r="K1472" s="199">
        <f>IFERROR('Mail Merge'!$F1472/'Mail Merge'!$D1472,0)</f>
        <v>0</v>
      </c>
      <c r="L1472" s="203">
        <f>IFERROR('Mail Merge'!$G1472/'Mail Merge'!$D1472,0)</f>
        <v>0</v>
      </c>
      <c r="M1472" s="199">
        <v>0</v>
      </c>
      <c r="N1472" s="199" t="s">
        <v>241</v>
      </c>
      <c r="O1472" s="199">
        <v>354.09</v>
      </c>
      <c r="P1472" s="199">
        <v>0</v>
      </c>
      <c r="Q1472" s="199">
        <f>'Mail Merge'!$O1472+'Mail Merge'!$P1472</f>
        <v>354.09</v>
      </c>
      <c r="R1472" s="199"/>
      <c r="S1472" s="199">
        <v>0</v>
      </c>
      <c r="T1472" s="199"/>
      <c r="U1472" s="199">
        <f>IF(AND('Mail Merge'!$I1472="Did Not Meet",'Mail Merge'!$N1472="Did Not Meet"),MIN(ABS('Mail Merge'!$H1472),ABS('Mail Merge'!$M1472),'Mail Merge'!$Q1472),0)</f>
        <v>0</v>
      </c>
      <c r="V1472" s="199" t="str">
        <f>IF(OR(IFERROR(SEARCH("Met",'Mail Merge'!$N1472),0)&gt;0,IFERROR(SEARCH("Met",'Mail Merge'!$I1472),0)&gt;0),"Met","Not Met")</f>
        <v>Met</v>
      </c>
    </row>
    <row r="1473" spans="1:22" x14ac:dyDescent="0.35">
      <c r="A1473" s="200" t="s">
        <v>114</v>
      </c>
      <c r="B1473" s="201">
        <v>2057</v>
      </c>
      <c r="C1473" s="201" t="s">
        <v>16</v>
      </c>
      <c r="D1473" s="201">
        <v>832</v>
      </c>
      <c r="E1473" s="201">
        <v>6957254.7699999996</v>
      </c>
      <c r="F1473" s="201">
        <v>294928.53999999998</v>
      </c>
      <c r="G1473" s="201">
        <f>'Mail Merge'!$E1473+'Mail Merge'!$F1473</f>
        <v>7252183.3099999996</v>
      </c>
      <c r="H1473" s="201">
        <v>0</v>
      </c>
      <c r="I1473" s="201" t="s">
        <v>241</v>
      </c>
      <c r="J1473" s="204">
        <f>IFERROR('Mail Merge'!$E1473/'Mail Merge'!$D1473,0)</f>
        <v>8362.085060096153</v>
      </c>
      <c r="K1473" s="201">
        <f>IFERROR('Mail Merge'!$F1473/'Mail Merge'!$D1473,0)</f>
        <v>354.48141826923074</v>
      </c>
      <c r="L1473" s="205">
        <f>IFERROR('Mail Merge'!$G1473/'Mail Merge'!$D1473,0)</f>
        <v>8716.5664783653847</v>
      </c>
      <c r="M1473" s="201">
        <v>0</v>
      </c>
      <c r="N1473" s="201" t="s">
        <v>241</v>
      </c>
      <c r="O1473" s="201">
        <v>1237856.1100000001</v>
      </c>
      <c r="P1473" s="201">
        <v>10524.14</v>
      </c>
      <c r="Q1473" s="201">
        <f>'Mail Merge'!$O1473+'Mail Merge'!$P1473</f>
        <v>1248380.25</v>
      </c>
      <c r="R1473" s="201"/>
      <c r="S1473" s="201"/>
      <c r="T1473" s="201"/>
      <c r="U1473" s="201">
        <f>IF(AND('Mail Merge'!$I1473="Did Not Meet",'Mail Merge'!$N1473="Did Not Meet"),MIN(ABS('Mail Merge'!$H1473),ABS('Mail Merge'!$M1473),'Mail Merge'!$Q1473),0)</f>
        <v>0</v>
      </c>
      <c r="V1473" s="201" t="str">
        <f>IF(OR(IFERROR(SEARCH("Met",'Mail Merge'!$N1473),0)&gt;0,IFERROR(SEARCH("Met",'Mail Merge'!$I1473),0)&gt;0),"Met","Not Met")</f>
        <v>Met</v>
      </c>
    </row>
    <row r="1474" spans="1:22" x14ac:dyDescent="0.35">
      <c r="A1474" s="198" t="s">
        <v>115</v>
      </c>
      <c r="B1474" s="199">
        <v>2056</v>
      </c>
      <c r="C1474" s="199" t="s">
        <v>16</v>
      </c>
      <c r="D1474" s="199">
        <v>411</v>
      </c>
      <c r="E1474" s="199">
        <v>3411420.53</v>
      </c>
      <c r="F1474" s="199">
        <v>95390.92</v>
      </c>
      <c r="G1474" s="199">
        <f>'Mail Merge'!$E1474+'Mail Merge'!$F1474</f>
        <v>3506811.4499999997</v>
      </c>
      <c r="H1474" s="199">
        <v>0</v>
      </c>
      <c r="I1474" s="199" t="s">
        <v>241</v>
      </c>
      <c r="J1474" s="202">
        <f>IFERROR('Mail Merge'!$E1474/'Mail Merge'!$D1474,0)</f>
        <v>8300.2932603406316</v>
      </c>
      <c r="K1474" s="199">
        <f>IFERROR('Mail Merge'!$F1474/'Mail Merge'!$D1474,0)</f>
        <v>232.09469586374695</v>
      </c>
      <c r="L1474" s="203">
        <f>IFERROR('Mail Merge'!$G1474/'Mail Merge'!$D1474,0)</f>
        <v>8532.3879562043785</v>
      </c>
      <c r="M1474" s="199">
        <v>0</v>
      </c>
      <c r="N1474" s="199" t="s">
        <v>241</v>
      </c>
      <c r="O1474" s="199">
        <v>630419.01</v>
      </c>
      <c r="P1474" s="199">
        <v>8016.96</v>
      </c>
      <c r="Q1474" s="199">
        <f>'Mail Merge'!$O1474+'Mail Merge'!$P1474</f>
        <v>638435.97</v>
      </c>
      <c r="R1474" s="199"/>
      <c r="S1474" s="199"/>
      <c r="T1474" s="199"/>
      <c r="U1474" s="199">
        <f>IF(AND('Mail Merge'!$I1474="Did Not Meet",'Mail Merge'!$N1474="Did Not Meet"),MIN(ABS('Mail Merge'!$H1474),ABS('Mail Merge'!$M1474),'Mail Merge'!$Q1474),0)</f>
        <v>0</v>
      </c>
      <c r="V1474" s="199" t="str">
        <f>IF(OR(IFERROR(SEARCH("Met",'Mail Merge'!$N1474),0)&gt;0,IFERROR(SEARCH("Met",'Mail Merge'!$I1474),0)&gt;0),"Met","Not Met")</f>
        <v>Met</v>
      </c>
    </row>
    <row r="1475" spans="1:22" x14ac:dyDescent="0.35">
      <c r="A1475" s="200" t="s">
        <v>116</v>
      </c>
      <c r="B1475" s="201">
        <v>2262</v>
      </c>
      <c r="C1475" s="201" t="s">
        <v>16</v>
      </c>
      <c r="D1475" s="201">
        <v>84</v>
      </c>
      <c r="E1475" s="201">
        <v>725541.45</v>
      </c>
      <c r="F1475" s="201">
        <v>43971</v>
      </c>
      <c r="G1475" s="201">
        <f>'Mail Merge'!$E1475+'Mail Merge'!$F1475</f>
        <v>769512.45</v>
      </c>
      <c r="H1475" s="201">
        <v>0</v>
      </c>
      <c r="I1475" s="201" t="s">
        <v>241</v>
      </c>
      <c r="J1475" s="204">
        <f>IFERROR('Mail Merge'!$E1475/'Mail Merge'!$D1475,0)</f>
        <v>8637.398214285713</v>
      </c>
      <c r="K1475" s="201">
        <f>IFERROR('Mail Merge'!$F1475/'Mail Merge'!$D1475,0)</f>
        <v>523.46428571428567</v>
      </c>
      <c r="L1475" s="205">
        <f>IFERROR('Mail Merge'!$G1475/'Mail Merge'!$D1475,0)</f>
        <v>9160.8624999999993</v>
      </c>
      <c r="M1475" s="201">
        <v>0</v>
      </c>
      <c r="N1475" s="201" t="s">
        <v>241</v>
      </c>
      <c r="O1475" s="201">
        <v>74616.25</v>
      </c>
      <c r="P1475" s="201">
        <v>970.38</v>
      </c>
      <c r="Q1475" s="201">
        <f>'Mail Merge'!$O1475+'Mail Merge'!$P1475</f>
        <v>75586.63</v>
      </c>
      <c r="R1475" s="201"/>
      <c r="S1475" s="201"/>
      <c r="T1475" s="201"/>
      <c r="U1475" s="201">
        <f>IF(AND('Mail Merge'!$I1475="Did Not Meet",'Mail Merge'!$N1475="Did Not Meet"),MIN(ABS('Mail Merge'!$H1475),ABS('Mail Merge'!$M1475),'Mail Merge'!$Q1475),0)</f>
        <v>0</v>
      </c>
      <c r="V1475" s="201" t="str">
        <f>IF(OR(IFERROR(SEARCH("Met",'Mail Merge'!$N1475),0)&gt;0,IFERROR(SEARCH("Met",'Mail Merge'!$I1475),0)&gt;0),"Met","Not Met")</f>
        <v>Met</v>
      </c>
    </row>
    <row r="1476" spans="1:22" x14ac:dyDescent="0.35">
      <c r="A1476" s="198" t="s">
        <v>117</v>
      </c>
      <c r="B1476" s="199">
        <v>2212</v>
      </c>
      <c r="C1476" s="199" t="s">
        <v>16</v>
      </c>
      <c r="D1476" s="199">
        <v>348</v>
      </c>
      <c r="E1476" s="199">
        <v>2798967.47</v>
      </c>
      <c r="F1476" s="199">
        <v>494232.56</v>
      </c>
      <c r="G1476" s="199">
        <f>'Mail Merge'!$E1476+'Mail Merge'!$F1476</f>
        <v>3293200.0300000003</v>
      </c>
      <c r="H1476" s="199">
        <v>0</v>
      </c>
      <c r="I1476" s="199" t="s">
        <v>241</v>
      </c>
      <c r="J1476" s="202">
        <f>IFERROR('Mail Merge'!$E1476/'Mail Merge'!$D1476,0)</f>
        <v>8043.0099712643687</v>
      </c>
      <c r="K1476" s="199">
        <f>IFERROR('Mail Merge'!$F1476/'Mail Merge'!$D1476,0)</f>
        <v>1420.2085057471265</v>
      </c>
      <c r="L1476" s="203">
        <f>IFERROR('Mail Merge'!$G1476/'Mail Merge'!$D1476,0)</f>
        <v>9463.2184770114945</v>
      </c>
      <c r="M1476" s="199">
        <v>0</v>
      </c>
      <c r="N1476" s="199" t="s">
        <v>241</v>
      </c>
      <c r="O1476" s="199">
        <v>444672</v>
      </c>
      <c r="P1476" s="199">
        <v>4841.38</v>
      </c>
      <c r="Q1476" s="199">
        <f>'Mail Merge'!$O1476+'Mail Merge'!$P1476</f>
        <v>449513.38</v>
      </c>
      <c r="R1476" s="199"/>
      <c r="S1476" s="199"/>
      <c r="T1476" s="199"/>
      <c r="U1476" s="199">
        <f>IF(AND('Mail Merge'!$I1476="Did Not Meet",'Mail Merge'!$N1476="Did Not Meet"),MIN(ABS('Mail Merge'!$H1476),ABS('Mail Merge'!$M1476),'Mail Merge'!$Q1476),0)</f>
        <v>0</v>
      </c>
      <c r="V1476" s="199" t="str">
        <f>IF(OR(IFERROR(SEARCH("Met",'Mail Merge'!$N1476),0)&gt;0,IFERROR(SEARCH("Met",'Mail Merge'!$I1476),0)&gt;0),"Met","Not Met")</f>
        <v>Met</v>
      </c>
    </row>
    <row r="1477" spans="1:22" x14ac:dyDescent="0.35">
      <c r="A1477" s="200" t="s">
        <v>118</v>
      </c>
      <c r="B1477" s="201">
        <v>2059</v>
      </c>
      <c r="C1477" s="201" t="s">
        <v>16</v>
      </c>
      <c r="D1477" s="201">
        <v>106</v>
      </c>
      <c r="E1477" s="201">
        <v>471789.06</v>
      </c>
      <c r="F1477" s="201">
        <v>205590.39</v>
      </c>
      <c r="G1477" s="201">
        <f>'Mail Merge'!$E1477+'Mail Merge'!$F1477</f>
        <v>677379.45</v>
      </c>
      <c r="H1477" s="201">
        <v>0</v>
      </c>
      <c r="I1477" s="201" t="s">
        <v>242</v>
      </c>
      <c r="J1477" s="204">
        <f>IFERROR('Mail Merge'!$E1477/'Mail Merge'!$D1477,0)</f>
        <v>4450.8401886792453</v>
      </c>
      <c r="K1477" s="201">
        <f>IFERROR('Mail Merge'!$F1477/'Mail Merge'!$D1477,0)</f>
        <v>1939.5319811320755</v>
      </c>
      <c r="L1477" s="205">
        <f>IFERROR('Mail Merge'!$G1477/'Mail Merge'!$D1477,0)</f>
        <v>6390.3721698113204</v>
      </c>
      <c r="M1477" s="201">
        <v>40566.18</v>
      </c>
      <c r="N1477" s="201" t="s">
        <v>240</v>
      </c>
      <c r="O1477" s="201">
        <v>139580.32</v>
      </c>
      <c r="P1477" s="201">
        <v>1455.58</v>
      </c>
      <c r="Q1477" s="201">
        <f>'Mail Merge'!$O1477+'Mail Merge'!$P1477</f>
        <v>141035.9</v>
      </c>
      <c r="R1477" s="201"/>
      <c r="S1477" s="201">
        <v>52389.86</v>
      </c>
      <c r="T1477" s="201">
        <v>540.1</v>
      </c>
      <c r="U1477" s="201">
        <f>IF(AND('Mail Merge'!$I1477="Did Not Meet",'Mail Merge'!$N1477="Did Not Meet"),MIN(ABS('Mail Merge'!$H1477),ABS('Mail Merge'!$M1477),'Mail Merge'!$Q1477),0)</f>
        <v>0</v>
      </c>
      <c r="V1477" s="201" t="str">
        <f>IF(OR(IFERROR(SEARCH("Met",'Mail Merge'!$N1477),0)&gt;0,IFERROR(SEARCH("Met",'Mail Merge'!$I1477),0)&gt;0),"Met","Not Met")</f>
        <v>Met</v>
      </c>
    </row>
    <row r="1478" spans="1:22" x14ac:dyDescent="0.35">
      <c r="A1478" s="198" t="s">
        <v>119</v>
      </c>
      <c r="B1478" s="199">
        <v>1923</v>
      </c>
      <c r="C1478" s="199" t="s">
        <v>16</v>
      </c>
      <c r="D1478" s="199">
        <v>682</v>
      </c>
      <c r="E1478" s="199">
        <v>12570220.66</v>
      </c>
      <c r="F1478" s="199">
        <v>224677</v>
      </c>
      <c r="G1478" s="199">
        <f>'Mail Merge'!$E1478+'Mail Merge'!$F1478</f>
        <v>12794897.66</v>
      </c>
      <c r="H1478" s="199">
        <v>0</v>
      </c>
      <c r="I1478" s="199" t="s">
        <v>241</v>
      </c>
      <c r="J1478" s="202">
        <f>IFERROR('Mail Merge'!$E1478/'Mail Merge'!$D1478,0)</f>
        <v>18431.408592375366</v>
      </c>
      <c r="K1478" s="199">
        <f>IFERROR('Mail Merge'!$F1478/'Mail Merge'!$D1478,0)</f>
        <v>329.43841642228739</v>
      </c>
      <c r="L1478" s="203">
        <f>IFERROR('Mail Merge'!$G1478/'Mail Merge'!$D1478,0)</f>
        <v>18760.847008797653</v>
      </c>
      <c r="M1478" s="199">
        <v>0</v>
      </c>
      <c r="N1478" s="199" t="s">
        <v>241</v>
      </c>
      <c r="O1478" s="199">
        <v>1041511.97</v>
      </c>
      <c r="P1478" s="199">
        <v>4714.33</v>
      </c>
      <c r="Q1478" s="199">
        <f>'Mail Merge'!$O1478+'Mail Merge'!$P1478</f>
        <v>1046226.2999999999</v>
      </c>
      <c r="R1478" s="199"/>
      <c r="S1478" s="199"/>
      <c r="T1478" s="199"/>
      <c r="U1478" s="199">
        <f>IF(AND('Mail Merge'!$I1478="Did Not Meet",'Mail Merge'!$N1478="Did Not Meet"),MIN(ABS('Mail Merge'!$H1478),ABS('Mail Merge'!$M1478),'Mail Merge'!$Q1478),0)</f>
        <v>0</v>
      </c>
      <c r="V1478" s="199" t="str">
        <f>IF(OR(IFERROR(SEARCH("Met",'Mail Merge'!$N1478),0)&gt;0,IFERROR(SEARCH("Met",'Mail Merge'!$I1478),0)&gt;0),"Met","Not Met")</f>
        <v>Met</v>
      </c>
    </row>
    <row r="1479" spans="1:22" x14ac:dyDescent="0.35">
      <c r="A1479" s="200" t="s">
        <v>120</v>
      </c>
      <c r="B1479" s="201">
        <v>2101</v>
      </c>
      <c r="C1479" s="201" t="s">
        <v>16</v>
      </c>
      <c r="D1479" s="201">
        <v>650</v>
      </c>
      <c r="E1479" s="201">
        <v>4943816.53</v>
      </c>
      <c r="F1479" s="201">
        <v>846554</v>
      </c>
      <c r="G1479" s="201">
        <f>'Mail Merge'!$E1479+'Mail Merge'!$F1479</f>
        <v>5790370.5300000003</v>
      </c>
      <c r="H1479" s="201">
        <v>0</v>
      </c>
      <c r="I1479" s="201" t="s">
        <v>241</v>
      </c>
      <c r="J1479" s="204">
        <f>IFERROR('Mail Merge'!$E1479/'Mail Merge'!$D1479,0)</f>
        <v>7605.8715846153846</v>
      </c>
      <c r="K1479" s="201">
        <f>IFERROR('Mail Merge'!$F1479/'Mail Merge'!$D1479,0)</f>
        <v>1302.3907692307691</v>
      </c>
      <c r="L1479" s="205">
        <f>IFERROR('Mail Merge'!$G1479/'Mail Merge'!$D1479,0)</f>
        <v>8908.2623538461539</v>
      </c>
      <c r="M1479" s="201">
        <v>0</v>
      </c>
      <c r="N1479" s="201" t="s">
        <v>241</v>
      </c>
      <c r="O1479" s="201">
        <v>732963.59</v>
      </c>
      <c r="P1479" s="201">
        <v>5666.57</v>
      </c>
      <c r="Q1479" s="201">
        <f>'Mail Merge'!$O1479+'Mail Merge'!$P1479</f>
        <v>738630.15999999992</v>
      </c>
      <c r="R1479" s="201"/>
      <c r="S1479" s="201"/>
      <c r="T1479" s="201"/>
      <c r="U1479" s="201">
        <f>IF(AND('Mail Merge'!$I1479="Did Not Meet",'Mail Merge'!$N1479="Did Not Meet"),MIN(ABS('Mail Merge'!$H1479),ABS('Mail Merge'!$M1479),'Mail Merge'!$Q1479),0)</f>
        <v>0</v>
      </c>
      <c r="V1479" s="201" t="str">
        <f>IF(OR(IFERROR(SEARCH("Met",'Mail Merge'!$N1479),0)&gt;0,IFERROR(SEARCH("Met",'Mail Merge'!$I1479),0)&gt;0),"Met","Not Met")</f>
        <v>Met</v>
      </c>
    </row>
    <row r="1480" spans="1:22" x14ac:dyDescent="0.35">
      <c r="A1480" s="198" t="s">
        <v>121</v>
      </c>
      <c r="B1480" s="199">
        <v>2097</v>
      </c>
      <c r="C1480" s="199" t="s">
        <v>16</v>
      </c>
      <c r="D1480" s="199">
        <v>758</v>
      </c>
      <c r="E1480" s="199">
        <v>7065501.5</v>
      </c>
      <c r="F1480" s="199">
        <v>697523</v>
      </c>
      <c r="G1480" s="199">
        <f>'Mail Merge'!$E1480+'Mail Merge'!$F1480</f>
        <v>7763024.5</v>
      </c>
      <c r="H1480" s="199">
        <v>0</v>
      </c>
      <c r="I1480" s="199" t="s">
        <v>241</v>
      </c>
      <c r="J1480" s="202">
        <f>IFERROR('Mail Merge'!$E1480/'Mail Merge'!$D1480,0)</f>
        <v>9321.2420844327171</v>
      </c>
      <c r="K1480" s="199">
        <f>IFERROR('Mail Merge'!$F1480/'Mail Merge'!$D1480,0)</f>
        <v>920.21503957783636</v>
      </c>
      <c r="L1480" s="203">
        <f>IFERROR('Mail Merge'!$G1480/'Mail Merge'!$D1480,0)</f>
        <v>10241.457124010554</v>
      </c>
      <c r="M1480" s="199">
        <v>107156.22</v>
      </c>
      <c r="N1480" s="199" t="s">
        <v>240</v>
      </c>
      <c r="O1480" s="199">
        <v>1017246.99</v>
      </c>
      <c r="P1480" s="199">
        <v>11987.11</v>
      </c>
      <c r="Q1480" s="199">
        <f>'Mail Merge'!$O1480+'Mail Merge'!$P1480</f>
        <v>1029234.1</v>
      </c>
      <c r="R1480" s="199"/>
      <c r="S1480" s="199"/>
      <c r="T1480" s="199">
        <v>0</v>
      </c>
      <c r="U1480" s="199">
        <f>IF(AND('Mail Merge'!$I1480="Did Not Meet",'Mail Merge'!$N1480="Did Not Meet"),MIN(ABS('Mail Merge'!$H1480),ABS('Mail Merge'!$M1480),'Mail Merge'!$Q1480),0)</f>
        <v>0</v>
      </c>
      <c r="V1480" s="199" t="str">
        <f>IF(OR(IFERROR(SEARCH("Met",'Mail Merge'!$N1480),0)&gt;0,IFERROR(SEARCH("Met",'Mail Merge'!$I1480),0)&gt;0),"Met","Not Met")</f>
        <v>Met</v>
      </c>
    </row>
    <row r="1481" spans="1:22" x14ac:dyDescent="0.35">
      <c r="A1481" s="200" t="s">
        <v>122</v>
      </c>
      <c r="B1481" s="201">
        <v>2012</v>
      </c>
      <c r="C1481" s="201" t="s">
        <v>16</v>
      </c>
      <c r="D1481" s="201">
        <v>5</v>
      </c>
      <c r="E1481" s="201">
        <v>16388.919999999998</v>
      </c>
      <c r="F1481" s="201">
        <v>56997.41</v>
      </c>
      <c r="G1481" s="201">
        <f>'Mail Merge'!$E1481+'Mail Merge'!$F1481</f>
        <v>73386.33</v>
      </c>
      <c r="H1481" s="201">
        <v>0</v>
      </c>
      <c r="I1481" s="201" t="s">
        <v>242</v>
      </c>
      <c r="J1481" s="204">
        <f>IFERROR('Mail Merge'!$E1481/'Mail Merge'!$D1481,0)</f>
        <v>3277.7839999999997</v>
      </c>
      <c r="K1481" s="201">
        <f>IFERROR('Mail Merge'!$F1481/'Mail Merge'!$D1481,0)</f>
        <v>11399.482</v>
      </c>
      <c r="L1481" s="205">
        <f>IFERROR('Mail Merge'!$G1481/'Mail Merge'!$D1481,0)</f>
        <v>14677.266</v>
      </c>
      <c r="M1481" s="201">
        <v>64855.46</v>
      </c>
      <c r="N1481" s="201" t="s">
        <v>240</v>
      </c>
      <c r="O1481" s="201">
        <v>5828.4</v>
      </c>
      <c r="P1481" s="201">
        <v>0</v>
      </c>
      <c r="Q1481" s="201">
        <f>'Mail Merge'!$O1481+'Mail Merge'!$P1481</f>
        <v>5828.4</v>
      </c>
      <c r="R1481" s="201">
        <v>24704.959999999999</v>
      </c>
      <c r="S1481" s="201">
        <v>24704.959999999999</v>
      </c>
      <c r="T1481" s="201">
        <v>12352.48</v>
      </c>
      <c r="U1481" s="201">
        <f>IF(AND('Mail Merge'!$I1481="Did Not Meet",'Mail Merge'!$N1481="Did Not Meet"),MIN(ABS('Mail Merge'!$H1481),ABS('Mail Merge'!$M1481),'Mail Merge'!$Q1481),0)</f>
        <v>0</v>
      </c>
      <c r="V1481" s="201" t="str">
        <f>IF(OR(IFERROR(SEARCH("Met",'Mail Merge'!$N1481),0)&gt;0,IFERROR(SEARCH("Met",'Mail Merge'!$I1481),0)&gt;0),"Met","Not Met")</f>
        <v>Met</v>
      </c>
    </row>
    <row r="1482" spans="1:22" x14ac:dyDescent="0.35">
      <c r="A1482" s="198" t="s">
        <v>123</v>
      </c>
      <c r="B1482" s="199">
        <v>2092</v>
      </c>
      <c r="C1482" s="199" t="s">
        <v>16</v>
      </c>
      <c r="D1482" s="199">
        <v>73</v>
      </c>
      <c r="E1482" s="199">
        <v>636033.05000000005</v>
      </c>
      <c r="F1482" s="199">
        <v>167650</v>
      </c>
      <c r="G1482" s="199">
        <f>'Mail Merge'!$E1482+'Mail Merge'!$F1482</f>
        <v>803683.05</v>
      </c>
      <c r="H1482" s="199">
        <v>0</v>
      </c>
      <c r="I1482" s="199" t="s">
        <v>241</v>
      </c>
      <c r="J1482" s="202">
        <f>IFERROR('Mail Merge'!$E1482/'Mail Merge'!$D1482,0)</f>
        <v>8712.7815068493164</v>
      </c>
      <c r="K1482" s="199">
        <f>IFERROR('Mail Merge'!$F1482/'Mail Merge'!$D1482,0)</f>
        <v>2296.5753424657532</v>
      </c>
      <c r="L1482" s="203">
        <f>IFERROR('Mail Merge'!$G1482/'Mail Merge'!$D1482,0)</f>
        <v>11009.356849315069</v>
      </c>
      <c r="M1482" s="199">
        <v>4668.41</v>
      </c>
      <c r="N1482" s="199" t="s">
        <v>240</v>
      </c>
      <c r="O1482" s="199">
        <v>96790.42</v>
      </c>
      <c r="P1482" s="199">
        <v>291.12</v>
      </c>
      <c r="Q1482" s="199">
        <f>'Mail Merge'!$O1482+'Mail Merge'!$P1482</f>
        <v>97081.54</v>
      </c>
      <c r="R1482" s="199"/>
      <c r="S1482" s="199"/>
      <c r="T1482" s="199">
        <v>148.26</v>
      </c>
      <c r="U1482" s="199">
        <f>IF(AND('Mail Merge'!$I1482="Did Not Meet",'Mail Merge'!$N1482="Did Not Meet"),MIN(ABS('Mail Merge'!$H1482),ABS('Mail Merge'!$M1482),'Mail Merge'!$Q1482),0)</f>
        <v>0</v>
      </c>
      <c r="V1482" s="199" t="str">
        <f>IF(OR(IFERROR(SEARCH("Met",'Mail Merge'!$N1482),0)&gt;0,IFERROR(SEARCH("Met",'Mail Merge'!$I1482),0)&gt;0),"Met","Not Met")</f>
        <v>Met</v>
      </c>
    </row>
    <row r="1483" spans="1:22" x14ac:dyDescent="0.35">
      <c r="A1483" s="200" t="s">
        <v>124</v>
      </c>
      <c r="B1483" s="201">
        <v>2112</v>
      </c>
      <c r="C1483" s="201" t="s">
        <v>16</v>
      </c>
      <c r="D1483" s="201">
        <v>0</v>
      </c>
      <c r="E1483" s="201">
        <v>0</v>
      </c>
      <c r="F1483" s="201">
        <v>1074.54</v>
      </c>
      <c r="G1483" s="201">
        <f>'Mail Merge'!$E1483+'Mail Merge'!$F1483</f>
        <v>1074.54</v>
      </c>
      <c r="H1483" s="201">
        <v>1263.3699999999999</v>
      </c>
      <c r="I1483" s="201" t="s">
        <v>240</v>
      </c>
      <c r="J1483" s="204">
        <f>IFERROR('Mail Merge'!$E1483/'Mail Merge'!$D1483,0)</f>
        <v>0</v>
      </c>
      <c r="K1483" s="201">
        <f>IFERROR('Mail Merge'!$F1483/'Mail Merge'!$D1483,0)</f>
        <v>0</v>
      </c>
      <c r="L1483" s="205">
        <f>IFERROR('Mail Merge'!$G1483/'Mail Merge'!$D1483,0)</f>
        <v>0</v>
      </c>
      <c r="M1483" s="201">
        <v>0</v>
      </c>
      <c r="N1483" s="201" t="s">
        <v>241</v>
      </c>
      <c r="O1483" s="201">
        <v>705.1</v>
      </c>
      <c r="P1483" s="201">
        <v>0</v>
      </c>
      <c r="Q1483" s="201">
        <f>'Mail Merge'!$O1483+'Mail Merge'!$P1483</f>
        <v>705.1</v>
      </c>
      <c r="R1483" s="201"/>
      <c r="S1483" s="201">
        <v>0</v>
      </c>
      <c r="T1483" s="201"/>
      <c r="U1483" s="201">
        <f>IF(AND('Mail Merge'!$I1483="Did Not Meet",'Mail Merge'!$N1483="Did Not Meet"),MIN(ABS('Mail Merge'!$H1483),ABS('Mail Merge'!$M1483),'Mail Merge'!$Q1483),0)</f>
        <v>0</v>
      </c>
      <c r="V1483" s="201" t="str">
        <f>IF(OR(IFERROR(SEARCH("Met",'Mail Merge'!$N1483),0)&gt;0,IFERROR(SEARCH("Met",'Mail Merge'!$I1483),0)&gt;0),"Met","Not Met")</f>
        <v>Met</v>
      </c>
    </row>
    <row r="1484" spans="1:22" x14ac:dyDescent="0.35">
      <c r="A1484" s="198" t="s">
        <v>125</v>
      </c>
      <c r="B1484" s="199">
        <v>2085</v>
      </c>
      <c r="C1484" s="199" t="s">
        <v>16</v>
      </c>
      <c r="D1484" s="199">
        <v>24</v>
      </c>
      <c r="E1484" s="199">
        <v>309012.39</v>
      </c>
      <c r="F1484" s="199">
        <v>95191</v>
      </c>
      <c r="G1484" s="199">
        <f>'Mail Merge'!$E1484+'Mail Merge'!$F1484</f>
        <v>404203.39</v>
      </c>
      <c r="H1484" s="199">
        <v>17595.330000000002</v>
      </c>
      <c r="I1484" s="199" t="s">
        <v>242</v>
      </c>
      <c r="J1484" s="202">
        <f>IFERROR('Mail Merge'!$E1484/'Mail Merge'!$D1484,0)</f>
        <v>12875.516250000001</v>
      </c>
      <c r="K1484" s="199">
        <f>IFERROR('Mail Merge'!$F1484/'Mail Merge'!$D1484,0)</f>
        <v>3966.2916666666665</v>
      </c>
      <c r="L1484" s="203">
        <f>IFERROR('Mail Merge'!$G1484/'Mail Merge'!$D1484,0)</f>
        <v>16841.807916666668</v>
      </c>
      <c r="M1484" s="199">
        <v>35934.400000000001</v>
      </c>
      <c r="N1484" s="199" t="s">
        <v>240</v>
      </c>
      <c r="O1484" s="199">
        <v>49049.13</v>
      </c>
      <c r="P1484" s="199">
        <v>363.89</v>
      </c>
      <c r="Q1484" s="199">
        <f>'Mail Merge'!$O1484+'Mail Merge'!$P1484</f>
        <v>49413.02</v>
      </c>
      <c r="R1484" s="199"/>
      <c r="S1484" s="199">
        <v>27500</v>
      </c>
      <c r="T1484" s="199">
        <v>1195.6500000000001</v>
      </c>
      <c r="U1484" s="199">
        <f>IF(AND('Mail Merge'!$I1484="Did Not Meet",'Mail Merge'!$N1484="Did Not Meet"),MIN(ABS('Mail Merge'!$H1484),ABS('Mail Merge'!$M1484),'Mail Merge'!$Q1484),0)</f>
        <v>0</v>
      </c>
      <c r="V1484" s="199" t="str">
        <f>IF(OR(IFERROR(SEARCH("Met",'Mail Merge'!$N1484),0)&gt;0,IFERROR(SEARCH("Met",'Mail Merge'!$I1484),0)&gt;0),"Met","Not Met")</f>
        <v>Met</v>
      </c>
    </row>
    <row r="1485" spans="1:22" x14ac:dyDescent="0.35">
      <c r="A1485" s="200" t="s">
        <v>126</v>
      </c>
      <c r="B1485" s="201">
        <v>2094</v>
      </c>
      <c r="C1485" s="201" t="s">
        <v>16</v>
      </c>
      <c r="D1485" s="201">
        <v>40</v>
      </c>
      <c r="E1485" s="201">
        <v>321045.2</v>
      </c>
      <c r="F1485" s="201">
        <v>107709</v>
      </c>
      <c r="G1485" s="201">
        <f>'Mail Merge'!$E1485+'Mail Merge'!$F1485</f>
        <v>428754.2</v>
      </c>
      <c r="H1485" s="201">
        <v>0</v>
      </c>
      <c r="I1485" s="201" t="s">
        <v>241</v>
      </c>
      <c r="J1485" s="204">
        <f>IFERROR('Mail Merge'!$E1485/'Mail Merge'!$D1485,0)</f>
        <v>8026.13</v>
      </c>
      <c r="K1485" s="201">
        <f>IFERROR('Mail Merge'!$F1485/'Mail Merge'!$D1485,0)</f>
        <v>2692.7249999999999</v>
      </c>
      <c r="L1485" s="205">
        <f>IFERROR('Mail Merge'!$G1485/'Mail Merge'!$D1485,0)</f>
        <v>10718.855</v>
      </c>
      <c r="M1485" s="201">
        <v>0</v>
      </c>
      <c r="N1485" s="201" t="s">
        <v>241</v>
      </c>
      <c r="O1485" s="201">
        <v>47977.43</v>
      </c>
      <c r="P1485" s="201">
        <v>161.72999999999999</v>
      </c>
      <c r="Q1485" s="201">
        <f>'Mail Merge'!$O1485+'Mail Merge'!$P1485</f>
        <v>48139.16</v>
      </c>
      <c r="R1485" s="201"/>
      <c r="S1485" s="201"/>
      <c r="T1485" s="201"/>
      <c r="U1485" s="201">
        <f>IF(AND('Mail Merge'!$I1485="Did Not Meet",'Mail Merge'!$N1485="Did Not Meet"),MIN(ABS('Mail Merge'!$H1485),ABS('Mail Merge'!$M1485),'Mail Merge'!$Q1485),0)</f>
        <v>0</v>
      </c>
      <c r="V1485" s="201" t="str">
        <f>IF(OR(IFERROR(SEARCH("Met",'Mail Merge'!$N1485),0)&gt;0,IFERROR(SEARCH("Met",'Mail Merge'!$I1485),0)&gt;0),"Met","Not Met")</f>
        <v>Met</v>
      </c>
    </row>
    <row r="1486" spans="1:22" x14ac:dyDescent="0.35">
      <c r="A1486" s="198" t="s">
        <v>127</v>
      </c>
      <c r="B1486" s="199">
        <v>2090</v>
      </c>
      <c r="C1486" s="199" t="s">
        <v>16</v>
      </c>
      <c r="D1486" s="199">
        <v>32</v>
      </c>
      <c r="E1486" s="199">
        <v>412325.58</v>
      </c>
      <c r="F1486" s="199">
        <v>73698</v>
      </c>
      <c r="G1486" s="199">
        <f>'Mail Merge'!$E1486+'Mail Merge'!$F1486</f>
        <v>486023.58</v>
      </c>
      <c r="H1486" s="199">
        <v>0</v>
      </c>
      <c r="I1486" s="199" t="s">
        <v>242</v>
      </c>
      <c r="J1486" s="202">
        <f>IFERROR('Mail Merge'!$E1486/'Mail Merge'!$D1486,0)</f>
        <v>12885.174375000001</v>
      </c>
      <c r="K1486" s="199">
        <f>IFERROR('Mail Merge'!$F1486/'Mail Merge'!$D1486,0)</f>
        <v>2303.0625</v>
      </c>
      <c r="L1486" s="203">
        <f>IFERROR('Mail Merge'!$G1486/'Mail Merge'!$D1486,0)</f>
        <v>15188.236875000001</v>
      </c>
      <c r="M1486" s="199">
        <v>0</v>
      </c>
      <c r="N1486" s="199" t="s">
        <v>242</v>
      </c>
      <c r="O1486" s="199">
        <v>40368.5</v>
      </c>
      <c r="P1486" s="199">
        <v>138.63</v>
      </c>
      <c r="Q1486" s="199">
        <f>'Mail Merge'!$O1486+'Mail Merge'!$P1486</f>
        <v>40507.129999999997</v>
      </c>
      <c r="R1486" s="199"/>
      <c r="S1486" s="199">
        <v>139237</v>
      </c>
      <c r="T1486" s="199">
        <v>4491.5200000000004</v>
      </c>
      <c r="U1486" s="199">
        <f>IF(AND('Mail Merge'!$I1486="Did Not Meet",'Mail Merge'!$N1486="Did Not Meet"),MIN(ABS('Mail Merge'!$H1486),ABS('Mail Merge'!$M1486),'Mail Merge'!$Q1486),0)</f>
        <v>0</v>
      </c>
      <c r="V1486" s="199" t="str">
        <f>IF(OR(IFERROR(SEARCH("Met",'Mail Merge'!$N1486),0)&gt;0,IFERROR(SEARCH("Met",'Mail Merge'!$I1486),0)&gt;0),"Met","Not Met")</f>
        <v>Met</v>
      </c>
    </row>
    <row r="1487" spans="1:22" x14ac:dyDescent="0.35">
      <c r="A1487" s="200" t="s">
        <v>128</v>
      </c>
      <c r="B1487" s="201">
        <v>2256</v>
      </c>
      <c r="C1487" s="201" t="s">
        <v>16</v>
      </c>
      <c r="D1487" s="201">
        <v>831</v>
      </c>
      <c r="E1487" s="201">
        <v>7448012.0499999998</v>
      </c>
      <c r="F1487" s="201">
        <v>270550.7</v>
      </c>
      <c r="G1487" s="201">
        <f>'Mail Merge'!$E1487+'Mail Merge'!$F1487</f>
        <v>7718562.75</v>
      </c>
      <c r="H1487" s="201">
        <v>0</v>
      </c>
      <c r="I1487" s="201" t="s">
        <v>241</v>
      </c>
      <c r="J1487" s="204">
        <f>IFERROR('Mail Merge'!$E1487/'Mail Merge'!$D1487,0)</f>
        <v>8962.710048134777</v>
      </c>
      <c r="K1487" s="201">
        <f>IFERROR('Mail Merge'!$F1487/'Mail Merge'!$D1487,0)</f>
        <v>325.57244283995186</v>
      </c>
      <c r="L1487" s="205">
        <f>IFERROR('Mail Merge'!$G1487/'Mail Merge'!$D1487,0)</f>
        <v>9288.2824909747287</v>
      </c>
      <c r="M1487" s="201">
        <v>0</v>
      </c>
      <c r="N1487" s="201" t="s">
        <v>241</v>
      </c>
      <c r="O1487" s="201">
        <v>970544.06</v>
      </c>
      <c r="P1487" s="201">
        <v>8856.4699999999993</v>
      </c>
      <c r="Q1487" s="201">
        <f>'Mail Merge'!$O1487+'Mail Merge'!$P1487</f>
        <v>979400.53</v>
      </c>
      <c r="R1487" s="201"/>
      <c r="S1487" s="201"/>
      <c r="T1487" s="201"/>
      <c r="U1487" s="201">
        <f>IF(AND('Mail Merge'!$I1487="Did Not Meet",'Mail Merge'!$N1487="Did Not Meet"),MIN(ABS('Mail Merge'!$H1487),ABS('Mail Merge'!$M1487),'Mail Merge'!$Q1487),0)</f>
        <v>0</v>
      </c>
      <c r="V1487" s="201" t="str">
        <f>IF(OR(IFERROR(SEARCH("Met",'Mail Merge'!$N1487),0)&gt;0,IFERROR(SEARCH("Met",'Mail Merge'!$I1487),0)&gt;0),"Met","Not Met")</f>
        <v>Met</v>
      </c>
    </row>
    <row r="1488" spans="1:22" x14ac:dyDescent="0.35">
      <c r="A1488" s="198" t="s">
        <v>129</v>
      </c>
      <c r="B1488" s="199">
        <v>2048</v>
      </c>
      <c r="C1488" s="199" t="s">
        <v>16</v>
      </c>
      <c r="D1488" s="199">
        <v>1934</v>
      </c>
      <c r="E1488" s="199">
        <v>14540519.48</v>
      </c>
      <c r="F1488" s="199">
        <v>1548067.17</v>
      </c>
      <c r="G1488" s="199">
        <f>'Mail Merge'!$E1488+'Mail Merge'!$F1488</f>
        <v>16088586.65</v>
      </c>
      <c r="H1488" s="199">
        <v>0</v>
      </c>
      <c r="I1488" s="199" t="s">
        <v>241</v>
      </c>
      <c r="J1488" s="202">
        <f>IFERROR('Mail Merge'!$E1488/'Mail Merge'!$D1488,0)</f>
        <v>7518.3658117890382</v>
      </c>
      <c r="K1488" s="199">
        <f>IFERROR('Mail Merge'!$F1488/'Mail Merge'!$D1488,0)</f>
        <v>800.44838159255426</v>
      </c>
      <c r="L1488" s="203">
        <f>IFERROR('Mail Merge'!$G1488/'Mail Merge'!$D1488,0)</f>
        <v>8318.8141933815932</v>
      </c>
      <c r="M1488" s="199">
        <v>602704.42000000004</v>
      </c>
      <c r="N1488" s="199" t="s">
        <v>240</v>
      </c>
      <c r="O1488" s="199">
        <v>2146083.66</v>
      </c>
      <c r="P1488" s="199">
        <v>23232.36</v>
      </c>
      <c r="Q1488" s="199">
        <f>'Mail Merge'!$O1488+'Mail Merge'!$P1488</f>
        <v>2169316.02</v>
      </c>
      <c r="R1488" s="199"/>
      <c r="S1488" s="199"/>
      <c r="T1488" s="199">
        <v>0</v>
      </c>
      <c r="U1488" s="199">
        <f>IF(AND('Mail Merge'!$I1488="Did Not Meet",'Mail Merge'!$N1488="Did Not Meet"),MIN(ABS('Mail Merge'!$H1488),ABS('Mail Merge'!$M1488),'Mail Merge'!$Q1488),0)</f>
        <v>0</v>
      </c>
      <c r="V1488" s="199" t="str">
        <f>IF(OR(IFERROR(SEARCH("Met",'Mail Merge'!$N1488),0)&gt;0,IFERROR(SEARCH("Met",'Mail Merge'!$I1488),0)&gt;0),"Met","Not Met")</f>
        <v>Met</v>
      </c>
    </row>
    <row r="1489" spans="1:22" x14ac:dyDescent="0.35">
      <c r="A1489" s="200" t="s">
        <v>130</v>
      </c>
      <c r="B1489" s="201">
        <v>2205</v>
      </c>
      <c r="C1489" s="201" t="s">
        <v>16</v>
      </c>
      <c r="D1489" s="201">
        <v>210</v>
      </c>
      <c r="E1489" s="201">
        <v>1646907.63</v>
      </c>
      <c r="F1489" s="201">
        <v>340839.35</v>
      </c>
      <c r="G1489" s="201">
        <f>'Mail Merge'!$E1489+'Mail Merge'!$F1489</f>
        <v>1987746.98</v>
      </c>
      <c r="H1489" s="201">
        <v>0</v>
      </c>
      <c r="I1489" s="201" t="s">
        <v>241</v>
      </c>
      <c r="J1489" s="204">
        <f>IFERROR('Mail Merge'!$E1489/'Mail Merge'!$D1489,0)</f>
        <v>7842.4172857142848</v>
      </c>
      <c r="K1489" s="201">
        <f>IFERROR('Mail Merge'!$F1489/'Mail Merge'!$D1489,0)</f>
        <v>1623.0445238095238</v>
      </c>
      <c r="L1489" s="205">
        <f>IFERROR('Mail Merge'!$G1489/'Mail Merge'!$D1489,0)</f>
        <v>9465.4618095238093</v>
      </c>
      <c r="M1489" s="201">
        <v>44261.41</v>
      </c>
      <c r="N1489" s="201" t="s">
        <v>240</v>
      </c>
      <c r="O1489" s="201">
        <v>271560.18</v>
      </c>
      <c r="P1489" s="201">
        <v>3105.23</v>
      </c>
      <c r="Q1489" s="201">
        <f>'Mail Merge'!$O1489+'Mail Merge'!$P1489</f>
        <v>274665.40999999997</v>
      </c>
      <c r="R1489" s="201"/>
      <c r="S1489" s="201"/>
      <c r="T1489" s="201">
        <v>0</v>
      </c>
      <c r="U1489" s="201">
        <f>IF(AND('Mail Merge'!$I1489="Did Not Meet",'Mail Merge'!$N1489="Did Not Meet"),MIN(ABS('Mail Merge'!$H1489),ABS('Mail Merge'!$M1489),'Mail Merge'!$Q1489),0)</f>
        <v>0</v>
      </c>
      <c r="V1489" s="201" t="str">
        <f>IF(OR(IFERROR(SEARCH("Met",'Mail Merge'!$N1489),0)&gt;0,IFERROR(SEARCH("Met",'Mail Merge'!$I1489),0)&gt;0),"Met","Not Met")</f>
        <v>Met</v>
      </c>
    </row>
    <row r="1490" spans="1:22" x14ac:dyDescent="0.35">
      <c r="A1490" s="198" t="s">
        <v>131</v>
      </c>
      <c r="B1490" s="199">
        <v>2249</v>
      </c>
      <c r="C1490" s="199" t="s">
        <v>16</v>
      </c>
      <c r="D1490" s="199">
        <v>46</v>
      </c>
      <c r="E1490" s="199">
        <v>21464.400000000001</v>
      </c>
      <c r="F1490" s="199">
        <v>70341</v>
      </c>
      <c r="G1490" s="199">
        <f>'Mail Merge'!$E1490+'Mail Merge'!$F1490</f>
        <v>91805.4</v>
      </c>
      <c r="H1490" s="199">
        <v>0</v>
      </c>
      <c r="I1490" s="199" t="s">
        <v>241</v>
      </c>
      <c r="J1490" s="202">
        <f>IFERROR('Mail Merge'!$E1490/'Mail Merge'!$D1490,0)</f>
        <v>466.61739130434785</v>
      </c>
      <c r="K1490" s="199">
        <f>IFERROR('Mail Merge'!$F1490/'Mail Merge'!$D1490,0)</f>
        <v>1529.1521739130435</v>
      </c>
      <c r="L1490" s="203">
        <f>IFERROR('Mail Merge'!$G1490/'Mail Merge'!$D1490,0)</f>
        <v>1995.7695652173911</v>
      </c>
      <c r="M1490" s="199">
        <v>273724.59999999998</v>
      </c>
      <c r="N1490" s="199" t="s">
        <v>240</v>
      </c>
      <c r="O1490" s="199">
        <v>47152.84</v>
      </c>
      <c r="P1490" s="199">
        <v>0</v>
      </c>
      <c r="Q1490" s="199">
        <f>'Mail Merge'!$O1490+'Mail Merge'!$P1490</f>
        <v>47152.84</v>
      </c>
      <c r="R1490" s="199"/>
      <c r="S1490" s="199"/>
      <c r="T1490" s="199">
        <v>3175.75</v>
      </c>
      <c r="U1490" s="199">
        <f>IF(AND('Mail Merge'!$I1490="Did Not Meet",'Mail Merge'!$N1490="Did Not Meet"),MIN(ABS('Mail Merge'!$H1490),ABS('Mail Merge'!$M1490),'Mail Merge'!$Q1490),0)</f>
        <v>0</v>
      </c>
      <c r="V1490" s="199" t="str">
        <f>IF(OR(IFERROR(SEARCH("Met",'Mail Merge'!$N1490),0)&gt;0,IFERROR(SEARCH("Met",'Mail Merge'!$I1490),0)&gt;0),"Met","Not Met")</f>
        <v>Met</v>
      </c>
    </row>
    <row r="1491" spans="1:22" x14ac:dyDescent="0.35">
      <c r="A1491" s="200" t="s">
        <v>132</v>
      </c>
      <c r="B1491" s="201">
        <v>1925</v>
      </c>
      <c r="C1491" s="201" t="s">
        <v>16</v>
      </c>
      <c r="D1491" s="201">
        <v>397</v>
      </c>
      <c r="E1491" s="201">
        <v>4002778.24</v>
      </c>
      <c r="F1491" s="201">
        <v>459827</v>
      </c>
      <c r="G1491" s="201">
        <f>'Mail Merge'!$E1491+'Mail Merge'!$F1491</f>
        <v>4462605.24</v>
      </c>
      <c r="H1491" s="201">
        <v>0</v>
      </c>
      <c r="I1491" s="201" t="s">
        <v>241</v>
      </c>
      <c r="J1491" s="204">
        <f>IFERROR('Mail Merge'!$E1491/'Mail Merge'!$D1491,0)</f>
        <v>10082.56483627204</v>
      </c>
      <c r="K1491" s="201">
        <f>IFERROR('Mail Merge'!$F1491/'Mail Merge'!$D1491,0)</f>
        <v>1158.2544080604534</v>
      </c>
      <c r="L1491" s="205">
        <f>IFERROR('Mail Merge'!$G1491/'Mail Merge'!$D1491,0)</f>
        <v>11240.819244332495</v>
      </c>
      <c r="M1491" s="201">
        <v>0</v>
      </c>
      <c r="N1491" s="201" t="s">
        <v>241</v>
      </c>
      <c r="O1491" s="201">
        <v>432214.23</v>
      </c>
      <c r="P1491" s="201">
        <v>1940.77</v>
      </c>
      <c r="Q1491" s="201">
        <f>'Mail Merge'!$O1491+'Mail Merge'!$P1491</f>
        <v>434155</v>
      </c>
      <c r="R1491" s="201"/>
      <c r="S1491" s="201"/>
      <c r="T1491" s="201"/>
      <c r="U1491" s="201">
        <f>IF(AND('Mail Merge'!$I1491="Did Not Meet",'Mail Merge'!$N1491="Did Not Meet"),MIN(ABS('Mail Merge'!$H1491),ABS('Mail Merge'!$M1491),'Mail Merge'!$Q1491),0)</f>
        <v>0</v>
      </c>
      <c r="V1491" s="201" t="str">
        <f>IF(OR(IFERROR(SEARCH("Met",'Mail Merge'!$N1491),0)&gt;0,IFERROR(SEARCH("Met",'Mail Merge'!$I1491),0)&gt;0),"Met","Not Met")</f>
        <v>Met</v>
      </c>
    </row>
    <row r="1492" spans="1:22" x14ac:dyDescent="0.35">
      <c r="A1492" s="198" t="s">
        <v>133</v>
      </c>
      <c r="B1492" s="199">
        <v>1898</v>
      </c>
      <c r="C1492" s="199" t="s">
        <v>16</v>
      </c>
      <c r="D1492" s="199">
        <v>58</v>
      </c>
      <c r="E1492" s="199">
        <v>593779.62</v>
      </c>
      <c r="F1492" s="199">
        <v>74138</v>
      </c>
      <c r="G1492" s="199">
        <f>'Mail Merge'!$E1492+'Mail Merge'!$F1492</f>
        <v>667917.62</v>
      </c>
      <c r="H1492" s="199">
        <v>0</v>
      </c>
      <c r="I1492" s="199" t="s">
        <v>242</v>
      </c>
      <c r="J1492" s="202">
        <f>IFERROR('Mail Merge'!$E1492/'Mail Merge'!$D1492,0)</f>
        <v>10237.579655172414</v>
      </c>
      <c r="K1492" s="199">
        <f>IFERROR('Mail Merge'!$F1492/'Mail Merge'!$D1492,0)</f>
        <v>1278.2413793103449</v>
      </c>
      <c r="L1492" s="203">
        <f>IFERROR('Mail Merge'!$G1492/'Mail Merge'!$D1492,0)</f>
        <v>11515.821034482758</v>
      </c>
      <c r="M1492" s="199">
        <v>0</v>
      </c>
      <c r="N1492" s="199" t="s">
        <v>242</v>
      </c>
      <c r="O1492" s="199">
        <v>86623.16</v>
      </c>
      <c r="P1492" s="199">
        <v>727.79</v>
      </c>
      <c r="Q1492" s="199">
        <f>'Mail Merge'!$O1492+'Mail Merge'!$P1492</f>
        <v>87350.95</v>
      </c>
      <c r="R1492" s="199"/>
      <c r="S1492" s="199">
        <v>178032.01</v>
      </c>
      <c r="T1492" s="199">
        <v>2871.48</v>
      </c>
      <c r="U1492" s="199">
        <f>IF(AND('Mail Merge'!$I1492="Did Not Meet",'Mail Merge'!$N1492="Did Not Meet"),MIN(ABS('Mail Merge'!$H1492),ABS('Mail Merge'!$M1492),'Mail Merge'!$Q1492),0)</f>
        <v>0</v>
      </c>
      <c r="V1492" s="199" t="str">
        <f>IF(OR(IFERROR(SEARCH("Met",'Mail Merge'!$N1492),0)&gt;0,IFERROR(SEARCH("Met",'Mail Merge'!$I1492),0)&gt;0),"Met","Not Met")</f>
        <v>Met</v>
      </c>
    </row>
    <row r="1493" spans="1:22" x14ac:dyDescent="0.35">
      <c r="A1493" s="200" t="s">
        <v>134</v>
      </c>
      <c r="B1493" s="201">
        <v>2010</v>
      </c>
      <c r="C1493" s="201" t="s">
        <v>16</v>
      </c>
      <c r="D1493" s="201">
        <v>7</v>
      </c>
      <c r="E1493" s="201">
        <v>310</v>
      </c>
      <c r="F1493" s="201">
        <v>87340.65</v>
      </c>
      <c r="G1493" s="201">
        <f>'Mail Merge'!$E1493+'Mail Merge'!$F1493</f>
        <v>87650.65</v>
      </c>
      <c r="H1493" s="201">
        <v>0</v>
      </c>
      <c r="I1493" s="201" t="s">
        <v>242</v>
      </c>
      <c r="J1493" s="204">
        <f>IFERROR('Mail Merge'!$E1493/'Mail Merge'!$D1493,0)</f>
        <v>44.285714285714285</v>
      </c>
      <c r="K1493" s="201">
        <f>IFERROR('Mail Merge'!$F1493/'Mail Merge'!$D1493,0)</f>
        <v>12477.235714285713</v>
      </c>
      <c r="L1493" s="205">
        <f>IFERROR('Mail Merge'!$G1493/'Mail Merge'!$D1493,0)</f>
        <v>12521.521428571428</v>
      </c>
      <c r="M1493" s="201">
        <v>0</v>
      </c>
      <c r="N1493" s="201" t="s">
        <v>241</v>
      </c>
      <c r="O1493" s="201">
        <v>12180.84</v>
      </c>
      <c r="P1493" s="201">
        <v>1455.58</v>
      </c>
      <c r="Q1493" s="201">
        <f>'Mail Merge'!$O1493+'Mail Merge'!$P1493</f>
        <v>13636.42</v>
      </c>
      <c r="R1493" s="201"/>
      <c r="S1493" s="201">
        <v>24882.17</v>
      </c>
      <c r="T1493" s="201"/>
      <c r="U1493" s="201">
        <f>IF(AND('Mail Merge'!$I1493="Did Not Meet",'Mail Merge'!$N1493="Did Not Meet"),MIN(ABS('Mail Merge'!$H1493),ABS('Mail Merge'!$M1493),'Mail Merge'!$Q1493),0)</f>
        <v>0</v>
      </c>
      <c r="V1493" s="201" t="str">
        <f>IF(OR(IFERROR(SEARCH("Met",'Mail Merge'!$N1493),0)&gt;0,IFERROR(SEARCH("Met",'Mail Merge'!$I1493),0)&gt;0),"Met","Not Met")</f>
        <v>Met</v>
      </c>
    </row>
    <row r="1494" spans="1:22" x14ac:dyDescent="0.35">
      <c r="A1494" s="198" t="s">
        <v>135</v>
      </c>
      <c r="B1494" s="199">
        <v>2147</v>
      </c>
      <c r="C1494" s="199" t="s">
        <v>16</v>
      </c>
      <c r="D1494" s="199">
        <v>288</v>
      </c>
      <c r="E1494" s="199">
        <v>1791751.1</v>
      </c>
      <c r="F1494" s="199">
        <v>467064.65</v>
      </c>
      <c r="G1494" s="199">
        <f>'Mail Merge'!$E1494+'Mail Merge'!$F1494</f>
        <v>2258815.75</v>
      </c>
      <c r="H1494" s="199">
        <v>0</v>
      </c>
      <c r="I1494" s="199" t="s">
        <v>241</v>
      </c>
      <c r="J1494" s="202">
        <f>IFERROR('Mail Merge'!$E1494/'Mail Merge'!$D1494,0)</f>
        <v>6221.3579861111111</v>
      </c>
      <c r="K1494" s="199">
        <f>IFERROR('Mail Merge'!$F1494/'Mail Merge'!$D1494,0)</f>
        <v>1621.7522569444445</v>
      </c>
      <c r="L1494" s="203">
        <f>IFERROR('Mail Merge'!$G1494/'Mail Merge'!$D1494,0)</f>
        <v>7843.1102430555557</v>
      </c>
      <c r="M1494" s="199">
        <v>0</v>
      </c>
      <c r="N1494" s="199" t="s">
        <v>241</v>
      </c>
      <c r="O1494" s="199">
        <v>334484.24</v>
      </c>
      <c r="P1494" s="199">
        <v>1856.39</v>
      </c>
      <c r="Q1494" s="199">
        <f>'Mail Merge'!$O1494+'Mail Merge'!$P1494</f>
        <v>336340.63</v>
      </c>
      <c r="R1494" s="199"/>
      <c r="S1494" s="199"/>
      <c r="T1494" s="199"/>
      <c r="U1494" s="199">
        <f>IF(AND('Mail Merge'!$I1494="Did Not Meet",'Mail Merge'!$N1494="Did Not Meet"),MIN(ABS('Mail Merge'!$H1494),ABS('Mail Merge'!$M1494),'Mail Merge'!$Q1494),0)</f>
        <v>0</v>
      </c>
      <c r="V1494" s="199" t="str">
        <f>IF(OR(IFERROR(SEARCH("Met",'Mail Merge'!$N1494),0)&gt;0,IFERROR(SEARCH("Met",'Mail Merge'!$I1494),0)&gt;0),"Met","Not Met")</f>
        <v>Met</v>
      </c>
    </row>
    <row r="1495" spans="1:22" x14ac:dyDescent="0.35">
      <c r="A1495" s="200" t="s">
        <v>136</v>
      </c>
      <c r="B1495" s="201">
        <v>2145</v>
      </c>
      <c r="C1495" s="201" t="s">
        <v>16</v>
      </c>
      <c r="D1495" s="201">
        <v>85</v>
      </c>
      <c r="E1495" s="201">
        <v>389239.06</v>
      </c>
      <c r="F1495" s="201">
        <v>134504.17000000001</v>
      </c>
      <c r="G1495" s="201">
        <f>'Mail Merge'!$E1495+'Mail Merge'!$F1495</f>
        <v>523743.23</v>
      </c>
      <c r="H1495" s="201">
        <v>0</v>
      </c>
      <c r="I1495" s="201" t="s">
        <v>241</v>
      </c>
      <c r="J1495" s="204">
        <f>IFERROR('Mail Merge'!$E1495/'Mail Merge'!$D1495,0)</f>
        <v>4579.2830588235292</v>
      </c>
      <c r="K1495" s="201">
        <f>IFERROR('Mail Merge'!$F1495/'Mail Merge'!$D1495,0)</f>
        <v>1582.402</v>
      </c>
      <c r="L1495" s="205">
        <f>IFERROR('Mail Merge'!$G1495/'Mail Merge'!$D1495,0)</f>
        <v>6161.6850588235293</v>
      </c>
      <c r="M1495" s="201">
        <v>126116.59</v>
      </c>
      <c r="N1495" s="201" t="s">
        <v>240</v>
      </c>
      <c r="O1495" s="201">
        <v>123845.15</v>
      </c>
      <c r="P1495" s="201">
        <v>2122.7199999999998</v>
      </c>
      <c r="Q1495" s="201">
        <f>'Mail Merge'!$O1495+'Mail Merge'!$P1495</f>
        <v>125967.87</v>
      </c>
      <c r="R1495" s="201"/>
      <c r="S1495" s="201"/>
      <c r="T1495" s="201">
        <v>0</v>
      </c>
      <c r="U1495" s="201">
        <f>IF(AND('Mail Merge'!$I1495="Did Not Meet",'Mail Merge'!$N1495="Did Not Meet"),MIN(ABS('Mail Merge'!$H1495),ABS('Mail Merge'!$M1495),'Mail Merge'!$Q1495),0)</f>
        <v>0</v>
      </c>
      <c r="V1495" s="201" t="str">
        <f>IF(OR(IFERROR(SEARCH("Met",'Mail Merge'!$N1495),0)&gt;0,IFERROR(SEARCH("Met",'Mail Merge'!$I1495),0)&gt;0),"Met","Not Met")</f>
        <v>Met</v>
      </c>
    </row>
    <row r="1496" spans="1:22" x14ac:dyDescent="0.35">
      <c r="A1496" s="198" t="s">
        <v>137</v>
      </c>
      <c r="B1496" s="199">
        <v>1968</v>
      </c>
      <c r="C1496" s="199" t="s">
        <v>16</v>
      </c>
      <c r="D1496" s="199">
        <v>73</v>
      </c>
      <c r="E1496" s="199">
        <v>599699.06000000006</v>
      </c>
      <c r="F1496" s="199">
        <v>207526.39999999999</v>
      </c>
      <c r="G1496" s="199">
        <f>'Mail Merge'!$E1496+'Mail Merge'!$F1496</f>
        <v>807225.46000000008</v>
      </c>
      <c r="H1496" s="199">
        <v>0</v>
      </c>
      <c r="I1496" s="199" t="s">
        <v>241</v>
      </c>
      <c r="J1496" s="202">
        <f>IFERROR('Mail Merge'!$E1496/'Mail Merge'!$D1496,0)</f>
        <v>8215.0556164383561</v>
      </c>
      <c r="K1496" s="199">
        <f>IFERROR('Mail Merge'!$F1496/'Mail Merge'!$D1496,0)</f>
        <v>2842.8273972602738</v>
      </c>
      <c r="L1496" s="203">
        <f>IFERROR('Mail Merge'!$G1496/'Mail Merge'!$D1496,0)</f>
        <v>11057.883013698631</v>
      </c>
      <c r="M1496" s="199">
        <v>33932.839999999997</v>
      </c>
      <c r="N1496" s="199" t="s">
        <v>240</v>
      </c>
      <c r="O1496" s="199">
        <v>135194.29</v>
      </c>
      <c r="P1496" s="199">
        <v>1940.77</v>
      </c>
      <c r="Q1496" s="199">
        <f>'Mail Merge'!$O1496+'Mail Merge'!$P1496</f>
        <v>137135.06</v>
      </c>
      <c r="R1496" s="199"/>
      <c r="S1496" s="199"/>
      <c r="T1496" s="199">
        <v>0</v>
      </c>
      <c r="U1496" s="199">
        <f>IF(AND('Mail Merge'!$I1496="Did Not Meet",'Mail Merge'!$N1496="Did Not Meet"),MIN(ABS('Mail Merge'!$H1496),ABS('Mail Merge'!$M1496),'Mail Merge'!$Q1496),0)</f>
        <v>0</v>
      </c>
      <c r="V1496" s="199" t="str">
        <f>IF(OR(IFERROR(SEARCH("Met",'Mail Merge'!$N1496),0)&gt;0,IFERROR(SEARCH("Met",'Mail Merge'!$I1496),0)&gt;0),"Met","Not Met")</f>
        <v>Met</v>
      </c>
    </row>
    <row r="1497" spans="1:22" x14ac:dyDescent="0.35">
      <c r="A1497" s="200" t="s">
        <v>138</v>
      </c>
      <c r="B1497" s="201">
        <v>2198</v>
      </c>
      <c r="C1497" s="201" t="s">
        <v>16</v>
      </c>
      <c r="D1497" s="201">
        <v>119</v>
      </c>
      <c r="E1497" s="201">
        <v>1717616.33</v>
      </c>
      <c r="F1497" s="201">
        <v>239016</v>
      </c>
      <c r="G1497" s="201">
        <f>'Mail Merge'!$E1497+'Mail Merge'!$F1497</f>
        <v>1956632.33</v>
      </c>
      <c r="H1497" s="201">
        <v>0</v>
      </c>
      <c r="I1497" s="201" t="s">
        <v>241</v>
      </c>
      <c r="J1497" s="204">
        <f>IFERROR('Mail Merge'!$E1497/'Mail Merge'!$D1497,0)</f>
        <v>14433.750672268909</v>
      </c>
      <c r="K1497" s="201">
        <f>IFERROR('Mail Merge'!$F1497/'Mail Merge'!$D1497,0)</f>
        <v>2008.5378151260504</v>
      </c>
      <c r="L1497" s="205">
        <f>IFERROR('Mail Merge'!$G1497/'Mail Merge'!$D1497,0)</f>
        <v>16442.288487394959</v>
      </c>
      <c r="M1497" s="201">
        <v>38573.17</v>
      </c>
      <c r="N1497" s="201" t="s">
        <v>240</v>
      </c>
      <c r="O1497" s="201">
        <v>114862.55</v>
      </c>
      <c r="P1497" s="201">
        <v>1247.6400000000001</v>
      </c>
      <c r="Q1497" s="201">
        <f>'Mail Merge'!$O1497+'Mail Merge'!$P1497</f>
        <v>116110.19</v>
      </c>
      <c r="R1497" s="201"/>
      <c r="S1497" s="201"/>
      <c r="T1497" s="201">
        <v>0</v>
      </c>
      <c r="U1497" s="201">
        <f>IF(AND('Mail Merge'!$I1497="Did Not Meet",'Mail Merge'!$N1497="Did Not Meet"),MIN(ABS('Mail Merge'!$H1497),ABS('Mail Merge'!$M1497),'Mail Merge'!$Q1497),0)</f>
        <v>0</v>
      </c>
      <c r="V1497" s="201" t="str">
        <f>IF(OR(IFERROR(SEARCH("Met",'Mail Merge'!$N1497),0)&gt;0,IFERROR(SEARCH("Met",'Mail Merge'!$I1497),0)&gt;0),"Met","Not Met")</f>
        <v>Met</v>
      </c>
    </row>
    <row r="1498" spans="1:22" x14ac:dyDescent="0.35">
      <c r="A1498" s="198" t="s">
        <v>139</v>
      </c>
      <c r="B1498" s="199">
        <v>2199</v>
      </c>
      <c r="C1498" s="199" t="s">
        <v>16</v>
      </c>
      <c r="D1498" s="199">
        <v>72</v>
      </c>
      <c r="E1498" s="199">
        <v>895648.15</v>
      </c>
      <c r="F1498" s="199">
        <v>138786</v>
      </c>
      <c r="G1498" s="199">
        <f>'Mail Merge'!$E1498+'Mail Merge'!$F1498</f>
        <v>1034434.15</v>
      </c>
      <c r="H1498" s="199">
        <v>0</v>
      </c>
      <c r="I1498" s="199" t="s">
        <v>241</v>
      </c>
      <c r="J1498" s="202">
        <f>IFERROR('Mail Merge'!$E1498/'Mail Merge'!$D1498,0)</f>
        <v>12439.557638888889</v>
      </c>
      <c r="K1498" s="199">
        <f>IFERROR('Mail Merge'!$F1498/'Mail Merge'!$D1498,0)</f>
        <v>1927.5833333333333</v>
      </c>
      <c r="L1498" s="203">
        <f>IFERROR('Mail Merge'!$G1498/'Mail Merge'!$D1498,0)</f>
        <v>14367.140972222223</v>
      </c>
      <c r="M1498" s="199">
        <v>0</v>
      </c>
      <c r="N1498" s="199" t="s">
        <v>241</v>
      </c>
      <c r="O1498" s="199">
        <v>102171.29</v>
      </c>
      <c r="P1498" s="199">
        <v>970.38</v>
      </c>
      <c r="Q1498" s="199">
        <f>'Mail Merge'!$O1498+'Mail Merge'!$P1498</f>
        <v>103141.67</v>
      </c>
      <c r="R1498" s="199"/>
      <c r="S1498" s="199"/>
      <c r="T1498" s="199"/>
      <c r="U1498" s="199">
        <f>IF(AND('Mail Merge'!$I1498="Did Not Meet",'Mail Merge'!$N1498="Did Not Meet"),MIN(ABS('Mail Merge'!$H1498),ABS('Mail Merge'!$M1498),'Mail Merge'!$Q1498),0)</f>
        <v>0</v>
      </c>
      <c r="V1498" s="199" t="str">
        <f>IF(OR(IFERROR(SEARCH("Met",'Mail Merge'!$N1498),0)&gt;0,IFERROR(SEARCH("Met",'Mail Merge'!$I1498),0)&gt;0),"Met","Not Met")</f>
        <v>Met</v>
      </c>
    </row>
    <row r="1499" spans="1:22" x14ac:dyDescent="0.35">
      <c r="A1499" s="200" t="s">
        <v>140</v>
      </c>
      <c r="B1499" s="201">
        <v>2254</v>
      </c>
      <c r="C1499" s="201" t="s">
        <v>16</v>
      </c>
      <c r="D1499" s="201">
        <v>660</v>
      </c>
      <c r="E1499" s="201">
        <v>6310925.0099999998</v>
      </c>
      <c r="F1499" s="201">
        <v>129785.05</v>
      </c>
      <c r="G1499" s="201">
        <f>'Mail Merge'!$E1499+'Mail Merge'!$F1499</f>
        <v>6440710.0599999996</v>
      </c>
      <c r="H1499" s="201">
        <v>0</v>
      </c>
      <c r="I1499" s="201" t="s">
        <v>241</v>
      </c>
      <c r="J1499" s="204">
        <f>IFERROR('Mail Merge'!$E1499/'Mail Merge'!$D1499,0)</f>
        <v>9562.0075909090901</v>
      </c>
      <c r="K1499" s="201">
        <f>IFERROR('Mail Merge'!$F1499/'Mail Merge'!$D1499,0)</f>
        <v>196.64401515151516</v>
      </c>
      <c r="L1499" s="205">
        <f>IFERROR('Mail Merge'!$G1499/'Mail Merge'!$D1499,0)</f>
        <v>9758.6516060606045</v>
      </c>
      <c r="M1499" s="201">
        <v>0</v>
      </c>
      <c r="N1499" s="201" t="s">
        <v>241</v>
      </c>
      <c r="O1499" s="201">
        <v>753605.98</v>
      </c>
      <c r="P1499" s="201">
        <v>7185.76</v>
      </c>
      <c r="Q1499" s="201">
        <f>'Mail Merge'!$O1499+'Mail Merge'!$P1499</f>
        <v>760791.74</v>
      </c>
      <c r="R1499" s="201"/>
      <c r="S1499" s="201"/>
      <c r="T1499" s="201"/>
      <c r="U1499" s="201">
        <f>IF(AND('Mail Merge'!$I1499="Did Not Meet",'Mail Merge'!$N1499="Did Not Meet"),MIN(ABS('Mail Merge'!$H1499),ABS('Mail Merge'!$M1499),'Mail Merge'!$Q1499),0)</f>
        <v>0</v>
      </c>
      <c r="V1499" s="201" t="str">
        <f>IF(OR(IFERROR(SEARCH("Met",'Mail Merge'!$N1499),0)&gt;0,IFERROR(SEARCH("Met",'Mail Merge'!$I1499),0)&gt;0),"Met","Not Met")</f>
        <v>Met</v>
      </c>
    </row>
    <row r="1500" spans="1:22" x14ac:dyDescent="0.35">
      <c r="A1500" s="198" t="s">
        <v>141</v>
      </c>
      <c r="B1500" s="199">
        <v>1966</v>
      </c>
      <c r="C1500" s="199" t="s">
        <v>16</v>
      </c>
      <c r="D1500" s="199">
        <v>538</v>
      </c>
      <c r="E1500" s="199">
        <v>4031122.47</v>
      </c>
      <c r="F1500" s="199">
        <v>1048346</v>
      </c>
      <c r="G1500" s="199">
        <f>'Mail Merge'!$E1500+'Mail Merge'!$F1500</f>
        <v>5079468.4700000007</v>
      </c>
      <c r="H1500" s="199">
        <v>0</v>
      </c>
      <c r="I1500" s="199" t="s">
        <v>241</v>
      </c>
      <c r="J1500" s="202">
        <f>IFERROR('Mail Merge'!$E1500/'Mail Merge'!$D1500,0)</f>
        <v>7492.7926951672862</v>
      </c>
      <c r="K1500" s="199">
        <f>IFERROR('Mail Merge'!$F1500/'Mail Merge'!$D1500,0)</f>
        <v>1948.5985130111524</v>
      </c>
      <c r="L1500" s="203">
        <f>IFERROR('Mail Merge'!$G1500/'Mail Merge'!$D1500,0)</f>
        <v>9441.3912081784401</v>
      </c>
      <c r="M1500" s="199">
        <v>125182.41</v>
      </c>
      <c r="N1500" s="199" t="s">
        <v>240</v>
      </c>
      <c r="O1500" s="199">
        <v>575262.76</v>
      </c>
      <c r="P1500" s="199">
        <v>4402.9399999999996</v>
      </c>
      <c r="Q1500" s="199">
        <f>'Mail Merge'!$O1500+'Mail Merge'!$P1500</f>
        <v>579665.69999999995</v>
      </c>
      <c r="R1500" s="199"/>
      <c r="S1500" s="199"/>
      <c r="T1500" s="199">
        <v>1472.88</v>
      </c>
      <c r="U1500" s="199">
        <f>IF(AND('Mail Merge'!$I1500="Did Not Meet",'Mail Merge'!$N1500="Did Not Meet"),MIN(ABS('Mail Merge'!$H1500),ABS('Mail Merge'!$M1500),'Mail Merge'!$Q1500),0)</f>
        <v>0</v>
      </c>
      <c r="V1500" s="199" t="str">
        <f>IF(OR(IFERROR(SEARCH("Met",'Mail Merge'!$N1500),0)&gt;0,IFERROR(SEARCH("Met",'Mail Merge'!$I1500),0)&gt;0),"Met","Not Met")</f>
        <v>Met</v>
      </c>
    </row>
    <row r="1501" spans="1:22" x14ac:dyDescent="0.35">
      <c r="A1501" s="200" t="s">
        <v>142</v>
      </c>
      <c r="B1501" s="201">
        <v>1924</v>
      </c>
      <c r="C1501" s="201" t="s">
        <v>16</v>
      </c>
      <c r="D1501" s="201">
        <v>2706</v>
      </c>
      <c r="E1501" s="201">
        <v>24755193.789999999</v>
      </c>
      <c r="F1501" s="201">
        <v>2626142</v>
      </c>
      <c r="G1501" s="201">
        <f>'Mail Merge'!$E1501+'Mail Merge'!$F1501</f>
        <v>27381335.789999999</v>
      </c>
      <c r="H1501" s="201">
        <v>0</v>
      </c>
      <c r="I1501" s="201" t="s">
        <v>241</v>
      </c>
      <c r="J1501" s="204">
        <f>IFERROR('Mail Merge'!$E1501/'Mail Merge'!$D1501,0)</f>
        <v>9148.2608240946047</v>
      </c>
      <c r="K1501" s="201">
        <f>IFERROR('Mail Merge'!$F1501/'Mail Merge'!$D1501,0)</f>
        <v>970.48854397634886</v>
      </c>
      <c r="L1501" s="205">
        <f>IFERROR('Mail Merge'!$G1501/'Mail Merge'!$D1501,0)</f>
        <v>10118.749368070954</v>
      </c>
      <c r="M1501" s="201">
        <v>0</v>
      </c>
      <c r="N1501" s="201" t="s">
        <v>241</v>
      </c>
      <c r="O1501" s="201">
        <v>2571050.4700000002</v>
      </c>
      <c r="P1501" s="201">
        <v>18029.97</v>
      </c>
      <c r="Q1501" s="201">
        <f>'Mail Merge'!$O1501+'Mail Merge'!$P1501</f>
        <v>2589080.4400000004</v>
      </c>
      <c r="R1501" s="201"/>
      <c r="S1501" s="201"/>
      <c r="T1501" s="201"/>
      <c r="U1501" s="201">
        <f>IF(AND('Mail Merge'!$I1501="Did Not Meet",'Mail Merge'!$N1501="Did Not Meet"),MIN(ABS('Mail Merge'!$H1501),ABS('Mail Merge'!$M1501),'Mail Merge'!$Q1501),0)</f>
        <v>0</v>
      </c>
      <c r="V1501" s="201" t="str">
        <f>IF(OR(IFERROR(SEARCH("Met",'Mail Merge'!$N1501),0)&gt;0,IFERROR(SEARCH("Met",'Mail Merge'!$I1501),0)&gt;0),"Met","Not Met")</f>
        <v>Met</v>
      </c>
    </row>
    <row r="1502" spans="1:22" x14ac:dyDescent="0.35">
      <c r="A1502" s="198" t="s">
        <v>143</v>
      </c>
      <c r="B1502" s="199">
        <v>1996</v>
      </c>
      <c r="C1502" s="199" t="s">
        <v>16</v>
      </c>
      <c r="D1502" s="199">
        <v>52</v>
      </c>
      <c r="E1502" s="199">
        <v>334370.09999999998</v>
      </c>
      <c r="F1502" s="199">
        <v>49386.58</v>
      </c>
      <c r="G1502" s="199">
        <f>'Mail Merge'!$E1502+'Mail Merge'!$F1502</f>
        <v>383756.68</v>
      </c>
      <c r="H1502" s="199">
        <v>0</v>
      </c>
      <c r="I1502" s="199" t="s">
        <v>241</v>
      </c>
      <c r="J1502" s="202">
        <f>IFERROR('Mail Merge'!$E1502/'Mail Merge'!$D1502,0)</f>
        <v>6430.1942307692307</v>
      </c>
      <c r="K1502" s="199">
        <f>IFERROR('Mail Merge'!$F1502/'Mail Merge'!$D1502,0)</f>
        <v>949.74192307692306</v>
      </c>
      <c r="L1502" s="203">
        <f>IFERROR('Mail Merge'!$G1502/'Mail Merge'!$D1502,0)</f>
        <v>7379.9361538461535</v>
      </c>
      <c r="M1502" s="199">
        <v>210508.19</v>
      </c>
      <c r="N1502" s="199" t="s">
        <v>240</v>
      </c>
      <c r="O1502" s="199">
        <v>59279.65</v>
      </c>
      <c r="P1502" s="199">
        <v>0</v>
      </c>
      <c r="Q1502" s="199">
        <f>'Mail Merge'!$O1502+'Mail Merge'!$P1502</f>
        <v>59279.65</v>
      </c>
      <c r="R1502" s="199"/>
      <c r="S1502" s="199"/>
      <c r="T1502" s="199">
        <v>0</v>
      </c>
      <c r="U1502" s="199">
        <f>IF(AND('Mail Merge'!$I1502="Did Not Meet",'Mail Merge'!$N1502="Did Not Meet"),MIN(ABS('Mail Merge'!$H1502),ABS('Mail Merge'!$M1502),'Mail Merge'!$Q1502),0)</f>
        <v>0</v>
      </c>
      <c r="V1502" s="199" t="str">
        <f>IF(OR(IFERROR(SEARCH("Met",'Mail Merge'!$N1502),0)&gt;0,IFERROR(SEARCH("Met",'Mail Merge'!$I1502),0)&gt;0),"Met","Not Met")</f>
        <v>Met</v>
      </c>
    </row>
    <row r="1503" spans="1:22" x14ac:dyDescent="0.35">
      <c r="A1503" s="200" t="s">
        <v>144</v>
      </c>
      <c r="B1503" s="201">
        <v>2061</v>
      </c>
      <c r="C1503" s="201" t="s">
        <v>16</v>
      </c>
      <c r="D1503" s="201">
        <v>47</v>
      </c>
      <c r="E1503" s="201">
        <v>149611.75</v>
      </c>
      <c r="F1503" s="201">
        <v>111834.9</v>
      </c>
      <c r="G1503" s="201">
        <f>'Mail Merge'!$E1503+'Mail Merge'!$F1503</f>
        <v>261446.65</v>
      </c>
      <c r="H1503" s="201">
        <v>0</v>
      </c>
      <c r="I1503" s="201" t="s">
        <v>241</v>
      </c>
      <c r="J1503" s="204">
        <f>IFERROR('Mail Merge'!$E1503/'Mail Merge'!$D1503,0)</f>
        <v>3183.2287234042551</v>
      </c>
      <c r="K1503" s="201">
        <f>IFERROR('Mail Merge'!$F1503/'Mail Merge'!$D1503,0)</f>
        <v>2379.4659574468083</v>
      </c>
      <c r="L1503" s="205">
        <f>IFERROR('Mail Merge'!$G1503/'Mail Merge'!$D1503,0)</f>
        <v>5562.6946808510638</v>
      </c>
      <c r="M1503" s="201">
        <v>6020.15</v>
      </c>
      <c r="N1503" s="201" t="s">
        <v>240</v>
      </c>
      <c r="O1503" s="201">
        <v>50308.25</v>
      </c>
      <c r="P1503" s="201">
        <v>0</v>
      </c>
      <c r="Q1503" s="201">
        <f>'Mail Merge'!$O1503+'Mail Merge'!$P1503</f>
        <v>50308.25</v>
      </c>
      <c r="R1503" s="201"/>
      <c r="S1503" s="201"/>
      <c r="T1503" s="201">
        <v>955.75</v>
      </c>
      <c r="U1503" s="201">
        <f>IF(AND('Mail Merge'!$I1503="Did Not Meet",'Mail Merge'!$N1503="Did Not Meet"),MIN(ABS('Mail Merge'!$H1503),ABS('Mail Merge'!$M1503),'Mail Merge'!$Q1503),0)</f>
        <v>0</v>
      </c>
      <c r="V1503" s="201" t="str">
        <f>IF(OR(IFERROR(SEARCH("Met",'Mail Merge'!$N1503),0)&gt;0,IFERROR(SEARCH("Met",'Mail Merge'!$I1503),0)&gt;0),"Met","Not Met")</f>
        <v>Met</v>
      </c>
    </row>
    <row r="1504" spans="1:22" x14ac:dyDescent="0.35">
      <c r="A1504" s="198" t="s">
        <v>145</v>
      </c>
      <c r="B1504" s="199">
        <v>2141</v>
      </c>
      <c r="C1504" s="199" t="s">
        <v>16</v>
      </c>
      <c r="D1504" s="199">
        <v>290</v>
      </c>
      <c r="E1504" s="199">
        <v>2475208.04</v>
      </c>
      <c r="F1504" s="199">
        <v>374663.75</v>
      </c>
      <c r="G1504" s="199">
        <f>'Mail Merge'!$E1504+'Mail Merge'!$F1504</f>
        <v>2849871.79</v>
      </c>
      <c r="H1504" s="199">
        <v>0</v>
      </c>
      <c r="I1504" s="199" t="s">
        <v>241</v>
      </c>
      <c r="J1504" s="202">
        <f>IFERROR('Mail Merge'!$E1504/'Mail Merge'!$D1504,0)</f>
        <v>8535.200137931035</v>
      </c>
      <c r="K1504" s="199">
        <f>IFERROR('Mail Merge'!$F1504/'Mail Merge'!$D1504,0)</f>
        <v>1291.9439655172414</v>
      </c>
      <c r="L1504" s="203">
        <f>IFERROR('Mail Merge'!$G1504/'Mail Merge'!$D1504,0)</f>
        <v>9827.1441034482759</v>
      </c>
      <c r="M1504" s="199">
        <v>0</v>
      </c>
      <c r="N1504" s="199" t="s">
        <v>241</v>
      </c>
      <c r="O1504" s="199">
        <v>262988.71000000002</v>
      </c>
      <c r="P1504" s="199">
        <v>2587.69</v>
      </c>
      <c r="Q1504" s="199">
        <f>'Mail Merge'!$O1504+'Mail Merge'!$P1504</f>
        <v>265576.40000000002</v>
      </c>
      <c r="R1504" s="199"/>
      <c r="S1504" s="199"/>
      <c r="T1504" s="199"/>
      <c r="U1504" s="199">
        <f>IF(AND('Mail Merge'!$I1504="Did Not Meet",'Mail Merge'!$N1504="Did Not Meet"),MIN(ABS('Mail Merge'!$H1504),ABS('Mail Merge'!$M1504),'Mail Merge'!$Q1504),0)</f>
        <v>0</v>
      </c>
      <c r="V1504" s="199" t="str">
        <f>IF(OR(IFERROR(SEARCH("Met",'Mail Merge'!$N1504),0)&gt;0,IFERROR(SEARCH("Met",'Mail Merge'!$I1504),0)&gt;0),"Met","Not Met")</f>
        <v>Met</v>
      </c>
    </row>
    <row r="1505" spans="1:22" x14ac:dyDescent="0.35">
      <c r="A1505" s="200" t="s">
        <v>146</v>
      </c>
      <c r="B1505" s="201">
        <v>2214</v>
      </c>
      <c r="C1505" s="201" t="s">
        <v>16</v>
      </c>
      <c r="D1505" s="201">
        <v>44</v>
      </c>
      <c r="E1505" s="201">
        <v>188914.15</v>
      </c>
      <c r="F1505" s="201">
        <v>71021.119999999995</v>
      </c>
      <c r="G1505" s="201">
        <f>'Mail Merge'!$E1505+'Mail Merge'!$F1505</f>
        <v>259935.27</v>
      </c>
      <c r="H1505" s="201">
        <v>0</v>
      </c>
      <c r="I1505" s="201" t="s">
        <v>241</v>
      </c>
      <c r="J1505" s="204">
        <f>IFERROR('Mail Merge'!$E1505/'Mail Merge'!$D1505,0)</f>
        <v>4293.5034090909094</v>
      </c>
      <c r="K1505" s="201">
        <f>IFERROR('Mail Merge'!$F1505/'Mail Merge'!$D1505,0)</f>
        <v>1614.1163636363635</v>
      </c>
      <c r="L1505" s="205">
        <f>IFERROR('Mail Merge'!$G1505/'Mail Merge'!$D1505,0)</f>
        <v>5907.6197727272729</v>
      </c>
      <c r="M1505" s="201">
        <v>17548.22</v>
      </c>
      <c r="N1505" s="201" t="s">
        <v>240</v>
      </c>
      <c r="O1505" s="201">
        <v>44036.55</v>
      </c>
      <c r="P1505" s="201">
        <v>0</v>
      </c>
      <c r="Q1505" s="201">
        <f>'Mail Merge'!$O1505+'Mail Merge'!$P1505</f>
        <v>44036.55</v>
      </c>
      <c r="R1505" s="201"/>
      <c r="S1505" s="201"/>
      <c r="T1505" s="201">
        <v>0</v>
      </c>
      <c r="U1505" s="201">
        <f>IF(AND('Mail Merge'!$I1505="Did Not Meet",'Mail Merge'!$N1505="Did Not Meet"),MIN(ABS('Mail Merge'!$H1505),ABS('Mail Merge'!$M1505),'Mail Merge'!$Q1505),0)</f>
        <v>0</v>
      </c>
      <c r="V1505" s="201" t="str">
        <f>IF(OR(IFERROR(SEARCH("Met",'Mail Merge'!$N1505),0)&gt;0,IFERROR(SEARCH("Met",'Mail Merge'!$I1505),0)&gt;0),"Met","Not Met")</f>
        <v>Met</v>
      </c>
    </row>
    <row r="1506" spans="1:22" x14ac:dyDescent="0.35">
      <c r="A1506" s="198" t="s">
        <v>147</v>
      </c>
      <c r="B1506" s="199">
        <v>2143</v>
      </c>
      <c r="C1506" s="199" t="s">
        <v>16</v>
      </c>
      <c r="D1506" s="199">
        <v>348</v>
      </c>
      <c r="E1506" s="199">
        <v>2795114.3</v>
      </c>
      <c r="F1506" s="199">
        <v>128113.4</v>
      </c>
      <c r="G1506" s="199">
        <f>'Mail Merge'!$E1506+'Mail Merge'!$F1506</f>
        <v>2923227.6999999997</v>
      </c>
      <c r="H1506" s="199">
        <v>0</v>
      </c>
      <c r="I1506" s="199" t="s">
        <v>241</v>
      </c>
      <c r="J1506" s="202">
        <f>IFERROR('Mail Merge'!$E1506/'Mail Merge'!$D1506,0)</f>
        <v>8031.9376436781604</v>
      </c>
      <c r="K1506" s="199">
        <f>IFERROR('Mail Merge'!$F1506/'Mail Merge'!$D1506,0)</f>
        <v>368.1419540229885</v>
      </c>
      <c r="L1506" s="203">
        <f>IFERROR('Mail Merge'!$G1506/'Mail Merge'!$D1506,0)</f>
        <v>8400.0795977011494</v>
      </c>
      <c r="M1506" s="199">
        <v>489265.88</v>
      </c>
      <c r="N1506" s="199" t="s">
        <v>240</v>
      </c>
      <c r="O1506" s="199">
        <v>452616.62</v>
      </c>
      <c r="P1506" s="199">
        <v>3480.73</v>
      </c>
      <c r="Q1506" s="199">
        <f>'Mail Merge'!$O1506+'Mail Merge'!$P1506</f>
        <v>456097.35</v>
      </c>
      <c r="R1506" s="199"/>
      <c r="S1506" s="199"/>
      <c r="T1506" s="199">
        <v>291.95</v>
      </c>
      <c r="U1506" s="199">
        <f>IF(AND('Mail Merge'!$I1506="Did Not Meet",'Mail Merge'!$N1506="Did Not Meet"),MIN(ABS('Mail Merge'!$H1506),ABS('Mail Merge'!$M1506),'Mail Merge'!$Q1506),0)</f>
        <v>0</v>
      </c>
      <c r="V1506" s="199" t="str">
        <f>IF(OR(IFERROR(SEARCH("Met",'Mail Merge'!$N1506),0)&gt;0,IFERROR(SEARCH("Met",'Mail Merge'!$I1506),0)&gt;0),"Met","Not Met")</f>
        <v>Met</v>
      </c>
    </row>
    <row r="1507" spans="1:22" x14ac:dyDescent="0.35">
      <c r="A1507" s="200" t="s">
        <v>148</v>
      </c>
      <c r="B1507" s="201">
        <v>4131</v>
      </c>
      <c r="C1507" s="201" t="s">
        <v>16</v>
      </c>
      <c r="D1507" s="201">
        <v>467</v>
      </c>
      <c r="E1507" s="201">
        <v>4526011.8</v>
      </c>
      <c r="F1507" s="201">
        <v>0</v>
      </c>
      <c r="G1507" s="201">
        <f>'Mail Merge'!$E1507+'Mail Merge'!$F1507</f>
        <v>4526011.8</v>
      </c>
      <c r="H1507" s="201">
        <v>0</v>
      </c>
      <c r="I1507" s="201" t="s">
        <v>241</v>
      </c>
      <c r="J1507" s="204">
        <f>IFERROR('Mail Merge'!$E1507/'Mail Merge'!$D1507,0)</f>
        <v>9691.6740899357592</v>
      </c>
      <c r="K1507" s="201">
        <f>IFERROR('Mail Merge'!$F1507/'Mail Merge'!$D1507,0)</f>
        <v>0</v>
      </c>
      <c r="L1507" s="205">
        <f>IFERROR('Mail Merge'!$G1507/'Mail Merge'!$D1507,0)</f>
        <v>9691.6740899357592</v>
      </c>
      <c r="M1507" s="201">
        <v>0</v>
      </c>
      <c r="N1507" s="201" t="s">
        <v>241</v>
      </c>
      <c r="O1507" s="201">
        <v>546435.47</v>
      </c>
      <c r="P1507" s="201">
        <v>25230</v>
      </c>
      <c r="Q1507" s="201">
        <f>'Mail Merge'!$O1507+'Mail Merge'!$P1507</f>
        <v>571665.47</v>
      </c>
      <c r="R1507" s="201"/>
      <c r="S1507" s="201"/>
      <c r="T1507" s="201"/>
      <c r="U1507" s="201">
        <f>IF(AND('Mail Merge'!$I1507="Did Not Meet",'Mail Merge'!$N1507="Did Not Meet"),MIN(ABS('Mail Merge'!$H1507),ABS('Mail Merge'!$M1507),'Mail Merge'!$Q1507),0)</f>
        <v>0</v>
      </c>
      <c r="V1507" s="201" t="str">
        <f>IF(OR(IFERROR(SEARCH("Met",'Mail Merge'!$N1507),0)&gt;0,IFERROR(SEARCH("Met",'Mail Merge'!$I1507),0)&gt;0),"Met","Not Met")</f>
        <v>Met</v>
      </c>
    </row>
    <row r="1508" spans="1:22" x14ac:dyDescent="0.35">
      <c r="A1508" s="198" t="s">
        <v>149</v>
      </c>
      <c r="B1508" s="199">
        <v>2110</v>
      </c>
      <c r="C1508" s="199" t="s">
        <v>16</v>
      </c>
      <c r="D1508" s="199">
        <v>166</v>
      </c>
      <c r="E1508" s="199">
        <v>799023.53</v>
      </c>
      <c r="F1508" s="199">
        <v>336940.91</v>
      </c>
      <c r="G1508" s="199">
        <f>'Mail Merge'!$E1508+'Mail Merge'!$F1508</f>
        <v>1135964.44</v>
      </c>
      <c r="H1508" s="199">
        <v>18819.349999999999</v>
      </c>
      <c r="I1508" s="199" t="s">
        <v>240</v>
      </c>
      <c r="J1508" s="202">
        <f>IFERROR('Mail Merge'!$E1508/'Mail Merge'!$D1508,0)</f>
        <v>4813.3947590361449</v>
      </c>
      <c r="K1508" s="199">
        <f>IFERROR('Mail Merge'!$F1508/'Mail Merge'!$D1508,0)</f>
        <v>2029.7645180722891</v>
      </c>
      <c r="L1508" s="203">
        <f>IFERROR('Mail Merge'!$G1508/'Mail Merge'!$D1508,0)</f>
        <v>6843.1592771084333</v>
      </c>
      <c r="M1508" s="199">
        <v>0</v>
      </c>
      <c r="N1508" s="199" t="s">
        <v>242</v>
      </c>
      <c r="O1508" s="199">
        <v>221207.52</v>
      </c>
      <c r="P1508" s="199">
        <v>970.38</v>
      </c>
      <c r="Q1508" s="199">
        <f>'Mail Merge'!$O1508+'Mail Merge'!$P1508</f>
        <v>222177.9</v>
      </c>
      <c r="R1508" s="199"/>
      <c r="S1508" s="199">
        <v>48695.7</v>
      </c>
      <c r="T1508" s="199">
        <v>281.48</v>
      </c>
      <c r="U1508" s="199">
        <f>IF(AND('Mail Merge'!$I1508="Did Not Meet",'Mail Merge'!$N1508="Did Not Meet"),MIN(ABS('Mail Merge'!$H1508),ABS('Mail Merge'!$M1508),'Mail Merge'!$Q1508),0)</f>
        <v>0</v>
      </c>
      <c r="V1508" s="199" t="str">
        <f>IF(OR(IFERROR(SEARCH("Met",'Mail Merge'!$N1508),0)&gt;0,IFERROR(SEARCH("Met",'Mail Merge'!$I1508),0)&gt;0),"Met","Not Met")</f>
        <v>Met</v>
      </c>
    </row>
    <row r="1509" spans="1:22" x14ac:dyDescent="0.35">
      <c r="A1509" s="200" t="s">
        <v>150</v>
      </c>
      <c r="B1509" s="201">
        <v>1990</v>
      </c>
      <c r="C1509" s="201" t="s">
        <v>16</v>
      </c>
      <c r="D1509" s="201">
        <v>67</v>
      </c>
      <c r="E1509" s="201">
        <v>403079.22</v>
      </c>
      <c r="F1509" s="201">
        <v>108290.45</v>
      </c>
      <c r="G1509" s="201">
        <f>'Mail Merge'!$E1509+'Mail Merge'!$F1509</f>
        <v>511369.67</v>
      </c>
      <c r="H1509" s="201">
        <v>41.45</v>
      </c>
      <c r="I1509" s="201" t="s">
        <v>240</v>
      </c>
      <c r="J1509" s="204">
        <f>IFERROR('Mail Merge'!$E1509/'Mail Merge'!$D1509,0)</f>
        <v>6016.1077611940291</v>
      </c>
      <c r="K1509" s="201">
        <f>IFERROR('Mail Merge'!$F1509/'Mail Merge'!$D1509,0)</f>
        <v>1616.2753731343282</v>
      </c>
      <c r="L1509" s="205">
        <f>IFERROR('Mail Merge'!$G1509/'Mail Merge'!$D1509,0)</f>
        <v>7632.3831343283582</v>
      </c>
      <c r="M1509" s="201">
        <v>24013.85</v>
      </c>
      <c r="N1509" s="201" t="s">
        <v>240</v>
      </c>
      <c r="O1509" s="201">
        <v>98313.5</v>
      </c>
      <c r="P1509" s="201">
        <v>0</v>
      </c>
      <c r="Q1509" s="201">
        <f>'Mail Merge'!$O1509+'Mail Merge'!$P1509</f>
        <v>98313.5</v>
      </c>
      <c r="R1509" s="201"/>
      <c r="S1509" s="201">
        <v>0</v>
      </c>
      <c r="T1509" s="201">
        <v>0</v>
      </c>
      <c r="U1509" s="201">
        <f>IF(AND('Mail Merge'!$I1509="Did Not Meet",'Mail Merge'!$N1509="Did Not Meet"),MIN(ABS('Mail Merge'!$H1509),ABS('Mail Merge'!$M1509),'Mail Merge'!$Q1509),0)</f>
        <v>41.45</v>
      </c>
      <c r="V1509" s="201" t="str">
        <f>IF(OR(IFERROR(SEARCH("Met",'Mail Merge'!$N1509),0)&gt;0,IFERROR(SEARCH("Met",'Mail Merge'!$I1509),0)&gt;0),"Met","Not Met")</f>
        <v>Not Met</v>
      </c>
    </row>
    <row r="1510" spans="1:22" x14ac:dyDescent="0.35">
      <c r="A1510" s="198" t="s">
        <v>151</v>
      </c>
      <c r="B1510" s="199">
        <v>2093</v>
      </c>
      <c r="C1510" s="199" t="s">
        <v>16</v>
      </c>
      <c r="D1510" s="199">
        <v>98</v>
      </c>
      <c r="E1510" s="199">
        <v>470566.58</v>
      </c>
      <c r="F1510" s="199">
        <v>147900</v>
      </c>
      <c r="G1510" s="199">
        <f>'Mail Merge'!$E1510+'Mail Merge'!$F1510</f>
        <v>618466.58000000007</v>
      </c>
      <c r="H1510" s="199">
        <v>0</v>
      </c>
      <c r="I1510" s="199" t="s">
        <v>241</v>
      </c>
      <c r="J1510" s="202">
        <f>IFERROR('Mail Merge'!$E1510/'Mail Merge'!$D1510,0)</f>
        <v>4801.6997959183673</v>
      </c>
      <c r="K1510" s="199">
        <f>IFERROR('Mail Merge'!$F1510/'Mail Merge'!$D1510,0)</f>
        <v>1509.1836734693877</v>
      </c>
      <c r="L1510" s="203">
        <f>IFERROR('Mail Merge'!$G1510/'Mail Merge'!$D1510,0)</f>
        <v>6310.8834693877561</v>
      </c>
      <c r="M1510" s="199">
        <v>57368.54</v>
      </c>
      <c r="N1510" s="199" t="s">
        <v>240</v>
      </c>
      <c r="O1510" s="199">
        <v>123929.17</v>
      </c>
      <c r="P1510" s="199">
        <v>1940.77</v>
      </c>
      <c r="Q1510" s="199">
        <f>'Mail Merge'!$O1510+'Mail Merge'!$P1510</f>
        <v>125869.94</v>
      </c>
      <c r="R1510" s="199"/>
      <c r="S1510" s="199"/>
      <c r="T1510" s="199">
        <v>862.58</v>
      </c>
      <c r="U1510" s="199">
        <f>IF(AND('Mail Merge'!$I1510="Did Not Meet",'Mail Merge'!$N1510="Did Not Meet"),MIN(ABS('Mail Merge'!$H1510),ABS('Mail Merge'!$M1510),'Mail Merge'!$Q1510),0)</f>
        <v>0</v>
      </c>
      <c r="V1510" s="199" t="str">
        <f>IF(OR(IFERROR(SEARCH("Met",'Mail Merge'!$N1510),0)&gt;0,IFERROR(SEARCH("Met",'Mail Merge'!$I1510),0)&gt;0),"Met","Not Met")</f>
        <v>Met</v>
      </c>
    </row>
    <row r="1511" spans="1:22" x14ac:dyDescent="0.35">
      <c r="A1511" s="200" t="s">
        <v>152</v>
      </c>
      <c r="B1511" s="201">
        <v>2108</v>
      </c>
      <c r="C1511" s="201" t="s">
        <v>16</v>
      </c>
      <c r="D1511" s="201">
        <v>314</v>
      </c>
      <c r="E1511" s="201">
        <v>2778424.09</v>
      </c>
      <c r="F1511" s="201">
        <v>91330</v>
      </c>
      <c r="G1511" s="201">
        <f>'Mail Merge'!$E1511+'Mail Merge'!$F1511</f>
        <v>2869754.09</v>
      </c>
      <c r="H1511" s="201">
        <v>0</v>
      </c>
      <c r="I1511" s="201" t="s">
        <v>241</v>
      </c>
      <c r="J1511" s="204">
        <f>IFERROR('Mail Merge'!$E1511/'Mail Merge'!$D1511,0)</f>
        <v>8848.484363057325</v>
      </c>
      <c r="K1511" s="201">
        <f>IFERROR('Mail Merge'!$F1511/'Mail Merge'!$D1511,0)</f>
        <v>290.85987261146499</v>
      </c>
      <c r="L1511" s="205">
        <f>IFERROR('Mail Merge'!$G1511/'Mail Merge'!$D1511,0)</f>
        <v>9139.3442356687901</v>
      </c>
      <c r="M1511" s="201">
        <v>78099.520000000004</v>
      </c>
      <c r="N1511" s="201" t="s">
        <v>240</v>
      </c>
      <c r="O1511" s="201">
        <v>509844.82</v>
      </c>
      <c r="P1511" s="201">
        <v>5122.3599999999997</v>
      </c>
      <c r="Q1511" s="201">
        <f>'Mail Merge'!$O1511+'Mail Merge'!$P1511</f>
        <v>514967.18</v>
      </c>
      <c r="R1511" s="201"/>
      <c r="S1511" s="201"/>
      <c r="T1511" s="201">
        <v>0</v>
      </c>
      <c r="U1511" s="201">
        <f>IF(AND('Mail Merge'!$I1511="Did Not Meet",'Mail Merge'!$N1511="Did Not Meet"),MIN(ABS('Mail Merge'!$H1511),ABS('Mail Merge'!$M1511),'Mail Merge'!$Q1511),0)</f>
        <v>0</v>
      </c>
      <c r="V1511" s="201" t="str">
        <f>IF(OR(IFERROR(SEARCH("Met",'Mail Merge'!$N1511),0)&gt;0,IFERROR(SEARCH("Met",'Mail Merge'!$I1511),0)&gt;0),"Met","Not Met")</f>
        <v>Met</v>
      </c>
    </row>
    <row r="1512" spans="1:22" x14ac:dyDescent="0.35">
      <c r="A1512" s="198" t="s">
        <v>153</v>
      </c>
      <c r="B1512" s="199">
        <v>1928</v>
      </c>
      <c r="C1512" s="199" t="s">
        <v>16</v>
      </c>
      <c r="D1512" s="199">
        <v>1221</v>
      </c>
      <c r="E1512" s="199">
        <v>14959523.470000001</v>
      </c>
      <c r="F1512" s="199">
        <v>1766624</v>
      </c>
      <c r="G1512" s="199">
        <f>'Mail Merge'!$E1512+'Mail Merge'!$F1512</f>
        <v>16726147.470000001</v>
      </c>
      <c r="H1512" s="199">
        <v>0</v>
      </c>
      <c r="I1512" s="199" t="s">
        <v>241</v>
      </c>
      <c r="J1512" s="202">
        <f>IFERROR('Mail Merge'!$E1512/'Mail Merge'!$D1512,0)</f>
        <v>12251.861973791974</v>
      </c>
      <c r="K1512" s="199">
        <f>IFERROR('Mail Merge'!$F1512/'Mail Merge'!$D1512,0)</f>
        <v>1446.866502866503</v>
      </c>
      <c r="L1512" s="203">
        <f>IFERROR('Mail Merge'!$G1512/'Mail Merge'!$D1512,0)</f>
        <v>13698.728476658478</v>
      </c>
      <c r="M1512" s="199">
        <v>0</v>
      </c>
      <c r="N1512" s="199" t="s">
        <v>241</v>
      </c>
      <c r="O1512" s="199">
        <v>1269877.68</v>
      </c>
      <c r="P1512" s="199">
        <v>10641.89</v>
      </c>
      <c r="Q1512" s="199">
        <f>'Mail Merge'!$O1512+'Mail Merge'!$P1512</f>
        <v>1280519.5699999998</v>
      </c>
      <c r="R1512" s="199"/>
      <c r="S1512" s="199"/>
      <c r="T1512" s="199"/>
      <c r="U1512" s="199">
        <f>IF(AND('Mail Merge'!$I1512="Did Not Meet",'Mail Merge'!$N1512="Did Not Meet"),MIN(ABS('Mail Merge'!$H1512),ABS('Mail Merge'!$M1512),'Mail Merge'!$Q1512),0)</f>
        <v>0</v>
      </c>
      <c r="V1512" s="199" t="str">
        <f>IF(OR(IFERROR(SEARCH("Met",'Mail Merge'!$N1512),0)&gt;0,IFERROR(SEARCH("Met",'Mail Merge'!$I1512),0)&gt;0),"Met","Not Met")</f>
        <v>Met</v>
      </c>
    </row>
    <row r="1513" spans="1:22" x14ac:dyDescent="0.35">
      <c r="A1513" s="200" t="s">
        <v>154</v>
      </c>
      <c r="B1513" s="201">
        <v>1926</v>
      </c>
      <c r="C1513" s="201" t="s">
        <v>16</v>
      </c>
      <c r="D1513" s="201">
        <v>531</v>
      </c>
      <c r="E1513" s="201">
        <v>6227960.6100000003</v>
      </c>
      <c r="F1513" s="201">
        <v>767587</v>
      </c>
      <c r="G1513" s="201">
        <f>'Mail Merge'!$E1513+'Mail Merge'!$F1513</f>
        <v>6995547.6100000003</v>
      </c>
      <c r="H1513" s="201">
        <v>0</v>
      </c>
      <c r="I1513" s="201" t="s">
        <v>241</v>
      </c>
      <c r="J1513" s="204">
        <f>IFERROR('Mail Merge'!$E1513/'Mail Merge'!$D1513,0)</f>
        <v>11728.739378531074</v>
      </c>
      <c r="K1513" s="201">
        <f>IFERROR('Mail Merge'!$F1513/'Mail Merge'!$D1513,0)</f>
        <v>1445.5499058380415</v>
      </c>
      <c r="L1513" s="205">
        <f>IFERROR('Mail Merge'!$G1513/'Mail Merge'!$D1513,0)</f>
        <v>13174.289284369115</v>
      </c>
      <c r="M1513" s="201">
        <v>0</v>
      </c>
      <c r="N1513" s="201" t="s">
        <v>241</v>
      </c>
      <c r="O1513" s="201">
        <v>645612.98</v>
      </c>
      <c r="P1513" s="201">
        <v>6931.32</v>
      </c>
      <c r="Q1513" s="201">
        <f>'Mail Merge'!$O1513+'Mail Merge'!$P1513</f>
        <v>652544.29999999993</v>
      </c>
      <c r="R1513" s="201"/>
      <c r="S1513" s="201"/>
      <c r="T1513" s="201"/>
      <c r="U1513" s="201">
        <f>IF(AND('Mail Merge'!$I1513="Did Not Meet",'Mail Merge'!$N1513="Did Not Meet"),MIN(ABS('Mail Merge'!$H1513),ABS('Mail Merge'!$M1513),'Mail Merge'!$Q1513),0)</f>
        <v>0</v>
      </c>
      <c r="V1513" s="201" t="str">
        <f>IF(OR(IFERROR(SEARCH("Met",'Mail Merge'!$N1513),0)&gt;0,IFERROR(SEARCH("Met",'Mail Merge'!$I1513),0)&gt;0),"Met","Not Met")</f>
        <v>Met</v>
      </c>
    </row>
    <row r="1514" spans="1:22" x14ac:dyDescent="0.35">
      <c r="A1514" s="198" t="s">
        <v>155</v>
      </c>
      <c r="B1514" s="199">
        <v>2060</v>
      </c>
      <c r="C1514" s="199" t="s">
        <v>16</v>
      </c>
      <c r="D1514" s="199">
        <v>23</v>
      </c>
      <c r="E1514" s="199">
        <v>114496.13</v>
      </c>
      <c r="F1514" s="199">
        <v>84373.759999999995</v>
      </c>
      <c r="G1514" s="199">
        <f>'Mail Merge'!$E1514+'Mail Merge'!$F1514</f>
        <v>198869.89</v>
      </c>
      <c r="H1514" s="199">
        <v>0</v>
      </c>
      <c r="I1514" s="199" t="s">
        <v>241</v>
      </c>
      <c r="J1514" s="202">
        <f>IFERROR('Mail Merge'!$E1514/'Mail Merge'!$D1514,0)</f>
        <v>4978.0926086956524</v>
      </c>
      <c r="K1514" s="199">
        <f>IFERROR('Mail Merge'!$F1514/'Mail Merge'!$D1514,0)</f>
        <v>3668.4243478260869</v>
      </c>
      <c r="L1514" s="203">
        <f>IFERROR('Mail Merge'!$G1514/'Mail Merge'!$D1514,0)</f>
        <v>8646.5169565217402</v>
      </c>
      <c r="M1514" s="199">
        <v>0</v>
      </c>
      <c r="N1514" s="199" t="s">
        <v>241</v>
      </c>
      <c r="O1514" s="199">
        <v>28674.55</v>
      </c>
      <c r="P1514" s="199">
        <v>0</v>
      </c>
      <c r="Q1514" s="199">
        <f>'Mail Merge'!$O1514+'Mail Merge'!$P1514</f>
        <v>28674.55</v>
      </c>
      <c r="R1514" s="199"/>
      <c r="S1514" s="199"/>
      <c r="T1514" s="199"/>
      <c r="U1514" s="199">
        <f>IF(AND('Mail Merge'!$I1514="Did Not Meet",'Mail Merge'!$N1514="Did Not Meet"),MIN(ABS('Mail Merge'!$H1514),ABS('Mail Merge'!$M1514),'Mail Merge'!$Q1514),0)</f>
        <v>0</v>
      </c>
      <c r="V1514" s="199" t="str">
        <f>IF(OR(IFERROR(SEARCH("Met",'Mail Merge'!$N1514),0)&gt;0,IFERROR(SEARCH("Met",'Mail Merge'!$I1514),0)&gt;0),"Met","Not Met")</f>
        <v>Met</v>
      </c>
    </row>
    <row r="1515" spans="1:22" x14ac:dyDescent="0.35">
      <c r="A1515" s="200" t="s">
        <v>156</v>
      </c>
      <c r="B1515" s="201">
        <v>2181</v>
      </c>
      <c r="C1515" s="201" t="s">
        <v>16</v>
      </c>
      <c r="D1515" s="201">
        <v>527</v>
      </c>
      <c r="E1515" s="201">
        <v>7180461.2300000004</v>
      </c>
      <c r="F1515" s="201">
        <v>873312.04</v>
      </c>
      <c r="G1515" s="201">
        <f>'Mail Merge'!$E1515+'Mail Merge'!$F1515</f>
        <v>8053773.2700000005</v>
      </c>
      <c r="H1515" s="201">
        <v>0</v>
      </c>
      <c r="I1515" s="201" t="s">
        <v>241</v>
      </c>
      <c r="J1515" s="204">
        <f>IFERROR('Mail Merge'!$E1515/'Mail Merge'!$D1515,0)</f>
        <v>13625.163624288425</v>
      </c>
      <c r="K1515" s="201">
        <f>IFERROR('Mail Merge'!$F1515/'Mail Merge'!$D1515,0)</f>
        <v>1657.138595825427</v>
      </c>
      <c r="L1515" s="205">
        <f>IFERROR('Mail Merge'!$G1515/'Mail Merge'!$D1515,0)</f>
        <v>15282.302220113854</v>
      </c>
      <c r="M1515" s="201">
        <v>153300.22</v>
      </c>
      <c r="N1515" s="201" t="s">
        <v>240</v>
      </c>
      <c r="O1515" s="201">
        <v>563890.51</v>
      </c>
      <c r="P1515" s="201">
        <v>3786.09</v>
      </c>
      <c r="Q1515" s="201">
        <f>'Mail Merge'!$O1515+'Mail Merge'!$P1515</f>
        <v>567676.6</v>
      </c>
      <c r="R1515" s="201"/>
      <c r="S1515" s="201"/>
      <c r="T1515" s="201">
        <v>0</v>
      </c>
      <c r="U1515" s="201">
        <f>IF(AND('Mail Merge'!$I1515="Did Not Meet",'Mail Merge'!$N1515="Did Not Meet"),MIN(ABS('Mail Merge'!$H1515),ABS('Mail Merge'!$M1515),'Mail Merge'!$Q1515),0)</f>
        <v>0</v>
      </c>
      <c r="V1515" s="201" t="str">
        <f>IF(OR(IFERROR(SEARCH("Met",'Mail Merge'!$N1515),0)&gt;0,IFERROR(SEARCH("Met",'Mail Merge'!$I1515),0)&gt;0),"Met","Not Met")</f>
        <v>Met</v>
      </c>
    </row>
    <row r="1516" spans="1:22" x14ac:dyDescent="0.35">
      <c r="A1516" s="198" t="s">
        <v>157</v>
      </c>
      <c r="B1516" s="199">
        <v>2207</v>
      </c>
      <c r="C1516" s="199" t="s">
        <v>16</v>
      </c>
      <c r="D1516" s="199">
        <v>440</v>
      </c>
      <c r="E1516" s="199">
        <v>4664027.5999999996</v>
      </c>
      <c r="F1516" s="199">
        <v>712692.28</v>
      </c>
      <c r="G1516" s="199">
        <f>'Mail Merge'!$E1516+'Mail Merge'!$F1516</f>
        <v>5376719.8799999999</v>
      </c>
      <c r="H1516" s="199">
        <v>0</v>
      </c>
      <c r="I1516" s="199" t="s">
        <v>241</v>
      </c>
      <c r="J1516" s="202">
        <f>IFERROR('Mail Merge'!$E1516/'Mail Merge'!$D1516,0)</f>
        <v>10600.062727272727</v>
      </c>
      <c r="K1516" s="199">
        <f>IFERROR('Mail Merge'!$F1516/'Mail Merge'!$D1516,0)</f>
        <v>1619.7551818181819</v>
      </c>
      <c r="L1516" s="203">
        <f>IFERROR('Mail Merge'!$G1516/'Mail Merge'!$D1516,0)</f>
        <v>12219.817909090909</v>
      </c>
      <c r="M1516" s="199">
        <v>0</v>
      </c>
      <c r="N1516" s="199" t="s">
        <v>241</v>
      </c>
      <c r="O1516" s="199">
        <v>532737.47</v>
      </c>
      <c r="P1516" s="199">
        <v>5792.6</v>
      </c>
      <c r="Q1516" s="199">
        <f>'Mail Merge'!$O1516+'Mail Merge'!$P1516</f>
        <v>538530.06999999995</v>
      </c>
      <c r="R1516" s="199"/>
      <c r="S1516" s="199"/>
      <c r="T1516" s="199"/>
      <c r="U1516" s="199">
        <f>IF(AND('Mail Merge'!$I1516="Did Not Meet",'Mail Merge'!$N1516="Did Not Meet"),MIN(ABS('Mail Merge'!$H1516),ABS('Mail Merge'!$M1516),'Mail Merge'!$Q1516),0)</f>
        <v>0</v>
      </c>
      <c r="V1516" s="199" t="str">
        <f>IF(OR(IFERROR(SEARCH("Met",'Mail Merge'!$N1516),0)&gt;0,IFERROR(SEARCH("Met",'Mail Merge'!$I1516),0)&gt;0),"Met","Not Met")</f>
        <v>Met</v>
      </c>
    </row>
    <row r="1517" spans="1:22" x14ac:dyDescent="0.35">
      <c r="A1517" s="200" t="s">
        <v>158</v>
      </c>
      <c r="B1517" s="201">
        <v>2192</v>
      </c>
      <c r="C1517" s="201" t="s">
        <v>16</v>
      </c>
      <c r="D1517" s="201">
        <v>40</v>
      </c>
      <c r="E1517" s="201">
        <v>394569.42</v>
      </c>
      <c r="F1517" s="201">
        <v>40301.57</v>
      </c>
      <c r="G1517" s="201">
        <f>'Mail Merge'!$E1517+'Mail Merge'!$F1517</f>
        <v>434870.99</v>
      </c>
      <c r="H1517" s="201">
        <v>0</v>
      </c>
      <c r="I1517" s="201" t="s">
        <v>241</v>
      </c>
      <c r="J1517" s="204">
        <f>IFERROR('Mail Merge'!$E1517/'Mail Merge'!$D1517,0)</f>
        <v>9864.2354999999989</v>
      </c>
      <c r="K1517" s="201">
        <f>IFERROR('Mail Merge'!$F1517/'Mail Merge'!$D1517,0)</f>
        <v>1007.53925</v>
      </c>
      <c r="L1517" s="205">
        <f>IFERROR('Mail Merge'!$G1517/'Mail Merge'!$D1517,0)</f>
        <v>10871.77475</v>
      </c>
      <c r="M1517" s="201">
        <v>518721.14</v>
      </c>
      <c r="N1517" s="201" t="s">
        <v>240</v>
      </c>
      <c r="O1517" s="201">
        <v>35243.21</v>
      </c>
      <c r="P1517" s="201">
        <v>485.19</v>
      </c>
      <c r="Q1517" s="201">
        <f>'Mail Merge'!$O1517+'Mail Merge'!$P1517</f>
        <v>35728.400000000001</v>
      </c>
      <c r="R1517" s="201"/>
      <c r="S1517" s="201"/>
      <c r="T1517" s="201">
        <v>1935.74</v>
      </c>
      <c r="U1517" s="201">
        <f>IF(AND('Mail Merge'!$I1517="Did Not Meet",'Mail Merge'!$N1517="Did Not Meet"),MIN(ABS('Mail Merge'!$H1517),ABS('Mail Merge'!$M1517),'Mail Merge'!$Q1517),0)</f>
        <v>0</v>
      </c>
      <c r="V1517" s="201" t="str">
        <f>IF(OR(IFERROR(SEARCH("Met",'Mail Merge'!$N1517),0)&gt;0,IFERROR(SEARCH("Met",'Mail Merge'!$I1517),0)&gt;0),"Met","Not Met")</f>
        <v>Met</v>
      </c>
    </row>
    <row r="1518" spans="1:22" x14ac:dyDescent="0.35">
      <c r="A1518" s="198" t="s">
        <v>160</v>
      </c>
      <c r="B1518" s="199">
        <v>1900</v>
      </c>
      <c r="C1518" s="199" t="s">
        <v>16</v>
      </c>
      <c r="D1518" s="199">
        <v>190</v>
      </c>
      <c r="E1518" s="199">
        <v>2013596.45</v>
      </c>
      <c r="F1518" s="199">
        <v>174540</v>
      </c>
      <c r="G1518" s="199">
        <f>'Mail Merge'!$E1518+'Mail Merge'!$F1518</f>
        <v>2188136.4500000002</v>
      </c>
      <c r="H1518" s="199">
        <v>0</v>
      </c>
      <c r="I1518" s="199" t="s">
        <v>241</v>
      </c>
      <c r="J1518" s="202">
        <f>IFERROR('Mail Merge'!$E1518/'Mail Merge'!$D1518,0)</f>
        <v>10597.876052631578</v>
      </c>
      <c r="K1518" s="199">
        <f>IFERROR('Mail Merge'!$F1518/'Mail Merge'!$D1518,0)</f>
        <v>918.63157894736844</v>
      </c>
      <c r="L1518" s="203">
        <f>IFERROR('Mail Merge'!$G1518/'Mail Merge'!$D1518,0)</f>
        <v>11516.507631578948</v>
      </c>
      <c r="M1518" s="199">
        <v>0</v>
      </c>
      <c r="N1518" s="199" t="s">
        <v>241</v>
      </c>
      <c r="O1518" s="199">
        <v>244175.02</v>
      </c>
      <c r="P1518" s="199">
        <v>3153.75</v>
      </c>
      <c r="Q1518" s="199">
        <f>'Mail Merge'!$O1518+'Mail Merge'!$P1518</f>
        <v>247328.77</v>
      </c>
      <c r="R1518" s="199"/>
      <c r="S1518" s="199"/>
      <c r="T1518" s="199"/>
      <c r="U1518" s="199">
        <f>IF(AND('Mail Merge'!$I1518="Did Not Meet",'Mail Merge'!$N1518="Did Not Meet"),MIN(ABS('Mail Merge'!$H1518),ABS('Mail Merge'!$M1518),'Mail Merge'!$Q1518),0)</f>
        <v>0</v>
      </c>
      <c r="V1518" s="199" t="str">
        <f>IF(OR(IFERROR(SEARCH("Met",'Mail Merge'!$N1518),0)&gt;0,IFERROR(SEARCH("Met",'Mail Merge'!$I1518),0)&gt;0),"Met","Not Met")</f>
        <v>Met</v>
      </c>
    </row>
    <row r="1519" spans="1:22" x14ac:dyDescent="0.35">
      <c r="A1519" s="200" t="s">
        <v>161</v>
      </c>
      <c r="B1519" s="201">
        <v>2039</v>
      </c>
      <c r="C1519" s="201" t="s">
        <v>16</v>
      </c>
      <c r="D1519" s="201">
        <v>391</v>
      </c>
      <c r="E1519" s="201">
        <v>3035770.96</v>
      </c>
      <c r="F1519" s="201">
        <v>691439.45</v>
      </c>
      <c r="G1519" s="201">
        <f>'Mail Merge'!$E1519+'Mail Merge'!$F1519</f>
        <v>3727210.41</v>
      </c>
      <c r="H1519" s="201">
        <v>0</v>
      </c>
      <c r="I1519" s="201" t="s">
        <v>241</v>
      </c>
      <c r="J1519" s="204">
        <f>IFERROR('Mail Merge'!$E1519/'Mail Merge'!$D1519,0)</f>
        <v>7764.1201023017902</v>
      </c>
      <c r="K1519" s="201">
        <f>IFERROR('Mail Merge'!$F1519/'Mail Merge'!$D1519,0)</f>
        <v>1768.3873401534527</v>
      </c>
      <c r="L1519" s="205">
        <f>IFERROR('Mail Merge'!$G1519/'Mail Merge'!$D1519,0)</f>
        <v>9532.507442455244</v>
      </c>
      <c r="M1519" s="201">
        <v>0</v>
      </c>
      <c r="N1519" s="201" t="s">
        <v>241</v>
      </c>
      <c r="O1519" s="201">
        <v>413876.56</v>
      </c>
      <c r="P1519" s="201">
        <v>5124.3100000000004</v>
      </c>
      <c r="Q1519" s="201">
        <f>'Mail Merge'!$O1519+'Mail Merge'!$P1519</f>
        <v>419000.87</v>
      </c>
      <c r="R1519" s="201"/>
      <c r="S1519" s="201"/>
      <c r="T1519" s="201"/>
      <c r="U1519" s="201">
        <f>IF(AND('Mail Merge'!$I1519="Did Not Meet",'Mail Merge'!$N1519="Did Not Meet"),MIN(ABS('Mail Merge'!$H1519),ABS('Mail Merge'!$M1519),'Mail Merge'!$Q1519),0)</f>
        <v>0</v>
      </c>
      <c r="V1519" s="201" t="str">
        <f>IF(OR(IFERROR(SEARCH("Met",'Mail Merge'!$N1519),0)&gt;0,IFERROR(SEARCH("Met",'Mail Merge'!$I1519),0)&gt;0),"Met","Not Met")</f>
        <v>Met</v>
      </c>
    </row>
    <row r="1520" spans="1:22" x14ac:dyDescent="0.35">
      <c r="A1520" s="198" t="s">
        <v>162</v>
      </c>
      <c r="B1520" s="199">
        <v>2202</v>
      </c>
      <c r="C1520" s="199" t="s">
        <v>16</v>
      </c>
      <c r="D1520" s="199">
        <v>38</v>
      </c>
      <c r="E1520" s="199">
        <v>315593.65000000002</v>
      </c>
      <c r="F1520" s="199">
        <v>61406.9</v>
      </c>
      <c r="G1520" s="199">
        <f>'Mail Merge'!$E1520+'Mail Merge'!$F1520</f>
        <v>377000.55000000005</v>
      </c>
      <c r="H1520" s="199">
        <v>0</v>
      </c>
      <c r="I1520" s="199" t="s">
        <v>242</v>
      </c>
      <c r="J1520" s="202">
        <f>IFERROR('Mail Merge'!$E1520/'Mail Merge'!$D1520,0)</f>
        <v>8305.0960526315794</v>
      </c>
      <c r="K1520" s="199">
        <f>IFERROR('Mail Merge'!$F1520/'Mail Merge'!$D1520,0)</f>
        <v>1615.9710526315789</v>
      </c>
      <c r="L1520" s="203">
        <f>IFERROR('Mail Merge'!$G1520/'Mail Merge'!$D1520,0)</f>
        <v>9921.0671052631587</v>
      </c>
      <c r="M1520" s="199">
        <v>0</v>
      </c>
      <c r="N1520" s="199" t="s">
        <v>241</v>
      </c>
      <c r="O1520" s="199">
        <v>72372.800000000003</v>
      </c>
      <c r="P1520" s="199">
        <v>485.19</v>
      </c>
      <c r="Q1520" s="199">
        <f>'Mail Merge'!$O1520+'Mail Merge'!$P1520</f>
        <v>72857.990000000005</v>
      </c>
      <c r="R1520" s="199"/>
      <c r="S1520" s="199">
        <v>9745.42</v>
      </c>
      <c r="T1520" s="199"/>
      <c r="U1520" s="199">
        <f>IF(AND('Mail Merge'!$I1520="Did Not Meet",'Mail Merge'!$N1520="Did Not Meet"),MIN(ABS('Mail Merge'!$H1520),ABS('Mail Merge'!$M1520),'Mail Merge'!$Q1520),0)</f>
        <v>0</v>
      </c>
      <c r="V1520" s="199" t="str">
        <f>IF(OR(IFERROR(SEARCH("Met",'Mail Merge'!$N1520),0)&gt;0,IFERROR(SEARCH("Met",'Mail Merge'!$I1520),0)&gt;0),"Met","Not Met")</f>
        <v>Met</v>
      </c>
    </row>
    <row r="1521" spans="1:22" x14ac:dyDescent="0.35">
      <c r="A1521" s="200" t="s">
        <v>163</v>
      </c>
      <c r="B1521" s="201">
        <v>2016</v>
      </c>
      <c r="C1521" s="201" t="s">
        <v>16</v>
      </c>
      <c r="D1521" s="201">
        <v>0</v>
      </c>
      <c r="E1521" s="201">
        <v>7055.96</v>
      </c>
      <c r="F1521" s="201">
        <v>3267.61</v>
      </c>
      <c r="G1521" s="201">
        <f>'Mail Merge'!$E1521+'Mail Merge'!$F1521</f>
        <v>10323.57</v>
      </c>
      <c r="H1521" s="201">
        <v>0</v>
      </c>
      <c r="I1521" s="201" t="s">
        <v>241</v>
      </c>
      <c r="J1521" s="204">
        <f>IFERROR('Mail Merge'!$E1521/'Mail Merge'!$D1521,0)</f>
        <v>0</v>
      </c>
      <c r="K1521" s="201">
        <f>IFERROR('Mail Merge'!$F1521/'Mail Merge'!$D1521,0)</f>
        <v>0</v>
      </c>
      <c r="L1521" s="205">
        <f>IFERROR('Mail Merge'!$G1521/'Mail Merge'!$D1521,0)</f>
        <v>0</v>
      </c>
      <c r="M1521" s="201">
        <v>0</v>
      </c>
      <c r="N1521" s="201" t="s">
        <v>241</v>
      </c>
      <c r="O1521" s="201">
        <v>0</v>
      </c>
      <c r="P1521" s="201">
        <v>0</v>
      </c>
      <c r="Q1521" s="201">
        <f>'Mail Merge'!$O1521+'Mail Merge'!$P1521</f>
        <v>0</v>
      </c>
      <c r="R1521" s="201"/>
      <c r="S1521" s="201"/>
      <c r="T1521" s="201"/>
      <c r="U1521" s="201">
        <f>IF(AND('Mail Merge'!$I1521="Did Not Meet",'Mail Merge'!$N1521="Did Not Meet"),MIN(ABS('Mail Merge'!$H1521),ABS('Mail Merge'!$M1521),'Mail Merge'!$Q1521),0)</f>
        <v>0</v>
      </c>
      <c r="V1521" s="201" t="str">
        <f>IF(OR(IFERROR(SEARCH("Met",'Mail Merge'!$N1521),0)&gt;0,IFERROR(SEARCH("Met",'Mail Merge'!$I1521),0)&gt;0),"Met","Not Met")</f>
        <v>Met</v>
      </c>
    </row>
    <row r="1522" spans="1:22" x14ac:dyDescent="0.35">
      <c r="A1522" s="198" t="s">
        <v>164</v>
      </c>
      <c r="B1522" s="199">
        <v>1897</v>
      </c>
      <c r="C1522" s="199" t="s">
        <v>16</v>
      </c>
      <c r="D1522" s="199">
        <v>29</v>
      </c>
      <c r="E1522" s="199">
        <v>160660.22</v>
      </c>
      <c r="F1522" s="199">
        <v>0</v>
      </c>
      <c r="G1522" s="199">
        <f>'Mail Merge'!$E1522+'Mail Merge'!$F1522</f>
        <v>160660.22</v>
      </c>
      <c r="H1522" s="199">
        <v>0</v>
      </c>
      <c r="I1522" s="199" t="s">
        <v>242</v>
      </c>
      <c r="J1522" s="202">
        <f>IFERROR('Mail Merge'!$E1522/'Mail Merge'!$D1522,0)</f>
        <v>5540.007586206897</v>
      </c>
      <c r="K1522" s="199">
        <f>IFERROR('Mail Merge'!$F1522/'Mail Merge'!$D1522,0)</f>
        <v>0</v>
      </c>
      <c r="L1522" s="203">
        <f>IFERROR('Mail Merge'!$G1522/'Mail Merge'!$D1522,0)</f>
        <v>5540.007586206897</v>
      </c>
      <c r="M1522" s="199">
        <v>0</v>
      </c>
      <c r="N1522" s="199" t="s">
        <v>242</v>
      </c>
      <c r="O1522" s="199">
        <v>36498.129999999997</v>
      </c>
      <c r="P1522" s="199">
        <v>0</v>
      </c>
      <c r="Q1522" s="199">
        <f>'Mail Merge'!$O1522+'Mail Merge'!$P1522</f>
        <v>36498.129999999997</v>
      </c>
      <c r="R1522" s="199"/>
      <c r="S1522" s="199">
        <v>28275.69</v>
      </c>
      <c r="T1522" s="199">
        <v>1047.25</v>
      </c>
      <c r="U1522" s="199">
        <f>IF(AND('Mail Merge'!$I1522="Did Not Meet",'Mail Merge'!$N1522="Did Not Meet"),MIN(ABS('Mail Merge'!$H1522),ABS('Mail Merge'!$M1522),'Mail Merge'!$Q1522),0)</f>
        <v>0</v>
      </c>
      <c r="V1522" s="199" t="str">
        <f>IF(OR(IFERROR(SEARCH("Met",'Mail Merge'!$N1522),0)&gt;0,IFERROR(SEARCH("Met",'Mail Merge'!$I1522),0)&gt;0),"Met","Not Met")</f>
        <v>Met</v>
      </c>
    </row>
    <row r="1523" spans="1:22" x14ac:dyDescent="0.35">
      <c r="A1523" s="200" t="s">
        <v>165</v>
      </c>
      <c r="B1523" s="201">
        <v>2047</v>
      </c>
      <c r="C1523" s="201" t="s">
        <v>16</v>
      </c>
      <c r="D1523" s="201">
        <v>4</v>
      </c>
      <c r="E1523" s="201">
        <v>11547</v>
      </c>
      <c r="F1523" s="201">
        <v>10195.08</v>
      </c>
      <c r="G1523" s="201">
        <f>'Mail Merge'!$E1523+'Mail Merge'!$F1523</f>
        <v>21742.080000000002</v>
      </c>
      <c r="H1523" s="201">
        <v>0</v>
      </c>
      <c r="I1523" s="201" t="s">
        <v>241</v>
      </c>
      <c r="J1523" s="204">
        <f>IFERROR('Mail Merge'!$E1523/'Mail Merge'!$D1523,0)</f>
        <v>2886.75</v>
      </c>
      <c r="K1523" s="201">
        <f>IFERROR('Mail Merge'!$F1523/'Mail Merge'!$D1523,0)</f>
        <v>2548.77</v>
      </c>
      <c r="L1523" s="205">
        <f>IFERROR('Mail Merge'!$G1523/'Mail Merge'!$D1523,0)</f>
        <v>5435.52</v>
      </c>
      <c r="M1523" s="201">
        <v>8915.44</v>
      </c>
      <c r="N1523" s="201" t="s">
        <v>240</v>
      </c>
      <c r="O1523" s="201">
        <v>6763.11</v>
      </c>
      <c r="P1523" s="201">
        <v>970.38</v>
      </c>
      <c r="Q1523" s="201">
        <f>'Mail Merge'!$O1523+'Mail Merge'!$P1523</f>
        <v>7733.49</v>
      </c>
      <c r="R1523" s="201"/>
      <c r="S1523" s="201"/>
      <c r="T1523" s="201">
        <v>0</v>
      </c>
      <c r="U1523" s="201">
        <f>IF(AND('Mail Merge'!$I1523="Did Not Meet",'Mail Merge'!$N1523="Did Not Meet"),MIN(ABS('Mail Merge'!$H1523),ABS('Mail Merge'!$M1523),'Mail Merge'!$Q1523),0)</f>
        <v>0</v>
      </c>
      <c r="V1523" s="201" t="str">
        <f>IF(OR(IFERROR(SEARCH("Met",'Mail Merge'!$N1523),0)&gt;0,IFERROR(SEARCH("Met",'Mail Merge'!$I1523),0)&gt;0),"Met","Not Met")</f>
        <v>Met</v>
      </c>
    </row>
    <row r="1524" spans="1:22" x14ac:dyDescent="0.35">
      <c r="A1524" s="198" t="s">
        <v>166</v>
      </c>
      <c r="B1524" s="199">
        <v>2081</v>
      </c>
      <c r="C1524" s="199" t="s">
        <v>16</v>
      </c>
      <c r="D1524" s="199">
        <v>143</v>
      </c>
      <c r="E1524" s="199">
        <v>1100613.19</v>
      </c>
      <c r="F1524" s="199">
        <v>298541</v>
      </c>
      <c r="G1524" s="199">
        <f>'Mail Merge'!$E1524+'Mail Merge'!$F1524</f>
        <v>1399154.19</v>
      </c>
      <c r="H1524" s="199">
        <v>0</v>
      </c>
      <c r="I1524" s="199" t="s">
        <v>241</v>
      </c>
      <c r="J1524" s="202">
        <f>IFERROR('Mail Merge'!$E1524/'Mail Merge'!$D1524,0)</f>
        <v>7696.5957342657339</v>
      </c>
      <c r="K1524" s="199">
        <f>IFERROR('Mail Merge'!$F1524/'Mail Merge'!$D1524,0)</f>
        <v>2087.6993006993007</v>
      </c>
      <c r="L1524" s="203">
        <f>IFERROR('Mail Merge'!$G1524/'Mail Merge'!$D1524,0)</f>
        <v>9784.2950349650346</v>
      </c>
      <c r="M1524" s="199">
        <v>221149.54</v>
      </c>
      <c r="N1524" s="199" t="s">
        <v>240</v>
      </c>
      <c r="O1524" s="199">
        <v>185788.51</v>
      </c>
      <c r="P1524" s="199">
        <v>1455.58</v>
      </c>
      <c r="Q1524" s="199">
        <f>'Mail Merge'!$O1524+'Mail Merge'!$P1524</f>
        <v>187244.09</v>
      </c>
      <c r="R1524" s="199"/>
      <c r="S1524" s="199"/>
      <c r="T1524" s="199">
        <v>515.01</v>
      </c>
      <c r="U1524" s="199">
        <f>IF(AND('Mail Merge'!$I1524="Did Not Meet",'Mail Merge'!$N1524="Did Not Meet"),MIN(ABS('Mail Merge'!$H1524),ABS('Mail Merge'!$M1524),'Mail Merge'!$Q1524),0)</f>
        <v>0</v>
      </c>
      <c r="V1524" s="199" t="str">
        <f>IF(OR(IFERROR(SEARCH("Met",'Mail Merge'!$N1524),0)&gt;0,IFERROR(SEARCH("Met",'Mail Merge'!$I1524),0)&gt;0),"Met","Not Met")</f>
        <v>Met</v>
      </c>
    </row>
    <row r="1525" spans="1:22" x14ac:dyDescent="0.35">
      <c r="A1525" s="200" t="s">
        <v>167</v>
      </c>
      <c r="B1525" s="201">
        <v>2062</v>
      </c>
      <c r="C1525" s="201" t="s">
        <v>16</v>
      </c>
      <c r="D1525" s="201">
        <v>4</v>
      </c>
      <c r="E1525" s="201">
        <v>0</v>
      </c>
      <c r="F1525" s="201">
        <v>12319.94</v>
      </c>
      <c r="G1525" s="201">
        <f>'Mail Merge'!$E1525+'Mail Merge'!$F1525</f>
        <v>12319.94</v>
      </c>
      <c r="H1525" s="201">
        <v>0</v>
      </c>
      <c r="I1525" s="201" t="s">
        <v>241</v>
      </c>
      <c r="J1525" s="204">
        <f>IFERROR('Mail Merge'!$E1525/'Mail Merge'!$D1525,0)</f>
        <v>0</v>
      </c>
      <c r="K1525" s="201">
        <f>IFERROR('Mail Merge'!$F1525/'Mail Merge'!$D1525,0)</f>
        <v>3079.9850000000001</v>
      </c>
      <c r="L1525" s="205">
        <f>IFERROR('Mail Merge'!$G1525/'Mail Merge'!$D1525,0)</f>
        <v>3079.9850000000001</v>
      </c>
      <c r="M1525" s="201">
        <v>0</v>
      </c>
      <c r="N1525" s="201" t="s">
        <v>241</v>
      </c>
      <c r="O1525" s="201">
        <v>2044.65</v>
      </c>
      <c r="P1525" s="201">
        <v>0</v>
      </c>
      <c r="Q1525" s="201">
        <f>'Mail Merge'!$O1525+'Mail Merge'!$P1525</f>
        <v>2044.65</v>
      </c>
      <c r="R1525" s="201"/>
      <c r="S1525" s="201"/>
      <c r="T1525" s="201"/>
      <c r="U1525" s="201">
        <f>IF(AND('Mail Merge'!$I1525="Did Not Meet",'Mail Merge'!$N1525="Did Not Meet"),MIN(ABS('Mail Merge'!$H1525),ABS('Mail Merge'!$M1525),'Mail Merge'!$Q1525),0)</f>
        <v>0</v>
      </c>
      <c r="V1525" s="201" t="str">
        <f>IF(OR(IFERROR(SEARCH("Met",'Mail Merge'!$N1525),0)&gt;0,IFERROR(SEARCH("Met",'Mail Merge'!$I1525),0)&gt;0),"Met","Not Met")</f>
        <v>Met</v>
      </c>
    </row>
    <row r="1526" spans="1:22" x14ac:dyDescent="0.35">
      <c r="A1526" s="198" t="s">
        <v>168</v>
      </c>
      <c r="B1526" s="199">
        <v>1973</v>
      </c>
      <c r="C1526" s="199" t="s">
        <v>16</v>
      </c>
      <c r="D1526" s="199">
        <v>22</v>
      </c>
      <c r="E1526" s="199">
        <v>187029</v>
      </c>
      <c r="F1526" s="199">
        <v>127308</v>
      </c>
      <c r="G1526" s="199">
        <f>'Mail Merge'!$E1526+'Mail Merge'!$F1526</f>
        <v>314337</v>
      </c>
      <c r="H1526" s="199">
        <v>0</v>
      </c>
      <c r="I1526" s="199" t="s">
        <v>241</v>
      </c>
      <c r="J1526" s="202">
        <f>IFERROR('Mail Merge'!$E1526/'Mail Merge'!$D1526,0)</f>
        <v>8501.318181818182</v>
      </c>
      <c r="K1526" s="199">
        <f>IFERROR('Mail Merge'!$F1526/'Mail Merge'!$D1526,0)</f>
        <v>5786.727272727273</v>
      </c>
      <c r="L1526" s="203">
        <f>IFERROR('Mail Merge'!$G1526/'Mail Merge'!$D1526,0)</f>
        <v>14288.045454545454</v>
      </c>
      <c r="M1526" s="199">
        <v>0</v>
      </c>
      <c r="N1526" s="199" t="s">
        <v>241</v>
      </c>
      <c r="O1526" s="199">
        <v>68493.34</v>
      </c>
      <c r="P1526" s="199">
        <v>1212.98</v>
      </c>
      <c r="Q1526" s="199">
        <f>'Mail Merge'!$O1526+'Mail Merge'!$P1526</f>
        <v>69706.319999999992</v>
      </c>
      <c r="R1526" s="199"/>
      <c r="S1526" s="199"/>
      <c r="T1526" s="199"/>
      <c r="U1526" s="199">
        <f>IF(AND('Mail Merge'!$I1526="Did Not Meet",'Mail Merge'!$N1526="Did Not Meet"),MIN(ABS('Mail Merge'!$H1526),ABS('Mail Merge'!$M1526),'Mail Merge'!$Q1526),0)</f>
        <v>0</v>
      </c>
      <c r="V1526" s="199" t="str">
        <f>IF(OR(IFERROR(SEARCH("Met",'Mail Merge'!$N1526),0)&gt;0,IFERROR(SEARCH("Met",'Mail Merge'!$I1526),0)&gt;0),"Met","Not Met")</f>
        <v>Met</v>
      </c>
    </row>
    <row r="1527" spans="1:22" x14ac:dyDescent="0.35">
      <c r="A1527" s="200" t="s">
        <v>169</v>
      </c>
      <c r="B1527" s="201">
        <v>2180</v>
      </c>
      <c r="C1527" s="201" t="s">
        <v>16</v>
      </c>
      <c r="D1527" s="201">
        <v>6989</v>
      </c>
      <c r="E1527" s="201">
        <v>82472053.650000006</v>
      </c>
      <c r="F1527" s="201">
        <v>1336170.28</v>
      </c>
      <c r="G1527" s="201">
        <f>'Mail Merge'!$E1527+'Mail Merge'!$F1527</f>
        <v>83808223.930000007</v>
      </c>
      <c r="H1527" s="201">
        <v>0</v>
      </c>
      <c r="I1527" s="201" t="s">
        <v>241</v>
      </c>
      <c r="J1527" s="204">
        <f>IFERROR('Mail Merge'!$E1527/'Mail Merge'!$D1527,0)</f>
        <v>11800.265223923308</v>
      </c>
      <c r="K1527" s="201">
        <f>IFERROR('Mail Merge'!$F1527/'Mail Merge'!$D1527,0)</f>
        <v>191.18189726713408</v>
      </c>
      <c r="L1527" s="205">
        <f>IFERROR('Mail Merge'!$G1527/'Mail Merge'!$D1527,0)</f>
        <v>11991.447121190444</v>
      </c>
      <c r="M1527" s="201">
        <v>0</v>
      </c>
      <c r="N1527" s="201" t="s">
        <v>241</v>
      </c>
      <c r="O1527" s="201">
        <v>8015551.1600000001</v>
      </c>
      <c r="P1527" s="201">
        <v>85106.17</v>
      </c>
      <c r="Q1527" s="201">
        <f>'Mail Merge'!$O1527+'Mail Merge'!$P1527</f>
        <v>8100657.3300000001</v>
      </c>
      <c r="R1527" s="201"/>
      <c r="S1527" s="201"/>
      <c r="T1527" s="201"/>
      <c r="U1527" s="201">
        <f>IF(AND('Mail Merge'!$I1527="Did Not Meet",'Mail Merge'!$N1527="Did Not Meet"),MIN(ABS('Mail Merge'!$H1527),ABS('Mail Merge'!$M1527),'Mail Merge'!$Q1527),0)</f>
        <v>0</v>
      </c>
      <c r="V1527" s="201" t="str">
        <f>IF(OR(IFERROR(SEARCH("Met",'Mail Merge'!$N1527),0)&gt;0,IFERROR(SEARCH("Met",'Mail Merge'!$I1527),0)&gt;0),"Met","Not Met")</f>
        <v>Met</v>
      </c>
    </row>
    <row r="1528" spans="1:22" x14ac:dyDescent="0.35">
      <c r="A1528" s="198" t="s">
        <v>170</v>
      </c>
      <c r="B1528" s="199">
        <v>1967</v>
      </c>
      <c r="C1528" s="199" t="s">
        <v>16</v>
      </c>
      <c r="D1528" s="199">
        <v>14</v>
      </c>
      <c r="E1528" s="199">
        <v>74535.520000000004</v>
      </c>
      <c r="F1528" s="199">
        <v>30487.1</v>
      </c>
      <c r="G1528" s="199">
        <f>'Mail Merge'!$E1528+'Mail Merge'!$F1528</f>
        <v>105022.62</v>
      </c>
      <c r="H1528" s="199">
        <v>9640.4699999999993</v>
      </c>
      <c r="I1528" s="199" t="s">
        <v>242</v>
      </c>
      <c r="J1528" s="202">
        <f>IFERROR('Mail Merge'!$E1528/'Mail Merge'!$D1528,0)</f>
        <v>5323.965714285715</v>
      </c>
      <c r="K1528" s="199">
        <f>IFERROR('Mail Merge'!$F1528/'Mail Merge'!$D1528,0)</f>
        <v>2177.65</v>
      </c>
      <c r="L1528" s="203">
        <f>IFERROR('Mail Merge'!$G1528/'Mail Merge'!$D1528,0)</f>
        <v>7501.6157142857137</v>
      </c>
      <c r="M1528" s="199">
        <v>18460.71</v>
      </c>
      <c r="N1528" s="199" t="s">
        <v>242</v>
      </c>
      <c r="O1528" s="199">
        <v>30420.71</v>
      </c>
      <c r="P1528" s="199">
        <v>0</v>
      </c>
      <c r="Q1528" s="199">
        <f>'Mail Merge'!$O1528+'Mail Merge'!$P1528</f>
        <v>30420.71</v>
      </c>
      <c r="R1528" s="199"/>
      <c r="S1528" s="199">
        <v>28999.78</v>
      </c>
      <c r="T1528" s="199">
        <v>2230.75</v>
      </c>
      <c r="U1528" s="199">
        <f>IF(AND('Mail Merge'!$I1528="Did Not Meet",'Mail Merge'!$N1528="Did Not Meet"),MIN(ABS('Mail Merge'!$H1528),ABS('Mail Merge'!$M1528),'Mail Merge'!$Q1528),0)</f>
        <v>0</v>
      </c>
      <c r="V1528" s="199" t="str">
        <f>IF(OR(IFERROR(SEARCH("Met",'Mail Merge'!$N1528),0)&gt;0,IFERROR(SEARCH("Met",'Mail Merge'!$I1528),0)&gt;0),"Met","Not Met")</f>
        <v>Met</v>
      </c>
    </row>
    <row r="1529" spans="1:22" x14ac:dyDescent="0.35">
      <c r="A1529" s="200" t="s">
        <v>171</v>
      </c>
      <c r="B1529" s="201">
        <v>2009</v>
      </c>
      <c r="C1529" s="201" t="s">
        <v>16</v>
      </c>
      <c r="D1529" s="201">
        <v>18</v>
      </c>
      <c r="E1529" s="201">
        <v>182597.94</v>
      </c>
      <c r="F1529" s="201">
        <v>76656.31</v>
      </c>
      <c r="G1529" s="201">
        <f>'Mail Merge'!$E1529+'Mail Merge'!$F1529</f>
        <v>259254.25</v>
      </c>
      <c r="H1529" s="201">
        <v>0</v>
      </c>
      <c r="I1529" s="201" t="s">
        <v>241</v>
      </c>
      <c r="J1529" s="204">
        <f>IFERROR('Mail Merge'!$E1529/'Mail Merge'!$D1529,0)</f>
        <v>10144.33</v>
      </c>
      <c r="K1529" s="201">
        <f>IFERROR('Mail Merge'!$F1529/'Mail Merge'!$D1529,0)</f>
        <v>4258.6838888888888</v>
      </c>
      <c r="L1529" s="205">
        <f>IFERROR('Mail Merge'!$G1529/'Mail Merge'!$D1529,0)</f>
        <v>14403.013888888889</v>
      </c>
      <c r="M1529" s="201">
        <v>0</v>
      </c>
      <c r="N1529" s="201" t="s">
        <v>241</v>
      </c>
      <c r="O1529" s="201">
        <v>33049.61</v>
      </c>
      <c r="P1529" s="201">
        <v>0</v>
      </c>
      <c r="Q1529" s="201">
        <f>'Mail Merge'!$O1529+'Mail Merge'!$P1529</f>
        <v>33049.61</v>
      </c>
      <c r="R1529" s="201"/>
      <c r="S1529" s="201"/>
      <c r="T1529" s="201"/>
      <c r="U1529" s="201">
        <f>IF(AND('Mail Merge'!$I1529="Did Not Meet",'Mail Merge'!$N1529="Did Not Meet"),MIN(ABS('Mail Merge'!$H1529),ABS('Mail Merge'!$M1529),'Mail Merge'!$Q1529),0)</f>
        <v>0</v>
      </c>
      <c r="V1529" s="201" t="str">
        <f>IF(OR(IFERROR(SEARCH("Met",'Mail Merge'!$N1529),0)&gt;0,IFERROR(SEARCH("Met",'Mail Merge'!$I1529),0)&gt;0),"Met","Not Met")</f>
        <v>Met</v>
      </c>
    </row>
    <row r="1530" spans="1:22" x14ac:dyDescent="0.35">
      <c r="A1530" s="198" t="s">
        <v>172</v>
      </c>
      <c r="B1530" s="199">
        <v>2045</v>
      </c>
      <c r="C1530" s="199" t="s">
        <v>16</v>
      </c>
      <c r="D1530" s="199">
        <v>29</v>
      </c>
      <c r="E1530" s="199">
        <v>144796.4</v>
      </c>
      <c r="F1530" s="199">
        <v>94211.26</v>
      </c>
      <c r="G1530" s="199">
        <f>'Mail Merge'!$E1530+'Mail Merge'!$F1530</f>
        <v>239007.65999999997</v>
      </c>
      <c r="H1530" s="199">
        <v>4080.08</v>
      </c>
      <c r="I1530" s="199" t="s">
        <v>240</v>
      </c>
      <c r="J1530" s="202">
        <f>IFERROR('Mail Merge'!$E1530/'Mail Merge'!$D1530,0)</f>
        <v>4992.9793103448274</v>
      </c>
      <c r="K1530" s="199">
        <f>IFERROR('Mail Merge'!$F1530/'Mail Merge'!$D1530,0)</f>
        <v>3248.6641379310345</v>
      </c>
      <c r="L1530" s="203">
        <f>IFERROR('Mail Merge'!$G1530/'Mail Merge'!$D1530,0)</f>
        <v>8241.6434482758614</v>
      </c>
      <c r="M1530" s="199">
        <v>158372.21</v>
      </c>
      <c r="N1530" s="199" t="s">
        <v>240</v>
      </c>
      <c r="O1530" s="199">
        <v>36617.760000000002</v>
      </c>
      <c r="P1530" s="199">
        <v>970.38</v>
      </c>
      <c r="Q1530" s="199">
        <f>'Mail Merge'!$O1530+'Mail Merge'!$P1530</f>
        <v>37588.14</v>
      </c>
      <c r="R1530" s="199"/>
      <c r="S1530" s="199">
        <v>12369.11</v>
      </c>
      <c r="T1530" s="199">
        <v>727.59</v>
      </c>
      <c r="U1530" s="199">
        <f>IF(AND('Mail Merge'!$I1530="Did Not Meet",'Mail Merge'!$N1530="Did Not Meet"),MIN(ABS('Mail Merge'!$H1530),ABS('Mail Merge'!$M1530),'Mail Merge'!$Q1530),0)</f>
        <v>4080.08</v>
      </c>
      <c r="V1530" s="199" t="str">
        <f>IF(OR(IFERROR(SEARCH("Met",'Mail Merge'!$N1530),0)&gt;0,IFERROR(SEARCH("Met",'Mail Merge'!$I1530),0)&gt;0),"Met","Not Met")</f>
        <v>Not Met</v>
      </c>
    </row>
    <row r="1531" spans="1:22" x14ac:dyDescent="0.35">
      <c r="A1531" s="200" t="s">
        <v>173</v>
      </c>
      <c r="B1531" s="201">
        <v>1946</v>
      </c>
      <c r="C1531" s="201" t="s">
        <v>16</v>
      </c>
      <c r="D1531" s="201">
        <v>114</v>
      </c>
      <c r="E1531" s="201">
        <v>1496662.96</v>
      </c>
      <c r="F1531" s="201">
        <v>119019</v>
      </c>
      <c r="G1531" s="201">
        <f>'Mail Merge'!$E1531+'Mail Merge'!$F1531</f>
        <v>1615681.96</v>
      </c>
      <c r="H1531" s="201">
        <v>0</v>
      </c>
      <c r="I1531" s="201" t="s">
        <v>241</v>
      </c>
      <c r="J1531" s="204">
        <f>IFERROR('Mail Merge'!$E1531/'Mail Merge'!$D1531,0)</f>
        <v>13128.622456140351</v>
      </c>
      <c r="K1531" s="201">
        <f>IFERROR('Mail Merge'!$F1531/'Mail Merge'!$D1531,0)</f>
        <v>1044.0263157894738</v>
      </c>
      <c r="L1531" s="205">
        <f>IFERROR('Mail Merge'!$G1531/'Mail Merge'!$D1531,0)</f>
        <v>14172.648771929824</v>
      </c>
      <c r="M1531" s="201">
        <v>0</v>
      </c>
      <c r="N1531" s="201" t="s">
        <v>241</v>
      </c>
      <c r="O1531" s="201">
        <v>193457.64</v>
      </c>
      <c r="P1531" s="201">
        <v>1212.98</v>
      </c>
      <c r="Q1531" s="201">
        <f>'Mail Merge'!$O1531+'Mail Merge'!$P1531</f>
        <v>194670.62000000002</v>
      </c>
      <c r="R1531" s="201"/>
      <c r="S1531" s="201"/>
      <c r="T1531" s="201"/>
      <c r="U1531" s="201">
        <f>IF(AND('Mail Merge'!$I1531="Did Not Meet",'Mail Merge'!$N1531="Did Not Meet"),MIN(ABS('Mail Merge'!$H1531),ABS('Mail Merge'!$M1531),'Mail Merge'!$Q1531),0)</f>
        <v>0</v>
      </c>
      <c r="V1531" s="201" t="str">
        <f>IF(OR(IFERROR(SEARCH("Met",'Mail Merge'!$N1531),0)&gt;0,IFERROR(SEARCH("Met",'Mail Merge'!$I1531),0)&gt;0),"Met","Not Met")</f>
        <v>Met</v>
      </c>
    </row>
    <row r="1532" spans="1:22" x14ac:dyDescent="0.35">
      <c r="A1532" s="198" t="s">
        <v>174</v>
      </c>
      <c r="B1532" s="199">
        <v>1977</v>
      </c>
      <c r="C1532" s="199" t="s">
        <v>16</v>
      </c>
      <c r="D1532" s="199">
        <v>1014</v>
      </c>
      <c r="E1532" s="199">
        <v>9448389.0500000007</v>
      </c>
      <c r="F1532" s="199">
        <v>1492980.83</v>
      </c>
      <c r="G1532" s="199">
        <f>'Mail Merge'!$E1532+'Mail Merge'!$F1532</f>
        <v>10941369.880000001</v>
      </c>
      <c r="H1532" s="199">
        <v>0</v>
      </c>
      <c r="I1532" s="199" t="s">
        <v>241</v>
      </c>
      <c r="J1532" s="202">
        <f>IFERROR('Mail Merge'!$E1532/'Mail Merge'!$D1532,0)</f>
        <v>9317.9379191321514</v>
      </c>
      <c r="K1532" s="199">
        <f>IFERROR('Mail Merge'!$F1532/'Mail Merge'!$D1532,0)</f>
        <v>1472.3676824457596</v>
      </c>
      <c r="L1532" s="203">
        <f>IFERROR('Mail Merge'!$G1532/'Mail Merge'!$D1532,0)</f>
        <v>10790.305601577909</v>
      </c>
      <c r="M1532" s="199">
        <v>0</v>
      </c>
      <c r="N1532" s="199" t="s">
        <v>241</v>
      </c>
      <c r="O1532" s="199">
        <v>1071610.05</v>
      </c>
      <c r="P1532" s="199">
        <v>5494.23</v>
      </c>
      <c r="Q1532" s="199">
        <f>'Mail Merge'!$O1532+'Mail Merge'!$P1532</f>
        <v>1077104.28</v>
      </c>
      <c r="R1532" s="199"/>
      <c r="S1532" s="199"/>
      <c r="T1532" s="199"/>
      <c r="U1532" s="199">
        <f>IF(AND('Mail Merge'!$I1532="Did Not Meet",'Mail Merge'!$N1532="Did Not Meet"),MIN(ABS('Mail Merge'!$H1532),ABS('Mail Merge'!$M1532),'Mail Merge'!$Q1532),0)</f>
        <v>0</v>
      </c>
      <c r="V1532" s="199" t="str">
        <f>IF(OR(IFERROR(SEARCH("Met",'Mail Merge'!$N1532),0)&gt;0,IFERROR(SEARCH("Met",'Mail Merge'!$I1532),0)&gt;0),"Met","Not Met")</f>
        <v>Met</v>
      </c>
    </row>
    <row r="1533" spans="1:22" x14ac:dyDescent="0.35">
      <c r="A1533" s="200" t="s">
        <v>175</v>
      </c>
      <c r="B1533" s="201">
        <v>2001</v>
      </c>
      <c r="C1533" s="201" t="s">
        <v>16</v>
      </c>
      <c r="D1533" s="201">
        <v>115</v>
      </c>
      <c r="E1533" s="201">
        <v>1389809.14</v>
      </c>
      <c r="F1533" s="201">
        <v>183754</v>
      </c>
      <c r="G1533" s="201">
        <f>'Mail Merge'!$E1533+'Mail Merge'!$F1533</f>
        <v>1573563.14</v>
      </c>
      <c r="H1533" s="201">
        <v>0</v>
      </c>
      <c r="I1533" s="201" t="s">
        <v>241</v>
      </c>
      <c r="J1533" s="204">
        <f>IFERROR('Mail Merge'!$E1533/'Mail Merge'!$D1533,0)</f>
        <v>12085.296869565216</v>
      </c>
      <c r="K1533" s="201">
        <f>IFERROR('Mail Merge'!$F1533/'Mail Merge'!$D1533,0)</f>
        <v>1597.8608695652174</v>
      </c>
      <c r="L1533" s="205">
        <f>IFERROR('Mail Merge'!$G1533/'Mail Merge'!$D1533,0)</f>
        <v>13683.157739130434</v>
      </c>
      <c r="M1533" s="201">
        <v>0</v>
      </c>
      <c r="N1533" s="201" t="s">
        <v>241</v>
      </c>
      <c r="O1533" s="201">
        <v>149234.88</v>
      </c>
      <c r="P1533" s="201">
        <v>3352.24</v>
      </c>
      <c r="Q1533" s="201">
        <f>'Mail Merge'!$O1533+'Mail Merge'!$P1533</f>
        <v>152587.12</v>
      </c>
      <c r="R1533" s="201"/>
      <c r="S1533" s="201"/>
      <c r="T1533" s="201"/>
      <c r="U1533" s="201">
        <f>IF(AND('Mail Merge'!$I1533="Did Not Meet",'Mail Merge'!$N1533="Did Not Meet"),MIN(ABS('Mail Merge'!$H1533),ABS('Mail Merge'!$M1533),'Mail Merge'!$Q1533),0)</f>
        <v>0</v>
      </c>
      <c r="V1533" s="201" t="str">
        <f>IF(OR(IFERROR(SEARCH("Met",'Mail Merge'!$N1533),0)&gt;0,IFERROR(SEARCH("Met",'Mail Merge'!$I1533),0)&gt;0),"Met","Not Met")</f>
        <v>Met</v>
      </c>
    </row>
    <row r="1534" spans="1:22" x14ac:dyDescent="0.35">
      <c r="A1534" s="198" t="s">
        <v>176</v>
      </c>
      <c r="B1534" s="199">
        <v>2182</v>
      </c>
      <c r="C1534" s="199" t="s">
        <v>16</v>
      </c>
      <c r="D1534" s="199">
        <v>1745</v>
      </c>
      <c r="E1534" s="199">
        <v>19914329.949999999</v>
      </c>
      <c r="F1534" s="199">
        <v>1585261.03</v>
      </c>
      <c r="G1534" s="199">
        <f>'Mail Merge'!$E1534+'Mail Merge'!$F1534</f>
        <v>21499590.98</v>
      </c>
      <c r="H1534" s="199">
        <v>0</v>
      </c>
      <c r="I1534" s="199" t="s">
        <v>241</v>
      </c>
      <c r="J1534" s="202">
        <f>IFERROR('Mail Merge'!$E1534/'Mail Merge'!$D1534,0)</f>
        <v>11412.223467048711</v>
      </c>
      <c r="K1534" s="199">
        <f>IFERROR('Mail Merge'!$F1534/'Mail Merge'!$D1534,0)</f>
        <v>908.45904297994275</v>
      </c>
      <c r="L1534" s="203">
        <f>IFERROR('Mail Merge'!$G1534/'Mail Merge'!$D1534,0)</f>
        <v>12320.682510028653</v>
      </c>
      <c r="M1534" s="199">
        <v>0</v>
      </c>
      <c r="N1534" s="199" t="s">
        <v>241</v>
      </c>
      <c r="O1534" s="199">
        <v>1760018.66</v>
      </c>
      <c r="P1534" s="199">
        <v>12961.32</v>
      </c>
      <c r="Q1534" s="199">
        <f>'Mail Merge'!$O1534+'Mail Merge'!$P1534</f>
        <v>1772979.98</v>
      </c>
      <c r="R1534" s="199"/>
      <c r="S1534" s="199"/>
      <c r="T1534" s="199"/>
      <c r="U1534" s="199">
        <f>IF(AND('Mail Merge'!$I1534="Did Not Meet",'Mail Merge'!$N1534="Did Not Meet"),MIN(ABS('Mail Merge'!$H1534),ABS('Mail Merge'!$M1534),'Mail Merge'!$Q1534),0)</f>
        <v>0</v>
      </c>
      <c r="V1534" s="199" t="str">
        <f>IF(OR(IFERROR(SEARCH("Met",'Mail Merge'!$N1534),0)&gt;0,IFERROR(SEARCH("Met",'Mail Merge'!$I1534),0)&gt;0),"Met","Not Met")</f>
        <v>Met</v>
      </c>
    </row>
    <row r="1535" spans="1:22" x14ac:dyDescent="0.35">
      <c r="A1535" s="200" t="s">
        <v>177</v>
      </c>
      <c r="B1535" s="201">
        <v>1999</v>
      </c>
      <c r="C1535" s="201" t="s">
        <v>16</v>
      </c>
      <c r="D1535" s="201">
        <v>65</v>
      </c>
      <c r="E1535" s="201">
        <v>433579.35</v>
      </c>
      <c r="F1535" s="201">
        <v>116045.72</v>
      </c>
      <c r="G1535" s="201">
        <f>'Mail Merge'!$E1535+'Mail Merge'!$F1535</f>
        <v>549625.06999999995</v>
      </c>
      <c r="H1535" s="201">
        <v>39240.79</v>
      </c>
      <c r="I1535" s="201" t="s">
        <v>240</v>
      </c>
      <c r="J1535" s="204">
        <f>IFERROR('Mail Merge'!$E1535/'Mail Merge'!$D1535,0)</f>
        <v>6670.4515384615379</v>
      </c>
      <c r="K1535" s="201">
        <f>IFERROR('Mail Merge'!$F1535/'Mail Merge'!$D1535,0)</f>
        <v>1785.3187692307692</v>
      </c>
      <c r="L1535" s="205">
        <f>IFERROR('Mail Merge'!$G1535/'Mail Merge'!$D1535,0)</f>
        <v>8455.7703076923062</v>
      </c>
      <c r="M1535" s="201">
        <v>67734.3</v>
      </c>
      <c r="N1535" s="201" t="s">
        <v>240</v>
      </c>
      <c r="O1535" s="201">
        <v>63696.01</v>
      </c>
      <c r="P1535" s="201">
        <v>0</v>
      </c>
      <c r="Q1535" s="201">
        <f>'Mail Merge'!$O1535+'Mail Merge'!$P1535</f>
        <v>63696.01</v>
      </c>
      <c r="R1535" s="201"/>
      <c r="S1535" s="201">
        <v>0</v>
      </c>
      <c r="T1535" s="201">
        <v>0</v>
      </c>
      <c r="U1535" s="201">
        <f>IF(AND('Mail Merge'!$I1535="Did Not Meet",'Mail Merge'!$N1535="Did Not Meet"),MIN(ABS('Mail Merge'!$H1535),ABS('Mail Merge'!$M1535),'Mail Merge'!$Q1535),0)</f>
        <v>39240.79</v>
      </c>
      <c r="V1535" s="201" t="str">
        <f>IF(OR(IFERROR(SEARCH("Met",'Mail Merge'!$N1535),0)&gt;0,IFERROR(SEARCH("Met",'Mail Merge'!$I1535),0)&gt;0),"Met","Not Met")</f>
        <v>Not Met</v>
      </c>
    </row>
    <row r="1536" spans="1:22" x14ac:dyDescent="0.35">
      <c r="A1536" s="198" t="s">
        <v>178</v>
      </c>
      <c r="B1536" s="199">
        <v>2188</v>
      </c>
      <c r="C1536" s="199" t="s">
        <v>16</v>
      </c>
      <c r="D1536" s="199">
        <v>57</v>
      </c>
      <c r="E1536" s="199">
        <v>451095.88</v>
      </c>
      <c r="F1536" s="199">
        <v>294775.98</v>
      </c>
      <c r="G1536" s="199">
        <f>'Mail Merge'!$E1536+'Mail Merge'!$F1536</f>
        <v>745871.86</v>
      </c>
      <c r="H1536" s="199">
        <v>0</v>
      </c>
      <c r="I1536" s="199" t="s">
        <v>241</v>
      </c>
      <c r="J1536" s="202">
        <f>IFERROR('Mail Merge'!$E1536/'Mail Merge'!$D1536,0)</f>
        <v>7913.962807017544</v>
      </c>
      <c r="K1536" s="199">
        <f>IFERROR('Mail Merge'!$F1536/'Mail Merge'!$D1536,0)</f>
        <v>5171.5084210526311</v>
      </c>
      <c r="L1536" s="203">
        <f>IFERROR('Mail Merge'!$G1536/'Mail Merge'!$D1536,0)</f>
        <v>13085.471228070175</v>
      </c>
      <c r="M1536" s="199">
        <v>0</v>
      </c>
      <c r="N1536" s="199" t="s">
        <v>241</v>
      </c>
      <c r="O1536" s="199">
        <v>76942.89</v>
      </c>
      <c r="P1536" s="199">
        <v>485.19</v>
      </c>
      <c r="Q1536" s="199">
        <f>'Mail Merge'!$O1536+'Mail Merge'!$P1536</f>
        <v>77428.08</v>
      </c>
      <c r="R1536" s="199"/>
      <c r="S1536" s="199"/>
      <c r="T1536" s="199"/>
      <c r="U1536" s="199">
        <f>IF(AND('Mail Merge'!$I1536="Did Not Meet",'Mail Merge'!$N1536="Did Not Meet"),MIN(ABS('Mail Merge'!$H1536),ABS('Mail Merge'!$M1536),'Mail Merge'!$Q1536),0)</f>
        <v>0</v>
      </c>
      <c r="V1536" s="199" t="str">
        <f>IF(OR(IFERROR(SEARCH("Met",'Mail Merge'!$N1536),0)&gt;0,IFERROR(SEARCH("Met",'Mail Merge'!$I1536),0)&gt;0),"Met","Not Met")</f>
        <v>Met</v>
      </c>
    </row>
    <row r="1537" spans="1:22" x14ac:dyDescent="0.35">
      <c r="A1537" s="200" t="s">
        <v>179</v>
      </c>
      <c r="B1537" s="201">
        <v>2044</v>
      </c>
      <c r="C1537" s="201" t="s">
        <v>16</v>
      </c>
      <c r="D1537" s="201">
        <v>157</v>
      </c>
      <c r="E1537" s="201">
        <v>1013737.17</v>
      </c>
      <c r="F1537" s="201">
        <v>417233.94</v>
      </c>
      <c r="G1537" s="201">
        <f>'Mail Merge'!$E1537+'Mail Merge'!$F1537</f>
        <v>1430971.11</v>
      </c>
      <c r="H1537" s="201">
        <v>92.23</v>
      </c>
      <c r="I1537" s="201" t="s">
        <v>240</v>
      </c>
      <c r="J1537" s="204">
        <f>IFERROR('Mail Merge'!$E1537/'Mail Merge'!$D1537,0)</f>
        <v>6456.9246496815285</v>
      </c>
      <c r="K1537" s="201">
        <f>IFERROR('Mail Merge'!$F1537/'Mail Merge'!$D1537,0)</f>
        <v>2657.5410191082801</v>
      </c>
      <c r="L1537" s="205">
        <f>IFERROR('Mail Merge'!$G1537/'Mail Merge'!$D1537,0)</f>
        <v>9114.4656687898096</v>
      </c>
      <c r="M1537" s="201">
        <v>27970.09</v>
      </c>
      <c r="N1537" s="201" t="s">
        <v>240</v>
      </c>
      <c r="O1537" s="201">
        <v>168809.96</v>
      </c>
      <c r="P1537" s="201">
        <v>2328.92</v>
      </c>
      <c r="Q1537" s="201">
        <f>'Mail Merge'!$O1537+'Mail Merge'!$P1537</f>
        <v>171138.88</v>
      </c>
      <c r="R1537" s="201"/>
      <c r="S1537" s="201">
        <v>0</v>
      </c>
      <c r="T1537" s="201">
        <v>0</v>
      </c>
      <c r="U1537" s="201">
        <f>IF(AND('Mail Merge'!$I1537="Did Not Meet",'Mail Merge'!$N1537="Did Not Meet"),MIN(ABS('Mail Merge'!$H1537),ABS('Mail Merge'!$M1537),'Mail Merge'!$Q1537),0)</f>
        <v>92.23</v>
      </c>
      <c r="V1537" s="201" t="str">
        <f>IF(OR(IFERROR(SEARCH("Met",'Mail Merge'!$N1537),0)&gt;0,IFERROR(SEARCH("Met",'Mail Merge'!$I1537),0)&gt;0),"Met","Not Met")</f>
        <v>Not Met</v>
      </c>
    </row>
    <row r="1538" spans="1:22" x14ac:dyDescent="0.35">
      <c r="A1538" s="198" t="s">
        <v>180</v>
      </c>
      <c r="B1538" s="199">
        <v>2142</v>
      </c>
      <c r="C1538" s="199" t="s">
        <v>16</v>
      </c>
      <c r="D1538" s="199">
        <v>6768</v>
      </c>
      <c r="E1538" s="199">
        <v>83868754.090000004</v>
      </c>
      <c r="F1538" s="199">
        <v>0</v>
      </c>
      <c r="G1538" s="199">
        <f>'Mail Merge'!$E1538+'Mail Merge'!$F1538</f>
        <v>83868754.090000004</v>
      </c>
      <c r="H1538" s="199">
        <v>0</v>
      </c>
      <c r="I1538" s="199" t="s">
        <v>241</v>
      </c>
      <c r="J1538" s="202">
        <f>IFERROR('Mail Merge'!$E1538/'Mail Merge'!$D1538,0)</f>
        <v>12391.955391548463</v>
      </c>
      <c r="K1538" s="199">
        <f>IFERROR('Mail Merge'!$F1538/'Mail Merge'!$D1538,0)</f>
        <v>0</v>
      </c>
      <c r="L1538" s="203">
        <f>IFERROR('Mail Merge'!$G1538/'Mail Merge'!$D1538,0)</f>
        <v>12391.955391548463</v>
      </c>
      <c r="M1538" s="199">
        <v>0</v>
      </c>
      <c r="N1538" s="199" t="s">
        <v>241</v>
      </c>
      <c r="O1538" s="199">
        <v>7068959.6799999997</v>
      </c>
      <c r="P1538" s="199">
        <v>37048.730000000003</v>
      </c>
      <c r="Q1538" s="199">
        <f>'Mail Merge'!$O1538+'Mail Merge'!$P1538</f>
        <v>7106008.4100000001</v>
      </c>
      <c r="R1538" s="199"/>
      <c r="S1538" s="199"/>
      <c r="T1538" s="199"/>
      <c r="U1538" s="199">
        <f>IF(AND('Mail Merge'!$I1538="Did Not Meet",'Mail Merge'!$N1538="Did Not Meet"),MIN(ABS('Mail Merge'!$H1538),ABS('Mail Merge'!$M1538),'Mail Merge'!$Q1538),0)</f>
        <v>0</v>
      </c>
      <c r="V1538" s="199" t="str">
        <f>IF(OR(IFERROR(SEARCH("Met",'Mail Merge'!$N1538),0)&gt;0,IFERROR(SEARCH("Met",'Mail Merge'!$I1538),0)&gt;0),"Met","Not Met")</f>
        <v>Met</v>
      </c>
    </row>
    <row r="1539" spans="1:22" x14ac:dyDescent="0.35">
      <c r="A1539" s="200" t="s">
        <v>181</v>
      </c>
      <c r="B1539" s="201">
        <v>2104</v>
      </c>
      <c r="C1539" s="201" t="s">
        <v>16</v>
      </c>
      <c r="D1539" s="201">
        <v>659</v>
      </c>
      <c r="E1539" s="201">
        <v>4164745.1</v>
      </c>
      <c r="F1539" s="201">
        <v>771676</v>
      </c>
      <c r="G1539" s="201">
        <f>'Mail Merge'!$E1539+'Mail Merge'!$F1539</f>
        <v>4936421.0999999996</v>
      </c>
      <c r="H1539" s="201">
        <v>0</v>
      </c>
      <c r="I1539" s="201" t="s">
        <v>241</v>
      </c>
      <c r="J1539" s="204">
        <f>IFERROR('Mail Merge'!$E1539/'Mail Merge'!$D1539,0)</f>
        <v>6319.7952959028835</v>
      </c>
      <c r="K1539" s="201">
        <f>IFERROR('Mail Merge'!$F1539/'Mail Merge'!$D1539,0)</f>
        <v>1170.980273141123</v>
      </c>
      <c r="L1539" s="205">
        <f>IFERROR('Mail Merge'!$G1539/'Mail Merge'!$D1539,0)</f>
        <v>7490.7755690440054</v>
      </c>
      <c r="M1539" s="201">
        <v>1256739.77</v>
      </c>
      <c r="N1539" s="201" t="s">
        <v>240</v>
      </c>
      <c r="O1539" s="201">
        <v>489379.97</v>
      </c>
      <c r="P1539" s="201">
        <v>1819.47</v>
      </c>
      <c r="Q1539" s="201">
        <f>'Mail Merge'!$O1539+'Mail Merge'!$P1539</f>
        <v>491199.43999999994</v>
      </c>
      <c r="R1539" s="201"/>
      <c r="S1539" s="201"/>
      <c r="T1539" s="201">
        <v>0</v>
      </c>
      <c r="U1539" s="201">
        <f>IF(AND('Mail Merge'!$I1539="Did Not Meet",'Mail Merge'!$N1539="Did Not Meet"),MIN(ABS('Mail Merge'!$H1539),ABS('Mail Merge'!$M1539),'Mail Merge'!$Q1539),0)</f>
        <v>0</v>
      </c>
      <c r="V1539" s="201" t="str">
        <f>IF(OR(IFERROR(SEARCH("Met",'Mail Merge'!$N1539),0)&gt;0,IFERROR(SEARCH("Met",'Mail Merge'!$I1539),0)&gt;0),"Met","Not Met")</f>
        <v>Met</v>
      </c>
    </row>
    <row r="1540" spans="1:22" x14ac:dyDescent="0.35">
      <c r="A1540" s="198" t="s">
        <v>182</v>
      </c>
      <c r="B1540" s="199">
        <v>1944</v>
      </c>
      <c r="C1540" s="199" t="s">
        <v>16</v>
      </c>
      <c r="D1540" s="199">
        <v>254</v>
      </c>
      <c r="E1540" s="199">
        <v>3093029.61</v>
      </c>
      <c r="F1540" s="199">
        <v>366282</v>
      </c>
      <c r="G1540" s="199">
        <f>'Mail Merge'!$E1540+'Mail Merge'!$F1540</f>
        <v>3459311.61</v>
      </c>
      <c r="H1540" s="199">
        <v>0</v>
      </c>
      <c r="I1540" s="199" t="s">
        <v>241</v>
      </c>
      <c r="J1540" s="202">
        <f>IFERROR('Mail Merge'!$E1540/'Mail Merge'!$D1540,0)</f>
        <v>12177.281929133858</v>
      </c>
      <c r="K1540" s="199">
        <f>IFERROR('Mail Merge'!$F1540/'Mail Merge'!$D1540,0)</f>
        <v>1442.0551181102362</v>
      </c>
      <c r="L1540" s="203">
        <f>IFERROR('Mail Merge'!$G1540/'Mail Merge'!$D1540,0)</f>
        <v>13619.337047244095</v>
      </c>
      <c r="M1540" s="199">
        <v>0</v>
      </c>
      <c r="N1540" s="199" t="s">
        <v>241</v>
      </c>
      <c r="O1540" s="199">
        <v>354103.05</v>
      </c>
      <c r="P1540" s="199">
        <v>2365.31</v>
      </c>
      <c r="Q1540" s="199">
        <f>'Mail Merge'!$O1540+'Mail Merge'!$P1540</f>
        <v>356468.36</v>
      </c>
      <c r="R1540" s="199"/>
      <c r="S1540" s="199"/>
      <c r="T1540" s="199"/>
      <c r="U1540" s="199">
        <f>IF(AND('Mail Merge'!$I1540="Did Not Meet",'Mail Merge'!$N1540="Did Not Meet"),MIN(ABS('Mail Merge'!$H1540),ABS('Mail Merge'!$M1540),'Mail Merge'!$Q1540),0)</f>
        <v>0</v>
      </c>
      <c r="V1540" s="199" t="str">
        <f>IF(OR(IFERROR(SEARCH("Met",'Mail Merge'!$N1540),0)&gt;0,IFERROR(SEARCH("Met",'Mail Merge'!$I1540),0)&gt;0),"Met","Not Met")</f>
        <v>Met</v>
      </c>
    </row>
    <row r="1541" spans="1:22" x14ac:dyDescent="0.35">
      <c r="A1541" s="200" t="s">
        <v>183</v>
      </c>
      <c r="B1541" s="201">
        <v>2103</v>
      </c>
      <c r="C1541" s="201" t="s">
        <v>16</v>
      </c>
      <c r="D1541" s="201">
        <v>73</v>
      </c>
      <c r="E1541" s="201">
        <v>465114.55</v>
      </c>
      <c r="F1541" s="201">
        <v>157001</v>
      </c>
      <c r="G1541" s="201">
        <f>'Mail Merge'!$E1541+'Mail Merge'!$F1541</f>
        <v>622115.55000000005</v>
      </c>
      <c r="H1541" s="201">
        <v>0</v>
      </c>
      <c r="I1541" s="201" t="s">
        <v>241</v>
      </c>
      <c r="J1541" s="204">
        <f>IFERROR('Mail Merge'!$E1541/'Mail Merge'!$D1541,0)</f>
        <v>6371.432191780822</v>
      </c>
      <c r="K1541" s="201">
        <f>IFERROR('Mail Merge'!$F1541/'Mail Merge'!$D1541,0)</f>
        <v>2150.6986301369861</v>
      </c>
      <c r="L1541" s="205">
        <f>IFERROR('Mail Merge'!$G1541/'Mail Merge'!$D1541,0)</f>
        <v>8522.1308219178081</v>
      </c>
      <c r="M1541" s="201">
        <v>0</v>
      </c>
      <c r="N1541" s="201" t="s">
        <v>241</v>
      </c>
      <c r="O1541" s="201">
        <v>120264.2</v>
      </c>
      <c r="P1541" s="201">
        <v>970.38</v>
      </c>
      <c r="Q1541" s="201">
        <f>'Mail Merge'!$O1541+'Mail Merge'!$P1541</f>
        <v>121234.58</v>
      </c>
      <c r="R1541" s="201"/>
      <c r="S1541" s="201"/>
      <c r="T1541" s="201"/>
      <c r="U1541" s="201">
        <f>IF(AND('Mail Merge'!$I1541="Did Not Meet",'Mail Merge'!$N1541="Did Not Meet"),MIN(ABS('Mail Merge'!$H1541),ABS('Mail Merge'!$M1541),'Mail Merge'!$Q1541),0)</f>
        <v>0</v>
      </c>
      <c r="V1541" s="201" t="str">
        <f>IF(OR(IFERROR(SEARCH("Met",'Mail Merge'!$N1541),0)&gt;0,IFERROR(SEARCH("Met",'Mail Merge'!$I1541),0)&gt;0),"Met","Not Met")</f>
        <v>Met</v>
      </c>
    </row>
    <row r="1542" spans="1:22" x14ac:dyDescent="0.35">
      <c r="A1542" s="198" t="s">
        <v>184</v>
      </c>
      <c r="B1542" s="199">
        <v>1935</v>
      </c>
      <c r="C1542" s="199" t="s">
        <v>16</v>
      </c>
      <c r="D1542" s="199">
        <v>255</v>
      </c>
      <c r="E1542" s="199">
        <v>2502124.71</v>
      </c>
      <c r="F1542" s="199">
        <v>424447</v>
      </c>
      <c r="G1542" s="199">
        <f>'Mail Merge'!$E1542+'Mail Merge'!$F1542</f>
        <v>2926571.71</v>
      </c>
      <c r="H1542" s="199">
        <v>0</v>
      </c>
      <c r="I1542" s="199" t="s">
        <v>241</v>
      </c>
      <c r="J1542" s="202">
        <f>IFERROR('Mail Merge'!$E1542/'Mail Merge'!$D1542,0)</f>
        <v>9812.2537647058816</v>
      </c>
      <c r="K1542" s="199">
        <f>IFERROR('Mail Merge'!$F1542/'Mail Merge'!$D1542,0)</f>
        <v>1664.4980392156863</v>
      </c>
      <c r="L1542" s="203">
        <f>IFERROR('Mail Merge'!$G1542/'Mail Merge'!$D1542,0)</f>
        <v>11476.751803921568</v>
      </c>
      <c r="M1542" s="199">
        <v>0</v>
      </c>
      <c r="N1542" s="199" t="s">
        <v>241</v>
      </c>
      <c r="O1542" s="199">
        <v>257707.17</v>
      </c>
      <c r="P1542" s="199">
        <v>3018.97</v>
      </c>
      <c r="Q1542" s="199">
        <f>'Mail Merge'!$O1542+'Mail Merge'!$P1542</f>
        <v>260726.14</v>
      </c>
      <c r="R1542" s="199"/>
      <c r="S1542" s="199"/>
      <c r="T1542" s="199"/>
      <c r="U1542" s="199">
        <f>IF(AND('Mail Merge'!$I1542="Did Not Meet",'Mail Merge'!$N1542="Did Not Meet"),MIN(ABS('Mail Merge'!$H1542),ABS('Mail Merge'!$M1542),'Mail Merge'!$Q1542),0)</f>
        <v>0</v>
      </c>
      <c r="V1542" s="199" t="str">
        <f>IF(OR(IFERROR(SEARCH("Met",'Mail Merge'!$N1542),0)&gt;0,IFERROR(SEARCH("Met",'Mail Merge'!$I1542),0)&gt;0),"Met","Not Met")</f>
        <v>Met</v>
      </c>
    </row>
    <row r="1543" spans="1:22" x14ac:dyDescent="0.35">
      <c r="A1543" s="200" t="s">
        <v>185</v>
      </c>
      <c r="B1543" s="201">
        <v>2257</v>
      </c>
      <c r="C1543" s="201" t="s">
        <v>16</v>
      </c>
      <c r="D1543" s="201">
        <v>126</v>
      </c>
      <c r="E1543" s="201">
        <v>848221.9</v>
      </c>
      <c r="F1543" s="201">
        <v>156248.18</v>
      </c>
      <c r="G1543" s="201">
        <f>'Mail Merge'!$E1543+'Mail Merge'!$F1543</f>
        <v>1004470.0800000001</v>
      </c>
      <c r="H1543" s="201">
        <v>31145.040000000001</v>
      </c>
      <c r="I1543" s="201" t="s">
        <v>241</v>
      </c>
      <c r="J1543" s="204">
        <f>IFERROR('Mail Merge'!$E1543/'Mail Merge'!$D1543,0)</f>
        <v>6731.9198412698415</v>
      </c>
      <c r="K1543" s="201">
        <f>IFERROR('Mail Merge'!$F1543/'Mail Merge'!$D1543,0)</f>
        <v>1240.0649206349206</v>
      </c>
      <c r="L1543" s="205">
        <f>IFERROR('Mail Merge'!$G1543/'Mail Merge'!$D1543,0)</f>
        <v>7971.9847619047623</v>
      </c>
      <c r="M1543" s="201">
        <v>279564.62</v>
      </c>
      <c r="N1543" s="201" t="s">
        <v>240</v>
      </c>
      <c r="O1543" s="201">
        <v>152856.88</v>
      </c>
      <c r="P1543" s="201">
        <v>1027.47</v>
      </c>
      <c r="Q1543" s="201">
        <f>'Mail Merge'!$O1543+'Mail Merge'!$P1543</f>
        <v>153884.35</v>
      </c>
      <c r="R1543" s="201"/>
      <c r="S1543" s="201"/>
      <c r="T1543" s="201">
        <v>0</v>
      </c>
      <c r="U1543" s="201">
        <f>IF(AND('Mail Merge'!$I1543="Did Not Meet",'Mail Merge'!$N1543="Did Not Meet"),MIN(ABS('Mail Merge'!$H1543),ABS('Mail Merge'!$M1543),'Mail Merge'!$Q1543),0)</f>
        <v>0</v>
      </c>
      <c r="V1543" s="201" t="str">
        <f>IF(OR(IFERROR(SEARCH("Met",'Mail Merge'!$N1543),0)&gt;0,IFERROR(SEARCH("Met",'Mail Merge'!$I1543),0)&gt;0),"Met","Not Met")</f>
        <v>Met</v>
      </c>
    </row>
    <row r="1544" spans="1:22" x14ac:dyDescent="0.35">
      <c r="A1544" s="198" t="s">
        <v>186</v>
      </c>
      <c r="B1544" s="199">
        <v>2195</v>
      </c>
      <c r="C1544" s="199" t="s">
        <v>16</v>
      </c>
      <c r="D1544" s="199">
        <v>39</v>
      </c>
      <c r="E1544" s="199">
        <v>159728.42000000001</v>
      </c>
      <c r="F1544" s="199">
        <v>145953</v>
      </c>
      <c r="G1544" s="199">
        <f>'Mail Merge'!$E1544+'Mail Merge'!$F1544</f>
        <v>305681.42000000004</v>
      </c>
      <c r="H1544" s="199">
        <v>0</v>
      </c>
      <c r="I1544" s="199" t="s">
        <v>241</v>
      </c>
      <c r="J1544" s="202">
        <f>IFERROR('Mail Merge'!$E1544/'Mail Merge'!$D1544,0)</f>
        <v>4095.6005128205134</v>
      </c>
      <c r="K1544" s="199">
        <f>IFERROR('Mail Merge'!$F1544/'Mail Merge'!$D1544,0)</f>
        <v>3742.3846153846152</v>
      </c>
      <c r="L1544" s="203">
        <f>IFERROR('Mail Merge'!$G1544/'Mail Merge'!$D1544,0)</f>
        <v>7837.9851282051295</v>
      </c>
      <c r="M1544" s="199">
        <v>6440.82</v>
      </c>
      <c r="N1544" s="199" t="s">
        <v>240</v>
      </c>
      <c r="O1544" s="199">
        <v>56417.5</v>
      </c>
      <c r="P1544" s="199">
        <v>161.72999999999999</v>
      </c>
      <c r="Q1544" s="199">
        <f>'Mail Merge'!$O1544+'Mail Merge'!$P1544</f>
        <v>56579.23</v>
      </c>
      <c r="R1544" s="199"/>
      <c r="S1544" s="199"/>
      <c r="T1544" s="199">
        <v>0</v>
      </c>
      <c r="U1544" s="199">
        <f>IF(AND('Mail Merge'!$I1544="Did Not Meet",'Mail Merge'!$N1544="Did Not Meet"),MIN(ABS('Mail Merge'!$H1544),ABS('Mail Merge'!$M1544),'Mail Merge'!$Q1544),0)</f>
        <v>0</v>
      </c>
      <c r="V1544" s="199" t="str">
        <f>IF(OR(IFERROR(SEARCH("Met",'Mail Merge'!$N1544),0)&gt;0,IFERROR(SEARCH("Met",'Mail Merge'!$I1544),0)&gt;0),"Met","Not Met")</f>
        <v>Met</v>
      </c>
    </row>
    <row r="1545" spans="1:22" x14ac:dyDescent="0.35">
      <c r="A1545" s="200" t="s">
        <v>187</v>
      </c>
      <c r="B1545" s="201">
        <v>2244</v>
      </c>
      <c r="C1545" s="201" t="s">
        <v>16</v>
      </c>
      <c r="D1545" s="201">
        <v>571</v>
      </c>
      <c r="E1545" s="201">
        <v>5174247.2300000004</v>
      </c>
      <c r="F1545" s="201">
        <v>773222</v>
      </c>
      <c r="G1545" s="201">
        <f>'Mail Merge'!$E1545+'Mail Merge'!$F1545</f>
        <v>5947469.2300000004</v>
      </c>
      <c r="H1545" s="201">
        <v>0</v>
      </c>
      <c r="I1545" s="201" t="s">
        <v>241</v>
      </c>
      <c r="J1545" s="204">
        <f>IFERROR('Mail Merge'!$E1545/'Mail Merge'!$D1545,0)</f>
        <v>9061.7289492119089</v>
      </c>
      <c r="K1545" s="201">
        <f>IFERROR('Mail Merge'!$F1545/'Mail Merge'!$D1545,0)</f>
        <v>1354.1541155866901</v>
      </c>
      <c r="L1545" s="205">
        <f>IFERROR('Mail Merge'!$G1545/'Mail Merge'!$D1545,0)</f>
        <v>10415.8830647986</v>
      </c>
      <c r="M1545" s="201">
        <v>0</v>
      </c>
      <c r="N1545" s="201" t="s">
        <v>241</v>
      </c>
      <c r="O1545" s="201">
        <v>652928.02</v>
      </c>
      <c r="P1545" s="201">
        <v>1698.17</v>
      </c>
      <c r="Q1545" s="201">
        <f>'Mail Merge'!$O1545+'Mail Merge'!$P1545</f>
        <v>654626.19000000006</v>
      </c>
      <c r="R1545" s="201"/>
      <c r="S1545" s="201"/>
      <c r="T1545" s="201"/>
      <c r="U1545" s="201">
        <f>IF(AND('Mail Merge'!$I1545="Did Not Meet",'Mail Merge'!$N1545="Did Not Meet"),MIN(ABS('Mail Merge'!$H1545),ABS('Mail Merge'!$M1545),'Mail Merge'!$Q1545),0)</f>
        <v>0</v>
      </c>
      <c r="V1545" s="201" t="str">
        <f>IF(OR(IFERROR(SEARCH("Met",'Mail Merge'!$N1545),0)&gt;0,IFERROR(SEARCH("Met",'Mail Merge'!$I1545),0)&gt;0),"Met","Not Met")</f>
        <v>Met</v>
      </c>
    </row>
    <row r="1546" spans="1:22" x14ac:dyDescent="0.35">
      <c r="A1546" s="198" t="s">
        <v>188</v>
      </c>
      <c r="B1546" s="199">
        <v>2138</v>
      </c>
      <c r="C1546" s="199" t="s">
        <v>16</v>
      </c>
      <c r="D1546" s="199">
        <v>471</v>
      </c>
      <c r="E1546" s="199">
        <v>5005961.38</v>
      </c>
      <c r="F1546" s="199">
        <v>394587.83</v>
      </c>
      <c r="G1546" s="199">
        <f>'Mail Merge'!$E1546+'Mail Merge'!$F1546</f>
        <v>5400549.21</v>
      </c>
      <c r="H1546" s="199">
        <v>0</v>
      </c>
      <c r="I1546" s="199" t="s">
        <v>241</v>
      </c>
      <c r="J1546" s="202">
        <f>IFERROR('Mail Merge'!$E1546/'Mail Merge'!$D1546,0)</f>
        <v>10628.368110403397</v>
      </c>
      <c r="K1546" s="199">
        <f>IFERROR('Mail Merge'!$F1546/'Mail Merge'!$D1546,0)</f>
        <v>837.76609341825906</v>
      </c>
      <c r="L1546" s="203">
        <f>IFERROR('Mail Merge'!$G1546/'Mail Merge'!$D1546,0)</f>
        <v>11466.134203821655</v>
      </c>
      <c r="M1546" s="199">
        <v>0</v>
      </c>
      <c r="N1546" s="199" t="s">
        <v>241</v>
      </c>
      <c r="O1546" s="199">
        <v>527729.71</v>
      </c>
      <c r="P1546" s="199">
        <v>3604.29</v>
      </c>
      <c r="Q1546" s="199">
        <f>'Mail Merge'!$O1546+'Mail Merge'!$P1546</f>
        <v>531334</v>
      </c>
      <c r="R1546" s="199"/>
      <c r="S1546" s="199"/>
      <c r="T1546" s="199"/>
      <c r="U1546" s="199">
        <f>IF(AND('Mail Merge'!$I1546="Did Not Meet",'Mail Merge'!$N1546="Did Not Meet"),MIN(ABS('Mail Merge'!$H1546),ABS('Mail Merge'!$M1546),'Mail Merge'!$Q1546),0)</f>
        <v>0</v>
      </c>
      <c r="V1546" s="199" t="str">
        <f>IF(OR(IFERROR(SEARCH("Met",'Mail Merge'!$N1546),0)&gt;0,IFERROR(SEARCH("Met",'Mail Merge'!$I1546),0)&gt;0),"Met","Not Met")</f>
        <v>Met</v>
      </c>
    </row>
    <row r="1547" spans="1:22" x14ac:dyDescent="0.35">
      <c r="A1547" s="200" t="s">
        <v>189</v>
      </c>
      <c r="B1547" s="201">
        <v>1978</v>
      </c>
      <c r="C1547" s="201" t="s">
        <v>16</v>
      </c>
      <c r="D1547" s="201">
        <v>103</v>
      </c>
      <c r="E1547" s="201">
        <v>927397.91</v>
      </c>
      <c r="F1547" s="201">
        <v>82792.67</v>
      </c>
      <c r="G1547" s="201">
        <f>'Mail Merge'!$E1547+'Mail Merge'!$F1547</f>
        <v>1010190.5800000001</v>
      </c>
      <c r="H1547" s="201">
        <v>0</v>
      </c>
      <c r="I1547" s="201" t="s">
        <v>242</v>
      </c>
      <c r="J1547" s="204">
        <f>IFERROR('Mail Merge'!$E1547/'Mail Merge'!$D1547,0)</f>
        <v>9003.8632038834949</v>
      </c>
      <c r="K1547" s="201">
        <f>IFERROR('Mail Merge'!$F1547/'Mail Merge'!$D1547,0)</f>
        <v>803.8123300970874</v>
      </c>
      <c r="L1547" s="205">
        <f>IFERROR('Mail Merge'!$G1547/'Mail Merge'!$D1547,0)</f>
        <v>9807.6755339805841</v>
      </c>
      <c r="M1547" s="201">
        <v>0</v>
      </c>
      <c r="N1547" s="201" t="s">
        <v>241</v>
      </c>
      <c r="O1547" s="201">
        <v>169638.28</v>
      </c>
      <c r="P1547" s="201">
        <v>404.33</v>
      </c>
      <c r="Q1547" s="201">
        <f>'Mail Merge'!$O1547+'Mail Merge'!$P1547</f>
        <v>170042.61</v>
      </c>
      <c r="R1547" s="201"/>
      <c r="S1547" s="201">
        <v>70474.58</v>
      </c>
      <c r="T1547" s="201"/>
      <c r="U1547" s="201">
        <f>IF(AND('Mail Merge'!$I1547="Did Not Meet",'Mail Merge'!$N1547="Did Not Meet"),MIN(ABS('Mail Merge'!$H1547),ABS('Mail Merge'!$M1547),'Mail Merge'!$Q1547),0)</f>
        <v>0</v>
      </c>
      <c r="V1547" s="201" t="str">
        <f>IF(OR(IFERROR(SEARCH("Met",'Mail Merge'!$N1547),0)&gt;0,IFERROR(SEARCH("Met",'Mail Merge'!$I1547),0)&gt;0),"Met","Not Met")</f>
        <v>Met</v>
      </c>
    </row>
    <row r="1548" spans="1:22" x14ac:dyDescent="0.35">
      <c r="A1548" s="198" t="s">
        <v>190</v>
      </c>
      <c r="B1548" s="199">
        <v>2096</v>
      </c>
      <c r="C1548" s="199" t="s">
        <v>16</v>
      </c>
      <c r="D1548" s="199">
        <v>188</v>
      </c>
      <c r="E1548" s="199">
        <v>1477979.78</v>
      </c>
      <c r="F1548" s="199">
        <v>479073</v>
      </c>
      <c r="G1548" s="199">
        <f>'Mail Merge'!$E1548+'Mail Merge'!$F1548</f>
        <v>1957052.78</v>
      </c>
      <c r="H1548" s="199">
        <v>0</v>
      </c>
      <c r="I1548" s="199" t="s">
        <v>241</v>
      </c>
      <c r="J1548" s="202">
        <f>IFERROR('Mail Merge'!$E1548/'Mail Merge'!$D1548,0)</f>
        <v>7861.5945744680848</v>
      </c>
      <c r="K1548" s="199">
        <f>IFERROR('Mail Merge'!$F1548/'Mail Merge'!$D1548,0)</f>
        <v>2548.2606382978724</v>
      </c>
      <c r="L1548" s="203">
        <f>IFERROR('Mail Merge'!$G1548/'Mail Merge'!$D1548,0)</f>
        <v>10409.855212765957</v>
      </c>
      <c r="M1548" s="199">
        <v>56659.44</v>
      </c>
      <c r="N1548" s="199" t="s">
        <v>240</v>
      </c>
      <c r="O1548" s="199">
        <v>238058.81</v>
      </c>
      <c r="P1548" s="199">
        <v>1855.15</v>
      </c>
      <c r="Q1548" s="199">
        <f>'Mail Merge'!$O1548+'Mail Merge'!$P1548</f>
        <v>239913.96</v>
      </c>
      <c r="R1548" s="199"/>
      <c r="S1548" s="199"/>
      <c r="T1548" s="199">
        <v>544.33000000000004</v>
      </c>
      <c r="U1548" s="199">
        <f>IF(AND('Mail Merge'!$I1548="Did Not Meet",'Mail Merge'!$N1548="Did Not Meet"),MIN(ABS('Mail Merge'!$H1548),ABS('Mail Merge'!$M1548),'Mail Merge'!$Q1548),0)</f>
        <v>0</v>
      </c>
      <c r="V1548" s="199" t="str">
        <f>IF(OR(IFERROR(SEARCH("Met",'Mail Merge'!$N1548),0)&gt;0,IFERROR(SEARCH("Met",'Mail Merge'!$I1548),0)&gt;0),"Met","Not Met")</f>
        <v>Met</v>
      </c>
    </row>
    <row r="1549" spans="1:22" x14ac:dyDescent="0.35">
      <c r="A1549" s="200" t="s">
        <v>191</v>
      </c>
      <c r="B1549" s="201">
        <v>2022</v>
      </c>
      <c r="C1549" s="201" t="s">
        <v>16</v>
      </c>
      <c r="D1549" s="201">
        <v>3</v>
      </c>
      <c r="E1549" s="201">
        <v>0</v>
      </c>
      <c r="F1549" s="201">
        <v>20733.48</v>
      </c>
      <c r="G1549" s="201">
        <f>'Mail Merge'!$E1549+'Mail Merge'!$F1549</f>
        <v>20733.48</v>
      </c>
      <c r="H1549" s="201">
        <v>0</v>
      </c>
      <c r="I1549" s="201" t="s">
        <v>241</v>
      </c>
      <c r="J1549" s="204">
        <f>IFERROR('Mail Merge'!$E1549/'Mail Merge'!$D1549,0)</f>
        <v>0</v>
      </c>
      <c r="K1549" s="201">
        <f>IFERROR('Mail Merge'!$F1549/'Mail Merge'!$D1549,0)</f>
        <v>6911.16</v>
      </c>
      <c r="L1549" s="205">
        <f>IFERROR('Mail Merge'!$G1549/'Mail Merge'!$D1549,0)</f>
        <v>6911.16</v>
      </c>
      <c r="M1549" s="201">
        <v>533.52</v>
      </c>
      <c r="N1549" s="201" t="s">
        <v>240</v>
      </c>
      <c r="O1549" s="201">
        <v>3112.17</v>
      </c>
      <c r="P1549" s="201">
        <v>0</v>
      </c>
      <c r="Q1549" s="201">
        <f>'Mail Merge'!$O1549+'Mail Merge'!$P1549</f>
        <v>3112.17</v>
      </c>
      <c r="R1549" s="201"/>
      <c r="S1549" s="201"/>
      <c r="T1549" s="201">
        <v>0</v>
      </c>
      <c r="U1549" s="201">
        <f>IF(AND('Mail Merge'!$I1549="Did Not Meet",'Mail Merge'!$N1549="Did Not Meet"),MIN(ABS('Mail Merge'!$H1549),ABS('Mail Merge'!$M1549),'Mail Merge'!$Q1549),0)</f>
        <v>0</v>
      </c>
      <c r="V1549" s="201" t="str">
        <f>IF(OR(IFERROR(SEARCH("Met",'Mail Merge'!$N1549),0)&gt;0,IFERROR(SEARCH("Met",'Mail Merge'!$I1549),0)&gt;0),"Met","Not Met")</f>
        <v>Met</v>
      </c>
    </row>
    <row r="1550" spans="1:22" x14ac:dyDescent="0.35">
      <c r="A1550" s="198" t="s">
        <v>192</v>
      </c>
      <c r="B1550" s="199">
        <v>2087</v>
      </c>
      <c r="C1550" s="199" t="s">
        <v>16</v>
      </c>
      <c r="D1550" s="199">
        <v>454</v>
      </c>
      <c r="E1550" s="199">
        <v>4316735.59</v>
      </c>
      <c r="F1550" s="199">
        <v>605250</v>
      </c>
      <c r="G1550" s="199">
        <f>'Mail Merge'!$E1550+'Mail Merge'!$F1550</f>
        <v>4921985.59</v>
      </c>
      <c r="H1550" s="199">
        <v>0</v>
      </c>
      <c r="I1550" s="199" t="s">
        <v>241</v>
      </c>
      <c r="J1550" s="202">
        <f>IFERROR('Mail Merge'!$E1550/'Mail Merge'!$D1550,0)</f>
        <v>9508.2281718061677</v>
      </c>
      <c r="K1550" s="199">
        <f>IFERROR('Mail Merge'!$F1550/'Mail Merge'!$D1550,0)</f>
        <v>1333.1497797356828</v>
      </c>
      <c r="L1550" s="203">
        <f>IFERROR('Mail Merge'!$G1550/'Mail Merge'!$D1550,0)</f>
        <v>10841.37795154185</v>
      </c>
      <c r="M1550" s="199">
        <v>0</v>
      </c>
      <c r="N1550" s="199" t="s">
        <v>241</v>
      </c>
      <c r="O1550" s="199">
        <v>514293.77</v>
      </c>
      <c r="P1550" s="199">
        <v>2676.92</v>
      </c>
      <c r="Q1550" s="199">
        <f>'Mail Merge'!$O1550+'Mail Merge'!$P1550</f>
        <v>516970.69</v>
      </c>
      <c r="R1550" s="199"/>
      <c r="S1550" s="199"/>
      <c r="T1550" s="199"/>
      <c r="U1550" s="199">
        <f>IF(AND('Mail Merge'!$I1550="Did Not Meet",'Mail Merge'!$N1550="Did Not Meet"),MIN(ABS('Mail Merge'!$H1550),ABS('Mail Merge'!$M1550),'Mail Merge'!$Q1550),0)</f>
        <v>0</v>
      </c>
      <c r="V1550" s="199" t="str">
        <f>IF(OR(IFERROR(SEARCH("Met",'Mail Merge'!$N1550),0)&gt;0,IFERROR(SEARCH("Met",'Mail Merge'!$I1550),0)&gt;0),"Met","Not Met")</f>
        <v>Met</v>
      </c>
    </row>
    <row r="1551" spans="1:22" x14ac:dyDescent="0.35">
      <c r="A1551" s="200" t="s">
        <v>193</v>
      </c>
      <c r="B1551" s="201">
        <v>1994</v>
      </c>
      <c r="C1551" s="201" t="s">
        <v>16</v>
      </c>
      <c r="D1551" s="201">
        <v>265</v>
      </c>
      <c r="E1551" s="201">
        <v>2095940.55</v>
      </c>
      <c r="F1551" s="201">
        <v>356896.38</v>
      </c>
      <c r="G1551" s="201">
        <f>'Mail Merge'!$E1551+'Mail Merge'!$F1551</f>
        <v>2452836.9300000002</v>
      </c>
      <c r="H1551" s="201">
        <v>0</v>
      </c>
      <c r="I1551" s="201" t="s">
        <v>241</v>
      </c>
      <c r="J1551" s="204">
        <f>IFERROR('Mail Merge'!$E1551/'Mail Merge'!$D1551,0)</f>
        <v>7909.2096226415097</v>
      </c>
      <c r="K1551" s="201">
        <f>IFERROR('Mail Merge'!$F1551/'Mail Merge'!$D1551,0)</f>
        <v>1346.7787924528302</v>
      </c>
      <c r="L1551" s="205">
        <f>IFERROR('Mail Merge'!$G1551/'Mail Merge'!$D1551,0)</f>
        <v>9255.9884150943399</v>
      </c>
      <c r="M1551" s="201">
        <v>252920.69</v>
      </c>
      <c r="N1551" s="201" t="s">
        <v>240</v>
      </c>
      <c r="O1551" s="201">
        <v>326637.93</v>
      </c>
      <c r="P1551" s="201">
        <v>5094.5200000000004</v>
      </c>
      <c r="Q1551" s="201">
        <f>'Mail Merge'!$O1551+'Mail Merge'!$P1551</f>
        <v>331732.45</v>
      </c>
      <c r="R1551" s="201"/>
      <c r="S1551" s="201"/>
      <c r="T1551" s="201">
        <v>0</v>
      </c>
      <c r="U1551" s="201">
        <f>IF(AND('Mail Merge'!$I1551="Did Not Meet",'Mail Merge'!$N1551="Did Not Meet"),MIN(ABS('Mail Merge'!$H1551),ABS('Mail Merge'!$M1551),'Mail Merge'!$Q1551),0)</f>
        <v>0</v>
      </c>
      <c r="V1551" s="201" t="str">
        <f>IF(OR(IFERROR(SEARCH("Met",'Mail Merge'!$N1551),0)&gt;0,IFERROR(SEARCH("Met",'Mail Merge'!$I1551),0)&gt;0),"Met","Not Met")</f>
        <v>Met</v>
      </c>
    </row>
    <row r="1552" spans="1:22" x14ac:dyDescent="0.35">
      <c r="A1552" s="198" t="s">
        <v>194</v>
      </c>
      <c r="B1552" s="199">
        <v>2225</v>
      </c>
      <c r="C1552" s="199" t="s">
        <v>16</v>
      </c>
      <c r="D1552" s="199">
        <v>25</v>
      </c>
      <c r="E1552" s="199">
        <v>220754.49</v>
      </c>
      <c r="F1552" s="199">
        <v>37000</v>
      </c>
      <c r="G1552" s="199">
        <f>'Mail Merge'!$E1552+'Mail Merge'!$F1552</f>
        <v>257754.49</v>
      </c>
      <c r="H1552" s="199">
        <v>0</v>
      </c>
      <c r="I1552" s="199" t="s">
        <v>241</v>
      </c>
      <c r="J1552" s="202">
        <f>IFERROR('Mail Merge'!$E1552/'Mail Merge'!$D1552,0)</f>
        <v>8830.1795999999995</v>
      </c>
      <c r="K1552" s="199">
        <f>IFERROR('Mail Merge'!$F1552/'Mail Merge'!$D1552,0)</f>
        <v>1480</v>
      </c>
      <c r="L1552" s="203">
        <f>IFERROR('Mail Merge'!$G1552/'Mail Merge'!$D1552,0)</f>
        <v>10310.179599999999</v>
      </c>
      <c r="M1552" s="199">
        <v>0</v>
      </c>
      <c r="N1552" s="199" t="s">
        <v>241</v>
      </c>
      <c r="O1552" s="199">
        <v>60784.28</v>
      </c>
      <c r="P1552" s="199">
        <v>3493.39</v>
      </c>
      <c r="Q1552" s="199">
        <f>'Mail Merge'!$O1552+'Mail Merge'!$P1552</f>
        <v>64277.67</v>
      </c>
      <c r="R1552" s="199"/>
      <c r="S1552" s="199"/>
      <c r="T1552" s="199"/>
      <c r="U1552" s="199">
        <f>IF(AND('Mail Merge'!$I1552="Did Not Meet",'Mail Merge'!$N1552="Did Not Meet"),MIN(ABS('Mail Merge'!$H1552),ABS('Mail Merge'!$M1552),'Mail Merge'!$Q1552),0)</f>
        <v>0</v>
      </c>
      <c r="V1552" s="199" t="str">
        <f>IF(OR(IFERROR(SEARCH("Met",'Mail Merge'!$N1552),0)&gt;0,IFERROR(SEARCH("Met",'Mail Merge'!$I1552),0)&gt;0),"Met","Not Met")</f>
        <v>Met</v>
      </c>
    </row>
    <row r="1553" spans="1:22" x14ac:dyDescent="0.35">
      <c r="A1553" s="200" t="s">
        <v>195</v>
      </c>
      <c r="B1553" s="201">
        <v>2247</v>
      </c>
      <c r="C1553" s="201" t="s">
        <v>16</v>
      </c>
      <c r="D1553" s="201">
        <v>5</v>
      </c>
      <c r="E1553" s="201">
        <v>12863.9</v>
      </c>
      <c r="F1553" s="201">
        <v>55051</v>
      </c>
      <c r="G1553" s="201">
        <f>'Mail Merge'!$E1553+'Mail Merge'!$F1553</f>
        <v>67914.899999999994</v>
      </c>
      <c r="H1553" s="201">
        <v>0</v>
      </c>
      <c r="I1553" s="201" t="s">
        <v>241</v>
      </c>
      <c r="J1553" s="204">
        <f>IFERROR('Mail Merge'!$E1553/'Mail Merge'!$D1553,0)</f>
        <v>2572.7799999999997</v>
      </c>
      <c r="K1553" s="201">
        <f>IFERROR('Mail Merge'!$F1553/'Mail Merge'!$D1553,0)</f>
        <v>11010.2</v>
      </c>
      <c r="L1553" s="205">
        <f>IFERROR('Mail Merge'!$G1553/'Mail Merge'!$D1553,0)</f>
        <v>13582.98</v>
      </c>
      <c r="M1553" s="201">
        <v>0</v>
      </c>
      <c r="N1553" s="201" t="s">
        <v>241</v>
      </c>
      <c r="O1553" s="201">
        <v>6899.24</v>
      </c>
      <c r="P1553" s="201">
        <v>0</v>
      </c>
      <c r="Q1553" s="201">
        <f>'Mail Merge'!$O1553+'Mail Merge'!$P1553</f>
        <v>6899.24</v>
      </c>
      <c r="R1553" s="201"/>
      <c r="S1553" s="201"/>
      <c r="T1553" s="201"/>
      <c r="U1553" s="201">
        <f>IF(AND('Mail Merge'!$I1553="Did Not Meet",'Mail Merge'!$N1553="Did Not Meet"),MIN(ABS('Mail Merge'!$H1553),ABS('Mail Merge'!$M1553),'Mail Merge'!$Q1553),0)</f>
        <v>0</v>
      </c>
      <c r="V1553" s="201" t="str">
        <f>IF(OR(IFERROR(SEARCH("Met",'Mail Merge'!$N1553),0)&gt;0,IFERROR(SEARCH("Met",'Mail Merge'!$I1553),0)&gt;0),"Met","Not Met")</f>
        <v>Met</v>
      </c>
    </row>
    <row r="1554" spans="1:22" x14ac:dyDescent="0.35">
      <c r="A1554" s="198" t="s">
        <v>196</v>
      </c>
      <c r="B1554" s="199">
        <v>2083</v>
      </c>
      <c r="C1554" s="199" t="s">
        <v>16</v>
      </c>
      <c r="D1554" s="199">
        <v>1665</v>
      </c>
      <c r="E1554" s="199">
        <v>18399027.68</v>
      </c>
      <c r="F1554" s="199">
        <v>2136912</v>
      </c>
      <c r="G1554" s="199">
        <f>'Mail Merge'!$E1554+'Mail Merge'!$F1554</f>
        <v>20535939.68</v>
      </c>
      <c r="H1554" s="199">
        <v>0</v>
      </c>
      <c r="I1554" s="199" t="s">
        <v>241</v>
      </c>
      <c r="J1554" s="202">
        <f>IFERROR('Mail Merge'!$E1554/'Mail Merge'!$D1554,0)</f>
        <v>11050.467075075076</v>
      </c>
      <c r="K1554" s="199">
        <f>IFERROR('Mail Merge'!$F1554/'Mail Merge'!$D1554,0)</f>
        <v>1283.4306306306307</v>
      </c>
      <c r="L1554" s="203">
        <f>IFERROR('Mail Merge'!$G1554/'Mail Merge'!$D1554,0)</f>
        <v>12333.897705705705</v>
      </c>
      <c r="M1554" s="199">
        <v>0</v>
      </c>
      <c r="N1554" s="199" t="s">
        <v>241</v>
      </c>
      <c r="O1554" s="199">
        <v>1919682.37</v>
      </c>
      <c r="P1554" s="199">
        <v>19617.509999999998</v>
      </c>
      <c r="Q1554" s="199">
        <f>'Mail Merge'!$O1554+'Mail Merge'!$P1554</f>
        <v>1939299.8800000001</v>
      </c>
      <c r="R1554" s="199"/>
      <c r="S1554" s="199"/>
      <c r="T1554" s="199"/>
      <c r="U1554" s="199">
        <f>IF(AND('Mail Merge'!$I1554="Did Not Meet",'Mail Merge'!$N1554="Did Not Meet"),MIN(ABS('Mail Merge'!$H1554),ABS('Mail Merge'!$M1554),'Mail Merge'!$Q1554),0)</f>
        <v>0</v>
      </c>
      <c r="V1554" s="199" t="str">
        <f>IF(OR(IFERROR(SEARCH("Met",'Mail Merge'!$N1554),0)&gt;0,IFERROR(SEARCH("Met",'Mail Merge'!$I1554),0)&gt;0),"Met","Not Met")</f>
        <v>Met</v>
      </c>
    </row>
    <row r="1555" spans="1:22" x14ac:dyDescent="0.35">
      <c r="A1555" s="200" t="s">
        <v>197</v>
      </c>
      <c r="B1555" s="201">
        <v>1948</v>
      </c>
      <c r="C1555" s="201" t="s">
        <v>16</v>
      </c>
      <c r="D1555" s="201">
        <v>461</v>
      </c>
      <c r="E1555" s="201">
        <v>4028920.04</v>
      </c>
      <c r="F1555" s="201">
        <v>776117</v>
      </c>
      <c r="G1555" s="201">
        <f>'Mail Merge'!$E1555+'Mail Merge'!$F1555</f>
        <v>4805037.04</v>
      </c>
      <c r="H1555" s="201">
        <v>0</v>
      </c>
      <c r="I1555" s="201" t="s">
        <v>241</v>
      </c>
      <c r="J1555" s="204">
        <f>IFERROR('Mail Merge'!$E1555/'Mail Merge'!$D1555,0)</f>
        <v>8739.5228633405641</v>
      </c>
      <c r="K1555" s="201">
        <f>IFERROR('Mail Merge'!$F1555/'Mail Merge'!$D1555,0)</f>
        <v>1683.5509761388287</v>
      </c>
      <c r="L1555" s="205">
        <f>IFERROR('Mail Merge'!$G1555/'Mail Merge'!$D1555,0)</f>
        <v>10423.073839479393</v>
      </c>
      <c r="M1555" s="201">
        <v>0</v>
      </c>
      <c r="N1555" s="201" t="s">
        <v>241</v>
      </c>
      <c r="O1555" s="201">
        <v>531113.99</v>
      </c>
      <c r="P1555" s="201">
        <v>4104.25</v>
      </c>
      <c r="Q1555" s="201">
        <f>'Mail Merge'!$O1555+'Mail Merge'!$P1555</f>
        <v>535218.24</v>
      </c>
      <c r="R1555" s="201"/>
      <c r="S1555" s="201"/>
      <c r="T1555" s="201"/>
      <c r="U1555" s="201">
        <f>IF(AND('Mail Merge'!$I1555="Did Not Meet",'Mail Merge'!$N1555="Did Not Meet"),MIN(ABS('Mail Merge'!$H1555),ABS('Mail Merge'!$M1555),'Mail Merge'!$Q1555),0)</f>
        <v>0</v>
      </c>
      <c r="V1555" s="201" t="str">
        <f>IF(OR(IFERROR(SEARCH("Met",'Mail Merge'!$N1555),0)&gt;0,IFERROR(SEARCH("Met",'Mail Merge'!$I1555),0)&gt;0),"Met","Not Met")</f>
        <v>Met</v>
      </c>
    </row>
    <row r="1556" spans="1:22" x14ac:dyDescent="0.35">
      <c r="A1556" s="198" t="s">
        <v>198</v>
      </c>
      <c r="B1556" s="199">
        <v>2144</v>
      </c>
      <c r="C1556" s="199" t="s">
        <v>16</v>
      </c>
      <c r="D1556" s="199">
        <v>25</v>
      </c>
      <c r="E1556" s="199">
        <v>324861.33</v>
      </c>
      <c r="F1556" s="199">
        <v>75151.95</v>
      </c>
      <c r="G1556" s="199">
        <f>'Mail Merge'!$E1556+'Mail Merge'!$F1556</f>
        <v>400013.28</v>
      </c>
      <c r="H1556" s="199">
        <v>0</v>
      </c>
      <c r="I1556" s="199" t="s">
        <v>241</v>
      </c>
      <c r="J1556" s="202">
        <f>IFERROR('Mail Merge'!$E1556/'Mail Merge'!$D1556,0)</f>
        <v>12994.4532</v>
      </c>
      <c r="K1556" s="199">
        <f>IFERROR('Mail Merge'!$F1556/'Mail Merge'!$D1556,0)</f>
        <v>3006.078</v>
      </c>
      <c r="L1556" s="203">
        <f>IFERROR('Mail Merge'!$G1556/'Mail Merge'!$D1556,0)</f>
        <v>16000.531200000001</v>
      </c>
      <c r="M1556" s="199">
        <v>0</v>
      </c>
      <c r="N1556" s="199" t="s">
        <v>241</v>
      </c>
      <c r="O1556" s="199">
        <v>38065.43</v>
      </c>
      <c r="P1556" s="199">
        <v>970.38</v>
      </c>
      <c r="Q1556" s="199">
        <f>'Mail Merge'!$O1556+'Mail Merge'!$P1556</f>
        <v>39035.81</v>
      </c>
      <c r="R1556" s="199"/>
      <c r="S1556" s="199"/>
      <c r="T1556" s="199"/>
      <c r="U1556" s="199">
        <f>IF(AND('Mail Merge'!$I1556="Did Not Meet",'Mail Merge'!$N1556="Did Not Meet"),MIN(ABS('Mail Merge'!$H1556),ABS('Mail Merge'!$M1556),'Mail Merge'!$Q1556),0)</f>
        <v>0</v>
      </c>
      <c r="V1556" s="199" t="str">
        <f>IF(OR(IFERROR(SEARCH("Met",'Mail Merge'!$N1556),0)&gt;0,IFERROR(SEARCH("Met",'Mail Merge'!$I1556),0)&gt;0),"Met","Not Met")</f>
        <v>Met</v>
      </c>
    </row>
    <row r="1557" spans="1:22" x14ac:dyDescent="0.35">
      <c r="A1557" s="200" t="s">
        <v>199</v>
      </c>
      <c r="B1557" s="201">
        <v>2209</v>
      </c>
      <c r="C1557" s="201" t="s">
        <v>16</v>
      </c>
      <c r="D1557" s="201">
        <v>52</v>
      </c>
      <c r="E1557" s="201">
        <v>407191.67</v>
      </c>
      <c r="F1557" s="201">
        <v>84046.82</v>
      </c>
      <c r="G1557" s="201">
        <f>'Mail Merge'!$E1557+'Mail Merge'!$F1557</f>
        <v>491238.49</v>
      </c>
      <c r="H1557" s="201">
        <v>25683.69</v>
      </c>
      <c r="I1557" s="201" t="s">
        <v>242</v>
      </c>
      <c r="J1557" s="204">
        <f>IFERROR('Mail Merge'!$E1557/'Mail Merge'!$D1557,0)</f>
        <v>7830.6090384615381</v>
      </c>
      <c r="K1557" s="201">
        <f>IFERROR('Mail Merge'!$F1557/'Mail Merge'!$D1557,0)</f>
        <v>1616.2850000000001</v>
      </c>
      <c r="L1557" s="205">
        <f>IFERROR('Mail Merge'!$G1557/'Mail Merge'!$D1557,0)</f>
        <v>9446.894038461538</v>
      </c>
      <c r="M1557" s="201">
        <v>0</v>
      </c>
      <c r="N1557" s="201" t="s">
        <v>241</v>
      </c>
      <c r="O1557" s="201">
        <v>77406.899999999994</v>
      </c>
      <c r="P1557" s="201">
        <v>0</v>
      </c>
      <c r="Q1557" s="201">
        <f>'Mail Merge'!$O1557+'Mail Merge'!$P1557</f>
        <v>77406.899999999994</v>
      </c>
      <c r="R1557" s="201"/>
      <c r="S1557" s="201">
        <v>77599.72</v>
      </c>
      <c r="T1557" s="201"/>
      <c r="U1557" s="201">
        <f>IF(AND('Mail Merge'!$I1557="Did Not Meet",'Mail Merge'!$N1557="Did Not Meet"),MIN(ABS('Mail Merge'!$H1557),ABS('Mail Merge'!$M1557),'Mail Merge'!$Q1557),0)</f>
        <v>0</v>
      </c>
      <c r="V1557" s="201" t="str">
        <f>IF(OR(IFERROR(SEARCH("Met",'Mail Merge'!$N1557),0)&gt;0,IFERROR(SEARCH("Met",'Mail Merge'!$I1557),0)&gt;0),"Met","Not Met")</f>
        <v>Met</v>
      </c>
    </row>
    <row r="1558" spans="1:22" x14ac:dyDescent="0.35">
      <c r="A1558" s="198" t="s">
        <v>200</v>
      </c>
      <c r="B1558" s="199">
        <v>2018</v>
      </c>
      <c r="C1558" s="199" t="s">
        <v>16</v>
      </c>
      <c r="D1558" s="199">
        <v>1</v>
      </c>
      <c r="E1558" s="199">
        <v>8226.06</v>
      </c>
      <c r="F1558" s="199">
        <v>21706.69</v>
      </c>
      <c r="G1558" s="199">
        <f>'Mail Merge'!$E1558+'Mail Merge'!$F1558</f>
        <v>29932.75</v>
      </c>
      <c r="H1558" s="199">
        <v>0</v>
      </c>
      <c r="I1558" s="199" t="s">
        <v>241</v>
      </c>
      <c r="J1558" s="202">
        <f>IFERROR('Mail Merge'!$E1558/'Mail Merge'!$D1558,0)</f>
        <v>8226.06</v>
      </c>
      <c r="K1558" s="199">
        <f>IFERROR('Mail Merge'!$F1558/'Mail Merge'!$D1558,0)</f>
        <v>21706.69</v>
      </c>
      <c r="L1558" s="203">
        <f>IFERROR('Mail Merge'!$G1558/'Mail Merge'!$D1558,0)</f>
        <v>29932.75</v>
      </c>
      <c r="M1558" s="199">
        <v>0</v>
      </c>
      <c r="N1558" s="199" t="s">
        <v>241</v>
      </c>
      <c r="O1558" s="199">
        <v>0</v>
      </c>
      <c r="P1558" s="199">
        <v>0</v>
      </c>
      <c r="Q1558" s="199">
        <f>'Mail Merge'!$O1558+'Mail Merge'!$P1558</f>
        <v>0</v>
      </c>
      <c r="R1558" s="199"/>
      <c r="S1558" s="199"/>
      <c r="T1558" s="199"/>
      <c r="U1558" s="199">
        <f>IF(AND('Mail Merge'!$I1558="Did Not Meet",'Mail Merge'!$N1558="Did Not Meet"),MIN(ABS('Mail Merge'!$H1558),ABS('Mail Merge'!$M1558),'Mail Merge'!$Q1558),0)</f>
        <v>0</v>
      </c>
      <c r="V1558" s="199" t="str">
        <f>IF(OR(IFERROR(SEARCH("Met",'Mail Merge'!$N1558),0)&gt;0,IFERROR(SEARCH("Met",'Mail Merge'!$I1558),0)&gt;0),"Met","Not Met")</f>
        <v>Met</v>
      </c>
    </row>
    <row r="1559" spans="1:22" x14ac:dyDescent="0.35">
      <c r="A1559" s="200" t="s">
        <v>201</v>
      </c>
      <c r="B1559" s="201">
        <v>2003</v>
      </c>
      <c r="C1559" s="201" t="s">
        <v>16</v>
      </c>
      <c r="D1559" s="201">
        <v>160</v>
      </c>
      <c r="E1559" s="201">
        <v>1261883</v>
      </c>
      <c r="F1559" s="201">
        <v>304675.11</v>
      </c>
      <c r="G1559" s="201">
        <f>'Mail Merge'!$E1559+'Mail Merge'!$F1559</f>
        <v>1566558.1099999999</v>
      </c>
      <c r="H1559" s="201">
        <v>0</v>
      </c>
      <c r="I1559" s="201" t="s">
        <v>241</v>
      </c>
      <c r="J1559" s="204">
        <f>IFERROR('Mail Merge'!$E1559/'Mail Merge'!$D1559,0)</f>
        <v>7886.7687500000002</v>
      </c>
      <c r="K1559" s="201">
        <f>IFERROR('Mail Merge'!$F1559/'Mail Merge'!$D1559,0)</f>
        <v>1904.2194374999999</v>
      </c>
      <c r="L1559" s="205">
        <f>IFERROR('Mail Merge'!$G1559/'Mail Merge'!$D1559,0)</f>
        <v>9790.9881874999992</v>
      </c>
      <c r="M1559" s="201">
        <v>0</v>
      </c>
      <c r="N1559" s="201" t="s">
        <v>241</v>
      </c>
      <c r="O1559" s="201">
        <v>210385.54</v>
      </c>
      <c r="P1559" s="201">
        <v>2117.1999999999998</v>
      </c>
      <c r="Q1559" s="201">
        <f>'Mail Merge'!$O1559+'Mail Merge'!$P1559</f>
        <v>212502.74000000002</v>
      </c>
      <c r="R1559" s="201"/>
      <c r="S1559" s="201"/>
      <c r="T1559" s="201"/>
      <c r="U1559" s="201">
        <f>IF(AND('Mail Merge'!$I1559="Did Not Meet",'Mail Merge'!$N1559="Did Not Meet"),MIN(ABS('Mail Merge'!$H1559),ABS('Mail Merge'!$M1559),'Mail Merge'!$Q1559),0)</f>
        <v>0</v>
      </c>
      <c r="V1559" s="201" t="str">
        <f>IF(OR(IFERROR(SEARCH("Met",'Mail Merge'!$N1559),0)&gt;0,IFERROR(SEARCH("Met",'Mail Merge'!$I1559),0)&gt;0),"Met","Not Met")</f>
        <v>Met</v>
      </c>
    </row>
    <row r="1560" spans="1:22" x14ac:dyDescent="0.35">
      <c r="A1560" s="198" t="s">
        <v>202</v>
      </c>
      <c r="B1560" s="199">
        <v>2102</v>
      </c>
      <c r="C1560" s="199" t="s">
        <v>16</v>
      </c>
      <c r="D1560" s="199">
        <v>438</v>
      </c>
      <c r="E1560" s="199">
        <v>2907316.88</v>
      </c>
      <c r="F1560" s="199">
        <v>399572</v>
      </c>
      <c r="G1560" s="199">
        <f>'Mail Merge'!$E1560+'Mail Merge'!$F1560</f>
        <v>3306888.88</v>
      </c>
      <c r="H1560" s="199">
        <v>0</v>
      </c>
      <c r="I1560" s="199" t="s">
        <v>241</v>
      </c>
      <c r="J1560" s="202">
        <f>IFERROR('Mail Merge'!$E1560/'Mail Merge'!$D1560,0)</f>
        <v>6637.7097716894978</v>
      </c>
      <c r="K1560" s="199">
        <f>IFERROR('Mail Merge'!$F1560/'Mail Merge'!$D1560,0)</f>
        <v>912.26484018264841</v>
      </c>
      <c r="L1560" s="203">
        <f>IFERROR('Mail Merge'!$G1560/'Mail Merge'!$D1560,0)</f>
        <v>7549.9746118721459</v>
      </c>
      <c r="M1560" s="199">
        <v>0</v>
      </c>
      <c r="N1560" s="199" t="s">
        <v>241</v>
      </c>
      <c r="O1560" s="199">
        <v>448059.54</v>
      </c>
      <c r="P1560" s="199">
        <v>5021.74</v>
      </c>
      <c r="Q1560" s="199">
        <f>'Mail Merge'!$O1560+'Mail Merge'!$P1560</f>
        <v>453081.27999999997</v>
      </c>
      <c r="R1560" s="199"/>
      <c r="S1560" s="199"/>
      <c r="T1560" s="199"/>
      <c r="U1560" s="199">
        <f>IF(AND('Mail Merge'!$I1560="Did Not Meet",'Mail Merge'!$N1560="Did Not Meet"),MIN(ABS('Mail Merge'!$H1560),ABS('Mail Merge'!$M1560),'Mail Merge'!$Q1560),0)</f>
        <v>0</v>
      </c>
      <c r="V1560" s="199" t="str">
        <f>IF(OR(IFERROR(SEARCH("Met",'Mail Merge'!$N1560),0)&gt;0,IFERROR(SEARCH("Met",'Mail Merge'!$I1560),0)&gt;0),"Met","Not Met")</f>
        <v>Met</v>
      </c>
    </row>
    <row r="1561" spans="1:22" x14ac:dyDescent="0.35">
      <c r="A1561" s="200" t="s">
        <v>203</v>
      </c>
      <c r="B1561" s="201">
        <v>2055</v>
      </c>
      <c r="C1561" s="201" t="s">
        <v>16</v>
      </c>
      <c r="D1561" s="201">
        <v>521</v>
      </c>
      <c r="E1561" s="201">
        <v>7292605.0899999999</v>
      </c>
      <c r="F1561" s="201">
        <v>496772</v>
      </c>
      <c r="G1561" s="201">
        <f>'Mail Merge'!$E1561+'Mail Merge'!$F1561</f>
        <v>7789377.0899999999</v>
      </c>
      <c r="H1561" s="201">
        <v>0</v>
      </c>
      <c r="I1561" s="201" t="s">
        <v>241</v>
      </c>
      <c r="J1561" s="204">
        <f>IFERROR('Mail Merge'!$E1561/'Mail Merge'!$D1561,0)</f>
        <v>13997.322629558541</v>
      </c>
      <c r="K1561" s="201">
        <f>IFERROR('Mail Merge'!$F1561/'Mail Merge'!$D1561,0)</f>
        <v>953.49712092130517</v>
      </c>
      <c r="L1561" s="205">
        <f>IFERROR('Mail Merge'!$G1561/'Mail Merge'!$D1561,0)</f>
        <v>14950.819750479846</v>
      </c>
      <c r="M1561" s="201">
        <v>0</v>
      </c>
      <c r="N1561" s="201" t="s">
        <v>241</v>
      </c>
      <c r="O1561" s="201">
        <v>807147.5</v>
      </c>
      <c r="P1561" s="201">
        <v>11159.43</v>
      </c>
      <c r="Q1561" s="201">
        <f>'Mail Merge'!$O1561+'Mail Merge'!$P1561</f>
        <v>818306.93</v>
      </c>
      <c r="R1561" s="201"/>
      <c r="S1561" s="201"/>
      <c r="T1561" s="201"/>
      <c r="U1561" s="201">
        <f>IF(AND('Mail Merge'!$I1561="Did Not Meet",'Mail Merge'!$N1561="Did Not Meet"),MIN(ABS('Mail Merge'!$H1561),ABS('Mail Merge'!$M1561),'Mail Merge'!$Q1561),0)</f>
        <v>0</v>
      </c>
      <c r="V1561" s="201" t="str">
        <f>IF(OR(IFERROR(SEARCH("Met",'Mail Merge'!$N1561),0)&gt;0,IFERROR(SEARCH("Met",'Mail Merge'!$I1561),0)&gt;0),"Met","Not Met")</f>
        <v>Met</v>
      </c>
    </row>
    <row r="1562" spans="1:22" x14ac:dyDescent="0.35">
      <c r="A1562" s="198" t="s">
        <v>204</v>
      </c>
      <c r="B1562" s="199">
        <v>2242</v>
      </c>
      <c r="C1562" s="199" t="s">
        <v>16</v>
      </c>
      <c r="D1562" s="199">
        <v>1306</v>
      </c>
      <c r="E1562" s="199">
        <v>12175908.779999999</v>
      </c>
      <c r="F1562" s="199">
        <v>2106419</v>
      </c>
      <c r="G1562" s="199">
        <f>'Mail Merge'!$E1562+'Mail Merge'!$F1562</f>
        <v>14282327.779999999</v>
      </c>
      <c r="H1562" s="199">
        <v>0</v>
      </c>
      <c r="I1562" s="199" t="s">
        <v>241</v>
      </c>
      <c r="J1562" s="202">
        <f>IFERROR('Mail Merge'!$E1562/'Mail Merge'!$D1562,0)</f>
        <v>9323.0541960183764</v>
      </c>
      <c r="K1562" s="199">
        <f>IFERROR('Mail Merge'!$F1562/'Mail Merge'!$D1562,0)</f>
        <v>1612.8782542113322</v>
      </c>
      <c r="L1562" s="203">
        <f>IFERROR('Mail Merge'!$G1562/'Mail Merge'!$D1562,0)</f>
        <v>10935.932450229708</v>
      </c>
      <c r="M1562" s="199">
        <v>0</v>
      </c>
      <c r="N1562" s="199" t="s">
        <v>241</v>
      </c>
      <c r="O1562" s="199">
        <v>1950390.98</v>
      </c>
      <c r="P1562" s="199">
        <v>11991.54</v>
      </c>
      <c r="Q1562" s="199">
        <f>'Mail Merge'!$O1562+'Mail Merge'!$P1562</f>
        <v>1962382.52</v>
      </c>
      <c r="R1562" s="199"/>
      <c r="S1562" s="199"/>
      <c r="T1562" s="199"/>
      <c r="U1562" s="199">
        <f>IF(AND('Mail Merge'!$I1562="Did Not Meet",'Mail Merge'!$N1562="Did Not Meet"),MIN(ABS('Mail Merge'!$H1562),ABS('Mail Merge'!$M1562),'Mail Merge'!$Q1562),0)</f>
        <v>0</v>
      </c>
      <c r="V1562" s="199" t="str">
        <f>IF(OR(IFERROR(SEARCH("Met",'Mail Merge'!$N1562),0)&gt;0,IFERROR(SEARCH("Met",'Mail Merge'!$I1562),0)&gt;0),"Met","Not Met")</f>
        <v>Met</v>
      </c>
    </row>
    <row r="1563" spans="1:22" x14ac:dyDescent="0.35">
      <c r="A1563" s="200" t="s">
        <v>205</v>
      </c>
      <c r="B1563" s="201">
        <v>2197</v>
      </c>
      <c r="C1563" s="201" t="s">
        <v>16</v>
      </c>
      <c r="D1563" s="201">
        <v>276</v>
      </c>
      <c r="E1563" s="201">
        <v>3335280.04</v>
      </c>
      <c r="F1563" s="201">
        <v>115844</v>
      </c>
      <c r="G1563" s="201">
        <f>'Mail Merge'!$E1563+'Mail Merge'!$F1563</f>
        <v>3451124.04</v>
      </c>
      <c r="H1563" s="201">
        <v>0</v>
      </c>
      <c r="I1563" s="201" t="s">
        <v>241</v>
      </c>
      <c r="J1563" s="204">
        <f>IFERROR('Mail Merge'!$E1563/'Mail Merge'!$D1563,0)</f>
        <v>12084.347971014493</v>
      </c>
      <c r="K1563" s="201">
        <f>IFERROR('Mail Merge'!$F1563/'Mail Merge'!$D1563,0)</f>
        <v>419.72463768115944</v>
      </c>
      <c r="L1563" s="205">
        <f>IFERROR('Mail Merge'!$G1563/'Mail Merge'!$D1563,0)</f>
        <v>12504.072608695653</v>
      </c>
      <c r="M1563" s="201">
        <v>0</v>
      </c>
      <c r="N1563" s="201" t="s">
        <v>241</v>
      </c>
      <c r="O1563" s="201">
        <v>381271.13</v>
      </c>
      <c r="P1563" s="201">
        <v>4336.41</v>
      </c>
      <c r="Q1563" s="201">
        <f>'Mail Merge'!$O1563+'Mail Merge'!$P1563</f>
        <v>385607.54</v>
      </c>
      <c r="R1563" s="201"/>
      <c r="S1563" s="201"/>
      <c r="T1563" s="201"/>
      <c r="U1563" s="201">
        <f>IF(AND('Mail Merge'!$I1563="Did Not Meet",'Mail Merge'!$N1563="Did Not Meet"),MIN(ABS('Mail Merge'!$H1563),ABS('Mail Merge'!$M1563),'Mail Merge'!$Q1563),0)</f>
        <v>0</v>
      </c>
      <c r="V1563" s="201" t="str">
        <f>IF(OR(IFERROR(SEARCH("Met",'Mail Merge'!$N1563),0)&gt;0,IFERROR(SEARCH("Met",'Mail Merge'!$I1563),0)&gt;0),"Met","Not Met")</f>
        <v>Met</v>
      </c>
    </row>
    <row r="1564" spans="1:22" x14ac:dyDescent="0.35">
      <c r="A1564" s="198" t="s">
        <v>206</v>
      </c>
      <c r="B1564" s="199">
        <v>2222</v>
      </c>
      <c r="C1564" s="199" t="s">
        <v>16</v>
      </c>
      <c r="D1564" s="199">
        <v>0</v>
      </c>
      <c r="E1564" s="199">
        <v>0</v>
      </c>
      <c r="F1564" s="199">
        <v>3700</v>
      </c>
      <c r="G1564" s="199">
        <f>'Mail Merge'!$E1564+'Mail Merge'!$F1564</f>
        <v>3700</v>
      </c>
      <c r="H1564" s="199">
        <v>0</v>
      </c>
      <c r="I1564" s="199" t="s">
        <v>241</v>
      </c>
      <c r="J1564" s="202">
        <f>IFERROR('Mail Merge'!$E1564/'Mail Merge'!$D1564,0)</f>
        <v>0</v>
      </c>
      <c r="K1564" s="199">
        <f>IFERROR('Mail Merge'!$F1564/'Mail Merge'!$D1564,0)</f>
        <v>0</v>
      </c>
      <c r="L1564" s="203">
        <f>IFERROR('Mail Merge'!$G1564/'Mail Merge'!$D1564,0)</f>
        <v>0</v>
      </c>
      <c r="M1564" s="199">
        <v>0</v>
      </c>
      <c r="N1564" s="199" t="s">
        <v>241</v>
      </c>
      <c r="O1564" s="199">
        <v>2475.4899999999998</v>
      </c>
      <c r="P1564" s="199">
        <v>0</v>
      </c>
      <c r="Q1564" s="199">
        <f>'Mail Merge'!$O1564+'Mail Merge'!$P1564</f>
        <v>2475.4899999999998</v>
      </c>
      <c r="R1564" s="199"/>
      <c r="S1564" s="199"/>
      <c r="T1564" s="199"/>
      <c r="U1564" s="199">
        <f>IF(AND('Mail Merge'!$I1564="Did Not Meet",'Mail Merge'!$N1564="Did Not Meet"),MIN(ABS('Mail Merge'!$H1564),ABS('Mail Merge'!$M1564),'Mail Merge'!$Q1564),0)</f>
        <v>0</v>
      </c>
      <c r="V1564" s="199" t="str">
        <f>IF(OR(IFERROR(SEARCH("Met",'Mail Merge'!$N1564),0)&gt;0,IFERROR(SEARCH("Met",'Mail Merge'!$I1564),0)&gt;0),"Met","Not Met")</f>
        <v>Met</v>
      </c>
    </row>
    <row r="1565" spans="1:22" x14ac:dyDescent="0.35">
      <c r="A1565" s="200" t="s">
        <v>207</v>
      </c>
      <c r="B1565" s="201">
        <v>2210</v>
      </c>
      <c r="C1565" s="201" t="s">
        <v>16</v>
      </c>
      <c r="D1565" s="201">
        <v>4</v>
      </c>
      <c r="E1565" s="201">
        <v>4834.05</v>
      </c>
      <c r="F1565" s="201">
        <v>6574.88</v>
      </c>
      <c r="G1565" s="201">
        <f>'Mail Merge'!$E1565+'Mail Merge'!$F1565</f>
        <v>11408.93</v>
      </c>
      <c r="H1565" s="201">
        <v>0</v>
      </c>
      <c r="I1565" s="201" t="s">
        <v>241</v>
      </c>
      <c r="J1565" s="204">
        <f>IFERROR('Mail Merge'!$E1565/'Mail Merge'!$D1565,0)</f>
        <v>1208.5125</v>
      </c>
      <c r="K1565" s="201">
        <f>IFERROR('Mail Merge'!$F1565/'Mail Merge'!$D1565,0)</f>
        <v>1643.72</v>
      </c>
      <c r="L1565" s="205">
        <f>IFERROR('Mail Merge'!$G1565/'Mail Merge'!$D1565,0)</f>
        <v>2852.2325000000001</v>
      </c>
      <c r="M1565" s="201">
        <v>4610.41</v>
      </c>
      <c r="N1565" s="201" t="s">
        <v>240</v>
      </c>
      <c r="O1565" s="201">
        <v>6392.2</v>
      </c>
      <c r="P1565" s="201">
        <v>0</v>
      </c>
      <c r="Q1565" s="201">
        <f>'Mail Merge'!$O1565+'Mail Merge'!$P1565</f>
        <v>6392.2</v>
      </c>
      <c r="R1565" s="201"/>
      <c r="S1565" s="201"/>
      <c r="T1565" s="201">
        <v>0</v>
      </c>
      <c r="U1565" s="201">
        <f>IF(AND('Mail Merge'!$I1565="Did Not Meet",'Mail Merge'!$N1565="Did Not Meet"),MIN(ABS('Mail Merge'!$H1565),ABS('Mail Merge'!$M1565),'Mail Merge'!$Q1565),0)</f>
        <v>0</v>
      </c>
      <c r="V1565" s="201" t="str">
        <f>IF(OR(IFERROR(SEARCH("Met",'Mail Merge'!$N1565),0)&gt;0,IFERROR(SEARCH("Met",'Mail Merge'!$I1565),0)&gt;0),"Met","Not Met")</f>
        <v>Met</v>
      </c>
    </row>
    <row r="1566" spans="1:22" x14ac:dyDescent="0.35">
      <c r="A1566" s="198" t="s">
        <v>208</v>
      </c>
      <c r="B1566" s="199">
        <v>2204</v>
      </c>
      <c r="C1566" s="199" t="s">
        <v>16</v>
      </c>
      <c r="D1566" s="199">
        <v>143</v>
      </c>
      <c r="E1566" s="199">
        <v>1342554.35</v>
      </c>
      <c r="F1566" s="199">
        <v>231051.24</v>
      </c>
      <c r="G1566" s="199">
        <f>'Mail Merge'!$E1566+'Mail Merge'!$F1566</f>
        <v>1573605.59</v>
      </c>
      <c r="H1566" s="199">
        <v>0</v>
      </c>
      <c r="I1566" s="199" t="s">
        <v>241</v>
      </c>
      <c r="J1566" s="202">
        <f>IFERROR('Mail Merge'!$E1566/'Mail Merge'!$D1566,0)</f>
        <v>9388.4919580419592</v>
      </c>
      <c r="K1566" s="199">
        <f>IFERROR('Mail Merge'!$F1566/'Mail Merge'!$D1566,0)</f>
        <v>1615.742937062937</v>
      </c>
      <c r="L1566" s="203">
        <f>IFERROR('Mail Merge'!$G1566/'Mail Merge'!$D1566,0)</f>
        <v>11004.234895104895</v>
      </c>
      <c r="M1566" s="199">
        <v>0</v>
      </c>
      <c r="N1566" s="199" t="s">
        <v>241</v>
      </c>
      <c r="O1566" s="199">
        <v>183048.44</v>
      </c>
      <c r="P1566" s="199">
        <v>1101.52</v>
      </c>
      <c r="Q1566" s="199">
        <f>'Mail Merge'!$O1566+'Mail Merge'!$P1566</f>
        <v>184149.96</v>
      </c>
      <c r="R1566" s="199"/>
      <c r="S1566" s="199"/>
      <c r="T1566" s="199"/>
      <c r="U1566" s="199">
        <f>IF(AND('Mail Merge'!$I1566="Did Not Meet",'Mail Merge'!$N1566="Did Not Meet"),MIN(ABS('Mail Merge'!$H1566),ABS('Mail Merge'!$M1566),'Mail Merge'!$Q1566),0)</f>
        <v>0</v>
      </c>
      <c r="V1566" s="199" t="str">
        <f>IF(OR(IFERROR(SEARCH("Met",'Mail Merge'!$N1566),0)&gt;0,IFERROR(SEARCH("Met",'Mail Merge'!$I1566),0)&gt;0),"Met","Not Met")</f>
        <v>Met</v>
      </c>
    </row>
    <row r="1567" spans="1:22" x14ac:dyDescent="0.35">
      <c r="A1567" s="200" t="s">
        <v>209</v>
      </c>
      <c r="B1567" s="201">
        <v>2213</v>
      </c>
      <c r="C1567" s="201" t="s">
        <v>16</v>
      </c>
      <c r="D1567" s="201">
        <v>38</v>
      </c>
      <c r="E1567" s="201">
        <v>332536.39</v>
      </c>
      <c r="F1567" s="201">
        <v>122813.82</v>
      </c>
      <c r="G1567" s="201">
        <f>'Mail Merge'!$E1567+'Mail Merge'!$F1567</f>
        <v>455350.21</v>
      </c>
      <c r="H1567" s="201">
        <v>4762.6099999999997</v>
      </c>
      <c r="I1567" s="201" t="s">
        <v>240</v>
      </c>
      <c r="J1567" s="204">
        <f>IFERROR('Mail Merge'!$E1567/'Mail Merge'!$D1567,0)</f>
        <v>8750.9576315789473</v>
      </c>
      <c r="K1567" s="201">
        <f>IFERROR('Mail Merge'!$F1567/'Mail Merge'!$D1567,0)</f>
        <v>3231.9426315789474</v>
      </c>
      <c r="L1567" s="205">
        <f>IFERROR('Mail Merge'!$G1567/'Mail Merge'!$D1567,0)</f>
        <v>11982.900263157895</v>
      </c>
      <c r="M1567" s="201">
        <v>4762.53</v>
      </c>
      <c r="N1567" s="201" t="s">
        <v>240</v>
      </c>
      <c r="O1567" s="201">
        <v>60809.79</v>
      </c>
      <c r="P1567" s="201">
        <v>121.3</v>
      </c>
      <c r="Q1567" s="201">
        <f>'Mail Merge'!$O1567+'Mail Merge'!$P1567</f>
        <v>60931.090000000004</v>
      </c>
      <c r="R1567" s="201"/>
      <c r="S1567" s="201">
        <v>0</v>
      </c>
      <c r="T1567" s="201">
        <v>0</v>
      </c>
      <c r="U1567" s="201">
        <f>IF(AND('Mail Merge'!$I1567="Did Not Meet",'Mail Merge'!$N1567="Did Not Meet"),MIN(ABS('Mail Merge'!$H1567),ABS('Mail Merge'!$M1567),'Mail Merge'!$Q1567),0)</f>
        <v>4762.53</v>
      </c>
      <c r="V1567" s="201" t="str">
        <f>IF(OR(IFERROR(SEARCH("Met",'Mail Merge'!$N1567),0)&gt;0,IFERROR(SEARCH("Met",'Mail Merge'!$I1567),0)&gt;0),"Met","Not Met")</f>
        <v>Not Met</v>
      </c>
    </row>
    <row r="1568" spans="1:22" x14ac:dyDescent="0.35">
      <c r="A1568" s="198" t="s">
        <v>210</v>
      </c>
      <c r="B1568" s="199">
        <v>2116</v>
      </c>
      <c r="C1568" s="199" t="s">
        <v>16</v>
      </c>
      <c r="D1568" s="199">
        <v>114</v>
      </c>
      <c r="E1568" s="199">
        <v>873664.29</v>
      </c>
      <c r="F1568" s="199">
        <v>271099.12</v>
      </c>
      <c r="G1568" s="199">
        <f>'Mail Merge'!$E1568+'Mail Merge'!$F1568</f>
        <v>1144763.4100000001</v>
      </c>
      <c r="H1568" s="199">
        <v>0</v>
      </c>
      <c r="I1568" s="199" t="s">
        <v>241</v>
      </c>
      <c r="J1568" s="202">
        <f>IFERROR('Mail Merge'!$E1568/'Mail Merge'!$D1568,0)</f>
        <v>7663.7218421052639</v>
      </c>
      <c r="K1568" s="199">
        <f>IFERROR('Mail Merge'!$F1568/'Mail Merge'!$D1568,0)</f>
        <v>2378.0624561403511</v>
      </c>
      <c r="L1568" s="203">
        <f>IFERROR('Mail Merge'!$G1568/'Mail Merge'!$D1568,0)</f>
        <v>10041.784298245615</v>
      </c>
      <c r="M1568" s="199">
        <v>0</v>
      </c>
      <c r="N1568" s="199" t="s">
        <v>241</v>
      </c>
      <c r="O1568" s="199">
        <v>182984.12</v>
      </c>
      <c r="P1568" s="199">
        <v>517.54</v>
      </c>
      <c r="Q1568" s="199">
        <f>'Mail Merge'!$O1568+'Mail Merge'!$P1568</f>
        <v>183501.66</v>
      </c>
      <c r="R1568" s="199"/>
      <c r="S1568" s="199"/>
      <c r="T1568" s="199"/>
      <c r="U1568" s="199">
        <f>IF(AND('Mail Merge'!$I1568="Did Not Meet",'Mail Merge'!$N1568="Did Not Meet"),MIN(ABS('Mail Merge'!$H1568),ABS('Mail Merge'!$M1568),'Mail Merge'!$Q1568),0)</f>
        <v>0</v>
      </c>
      <c r="V1568" s="199" t="str">
        <f>IF(OR(IFERROR(SEARCH("Met",'Mail Merge'!$N1568),0)&gt;0,IFERROR(SEARCH("Met",'Mail Merge'!$I1568),0)&gt;0),"Met","Not Met")</f>
        <v>Met</v>
      </c>
    </row>
    <row r="1569" spans="1:22" x14ac:dyDescent="0.35">
      <c r="A1569" s="200" t="s">
        <v>211</v>
      </c>
      <c r="B1569" s="201">
        <v>1947</v>
      </c>
      <c r="C1569" s="201" t="s">
        <v>16</v>
      </c>
      <c r="D1569" s="201">
        <v>93</v>
      </c>
      <c r="E1569" s="201">
        <v>1228040.49</v>
      </c>
      <c r="F1569" s="201">
        <v>80626</v>
      </c>
      <c r="G1569" s="201">
        <f>'Mail Merge'!$E1569+'Mail Merge'!$F1569</f>
        <v>1308666.49</v>
      </c>
      <c r="H1569" s="201">
        <v>0</v>
      </c>
      <c r="I1569" s="201" t="s">
        <v>241</v>
      </c>
      <c r="J1569" s="204">
        <f>IFERROR('Mail Merge'!$E1569/'Mail Merge'!$D1569,0)</f>
        <v>13204.736451612904</v>
      </c>
      <c r="K1569" s="201">
        <f>IFERROR('Mail Merge'!$F1569/'Mail Merge'!$D1569,0)</f>
        <v>866.94623655913983</v>
      </c>
      <c r="L1569" s="205">
        <f>IFERROR('Mail Merge'!$G1569/'Mail Merge'!$D1569,0)</f>
        <v>14071.682688172043</v>
      </c>
      <c r="M1569" s="201">
        <v>105981.1</v>
      </c>
      <c r="N1569" s="201" t="s">
        <v>240</v>
      </c>
      <c r="O1569" s="201">
        <v>112123.71</v>
      </c>
      <c r="P1569" s="201">
        <v>2001.42</v>
      </c>
      <c r="Q1569" s="201">
        <f>'Mail Merge'!$O1569+'Mail Merge'!$P1569</f>
        <v>114125.13</v>
      </c>
      <c r="R1569" s="201"/>
      <c r="S1569" s="201"/>
      <c r="T1569" s="201">
        <v>0</v>
      </c>
      <c r="U1569" s="201">
        <f>IF(AND('Mail Merge'!$I1569="Did Not Meet",'Mail Merge'!$N1569="Did Not Meet"),MIN(ABS('Mail Merge'!$H1569),ABS('Mail Merge'!$M1569),'Mail Merge'!$Q1569),0)</f>
        <v>0</v>
      </c>
      <c r="V1569" s="201" t="str">
        <f>IF(OR(IFERROR(SEARCH("Met",'Mail Merge'!$N1569),0)&gt;0,IFERROR(SEARCH("Met",'Mail Merge'!$I1569),0)&gt;0),"Met","Not Met")</f>
        <v>Met</v>
      </c>
    </row>
    <row r="1570" spans="1:22" x14ac:dyDescent="0.35">
      <c r="A1570" s="198" t="s">
        <v>212</v>
      </c>
      <c r="B1570" s="199">
        <v>2220</v>
      </c>
      <c r="C1570" s="199" t="s">
        <v>16</v>
      </c>
      <c r="D1570" s="199">
        <v>29</v>
      </c>
      <c r="E1570" s="199">
        <v>62888.98</v>
      </c>
      <c r="F1570" s="199">
        <v>154166.19</v>
      </c>
      <c r="G1570" s="199">
        <f>'Mail Merge'!$E1570+'Mail Merge'!$F1570</f>
        <v>217055.17</v>
      </c>
      <c r="H1570" s="199">
        <v>0</v>
      </c>
      <c r="I1570" s="199" t="s">
        <v>242</v>
      </c>
      <c r="J1570" s="202">
        <f>IFERROR('Mail Merge'!$E1570/'Mail Merge'!$D1570,0)</f>
        <v>2168.5855172413794</v>
      </c>
      <c r="K1570" s="199">
        <f>IFERROR('Mail Merge'!$F1570/'Mail Merge'!$D1570,0)</f>
        <v>5316.0755172413792</v>
      </c>
      <c r="L1570" s="203">
        <f>IFERROR('Mail Merge'!$G1570/'Mail Merge'!$D1570,0)</f>
        <v>7484.6610344827586</v>
      </c>
      <c r="M1570" s="199">
        <v>0</v>
      </c>
      <c r="N1570" s="199" t="s">
        <v>241</v>
      </c>
      <c r="O1570" s="199">
        <v>54883</v>
      </c>
      <c r="P1570" s="199">
        <v>485.19</v>
      </c>
      <c r="Q1570" s="199">
        <f>'Mail Merge'!$O1570+'Mail Merge'!$P1570</f>
        <v>55368.19</v>
      </c>
      <c r="R1570" s="199"/>
      <c r="S1570" s="199">
        <v>55200.7</v>
      </c>
      <c r="T1570" s="199"/>
      <c r="U1570" s="199">
        <f>IF(AND('Mail Merge'!$I1570="Did Not Meet",'Mail Merge'!$N1570="Did Not Meet"),MIN(ABS('Mail Merge'!$H1570),ABS('Mail Merge'!$M1570),'Mail Merge'!$Q1570),0)</f>
        <v>0</v>
      </c>
      <c r="V1570" s="199" t="str">
        <f>IF(OR(IFERROR(SEARCH("Met",'Mail Merge'!$N1570),0)&gt;0,IFERROR(SEARCH("Met",'Mail Merge'!$I1570),0)&gt;0),"Met","Not Met")</f>
        <v>Met</v>
      </c>
    </row>
    <row r="1571" spans="1:22" x14ac:dyDescent="0.35">
      <c r="A1571" s="200" t="s">
        <v>213</v>
      </c>
      <c r="B1571" s="201">
        <v>1936</v>
      </c>
      <c r="C1571" s="201" t="s">
        <v>16</v>
      </c>
      <c r="D1571" s="201">
        <v>152</v>
      </c>
      <c r="E1571" s="201">
        <v>1541834.72</v>
      </c>
      <c r="F1571" s="201">
        <v>353075</v>
      </c>
      <c r="G1571" s="201">
        <f>'Mail Merge'!$E1571+'Mail Merge'!$F1571</f>
        <v>1894909.72</v>
      </c>
      <c r="H1571" s="201">
        <v>0</v>
      </c>
      <c r="I1571" s="201" t="s">
        <v>241</v>
      </c>
      <c r="J1571" s="204">
        <f>IFERROR('Mail Merge'!$E1571/'Mail Merge'!$D1571,0)</f>
        <v>10143.649473684211</v>
      </c>
      <c r="K1571" s="201">
        <f>IFERROR('Mail Merge'!$F1571/'Mail Merge'!$D1571,0)</f>
        <v>2322.8618421052633</v>
      </c>
      <c r="L1571" s="205">
        <f>IFERROR('Mail Merge'!$G1571/'Mail Merge'!$D1571,0)</f>
        <v>12466.511315789474</v>
      </c>
      <c r="M1571" s="201">
        <v>0</v>
      </c>
      <c r="N1571" s="201" t="s">
        <v>241</v>
      </c>
      <c r="O1571" s="201">
        <v>149123.14000000001</v>
      </c>
      <c r="P1571" s="201">
        <v>1347.76</v>
      </c>
      <c r="Q1571" s="201">
        <f>'Mail Merge'!$O1571+'Mail Merge'!$P1571</f>
        <v>150470.90000000002</v>
      </c>
      <c r="R1571" s="201"/>
      <c r="S1571" s="201"/>
      <c r="T1571" s="201"/>
      <c r="U1571" s="201">
        <f>IF(AND('Mail Merge'!$I1571="Did Not Meet",'Mail Merge'!$N1571="Did Not Meet"),MIN(ABS('Mail Merge'!$H1571),ABS('Mail Merge'!$M1571),'Mail Merge'!$Q1571),0)</f>
        <v>0</v>
      </c>
      <c r="V1571" s="201" t="str">
        <f>IF(OR(IFERROR(SEARCH("Met",'Mail Merge'!$N1571),0)&gt;0,IFERROR(SEARCH("Met",'Mail Merge'!$I1571),0)&gt;0),"Met","Not Met")</f>
        <v>Met</v>
      </c>
    </row>
    <row r="1572" spans="1:22" x14ac:dyDescent="0.35">
      <c r="A1572" s="198" t="s">
        <v>214</v>
      </c>
      <c r="B1572" s="199">
        <v>1922</v>
      </c>
      <c r="C1572" s="199" t="s">
        <v>16</v>
      </c>
      <c r="D1572" s="199">
        <v>1038</v>
      </c>
      <c r="E1572" s="199">
        <v>11449076.9</v>
      </c>
      <c r="F1572" s="199">
        <v>53133</v>
      </c>
      <c r="G1572" s="199">
        <f>'Mail Merge'!$E1572+'Mail Merge'!$F1572</f>
        <v>11502209.9</v>
      </c>
      <c r="H1572" s="199">
        <v>0</v>
      </c>
      <c r="I1572" s="199" t="s">
        <v>241</v>
      </c>
      <c r="J1572" s="202">
        <f>IFERROR('Mail Merge'!$E1572/'Mail Merge'!$D1572,0)</f>
        <v>11029.939210019269</v>
      </c>
      <c r="K1572" s="199">
        <f>IFERROR('Mail Merge'!$F1572/'Mail Merge'!$D1572,0)</f>
        <v>51.187861271676297</v>
      </c>
      <c r="L1572" s="203">
        <f>IFERROR('Mail Merge'!$G1572/'Mail Merge'!$D1572,0)</f>
        <v>11081.127071290945</v>
      </c>
      <c r="M1572" s="199">
        <v>0</v>
      </c>
      <c r="N1572" s="199" t="s">
        <v>241</v>
      </c>
      <c r="O1572" s="199">
        <v>1300602.01</v>
      </c>
      <c r="P1572" s="199">
        <v>8441.41</v>
      </c>
      <c r="Q1572" s="199">
        <f>'Mail Merge'!$O1572+'Mail Merge'!$P1572</f>
        <v>1309043.42</v>
      </c>
      <c r="R1572" s="199"/>
      <c r="S1572" s="199"/>
      <c r="T1572" s="199"/>
      <c r="U1572" s="199">
        <f>IF(AND('Mail Merge'!$I1572="Did Not Meet",'Mail Merge'!$N1572="Did Not Meet"),MIN(ABS('Mail Merge'!$H1572),ABS('Mail Merge'!$M1572),'Mail Merge'!$Q1572),0)</f>
        <v>0</v>
      </c>
      <c r="V1572" s="199" t="str">
        <f>IF(OR(IFERROR(SEARCH("Met",'Mail Merge'!$N1572),0)&gt;0,IFERROR(SEARCH("Met",'Mail Merge'!$I1572),0)&gt;0),"Met","Not Met")</f>
        <v>Met</v>
      </c>
    </row>
    <row r="1573" spans="1:22" x14ac:dyDescent="0.35">
      <c r="A1573" s="200" t="s">
        <v>215</v>
      </c>
      <c r="B1573" s="201">
        <v>2255</v>
      </c>
      <c r="C1573" s="201" t="s">
        <v>16</v>
      </c>
      <c r="D1573" s="201">
        <v>163</v>
      </c>
      <c r="E1573" s="201">
        <v>1018619.39</v>
      </c>
      <c r="F1573" s="201">
        <v>33039.5</v>
      </c>
      <c r="G1573" s="201">
        <f>'Mail Merge'!$E1573+'Mail Merge'!$F1573</f>
        <v>1051658.8900000001</v>
      </c>
      <c r="H1573" s="201">
        <v>0</v>
      </c>
      <c r="I1573" s="201" t="s">
        <v>241</v>
      </c>
      <c r="J1573" s="204">
        <f>IFERROR('Mail Merge'!$E1573/'Mail Merge'!$D1573,0)</f>
        <v>6249.1987116564414</v>
      </c>
      <c r="K1573" s="201">
        <f>IFERROR('Mail Merge'!$F1573/'Mail Merge'!$D1573,0)</f>
        <v>202.69631901840492</v>
      </c>
      <c r="L1573" s="205">
        <f>IFERROR('Mail Merge'!$G1573/'Mail Merge'!$D1573,0)</f>
        <v>6451.8950306748475</v>
      </c>
      <c r="M1573" s="201">
        <v>432881.63</v>
      </c>
      <c r="N1573" s="201" t="s">
        <v>240</v>
      </c>
      <c r="O1573" s="201">
        <v>208460.41</v>
      </c>
      <c r="P1573" s="201">
        <v>3806.89</v>
      </c>
      <c r="Q1573" s="201">
        <f>'Mail Merge'!$O1573+'Mail Merge'!$P1573</f>
        <v>212267.30000000002</v>
      </c>
      <c r="R1573" s="201"/>
      <c r="S1573" s="201"/>
      <c r="T1573" s="201">
        <v>0</v>
      </c>
      <c r="U1573" s="201">
        <f>IF(AND('Mail Merge'!$I1573="Did Not Meet",'Mail Merge'!$N1573="Did Not Meet"),MIN(ABS('Mail Merge'!$H1573),ABS('Mail Merge'!$M1573),'Mail Merge'!$Q1573),0)</f>
        <v>0</v>
      </c>
      <c r="V1573" s="201" t="str">
        <f>IF(OR(IFERROR(SEARCH("Met",'Mail Merge'!$N1573),0)&gt;0,IFERROR(SEARCH("Met",'Mail Merge'!$I1573),0)&gt;0),"Met","Not Met")</f>
        <v>Met</v>
      </c>
    </row>
    <row r="1574" spans="1:22" x14ac:dyDescent="0.35">
      <c r="A1574" s="198" t="s">
        <v>216</v>
      </c>
      <c r="B1574" s="199">
        <v>2002</v>
      </c>
      <c r="C1574" s="199" t="s">
        <v>16</v>
      </c>
      <c r="D1574" s="199">
        <v>183</v>
      </c>
      <c r="E1574" s="199">
        <v>1381888.04</v>
      </c>
      <c r="F1574" s="199">
        <v>306992.03000000003</v>
      </c>
      <c r="G1574" s="199">
        <f>'Mail Merge'!$E1574+'Mail Merge'!$F1574</f>
        <v>1688880.07</v>
      </c>
      <c r="H1574" s="199">
        <v>0</v>
      </c>
      <c r="I1574" s="199" t="s">
        <v>241</v>
      </c>
      <c r="J1574" s="202">
        <f>IFERROR('Mail Merge'!$E1574/'Mail Merge'!$D1574,0)</f>
        <v>7551.300765027323</v>
      </c>
      <c r="K1574" s="199">
        <f>IFERROR('Mail Merge'!$F1574/'Mail Merge'!$D1574,0)</f>
        <v>1677.5520765027325</v>
      </c>
      <c r="L1574" s="203">
        <f>IFERROR('Mail Merge'!$G1574/'Mail Merge'!$D1574,0)</f>
        <v>9228.8528415300552</v>
      </c>
      <c r="M1574" s="199">
        <v>0</v>
      </c>
      <c r="N1574" s="199" t="s">
        <v>242</v>
      </c>
      <c r="O1574" s="199">
        <v>258869.54</v>
      </c>
      <c r="P1574" s="199">
        <v>3179.56</v>
      </c>
      <c r="Q1574" s="199">
        <f>'Mail Merge'!$O1574+'Mail Merge'!$P1574</f>
        <v>262049.1</v>
      </c>
      <c r="R1574" s="199"/>
      <c r="S1574" s="199"/>
      <c r="T1574" s="199">
        <v>602.19000000000005</v>
      </c>
      <c r="U1574" s="199">
        <f>IF(AND('Mail Merge'!$I1574="Did Not Meet",'Mail Merge'!$N1574="Did Not Meet"),MIN(ABS('Mail Merge'!$H1574),ABS('Mail Merge'!$M1574),'Mail Merge'!$Q1574),0)</f>
        <v>0</v>
      </c>
      <c r="V1574" s="199" t="str">
        <f>IF(OR(IFERROR(SEARCH("Met",'Mail Merge'!$N1574),0)&gt;0,IFERROR(SEARCH("Met",'Mail Merge'!$I1574),0)&gt;0),"Met","Not Met")</f>
        <v>Met</v>
      </c>
    </row>
    <row r="1575" spans="1:22" x14ac:dyDescent="0.35">
      <c r="A1575" s="200" t="s">
        <v>217</v>
      </c>
      <c r="B1575" s="201">
        <v>2146</v>
      </c>
      <c r="C1575" s="201" t="s">
        <v>16</v>
      </c>
      <c r="D1575" s="201">
        <v>793</v>
      </c>
      <c r="E1575" s="201">
        <v>7092948.9000000004</v>
      </c>
      <c r="F1575" s="201">
        <v>578310.9</v>
      </c>
      <c r="G1575" s="201">
        <f>'Mail Merge'!$E1575+'Mail Merge'!$F1575</f>
        <v>7671259.8000000007</v>
      </c>
      <c r="H1575" s="201">
        <v>0</v>
      </c>
      <c r="I1575" s="201" t="s">
        <v>241</v>
      </c>
      <c r="J1575" s="204">
        <f>IFERROR('Mail Merge'!$E1575/'Mail Merge'!$D1575,0)</f>
        <v>8944.4500630517032</v>
      </c>
      <c r="K1575" s="201">
        <f>IFERROR('Mail Merge'!$F1575/'Mail Merge'!$D1575,0)</f>
        <v>729.26973518285001</v>
      </c>
      <c r="L1575" s="205">
        <f>IFERROR('Mail Merge'!$G1575/'Mail Merge'!$D1575,0)</f>
        <v>9673.7197982345533</v>
      </c>
      <c r="M1575" s="201">
        <v>0</v>
      </c>
      <c r="N1575" s="201" t="s">
        <v>241</v>
      </c>
      <c r="O1575" s="201">
        <v>838777.16</v>
      </c>
      <c r="P1575" s="201">
        <v>4174.79</v>
      </c>
      <c r="Q1575" s="201">
        <f>'Mail Merge'!$O1575+'Mail Merge'!$P1575</f>
        <v>842951.95000000007</v>
      </c>
      <c r="R1575" s="201"/>
      <c r="S1575" s="201"/>
      <c r="T1575" s="201"/>
      <c r="U1575" s="201">
        <f>IF(AND('Mail Merge'!$I1575="Did Not Meet",'Mail Merge'!$N1575="Did Not Meet"),MIN(ABS('Mail Merge'!$H1575),ABS('Mail Merge'!$M1575),'Mail Merge'!$Q1575),0)</f>
        <v>0</v>
      </c>
      <c r="V1575" s="201" t="str">
        <f>IF(OR(IFERROR(SEARCH("Met",'Mail Merge'!$N1575),0)&gt;0,IFERROR(SEARCH("Met",'Mail Merge'!$I1575),0)&gt;0),"Met","Not Met")</f>
        <v>Met</v>
      </c>
    </row>
    <row r="1576" spans="1:22" x14ac:dyDescent="0.35">
      <c r="A1576" s="198" t="s">
        <v>218</v>
      </c>
      <c r="B1576" s="199">
        <v>2251</v>
      </c>
      <c r="C1576" s="199" t="s">
        <v>16</v>
      </c>
      <c r="D1576" s="199">
        <v>136</v>
      </c>
      <c r="E1576" s="199">
        <v>1522097.72</v>
      </c>
      <c r="F1576" s="199">
        <v>134622.35999999999</v>
      </c>
      <c r="G1576" s="199">
        <f>'Mail Merge'!$E1576+'Mail Merge'!$F1576</f>
        <v>1656720.08</v>
      </c>
      <c r="H1576" s="199">
        <v>0</v>
      </c>
      <c r="I1576" s="199" t="s">
        <v>241</v>
      </c>
      <c r="J1576" s="202">
        <f>IFERROR('Mail Merge'!$E1576/'Mail Merge'!$D1576,0)</f>
        <v>11191.895</v>
      </c>
      <c r="K1576" s="199">
        <f>IFERROR('Mail Merge'!$F1576/'Mail Merge'!$D1576,0)</f>
        <v>989.87029411764695</v>
      </c>
      <c r="L1576" s="203">
        <f>IFERROR('Mail Merge'!$G1576/'Mail Merge'!$D1576,0)</f>
        <v>12181.765294117647</v>
      </c>
      <c r="M1576" s="199">
        <v>0</v>
      </c>
      <c r="N1576" s="199" t="s">
        <v>241</v>
      </c>
      <c r="O1576" s="199">
        <v>182709.98</v>
      </c>
      <c r="P1576" s="199">
        <v>447.87</v>
      </c>
      <c r="Q1576" s="199">
        <f>'Mail Merge'!$O1576+'Mail Merge'!$P1576</f>
        <v>183157.85</v>
      </c>
      <c r="R1576" s="199"/>
      <c r="S1576" s="199"/>
      <c r="T1576" s="199"/>
      <c r="U1576" s="199">
        <f>IF(AND('Mail Merge'!$I1576="Did Not Meet",'Mail Merge'!$N1576="Did Not Meet"),MIN(ABS('Mail Merge'!$H1576),ABS('Mail Merge'!$M1576),'Mail Merge'!$Q1576),0)</f>
        <v>0</v>
      </c>
      <c r="V1576" s="199" t="str">
        <f>IF(OR(IFERROR(SEARCH("Met",'Mail Merge'!$N1576),0)&gt;0,IFERROR(SEARCH("Met",'Mail Merge'!$I1576),0)&gt;0),"Met","Not Met")</f>
        <v>Met</v>
      </c>
    </row>
    <row r="1577" spans="1:22" x14ac:dyDescent="0.35">
      <c r="A1577" s="200" t="s">
        <v>219</v>
      </c>
      <c r="B1577" s="201">
        <v>1997</v>
      </c>
      <c r="C1577" s="201" t="s">
        <v>16</v>
      </c>
      <c r="D1577" s="201">
        <v>30</v>
      </c>
      <c r="E1577" s="201">
        <v>255721.47</v>
      </c>
      <c r="F1577" s="201">
        <v>60202.03</v>
      </c>
      <c r="G1577" s="201">
        <f>'Mail Merge'!$E1577+'Mail Merge'!$F1577</f>
        <v>315923.5</v>
      </c>
      <c r="H1577" s="201">
        <v>0</v>
      </c>
      <c r="I1577" s="201" t="s">
        <v>241</v>
      </c>
      <c r="J1577" s="204">
        <f>IFERROR('Mail Merge'!$E1577/'Mail Merge'!$D1577,0)</f>
        <v>8524.0490000000009</v>
      </c>
      <c r="K1577" s="201">
        <f>IFERROR('Mail Merge'!$F1577/'Mail Merge'!$D1577,0)</f>
        <v>2006.7343333333333</v>
      </c>
      <c r="L1577" s="205">
        <f>IFERROR('Mail Merge'!$G1577/'Mail Merge'!$D1577,0)</f>
        <v>10530.783333333333</v>
      </c>
      <c r="M1577" s="201">
        <v>0</v>
      </c>
      <c r="N1577" s="201" t="s">
        <v>241</v>
      </c>
      <c r="O1577" s="201">
        <v>55323.05</v>
      </c>
      <c r="P1577" s="201">
        <v>970.38</v>
      </c>
      <c r="Q1577" s="201">
        <f>'Mail Merge'!$O1577+'Mail Merge'!$P1577</f>
        <v>56293.43</v>
      </c>
      <c r="R1577" s="201"/>
      <c r="S1577" s="201"/>
      <c r="T1577" s="201"/>
      <c r="U1577" s="201">
        <f>IF(AND('Mail Merge'!$I1577="Did Not Meet",'Mail Merge'!$N1577="Did Not Meet"),MIN(ABS('Mail Merge'!$H1577),ABS('Mail Merge'!$M1577),'Mail Merge'!$Q1577),0)</f>
        <v>0</v>
      </c>
      <c r="V1577" s="201" t="str">
        <f>IF(OR(IFERROR(SEARCH("Met",'Mail Merge'!$N1577),0)&gt;0,IFERROR(SEARCH("Met",'Mail Merge'!$I1577),0)&gt;0),"Met","Not Met")</f>
        <v>Met</v>
      </c>
    </row>
    <row r="1578" spans="1:22" x14ac:dyDescent="0.35">
      <c r="A1578" s="198" t="s">
        <v>14</v>
      </c>
      <c r="B1578" s="199">
        <v>2063</v>
      </c>
      <c r="C1578" s="199" t="s">
        <v>243</v>
      </c>
      <c r="D1578" s="199">
        <v>2</v>
      </c>
      <c r="E1578" s="199">
        <v>3613.92</v>
      </c>
      <c r="F1578" s="199">
        <v>30837.43</v>
      </c>
      <c r="G1578" s="199">
        <f>'Mail Merge'!$E1578+'Mail Merge'!$F1578</f>
        <v>34451.35</v>
      </c>
      <c r="H1578" s="199">
        <v>0</v>
      </c>
      <c r="I1578" s="199" t="s">
        <v>241</v>
      </c>
      <c r="J1578" s="202">
        <f>IFERROR('Mail Merge'!$E1578/'Mail Merge'!$D1578,0)</f>
        <v>1806.96</v>
      </c>
      <c r="K1578" s="199">
        <f>IFERROR('Mail Merge'!$F1578/'Mail Merge'!$D1578,0)</f>
        <v>15418.715</v>
      </c>
      <c r="L1578" s="203">
        <f>IFERROR('Mail Merge'!$G1578/'Mail Merge'!$D1578,0)</f>
        <v>17225.674999999999</v>
      </c>
      <c r="M1578" s="199">
        <v>30370.810000000005</v>
      </c>
      <c r="N1578" s="199" t="s">
        <v>240</v>
      </c>
      <c r="O1578" s="199">
        <v>2629.9</v>
      </c>
      <c r="P1578" s="199">
        <v>502.42</v>
      </c>
      <c r="Q1578" s="199">
        <f>'Mail Merge'!$O1578+'Mail Merge'!$P1578</f>
        <v>3132.32</v>
      </c>
      <c r="R1578" s="199"/>
      <c r="S1578" s="199"/>
      <c r="T1578" s="199">
        <v>0</v>
      </c>
      <c r="U1578" s="199">
        <f>IF(AND('Mail Merge'!$I1578="Did Not Meet",'Mail Merge'!$N1578="Did Not Meet"),MIN(ABS('Mail Merge'!$H1578),ABS('Mail Merge'!$M1578),'Mail Merge'!$Q1578),0)</f>
        <v>0</v>
      </c>
      <c r="V1578" s="199" t="str">
        <f>IF(OR(IFERROR(SEARCH("Met",'Mail Merge'!$N1578),0)&gt;0,IFERROR(SEARCH("Met",'Mail Merge'!$I1578),0)&gt;0),"Met","Not Met")</f>
        <v>Met</v>
      </c>
    </row>
    <row r="1579" spans="1:22" x14ac:dyDescent="0.35">
      <c r="A1579" s="200" t="s">
        <v>17</v>
      </c>
      <c r="B1579" s="201">
        <v>2113</v>
      </c>
      <c r="C1579" s="201" t="s">
        <v>243</v>
      </c>
      <c r="D1579" s="201">
        <v>42</v>
      </c>
      <c r="E1579" s="201">
        <v>228172.7</v>
      </c>
      <c r="F1579" s="201">
        <v>125433.99</v>
      </c>
      <c r="G1579" s="201">
        <f>'Mail Merge'!$E1579+'Mail Merge'!$F1579</f>
        <v>353606.69</v>
      </c>
      <c r="H1579" s="201">
        <v>0</v>
      </c>
      <c r="I1579" s="201" t="s">
        <v>241</v>
      </c>
      <c r="J1579" s="204">
        <f>IFERROR('Mail Merge'!$E1579/'Mail Merge'!$D1579,0)</f>
        <v>5432.6833333333334</v>
      </c>
      <c r="K1579" s="201">
        <f>IFERROR('Mail Merge'!$F1579/'Mail Merge'!$D1579,0)</f>
        <v>2986.5235714285714</v>
      </c>
      <c r="L1579" s="205">
        <f>IFERROR('Mail Merge'!$G1579/'Mail Merge'!$D1579,0)</f>
        <v>8419.2069047619043</v>
      </c>
      <c r="M1579" s="201">
        <v>0</v>
      </c>
      <c r="N1579" s="201" t="s">
        <v>242</v>
      </c>
      <c r="O1579" s="201">
        <v>59590.12</v>
      </c>
      <c r="P1579" s="201">
        <v>0</v>
      </c>
      <c r="Q1579" s="201">
        <f>'Mail Merge'!$O1579+'Mail Merge'!$P1579</f>
        <v>59590.12</v>
      </c>
      <c r="R1579" s="201"/>
      <c r="S1579" s="201"/>
      <c r="T1579" s="201">
        <v>2631.94</v>
      </c>
      <c r="U1579" s="201">
        <f>IF(AND('Mail Merge'!$I1579="Did Not Meet",'Mail Merge'!$N1579="Did Not Meet"),MIN(ABS('Mail Merge'!$H1579),ABS('Mail Merge'!$M1579),'Mail Merge'!$Q1579),0)</f>
        <v>0</v>
      </c>
      <c r="V1579" s="201" t="str">
        <f>IF(OR(IFERROR(SEARCH("Met",'Mail Merge'!$N1579),0)&gt;0,IFERROR(SEARCH("Met",'Mail Merge'!$I1579),0)&gt;0),"Met","Not Met")</f>
        <v>Met</v>
      </c>
    </row>
    <row r="1580" spans="1:22" x14ac:dyDescent="0.35">
      <c r="A1580" s="198" t="s">
        <v>20</v>
      </c>
      <c r="B1580" s="199">
        <v>1899</v>
      </c>
      <c r="C1580" s="199" t="s">
        <v>243</v>
      </c>
      <c r="D1580" s="199">
        <v>37</v>
      </c>
      <c r="E1580" s="199">
        <v>284915.44</v>
      </c>
      <c r="F1580" s="199">
        <v>59337</v>
      </c>
      <c r="G1580" s="199">
        <f>'Mail Merge'!$E1580+'Mail Merge'!$F1580</f>
        <v>344252.44</v>
      </c>
      <c r="H1580" s="199">
        <v>0</v>
      </c>
      <c r="I1580" s="199" t="s">
        <v>241</v>
      </c>
      <c r="J1580" s="202">
        <f>IFERROR('Mail Merge'!$E1580/'Mail Merge'!$D1580,0)</f>
        <v>7700.4172972972974</v>
      </c>
      <c r="K1580" s="199">
        <f>IFERROR('Mail Merge'!$F1580/'Mail Merge'!$D1580,0)</f>
        <v>1603.7027027027027</v>
      </c>
      <c r="L1580" s="203">
        <f>IFERROR('Mail Merge'!$G1580/'Mail Merge'!$D1580,0)</f>
        <v>9304.1200000000008</v>
      </c>
      <c r="M1580" s="199">
        <v>103929.61157894619</v>
      </c>
      <c r="N1580" s="199" t="s">
        <v>240</v>
      </c>
      <c r="O1580" s="199">
        <v>36220.19</v>
      </c>
      <c r="P1580" s="199">
        <v>753.63</v>
      </c>
      <c r="Q1580" s="199">
        <f>'Mail Merge'!$O1580+'Mail Merge'!$P1580</f>
        <v>36973.82</v>
      </c>
      <c r="R1580" s="199"/>
      <c r="S1580" s="199"/>
      <c r="T1580" s="199">
        <v>0</v>
      </c>
      <c r="U1580" s="199">
        <f>IF(AND('Mail Merge'!$I1580="Did Not Meet",'Mail Merge'!$N1580="Did Not Meet"),MIN(ABS('Mail Merge'!$H1580),ABS('Mail Merge'!$M1580),'Mail Merge'!$Q1580),0)</f>
        <v>0</v>
      </c>
      <c r="V1580" s="199" t="str">
        <f>IF(OR(IFERROR(SEARCH("Met",'Mail Merge'!$N1580),0)&gt;0,IFERROR(SEARCH("Met",'Mail Merge'!$I1580),0)&gt;0),"Met","Not Met")</f>
        <v>Met</v>
      </c>
    </row>
    <row r="1581" spans="1:22" x14ac:dyDescent="0.35">
      <c r="A1581" s="200" t="s">
        <v>21</v>
      </c>
      <c r="B1581" s="201">
        <v>2252</v>
      </c>
      <c r="C1581" s="201" t="s">
        <v>243</v>
      </c>
      <c r="D1581" s="201">
        <v>129</v>
      </c>
      <c r="E1581" s="201">
        <v>697472.74</v>
      </c>
      <c r="F1581" s="201">
        <v>159172.35999999999</v>
      </c>
      <c r="G1581" s="201">
        <f>'Mail Merge'!$E1581+'Mail Merge'!$F1581</f>
        <v>856645.1</v>
      </c>
      <c r="H1581" s="201">
        <v>0</v>
      </c>
      <c r="I1581" s="201" t="s">
        <v>241</v>
      </c>
      <c r="J1581" s="204">
        <f>IFERROR('Mail Merge'!$E1581/'Mail Merge'!$D1581,0)</f>
        <v>5406.7654263565892</v>
      </c>
      <c r="K1581" s="201">
        <f>IFERROR('Mail Merge'!$F1581/'Mail Merge'!$D1581,0)</f>
        <v>1233.8942635658914</v>
      </c>
      <c r="L1581" s="205">
        <f>IFERROR('Mail Merge'!$G1581/'Mail Merge'!$D1581,0)</f>
        <v>6640.6596899224805</v>
      </c>
      <c r="M1581" s="201">
        <v>112500.77718446634</v>
      </c>
      <c r="N1581" s="201" t="s">
        <v>240</v>
      </c>
      <c r="O1581" s="201">
        <v>141825.12</v>
      </c>
      <c r="P1581" s="201">
        <v>803.87</v>
      </c>
      <c r="Q1581" s="201">
        <f>'Mail Merge'!$O1581+'Mail Merge'!$P1581</f>
        <v>142628.99</v>
      </c>
      <c r="R1581" s="201"/>
      <c r="S1581" s="201"/>
      <c r="T1581" s="201">
        <v>446</v>
      </c>
      <c r="U1581" s="201">
        <f>IF(AND('Mail Merge'!$I1581="Did Not Meet",'Mail Merge'!$N1581="Did Not Meet"),MIN(ABS('Mail Merge'!$H1581),ABS('Mail Merge'!$M1581),'Mail Merge'!$Q1581),0)</f>
        <v>0</v>
      </c>
      <c r="V1581" s="201" t="str">
        <f>IF(OR(IFERROR(SEARCH("Met",'Mail Merge'!$N1581),0)&gt;0,IFERROR(SEARCH("Met",'Mail Merge'!$I1581),0)&gt;0),"Met","Not Met")</f>
        <v>Met</v>
      </c>
    </row>
    <row r="1582" spans="1:22" x14ac:dyDescent="0.35">
      <c r="A1582" s="198" t="s">
        <v>23</v>
      </c>
      <c r="B1582" s="199">
        <v>2111</v>
      </c>
      <c r="C1582" s="199" t="s">
        <v>243</v>
      </c>
      <c r="D1582" s="199">
        <v>7</v>
      </c>
      <c r="E1582" s="199">
        <v>45507.51</v>
      </c>
      <c r="F1582" s="199">
        <v>32821.730000000003</v>
      </c>
      <c r="G1582" s="199">
        <f>'Mail Merge'!$E1582+'Mail Merge'!$F1582</f>
        <v>78329.240000000005</v>
      </c>
      <c r="H1582" s="199">
        <v>0</v>
      </c>
      <c r="I1582" s="199" t="s">
        <v>242</v>
      </c>
      <c r="J1582" s="202">
        <f>IFERROR('Mail Merge'!$E1582/'Mail Merge'!$D1582,0)</f>
        <v>6501.0728571428572</v>
      </c>
      <c r="K1582" s="199">
        <f>IFERROR('Mail Merge'!$F1582/'Mail Merge'!$D1582,0)</f>
        <v>4688.8185714285719</v>
      </c>
      <c r="L1582" s="203">
        <f>IFERROR('Mail Merge'!$G1582/'Mail Merge'!$D1582,0)</f>
        <v>11189.891428571429</v>
      </c>
      <c r="M1582" s="199">
        <v>0</v>
      </c>
      <c r="N1582" s="199" t="s">
        <v>241</v>
      </c>
      <c r="O1582" s="199">
        <v>22097.26</v>
      </c>
      <c r="P1582" s="199">
        <v>0</v>
      </c>
      <c r="Q1582" s="199">
        <f>'Mail Merge'!$O1582+'Mail Merge'!$P1582</f>
        <v>22097.26</v>
      </c>
      <c r="R1582" s="199"/>
      <c r="S1582" s="199">
        <v>34975.03</v>
      </c>
      <c r="T1582" s="199"/>
      <c r="U1582" s="199">
        <f>IF(AND('Mail Merge'!$I1582="Did Not Meet",'Mail Merge'!$N1582="Did Not Meet"),MIN(ABS('Mail Merge'!$H1582),ABS('Mail Merge'!$M1582),'Mail Merge'!$Q1582),0)</f>
        <v>0</v>
      </c>
      <c r="V1582" s="199" t="str">
        <f>IF(OR(IFERROR(SEARCH("Met",'Mail Merge'!$N1582),0)&gt;0,IFERROR(SEARCH("Met",'Mail Merge'!$I1582),0)&gt;0),"Met","Not Met")</f>
        <v>Met</v>
      </c>
    </row>
    <row r="1583" spans="1:22" x14ac:dyDescent="0.35">
      <c r="A1583" s="200" t="s">
        <v>24</v>
      </c>
      <c r="B1583" s="201">
        <v>2005</v>
      </c>
      <c r="C1583" s="201" t="s">
        <v>243</v>
      </c>
      <c r="D1583" s="201">
        <v>22</v>
      </c>
      <c r="E1583" s="201">
        <v>32801.599999999999</v>
      </c>
      <c r="F1583" s="201">
        <v>152513</v>
      </c>
      <c r="G1583" s="201">
        <f>'Mail Merge'!$E1583+'Mail Merge'!$F1583</f>
        <v>185314.6</v>
      </c>
      <c r="H1583" s="201">
        <v>0</v>
      </c>
      <c r="I1583" s="201" t="s">
        <v>242</v>
      </c>
      <c r="J1583" s="204">
        <f>IFERROR('Mail Merge'!$E1583/'Mail Merge'!$D1583,0)</f>
        <v>1490.9818181818182</v>
      </c>
      <c r="K1583" s="201">
        <f>IFERROR('Mail Merge'!$F1583/'Mail Merge'!$D1583,0)</f>
        <v>6932.409090909091</v>
      </c>
      <c r="L1583" s="205">
        <f>IFERROR('Mail Merge'!$G1583/'Mail Merge'!$D1583,0)</f>
        <v>8423.3909090909092</v>
      </c>
      <c r="M1583" s="201">
        <v>0</v>
      </c>
      <c r="N1583" s="201" t="s">
        <v>242</v>
      </c>
      <c r="O1583" s="201">
        <v>25749.85</v>
      </c>
      <c r="P1583" s="201">
        <v>0</v>
      </c>
      <c r="Q1583" s="201">
        <f>'Mail Merge'!$O1583+'Mail Merge'!$P1583</f>
        <v>25749.85</v>
      </c>
      <c r="R1583" s="201"/>
      <c r="S1583" s="201">
        <v>39724.32</v>
      </c>
      <c r="T1583" s="201">
        <v>1727.14</v>
      </c>
      <c r="U1583" s="201">
        <f>IF(AND('Mail Merge'!$I1583="Did Not Meet",'Mail Merge'!$N1583="Did Not Meet"),MIN(ABS('Mail Merge'!$H1583),ABS('Mail Merge'!$M1583),'Mail Merge'!$Q1583),0)</f>
        <v>0</v>
      </c>
      <c r="V1583" s="201" t="str">
        <f>IF(OR(IFERROR(SEARCH("Met",'Mail Merge'!$N1583),0)&gt;0,IFERROR(SEARCH("Met",'Mail Merge'!$I1583),0)&gt;0),"Met","Not Met")</f>
        <v>Met</v>
      </c>
    </row>
    <row r="1584" spans="1:22" x14ac:dyDescent="0.35">
      <c r="A1584" s="198" t="s">
        <v>25</v>
      </c>
      <c r="B1584" s="199">
        <v>2115</v>
      </c>
      <c r="C1584" s="199" t="s">
        <v>243</v>
      </c>
      <c r="D1584" s="199">
        <v>0</v>
      </c>
      <c r="E1584" s="199">
        <v>0</v>
      </c>
      <c r="F1584" s="199">
        <v>12484.71</v>
      </c>
      <c r="G1584" s="199">
        <f>'Mail Merge'!$E1584+'Mail Merge'!$F1584</f>
        <v>12484.71</v>
      </c>
      <c r="H1584" s="199">
        <v>0</v>
      </c>
      <c r="I1584" s="199" t="s">
        <v>241</v>
      </c>
      <c r="J1584" s="202">
        <f>IFERROR('Mail Merge'!$E1584/'Mail Merge'!$D1584,0)</f>
        <v>0</v>
      </c>
      <c r="K1584" s="199">
        <f>IFERROR('Mail Merge'!$F1584/'Mail Merge'!$D1584,0)</f>
        <v>0</v>
      </c>
      <c r="L1584" s="203">
        <f>IFERROR('Mail Merge'!$G1584/'Mail Merge'!$D1584,0)</f>
        <v>0</v>
      </c>
      <c r="M1584" s="199">
        <v>0</v>
      </c>
      <c r="N1584" s="199" t="s">
        <v>240</v>
      </c>
      <c r="O1584" s="199">
        <v>3947.43</v>
      </c>
      <c r="P1584" s="199">
        <v>0</v>
      </c>
      <c r="Q1584" s="199">
        <f>'Mail Merge'!$O1584+'Mail Merge'!$P1584</f>
        <v>3947.43</v>
      </c>
      <c r="R1584" s="199"/>
      <c r="S1584" s="199"/>
      <c r="T1584" s="199">
        <v>1250.3499999999999</v>
      </c>
      <c r="U1584" s="199">
        <f>IF(AND('Mail Merge'!$I1584="Did Not Meet",'Mail Merge'!$N1584="Did Not Meet"),MIN(ABS('Mail Merge'!$H1584),ABS('Mail Merge'!$M1584),'Mail Merge'!$Q1584),0)</f>
        <v>0</v>
      </c>
      <c r="V1584" s="199" t="str">
        <f>IF(OR(IFERROR(SEARCH("Met",'Mail Merge'!$N1584),0)&gt;0,IFERROR(SEARCH("Met",'Mail Merge'!$I1584),0)&gt;0),"Met","Not Met")</f>
        <v>Met</v>
      </c>
    </row>
    <row r="1585" spans="1:22" x14ac:dyDescent="0.35">
      <c r="A1585" s="200" t="s">
        <v>26</v>
      </c>
      <c r="B1585" s="201">
        <v>2041</v>
      </c>
      <c r="C1585" s="201" t="s">
        <v>243</v>
      </c>
      <c r="D1585" s="201">
        <v>335</v>
      </c>
      <c r="E1585" s="201">
        <v>2987254.3</v>
      </c>
      <c r="F1585" s="201">
        <v>444841.07</v>
      </c>
      <c r="G1585" s="201">
        <f>'Mail Merge'!$E1585+'Mail Merge'!$F1585</f>
        <v>3432095.3699999996</v>
      </c>
      <c r="H1585" s="201">
        <v>0</v>
      </c>
      <c r="I1585" s="201" t="s">
        <v>241</v>
      </c>
      <c r="J1585" s="204">
        <f>IFERROR('Mail Merge'!$E1585/'Mail Merge'!$D1585,0)</f>
        <v>8917.1770149253734</v>
      </c>
      <c r="K1585" s="201">
        <f>IFERROR('Mail Merge'!$F1585/'Mail Merge'!$D1585,0)</f>
        <v>1327.8837910447762</v>
      </c>
      <c r="L1585" s="205">
        <f>IFERROR('Mail Merge'!$G1585/'Mail Merge'!$D1585,0)</f>
        <v>10245.060805970148</v>
      </c>
      <c r="M1585" s="201">
        <v>0</v>
      </c>
      <c r="N1585" s="201" t="s">
        <v>241</v>
      </c>
      <c r="O1585" s="201">
        <v>505069.55</v>
      </c>
      <c r="P1585" s="201">
        <v>4110.6899999999996</v>
      </c>
      <c r="Q1585" s="201">
        <f>'Mail Merge'!$O1585+'Mail Merge'!$P1585</f>
        <v>509180.24</v>
      </c>
      <c r="R1585" s="201"/>
      <c r="S1585" s="201"/>
      <c r="T1585" s="201"/>
      <c r="U1585" s="201">
        <f>IF(AND('Mail Merge'!$I1585="Did Not Meet",'Mail Merge'!$N1585="Did Not Meet"),MIN(ABS('Mail Merge'!$H1585),ABS('Mail Merge'!$M1585),'Mail Merge'!$Q1585),0)</f>
        <v>0</v>
      </c>
      <c r="V1585" s="201" t="str">
        <f>IF(OR(IFERROR(SEARCH("Met",'Mail Merge'!$N1585),0)&gt;0,IFERROR(SEARCH("Met",'Mail Merge'!$I1585),0)&gt;0),"Met","Not Met")</f>
        <v>Met</v>
      </c>
    </row>
    <row r="1586" spans="1:22" x14ac:dyDescent="0.35">
      <c r="A1586" s="198" t="s">
        <v>27</v>
      </c>
      <c r="B1586" s="199">
        <v>2051</v>
      </c>
      <c r="C1586" s="199" t="s">
        <v>243</v>
      </c>
      <c r="D1586" s="199">
        <v>0</v>
      </c>
      <c r="E1586" s="199">
        <v>0</v>
      </c>
      <c r="F1586" s="199">
        <v>8285.76</v>
      </c>
      <c r="G1586" s="199">
        <f>'Mail Merge'!$E1586+'Mail Merge'!$F1586</f>
        <v>8285.76</v>
      </c>
      <c r="H1586" s="199">
        <v>638.67000000000007</v>
      </c>
      <c r="I1586" s="199" t="s">
        <v>240</v>
      </c>
      <c r="J1586" s="202">
        <f>IFERROR('Mail Merge'!$E1586/'Mail Merge'!$D1586,0)</f>
        <v>0</v>
      </c>
      <c r="K1586" s="199">
        <f>IFERROR('Mail Merge'!$F1586/'Mail Merge'!$D1586,0)</f>
        <v>0</v>
      </c>
      <c r="L1586" s="203">
        <f>IFERROR('Mail Merge'!$G1586/'Mail Merge'!$D1586,0)</f>
        <v>0</v>
      </c>
      <c r="M1586" s="199">
        <v>0</v>
      </c>
      <c r="N1586" s="199" t="s">
        <v>241</v>
      </c>
      <c r="O1586" s="199">
        <v>1011.79</v>
      </c>
      <c r="P1586" s="199">
        <v>0</v>
      </c>
      <c r="Q1586" s="199">
        <f>'Mail Merge'!$O1586+'Mail Merge'!$P1586</f>
        <v>1011.79</v>
      </c>
      <c r="R1586" s="199"/>
      <c r="S1586" s="199">
        <v>0</v>
      </c>
      <c r="T1586" s="199"/>
      <c r="U1586" s="199">
        <f>IF(AND('Mail Merge'!$I1586="Did Not Meet",'Mail Merge'!$N1586="Did Not Meet"),MIN(ABS('Mail Merge'!$H1586),ABS('Mail Merge'!$M1586),'Mail Merge'!$Q1586),0)</f>
        <v>0</v>
      </c>
      <c r="V1586" s="199" t="str">
        <f>IF(OR(IFERROR(SEARCH("Met",'Mail Merge'!$N1586),0)&gt;0,IFERROR(SEARCH("Met",'Mail Merge'!$I1586),0)&gt;0),"Met","Not Met")</f>
        <v>Met</v>
      </c>
    </row>
    <row r="1587" spans="1:22" x14ac:dyDescent="0.35">
      <c r="A1587" s="200" t="s">
        <v>28</v>
      </c>
      <c r="B1587" s="201">
        <v>1933</v>
      </c>
      <c r="C1587" s="201" t="s">
        <v>243</v>
      </c>
      <c r="D1587" s="201">
        <v>248</v>
      </c>
      <c r="E1587" s="201">
        <v>2835850.69</v>
      </c>
      <c r="F1587" s="201">
        <v>550301</v>
      </c>
      <c r="G1587" s="201">
        <f>'Mail Merge'!$E1587+'Mail Merge'!$F1587</f>
        <v>3386151.69</v>
      </c>
      <c r="H1587" s="201">
        <v>0</v>
      </c>
      <c r="I1587" s="201" t="s">
        <v>241</v>
      </c>
      <c r="J1587" s="204">
        <f>IFERROR('Mail Merge'!$E1587/'Mail Merge'!$D1587,0)</f>
        <v>11434.881814516129</v>
      </c>
      <c r="K1587" s="201">
        <f>IFERROR('Mail Merge'!$F1587/'Mail Merge'!$D1587,0)</f>
        <v>2218.9556451612902</v>
      </c>
      <c r="L1587" s="205">
        <f>IFERROR('Mail Merge'!$G1587/'Mail Merge'!$D1587,0)</f>
        <v>13653.837459677419</v>
      </c>
      <c r="M1587" s="201">
        <v>0</v>
      </c>
      <c r="N1587" s="201" t="s">
        <v>241</v>
      </c>
      <c r="O1587" s="201">
        <v>282376.25</v>
      </c>
      <c r="P1587" s="201">
        <v>2679.56</v>
      </c>
      <c r="Q1587" s="201">
        <f>'Mail Merge'!$O1587+'Mail Merge'!$P1587</f>
        <v>285055.81</v>
      </c>
      <c r="R1587" s="201"/>
      <c r="S1587" s="201"/>
      <c r="T1587" s="201"/>
      <c r="U1587" s="201">
        <f>IF(AND('Mail Merge'!$I1587="Did Not Meet",'Mail Merge'!$N1587="Did Not Meet"),MIN(ABS('Mail Merge'!$H1587),ABS('Mail Merge'!$M1587),'Mail Merge'!$Q1587),0)</f>
        <v>0</v>
      </c>
      <c r="V1587" s="201" t="str">
        <f>IF(OR(IFERROR(SEARCH("Met",'Mail Merge'!$N1587),0)&gt;0,IFERROR(SEARCH("Met",'Mail Merge'!$I1587),0)&gt;0),"Met","Not Met")</f>
        <v>Met</v>
      </c>
    </row>
    <row r="1588" spans="1:22" x14ac:dyDescent="0.35">
      <c r="A1588" s="198" t="s">
        <v>29</v>
      </c>
      <c r="B1588" s="199">
        <v>2208</v>
      </c>
      <c r="C1588" s="199" t="s">
        <v>243</v>
      </c>
      <c r="D1588" s="199">
        <v>83</v>
      </c>
      <c r="E1588" s="199">
        <v>397470.69</v>
      </c>
      <c r="F1588" s="199">
        <v>141072.57</v>
      </c>
      <c r="G1588" s="199">
        <f>'Mail Merge'!$E1588+'Mail Merge'!$F1588</f>
        <v>538543.26</v>
      </c>
      <c r="H1588" s="199">
        <v>0</v>
      </c>
      <c r="I1588" s="199" t="s">
        <v>241</v>
      </c>
      <c r="J1588" s="202">
        <f>IFERROR('Mail Merge'!$E1588/'Mail Merge'!$D1588,0)</f>
        <v>4788.8034939759036</v>
      </c>
      <c r="K1588" s="199">
        <f>IFERROR('Mail Merge'!$F1588/'Mail Merge'!$D1588,0)</f>
        <v>1699.6695180722893</v>
      </c>
      <c r="L1588" s="203">
        <f>IFERROR('Mail Merge'!$G1588/'Mail Merge'!$D1588,0)</f>
        <v>6488.4730120481927</v>
      </c>
      <c r="M1588" s="199">
        <v>0</v>
      </c>
      <c r="N1588" s="199" t="s">
        <v>241</v>
      </c>
      <c r="O1588" s="199">
        <v>103754.86</v>
      </c>
      <c r="P1588" s="199">
        <v>4019.34</v>
      </c>
      <c r="Q1588" s="199">
        <f>'Mail Merge'!$O1588+'Mail Merge'!$P1588</f>
        <v>107774.2</v>
      </c>
      <c r="R1588" s="199"/>
      <c r="S1588" s="199"/>
      <c r="T1588" s="199"/>
      <c r="U1588" s="199">
        <f>IF(AND('Mail Merge'!$I1588="Did Not Meet",'Mail Merge'!$N1588="Did Not Meet"),MIN(ABS('Mail Merge'!$H1588),ABS('Mail Merge'!$M1588),'Mail Merge'!$Q1588),0)</f>
        <v>0</v>
      </c>
      <c r="V1588" s="199" t="str">
        <f>IF(OR(IFERROR(SEARCH("Met",'Mail Merge'!$N1588),0)&gt;0,IFERROR(SEARCH("Met",'Mail Merge'!$I1588),0)&gt;0),"Met","Not Met")</f>
        <v>Met</v>
      </c>
    </row>
    <row r="1589" spans="1:22" x14ac:dyDescent="0.35">
      <c r="A1589" s="200" t="s">
        <v>30</v>
      </c>
      <c r="B1589" s="201">
        <v>1894</v>
      </c>
      <c r="C1589" s="201" t="s">
        <v>243</v>
      </c>
      <c r="D1589" s="201">
        <v>472</v>
      </c>
      <c r="E1589" s="201">
        <v>2706876.93</v>
      </c>
      <c r="F1589" s="201">
        <v>0</v>
      </c>
      <c r="G1589" s="201">
        <f>'Mail Merge'!$E1589+'Mail Merge'!$F1589</f>
        <v>2706876.93</v>
      </c>
      <c r="H1589" s="201">
        <v>0</v>
      </c>
      <c r="I1589" s="201" t="s">
        <v>241</v>
      </c>
      <c r="J1589" s="204">
        <f>IFERROR('Mail Merge'!$E1589/'Mail Merge'!$D1589,0)</f>
        <v>5734.9087500000005</v>
      </c>
      <c r="K1589" s="201">
        <f>IFERROR('Mail Merge'!$F1589/'Mail Merge'!$D1589,0)</f>
        <v>0</v>
      </c>
      <c r="L1589" s="205">
        <f>IFERROR('Mail Merge'!$G1589/'Mail Merge'!$D1589,0)</f>
        <v>5734.9087500000005</v>
      </c>
      <c r="M1589" s="201">
        <v>915304.56893238449</v>
      </c>
      <c r="N1589" s="201" t="s">
        <v>240</v>
      </c>
      <c r="O1589" s="201">
        <v>561718.03</v>
      </c>
      <c r="P1589" s="201">
        <v>6968.32</v>
      </c>
      <c r="Q1589" s="201">
        <f>'Mail Merge'!$O1589+'Mail Merge'!$P1589</f>
        <v>568686.35</v>
      </c>
      <c r="R1589" s="201"/>
      <c r="S1589" s="201"/>
      <c r="T1589" s="201">
        <v>0</v>
      </c>
      <c r="U1589" s="201">
        <f>IF(AND('Mail Merge'!$I1589="Did Not Meet",'Mail Merge'!$N1589="Did Not Meet"),MIN(ABS('Mail Merge'!$H1589),ABS('Mail Merge'!$M1589),'Mail Merge'!$Q1589),0)</f>
        <v>0</v>
      </c>
      <c r="V1589" s="201" t="str">
        <f>IF(OR(IFERROR(SEARCH("Met",'Mail Merge'!$N1589),0)&gt;0,IFERROR(SEARCH("Met",'Mail Merge'!$I1589),0)&gt;0),"Met","Not Met")</f>
        <v>Met</v>
      </c>
    </row>
    <row r="1590" spans="1:22" x14ac:dyDescent="0.35">
      <c r="A1590" s="198" t="s">
        <v>32</v>
      </c>
      <c r="B1590" s="199">
        <v>1969</v>
      </c>
      <c r="C1590" s="199" t="s">
        <v>243</v>
      </c>
      <c r="D1590" s="199">
        <v>94</v>
      </c>
      <c r="E1590" s="199">
        <v>1258033.73</v>
      </c>
      <c r="F1590" s="199">
        <v>302608.64000000001</v>
      </c>
      <c r="G1590" s="199">
        <f>'Mail Merge'!$E1590+'Mail Merge'!$F1590</f>
        <v>1560642.37</v>
      </c>
      <c r="H1590" s="199">
        <v>0</v>
      </c>
      <c r="I1590" s="199" t="s">
        <v>241</v>
      </c>
      <c r="J1590" s="202">
        <f>IFERROR('Mail Merge'!$E1590/'Mail Merge'!$D1590,0)</f>
        <v>13383.33755319149</v>
      </c>
      <c r="K1590" s="199">
        <f>IFERROR('Mail Merge'!$F1590/'Mail Merge'!$D1590,0)</f>
        <v>3219.2408510638297</v>
      </c>
      <c r="L1590" s="203">
        <f>IFERROR('Mail Merge'!$G1590/'Mail Merge'!$D1590,0)</f>
        <v>16602.57840425532</v>
      </c>
      <c r="M1590" s="199">
        <v>0</v>
      </c>
      <c r="N1590" s="199" t="s">
        <v>241</v>
      </c>
      <c r="O1590" s="199">
        <v>141435.82</v>
      </c>
      <c r="P1590" s="199">
        <v>1228.1300000000001</v>
      </c>
      <c r="Q1590" s="199">
        <f>'Mail Merge'!$O1590+'Mail Merge'!$P1590</f>
        <v>142663.95000000001</v>
      </c>
      <c r="R1590" s="199"/>
      <c r="S1590" s="199"/>
      <c r="T1590" s="199"/>
      <c r="U1590" s="199">
        <f>IF(AND('Mail Merge'!$I1590="Did Not Meet",'Mail Merge'!$N1590="Did Not Meet"),MIN(ABS('Mail Merge'!$H1590),ABS('Mail Merge'!$M1590),'Mail Merge'!$Q1590),0)</f>
        <v>0</v>
      </c>
      <c r="V1590" s="199" t="str">
        <f>IF(OR(IFERROR(SEARCH("Met",'Mail Merge'!$N1590),0)&gt;0,IFERROR(SEARCH("Met",'Mail Merge'!$I1590),0)&gt;0),"Met","Not Met")</f>
        <v>Met</v>
      </c>
    </row>
    <row r="1591" spans="1:22" x14ac:dyDescent="0.35">
      <c r="A1591" s="200" t="s">
        <v>33</v>
      </c>
      <c r="B1591" s="201">
        <v>2240</v>
      </c>
      <c r="C1591" s="201" t="s">
        <v>243</v>
      </c>
      <c r="D1591" s="201">
        <v>150</v>
      </c>
      <c r="E1591" s="201">
        <v>1575407.62</v>
      </c>
      <c r="F1591" s="201">
        <v>399767</v>
      </c>
      <c r="G1591" s="201">
        <f>'Mail Merge'!$E1591+'Mail Merge'!$F1591</f>
        <v>1975174.62</v>
      </c>
      <c r="H1591" s="201">
        <v>0</v>
      </c>
      <c r="I1591" s="201" t="s">
        <v>242</v>
      </c>
      <c r="J1591" s="204">
        <f>IFERROR('Mail Merge'!$E1591/'Mail Merge'!$D1591,0)</f>
        <v>10502.717466666667</v>
      </c>
      <c r="K1591" s="201">
        <f>IFERROR('Mail Merge'!$F1591/'Mail Merge'!$D1591,0)</f>
        <v>2665.1133333333332</v>
      </c>
      <c r="L1591" s="205">
        <f>IFERROR('Mail Merge'!$G1591/'Mail Merge'!$D1591,0)</f>
        <v>13167.830800000002</v>
      </c>
      <c r="M1591" s="201">
        <v>0</v>
      </c>
      <c r="N1591" s="201" t="s">
        <v>241</v>
      </c>
      <c r="O1591" s="201">
        <v>181256.58</v>
      </c>
      <c r="P1591" s="201">
        <v>753.63</v>
      </c>
      <c r="Q1591" s="201">
        <f>'Mail Merge'!$O1591+'Mail Merge'!$P1591</f>
        <v>182010.21</v>
      </c>
      <c r="R1591" s="201"/>
      <c r="S1591" s="201">
        <v>186722.72</v>
      </c>
      <c r="T1591" s="201"/>
      <c r="U1591" s="201">
        <f>IF(AND('Mail Merge'!$I1591="Did Not Meet",'Mail Merge'!$N1591="Did Not Meet"),MIN(ABS('Mail Merge'!$H1591),ABS('Mail Merge'!$M1591),'Mail Merge'!$Q1591),0)</f>
        <v>0</v>
      </c>
      <c r="V1591" s="201" t="str">
        <f>IF(OR(IFERROR(SEARCH("Met",'Mail Merge'!$N1591),0)&gt;0,IFERROR(SEARCH("Met",'Mail Merge'!$I1591),0)&gt;0),"Met","Not Met")</f>
        <v>Met</v>
      </c>
    </row>
    <row r="1592" spans="1:22" x14ac:dyDescent="0.35">
      <c r="A1592" s="198" t="s">
        <v>34</v>
      </c>
      <c r="B1592" s="199">
        <v>2243</v>
      </c>
      <c r="C1592" s="199" t="s">
        <v>243</v>
      </c>
      <c r="D1592" s="199">
        <v>5021</v>
      </c>
      <c r="E1592" s="199">
        <v>58050808.439999998</v>
      </c>
      <c r="F1592" s="199">
        <v>4648500</v>
      </c>
      <c r="G1592" s="199">
        <f>'Mail Merge'!$E1592+'Mail Merge'!$F1592</f>
        <v>62699308.439999998</v>
      </c>
      <c r="H1592" s="199">
        <v>0</v>
      </c>
      <c r="I1592" s="199" t="s">
        <v>241</v>
      </c>
      <c r="J1592" s="202">
        <f>IFERROR('Mail Merge'!$E1592/'Mail Merge'!$D1592,0)</f>
        <v>11561.602955586535</v>
      </c>
      <c r="K1592" s="199">
        <f>IFERROR('Mail Merge'!$F1592/'Mail Merge'!$D1592,0)</f>
        <v>925.81159131647087</v>
      </c>
      <c r="L1592" s="203">
        <f>IFERROR('Mail Merge'!$G1592/'Mail Merge'!$D1592,0)</f>
        <v>12487.414546903006</v>
      </c>
      <c r="M1592" s="199">
        <v>0</v>
      </c>
      <c r="N1592" s="199" t="s">
        <v>241</v>
      </c>
      <c r="O1592" s="199">
        <v>6899285.0499999998</v>
      </c>
      <c r="P1592" s="199">
        <v>26003.25</v>
      </c>
      <c r="Q1592" s="199">
        <f>'Mail Merge'!$O1592+'Mail Merge'!$P1592</f>
        <v>6925288.2999999998</v>
      </c>
      <c r="R1592" s="199"/>
      <c r="S1592" s="199"/>
      <c r="T1592" s="199"/>
      <c r="U1592" s="199">
        <f>IF(AND('Mail Merge'!$I1592="Did Not Meet",'Mail Merge'!$N1592="Did Not Meet"),MIN(ABS('Mail Merge'!$H1592),ABS('Mail Merge'!$M1592),'Mail Merge'!$Q1592),0)</f>
        <v>0</v>
      </c>
      <c r="V1592" s="199" t="str">
        <f>IF(OR(IFERROR(SEARCH("Met",'Mail Merge'!$N1592),0)&gt;0,IFERROR(SEARCH("Met",'Mail Merge'!$I1592),0)&gt;0),"Met","Not Met")</f>
        <v>Met</v>
      </c>
    </row>
    <row r="1593" spans="1:22" x14ac:dyDescent="0.35">
      <c r="A1593" s="200" t="s">
        <v>35</v>
      </c>
      <c r="B1593" s="201">
        <v>1976</v>
      </c>
      <c r="C1593" s="201" t="s">
        <v>243</v>
      </c>
      <c r="D1593" s="201">
        <v>1856</v>
      </c>
      <c r="E1593" s="201">
        <v>21314311.48</v>
      </c>
      <c r="F1593" s="201">
        <v>2967141.53</v>
      </c>
      <c r="G1593" s="201">
        <f>'Mail Merge'!$E1593+'Mail Merge'!$F1593</f>
        <v>24281453.010000002</v>
      </c>
      <c r="H1593" s="201">
        <v>0</v>
      </c>
      <c r="I1593" s="201" t="s">
        <v>241</v>
      </c>
      <c r="J1593" s="204">
        <f>IFERROR('Mail Merge'!$E1593/'Mail Merge'!$D1593,0)</f>
        <v>11484.004030172415</v>
      </c>
      <c r="K1593" s="201">
        <f>IFERROR('Mail Merge'!$F1593/'Mail Merge'!$D1593,0)</f>
        <v>1598.6753933189655</v>
      </c>
      <c r="L1593" s="205">
        <f>IFERROR('Mail Merge'!$G1593/'Mail Merge'!$D1593,0)</f>
        <v>13082.67942349138</v>
      </c>
      <c r="M1593" s="201">
        <v>0</v>
      </c>
      <c r="N1593" s="201" t="s">
        <v>241</v>
      </c>
      <c r="O1593" s="201">
        <v>2748481.94</v>
      </c>
      <c r="P1593" s="201">
        <v>12855.52</v>
      </c>
      <c r="Q1593" s="201">
        <f>'Mail Merge'!$O1593+'Mail Merge'!$P1593</f>
        <v>2761337.46</v>
      </c>
      <c r="R1593" s="201"/>
      <c r="S1593" s="201"/>
      <c r="T1593" s="201"/>
      <c r="U1593" s="201">
        <f>IF(AND('Mail Merge'!$I1593="Did Not Meet",'Mail Merge'!$N1593="Did Not Meet"),MIN(ABS('Mail Merge'!$H1593),ABS('Mail Merge'!$M1593),'Mail Merge'!$Q1593),0)</f>
        <v>0</v>
      </c>
      <c r="V1593" s="201" t="str">
        <f>IF(OR(IFERROR(SEARCH("Met",'Mail Merge'!$N1593),0)&gt;0,IFERROR(SEARCH("Met",'Mail Merge'!$I1593),0)&gt;0),"Met","Not Met")</f>
        <v>Met</v>
      </c>
    </row>
    <row r="1594" spans="1:22" x14ac:dyDescent="0.35">
      <c r="A1594" s="198" t="s">
        <v>36</v>
      </c>
      <c r="B1594" s="199">
        <v>2088</v>
      </c>
      <c r="C1594" s="199" t="s">
        <v>243</v>
      </c>
      <c r="D1594" s="199">
        <v>1013</v>
      </c>
      <c r="E1594" s="199">
        <v>10462834.85</v>
      </c>
      <c r="F1594" s="199">
        <v>878002</v>
      </c>
      <c r="G1594" s="199">
        <f>'Mail Merge'!$E1594+'Mail Merge'!$F1594</f>
        <v>11340836.85</v>
      </c>
      <c r="H1594" s="199">
        <v>0</v>
      </c>
      <c r="I1594" s="199" t="s">
        <v>241</v>
      </c>
      <c r="J1594" s="202">
        <f>IFERROR('Mail Merge'!$E1594/'Mail Merge'!$D1594,0)</f>
        <v>10328.563524185587</v>
      </c>
      <c r="K1594" s="199">
        <f>IFERROR('Mail Merge'!$F1594/'Mail Merge'!$D1594,0)</f>
        <v>866.7344521224087</v>
      </c>
      <c r="L1594" s="203">
        <f>IFERROR('Mail Merge'!$G1594/'Mail Merge'!$D1594,0)</f>
        <v>11195.297976307997</v>
      </c>
      <c r="M1594" s="199">
        <v>0</v>
      </c>
      <c r="N1594" s="199" t="s">
        <v>241</v>
      </c>
      <c r="O1594" s="199">
        <v>978849.08</v>
      </c>
      <c r="P1594" s="199">
        <v>6874.55</v>
      </c>
      <c r="Q1594" s="199">
        <f>'Mail Merge'!$O1594+'Mail Merge'!$P1594</f>
        <v>985723.63</v>
      </c>
      <c r="R1594" s="199"/>
      <c r="S1594" s="199"/>
      <c r="T1594" s="199"/>
      <c r="U1594" s="199">
        <f>IF(AND('Mail Merge'!$I1594="Did Not Meet",'Mail Merge'!$N1594="Did Not Meet"),MIN(ABS('Mail Merge'!$H1594),ABS('Mail Merge'!$M1594),'Mail Merge'!$Q1594),0)</f>
        <v>0</v>
      </c>
      <c r="V1594" s="199" t="str">
        <f>IF(OR(IFERROR(SEARCH("Met",'Mail Merge'!$N1594),0)&gt;0,IFERROR(SEARCH("Met",'Mail Merge'!$I1594),0)&gt;0),"Met","Not Met")</f>
        <v>Met</v>
      </c>
    </row>
    <row r="1595" spans="1:22" x14ac:dyDescent="0.35">
      <c r="A1595" s="200" t="s">
        <v>37</v>
      </c>
      <c r="B1595" s="201">
        <v>2095</v>
      </c>
      <c r="C1595" s="201" t="s">
        <v>243</v>
      </c>
      <c r="D1595" s="201">
        <v>53</v>
      </c>
      <c r="E1595" s="201">
        <v>337586.76</v>
      </c>
      <c r="F1595" s="201">
        <v>81055</v>
      </c>
      <c r="G1595" s="201">
        <f>'Mail Merge'!$E1595+'Mail Merge'!$F1595</f>
        <v>418641.76</v>
      </c>
      <c r="H1595" s="201">
        <v>0</v>
      </c>
      <c r="I1595" s="201" t="s">
        <v>241</v>
      </c>
      <c r="J1595" s="204">
        <f>IFERROR('Mail Merge'!$E1595/'Mail Merge'!$D1595,0)</f>
        <v>6369.5615094339628</v>
      </c>
      <c r="K1595" s="201">
        <f>IFERROR('Mail Merge'!$F1595/'Mail Merge'!$D1595,0)</f>
        <v>1529.3396226415093</v>
      </c>
      <c r="L1595" s="205">
        <f>IFERROR('Mail Merge'!$G1595/'Mail Merge'!$D1595,0)</f>
        <v>7898.9011320754717</v>
      </c>
      <c r="M1595" s="201">
        <v>94371.481162790631</v>
      </c>
      <c r="N1595" s="201" t="s">
        <v>240</v>
      </c>
      <c r="O1595" s="201">
        <v>44408.23</v>
      </c>
      <c r="P1595" s="201">
        <v>334.95</v>
      </c>
      <c r="Q1595" s="201">
        <f>'Mail Merge'!$O1595+'Mail Merge'!$P1595</f>
        <v>44743.18</v>
      </c>
      <c r="R1595" s="201"/>
      <c r="S1595" s="201"/>
      <c r="T1595" s="201">
        <v>0</v>
      </c>
      <c r="U1595" s="201">
        <f>IF(AND('Mail Merge'!$I1595="Did Not Meet",'Mail Merge'!$N1595="Did Not Meet"),MIN(ABS('Mail Merge'!$H1595),ABS('Mail Merge'!$M1595),'Mail Merge'!$Q1595),0)</f>
        <v>0</v>
      </c>
      <c r="V1595" s="201" t="str">
        <f>IF(OR(IFERROR(SEARCH("Met",'Mail Merge'!$N1595),0)&gt;0,IFERROR(SEARCH("Met",'Mail Merge'!$I1595),0)&gt;0),"Met","Not Met")</f>
        <v>Met</v>
      </c>
    </row>
    <row r="1596" spans="1:22" x14ac:dyDescent="0.35">
      <c r="A1596" s="198" t="s">
        <v>38</v>
      </c>
      <c r="B1596" s="199">
        <v>2052</v>
      </c>
      <c r="C1596" s="199" t="s">
        <v>243</v>
      </c>
      <c r="D1596" s="199">
        <v>2</v>
      </c>
      <c r="E1596" s="199">
        <v>0</v>
      </c>
      <c r="F1596" s="199">
        <v>15414.07</v>
      </c>
      <c r="G1596" s="199">
        <f>'Mail Merge'!$E1596+'Mail Merge'!$F1596</f>
        <v>15414.07</v>
      </c>
      <c r="H1596" s="199">
        <v>2364.3199999999997</v>
      </c>
      <c r="I1596" s="199" t="s">
        <v>240</v>
      </c>
      <c r="J1596" s="202">
        <f>IFERROR('Mail Merge'!$E1596/'Mail Merge'!$D1596,0)</f>
        <v>0</v>
      </c>
      <c r="K1596" s="199">
        <f>IFERROR('Mail Merge'!$F1596/'Mail Merge'!$D1596,0)</f>
        <v>7707.0349999999999</v>
      </c>
      <c r="L1596" s="203">
        <f>IFERROR('Mail Merge'!$G1596/'Mail Merge'!$D1596,0)</f>
        <v>7707.0349999999999</v>
      </c>
      <c r="M1596" s="199">
        <v>2364.3199999999997</v>
      </c>
      <c r="N1596" s="199" t="s">
        <v>240</v>
      </c>
      <c r="O1596" s="199">
        <v>3896.88</v>
      </c>
      <c r="P1596" s="199">
        <v>0</v>
      </c>
      <c r="Q1596" s="199">
        <f>'Mail Merge'!$O1596+'Mail Merge'!$P1596</f>
        <v>3896.88</v>
      </c>
      <c r="R1596" s="199"/>
      <c r="S1596" s="199">
        <v>0</v>
      </c>
      <c r="T1596" s="199">
        <v>0</v>
      </c>
      <c r="U1596" s="199">
        <f>IF(AND('Mail Merge'!$I1596="Did Not Meet",'Mail Merge'!$N1596="Did Not Meet"),MIN(ABS('Mail Merge'!$H1596),ABS('Mail Merge'!$M1596),'Mail Merge'!$Q1596),0)</f>
        <v>2364.3199999999997</v>
      </c>
      <c r="V1596" s="199" t="str">
        <f>IF(OR(IFERROR(SEARCH("Met",'Mail Merge'!$N1596),0)&gt;0,IFERROR(SEARCH("Met",'Mail Merge'!$I1596),0)&gt;0),"Met","Not Met")</f>
        <v>Not Met</v>
      </c>
    </row>
    <row r="1597" spans="1:22" x14ac:dyDescent="0.35">
      <c r="A1597" s="200" t="s">
        <v>39</v>
      </c>
      <c r="B1597" s="201">
        <v>1974</v>
      </c>
      <c r="C1597" s="201" t="s">
        <v>243</v>
      </c>
      <c r="D1597" s="201">
        <v>215</v>
      </c>
      <c r="E1597" s="201">
        <v>2300611.12</v>
      </c>
      <c r="F1597" s="201">
        <v>16315.49</v>
      </c>
      <c r="G1597" s="201">
        <f>'Mail Merge'!$E1597+'Mail Merge'!$F1597</f>
        <v>2316926.6100000003</v>
      </c>
      <c r="H1597" s="201">
        <v>0</v>
      </c>
      <c r="I1597" s="201" t="s">
        <v>241</v>
      </c>
      <c r="J1597" s="204">
        <f>IFERROR('Mail Merge'!$E1597/'Mail Merge'!$D1597,0)</f>
        <v>10700.516837209303</v>
      </c>
      <c r="K1597" s="201">
        <f>IFERROR('Mail Merge'!$F1597/'Mail Merge'!$D1597,0)</f>
        <v>75.885999999999996</v>
      </c>
      <c r="L1597" s="205">
        <f>IFERROR('Mail Merge'!$G1597/'Mail Merge'!$D1597,0)</f>
        <v>10776.402837209303</v>
      </c>
      <c r="M1597" s="201">
        <v>0</v>
      </c>
      <c r="N1597" s="201" t="s">
        <v>241</v>
      </c>
      <c r="O1597" s="201">
        <v>299682.37</v>
      </c>
      <c r="P1597" s="201">
        <v>3167.42</v>
      </c>
      <c r="Q1597" s="201">
        <f>'Mail Merge'!$O1597+'Mail Merge'!$P1597</f>
        <v>302849.78999999998</v>
      </c>
      <c r="R1597" s="201"/>
      <c r="S1597" s="201"/>
      <c r="T1597" s="201"/>
      <c r="U1597" s="201">
        <f>IF(AND('Mail Merge'!$I1597="Did Not Meet",'Mail Merge'!$N1597="Did Not Meet"),MIN(ABS('Mail Merge'!$H1597),ABS('Mail Merge'!$M1597),'Mail Merge'!$Q1597),0)</f>
        <v>0</v>
      </c>
      <c r="V1597" s="201" t="str">
        <f>IF(OR(IFERROR(SEARCH("Met",'Mail Merge'!$N1597),0)&gt;0,IFERROR(SEARCH("Met",'Mail Merge'!$I1597),0)&gt;0),"Met","Not Met")</f>
        <v>Met</v>
      </c>
    </row>
    <row r="1598" spans="1:22" x14ac:dyDescent="0.35">
      <c r="A1598" s="198" t="s">
        <v>40</v>
      </c>
      <c r="B1598" s="199">
        <v>1896</v>
      </c>
      <c r="C1598" s="199" t="s">
        <v>243</v>
      </c>
      <c r="D1598" s="199">
        <v>10</v>
      </c>
      <c r="E1598" s="199">
        <v>45165</v>
      </c>
      <c r="F1598" s="199">
        <v>15377.57</v>
      </c>
      <c r="G1598" s="199">
        <f>'Mail Merge'!$E1598+'Mail Merge'!$F1598</f>
        <v>60542.57</v>
      </c>
      <c r="H1598" s="199">
        <v>871.09999999999854</v>
      </c>
      <c r="I1598" s="199" t="s">
        <v>240</v>
      </c>
      <c r="J1598" s="202">
        <f>IFERROR('Mail Merge'!$E1598/'Mail Merge'!$D1598,0)</f>
        <v>4516.5</v>
      </c>
      <c r="K1598" s="199">
        <f>IFERROR('Mail Merge'!$F1598/'Mail Merge'!$D1598,0)</f>
        <v>1537.7570000000001</v>
      </c>
      <c r="L1598" s="203">
        <f>IFERROR('Mail Merge'!$G1598/'Mail Merge'!$D1598,0)</f>
        <v>6054.2569999999996</v>
      </c>
      <c r="M1598" s="199">
        <v>550944.7300000001</v>
      </c>
      <c r="N1598" s="199" t="s">
        <v>240</v>
      </c>
      <c r="O1598" s="199">
        <v>13383.31</v>
      </c>
      <c r="P1598" s="199">
        <v>0</v>
      </c>
      <c r="Q1598" s="199">
        <f>'Mail Merge'!$O1598+'Mail Merge'!$P1598</f>
        <v>13383.31</v>
      </c>
      <c r="R1598" s="199"/>
      <c r="S1598" s="199">
        <v>0</v>
      </c>
      <c r="T1598" s="199">
        <v>0</v>
      </c>
      <c r="U1598" s="199">
        <f>IF(AND('Mail Merge'!$I1598="Did Not Meet",'Mail Merge'!$N1598="Did Not Meet"),MIN(ABS('Mail Merge'!$H1598),ABS('Mail Merge'!$M1598),'Mail Merge'!$Q1598),0)</f>
        <v>871.09999999999854</v>
      </c>
      <c r="V1598" s="199" t="str">
        <f>IF(OR(IFERROR(SEARCH("Met",'Mail Merge'!$N1598),0)&gt;0,IFERROR(SEARCH("Met",'Mail Merge'!$I1598),0)&gt;0),"Met","Not Met")</f>
        <v>Not Met</v>
      </c>
    </row>
    <row r="1599" spans="1:22" x14ac:dyDescent="0.35">
      <c r="A1599" s="200" t="s">
        <v>42</v>
      </c>
      <c r="B1599" s="201">
        <v>2046</v>
      </c>
      <c r="C1599" s="201" t="s">
        <v>243</v>
      </c>
      <c r="D1599" s="201">
        <v>54</v>
      </c>
      <c r="E1599" s="201">
        <v>319287.23</v>
      </c>
      <c r="F1599" s="201">
        <v>83455.66</v>
      </c>
      <c r="G1599" s="201">
        <f>'Mail Merge'!$E1599+'Mail Merge'!$F1599</f>
        <v>402742.89</v>
      </c>
      <c r="H1599" s="201">
        <v>0</v>
      </c>
      <c r="I1599" s="201" t="s">
        <v>241</v>
      </c>
      <c r="J1599" s="204">
        <f>IFERROR('Mail Merge'!$E1599/'Mail Merge'!$D1599,0)</f>
        <v>5912.7264814814807</v>
      </c>
      <c r="K1599" s="201">
        <f>IFERROR('Mail Merge'!$F1599/'Mail Merge'!$D1599,0)</f>
        <v>1545.4751851851852</v>
      </c>
      <c r="L1599" s="205">
        <f>IFERROR('Mail Merge'!$G1599/'Mail Merge'!$D1599,0)</f>
        <v>7458.2016666666668</v>
      </c>
      <c r="M1599" s="201">
        <v>124788.37864864887</v>
      </c>
      <c r="N1599" s="201" t="s">
        <v>240</v>
      </c>
      <c r="O1599" s="201">
        <v>33772.5</v>
      </c>
      <c r="P1599" s="201">
        <v>334.95</v>
      </c>
      <c r="Q1599" s="201">
        <f>'Mail Merge'!$O1599+'Mail Merge'!$P1599</f>
        <v>34107.449999999997</v>
      </c>
      <c r="R1599" s="201"/>
      <c r="S1599" s="201"/>
      <c r="T1599" s="201">
        <v>0</v>
      </c>
      <c r="U1599" s="201">
        <f>IF(AND('Mail Merge'!$I1599="Did Not Meet",'Mail Merge'!$N1599="Did Not Meet"),MIN(ABS('Mail Merge'!$H1599),ABS('Mail Merge'!$M1599),'Mail Merge'!$Q1599),0)</f>
        <v>0</v>
      </c>
      <c r="V1599" s="201" t="str">
        <f>IF(OR(IFERROR(SEARCH("Met",'Mail Merge'!$N1599),0)&gt;0,IFERROR(SEARCH("Met",'Mail Merge'!$I1599),0)&gt;0),"Met","Not Met")</f>
        <v>Met</v>
      </c>
    </row>
    <row r="1600" spans="1:22" x14ac:dyDescent="0.35">
      <c r="A1600" s="198" t="s">
        <v>43</v>
      </c>
      <c r="B1600" s="199">
        <v>1995</v>
      </c>
      <c r="C1600" s="199" t="s">
        <v>243</v>
      </c>
      <c r="D1600" s="199">
        <v>40</v>
      </c>
      <c r="E1600" s="199">
        <v>199302.24</v>
      </c>
      <c r="F1600" s="199">
        <v>32387.360000000001</v>
      </c>
      <c r="G1600" s="199">
        <f>'Mail Merge'!$E1600+'Mail Merge'!$F1600</f>
        <v>231689.59999999998</v>
      </c>
      <c r="H1600" s="199">
        <v>13020.390000000014</v>
      </c>
      <c r="I1600" s="199" t="s">
        <v>240</v>
      </c>
      <c r="J1600" s="202">
        <f>IFERROR('Mail Merge'!$E1600/'Mail Merge'!$D1600,0)</f>
        <v>4982.5559999999996</v>
      </c>
      <c r="K1600" s="199">
        <f>IFERROR('Mail Merge'!$F1600/'Mail Merge'!$D1600,0)</f>
        <v>809.68399999999997</v>
      </c>
      <c r="L1600" s="203">
        <f>IFERROR('Mail Merge'!$G1600/'Mail Merge'!$D1600,0)</f>
        <v>5792.24</v>
      </c>
      <c r="M1600" s="199">
        <v>84065.225806451606</v>
      </c>
      <c r="N1600" s="199" t="s">
        <v>240</v>
      </c>
      <c r="O1600" s="199">
        <v>45426.35</v>
      </c>
      <c r="P1600" s="199">
        <v>0</v>
      </c>
      <c r="Q1600" s="199">
        <f>'Mail Merge'!$O1600+'Mail Merge'!$P1600</f>
        <v>45426.35</v>
      </c>
      <c r="R1600" s="199"/>
      <c r="S1600" s="199">
        <v>0</v>
      </c>
      <c r="T1600" s="199">
        <v>0</v>
      </c>
      <c r="U1600" s="199">
        <f>IF(AND('Mail Merge'!$I1600="Did Not Meet",'Mail Merge'!$N1600="Did Not Meet"),MIN(ABS('Mail Merge'!$H1600),ABS('Mail Merge'!$M1600),'Mail Merge'!$Q1600),0)</f>
        <v>13020.390000000014</v>
      </c>
      <c r="V1600" s="199" t="str">
        <f>IF(OR(IFERROR(SEARCH("Met",'Mail Merge'!$N1600),0)&gt;0,IFERROR(SEARCH("Met",'Mail Merge'!$I1600),0)&gt;0),"Met","Not Met")</f>
        <v>Not Met</v>
      </c>
    </row>
    <row r="1601" spans="1:22" x14ac:dyDescent="0.35">
      <c r="A1601" s="200" t="s">
        <v>44</v>
      </c>
      <c r="B1601" s="201">
        <v>1929</v>
      </c>
      <c r="C1601" s="201" t="s">
        <v>243</v>
      </c>
      <c r="D1601" s="201">
        <v>583</v>
      </c>
      <c r="E1601" s="201">
        <v>6761163.1399999997</v>
      </c>
      <c r="F1601" s="201">
        <v>595678</v>
      </c>
      <c r="G1601" s="201">
        <f>'Mail Merge'!$E1601+'Mail Merge'!$F1601</f>
        <v>7356841.1399999997</v>
      </c>
      <c r="H1601" s="201">
        <v>0</v>
      </c>
      <c r="I1601" s="201" t="s">
        <v>241</v>
      </c>
      <c r="J1601" s="204">
        <f>IFERROR('Mail Merge'!$E1601/'Mail Merge'!$D1601,0)</f>
        <v>11597.192349914236</v>
      </c>
      <c r="K1601" s="201">
        <f>IFERROR('Mail Merge'!$F1601/'Mail Merge'!$D1601,0)</f>
        <v>1021.7461406518011</v>
      </c>
      <c r="L1601" s="205">
        <f>IFERROR('Mail Merge'!$G1601/'Mail Merge'!$D1601,0)</f>
        <v>12618.938490566037</v>
      </c>
      <c r="M1601" s="201">
        <v>0</v>
      </c>
      <c r="N1601" s="201" t="s">
        <v>241</v>
      </c>
      <c r="O1601" s="201">
        <v>770137.43</v>
      </c>
      <c r="P1601" s="201">
        <v>5024.18</v>
      </c>
      <c r="Q1601" s="201">
        <f>'Mail Merge'!$O1601+'Mail Merge'!$P1601</f>
        <v>775161.6100000001</v>
      </c>
      <c r="R1601" s="201"/>
      <c r="S1601" s="201"/>
      <c r="T1601" s="201"/>
      <c r="U1601" s="201">
        <f>IF(AND('Mail Merge'!$I1601="Did Not Meet",'Mail Merge'!$N1601="Did Not Meet"),MIN(ABS('Mail Merge'!$H1601),ABS('Mail Merge'!$M1601),'Mail Merge'!$Q1601),0)</f>
        <v>0</v>
      </c>
      <c r="V1601" s="201" t="str">
        <f>IF(OR(IFERROR(SEARCH("Met",'Mail Merge'!$N1601),0)&gt;0,IFERROR(SEARCH("Met",'Mail Merge'!$I1601),0)&gt;0),"Met","Not Met")</f>
        <v>Met</v>
      </c>
    </row>
    <row r="1602" spans="1:22" x14ac:dyDescent="0.35">
      <c r="A1602" s="198" t="s">
        <v>45</v>
      </c>
      <c r="B1602" s="199">
        <v>2139</v>
      </c>
      <c r="C1602" s="199" t="s">
        <v>243</v>
      </c>
      <c r="D1602" s="199">
        <v>342</v>
      </c>
      <c r="E1602" s="199">
        <v>4051999.97</v>
      </c>
      <c r="F1602" s="199">
        <v>225815.63</v>
      </c>
      <c r="G1602" s="199">
        <f>'Mail Merge'!$E1602+'Mail Merge'!$F1602</f>
        <v>4277815.6000000006</v>
      </c>
      <c r="H1602" s="199">
        <v>0</v>
      </c>
      <c r="I1602" s="199" t="s">
        <v>241</v>
      </c>
      <c r="J1602" s="202">
        <f>IFERROR('Mail Merge'!$E1602/'Mail Merge'!$D1602,0)</f>
        <v>11847.953128654972</v>
      </c>
      <c r="K1602" s="199">
        <f>IFERROR('Mail Merge'!$F1602/'Mail Merge'!$D1602,0)</f>
        <v>660.27961988304094</v>
      </c>
      <c r="L1602" s="203">
        <f>IFERROR('Mail Merge'!$G1602/'Mail Merge'!$D1602,0)</f>
        <v>12508.232748538014</v>
      </c>
      <c r="M1602" s="199">
        <v>0</v>
      </c>
      <c r="N1602" s="199" t="s">
        <v>241</v>
      </c>
      <c r="O1602" s="199">
        <v>427409.28</v>
      </c>
      <c r="P1602" s="199">
        <v>4610.42</v>
      </c>
      <c r="Q1602" s="199">
        <f>'Mail Merge'!$O1602+'Mail Merge'!$P1602</f>
        <v>432019.7</v>
      </c>
      <c r="R1602" s="199"/>
      <c r="S1602" s="199"/>
      <c r="T1602" s="199"/>
      <c r="U1602" s="199">
        <f>IF(AND('Mail Merge'!$I1602="Did Not Meet",'Mail Merge'!$N1602="Did Not Meet"),MIN(ABS('Mail Merge'!$H1602),ABS('Mail Merge'!$M1602),'Mail Merge'!$Q1602),0)</f>
        <v>0</v>
      </c>
      <c r="V1602" s="199" t="str">
        <f>IF(OR(IFERROR(SEARCH("Met",'Mail Merge'!$N1602),0)&gt;0,IFERROR(SEARCH("Met",'Mail Merge'!$I1602),0)&gt;0),"Met","Not Met")</f>
        <v>Met</v>
      </c>
    </row>
    <row r="1603" spans="1:22" x14ac:dyDescent="0.35">
      <c r="A1603" s="200" t="s">
        <v>46</v>
      </c>
      <c r="B1603" s="201">
        <v>2185</v>
      </c>
      <c r="C1603" s="201" t="s">
        <v>243</v>
      </c>
      <c r="D1603" s="201">
        <v>872</v>
      </c>
      <c r="E1603" s="201">
        <v>11481734.130000001</v>
      </c>
      <c r="F1603" s="201">
        <v>1538772.27</v>
      </c>
      <c r="G1603" s="201">
        <f>'Mail Merge'!$E1603+'Mail Merge'!$F1603</f>
        <v>13020506.4</v>
      </c>
      <c r="H1603" s="201">
        <v>0</v>
      </c>
      <c r="I1603" s="201" t="s">
        <v>241</v>
      </c>
      <c r="J1603" s="204">
        <f>IFERROR('Mail Merge'!$E1603/'Mail Merge'!$D1603,0)</f>
        <v>13167.12629587156</v>
      </c>
      <c r="K1603" s="201">
        <f>IFERROR('Mail Merge'!$F1603/'Mail Merge'!$D1603,0)</f>
        <v>1764.6470986238533</v>
      </c>
      <c r="L1603" s="205">
        <f>IFERROR('Mail Merge'!$G1603/'Mail Merge'!$D1603,0)</f>
        <v>14931.773394495413</v>
      </c>
      <c r="M1603" s="201">
        <v>0</v>
      </c>
      <c r="N1603" s="201" t="s">
        <v>241</v>
      </c>
      <c r="O1603" s="201">
        <v>1027868.77</v>
      </c>
      <c r="P1603" s="201">
        <v>10126.25</v>
      </c>
      <c r="Q1603" s="201">
        <f>'Mail Merge'!$O1603+'Mail Merge'!$P1603</f>
        <v>1037995.02</v>
      </c>
      <c r="R1603" s="201"/>
      <c r="S1603" s="201"/>
      <c r="T1603" s="201"/>
      <c r="U1603" s="201">
        <f>IF(AND('Mail Merge'!$I1603="Did Not Meet",'Mail Merge'!$N1603="Did Not Meet"),MIN(ABS('Mail Merge'!$H1603),ABS('Mail Merge'!$M1603),'Mail Merge'!$Q1603),0)</f>
        <v>0</v>
      </c>
      <c r="V1603" s="201" t="str">
        <f>IF(OR(IFERROR(SEARCH("Met",'Mail Merge'!$N1603),0)&gt;0,IFERROR(SEARCH("Met",'Mail Merge'!$I1603),0)&gt;0),"Met","Not Met")</f>
        <v>Met</v>
      </c>
    </row>
    <row r="1604" spans="1:22" x14ac:dyDescent="0.35">
      <c r="A1604" s="198" t="s">
        <v>47</v>
      </c>
      <c r="B1604" s="199">
        <v>1972</v>
      </c>
      <c r="C1604" s="199" t="s">
        <v>243</v>
      </c>
      <c r="D1604" s="199">
        <v>66</v>
      </c>
      <c r="E1604" s="199">
        <v>412177.46</v>
      </c>
      <c r="F1604" s="199">
        <v>194826.3</v>
      </c>
      <c r="G1604" s="199">
        <f>'Mail Merge'!$E1604+'Mail Merge'!$F1604</f>
        <v>607003.76</v>
      </c>
      <c r="H1604" s="199">
        <v>0</v>
      </c>
      <c r="I1604" s="199" t="s">
        <v>241</v>
      </c>
      <c r="J1604" s="202">
        <f>IFERROR('Mail Merge'!$E1604/'Mail Merge'!$D1604,0)</f>
        <v>6245.1130303030304</v>
      </c>
      <c r="K1604" s="199">
        <f>IFERROR('Mail Merge'!$F1604/'Mail Merge'!$D1604,0)</f>
        <v>2951.9136363636362</v>
      </c>
      <c r="L1604" s="203">
        <f>IFERROR('Mail Merge'!$G1604/'Mail Merge'!$D1604,0)</f>
        <v>9197.0266666666666</v>
      </c>
      <c r="M1604" s="199">
        <v>159209.35411764611</v>
      </c>
      <c r="N1604" s="199" t="s">
        <v>240</v>
      </c>
      <c r="O1604" s="199">
        <v>109983.49</v>
      </c>
      <c r="P1604" s="199">
        <v>1004.84</v>
      </c>
      <c r="Q1604" s="199">
        <f>'Mail Merge'!$O1604+'Mail Merge'!$P1604</f>
        <v>110988.33</v>
      </c>
      <c r="R1604" s="199"/>
      <c r="S1604" s="199"/>
      <c r="T1604" s="199">
        <v>597.73</v>
      </c>
      <c r="U1604" s="199">
        <f>IF(AND('Mail Merge'!$I1604="Did Not Meet",'Mail Merge'!$N1604="Did Not Meet"),MIN(ABS('Mail Merge'!$H1604),ABS('Mail Merge'!$M1604),'Mail Merge'!$Q1604),0)</f>
        <v>0</v>
      </c>
      <c r="V1604" s="199" t="str">
        <f>IF(OR(IFERROR(SEARCH("Met",'Mail Merge'!$N1604),0)&gt;0,IFERROR(SEARCH("Met",'Mail Merge'!$I1604),0)&gt;0),"Met","Not Met")</f>
        <v>Met</v>
      </c>
    </row>
    <row r="1605" spans="1:22" x14ac:dyDescent="0.35">
      <c r="A1605" s="200" t="s">
        <v>48</v>
      </c>
      <c r="B1605" s="201">
        <v>2105</v>
      </c>
      <c r="C1605" s="201" t="s">
        <v>243</v>
      </c>
      <c r="D1605" s="201">
        <v>101</v>
      </c>
      <c r="E1605" s="201">
        <v>682853.67</v>
      </c>
      <c r="F1605" s="201">
        <v>97581</v>
      </c>
      <c r="G1605" s="201">
        <f>'Mail Merge'!$E1605+'Mail Merge'!$F1605</f>
        <v>780434.67</v>
      </c>
      <c r="H1605" s="201">
        <v>0</v>
      </c>
      <c r="I1605" s="201" t="s">
        <v>241</v>
      </c>
      <c r="J1605" s="204">
        <f>IFERROR('Mail Merge'!$E1605/'Mail Merge'!$D1605,0)</f>
        <v>6760.927425742575</v>
      </c>
      <c r="K1605" s="201">
        <f>IFERROR('Mail Merge'!$F1605/'Mail Merge'!$D1605,0)</f>
        <v>966.14851485148517</v>
      </c>
      <c r="L1605" s="205">
        <f>IFERROR('Mail Merge'!$G1605/'Mail Merge'!$D1605,0)</f>
        <v>7727.0759405940598</v>
      </c>
      <c r="M1605" s="201">
        <v>57982.86606383013</v>
      </c>
      <c r="N1605" s="201" t="s">
        <v>240</v>
      </c>
      <c r="O1605" s="201">
        <v>114340.56</v>
      </c>
      <c r="P1605" s="201">
        <v>1339.78</v>
      </c>
      <c r="Q1605" s="201">
        <f>'Mail Merge'!$O1605+'Mail Merge'!$P1605</f>
        <v>115680.34</v>
      </c>
      <c r="R1605" s="201"/>
      <c r="S1605" s="201"/>
      <c r="T1605" s="201">
        <v>0</v>
      </c>
      <c r="U1605" s="201">
        <f>IF(AND('Mail Merge'!$I1605="Did Not Meet",'Mail Merge'!$N1605="Did Not Meet"),MIN(ABS('Mail Merge'!$H1605),ABS('Mail Merge'!$M1605),'Mail Merge'!$Q1605),0)</f>
        <v>0</v>
      </c>
      <c r="V1605" s="201" t="str">
        <f>IF(OR(IFERROR(SEARCH("Met",'Mail Merge'!$N1605),0)&gt;0,IFERROR(SEARCH("Met",'Mail Merge'!$I1605),0)&gt;0),"Met","Not Met")</f>
        <v>Met</v>
      </c>
    </row>
    <row r="1606" spans="1:22" x14ac:dyDescent="0.35">
      <c r="A1606" s="198" t="s">
        <v>49</v>
      </c>
      <c r="B1606" s="199">
        <v>2042</v>
      </c>
      <c r="C1606" s="199" t="s">
        <v>243</v>
      </c>
      <c r="D1606" s="199">
        <v>682</v>
      </c>
      <c r="E1606" s="199">
        <v>3760148.48</v>
      </c>
      <c r="F1606" s="199">
        <v>734660.91</v>
      </c>
      <c r="G1606" s="199">
        <f>'Mail Merge'!$E1606+'Mail Merge'!$F1606</f>
        <v>4494809.3899999997</v>
      </c>
      <c r="H1606" s="199">
        <v>0</v>
      </c>
      <c r="I1606" s="199" t="s">
        <v>241</v>
      </c>
      <c r="J1606" s="202">
        <f>IFERROR('Mail Merge'!$E1606/'Mail Merge'!$D1606,0)</f>
        <v>5513.4141935483867</v>
      </c>
      <c r="K1606" s="199">
        <f>IFERROR('Mail Merge'!$F1606/'Mail Merge'!$D1606,0)</f>
        <v>1077.2154105571849</v>
      </c>
      <c r="L1606" s="203">
        <f>IFERROR('Mail Merge'!$G1606/'Mail Merge'!$D1606,0)</f>
        <v>6590.6296041055712</v>
      </c>
      <c r="M1606" s="199">
        <v>390576.69173376844</v>
      </c>
      <c r="N1606" s="199" t="s">
        <v>240</v>
      </c>
      <c r="O1606" s="199">
        <v>670369.37</v>
      </c>
      <c r="P1606" s="199">
        <v>13062.87</v>
      </c>
      <c r="Q1606" s="199">
        <f>'Mail Merge'!$O1606+'Mail Merge'!$P1606</f>
        <v>683432.24</v>
      </c>
      <c r="R1606" s="199"/>
      <c r="S1606" s="199"/>
      <c r="T1606" s="199">
        <v>129.28</v>
      </c>
      <c r="U1606" s="199">
        <f>IF(AND('Mail Merge'!$I1606="Did Not Meet",'Mail Merge'!$N1606="Did Not Meet"),MIN(ABS('Mail Merge'!$H1606),ABS('Mail Merge'!$M1606),'Mail Merge'!$Q1606),0)</f>
        <v>0</v>
      </c>
      <c r="V1606" s="199" t="str">
        <f>IF(OR(IFERROR(SEARCH("Met",'Mail Merge'!$N1606),0)&gt;0,IFERROR(SEARCH("Met",'Mail Merge'!$I1606),0)&gt;0),"Met","Not Met")</f>
        <v>Met</v>
      </c>
    </row>
    <row r="1607" spans="1:22" x14ac:dyDescent="0.35">
      <c r="A1607" s="200" t="s">
        <v>50</v>
      </c>
      <c r="B1607" s="201">
        <v>2191</v>
      </c>
      <c r="C1607" s="201" t="s">
        <v>243</v>
      </c>
      <c r="D1607" s="201">
        <v>351</v>
      </c>
      <c r="E1607" s="201">
        <v>6271229.3499999996</v>
      </c>
      <c r="F1607" s="201">
        <v>327156.3</v>
      </c>
      <c r="G1607" s="201">
        <f>'Mail Merge'!$E1607+'Mail Merge'!$F1607</f>
        <v>6598385.6499999994</v>
      </c>
      <c r="H1607" s="201">
        <v>0</v>
      </c>
      <c r="I1607" s="201" t="s">
        <v>241</v>
      </c>
      <c r="J1607" s="204">
        <f>IFERROR('Mail Merge'!$E1607/'Mail Merge'!$D1607,0)</f>
        <v>17866.750284900285</v>
      </c>
      <c r="K1607" s="201">
        <f>IFERROR('Mail Merge'!$F1607/'Mail Merge'!$D1607,0)</f>
        <v>932.06923076923078</v>
      </c>
      <c r="L1607" s="205">
        <f>IFERROR('Mail Merge'!$G1607/'Mail Merge'!$D1607,0)</f>
        <v>18798.819515669515</v>
      </c>
      <c r="M1607" s="201">
        <v>0</v>
      </c>
      <c r="N1607" s="201" t="s">
        <v>241</v>
      </c>
      <c r="O1607" s="201">
        <v>455830.16</v>
      </c>
      <c r="P1607" s="201">
        <v>3546.48</v>
      </c>
      <c r="Q1607" s="201">
        <f>'Mail Merge'!$O1607+'Mail Merge'!$P1607</f>
        <v>459376.63999999996</v>
      </c>
      <c r="R1607" s="201"/>
      <c r="S1607" s="201"/>
      <c r="T1607" s="201"/>
      <c r="U1607" s="201">
        <f>IF(AND('Mail Merge'!$I1607="Did Not Meet",'Mail Merge'!$N1607="Did Not Meet"),MIN(ABS('Mail Merge'!$H1607),ABS('Mail Merge'!$M1607),'Mail Merge'!$Q1607),0)</f>
        <v>0</v>
      </c>
      <c r="V1607" s="201" t="str">
        <f>IF(OR(IFERROR(SEARCH("Met",'Mail Merge'!$N1607),0)&gt;0,IFERROR(SEARCH("Met",'Mail Merge'!$I1607),0)&gt;0),"Met","Not Met")</f>
        <v>Met</v>
      </c>
    </row>
    <row r="1608" spans="1:22" x14ac:dyDescent="0.35">
      <c r="A1608" s="198" t="s">
        <v>51</v>
      </c>
      <c r="B1608" s="199">
        <v>1945</v>
      </c>
      <c r="C1608" s="199" t="s">
        <v>243</v>
      </c>
      <c r="D1608" s="199">
        <v>138</v>
      </c>
      <c r="E1608" s="199">
        <v>1588968.26</v>
      </c>
      <c r="F1608" s="199">
        <v>228474</v>
      </c>
      <c r="G1608" s="199">
        <f>'Mail Merge'!$E1608+'Mail Merge'!$F1608</f>
        <v>1817442.26</v>
      </c>
      <c r="H1608" s="199">
        <v>0</v>
      </c>
      <c r="I1608" s="199" t="s">
        <v>241</v>
      </c>
      <c r="J1608" s="202">
        <f>IFERROR('Mail Merge'!$E1608/'Mail Merge'!$D1608,0)</f>
        <v>11514.262753623188</v>
      </c>
      <c r="K1608" s="199">
        <f>IFERROR('Mail Merge'!$F1608/'Mail Merge'!$D1608,0)</f>
        <v>1655.608695652174</v>
      </c>
      <c r="L1608" s="203">
        <f>IFERROR('Mail Merge'!$G1608/'Mail Merge'!$D1608,0)</f>
        <v>13169.871449275362</v>
      </c>
      <c r="M1608" s="199">
        <v>175714.03669421008</v>
      </c>
      <c r="N1608" s="199" t="s">
        <v>240</v>
      </c>
      <c r="O1608" s="199">
        <v>124902.84</v>
      </c>
      <c r="P1608" s="199">
        <v>1004.84</v>
      </c>
      <c r="Q1608" s="199">
        <f>'Mail Merge'!$O1608+'Mail Merge'!$P1608</f>
        <v>125907.68</v>
      </c>
      <c r="R1608" s="199"/>
      <c r="S1608" s="199"/>
      <c r="T1608" s="199">
        <v>0</v>
      </c>
      <c r="U1608" s="199">
        <f>IF(AND('Mail Merge'!$I1608="Did Not Meet",'Mail Merge'!$N1608="Did Not Meet"),MIN(ABS('Mail Merge'!$H1608),ABS('Mail Merge'!$M1608),'Mail Merge'!$Q1608),0)</f>
        <v>0</v>
      </c>
      <c r="V1608" s="199" t="str">
        <f>IF(OR(IFERROR(SEARCH("Met",'Mail Merge'!$N1608),0)&gt;0,IFERROR(SEARCH("Met",'Mail Merge'!$I1608),0)&gt;0),"Met","Not Met")</f>
        <v>Met</v>
      </c>
    </row>
    <row r="1609" spans="1:22" x14ac:dyDescent="0.35">
      <c r="A1609" s="200" t="s">
        <v>52</v>
      </c>
      <c r="B1609" s="201">
        <v>1927</v>
      </c>
      <c r="C1609" s="201" t="s">
        <v>243</v>
      </c>
      <c r="D1609" s="201">
        <v>88</v>
      </c>
      <c r="E1609" s="201">
        <v>815050.71</v>
      </c>
      <c r="F1609" s="201">
        <v>77606</v>
      </c>
      <c r="G1609" s="201">
        <f>'Mail Merge'!$E1609+'Mail Merge'!$F1609</f>
        <v>892656.71</v>
      </c>
      <c r="H1609" s="201">
        <v>0</v>
      </c>
      <c r="I1609" s="201" t="s">
        <v>241</v>
      </c>
      <c r="J1609" s="204">
        <f>IFERROR('Mail Merge'!$E1609/'Mail Merge'!$D1609,0)</f>
        <v>9261.9398863636361</v>
      </c>
      <c r="K1609" s="201">
        <f>IFERROR('Mail Merge'!$F1609/'Mail Merge'!$D1609,0)</f>
        <v>881.88636363636363</v>
      </c>
      <c r="L1609" s="205">
        <f>IFERROR('Mail Merge'!$G1609/'Mail Merge'!$D1609,0)</f>
        <v>10143.82625</v>
      </c>
      <c r="M1609" s="201">
        <v>0</v>
      </c>
      <c r="N1609" s="201" t="s">
        <v>242</v>
      </c>
      <c r="O1609" s="201">
        <v>116681.92</v>
      </c>
      <c r="P1609" s="201">
        <v>1105.32</v>
      </c>
      <c r="Q1609" s="201">
        <f>'Mail Merge'!$O1609+'Mail Merge'!$P1609</f>
        <v>117787.24</v>
      </c>
      <c r="R1609" s="201"/>
      <c r="S1609" s="201"/>
      <c r="T1609" s="201">
        <v>5363.06</v>
      </c>
      <c r="U1609" s="201">
        <f>IF(AND('Mail Merge'!$I1609="Did Not Meet",'Mail Merge'!$N1609="Did Not Meet"),MIN(ABS('Mail Merge'!$H1609),ABS('Mail Merge'!$M1609),'Mail Merge'!$Q1609),0)</f>
        <v>0</v>
      </c>
      <c r="V1609" s="201" t="str">
        <f>IF(OR(IFERROR(SEARCH("Met",'Mail Merge'!$N1609),0)&gt;0,IFERROR(SEARCH("Met",'Mail Merge'!$I1609),0)&gt;0),"Met","Not Met")</f>
        <v>Met</v>
      </c>
    </row>
    <row r="1610" spans="1:22" x14ac:dyDescent="0.35">
      <c r="A1610" s="198" t="s">
        <v>53</v>
      </c>
      <c r="B1610" s="199">
        <v>2006</v>
      </c>
      <c r="C1610" s="199" t="s">
        <v>243</v>
      </c>
      <c r="D1610" s="199">
        <v>24</v>
      </c>
      <c r="E1610" s="199">
        <v>32261.23</v>
      </c>
      <c r="F1610" s="199">
        <v>121492.44</v>
      </c>
      <c r="G1610" s="199">
        <f>'Mail Merge'!$E1610+'Mail Merge'!$F1610</f>
        <v>153753.67000000001</v>
      </c>
      <c r="H1610" s="199">
        <v>0</v>
      </c>
      <c r="I1610" s="199" t="s">
        <v>241</v>
      </c>
      <c r="J1610" s="202">
        <f>IFERROR('Mail Merge'!$E1610/'Mail Merge'!$D1610,0)</f>
        <v>1344.2179166666667</v>
      </c>
      <c r="K1610" s="199">
        <f>IFERROR('Mail Merge'!$F1610/'Mail Merge'!$D1610,0)</f>
        <v>5062.1850000000004</v>
      </c>
      <c r="L1610" s="203">
        <f>IFERROR('Mail Merge'!$G1610/'Mail Merge'!$D1610,0)</f>
        <v>6406.4029166666669</v>
      </c>
      <c r="M1610" s="199">
        <v>15808.207647058865</v>
      </c>
      <c r="N1610" s="199" t="s">
        <v>240</v>
      </c>
      <c r="O1610" s="199">
        <v>25328.46</v>
      </c>
      <c r="P1610" s="199">
        <v>0</v>
      </c>
      <c r="Q1610" s="199">
        <f>'Mail Merge'!$O1610+'Mail Merge'!$P1610</f>
        <v>25328.46</v>
      </c>
      <c r="R1610" s="199"/>
      <c r="S1610" s="199"/>
      <c r="T1610" s="199">
        <v>0</v>
      </c>
      <c r="U1610" s="199">
        <f>IF(AND('Mail Merge'!$I1610="Did Not Meet",'Mail Merge'!$N1610="Did Not Meet"),MIN(ABS('Mail Merge'!$H1610),ABS('Mail Merge'!$M1610),'Mail Merge'!$Q1610),0)</f>
        <v>0</v>
      </c>
      <c r="V1610" s="199" t="str">
        <f>IF(OR(IFERROR(SEARCH("Met",'Mail Merge'!$N1610),0)&gt;0,IFERROR(SEARCH("Met",'Mail Merge'!$I1610),0)&gt;0),"Met","Not Met")</f>
        <v>Met</v>
      </c>
    </row>
    <row r="1611" spans="1:22" x14ac:dyDescent="0.35">
      <c r="A1611" s="200" t="s">
        <v>54</v>
      </c>
      <c r="B1611" s="201">
        <v>1965</v>
      </c>
      <c r="C1611" s="201" t="s">
        <v>243</v>
      </c>
      <c r="D1611" s="201">
        <v>537</v>
      </c>
      <c r="E1611" s="201">
        <v>4695966.53</v>
      </c>
      <c r="F1611" s="201">
        <v>1711005.65</v>
      </c>
      <c r="G1611" s="201">
        <f>'Mail Merge'!$E1611+'Mail Merge'!$F1611</f>
        <v>6406972.1799999997</v>
      </c>
      <c r="H1611" s="201">
        <v>0</v>
      </c>
      <c r="I1611" s="201" t="s">
        <v>241</v>
      </c>
      <c r="J1611" s="204">
        <f>IFERROR('Mail Merge'!$E1611/'Mail Merge'!$D1611,0)</f>
        <v>8744.8166294227194</v>
      </c>
      <c r="K1611" s="201">
        <f>IFERROR('Mail Merge'!$F1611/'Mail Merge'!$D1611,0)</f>
        <v>3186.2302607076349</v>
      </c>
      <c r="L1611" s="205">
        <f>IFERROR('Mail Merge'!$G1611/'Mail Merge'!$D1611,0)</f>
        <v>11931.046890130354</v>
      </c>
      <c r="M1611" s="201">
        <v>0</v>
      </c>
      <c r="N1611" s="201" t="s">
        <v>241</v>
      </c>
      <c r="O1611" s="201">
        <v>707674.65</v>
      </c>
      <c r="P1611" s="201">
        <v>6801.97</v>
      </c>
      <c r="Q1611" s="201">
        <f>'Mail Merge'!$O1611+'Mail Merge'!$P1611</f>
        <v>714476.62</v>
      </c>
      <c r="R1611" s="201"/>
      <c r="S1611" s="201"/>
      <c r="T1611" s="201"/>
      <c r="U1611" s="201">
        <f>IF(AND('Mail Merge'!$I1611="Did Not Meet",'Mail Merge'!$N1611="Did Not Meet"),MIN(ABS('Mail Merge'!$H1611),ABS('Mail Merge'!$M1611),'Mail Merge'!$Q1611),0)</f>
        <v>0</v>
      </c>
      <c r="V1611" s="201" t="str">
        <f>IF(OR(IFERROR(SEARCH("Met",'Mail Merge'!$N1611),0)&gt;0,IFERROR(SEARCH("Met",'Mail Merge'!$I1611),0)&gt;0),"Met","Not Met")</f>
        <v>Met</v>
      </c>
    </row>
    <row r="1612" spans="1:22" x14ac:dyDescent="0.35">
      <c r="A1612" s="198" t="s">
        <v>55</v>
      </c>
      <c r="B1612" s="199">
        <v>1964</v>
      </c>
      <c r="C1612" s="199" t="s">
        <v>243</v>
      </c>
      <c r="D1612" s="199">
        <v>149</v>
      </c>
      <c r="E1612" s="199">
        <v>1094150.52</v>
      </c>
      <c r="F1612" s="199">
        <v>219335.43</v>
      </c>
      <c r="G1612" s="199">
        <f>'Mail Merge'!$E1612+'Mail Merge'!$F1612</f>
        <v>1313485.95</v>
      </c>
      <c r="H1612" s="199">
        <v>0</v>
      </c>
      <c r="I1612" s="199" t="s">
        <v>241</v>
      </c>
      <c r="J1612" s="202">
        <f>IFERROR('Mail Merge'!$E1612/'Mail Merge'!$D1612,0)</f>
        <v>7343.2920805369131</v>
      </c>
      <c r="K1612" s="199">
        <f>IFERROR('Mail Merge'!$F1612/'Mail Merge'!$D1612,0)</f>
        <v>1472.0498657718119</v>
      </c>
      <c r="L1612" s="203">
        <f>IFERROR('Mail Merge'!$G1612/'Mail Merge'!$D1612,0)</f>
        <v>8815.3419463087248</v>
      </c>
      <c r="M1612" s="199">
        <v>308863.98159573891</v>
      </c>
      <c r="N1612" s="199" t="s">
        <v>240</v>
      </c>
      <c r="O1612" s="199">
        <v>206141.37</v>
      </c>
      <c r="P1612" s="199">
        <v>3875.8</v>
      </c>
      <c r="Q1612" s="199">
        <f>'Mail Merge'!$O1612+'Mail Merge'!$P1612</f>
        <v>210017.16999999998</v>
      </c>
      <c r="R1612" s="199"/>
      <c r="S1612" s="199"/>
      <c r="T1612" s="199">
        <v>0</v>
      </c>
      <c r="U1612" s="199">
        <f>IF(AND('Mail Merge'!$I1612="Did Not Meet",'Mail Merge'!$N1612="Did Not Meet"),MIN(ABS('Mail Merge'!$H1612),ABS('Mail Merge'!$M1612),'Mail Merge'!$Q1612),0)</f>
        <v>0</v>
      </c>
      <c r="V1612" s="199" t="str">
        <f>IF(OR(IFERROR(SEARCH("Met",'Mail Merge'!$N1612),0)&gt;0,IFERROR(SEARCH("Met",'Mail Merge'!$I1612),0)&gt;0),"Met","Not Met")</f>
        <v>Met</v>
      </c>
    </row>
    <row r="1613" spans="1:22" x14ac:dyDescent="0.35">
      <c r="A1613" s="200" t="s">
        <v>56</v>
      </c>
      <c r="B1613" s="201">
        <v>2186</v>
      </c>
      <c r="C1613" s="201" t="s">
        <v>243</v>
      </c>
      <c r="D1613" s="201">
        <v>159</v>
      </c>
      <c r="E1613" s="201">
        <v>700795.43</v>
      </c>
      <c r="F1613" s="201">
        <v>470839.82</v>
      </c>
      <c r="G1613" s="201">
        <f>'Mail Merge'!$E1613+'Mail Merge'!$F1613</f>
        <v>1171635.25</v>
      </c>
      <c r="H1613" s="201">
        <v>0</v>
      </c>
      <c r="I1613" s="201" t="s">
        <v>241</v>
      </c>
      <c r="J1613" s="204">
        <f>IFERROR('Mail Merge'!$E1613/'Mail Merge'!$D1613,0)</f>
        <v>4407.518427672956</v>
      </c>
      <c r="K1613" s="201">
        <f>IFERROR('Mail Merge'!$F1613/'Mail Merge'!$D1613,0)</f>
        <v>2961.2567295597487</v>
      </c>
      <c r="L1613" s="205">
        <f>IFERROR('Mail Merge'!$G1613/'Mail Merge'!$D1613,0)</f>
        <v>7368.7751572327043</v>
      </c>
      <c r="M1613" s="201">
        <v>1378710.1811627867</v>
      </c>
      <c r="N1613" s="201" t="s">
        <v>240</v>
      </c>
      <c r="O1613" s="201">
        <v>155505.43</v>
      </c>
      <c r="P1613" s="201">
        <v>1055.08</v>
      </c>
      <c r="Q1613" s="201">
        <f>'Mail Merge'!$O1613+'Mail Merge'!$P1613</f>
        <v>156560.50999999998</v>
      </c>
      <c r="R1613" s="201"/>
      <c r="S1613" s="201"/>
      <c r="T1613" s="201">
        <v>158.46</v>
      </c>
      <c r="U1613" s="201">
        <f>IF(AND('Mail Merge'!$I1613="Did Not Meet",'Mail Merge'!$N1613="Did Not Meet"),MIN(ABS('Mail Merge'!$H1613),ABS('Mail Merge'!$M1613),'Mail Merge'!$Q1613),0)</f>
        <v>0</v>
      </c>
      <c r="V1613" s="201" t="str">
        <f>IF(OR(IFERROR(SEARCH("Met",'Mail Merge'!$N1613),0)&gt;0,IFERROR(SEARCH("Met",'Mail Merge'!$I1613),0)&gt;0),"Met","Not Met")</f>
        <v>Met</v>
      </c>
    </row>
    <row r="1614" spans="1:22" x14ac:dyDescent="0.35">
      <c r="A1614" s="198" t="s">
        <v>58</v>
      </c>
      <c r="B1614" s="199">
        <v>1901</v>
      </c>
      <c r="C1614" s="199" t="s">
        <v>243</v>
      </c>
      <c r="D1614" s="199">
        <v>678</v>
      </c>
      <c r="E1614" s="199">
        <v>8792874.3499999996</v>
      </c>
      <c r="F1614" s="199">
        <v>828402</v>
      </c>
      <c r="G1614" s="199">
        <f>'Mail Merge'!$E1614+'Mail Merge'!$F1614</f>
        <v>9621276.3499999996</v>
      </c>
      <c r="H1614" s="199">
        <v>0</v>
      </c>
      <c r="I1614" s="199" t="s">
        <v>241</v>
      </c>
      <c r="J1614" s="202">
        <f>IFERROR('Mail Merge'!$E1614/'Mail Merge'!$D1614,0)</f>
        <v>12968.841224188791</v>
      </c>
      <c r="K1614" s="199">
        <f>IFERROR('Mail Merge'!$F1614/'Mail Merge'!$D1614,0)</f>
        <v>1221.8318584070796</v>
      </c>
      <c r="L1614" s="203">
        <f>IFERROR('Mail Merge'!$G1614/'Mail Merge'!$D1614,0)</f>
        <v>14190.673082595869</v>
      </c>
      <c r="M1614" s="199">
        <v>0</v>
      </c>
      <c r="N1614" s="199" t="s">
        <v>241</v>
      </c>
      <c r="O1614" s="199">
        <v>1045500.57</v>
      </c>
      <c r="P1614" s="199">
        <v>9294.73</v>
      </c>
      <c r="Q1614" s="199">
        <f>'Mail Merge'!$O1614+'Mail Merge'!$P1614</f>
        <v>1054795.3</v>
      </c>
      <c r="R1614" s="199"/>
      <c r="S1614" s="199"/>
      <c r="T1614" s="199"/>
      <c r="U1614" s="199">
        <f>IF(AND('Mail Merge'!$I1614="Did Not Meet",'Mail Merge'!$N1614="Did Not Meet"),MIN(ABS('Mail Merge'!$H1614),ABS('Mail Merge'!$M1614),'Mail Merge'!$Q1614),0)</f>
        <v>0</v>
      </c>
      <c r="V1614" s="199" t="str">
        <f>IF(OR(IFERROR(SEARCH("Met",'Mail Merge'!$N1614),0)&gt;0,IFERROR(SEARCH("Met",'Mail Merge'!$I1614),0)&gt;0),"Met","Not Met")</f>
        <v>Met</v>
      </c>
    </row>
    <row r="1615" spans="1:22" x14ac:dyDescent="0.35">
      <c r="A1615" s="200" t="s">
        <v>59</v>
      </c>
      <c r="B1615" s="201">
        <v>2216</v>
      </c>
      <c r="C1615" s="201" t="s">
        <v>243</v>
      </c>
      <c r="D1615" s="201">
        <v>44</v>
      </c>
      <c r="E1615" s="201">
        <v>147978.26999999999</v>
      </c>
      <c r="F1615" s="201">
        <v>73046.350000000006</v>
      </c>
      <c r="G1615" s="201">
        <f>'Mail Merge'!$E1615+'Mail Merge'!$F1615</f>
        <v>221024.62</v>
      </c>
      <c r="H1615" s="201">
        <v>0</v>
      </c>
      <c r="I1615" s="201" t="s">
        <v>241</v>
      </c>
      <c r="J1615" s="204">
        <f>IFERROR('Mail Merge'!$E1615/'Mail Merge'!$D1615,0)</f>
        <v>3363.1424999999999</v>
      </c>
      <c r="K1615" s="201">
        <f>IFERROR('Mail Merge'!$F1615/'Mail Merge'!$D1615,0)</f>
        <v>1660.1443181818183</v>
      </c>
      <c r="L1615" s="205">
        <f>IFERROR('Mail Merge'!$G1615/'Mail Merge'!$D1615,0)</f>
        <v>5023.2868181818185</v>
      </c>
      <c r="M1615" s="201">
        <v>95646.565599999987</v>
      </c>
      <c r="N1615" s="201" t="s">
        <v>240</v>
      </c>
      <c r="O1615" s="201">
        <v>49420.65</v>
      </c>
      <c r="P1615" s="201">
        <v>1507.25</v>
      </c>
      <c r="Q1615" s="201">
        <f>'Mail Merge'!$O1615+'Mail Merge'!$P1615</f>
        <v>50927.9</v>
      </c>
      <c r="R1615" s="201"/>
      <c r="S1615" s="201"/>
      <c r="T1615" s="201">
        <v>0</v>
      </c>
      <c r="U1615" s="201">
        <f>IF(AND('Mail Merge'!$I1615="Did Not Meet",'Mail Merge'!$N1615="Did Not Meet"),MIN(ABS('Mail Merge'!$H1615),ABS('Mail Merge'!$M1615),'Mail Merge'!$Q1615),0)</f>
        <v>0</v>
      </c>
      <c r="V1615" s="201" t="str">
        <f>IF(OR(IFERROR(SEARCH("Met",'Mail Merge'!$N1615),0)&gt;0,IFERROR(SEARCH("Met",'Mail Merge'!$I1615),0)&gt;0),"Met","Not Met")</f>
        <v>Met</v>
      </c>
    </row>
    <row r="1616" spans="1:22" x14ac:dyDescent="0.35">
      <c r="A1616" s="198" t="s">
        <v>60</v>
      </c>
      <c r="B1616" s="199">
        <v>2086</v>
      </c>
      <c r="C1616" s="199" t="s">
        <v>243</v>
      </c>
      <c r="D1616" s="199">
        <v>220</v>
      </c>
      <c r="E1616" s="199">
        <v>2752052.6</v>
      </c>
      <c r="F1616" s="199">
        <v>429668</v>
      </c>
      <c r="G1616" s="199">
        <f>'Mail Merge'!$E1616+'Mail Merge'!$F1616</f>
        <v>3181720.6</v>
      </c>
      <c r="H1616" s="199">
        <v>0</v>
      </c>
      <c r="I1616" s="199" t="s">
        <v>242</v>
      </c>
      <c r="J1616" s="202">
        <f>IFERROR('Mail Merge'!$E1616/'Mail Merge'!$D1616,0)</f>
        <v>12509.33</v>
      </c>
      <c r="K1616" s="199">
        <f>IFERROR('Mail Merge'!$F1616/'Mail Merge'!$D1616,0)</f>
        <v>1953.0363636363636</v>
      </c>
      <c r="L1616" s="203">
        <f>IFERROR('Mail Merge'!$G1616/'Mail Merge'!$D1616,0)</f>
        <v>14462.366363636364</v>
      </c>
      <c r="M1616" s="199">
        <v>0</v>
      </c>
      <c r="N1616" s="199" t="s">
        <v>241</v>
      </c>
      <c r="O1616" s="199">
        <v>257057.99</v>
      </c>
      <c r="P1616" s="199">
        <v>3146.72</v>
      </c>
      <c r="Q1616" s="199">
        <f>'Mail Merge'!$O1616+'Mail Merge'!$P1616</f>
        <v>260204.71</v>
      </c>
      <c r="R1616" s="199"/>
      <c r="S1616" s="199">
        <v>14461.9</v>
      </c>
      <c r="T1616" s="199"/>
      <c r="U1616" s="199">
        <f>IF(AND('Mail Merge'!$I1616="Did Not Meet",'Mail Merge'!$N1616="Did Not Meet"),MIN(ABS('Mail Merge'!$H1616),ABS('Mail Merge'!$M1616),'Mail Merge'!$Q1616),0)</f>
        <v>0</v>
      </c>
      <c r="V1616" s="199" t="str">
        <f>IF(OR(IFERROR(SEARCH("Met",'Mail Merge'!$N1616),0)&gt;0,IFERROR(SEARCH("Met",'Mail Merge'!$I1616),0)&gt;0),"Met","Not Met")</f>
        <v>Met</v>
      </c>
    </row>
    <row r="1617" spans="1:22" x14ac:dyDescent="0.35">
      <c r="A1617" s="200" t="s">
        <v>61</v>
      </c>
      <c r="B1617" s="201">
        <v>1970</v>
      </c>
      <c r="C1617" s="201" t="s">
        <v>243</v>
      </c>
      <c r="D1617" s="201">
        <v>409</v>
      </c>
      <c r="E1617" s="201">
        <v>3981862.92</v>
      </c>
      <c r="F1617" s="201">
        <v>214057.23</v>
      </c>
      <c r="G1617" s="201">
        <f>'Mail Merge'!$E1617+'Mail Merge'!$F1617</f>
        <v>4195920.1500000004</v>
      </c>
      <c r="H1617" s="201">
        <v>0</v>
      </c>
      <c r="I1617" s="201" t="s">
        <v>241</v>
      </c>
      <c r="J1617" s="204">
        <f>IFERROR('Mail Merge'!$E1617/'Mail Merge'!$D1617,0)</f>
        <v>9735.6061613691927</v>
      </c>
      <c r="K1617" s="201">
        <f>IFERROR('Mail Merge'!$F1617/'Mail Merge'!$D1617,0)</f>
        <v>523.36731051344748</v>
      </c>
      <c r="L1617" s="205">
        <f>IFERROR('Mail Merge'!$G1617/'Mail Merge'!$D1617,0)</f>
        <v>10258.973471882642</v>
      </c>
      <c r="M1617" s="201">
        <v>260076.08148051469</v>
      </c>
      <c r="N1617" s="201" t="s">
        <v>240</v>
      </c>
      <c r="O1617" s="201">
        <v>522355.63</v>
      </c>
      <c r="P1617" s="201">
        <v>4923.7</v>
      </c>
      <c r="Q1617" s="201">
        <f>'Mail Merge'!$O1617+'Mail Merge'!$P1617</f>
        <v>527279.32999999996</v>
      </c>
      <c r="R1617" s="201"/>
      <c r="S1617" s="201"/>
      <c r="T1617" s="201">
        <v>0</v>
      </c>
      <c r="U1617" s="201">
        <f>IF(AND('Mail Merge'!$I1617="Did Not Meet",'Mail Merge'!$N1617="Did Not Meet"),MIN(ABS('Mail Merge'!$H1617),ABS('Mail Merge'!$M1617),'Mail Merge'!$Q1617),0)</f>
        <v>0</v>
      </c>
      <c r="V1617" s="201" t="str">
        <f>IF(OR(IFERROR(SEARCH("Met",'Mail Merge'!$N1617),0)&gt;0,IFERROR(SEARCH("Met",'Mail Merge'!$I1617),0)&gt;0),"Met","Not Met")</f>
        <v>Met</v>
      </c>
    </row>
    <row r="1618" spans="1:22" x14ac:dyDescent="0.35">
      <c r="A1618" s="198" t="s">
        <v>62</v>
      </c>
      <c r="B1618" s="199">
        <v>2089</v>
      </c>
      <c r="C1618" s="199" t="s">
        <v>243</v>
      </c>
      <c r="D1618" s="199">
        <v>40</v>
      </c>
      <c r="E1618" s="199">
        <v>408502.42</v>
      </c>
      <c r="F1618" s="199">
        <v>120807</v>
      </c>
      <c r="G1618" s="199">
        <f>'Mail Merge'!$E1618+'Mail Merge'!$F1618</f>
        <v>529309.41999999993</v>
      </c>
      <c r="H1618" s="199">
        <v>0</v>
      </c>
      <c r="I1618" s="199" t="s">
        <v>242</v>
      </c>
      <c r="J1618" s="202">
        <f>IFERROR('Mail Merge'!$E1618/'Mail Merge'!$D1618,0)</f>
        <v>10212.5605</v>
      </c>
      <c r="K1618" s="199">
        <f>IFERROR('Mail Merge'!$F1618/'Mail Merge'!$D1618,0)</f>
        <v>3020.1750000000002</v>
      </c>
      <c r="L1618" s="203">
        <f>IFERROR('Mail Merge'!$G1618/'Mail Merge'!$D1618,0)</f>
        <v>13232.735499999999</v>
      </c>
      <c r="M1618" s="199">
        <v>0</v>
      </c>
      <c r="N1618" s="199" t="s">
        <v>242</v>
      </c>
      <c r="O1618" s="199">
        <v>62739.63</v>
      </c>
      <c r="P1618" s="199">
        <v>251.21</v>
      </c>
      <c r="Q1618" s="199">
        <f>'Mail Merge'!$O1618+'Mail Merge'!$P1618</f>
        <v>62990.84</v>
      </c>
      <c r="R1618" s="199"/>
      <c r="S1618" s="199">
        <v>95556.01</v>
      </c>
      <c r="T1618" s="199">
        <v>2275.14</v>
      </c>
      <c r="U1618" s="199">
        <f>IF(AND('Mail Merge'!$I1618="Did Not Meet",'Mail Merge'!$N1618="Did Not Meet"),MIN(ABS('Mail Merge'!$H1618),ABS('Mail Merge'!$M1618),'Mail Merge'!$Q1618),0)</f>
        <v>0</v>
      </c>
      <c r="V1618" s="199" t="str">
        <f>IF(OR(IFERROR(SEARCH("Met",'Mail Merge'!$N1618),0)&gt;0,IFERROR(SEARCH("Met",'Mail Merge'!$I1618),0)&gt;0),"Met","Not Met")</f>
        <v>Met</v>
      </c>
    </row>
    <row r="1619" spans="1:22" x14ac:dyDescent="0.35">
      <c r="A1619" s="200" t="s">
        <v>63</v>
      </c>
      <c r="B1619" s="201">
        <v>2050</v>
      </c>
      <c r="C1619" s="201" t="s">
        <v>243</v>
      </c>
      <c r="D1619" s="201">
        <v>92</v>
      </c>
      <c r="E1619" s="201">
        <v>648916.39</v>
      </c>
      <c r="F1619" s="201">
        <v>258510.14</v>
      </c>
      <c r="G1619" s="201">
        <f>'Mail Merge'!$E1619+'Mail Merge'!$F1619</f>
        <v>907426.53</v>
      </c>
      <c r="H1619" s="201">
        <v>0</v>
      </c>
      <c r="I1619" s="201" t="s">
        <v>242</v>
      </c>
      <c r="J1619" s="204">
        <f>IFERROR('Mail Merge'!$E1619/'Mail Merge'!$D1619,0)</f>
        <v>7053.439021739131</v>
      </c>
      <c r="K1619" s="201">
        <f>IFERROR('Mail Merge'!$F1619/'Mail Merge'!$D1619,0)</f>
        <v>2809.8928260869566</v>
      </c>
      <c r="L1619" s="205">
        <f>IFERROR('Mail Merge'!$G1619/'Mail Merge'!$D1619,0)</f>
        <v>9863.3318478260881</v>
      </c>
      <c r="M1619" s="201">
        <v>0</v>
      </c>
      <c r="N1619" s="201" t="s">
        <v>242</v>
      </c>
      <c r="O1619" s="201">
        <v>113859.69</v>
      </c>
      <c r="P1619" s="201">
        <v>1205.8</v>
      </c>
      <c r="Q1619" s="201">
        <f>'Mail Merge'!$O1619+'Mail Merge'!$P1619</f>
        <v>115065.49</v>
      </c>
      <c r="R1619" s="201"/>
      <c r="S1619" s="201">
        <v>97583.87</v>
      </c>
      <c r="T1619" s="201">
        <v>1060.69</v>
      </c>
      <c r="U1619" s="201">
        <f>IF(AND('Mail Merge'!$I1619="Did Not Meet",'Mail Merge'!$N1619="Did Not Meet"),MIN(ABS('Mail Merge'!$H1619),ABS('Mail Merge'!$M1619),'Mail Merge'!$Q1619),0)</f>
        <v>0</v>
      </c>
      <c r="V1619" s="201" t="str">
        <f>IF(OR(IFERROR(SEARCH("Met",'Mail Merge'!$N1619),0)&gt;0,IFERROR(SEARCH("Met",'Mail Merge'!$I1619),0)&gt;0),"Met","Not Met")</f>
        <v>Met</v>
      </c>
    </row>
    <row r="1620" spans="1:22" x14ac:dyDescent="0.35">
      <c r="A1620" s="198" t="s">
        <v>64</v>
      </c>
      <c r="B1620" s="199">
        <v>2190</v>
      </c>
      <c r="C1620" s="199" t="s">
        <v>243</v>
      </c>
      <c r="D1620" s="199">
        <v>506</v>
      </c>
      <c r="E1620" s="199">
        <v>5106213.57</v>
      </c>
      <c r="F1620" s="199">
        <v>404974.41</v>
      </c>
      <c r="G1620" s="199">
        <f>'Mail Merge'!$E1620+'Mail Merge'!$F1620</f>
        <v>5511187.9800000004</v>
      </c>
      <c r="H1620" s="199">
        <v>0</v>
      </c>
      <c r="I1620" s="199" t="s">
        <v>241</v>
      </c>
      <c r="J1620" s="202">
        <f>IFERROR('Mail Merge'!$E1620/'Mail Merge'!$D1620,0)</f>
        <v>10091.331166007905</v>
      </c>
      <c r="K1620" s="199">
        <f>IFERROR('Mail Merge'!$F1620/'Mail Merge'!$D1620,0)</f>
        <v>800.34468379446639</v>
      </c>
      <c r="L1620" s="203">
        <f>IFERROR('Mail Merge'!$G1620/'Mail Merge'!$D1620,0)</f>
        <v>10891.675849802372</v>
      </c>
      <c r="M1620" s="199">
        <v>0</v>
      </c>
      <c r="N1620" s="199" t="s">
        <v>241</v>
      </c>
      <c r="O1620" s="199">
        <v>532298.84</v>
      </c>
      <c r="P1620" s="199">
        <v>4823.21</v>
      </c>
      <c r="Q1620" s="199">
        <f>'Mail Merge'!$O1620+'Mail Merge'!$P1620</f>
        <v>537122.04999999993</v>
      </c>
      <c r="R1620" s="199"/>
      <c r="S1620" s="199"/>
      <c r="T1620" s="199"/>
      <c r="U1620" s="199">
        <f>IF(AND('Mail Merge'!$I1620="Did Not Meet",'Mail Merge'!$N1620="Did Not Meet"),MIN(ABS('Mail Merge'!$H1620),ABS('Mail Merge'!$M1620),'Mail Merge'!$Q1620),0)</f>
        <v>0</v>
      </c>
      <c r="V1620" s="199" t="str">
        <f>IF(OR(IFERROR(SEARCH("Met",'Mail Merge'!$N1620),0)&gt;0,IFERROR(SEARCH("Met",'Mail Merge'!$I1620),0)&gt;0),"Met","Not Met")</f>
        <v>Met</v>
      </c>
    </row>
    <row r="1621" spans="1:22" x14ac:dyDescent="0.35">
      <c r="A1621" s="200" t="s">
        <v>65</v>
      </c>
      <c r="B1621" s="201">
        <v>2187</v>
      </c>
      <c r="C1621" s="201" t="s">
        <v>243</v>
      </c>
      <c r="D1621" s="201">
        <v>1214</v>
      </c>
      <c r="E1621" s="201">
        <v>14888234.67</v>
      </c>
      <c r="F1621" s="201">
        <v>1435505.83</v>
      </c>
      <c r="G1621" s="201">
        <f>'Mail Merge'!$E1621+'Mail Merge'!$F1621</f>
        <v>16323740.5</v>
      </c>
      <c r="H1621" s="201">
        <v>0</v>
      </c>
      <c r="I1621" s="201" t="s">
        <v>241</v>
      </c>
      <c r="J1621" s="204">
        <f>IFERROR('Mail Merge'!$E1621/'Mail Merge'!$D1621,0)</f>
        <v>12263.784736408566</v>
      </c>
      <c r="K1621" s="201">
        <f>IFERROR('Mail Merge'!$F1621/'Mail Merge'!$D1621,0)</f>
        <v>1182.4594975288303</v>
      </c>
      <c r="L1621" s="205">
        <f>IFERROR('Mail Merge'!$G1621/'Mail Merge'!$D1621,0)</f>
        <v>13446.244233937397</v>
      </c>
      <c r="M1621" s="201">
        <v>0</v>
      </c>
      <c r="N1621" s="201" t="s">
        <v>241</v>
      </c>
      <c r="O1621" s="201">
        <v>1515351.53</v>
      </c>
      <c r="P1621" s="201">
        <v>13807.98</v>
      </c>
      <c r="Q1621" s="201">
        <f>'Mail Merge'!$O1621+'Mail Merge'!$P1621</f>
        <v>1529159.51</v>
      </c>
      <c r="R1621" s="201"/>
      <c r="S1621" s="201"/>
      <c r="T1621" s="201"/>
      <c r="U1621" s="201">
        <f>IF(AND('Mail Merge'!$I1621="Did Not Meet",'Mail Merge'!$N1621="Did Not Meet"),MIN(ABS('Mail Merge'!$H1621),ABS('Mail Merge'!$M1621),'Mail Merge'!$Q1621),0)</f>
        <v>0</v>
      </c>
      <c r="V1621" s="201" t="str">
        <f>IF(OR(IFERROR(SEARCH("Met",'Mail Merge'!$N1621),0)&gt;0,IFERROR(SEARCH("Met",'Mail Merge'!$I1621),0)&gt;0),"Met","Not Met")</f>
        <v>Met</v>
      </c>
    </row>
    <row r="1622" spans="1:22" x14ac:dyDescent="0.35">
      <c r="A1622" s="198" t="s">
        <v>66</v>
      </c>
      <c r="B1622" s="199">
        <v>2253</v>
      </c>
      <c r="C1622" s="199" t="s">
        <v>243</v>
      </c>
      <c r="D1622" s="199">
        <v>122</v>
      </c>
      <c r="E1622" s="199">
        <v>1286541.2</v>
      </c>
      <c r="F1622" s="199">
        <v>88088.81</v>
      </c>
      <c r="G1622" s="199">
        <f>'Mail Merge'!$E1622+'Mail Merge'!$F1622</f>
        <v>1374630.01</v>
      </c>
      <c r="H1622" s="199">
        <v>0</v>
      </c>
      <c r="I1622" s="199" t="s">
        <v>241</v>
      </c>
      <c r="J1622" s="202">
        <f>IFERROR('Mail Merge'!$E1622/'Mail Merge'!$D1622,0)</f>
        <v>10545.419672131147</v>
      </c>
      <c r="K1622" s="199">
        <f>IFERROR('Mail Merge'!$F1622/'Mail Merge'!$D1622,0)</f>
        <v>722.03942622950819</v>
      </c>
      <c r="L1622" s="203">
        <f>IFERROR('Mail Merge'!$G1622/'Mail Merge'!$D1622,0)</f>
        <v>11267.459098360656</v>
      </c>
      <c r="M1622" s="199">
        <v>0</v>
      </c>
      <c r="N1622" s="199" t="s">
        <v>241</v>
      </c>
      <c r="O1622" s="199">
        <v>143209.91</v>
      </c>
      <c r="P1622" s="199">
        <v>1063.94</v>
      </c>
      <c r="Q1622" s="199">
        <f>'Mail Merge'!$O1622+'Mail Merge'!$P1622</f>
        <v>144273.85</v>
      </c>
      <c r="R1622" s="199"/>
      <c r="S1622" s="199"/>
      <c r="T1622" s="199"/>
      <c r="U1622" s="199">
        <f>IF(AND('Mail Merge'!$I1622="Did Not Meet",'Mail Merge'!$N1622="Did Not Meet"),MIN(ABS('Mail Merge'!$H1622),ABS('Mail Merge'!$M1622),'Mail Merge'!$Q1622),0)</f>
        <v>0</v>
      </c>
      <c r="V1622" s="199" t="str">
        <f>IF(OR(IFERROR(SEARCH("Met",'Mail Merge'!$N1622),0)&gt;0,IFERROR(SEARCH("Met",'Mail Merge'!$I1622),0)&gt;0),"Met","Not Met")</f>
        <v>Met</v>
      </c>
    </row>
    <row r="1623" spans="1:22" x14ac:dyDescent="0.35">
      <c r="A1623" s="200" t="s">
        <v>67</v>
      </c>
      <c r="B1623" s="201">
        <v>2011</v>
      </c>
      <c r="C1623" s="201" t="s">
        <v>243</v>
      </c>
      <c r="D1623" s="201">
        <v>7</v>
      </c>
      <c r="E1623" s="201">
        <v>4412.34</v>
      </c>
      <c r="F1623" s="201">
        <v>70745.98</v>
      </c>
      <c r="G1623" s="201">
        <f>'Mail Merge'!$E1623+'Mail Merge'!$F1623</f>
        <v>75158.319999999992</v>
      </c>
      <c r="H1623" s="201">
        <v>0</v>
      </c>
      <c r="I1623" s="201" t="s">
        <v>241</v>
      </c>
      <c r="J1623" s="204">
        <f>IFERROR('Mail Merge'!$E1623/'Mail Merge'!$D1623,0)</f>
        <v>630.33428571428578</v>
      </c>
      <c r="K1623" s="201">
        <f>IFERROR('Mail Merge'!$F1623/'Mail Merge'!$D1623,0)</f>
        <v>10106.56857142857</v>
      </c>
      <c r="L1623" s="205">
        <f>IFERROR('Mail Merge'!$G1623/'Mail Merge'!$D1623,0)</f>
        <v>10736.902857142855</v>
      </c>
      <c r="M1623" s="201">
        <v>185163</v>
      </c>
      <c r="N1623" s="201" t="s">
        <v>240</v>
      </c>
      <c r="O1623" s="201">
        <v>6878.58</v>
      </c>
      <c r="P1623" s="201">
        <v>0</v>
      </c>
      <c r="Q1623" s="201">
        <f>'Mail Merge'!$O1623+'Mail Merge'!$P1623</f>
        <v>6878.58</v>
      </c>
      <c r="R1623" s="201"/>
      <c r="S1623" s="201">
        <v>0</v>
      </c>
      <c r="T1623" s="201">
        <v>0</v>
      </c>
      <c r="U1623" s="201">
        <f>IF(AND('Mail Merge'!$I1623="Did Not Meet",'Mail Merge'!$N1623="Did Not Meet"),MIN(ABS('Mail Merge'!$H1623),ABS('Mail Merge'!$M1623),'Mail Merge'!$Q1623),0)</f>
        <v>0</v>
      </c>
      <c r="V1623" s="201" t="str">
        <f>IF(OR(IFERROR(SEARCH("Met",'Mail Merge'!$N1623),0)&gt;0,IFERROR(SEARCH("Met",'Mail Merge'!$I1623),0)&gt;0),"Met","Not Met")</f>
        <v>Met</v>
      </c>
    </row>
    <row r="1624" spans="1:22" x14ac:dyDescent="0.35">
      <c r="A1624" s="198" t="s">
        <v>68</v>
      </c>
      <c r="B1624" s="199">
        <v>2017</v>
      </c>
      <c r="C1624" s="199" t="s">
        <v>243</v>
      </c>
      <c r="D1624" s="199">
        <v>2</v>
      </c>
      <c r="E1624" s="199">
        <v>0</v>
      </c>
      <c r="F1624" s="199">
        <v>3560</v>
      </c>
      <c r="G1624" s="199">
        <f>'Mail Merge'!$E1624+'Mail Merge'!$F1624</f>
        <v>3560</v>
      </c>
      <c r="H1624" s="199">
        <v>0</v>
      </c>
      <c r="I1624" s="199" t="s">
        <v>240</v>
      </c>
      <c r="J1624" s="202">
        <f>IFERROR('Mail Merge'!$E1624/'Mail Merge'!$D1624,0)</f>
        <v>0</v>
      </c>
      <c r="K1624" s="199">
        <f>IFERROR('Mail Merge'!$F1624/'Mail Merge'!$D1624,0)</f>
        <v>1780</v>
      </c>
      <c r="L1624" s="203">
        <f>IFERROR('Mail Merge'!$G1624/'Mail Merge'!$D1624,0)</f>
        <v>1780</v>
      </c>
      <c r="M1624" s="199">
        <v>0</v>
      </c>
      <c r="N1624" s="199" t="s">
        <v>241</v>
      </c>
      <c r="O1624" s="199">
        <v>0</v>
      </c>
      <c r="P1624" s="199">
        <v>0</v>
      </c>
      <c r="Q1624" s="199">
        <f>'Mail Merge'!$O1624+'Mail Merge'!$P1624</f>
        <v>0</v>
      </c>
      <c r="R1624" s="199"/>
      <c r="S1624" s="199">
        <v>0</v>
      </c>
      <c r="T1624" s="199"/>
      <c r="U1624" s="199">
        <f>IF(AND('Mail Merge'!$I1624="Did Not Meet",'Mail Merge'!$N1624="Did Not Meet"),MIN(ABS('Mail Merge'!$H1624),ABS('Mail Merge'!$M1624),'Mail Merge'!$Q1624),0)</f>
        <v>0</v>
      </c>
      <c r="V1624" s="199" t="str">
        <f>IF(OR(IFERROR(SEARCH("Met",'Mail Merge'!$N1624),0)&gt;0,IFERROR(SEARCH("Met",'Mail Merge'!$I1624),0)&gt;0),"Met","Not Met")</f>
        <v>Met</v>
      </c>
    </row>
    <row r="1625" spans="1:22" x14ac:dyDescent="0.35">
      <c r="A1625" s="200" t="s">
        <v>69</v>
      </c>
      <c r="B1625" s="201">
        <v>2021</v>
      </c>
      <c r="C1625" s="201" t="s">
        <v>243</v>
      </c>
      <c r="D1625" s="201">
        <v>0</v>
      </c>
      <c r="E1625" s="201">
        <v>7200</v>
      </c>
      <c r="F1625" s="201">
        <v>3302</v>
      </c>
      <c r="G1625" s="201">
        <f>'Mail Merge'!$E1625+'Mail Merge'!$F1625</f>
        <v>10502</v>
      </c>
      <c r="H1625" s="201">
        <v>0</v>
      </c>
      <c r="I1625" s="201" t="s">
        <v>241</v>
      </c>
      <c r="J1625" s="204">
        <f>IFERROR('Mail Merge'!$E1625/'Mail Merge'!$D1625,0)</f>
        <v>0</v>
      </c>
      <c r="K1625" s="201">
        <f>IFERROR('Mail Merge'!$F1625/'Mail Merge'!$D1625,0)</f>
        <v>0</v>
      </c>
      <c r="L1625" s="205">
        <f>IFERROR('Mail Merge'!$G1625/'Mail Merge'!$D1625,0)</f>
        <v>0</v>
      </c>
      <c r="M1625" s="201">
        <v>0</v>
      </c>
      <c r="N1625" s="201" t="s">
        <v>241</v>
      </c>
      <c r="O1625" s="201">
        <v>0</v>
      </c>
      <c r="P1625" s="201">
        <v>0</v>
      </c>
      <c r="Q1625" s="201">
        <f>'Mail Merge'!$O1625+'Mail Merge'!$P1625</f>
        <v>0</v>
      </c>
      <c r="R1625" s="201"/>
      <c r="S1625" s="201"/>
      <c r="T1625" s="201"/>
      <c r="U1625" s="201">
        <f>IF(AND('Mail Merge'!$I1625="Did Not Meet",'Mail Merge'!$N1625="Did Not Meet"),MIN(ABS('Mail Merge'!$H1625),ABS('Mail Merge'!$M1625),'Mail Merge'!$Q1625),0)</f>
        <v>0</v>
      </c>
      <c r="V1625" s="201" t="str">
        <f>IF(OR(IFERROR(SEARCH("Met",'Mail Merge'!$N1625),0)&gt;0,IFERROR(SEARCH("Met",'Mail Merge'!$I1625),0)&gt;0),"Met","Not Met")</f>
        <v>Met</v>
      </c>
    </row>
    <row r="1626" spans="1:22" x14ac:dyDescent="0.35">
      <c r="A1626" s="198" t="s">
        <v>70</v>
      </c>
      <c r="B1626" s="199">
        <v>1993</v>
      </c>
      <c r="C1626" s="199" t="s">
        <v>243</v>
      </c>
      <c r="D1626" s="199">
        <v>25</v>
      </c>
      <c r="E1626" s="199">
        <v>178820.84</v>
      </c>
      <c r="F1626" s="199">
        <v>49168.52</v>
      </c>
      <c r="G1626" s="199">
        <f>'Mail Merge'!$E1626+'Mail Merge'!$F1626</f>
        <v>227989.36</v>
      </c>
      <c r="H1626" s="199">
        <v>8118.5200000000186</v>
      </c>
      <c r="I1626" s="199" t="s">
        <v>240</v>
      </c>
      <c r="J1626" s="202">
        <f>IFERROR('Mail Merge'!$E1626/'Mail Merge'!$D1626,0)</f>
        <v>7152.8335999999999</v>
      </c>
      <c r="K1626" s="199">
        <f>IFERROR('Mail Merge'!$F1626/'Mail Merge'!$D1626,0)</f>
        <v>1966.7407999999998</v>
      </c>
      <c r="L1626" s="203">
        <f>IFERROR('Mail Merge'!$G1626/'Mail Merge'!$D1626,0)</f>
        <v>9119.5743999999995</v>
      </c>
      <c r="M1626" s="199">
        <v>40315.049090909997</v>
      </c>
      <c r="N1626" s="199" t="s">
        <v>240</v>
      </c>
      <c r="O1626" s="199">
        <v>32598.959999999999</v>
      </c>
      <c r="P1626" s="199">
        <v>0</v>
      </c>
      <c r="Q1626" s="199">
        <f>'Mail Merge'!$O1626+'Mail Merge'!$P1626</f>
        <v>32598.959999999999</v>
      </c>
      <c r="R1626" s="199"/>
      <c r="S1626" s="199">
        <v>0</v>
      </c>
      <c r="T1626" s="199">
        <v>0</v>
      </c>
      <c r="U1626" s="199">
        <f>IF(AND('Mail Merge'!$I1626="Did Not Meet",'Mail Merge'!$N1626="Did Not Meet"),MIN(ABS('Mail Merge'!$H1626),ABS('Mail Merge'!$M1626),'Mail Merge'!$Q1626),0)</f>
        <v>8118.5200000000186</v>
      </c>
      <c r="V1626" s="199" t="str">
        <f>IF(OR(IFERROR(SEARCH("Met",'Mail Merge'!$N1626),0)&gt;0,IFERROR(SEARCH("Met",'Mail Merge'!$I1626),0)&gt;0),"Met","Not Met")</f>
        <v>Not Met</v>
      </c>
    </row>
    <row r="1627" spans="1:22" x14ac:dyDescent="0.35">
      <c r="A1627" s="200" t="s">
        <v>71</v>
      </c>
      <c r="B1627" s="201">
        <v>1991</v>
      </c>
      <c r="C1627" s="201" t="s">
        <v>243</v>
      </c>
      <c r="D1627" s="201">
        <v>726</v>
      </c>
      <c r="E1627" s="201">
        <v>6238849.8200000003</v>
      </c>
      <c r="F1627" s="201">
        <v>1566049.58</v>
      </c>
      <c r="G1627" s="201">
        <f>'Mail Merge'!$E1627+'Mail Merge'!$F1627</f>
        <v>7804899.4000000004</v>
      </c>
      <c r="H1627" s="201">
        <v>0</v>
      </c>
      <c r="I1627" s="201" t="s">
        <v>241</v>
      </c>
      <c r="J1627" s="204">
        <f>IFERROR('Mail Merge'!$E1627/'Mail Merge'!$D1627,0)</f>
        <v>8593.4570523415987</v>
      </c>
      <c r="K1627" s="201">
        <f>IFERROR('Mail Merge'!$F1627/'Mail Merge'!$D1627,0)</f>
        <v>2157.0930853994491</v>
      </c>
      <c r="L1627" s="205">
        <f>IFERROR('Mail Merge'!$G1627/'Mail Merge'!$D1627,0)</f>
        <v>10750.550137741047</v>
      </c>
      <c r="M1627" s="201">
        <v>585122.06321425363</v>
      </c>
      <c r="N1627" s="201" t="s">
        <v>240</v>
      </c>
      <c r="O1627" s="201">
        <v>971627.61</v>
      </c>
      <c r="P1627" s="201">
        <v>11179.63</v>
      </c>
      <c r="Q1627" s="201">
        <f>'Mail Merge'!$O1627+'Mail Merge'!$P1627</f>
        <v>982807.24</v>
      </c>
      <c r="R1627" s="201"/>
      <c r="S1627" s="201"/>
      <c r="T1627" s="201">
        <v>0</v>
      </c>
      <c r="U1627" s="201">
        <f>IF(AND('Mail Merge'!$I1627="Did Not Meet",'Mail Merge'!$N1627="Did Not Meet"),MIN(ABS('Mail Merge'!$H1627),ABS('Mail Merge'!$M1627),'Mail Merge'!$Q1627),0)</f>
        <v>0</v>
      </c>
      <c r="V1627" s="201" t="str">
        <f>IF(OR(IFERROR(SEARCH("Met",'Mail Merge'!$N1627),0)&gt;0,IFERROR(SEARCH("Met",'Mail Merge'!$I1627),0)&gt;0),"Met","Not Met")</f>
        <v>Met</v>
      </c>
    </row>
    <row r="1628" spans="1:22" x14ac:dyDescent="0.35">
      <c r="A1628" s="198" t="s">
        <v>72</v>
      </c>
      <c r="B1628" s="199">
        <v>2019</v>
      </c>
      <c r="C1628" s="199" t="s">
        <v>243</v>
      </c>
      <c r="D1628" s="199">
        <v>0</v>
      </c>
      <c r="E1628" s="199">
        <v>9000</v>
      </c>
      <c r="F1628" s="199">
        <v>3737</v>
      </c>
      <c r="G1628" s="199">
        <f>'Mail Merge'!$E1628+'Mail Merge'!$F1628</f>
        <v>12737</v>
      </c>
      <c r="H1628" s="199">
        <v>0</v>
      </c>
      <c r="I1628" s="199" t="s">
        <v>241</v>
      </c>
      <c r="J1628" s="202">
        <f>IFERROR('Mail Merge'!$E1628/'Mail Merge'!$D1628,0)</f>
        <v>0</v>
      </c>
      <c r="K1628" s="199">
        <f>IFERROR('Mail Merge'!$F1628/'Mail Merge'!$D1628,0)</f>
        <v>0</v>
      </c>
      <c r="L1628" s="203">
        <f>IFERROR('Mail Merge'!$G1628/'Mail Merge'!$D1628,0)</f>
        <v>0</v>
      </c>
      <c r="M1628" s="199">
        <v>0</v>
      </c>
      <c r="N1628" s="199" t="s">
        <v>240</v>
      </c>
      <c r="O1628" s="199">
        <v>0</v>
      </c>
      <c r="P1628" s="199">
        <v>0</v>
      </c>
      <c r="Q1628" s="199">
        <f>'Mail Merge'!$O1628+'Mail Merge'!$P1628</f>
        <v>0</v>
      </c>
      <c r="R1628" s="199"/>
      <c r="S1628" s="199"/>
      <c r="T1628" s="199">
        <v>8997.18</v>
      </c>
      <c r="U1628" s="199">
        <f>IF(AND('Mail Merge'!$I1628="Did Not Meet",'Mail Merge'!$N1628="Did Not Meet"),MIN(ABS('Mail Merge'!$H1628),ABS('Mail Merge'!$M1628),'Mail Merge'!$Q1628),0)</f>
        <v>0</v>
      </c>
      <c r="V1628" s="199" t="str">
        <f>IF(OR(IFERROR(SEARCH("Met",'Mail Merge'!$N1628),0)&gt;0,IFERROR(SEARCH("Met",'Mail Merge'!$I1628),0)&gt;0),"Met","Not Met")</f>
        <v>Met</v>
      </c>
    </row>
    <row r="1629" spans="1:22" x14ac:dyDescent="0.35">
      <c r="A1629" s="200" t="s">
        <v>73</v>
      </c>
      <c r="B1629" s="201">
        <v>2229</v>
      </c>
      <c r="C1629" s="201" t="s">
        <v>243</v>
      </c>
      <c r="D1629" s="201">
        <v>39</v>
      </c>
      <c r="E1629" s="201">
        <v>236941.02</v>
      </c>
      <c r="F1629" s="201">
        <v>0</v>
      </c>
      <c r="G1629" s="201">
        <f>'Mail Merge'!$E1629+'Mail Merge'!$F1629</f>
        <v>236941.02</v>
      </c>
      <c r="H1629" s="201">
        <v>0</v>
      </c>
      <c r="I1629" s="201" t="s">
        <v>241</v>
      </c>
      <c r="J1629" s="204">
        <f>IFERROR('Mail Merge'!$E1629/'Mail Merge'!$D1629,0)</f>
        <v>6075.4107692307689</v>
      </c>
      <c r="K1629" s="201">
        <f>IFERROR('Mail Merge'!$F1629/'Mail Merge'!$D1629,0)</f>
        <v>0</v>
      </c>
      <c r="L1629" s="205">
        <f>IFERROR('Mail Merge'!$G1629/'Mail Merge'!$D1629,0)</f>
        <v>6075.4107692307689</v>
      </c>
      <c r="M1629" s="201">
        <v>31484.0620588237</v>
      </c>
      <c r="N1629" s="201" t="s">
        <v>240</v>
      </c>
      <c r="O1629" s="201">
        <v>50787.519999999997</v>
      </c>
      <c r="P1629" s="201">
        <v>602.9</v>
      </c>
      <c r="Q1629" s="201">
        <f>'Mail Merge'!$O1629+'Mail Merge'!$P1629</f>
        <v>51390.42</v>
      </c>
      <c r="R1629" s="201"/>
      <c r="S1629" s="201"/>
      <c r="T1629" s="201">
        <v>0</v>
      </c>
      <c r="U1629" s="201">
        <f>IF(AND('Mail Merge'!$I1629="Did Not Meet",'Mail Merge'!$N1629="Did Not Meet"),MIN(ABS('Mail Merge'!$H1629),ABS('Mail Merge'!$M1629),'Mail Merge'!$Q1629),0)</f>
        <v>0</v>
      </c>
      <c r="V1629" s="201" t="str">
        <f>IF(OR(IFERROR(SEARCH("Met",'Mail Merge'!$N1629),0)&gt;0,IFERROR(SEARCH("Met",'Mail Merge'!$I1629),0)&gt;0),"Met","Not Met")</f>
        <v>Met</v>
      </c>
    </row>
    <row r="1630" spans="1:22" x14ac:dyDescent="0.35">
      <c r="A1630" s="198" t="s">
        <v>74</v>
      </c>
      <c r="B1630" s="199">
        <v>2043</v>
      </c>
      <c r="C1630" s="199" t="s">
        <v>243</v>
      </c>
      <c r="D1630" s="199">
        <v>541</v>
      </c>
      <c r="E1630" s="199">
        <v>3920412.75</v>
      </c>
      <c r="F1630" s="199">
        <v>198475.98</v>
      </c>
      <c r="G1630" s="199">
        <f>'Mail Merge'!$E1630+'Mail Merge'!$F1630</f>
        <v>4118888.73</v>
      </c>
      <c r="H1630" s="199">
        <v>0</v>
      </c>
      <c r="I1630" s="199" t="s">
        <v>241</v>
      </c>
      <c r="J1630" s="202">
        <f>IFERROR('Mail Merge'!$E1630/'Mail Merge'!$D1630,0)</f>
        <v>7246.6039741219965</v>
      </c>
      <c r="K1630" s="199">
        <f>IFERROR('Mail Merge'!$F1630/'Mail Merge'!$D1630,0)</f>
        <v>366.86872458410352</v>
      </c>
      <c r="L1630" s="203">
        <f>IFERROR('Mail Merge'!$G1630/'Mail Merge'!$D1630,0)</f>
        <v>7613.4726987060994</v>
      </c>
      <c r="M1630" s="199">
        <v>3928.5480733044324</v>
      </c>
      <c r="N1630" s="199" t="s">
        <v>242</v>
      </c>
      <c r="O1630" s="199">
        <v>652132.51</v>
      </c>
      <c r="P1630" s="199">
        <v>5853.41</v>
      </c>
      <c r="Q1630" s="199">
        <f>'Mail Merge'!$O1630+'Mail Merge'!$P1630</f>
        <v>657985.92000000004</v>
      </c>
      <c r="R1630" s="199"/>
      <c r="S1630" s="199"/>
      <c r="T1630" s="199">
        <v>305.02</v>
      </c>
      <c r="U1630" s="199">
        <f>IF(AND('Mail Merge'!$I1630="Did Not Meet",'Mail Merge'!$N1630="Did Not Meet"),MIN(ABS('Mail Merge'!$H1630),ABS('Mail Merge'!$M1630),'Mail Merge'!$Q1630),0)</f>
        <v>0</v>
      </c>
      <c r="V1630" s="199" t="str">
        <f>IF(OR(IFERROR(SEARCH("Met",'Mail Merge'!$N1630),0)&gt;0,IFERROR(SEARCH("Met",'Mail Merge'!$I1630),0)&gt;0),"Met","Not Met")</f>
        <v>Met</v>
      </c>
    </row>
    <row r="1631" spans="1:22" x14ac:dyDescent="0.35">
      <c r="A1631" s="200" t="s">
        <v>75</v>
      </c>
      <c r="B1631" s="201">
        <v>2203</v>
      </c>
      <c r="C1631" s="201" t="s">
        <v>243</v>
      </c>
      <c r="D1631" s="201">
        <v>46</v>
      </c>
      <c r="E1631" s="201">
        <v>225356.4</v>
      </c>
      <c r="F1631" s="201">
        <v>78225.070000000007</v>
      </c>
      <c r="G1631" s="201">
        <f>'Mail Merge'!$E1631+'Mail Merge'!$F1631</f>
        <v>303581.46999999997</v>
      </c>
      <c r="H1631" s="201">
        <v>0</v>
      </c>
      <c r="I1631" s="201" t="s">
        <v>241</v>
      </c>
      <c r="J1631" s="204">
        <f>IFERROR('Mail Merge'!$E1631/'Mail Merge'!$D1631,0)</f>
        <v>4899.0521739130436</v>
      </c>
      <c r="K1631" s="201">
        <f>IFERROR('Mail Merge'!$F1631/'Mail Merge'!$D1631,0)</f>
        <v>1700.5450000000001</v>
      </c>
      <c r="L1631" s="205">
        <f>IFERROR('Mail Merge'!$G1631/'Mail Merge'!$D1631,0)</f>
        <v>6599.5971739130428</v>
      </c>
      <c r="M1631" s="201">
        <v>0</v>
      </c>
      <c r="N1631" s="201" t="s">
        <v>241</v>
      </c>
      <c r="O1631" s="201">
        <v>44549.84</v>
      </c>
      <c r="P1631" s="201">
        <v>100.48</v>
      </c>
      <c r="Q1631" s="201">
        <f>'Mail Merge'!$O1631+'Mail Merge'!$P1631</f>
        <v>44650.32</v>
      </c>
      <c r="R1631" s="201"/>
      <c r="S1631" s="201"/>
      <c r="T1631" s="201"/>
      <c r="U1631" s="201">
        <f>IF(AND('Mail Merge'!$I1631="Did Not Meet",'Mail Merge'!$N1631="Did Not Meet"),MIN(ABS('Mail Merge'!$H1631),ABS('Mail Merge'!$M1631),'Mail Merge'!$Q1631),0)</f>
        <v>0</v>
      </c>
      <c r="V1631" s="201" t="str">
        <f>IF(OR(IFERROR(SEARCH("Met",'Mail Merge'!$N1631),0)&gt;0,IFERROR(SEARCH("Met",'Mail Merge'!$I1631),0)&gt;0),"Met","Not Met")</f>
        <v>Met</v>
      </c>
    </row>
    <row r="1632" spans="1:22" x14ac:dyDescent="0.35">
      <c r="A1632" s="198" t="s">
        <v>76</v>
      </c>
      <c r="B1632" s="199">
        <v>2217</v>
      </c>
      <c r="C1632" s="199" t="s">
        <v>243</v>
      </c>
      <c r="D1632" s="199">
        <v>48</v>
      </c>
      <c r="E1632" s="199">
        <v>342885.02</v>
      </c>
      <c r="F1632" s="199">
        <v>81568.03</v>
      </c>
      <c r="G1632" s="199">
        <f>'Mail Merge'!$E1632+'Mail Merge'!$F1632</f>
        <v>424453.05000000005</v>
      </c>
      <c r="H1632" s="199">
        <v>0</v>
      </c>
      <c r="I1632" s="199" t="s">
        <v>241</v>
      </c>
      <c r="J1632" s="202">
        <f>IFERROR('Mail Merge'!$E1632/'Mail Merge'!$D1632,0)</f>
        <v>7143.4379166666668</v>
      </c>
      <c r="K1632" s="199">
        <f>IFERROR('Mail Merge'!$F1632/'Mail Merge'!$D1632,0)</f>
        <v>1699.3339583333334</v>
      </c>
      <c r="L1632" s="203">
        <f>IFERROR('Mail Merge'!$G1632/'Mail Merge'!$D1632,0)</f>
        <v>8842.7718750000004</v>
      </c>
      <c r="M1632" s="199">
        <v>8996.1925531914749</v>
      </c>
      <c r="N1632" s="199" t="s">
        <v>240</v>
      </c>
      <c r="O1632" s="199">
        <v>64765.53</v>
      </c>
      <c r="P1632" s="199">
        <v>209.34</v>
      </c>
      <c r="Q1632" s="199">
        <f>'Mail Merge'!$O1632+'Mail Merge'!$P1632</f>
        <v>64974.869999999995</v>
      </c>
      <c r="R1632" s="199"/>
      <c r="S1632" s="199"/>
      <c r="T1632" s="199">
        <v>0</v>
      </c>
      <c r="U1632" s="199">
        <f>IF(AND('Mail Merge'!$I1632="Did Not Meet",'Mail Merge'!$N1632="Did Not Meet"),MIN(ABS('Mail Merge'!$H1632),ABS('Mail Merge'!$M1632),'Mail Merge'!$Q1632),0)</f>
        <v>0</v>
      </c>
      <c r="V1632" s="199" t="str">
        <f>IF(OR(IFERROR(SEARCH("Met",'Mail Merge'!$N1632),0)&gt;0,IFERROR(SEARCH("Met",'Mail Merge'!$I1632),0)&gt;0),"Met","Not Met")</f>
        <v>Met</v>
      </c>
    </row>
    <row r="1633" spans="1:22" x14ac:dyDescent="0.35">
      <c r="A1633" s="200" t="s">
        <v>77</v>
      </c>
      <c r="B1633" s="201">
        <v>1998</v>
      </c>
      <c r="C1633" s="201" t="s">
        <v>243</v>
      </c>
      <c r="D1633" s="201">
        <v>25</v>
      </c>
      <c r="E1633" s="201">
        <v>199551.27</v>
      </c>
      <c r="F1633" s="201">
        <v>39949.43</v>
      </c>
      <c r="G1633" s="201">
        <f>'Mail Merge'!$E1633+'Mail Merge'!$F1633</f>
        <v>239500.69999999998</v>
      </c>
      <c r="H1633" s="201">
        <v>0</v>
      </c>
      <c r="I1633" s="201" t="s">
        <v>241</v>
      </c>
      <c r="J1633" s="204">
        <f>IFERROR('Mail Merge'!$E1633/'Mail Merge'!$D1633,0)</f>
        <v>7982.0508</v>
      </c>
      <c r="K1633" s="201">
        <f>IFERROR('Mail Merge'!$F1633/'Mail Merge'!$D1633,0)</f>
        <v>1597.9772</v>
      </c>
      <c r="L1633" s="205">
        <f>IFERROR('Mail Merge'!$G1633/'Mail Merge'!$D1633,0)</f>
        <v>9580.0279999999984</v>
      </c>
      <c r="M1633" s="201">
        <v>0</v>
      </c>
      <c r="N1633" s="201" t="s">
        <v>241</v>
      </c>
      <c r="O1633" s="201">
        <v>42266.07</v>
      </c>
      <c r="P1633" s="201">
        <v>502.42</v>
      </c>
      <c r="Q1633" s="201">
        <f>'Mail Merge'!$O1633+'Mail Merge'!$P1633</f>
        <v>42768.49</v>
      </c>
      <c r="R1633" s="201"/>
      <c r="S1633" s="201"/>
      <c r="T1633" s="201"/>
      <c r="U1633" s="201">
        <f>IF(AND('Mail Merge'!$I1633="Did Not Meet",'Mail Merge'!$N1633="Did Not Meet"),MIN(ABS('Mail Merge'!$H1633),ABS('Mail Merge'!$M1633),'Mail Merge'!$Q1633),0)</f>
        <v>0</v>
      </c>
      <c r="V1633" s="201" t="str">
        <f>IF(OR(IFERROR(SEARCH("Met",'Mail Merge'!$N1633),0)&gt;0,IFERROR(SEARCH("Met",'Mail Merge'!$I1633),0)&gt;0),"Met","Not Met")</f>
        <v>Met</v>
      </c>
    </row>
    <row r="1634" spans="1:22" x14ac:dyDescent="0.35">
      <c r="A1634" s="198" t="s">
        <v>78</v>
      </c>
      <c r="B1634" s="199">
        <v>2221</v>
      </c>
      <c r="C1634" s="199" t="s">
        <v>243</v>
      </c>
      <c r="D1634" s="199">
        <v>65</v>
      </c>
      <c r="E1634" s="199">
        <v>126350.68</v>
      </c>
      <c r="F1634" s="199">
        <v>351855.51</v>
      </c>
      <c r="G1634" s="199">
        <f>'Mail Merge'!$E1634+'Mail Merge'!$F1634</f>
        <v>478206.19</v>
      </c>
      <c r="H1634" s="199">
        <v>0</v>
      </c>
      <c r="I1634" s="199" t="s">
        <v>241</v>
      </c>
      <c r="J1634" s="202">
        <f>IFERROR('Mail Merge'!$E1634/'Mail Merge'!$D1634,0)</f>
        <v>1943.8566153846152</v>
      </c>
      <c r="K1634" s="199">
        <f>IFERROR('Mail Merge'!$F1634/'Mail Merge'!$D1634,0)</f>
        <v>5413.1616923076926</v>
      </c>
      <c r="L1634" s="203">
        <f>IFERROR('Mail Merge'!$G1634/'Mail Merge'!$D1634,0)</f>
        <v>7357.0183076923076</v>
      </c>
      <c r="M1634" s="199">
        <v>0</v>
      </c>
      <c r="N1634" s="199" t="s">
        <v>241</v>
      </c>
      <c r="O1634" s="199">
        <v>92628.25</v>
      </c>
      <c r="P1634" s="199">
        <v>1507.25</v>
      </c>
      <c r="Q1634" s="199">
        <f>'Mail Merge'!$O1634+'Mail Merge'!$P1634</f>
        <v>94135.5</v>
      </c>
      <c r="R1634" s="199"/>
      <c r="S1634" s="199"/>
      <c r="T1634" s="199"/>
      <c r="U1634" s="199">
        <f>IF(AND('Mail Merge'!$I1634="Did Not Meet",'Mail Merge'!$N1634="Did Not Meet"),MIN(ABS('Mail Merge'!$H1634),ABS('Mail Merge'!$M1634),'Mail Merge'!$Q1634),0)</f>
        <v>0</v>
      </c>
      <c r="V1634" s="199" t="str">
        <f>IF(OR(IFERROR(SEARCH("Met",'Mail Merge'!$N1634),0)&gt;0,IFERROR(SEARCH("Met",'Mail Merge'!$I1634),0)&gt;0),"Met","Not Met")</f>
        <v>Met</v>
      </c>
    </row>
    <row r="1635" spans="1:22" x14ac:dyDescent="0.35">
      <c r="A1635" s="200" t="s">
        <v>79</v>
      </c>
      <c r="B1635" s="201">
        <v>1930</v>
      </c>
      <c r="C1635" s="201" t="s">
        <v>243</v>
      </c>
      <c r="D1635" s="201">
        <v>322</v>
      </c>
      <c r="E1635" s="201">
        <v>2802116.78</v>
      </c>
      <c r="F1635" s="201">
        <v>249879</v>
      </c>
      <c r="G1635" s="201">
        <f>'Mail Merge'!$E1635+'Mail Merge'!$F1635</f>
        <v>3051995.78</v>
      </c>
      <c r="H1635" s="201">
        <v>0</v>
      </c>
      <c r="I1635" s="201" t="s">
        <v>241</v>
      </c>
      <c r="J1635" s="204">
        <f>IFERROR('Mail Merge'!$E1635/'Mail Merge'!$D1635,0)</f>
        <v>8702.2260248447201</v>
      </c>
      <c r="K1635" s="201">
        <f>IFERROR('Mail Merge'!$F1635/'Mail Merge'!$D1635,0)</f>
        <v>776.02173913043475</v>
      </c>
      <c r="L1635" s="205">
        <f>IFERROR('Mail Merge'!$G1635/'Mail Merge'!$D1635,0)</f>
        <v>9478.2477639751542</v>
      </c>
      <c r="M1635" s="201">
        <v>158000.0043165329</v>
      </c>
      <c r="N1635" s="201" t="s">
        <v>240</v>
      </c>
      <c r="O1635" s="201">
        <v>422972.59</v>
      </c>
      <c r="P1635" s="201">
        <v>1842.2</v>
      </c>
      <c r="Q1635" s="201">
        <f>'Mail Merge'!$O1635+'Mail Merge'!$P1635</f>
        <v>424814.79000000004</v>
      </c>
      <c r="R1635" s="201"/>
      <c r="S1635" s="201"/>
      <c r="T1635" s="201">
        <v>1107.8499999999999</v>
      </c>
      <c r="U1635" s="201">
        <f>IF(AND('Mail Merge'!$I1635="Did Not Meet",'Mail Merge'!$N1635="Did Not Meet"),MIN(ABS('Mail Merge'!$H1635),ABS('Mail Merge'!$M1635),'Mail Merge'!$Q1635),0)</f>
        <v>0</v>
      </c>
      <c r="V1635" s="201" t="str">
        <f>IF(OR(IFERROR(SEARCH("Met",'Mail Merge'!$N1635),0)&gt;0,IFERROR(SEARCH("Met",'Mail Merge'!$I1635),0)&gt;0),"Met","Not Met")</f>
        <v>Met</v>
      </c>
    </row>
    <row r="1636" spans="1:22" x14ac:dyDescent="0.35">
      <c r="A1636" s="198" t="s">
        <v>80</v>
      </c>
      <c r="B1636" s="199">
        <v>2082</v>
      </c>
      <c r="C1636" s="199" t="s">
        <v>243</v>
      </c>
      <c r="D1636" s="199">
        <v>2306</v>
      </c>
      <c r="E1636" s="199">
        <v>24317067.34</v>
      </c>
      <c r="F1636" s="199">
        <v>3289348</v>
      </c>
      <c r="G1636" s="199">
        <f>'Mail Merge'!$E1636+'Mail Merge'!$F1636</f>
        <v>27606415.34</v>
      </c>
      <c r="H1636" s="199">
        <v>0</v>
      </c>
      <c r="I1636" s="199" t="s">
        <v>241</v>
      </c>
      <c r="J1636" s="202">
        <f>IFERROR('Mail Merge'!$E1636/'Mail Merge'!$D1636,0)</f>
        <v>10545.12894189072</v>
      </c>
      <c r="K1636" s="199">
        <f>IFERROR('Mail Merge'!$F1636/'Mail Merge'!$D1636,0)</f>
        <v>1426.4301821335646</v>
      </c>
      <c r="L1636" s="203">
        <f>IFERROR('Mail Merge'!$G1636/'Mail Merge'!$D1636,0)</f>
        <v>11971.559124024285</v>
      </c>
      <c r="M1636" s="199">
        <v>0</v>
      </c>
      <c r="N1636" s="199" t="s">
        <v>241</v>
      </c>
      <c r="O1636" s="199">
        <v>3192222.23</v>
      </c>
      <c r="P1636" s="199">
        <v>29300.74</v>
      </c>
      <c r="Q1636" s="199">
        <f>'Mail Merge'!$O1636+'Mail Merge'!$P1636</f>
        <v>3221522.97</v>
      </c>
      <c r="R1636" s="199"/>
      <c r="S1636" s="199"/>
      <c r="T1636" s="199"/>
      <c r="U1636" s="199">
        <f>IF(AND('Mail Merge'!$I1636="Did Not Meet",'Mail Merge'!$N1636="Did Not Meet"),MIN(ABS('Mail Merge'!$H1636),ABS('Mail Merge'!$M1636),'Mail Merge'!$Q1636),0)</f>
        <v>0</v>
      </c>
      <c r="V1636" s="199" t="str">
        <f>IF(OR(IFERROR(SEARCH("Met",'Mail Merge'!$N1636),0)&gt;0,IFERROR(SEARCH("Met",'Mail Merge'!$I1636),0)&gt;0),"Met","Not Met")</f>
        <v>Met</v>
      </c>
    </row>
    <row r="1637" spans="1:22" x14ac:dyDescent="0.35">
      <c r="A1637" s="200" t="s">
        <v>81</v>
      </c>
      <c r="B1637" s="201">
        <v>2193</v>
      </c>
      <c r="C1637" s="201" t="s">
        <v>243</v>
      </c>
      <c r="D1637" s="201">
        <v>39</v>
      </c>
      <c r="E1637" s="201">
        <v>272057.34000000003</v>
      </c>
      <c r="F1637" s="201">
        <v>83505.2</v>
      </c>
      <c r="G1637" s="201">
        <f>'Mail Merge'!$E1637+'Mail Merge'!$F1637</f>
        <v>355562.54000000004</v>
      </c>
      <c r="H1637" s="201">
        <v>975.73299999999108</v>
      </c>
      <c r="I1637" s="201" t="s">
        <v>240</v>
      </c>
      <c r="J1637" s="204">
        <f>IFERROR('Mail Merge'!$E1637/'Mail Merge'!$D1637,0)</f>
        <v>6975.8292307692318</v>
      </c>
      <c r="K1637" s="201">
        <f>IFERROR('Mail Merge'!$F1637/'Mail Merge'!$D1637,0)</f>
        <v>2141.1589743589743</v>
      </c>
      <c r="L1637" s="205">
        <f>IFERROR('Mail Merge'!$G1637/'Mail Merge'!$D1637,0)</f>
        <v>9116.9882051282057</v>
      </c>
      <c r="M1637" s="201">
        <v>33716.686088235714</v>
      </c>
      <c r="N1637" s="201" t="s">
        <v>240</v>
      </c>
      <c r="O1637" s="201">
        <v>51526.06</v>
      </c>
      <c r="P1637" s="201">
        <v>0</v>
      </c>
      <c r="Q1637" s="201">
        <f>'Mail Merge'!$O1637+'Mail Merge'!$P1637</f>
        <v>51526.06</v>
      </c>
      <c r="R1637" s="201"/>
      <c r="S1637" s="201">
        <v>9142.01</v>
      </c>
      <c r="T1637" s="201">
        <v>268.88</v>
      </c>
      <c r="U1637" s="201">
        <f>IF(AND('Mail Merge'!$I1637="Did Not Meet",'Mail Merge'!$N1637="Did Not Meet"),MIN(ABS('Mail Merge'!$H1637),ABS('Mail Merge'!$M1637),'Mail Merge'!$Q1637),0)</f>
        <v>975.73299999999108</v>
      </c>
      <c r="V1637" s="201" t="str">
        <f>IF(OR(IFERROR(SEARCH("Met",'Mail Merge'!$N1637),0)&gt;0,IFERROR(SEARCH("Met",'Mail Merge'!$I1637),0)&gt;0),"Met","Not Met")</f>
        <v>Not Met</v>
      </c>
    </row>
    <row r="1638" spans="1:22" x14ac:dyDescent="0.35">
      <c r="A1638" s="198" t="s">
        <v>82</v>
      </c>
      <c r="B1638" s="199">
        <v>2084</v>
      </c>
      <c r="C1638" s="199" t="s">
        <v>243</v>
      </c>
      <c r="D1638" s="199">
        <v>234</v>
      </c>
      <c r="E1638" s="199">
        <v>3027281.03</v>
      </c>
      <c r="F1638" s="199">
        <v>232757</v>
      </c>
      <c r="G1638" s="199">
        <f>'Mail Merge'!$E1638+'Mail Merge'!$F1638</f>
        <v>3260038.03</v>
      </c>
      <c r="H1638" s="199">
        <v>0</v>
      </c>
      <c r="I1638" s="199" t="s">
        <v>241</v>
      </c>
      <c r="J1638" s="202">
        <f>IFERROR('Mail Merge'!$E1638/'Mail Merge'!$D1638,0)</f>
        <v>12937.098418803418</v>
      </c>
      <c r="K1638" s="199">
        <f>IFERROR('Mail Merge'!$F1638/'Mail Merge'!$D1638,0)</f>
        <v>994.68803418803418</v>
      </c>
      <c r="L1638" s="203">
        <f>IFERROR('Mail Merge'!$G1638/'Mail Merge'!$D1638,0)</f>
        <v>13931.786452991451</v>
      </c>
      <c r="M1638" s="199">
        <v>0</v>
      </c>
      <c r="N1638" s="199" t="s">
        <v>241</v>
      </c>
      <c r="O1638" s="199">
        <v>321054.83</v>
      </c>
      <c r="P1638" s="199">
        <v>243.11</v>
      </c>
      <c r="Q1638" s="199">
        <f>'Mail Merge'!$O1638+'Mail Merge'!$P1638</f>
        <v>321297.94</v>
      </c>
      <c r="R1638" s="199"/>
      <c r="S1638" s="199"/>
      <c r="T1638" s="199"/>
      <c r="U1638" s="199">
        <f>IF(AND('Mail Merge'!$I1638="Did Not Meet",'Mail Merge'!$N1638="Did Not Meet"),MIN(ABS('Mail Merge'!$H1638),ABS('Mail Merge'!$M1638),'Mail Merge'!$Q1638),0)</f>
        <v>0</v>
      </c>
      <c r="V1638" s="199" t="str">
        <f>IF(OR(IFERROR(SEARCH("Met",'Mail Merge'!$N1638),0)&gt;0,IFERROR(SEARCH("Met",'Mail Merge'!$I1638),0)&gt;0),"Met","Not Met")</f>
        <v>Met</v>
      </c>
    </row>
    <row r="1639" spans="1:22" x14ac:dyDescent="0.35">
      <c r="A1639" s="200" t="s">
        <v>83</v>
      </c>
      <c r="B1639" s="201">
        <v>2241</v>
      </c>
      <c r="C1639" s="201" t="s">
        <v>243</v>
      </c>
      <c r="D1639" s="201">
        <v>919</v>
      </c>
      <c r="E1639" s="201">
        <v>12044662.25</v>
      </c>
      <c r="F1639" s="201">
        <v>333215</v>
      </c>
      <c r="G1639" s="201">
        <f>'Mail Merge'!$E1639+'Mail Merge'!$F1639</f>
        <v>12377877.25</v>
      </c>
      <c r="H1639" s="201">
        <v>0</v>
      </c>
      <c r="I1639" s="201" t="s">
        <v>241</v>
      </c>
      <c r="J1639" s="204">
        <f>IFERROR('Mail Merge'!$E1639/'Mail Merge'!$D1639,0)</f>
        <v>13106.270130576713</v>
      </c>
      <c r="K1639" s="201">
        <f>IFERROR('Mail Merge'!$F1639/'Mail Merge'!$D1639,0)</f>
        <v>362.58433079434167</v>
      </c>
      <c r="L1639" s="205">
        <f>IFERROR('Mail Merge'!$G1639/'Mail Merge'!$D1639,0)</f>
        <v>13468.854461371055</v>
      </c>
      <c r="M1639" s="201">
        <v>278134.83584168897</v>
      </c>
      <c r="N1639" s="201" t="s">
        <v>240</v>
      </c>
      <c r="O1639" s="201">
        <v>875031.9</v>
      </c>
      <c r="P1639" s="201">
        <v>6301.16</v>
      </c>
      <c r="Q1639" s="201">
        <f>'Mail Merge'!$O1639+'Mail Merge'!$P1639</f>
        <v>881333.06</v>
      </c>
      <c r="R1639" s="201"/>
      <c r="S1639" s="201"/>
      <c r="T1639" s="201">
        <v>0</v>
      </c>
      <c r="U1639" s="201">
        <f>IF(AND('Mail Merge'!$I1639="Did Not Meet",'Mail Merge'!$N1639="Did Not Meet"),MIN(ABS('Mail Merge'!$H1639),ABS('Mail Merge'!$M1639),'Mail Merge'!$Q1639),0)</f>
        <v>0</v>
      </c>
      <c r="V1639" s="201" t="str">
        <f>IF(OR(IFERROR(SEARCH("Met",'Mail Merge'!$N1639),0)&gt;0,IFERROR(SEARCH("Met",'Mail Merge'!$I1639),0)&gt;0),"Met","Not Met")</f>
        <v>Met</v>
      </c>
    </row>
    <row r="1640" spans="1:22" x14ac:dyDescent="0.35">
      <c r="A1640" s="198" t="s">
        <v>84</v>
      </c>
      <c r="B1640" s="199">
        <v>2248</v>
      </c>
      <c r="C1640" s="199" t="s">
        <v>243</v>
      </c>
      <c r="D1640" s="199">
        <v>46</v>
      </c>
      <c r="E1640" s="199">
        <v>205472.75</v>
      </c>
      <c r="F1640" s="199">
        <v>49345</v>
      </c>
      <c r="G1640" s="199">
        <f>'Mail Merge'!$E1640+'Mail Merge'!$F1640</f>
        <v>254817.75</v>
      </c>
      <c r="H1640" s="199">
        <v>0</v>
      </c>
      <c r="I1640" s="199" t="s">
        <v>241</v>
      </c>
      <c r="J1640" s="202">
        <f>IFERROR('Mail Merge'!$E1640/'Mail Merge'!$D1640,0)</f>
        <v>4466.798913043478</v>
      </c>
      <c r="K1640" s="199">
        <f>IFERROR('Mail Merge'!$F1640/'Mail Merge'!$D1640,0)</f>
        <v>1072.7173913043478</v>
      </c>
      <c r="L1640" s="203">
        <f>IFERROR('Mail Merge'!$G1640/'Mail Merge'!$D1640,0)</f>
        <v>5539.516304347826</v>
      </c>
      <c r="M1640" s="199">
        <v>99719.559374999997</v>
      </c>
      <c r="N1640" s="199" t="s">
        <v>240</v>
      </c>
      <c r="O1640" s="199">
        <v>67629.990000000005</v>
      </c>
      <c r="P1640" s="199">
        <v>0</v>
      </c>
      <c r="Q1640" s="199">
        <f>'Mail Merge'!$O1640+'Mail Merge'!$P1640</f>
        <v>67629.990000000005</v>
      </c>
      <c r="R1640" s="199"/>
      <c r="S1640" s="199"/>
      <c r="T1640" s="199">
        <v>0</v>
      </c>
      <c r="U1640" s="199">
        <f>IF(AND('Mail Merge'!$I1640="Did Not Meet",'Mail Merge'!$N1640="Did Not Meet"),MIN(ABS('Mail Merge'!$H1640),ABS('Mail Merge'!$M1640),'Mail Merge'!$Q1640),0)</f>
        <v>0</v>
      </c>
      <c r="V1640" s="199" t="str">
        <f>IF(OR(IFERROR(SEARCH("Met",'Mail Merge'!$N1640),0)&gt;0,IFERROR(SEARCH("Met",'Mail Merge'!$I1640),0)&gt;0),"Met","Not Met")</f>
        <v>Met</v>
      </c>
    </row>
    <row r="1641" spans="1:22" x14ac:dyDescent="0.35">
      <c r="A1641" s="200" t="s">
        <v>85</v>
      </c>
      <c r="B1641" s="201">
        <v>2020</v>
      </c>
      <c r="C1641" s="201" t="s">
        <v>243</v>
      </c>
      <c r="D1641" s="201">
        <v>25</v>
      </c>
      <c r="E1641" s="201">
        <v>279964.90999999997</v>
      </c>
      <c r="F1641" s="201">
        <v>54652</v>
      </c>
      <c r="G1641" s="201">
        <f>'Mail Merge'!$E1641+'Mail Merge'!$F1641</f>
        <v>334616.90999999997</v>
      </c>
      <c r="H1641" s="201">
        <v>0</v>
      </c>
      <c r="I1641" s="201" t="s">
        <v>241</v>
      </c>
      <c r="J1641" s="204">
        <f>IFERROR('Mail Merge'!$E1641/'Mail Merge'!$D1641,0)</f>
        <v>11198.596399999999</v>
      </c>
      <c r="K1641" s="201">
        <f>IFERROR('Mail Merge'!$F1641/'Mail Merge'!$D1641,0)</f>
        <v>2186.08</v>
      </c>
      <c r="L1641" s="205">
        <f>IFERROR('Mail Merge'!$G1641/'Mail Merge'!$D1641,0)</f>
        <v>13384.676399999998</v>
      </c>
      <c r="M1641" s="201">
        <v>0</v>
      </c>
      <c r="N1641" s="201" t="s">
        <v>241</v>
      </c>
      <c r="O1641" s="201">
        <v>0</v>
      </c>
      <c r="P1641" s="201">
        <v>0</v>
      </c>
      <c r="Q1641" s="201">
        <f>'Mail Merge'!$O1641+'Mail Merge'!$P1641</f>
        <v>0</v>
      </c>
      <c r="R1641" s="201"/>
      <c r="S1641" s="201"/>
      <c r="T1641" s="201"/>
      <c r="U1641" s="201">
        <f>IF(AND('Mail Merge'!$I1641="Did Not Meet",'Mail Merge'!$N1641="Did Not Meet"),MIN(ABS('Mail Merge'!$H1641),ABS('Mail Merge'!$M1641),'Mail Merge'!$Q1641),0)</f>
        <v>0</v>
      </c>
      <c r="V1641" s="201" t="str">
        <f>IF(OR(IFERROR(SEARCH("Met",'Mail Merge'!$N1641),0)&gt;0,IFERROR(SEARCH("Met",'Mail Merge'!$I1641),0)&gt;0),"Met","Not Met")</f>
        <v>Met</v>
      </c>
    </row>
    <row r="1642" spans="1:22" x14ac:dyDescent="0.35">
      <c r="A1642" s="198" t="s">
        <v>86</v>
      </c>
      <c r="B1642" s="199">
        <v>2245</v>
      </c>
      <c r="C1642" s="199" t="s">
        <v>243</v>
      </c>
      <c r="D1642" s="199">
        <v>98</v>
      </c>
      <c r="E1642" s="199">
        <v>882886.96</v>
      </c>
      <c r="F1642" s="199">
        <v>15655</v>
      </c>
      <c r="G1642" s="199">
        <f>'Mail Merge'!$E1642+'Mail Merge'!$F1642</f>
        <v>898541.96</v>
      </c>
      <c r="H1642" s="199">
        <v>0</v>
      </c>
      <c r="I1642" s="199" t="s">
        <v>241</v>
      </c>
      <c r="J1642" s="202">
        <f>IFERROR('Mail Merge'!$E1642/'Mail Merge'!$D1642,0)</f>
        <v>9009.0506122448969</v>
      </c>
      <c r="K1642" s="199">
        <f>IFERROR('Mail Merge'!$F1642/'Mail Merge'!$D1642,0)</f>
        <v>159.74489795918367</v>
      </c>
      <c r="L1642" s="203">
        <f>IFERROR('Mail Merge'!$G1642/'Mail Merge'!$D1642,0)</f>
        <v>9168.7955102040814</v>
      </c>
      <c r="M1642" s="199">
        <v>121378.3286046483</v>
      </c>
      <c r="N1642" s="199" t="s">
        <v>240</v>
      </c>
      <c r="O1642" s="199">
        <v>99707.89</v>
      </c>
      <c r="P1642" s="199">
        <v>628.02</v>
      </c>
      <c r="Q1642" s="199">
        <f>'Mail Merge'!$O1642+'Mail Merge'!$P1642</f>
        <v>100335.91</v>
      </c>
      <c r="R1642" s="199"/>
      <c r="S1642" s="199"/>
      <c r="T1642" s="199">
        <v>0</v>
      </c>
      <c r="U1642" s="199">
        <f>IF(AND('Mail Merge'!$I1642="Did Not Meet",'Mail Merge'!$N1642="Did Not Meet"),MIN(ABS('Mail Merge'!$H1642),ABS('Mail Merge'!$M1642),'Mail Merge'!$Q1642),0)</f>
        <v>0</v>
      </c>
      <c r="V1642" s="199" t="str">
        <f>IF(OR(IFERROR(SEARCH("Met",'Mail Merge'!$N1642),0)&gt;0,IFERROR(SEARCH("Met",'Mail Merge'!$I1642),0)&gt;0),"Met","Not Met")</f>
        <v>Met</v>
      </c>
    </row>
    <row r="1643" spans="1:22" x14ac:dyDescent="0.35">
      <c r="A1643" s="200" t="s">
        <v>87</v>
      </c>
      <c r="B1643" s="201">
        <v>2137</v>
      </c>
      <c r="C1643" s="201" t="s">
        <v>243</v>
      </c>
      <c r="D1643" s="201">
        <v>167</v>
      </c>
      <c r="E1643" s="201">
        <v>1258015.95</v>
      </c>
      <c r="F1643" s="201">
        <v>198361.34</v>
      </c>
      <c r="G1643" s="201">
        <f>'Mail Merge'!$E1643+'Mail Merge'!$F1643</f>
        <v>1456377.29</v>
      </c>
      <c r="H1643" s="201">
        <v>0</v>
      </c>
      <c r="I1643" s="201" t="s">
        <v>241</v>
      </c>
      <c r="J1643" s="204">
        <f>IFERROR('Mail Merge'!$E1643/'Mail Merge'!$D1643,0)</f>
        <v>7533.0296407185624</v>
      </c>
      <c r="K1643" s="201">
        <f>IFERROR('Mail Merge'!$F1643/'Mail Merge'!$D1643,0)</f>
        <v>1187.7924550898204</v>
      </c>
      <c r="L1643" s="205">
        <f>IFERROR('Mail Merge'!$G1643/'Mail Merge'!$D1643,0)</f>
        <v>8720.8220958083839</v>
      </c>
      <c r="M1643" s="201">
        <v>360715.77007518918</v>
      </c>
      <c r="N1643" s="201" t="s">
        <v>240</v>
      </c>
      <c r="O1643" s="201">
        <v>209421.61</v>
      </c>
      <c r="P1643" s="201">
        <v>659.42</v>
      </c>
      <c r="Q1643" s="201">
        <f>'Mail Merge'!$O1643+'Mail Merge'!$P1643</f>
        <v>210081.03</v>
      </c>
      <c r="R1643" s="201"/>
      <c r="S1643" s="201"/>
      <c r="T1643" s="201">
        <v>0</v>
      </c>
      <c r="U1643" s="201">
        <f>IF(AND('Mail Merge'!$I1643="Did Not Meet",'Mail Merge'!$N1643="Did Not Meet"),MIN(ABS('Mail Merge'!$H1643),ABS('Mail Merge'!$M1643),'Mail Merge'!$Q1643),0)</f>
        <v>0</v>
      </c>
      <c r="V1643" s="201" t="str">
        <f>IF(OR(IFERROR(SEARCH("Met",'Mail Merge'!$N1643),0)&gt;0,IFERROR(SEARCH("Met",'Mail Merge'!$I1643),0)&gt;0),"Met","Not Met")</f>
        <v>Met</v>
      </c>
    </row>
    <row r="1644" spans="1:22" x14ac:dyDescent="0.35">
      <c r="A1644" s="198" t="s">
        <v>88</v>
      </c>
      <c r="B1644" s="199">
        <v>1931</v>
      </c>
      <c r="C1644" s="199" t="s">
        <v>243</v>
      </c>
      <c r="D1644" s="199">
        <v>262</v>
      </c>
      <c r="E1644" s="199">
        <v>3167044</v>
      </c>
      <c r="F1644" s="199">
        <v>226656</v>
      </c>
      <c r="G1644" s="199">
        <f>'Mail Merge'!$E1644+'Mail Merge'!$F1644</f>
        <v>3393700</v>
      </c>
      <c r="H1644" s="199">
        <v>0</v>
      </c>
      <c r="I1644" s="199" t="s">
        <v>242</v>
      </c>
      <c r="J1644" s="202">
        <f>IFERROR('Mail Merge'!$E1644/'Mail Merge'!$D1644,0)</f>
        <v>12087.954198473282</v>
      </c>
      <c r="K1644" s="199">
        <f>IFERROR('Mail Merge'!$F1644/'Mail Merge'!$D1644,0)</f>
        <v>865.09923664122141</v>
      </c>
      <c r="L1644" s="203">
        <f>IFERROR('Mail Merge'!$G1644/'Mail Merge'!$D1644,0)</f>
        <v>12953.053435114503</v>
      </c>
      <c r="M1644" s="199">
        <v>0</v>
      </c>
      <c r="N1644" s="199" t="s">
        <v>241</v>
      </c>
      <c r="O1644" s="199">
        <v>345620.19</v>
      </c>
      <c r="P1644" s="199">
        <v>1921.75</v>
      </c>
      <c r="Q1644" s="199">
        <f>'Mail Merge'!$O1644+'Mail Merge'!$P1644</f>
        <v>347541.94</v>
      </c>
      <c r="R1644" s="199"/>
      <c r="S1644" s="199">
        <v>228372.94</v>
      </c>
      <c r="T1644" s="199"/>
      <c r="U1644" s="199">
        <f>IF(AND('Mail Merge'!$I1644="Did Not Meet",'Mail Merge'!$N1644="Did Not Meet"),MIN(ABS('Mail Merge'!$H1644),ABS('Mail Merge'!$M1644),'Mail Merge'!$Q1644),0)</f>
        <v>0</v>
      </c>
      <c r="V1644" s="199" t="str">
        <f>IF(OR(IFERROR(SEARCH("Met",'Mail Merge'!$N1644),0)&gt;0,IFERROR(SEARCH("Met",'Mail Merge'!$I1644),0)&gt;0),"Met","Not Met")</f>
        <v>Met</v>
      </c>
    </row>
    <row r="1645" spans="1:22" x14ac:dyDescent="0.35">
      <c r="A1645" s="200" t="s">
        <v>89</v>
      </c>
      <c r="B1645" s="201">
        <v>2000</v>
      </c>
      <c r="C1645" s="201" t="s">
        <v>243</v>
      </c>
      <c r="D1645" s="201">
        <v>56</v>
      </c>
      <c r="E1645" s="201">
        <v>530369.69999999995</v>
      </c>
      <c r="F1645" s="201">
        <v>107638.54</v>
      </c>
      <c r="G1645" s="201">
        <f>'Mail Merge'!$E1645+'Mail Merge'!$F1645</f>
        <v>638008.24</v>
      </c>
      <c r="H1645" s="201">
        <v>0</v>
      </c>
      <c r="I1645" s="201" t="s">
        <v>241</v>
      </c>
      <c r="J1645" s="204">
        <f>IFERROR('Mail Merge'!$E1645/'Mail Merge'!$D1645,0)</f>
        <v>9470.8874999999989</v>
      </c>
      <c r="K1645" s="201">
        <f>IFERROR('Mail Merge'!$F1645/'Mail Merge'!$D1645,0)</f>
        <v>1922.1167857142857</v>
      </c>
      <c r="L1645" s="205">
        <f>IFERROR('Mail Merge'!$G1645/'Mail Merge'!$D1645,0)</f>
        <v>11393.004285714285</v>
      </c>
      <c r="M1645" s="201">
        <v>11625.530434784858</v>
      </c>
      <c r="N1645" s="201" t="s">
        <v>240</v>
      </c>
      <c r="O1645" s="201">
        <v>50771.81</v>
      </c>
      <c r="P1645" s="201">
        <v>100.48</v>
      </c>
      <c r="Q1645" s="201">
        <f>'Mail Merge'!$O1645+'Mail Merge'!$P1645</f>
        <v>50872.29</v>
      </c>
      <c r="R1645" s="201"/>
      <c r="S1645" s="201"/>
      <c r="T1645" s="201">
        <v>0</v>
      </c>
      <c r="U1645" s="201">
        <f>IF(AND('Mail Merge'!$I1645="Did Not Meet",'Mail Merge'!$N1645="Did Not Meet"),MIN(ABS('Mail Merge'!$H1645),ABS('Mail Merge'!$M1645),'Mail Merge'!$Q1645),0)</f>
        <v>0</v>
      </c>
      <c r="V1645" s="201" t="str">
        <f>IF(OR(IFERROR(SEARCH("Met",'Mail Merge'!$N1645),0)&gt;0,IFERROR(SEARCH("Met",'Mail Merge'!$I1645),0)&gt;0),"Met","Not Met")</f>
        <v>Met</v>
      </c>
    </row>
    <row r="1646" spans="1:22" x14ac:dyDescent="0.35">
      <c r="A1646" s="198" t="s">
        <v>90</v>
      </c>
      <c r="B1646" s="199">
        <v>1992</v>
      </c>
      <c r="C1646" s="199" t="s">
        <v>243</v>
      </c>
      <c r="D1646" s="199">
        <v>87</v>
      </c>
      <c r="E1646" s="199">
        <v>675320.5</v>
      </c>
      <c r="F1646" s="199">
        <v>172003.7</v>
      </c>
      <c r="G1646" s="199">
        <f>'Mail Merge'!$E1646+'Mail Merge'!$F1646</f>
        <v>847324.2</v>
      </c>
      <c r="H1646" s="199">
        <v>0</v>
      </c>
      <c r="I1646" s="199" t="s">
        <v>241</v>
      </c>
      <c r="J1646" s="202">
        <f>IFERROR('Mail Merge'!$E1646/'Mail Merge'!$D1646,0)</f>
        <v>7762.3045977011498</v>
      </c>
      <c r="K1646" s="199">
        <f>IFERROR('Mail Merge'!$F1646/'Mail Merge'!$D1646,0)</f>
        <v>1977.0540229885059</v>
      </c>
      <c r="L1646" s="203">
        <f>IFERROR('Mail Merge'!$G1646/'Mail Merge'!$D1646,0)</f>
        <v>9739.3586206896543</v>
      </c>
      <c r="M1646" s="199">
        <v>0</v>
      </c>
      <c r="N1646" s="199" t="s">
        <v>241</v>
      </c>
      <c r="O1646" s="199">
        <v>161474.69</v>
      </c>
      <c r="P1646" s="199">
        <v>2473.44</v>
      </c>
      <c r="Q1646" s="199">
        <f>'Mail Merge'!$O1646+'Mail Merge'!$P1646</f>
        <v>163948.13</v>
      </c>
      <c r="R1646" s="199"/>
      <c r="S1646" s="199"/>
      <c r="T1646" s="199"/>
      <c r="U1646" s="199">
        <f>IF(AND('Mail Merge'!$I1646="Did Not Meet",'Mail Merge'!$N1646="Did Not Meet"),MIN(ABS('Mail Merge'!$H1646),ABS('Mail Merge'!$M1646),'Mail Merge'!$Q1646),0)</f>
        <v>0</v>
      </c>
      <c r="V1646" s="199" t="str">
        <f>IF(OR(IFERROR(SEARCH("Met",'Mail Merge'!$N1646),0)&gt;0,IFERROR(SEARCH("Met",'Mail Merge'!$I1646),0)&gt;0),"Met","Not Met")</f>
        <v>Met</v>
      </c>
    </row>
    <row r="1647" spans="1:22" x14ac:dyDescent="0.35">
      <c r="A1647" s="200" t="s">
        <v>91</v>
      </c>
      <c r="B1647" s="201">
        <v>2054</v>
      </c>
      <c r="C1647" s="201" t="s">
        <v>243</v>
      </c>
      <c r="D1647" s="201">
        <v>753</v>
      </c>
      <c r="E1647" s="201">
        <v>7807797.6399999997</v>
      </c>
      <c r="F1647" s="201">
        <v>0</v>
      </c>
      <c r="G1647" s="201">
        <f>'Mail Merge'!$E1647+'Mail Merge'!$F1647</f>
        <v>7807797.6399999997</v>
      </c>
      <c r="H1647" s="201">
        <v>0</v>
      </c>
      <c r="I1647" s="201" t="s">
        <v>241</v>
      </c>
      <c r="J1647" s="204">
        <f>IFERROR('Mail Merge'!$E1647/'Mail Merge'!$D1647,0)</f>
        <v>10368.921168658699</v>
      </c>
      <c r="K1647" s="201">
        <f>IFERROR('Mail Merge'!$F1647/'Mail Merge'!$D1647,0)</f>
        <v>0</v>
      </c>
      <c r="L1647" s="205">
        <f>IFERROR('Mail Merge'!$G1647/'Mail Merge'!$D1647,0)</f>
        <v>10368.921168658699</v>
      </c>
      <c r="M1647" s="201">
        <v>0</v>
      </c>
      <c r="N1647" s="201" t="s">
        <v>241</v>
      </c>
      <c r="O1647" s="201">
        <v>853976.1</v>
      </c>
      <c r="P1647" s="201">
        <v>8690.4699999999993</v>
      </c>
      <c r="Q1647" s="201">
        <f>'Mail Merge'!$O1647+'Mail Merge'!$P1647</f>
        <v>862666.57</v>
      </c>
      <c r="R1647" s="201"/>
      <c r="S1647" s="201"/>
      <c r="T1647" s="201"/>
      <c r="U1647" s="201">
        <f>IF(AND('Mail Merge'!$I1647="Did Not Meet",'Mail Merge'!$N1647="Did Not Meet"),MIN(ABS('Mail Merge'!$H1647),ABS('Mail Merge'!$M1647),'Mail Merge'!$Q1647),0)</f>
        <v>0</v>
      </c>
      <c r="V1647" s="201" t="str">
        <f>IF(OR(IFERROR(SEARCH("Met",'Mail Merge'!$N1647),0)&gt;0,IFERROR(SEARCH("Met",'Mail Merge'!$I1647),0)&gt;0),"Met","Not Met")</f>
        <v>Met</v>
      </c>
    </row>
    <row r="1648" spans="1:22" x14ac:dyDescent="0.35">
      <c r="A1648" s="198" t="s">
        <v>92</v>
      </c>
      <c r="B1648" s="199">
        <v>2100</v>
      </c>
      <c r="C1648" s="199" t="s">
        <v>243</v>
      </c>
      <c r="D1648" s="199">
        <v>1239</v>
      </c>
      <c r="E1648" s="199">
        <v>14747191.869999999</v>
      </c>
      <c r="F1648" s="199">
        <v>1313296</v>
      </c>
      <c r="G1648" s="199">
        <f>'Mail Merge'!$E1648+'Mail Merge'!$F1648</f>
        <v>16060487.869999999</v>
      </c>
      <c r="H1648" s="199">
        <v>0</v>
      </c>
      <c r="I1648" s="199" t="s">
        <v>241</v>
      </c>
      <c r="J1648" s="202">
        <f>IFERROR('Mail Merge'!$E1648/'Mail Merge'!$D1648,0)</f>
        <v>11902.495456012914</v>
      </c>
      <c r="K1648" s="199">
        <f>IFERROR('Mail Merge'!$F1648/'Mail Merge'!$D1648,0)</f>
        <v>1059.9644874899111</v>
      </c>
      <c r="L1648" s="203">
        <f>IFERROR('Mail Merge'!$G1648/'Mail Merge'!$D1648,0)</f>
        <v>12962.459943502825</v>
      </c>
      <c r="M1648" s="199">
        <v>0</v>
      </c>
      <c r="N1648" s="199" t="s">
        <v>241</v>
      </c>
      <c r="O1648" s="199">
        <v>1471039.43</v>
      </c>
      <c r="P1648" s="199">
        <v>15089.48</v>
      </c>
      <c r="Q1648" s="199">
        <f>'Mail Merge'!$O1648+'Mail Merge'!$P1648</f>
        <v>1486128.91</v>
      </c>
      <c r="R1648" s="199"/>
      <c r="S1648" s="199"/>
      <c r="T1648" s="199"/>
      <c r="U1648" s="199">
        <f>IF(AND('Mail Merge'!$I1648="Did Not Meet",'Mail Merge'!$N1648="Did Not Meet"),MIN(ABS('Mail Merge'!$H1648),ABS('Mail Merge'!$M1648),'Mail Merge'!$Q1648),0)</f>
        <v>0</v>
      </c>
      <c r="V1648" s="199" t="str">
        <f>IF(OR(IFERROR(SEARCH("Met",'Mail Merge'!$N1648),0)&gt;0,IFERROR(SEARCH("Met",'Mail Merge'!$I1648),0)&gt;0),"Met","Not Met")</f>
        <v>Met</v>
      </c>
    </row>
    <row r="1649" spans="1:22" x14ac:dyDescent="0.35">
      <c r="A1649" s="200" t="s">
        <v>93</v>
      </c>
      <c r="B1649" s="201">
        <v>2183</v>
      </c>
      <c r="C1649" s="201" t="s">
        <v>243</v>
      </c>
      <c r="D1649" s="201">
        <v>1478</v>
      </c>
      <c r="E1649" s="201">
        <v>17714994.629999999</v>
      </c>
      <c r="F1649" s="201">
        <v>1025845.83</v>
      </c>
      <c r="G1649" s="201">
        <f>'Mail Merge'!$E1649+'Mail Merge'!$F1649</f>
        <v>18740840.459999997</v>
      </c>
      <c r="H1649" s="201">
        <v>0</v>
      </c>
      <c r="I1649" s="201" t="s">
        <v>241</v>
      </c>
      <c r="J1649" s="204">
        <f>IFERROR('Mail Merge'!$E1649/'Mail Merge'!$D1649,0)</f>
        <v>11985.78797699594</v>
      </c>
      <c r="K1649" s="201">
        <f>IFERROR('Mail Merge'!$F1649/'Mail Merge'!$D1649,0)</f>
        <v>694.07701623815967</v>
      </c>
      <c r="L1649" s="205">
        <f>IFERROR('Mail Merge'!$G1649/'Mail Merge'!$D1649,0)</f>
        <v>12679.864993234098</v>
      </c>
      <c r="M1649" s="201">
        <v>0</v>
      </c>
      <c r="N1649" s="201" t="s">
        <v>241</v>
      </c>
      <c r="O1649" s="201">
        <v>2130852</v>
      </c>
      <c r="P1649" s="201">
        <v>12081.86</v>
      </c>
      <c r="Q1649" s="201">
        <f>'Mail Merge'!$O1649+'Mail Merge'!$P1649</f>
        <v>2142933.86</v>
      </c>
      <c r="R1649" s="201"/>
      <c r="S1649" s="201"/>
      <c r="T1649" s="201"/>
      <c r="U1649" s="201">
        <f>IF(AND('Mail Merge'!$I1649="Did Not Meet",'Mail Merge'!$N1649="Did Not Meet"),MIN(ABS('Mail Merge'!$H1649),ABS('Mail Merge'!$M1649),'Mail Merge'!$Q1649),0)</f>
        <v>0</v>
      </c>
      <c r="V1649" s="201" t="str">
        <f>IF(OR(IFERROR(SEARCH("Met",'Mail Merge'!$N1649),0)&gt;0,IFERROR(SEARCH("Met",'Mail Merge'!$I1649),0)&gt;0),"Met","Not Met")</f>
        <v>Met</v>
      </c>
    </row>
    <row r="1650" spans="1:22" x14ac:dyDescent="0.35">
      <c r="A1650" s="198" t="s">
        <v>94</v>
      </c>
      <c r="B1650" s="199">
        <v>2014</v>
      </c>
      <c r="C1650" s="199" t="s">
        <v>243</v>
      </c>
      <c r="D1650" s="199">
        <v>107</v>
      </c>
      <c r="E1650" s="199">
        <v>1306044.6499999999</v>
      </c>
      <c r="F1650" s="199">
        <v>123077</v>
      </c>
      <c r="G1650" s="199">
        <f>'Mail Merge'!$E1650+'Mail Merge'!$F1650</f>
        <v>1429121.65</v>
      </c>
      <c r="H1650" s="199">
        <v>0</v>
      </c>
      <c r="I1650" s="199" t="s">
        <v>241</v>
      </c>
      <c r="J1650" s="202">
        <f>IFERROR('Mail Merge'!$E1650/'Mail Merge'!$D1650,0)</f>
        <v>12206.02476635514</v>
      </c>
      <c r="K1650" s="199">
        <f>IFERROR('Mail Merge'!$F1650/'Mail Merge'!$D1650,0)</f>
        <v>1150.252336448598</v>
      </c>
      <c r="L1650" s="203">
        <f>IFERROR('Mail Merge'!$G1650/'Mail Merge'!$D1650,0)</f>
        <v>13356.277102803737</v>
      </c>
      <c r="M1650" s="199">
        <v>0</v>
      </c>
      <c r="N1650" s="199" t="s">
        <v>241</v>
      </c>
      <c r="O1650" s="199">
        <v>171734.27</v>
      </c>
      <c r="P1650" s="199">
        <v>1909.19</v>
      </c>
      <c r="Q1650" s="199">
        <f>'Mail Merge'!$O1650+'Mail Merge'!$P1650</f>
        <v>173643.46</v>
      </c>
      <c r="R1650" s="199"/>
      <c r="S1650" s="199"/>
      <c r="T1650" s="199"/>
      <c r="U1650" s="199">
        <f>IF(AND('Mail Merge'!$I1650="Did Not Meet",'Mail Merge'!$N1650="Did Not Meet"),MIN(ABS('Mail Merge'!$H1650),ABS('Mail Merge'!$M1650),'Mail Merge'!$Q1650),0)</f>
        <v>0</v>
      </c>
      <c r="V1650" s="199" t="str">
        <f>IF(OR(IFERROR(SEARCH("Met",'Mail Merge'!$N1650),0)&gt;0,IFERROR(SEARCH("Met",'Mail Merge'!$I1650),0)&gt;0),"Met","Not Met")</f>
        <v>Met</v>
      </c>
    </row>
    <row r="1651" spans="1:22" x14ac:dyDescent="0.35">
      <c r="A1651" s="200" t="s">
        <v>95</v>
      </c>
      <c r="B1651" s="201">
        <v>2015</v>
      </c>
      <c r="C1651" s="201" t="s">
        <v>243</v>
      </c>
      <c r="D1651" s="201">
        <v>35</v>
      </c>
      <c r="E1651" s="201">
        <v>213287.61</v>
      </c>
      <c r="F1651" s="201">
        <v>28556</v>
      </c>
      <c r="G1651" s="201">
        <f>'Mail Merge'!$E1651+'Mail Merge'!$F1651</f>
        <v>241843.61</v>
      </c>
      <c r="H1651" s="201">
        <v>0</v>
      </c>
      <c r="I1651" s="201" t="s">
        <v>241</v>
      </c>
      <c r="J1651" s="204">
        <f>IFERROR('Mail Merge'!$E1651/'Mail Merge'!$D1651,0)</f>
        <v>6093.9317142857135</v>
      </c>
      <c r="K1651" s="201">
        <f>IFERROR('Mail Merge'!$F1651/'Mail Merge'!$D1651,0)</f>
        <v>815.88571428571424</v>
      </c>
      <c r="L1651" s="205">
        <f>IFERROR('Mail Merge'!$G1651/'Mail Merge'!$D1651,0)</f>
        <v>6909.8174285714285</v>
      </c>
      <c r="M1651" s="201">
        <v>363683.22333333455</v>
      </c>
      <c r="N1651" s="201" t="s">
        <v>240</v>
      </c>
      <c r="O1651" s="201">
        <v>15843.41</v>
      </c>
      <c r="P1651" s="201">
        <v>0</v>
      </c>
      <c r="Q1651" s="201">
        <f>'Mail Merge'!$O1651+'Mail Merge'!$P1651</f>
        <v>15843.41</v>
      </c>
      <c r="R1651" s="201"/>
      <c r="S1651" s="201"/>
      <c r="T1651" s="201">
        <v>1722.81</v>
      </c>
      <c r="U1651" s="201">
        <f>IF(AND('Mail Merge'!$I1651="Did Not Meet",'Mail Merge'!$N1651="Did Not Meet"),MIN(ABS('Mail Merge'!$H1651),ABS('Mail Merge'!$M1651),'Mail Merge'!$Q1651),0)</f>
        <v>0</v>
      </c>
      <c r="V1651" s="201" t="str">
        <f>IF(OR(IFERROR(SEARCH("Met",'Mail Merge'!$N1651),0)&gt;0,IFERROR(SEARCH("Met",'Mail Merge'!$I1651),0)&gt;0),"Met","Not Met")</f>
        <v>Met</v>
      </c>
    </row>
    <row r="1652" spans="1:22" x14ac:dyDescent="0.35">
      <c r="A1652" s="198" t="s">
        <v>96</v>
      </c>
      <c r="B1652" s="199">
        <v>2023</v>
      </c>
      <c r="C1652" s="199" t="s">
        <v>243</v>
      </c>
      <c r="D1652" s="199">
        <v>6</v>
      </c>
      <c r="E1652" s="199">
        <v>22880.19</v>
      </c>
      <c r="F1652" s="199">
        <v>8227</v>
      </c>
      <c r="G1652" s="199">
        <f>'Mail Merge'!$E1652+'Mail Merge'!$F1652</f>
        <v>31107.19</v>
      </c>
      <c r="H1652" s="199">
        <v>0</v>
      </c>
      <c r="I1652" s="199" t="s">
        <v>241</v>
      </c>
      <c r="J1652" s="202">
        <f>IFERROR('Mail Merge'!$E1652/'Mail Merge'!$D1652,0)</f>
        <v>3813.3649999999998</v>
      </c>
      <c r="K1652" s="199">
        <f>IFERROR('Mail Merge'!$F1652/'Mail Merge'!$D1652,0)</f>
        <v>1371.1666666666667</v>
      </c>
      <c r="L1652" s="203">
        <f>IFERROR('Mail Merge'!$G1652/'Mail Merge'!$D1652,0)</f>
        <v>5184.5316666666668</v>
      </c>
      <c r="M1652" s="199">
        <v>25623.489999999976</v>
      </c>
      <c r="N1652" s="199" t="s">
        <v>240</v>
      </c>
      <c r="O1652" s="199">
        <v>12086.79</v>
      </c>
      <c r="P1652" s="199">
        <v>0</v>
      </c>
      <c r="Q1652" s="199">
        <f>'Mail Merge'!$O1652+'Mail Merge'!$P1652</f>
        <v>12086.79</v>
      </c>
      <c r="R1652" s="199"/>
      <c r="S1652" s="199"/>
      <c r="T1652" s="199">
        <v>0</v>
      </c>
      <c r="U1652" s="199">
        <f>IF(AND('Mail Merge'!$I1652="Did Not Meet",'Mail Merge'!$N1652="Did Not Meet"),MIN(ABS('Mail Merge'!$H1652),ABS('Mail Merge'!$M1652),'Mail Merge'!$Q1652),0)</f>
        <v>0</v>
      </c>
      <c r="V1652" s="199" t="str">
        <f>IF(OR(IFERROR(SEARCH("Met",'Mail Merge'!$N1652),0)&gt;0,IFERROR(SEARCH("Met",'Mail Merge'!$I1652),0)&gt;0),"Met","Not Met")</f>
        <v>Met</v>
      </c>
    </row>
    <row r="1653" spans="1:22" x14ac:dyDescent="0.35">
      <c r="A1653" s="200" t="s">
        <v>97</v>
      </c>
      <c r="B1653" s="201">
        <v>2114</v>
      </c>
      <c r="C1653" s="201" t="s">
        <v>243</v>
      </c>
      <c r="D1653" s="201">
        <v>13</v>
      </c>
      <c r="E1653" s="201">
        <v>86513.07</v>
      </c>
      <c r="F1653" s="201">
        <v>61116.87</v>
      </c>
      <c r="G1653" s="201">
        <f>'Mail Merge'!$E1653+'Mail Merge'!$F1653</f>
        <v>147629.94</v>
      </c>
      <c r="H1653" s="201">
        <v>0</v>
      </c>
      <c r="I1653" s="201" t="s">
        <v>241</v>
      </c>
      <c r="J1653" s="204">
        <f>IFERROR('Mail Merge'!$E1653/'Mail Merge'!$D1653,0)</f>
        <v>6654.8515384615393</v>
      </c>
      <c r="K1653" s="201">
        <f>IFERROR('Mail Merge'!$F1653/'Mail Merge'!$D1653,0)</f>
        <v>4701.2976923076922</v>
      </c>
      <c r="L1653" s="205">
        <f>IFERROR('Mail Merge'!$G1653/'Mail Merge'!$D1653,0)</f>
        <v>11356.149230769232</v>
      </c>
      <c r="M1653" s="201">
        <v>0</v>
      </c>
      <c r="N1653" s="201" t="s">
        <v>241</v>
      </c>
      <c r="O1653" s="201">
        <v>17797.18</v>
      </c>
      <c r="P1653" s="201">
        <v>1004.84</v>
      </c>
      <c r="Q1653" s="201">
        <f>'Mail Merge'!$O1653+'Mail Merge'!$P1653</f>
        <v>18802.02</v>
      </c>
      <c r="R1653" s="201"/>
      <c r="S1653" s="201"/>
      <c r="T1653" s="201"/>
      <c r="U1653" s="201">
        <f>IF(AND('Mail Merge'!$I1653="Did Not Meet",'Mail Merge'!$N1653="Did Not Meet"),MIN(ABS('Mail Merge'!$H1653),ABS('Mail Merge'!$M1653),'Mail Merge'!$Q1653),0)</f>
        <v>0</v>
      </c>
      <c r="V1653" s="201" t="str">
        <f>IF(OR(IFERROR(SEARCH("Met",'Mail Merge'!$N1653),0)&gt;0,IFERROR(SEARCH("Met",'Mail Merge'!$I1653),0)&gt;0),"Met","Not Met")</f>
        <v>Met</v>
      </c>
    </row>
    <row r="1654" spans="1:22" x14ac:dyDescent="0.35">
      <c r="A1654" s="198" t="s">
        <v>98</v>
      </c>
      <c r="B1654" s="199">
        <v>2099</v>
      </c>
      <c r="C1654" s="199" t="s">
        <v>243</v>
      </c>
      <c r="D1654" s="199">
        <v>123</v>
      </c>
      <c r="E1654" s="199">
        <v>1150951.83</v>
      </c>
      <c r="F1654" s="199">
        <v>124571</v>
      </c>
      <c r="G1654" s="199">
        <f>'Mail Merge'!$E1654+'Mail Merge'!$F1654</f>
        <v>1275522.83</v>
      </c>
      <c r="H1654" s="199">
        <v>0</v>
      </c>
      <c r="I1654" s="199" t="s">
        <v>242</v>
      </c>
      <c r="J1654" s="202">
        <f>IFERROR('Mail Merge'!$E1654/'Mail Merge'!$D1654,0)</f>
        <v>9357.3319512195121</v>
      </c>
      <c r="K1654" s="199">
        <f>IFERROR('Mail Merge'!$F1654/'Mail Merge'!$D1654,0)</f>
        <v>1012.7723577235772</v>
      </c>
      <c r="L1654" s="203">
        <f>IFERROR('Mail Merge'!$G1654/'Mail Merge'!$D1654,0)</f>
        <v>10370.10430894309</v>
      </c>
      <c r="M1654" s="199">
        <v>0</v>
      </c>
      <c r="N1654" s="199" t="s">
        <v>242</v>
      </c>
      <c r="O1654" s="199">
        <v>128850.56</v>
      </c>
      <c r="P1654" s="199">
        <v>502.42</v>
      </c>
      <c r="Q1654" s="199">
        <f>'Mail Merge'!$O1654+'Mail Merge'!$P1654</f>
        <v>129352.98</v>
      </c>
      <c r="R1654" s="199"/>
      <c r="S1654" s="199">
        <v>157880.06</v>
      </c>
      <c r="T1654" s="199">
        <v>1273.23</v>
      </c>
      <c r="U1654" s="199">
        <f>IF(AND('Mail Merge'!$I1654="Did Not Meet",'Mail Merge'!$N1654="Did Not Meet"),MIN(ABS('Mail Merge'!$H1654),ABS('Mail Merge'!$M1654),'Mail Merge'!$Q1654),0)</f>
        <v>0</v>
      </c>
      <c r="V1654" s="199" t="str">
        <f>IF(OR(IFERROR(SEARCH("Met",'Mail Merge'!$N1654),0)&gt;0,IFERROR(SEARCH("Met",'Mail Merge'!$I1654),0)&gt;0),"Met","Not Met")</f>
        <v>Met</v>
      </c>
    </row>
    <row r="1655" spans="1:22" x14ac:dyDescent="0.35">
      <c r="A1655" s="200" t="s">
        <v>99</v>
      </c>
      <c r="B1655" s="201">
        <v>2201</v>
      </c>
      <c r="C1655" s="201" t="s">
        <v>243</v>
      </c>
      <c r="D1655" s="201">
        <v>22</v>
      </c>
      <c r="E1655" s="201">
        <v>88351.25</v>
      </c>
      <c r="F1655" s="201">
        <v>37441.06</v>
      </c>
      <c r="G1655" s="201">
        <f>'Mail Merge'!$E1655+'Mail Merge'!$F1655</f>
        <v>125792.31</v>
      </c>
      <c r="H1655" s="201">
        <v>0</v>
      </c>
      <c r="I1655" s="201" t="s">
        <v>241</v>
      </c>
      <c r="J1655" s="204">
        <f>IFERROR('Mail Merge'!$E1655/'Mail Merge'!$D1655,0)</f>
        <v>4015.965909090909</v>
      </c>
      <c r="K1655" s="201">
        <f>IFERROR('Mail Merge'!$F1655/'Mail Merge'!$D1655,0)</f>
        <v>1701.8663636363635</v>
      </c>
      <c r="L1655" s="205">
        <f>IFERROR('Mail Merge'!$G1655/'Mail Merge'!$D1655,0)</f>
        <v>5717.8322727272725</v>
      </c>
      <c r="M1655" s="201">
        <v>0</v>
      </c>
      <c r="N1655" s="201" t="s">
        <v>241</v>
      </c>
      <c r="O1655" s="201">
        <v>25845.87</v>
      </c>
      <c r="P1655" s="201">
        <v>0</v>
      </c>
      <c r="Q1655" s="201">
        <f>'Mail Merge'!$O1655+'Mail Merge'!$P1655</f>
        <v>25845.87</v>
      </c>
      <c r="R1655" s="201"/>
      <c r="S1655" s="201"/>
      <c r="T1655" s="201"/>
      <c r="U1655" s="201">
        <f>IF(AND('Mail Merge'!$I1655="Did Not Meet",'Mail Merge'!$N1655="Did Not Meet"),MIN(ABS('Mail Merge'!$H1655),ABS('Mail Merge'!$M1655),'Mail Merge'!$Q1655),0)</f>
        <v>0</v>
      </c>
      <c r="V1655" s="201" t="str">
        <f>IF(OR(IFERROR(SEARCH("Met",'Mail Merge'!$N1655),0)&gt;0,IFERROR(SEARCH("Met",'Mail Merge'!$I1655),0)&gt;0),"Met","Not Met")</f>
        <v>Met</v>
      </c>
    </row>
    <row r="1656" spans="1:22" x14ac:dyDescent="0.35">
      <c r="A1656" s="198" t="s">
        <v>100</v>
      </c>
      <c r="B1656" s="199">
        <v>2206</v>
      </c>
      <c r="C1656" s="199" t="s">
        <v>243</v>
      </c>
      <c r="D1656" s="199">
        <v>702</v>
      </c>
      <c r="E1656" s="199">
        <v>5907178.0199999996</v>
      </c>
      <c r="F1656" s="199">
        <v>0</v>
      </c>
      <c r="G1656" s="199">
        <f>'Mail Merge'!$E1656+'Mail Merge'!$F1656</f>
        <v>5907178.0199999996</v>
      </c>
      <c r="H1656" s="199">
        <v>0</v>
      </c>
      <c r="I1656" s="199" t="s">
        <v>242</v>
      </c>
      <c r="J1656" s="202">
        <f>IFERROR('Mail Merge'!$E1656/'Mail Merge'!$D1656,0)</f>
        <v>8414.7835042735041</v>
      </c>
      <c r="K1656" s="199">
        <f>IFERROR('Mail Merge'!$F1656/'Mail Merge'!$D1656,0)</f>
        <v>0</v>
      </c>
      <c r="L1656" s="203">
        <f>IFERROR('Mail Merge'!$G1656/'Mail Merge'!$D1656,0)</f>
        <v>8414.7835042735041</v>
      </c>
      <c r="M1656" s="199">
        <v>0</v>
      </c>
      <c r="N1656" s="199" t="s">
        <v>242</v>
      </c>
      <c r="O1656" s="199">
        <v>803243.09</v>
      </c>
      <c r="P1656" s="199">
        <v>6714.13</v>
      </c>
      <c r="Q1656" s="199">
        <f>'Mail Merge'!$O1656+'Mail Merge'!$P1656</f>
        <v>809957.22</v>
      </c>
      <c r="R1656" s="199"/>
      <c r="S1656" s="199">
        <v>174513.62</v>
      </c>
      <c r="T1656" s="199">
        <v>349.23</v>
      </c>
      <c r="U1656" s="199">
        <f>IF(AND('Mail Merge'!$I1656="Did Not Meet",'Mail Merge'!$N1656="Did Not Meet"),MIN(ABS('Mail Merge'!$H1656),ABS('Mail Merge'!$M1656),'Mail Merge'!$Q1656),0)</f>
        <v>0</v>
      </c>
      <c r="V1656" s="199" t="str">
        <f>IF(OR(IFERROR(SEARCH("Met",'Mail Merge'!$N1656),0)&gt;0,IFERROR(SEARCH("Met",'Mail Merge'!$I1656),0)&gt;0),"Met","Not Met")</f>
        <v>Met</v>
      </c>
    </row>
    <row r="1657" spans="1:22" x14ac:dyDescent="0.35">
      <c r="A1657" s="200" t="s">
        <v>101</v>
      </c>
      <c r="B1657" s="201">
        <v>2239</v>
      </c>
      <c r="C1657" s="201" t="s">
        <v>243</v>
      </c>
      <c r="D1657" s="201">
        <v>3037</v>
      </c>
      <c r="E1657" s="201">
        <v>34544759.109999999</v>
      </c>
      <c r="F1657" s="201">
        <v>4085321</v>
      </c>
      <c r="G1657" s="201">
        <f>'Mail Merge'!$E1657+'Mail Merge'!$F1657</f>
        <v>38630080.109999999</v>
      </c>
      <c r="H1657" s="201">
        <v>0</v>
      </c>
      <c r="I1657" s="201" t="s">
        <v>241</v>
      </c>
      <c r="J1657" s="204">
        <f>IFERROR('Mail Merge'!$E1657/'Mail Merge'!$D1657,0)</f>
        <v>11374.632568324003</v>
      </c>
      <c r="K1657" s="201">
        <f>IFERROR('Mail Merge'!$F1657/'Mail Merge'!$D1657,0)</f>
        <v>1345.1830754033585</v>
      </c>
      <c r="L1657" s="205">
        <f>IFERROR('Mail Merge'!$G1657/'Mail Merge'!$D1657,0)</f>
        <v>12719.815643727363</v>
      </c>
      <c r="M1657" s="201">
        <v>83472.942938273278</v>
      </c>
      <c r="N1657" s="201" t="s">
        <v>240</v>
      </c>
      <c r="O1657" s="201">
        <v>2801860.13</v>
      </c>
      <c r="P1657" s="201">
        <v>17527.73</v>
      </c>
      <c r="Q1657" s="201">
        <f>'Mail Merge'!$O1657+'Mail Merge'!$P1657</f>
        <v>2819387.86</v>
      </c>
      <c r="R1657" s="201"/>
      <c r="S1657" s="201"/>
      <c r="T1657" s="201">
        <v>0</v>
      </c>
      <c r="U1657" s="201">
        <f>IF(AND('Mail Merge'!$I1657="Did Not Meet",'Mail Merge'!$N1657="Did Not Meet"),MIN(ABS('Mail Merge'!$H1657),ABS('Mail Merge'!$M1657),'Mail Merge'!$Q1657),0)</f>
        <v>0</v>
      </c>
      <c r="V1657" s="201" t="str">
        <f>IF(OR(IFERROR(SEARCH("Met",'Mail Merge'!$N1657),0)&gt;0,IFERROR(SEARCH("Met",'Mail Merge'!$I1657),0)&gt;0),"Met","Not Met")</f>
        <v>Met</v>
      </c>
    </row>
    <row r="1658" spans="1:22" x14ac:dyDescent="0.35">
      <c r="A1658" s="198" t="s">
        <v>102</v>
      </c>
      <c r="B1658" s="199">
        <v>2024</v>
      </c>
      <c r="C1658" s="199" t="s">
        <v>243</v>
      </c>
      <c r="D1658" s="199">
        <v>483</v>
      </c>
      <c r="E1658" s="199">
        <v>4482476.93</v>
      </c>
      <c r="F1658" s="199">
        <v>0</v>
      </c>
      <c r="G1658" s="199">
        <f>'Mail Merge'!$E1658+'Mail Merge'!$F1658</f>
        <v>4482476.93</v>
      </c>
      <c r="H1658" s="199">
        <v>0</v>
      </c>
      <c r="I1658" s="199" t="s">
        <v>241</v>
      </c>
      <c r="J1658" s="202">
        <f>IFERROR('Mail Merge'!$E1658/'Mail Merge'!$D1658,0)</f>
        <v>9280.490538302276</v>
      </c>
      <c r="K1658" s="199">
        <f>IFERROR('Mail Merge'!$F1658/'Mail Merge'!$D1658,0)</f>
        <v>0</v>
      </c>
      <c r="L1658" s="203">
        <f>IFERROR('Mail Merge'!$G1658/'Mail Merge'!$D1658,0)</f>
        <v>9280.490538302276</v>
      </c>
      <c r="M1658" s="199">
        <v>0</v>
      </c>
      <c r="N1658" s="199" t="s">
        <v>241</v>
      </c>
      <c r="O1658" s="199">
        <v>624162.18999999994</v>
      </c>
      <c r="P1658" s="199">
        <v>6408.62</v>
      </c>
      <c r="Q1658" s="199">
        <f>'Mail Merge'!$O1658+'Mail Merge'!$P1658</f>
        <v>630570.80999999994</v>
      </c>
      <c r="R1658" s="199"/>
      <c r="S1658" s="199"/>
      <c r="T1658" s="199"/>
      <c r="U1658" s="199">
        <f>IF(AND('Mail Merge'!$I1658="Did Not Meet",'Mail Merge'!$N1658="Did Not Meet"),MIN(ABS('Mail Merge'!$H1658),ABS('Mail Merge'!$M1658),'Mail Merge'!$Q1658),0)</f>
        <v>0</v>
      </c>
      <c r="V1658" s="199" t="str">
        <f>IF(OR(IFERROR(SEARCH("Met",'Mail Merge'!$N1658),0)&gt;0,IFERROR(SEARCH("Met",'Mail Merge'!$I1658),0)&gt;0),"Met","Not Met")</f>
        <v>Met</v>
      </c>
    </row>
    <row r="1659" spans="1:22" x14ac:dyDescent="0.35">
      <c r="A1659" s="200" t="s">
        <v>103</v>
      </c>
      <c r="B1659" s="201">
        <v>1895</v>
      </c>
      <c r="C1659" s="201" t="s">
        <v>243</v>
      </c>
      <c r="D1659" s="201">
        <v>10</v>
      </c>
      <c r="E1659" s="201">
        <v>59418.32</v>
      </c>
      <c r="F1659" s="201">
        <v>54443.87</v>
      </c>
      <c r="G1659" s="201">
        <f>'Mail Merge'!$E1659+'Mail Merge'!$F1659</f>
        <v>113862.19</v>
      </c>
      <c r="H1659" s="201">
        <v>0</v>
      </c>
      <c r="I1659" s="201" t="s">
        <v>241</v>
      </c>
      <c r="J1659" s="204">
        <f>IFERROR('Mail Merge'!$E1659/'Mail Merge'!$D1659,0)</f>
        <v>5941.8320000000003</v>
      </c>
      <c r="K1659" s="201">
        <f>IFERROR('Mail Merge'!$F1659/'Mail Merge'!$D1659,0)</f>
        <v>5444.3870000000006</v>
      </c>
      <c r="L1659" s="205">
        <f>IFERROR('Mail Merge'!$G1659/'Mail Merge'!$D1659,0)</f>
        <v>11386.219000000001</v>
      </c>
      <c r="M1659" s="201">
        <v>26242.309999999998</v>
      </c>
      <c r="N1659" s="201" t="s">
        <v>240</v>
      </c>
      <c r="O1659" s="201">
        <v>17168.349999999999</v>
      </c>
      <c r="P1659" s="201">
        <v>502.42</v>
      </c>
      <c r="Q1659" s="201">
        <f>'Mail Merge'!$O1659+'Mail Merge'!$P1659</f>
        <v>17670.769999999997</v>
      </c>
      <c r="R1659" s="201"/>
      <c r="S1659" s="201"/>
      <c r="T1659" s="201">
        <v>0</v>
      </c>
      <c r="U1659" s="201">
        <f>IF(AND('Mail Merge'!$I1659="Did Not Meet",'Mail Merge'!$N1659="Did Not Meet"),MIN(ABS('Mail Merge'!$H1659),ABS('Mail Merge'!$M1659),'Mail Merge'!$Q1659),0)</f>
        <v>0</v>
      </c>
      <c r="V1659" s="201" t="str">
        <f>IF(OR(IFERROR(SEARCH("Met",'Mail Merge'!$N1659),0)&gt;0,IFERROR(SEARCH("Met",'Mail Merge'!$I1659),0)&gt;0),"Met","Not Met")</f>
        <v>Met</v>
      </c>
    </row>
    <row r="1660" spans="1:22" x14ac:dyDescent="0.35">
      <c r="A1660" s="198" t="s">
        <v>104</v>
      </c>
      <c r="B1660" s="199">
        <v>2215</v>
      </c>
      <c r="C1660" s="199" t="s">
        <v>243</v>
      </c>
      <c r="D1660" s="199">
        <v>40</v>
      </c>
      <c r="E1660" s="199">
        <v>269093.57</v>
      </c>
      <c r="F1660" s="199">
        <v>67946.92</v>
      </c>
      <c r="G1660" s="199">
        <f>'Mail Merge'!$E1660+'Mail Merge'!$F1660</f>
        <v>337040.49</v>
      </c>
      <c r="H1660" s="199">
        <v>0</v>
      </c>
      <c r="I1660" s="199" t="s">
        <v>241</v>
      </c>
      <c r="J1660" s="202">
        <f>IFERROR('Mail Merge'!$E1660/'Mail Merge'!$D1660,0)</f>
        <v>6727.33925</v>
      </c>
      <c r="K1660" s="199">
        <f>IFERROR('Mail Merge'!$F1660/'Mail Merge'!$D1660,0)</f>
        <v>1698.673</v>
      </c>
      <c r="L1660" s="203">
        <f>IFERROR('Mail Merge'!$G1660/'Mail Merge'!$D1660,0)</f>
        <v>8426.0122499999998</v>
      </c>
      <c r="M1660" s="199">
        <v>0</v>
      </c>
      <c r="N1660" s="199" t="s">
        <v>241</v>
      </c>
      <c r="O1660" s="199">
        <v>62929.84</v>
      </c>
      <c r="P1660" s="199">
        <v>334.95</v>
      </c>
      <c r="Q1660" s="199">
        <f>'Mail Merge'!$O1660+'Mail Merge'!$P1660</f>
        <v>63264.789999999994</v>
      </c>
      <c r="R1660" s="199"/>
      <c r="S1660" s="199"/>
      <c r="T1660" s="199"/>
      <c r="U1660" s="199">
        <f>IF(AND('Mail Merge'!$I1660="Did Not Meet",'Mail Merge'!$N1660="Did Not Meet"),MIN(ABS('Mail Merge'!$H1660),ABS('Mail Merge'!$M1660),'Mail Merge'!$Q1660),0)</f>
        <v>0</v>
      </c>
      <c r="V1660" s="199" t="str">
        <f>IF(OR(IFERROR(SEARCH("Met",'Mail Merge'!$N1660),0)&gt;0,IFERROR(SEARCH("Met",'Mail Merge'!$I1660),0)&gt;0),"Met","Not Met")</f>
        <v>Met</v>
      </c>
    </row>
    <row r="1661" spans="1:22" x14ac:dyDescent="0.35">
      <c r="A1661" s="200" t="s">
        <v>105</v>
      </c>
      <c r="B1661" s="201">
        <v>3997</v>
      </c>
      <c r="C1661" s="201" t="s">
        <v>243</v>
      </c>
      <c r="D1661" s="201">
        <v>24</v>
      </c>
      <c r="E1661" s="201">
        <v>165321.99</v>
      </c>
      <c r="F1661" s="201">
        <v>45798.43</v>
      </c>
      <c r="G1661" s="201">
        <f>'Mail Merge'!$E1661+'Mail Merge'!$F1661</f>
        <v>211120.41999999998</v>
      </c>
      <c r="H1661" s="201">
        <v>0</v>
      </c>
      <c r="I1661" s="201" t="s">
        <v>242</v>
      </c>
      <c r="J1661" s="204">
        <f>IFERROR('Mail Merge'!$E1661/'Mail Merge'!$D1661,0)</f>
        <v>6888.4162499999993</v>
      </c>
      <c r="K1661" s="201">
        <f>IFERROR('Mail Merge'!$F1661/'Mail Merge'!$D1661,0)</f>
        <v>1908.2679166666667</v>
      </c>
      <c r="L1661" s="205">
        <f>IFERROR('Mail Merge'!$G1661/'Mail Merge'!$D1661,0)</f>
        <v>8796.684166666666</v>
      </c>
      <c r="M1661" s="201">
        <v>0</v>
      </c>
      <c r="N1661" s="201" t="s">
        <v>241</v>
      </c>
      <c r="O1661" s="201">
        <v>22975.73</v>
      </c>
      <c r="P1661" s="201">
        <v>0</v>
      </c>
      <c r="Q1661" s="201">
        <f>'Mail Merge'!$O1661+'Mail Merge'!$P1661</f>
        <v>22975.73</v>
      </c>
      <c r="R1661" s="201"/>
      <c r="S1661" s="201">
        <v>31162.33</v>
      </c>
      <c r="T1661" s="201"/>
      <c r="U1661" s="201">
        <f>IF(AND('Mail Merge'!$I1661="Did Not Meet",'Mail Merge'!$N1661="Did Not Meet"),MIN(ABS('Mail Merge'!$H1661),ABS('Mail Merge'!$M1661),'Mail Merge'!$Q1661),0)</f>
        <v>0</v>
      </c>
      <c r="V1661" s="201" t="str">
        <f>IF(OR(IFERROR(SEARCH("Met",'Mail Merge'!$N1661),0)&gt;0,IFERROR(SEARCH("Met",'Mail Merge'!$I1661),0)&gt;0),"Met","Not Met")</f>
        <v>Met</v>
      </c>
    </row>
    <row r="1662" spans="1:22" x14ac:dyDescent="0.35">
      <c r="A1662" s="198" t="s">
        <v>106</v>
      </c>
      <c r="B1662" s="199">
        <v>2053</v>
      </c>
      <c r="C1662" s="199" t="s">
        <v>243</v>
      </c>
      <c r="D1662" s="199">
        <v>491</v>
      </c>
      <c r="E1662" s="199">
        <v>4622395.99</v>
      </c>
      <c r="F1662" s="199">
        <v>1124748.98</v>
      </c>
      <c r="G1662" s="199">
        <f>'Mail Merge'!$E1662+'Mail Merge'!$F1662</f>
        <v>5747144.9700000007</v>
      </c>
      <c r="H1662" s="199">
        <v>0</v>
      </c>
      <c r="I1662" s="199" t="s">
        <v>241</v>
      </c>
      <c r="J1662" s="202">
        <f>IFERROR('Mail Merge'!$E1662/'Mail Merge'!$D1662,0)</f>
        <v>9414.248452138494</v>
      </c>
      <c r="K1662" s="199">
        <f>IFERROR('Mail Merge'!$F1662/'Mail Merge'!$D1662,0)</f>
        <v>2290.7311201629327</v>
      </c>
      <c r="L1662" s="203">
        <f>IFERROR('Mail Merge'!$G1662/'Mail Merge'!$D1662,0)</f>
        <v>11704.979572301427</v>
      </c>
      <c r="M1662" s="199">
        <v>0</v>
      </c>
      <c r="N1662" s="199" t="s">
        <v>241</v>
      </c>
      <c r="O1662" s="199">
        <v>519855.88</v>
      </c>
      <c r="P1662" s="199">
        <v>11357.41</v>
      </c>
      <c r="Q1662" s="199">
        <f>'Mail Merge'!$O1662+'Mail Merge'!$P1662</f>
        <v>531213.29</v>
      </c>
      <c r="R1662" s="199"/>
      <c r="S1662" s="199"/>
      <c r="T1662" s="199"/>
      <c r="U1662" s="199">
        <f>IF(AND('Mail Merge'!$I1662="Did Not Meet",'Mail Merge'!$N1662="Did Not Meet"),MIN(ABS('Mail Merge'!$H1662),ABS('Mail Merge'!$M1662),'Mail Merge'!$Q1662),0)</f>
        <v>0</v>
      </c>
      <c r="V1662" s="199" t="str">
        <f>IF(OR(IFERROR(SEARCH("Met",'Mail Merge'!$N1662),0)&gt;0,IFERROR(SEARCH("Met",'Mail Merge'!$I1662),0)&gt;0),"Met","Not Met")</f>
        <v>Met</v>
      </c>
    </row>
    <row r="1663" spans="1:22" x14ac:dyDescent="0.35">
      <c r="A1663" s="200" t="s">
        <v>107</v>
      </c>
      <c r="B1663" s="201">
        <v>2140</v>
      </c>
      <c r="C1663" s="201" t="s">
        <v>243</v>
      </c>
      <c r="D1663" s="201">
        <v>134</v>
      </c>
      <c r="E1663" s="201">
        <v>1191288.1299999999</v>
      </c>
      <c r="F1663" s="201">
        <v>153962.72</v>
      </c>
      <c r="G1663" s="201">
        <f>'Mail Merge'!$E1663+'Mail Merge'!$F1663</f>
        <v>1345250.8499999999</v>
      </c>
      <c r="H1663" s="201">
        <v>6799.1985294118458</v>
      </c>
      <c r="I1663" s="201" t="s">
        <v>240</v>
      </c>
      <c r="J1663" s="204">
        <f>IFERROR('Mail Merge'!$E1663/'Mail Merge'!$D1663,0)</f>
        <v>8890.209925373134</v>
      </c>
      <c r="K1663" s="201">
        <f>IFERROR('Mail Merge'!$F1663/'Mail Merge'!$D1663,0)</f>
        <v>1148.9755223880597</v>
      </c>
      <c r="L1663" s="205">
        <f>IFERROR('Mail Merge'!$G1663/'Mail Merge'!$D1663,0)</f>
        <v>10039.185447761192</v>
      </c>
      <c r="M1663" s="201">
        <v>0</v>
      </c>
      <c r="N1663" s="201" t="s">
        <v>242</v>
      </c>
      <c r="O1663" s="201">
        <v>136738.88</v>
      </c>
      <c r="P1663" s="201">
        <v>502.42</v>
      </c>
      <c r="Q1663" s="201">
        <f>'Mail Merge'!$O1663+'Mail Merge'!$P1663</f>
        <v>137241.30000000002</v>
      </c>
      <c r="R1663" s="201"/>
      <c r="S1663" s="201">
        <v>20179.849999999999</v>
      </c>
      <c r="T1663" s="201">
        <v>148.38</v>
      </c>
      <c r="U1663" s="201">
        <f>IF(AND('Mail Merge'!$I1663="Did Not Meet",'Mail Merge'!$N1663="Did Not Meet"),MIN(ABS('Mail Merge'!$H1663),ABS('Mail Merge'!$M1663),'Mail Merge'!$Q1663),0)</f>
        <v>0</v>
      </c>
      <c r="V1663" s="201" t="str">
        <f>IF(OR(IFERROR(SEARCH("Met",'Mail Merge'!$N1663),0)&gt;0,IFERROR(SEARCH("Met",'Mail Merge'!$I1663),0)&gt;0),"Met","Not Met")</f>
        <v>Met</v>
      </c>
    </row>
    <row r="1664" spans="1:22" x14ac:dyDescent="0.35">
      <c r="A1664" s="198" t="s">
        <v>108</v>
      </c>
      <c r="B1664" s="199">
        <v>1934</v>
      </c>
      <c r="C1664" s="199" t="s">
        <v>243</v>
      </c>
      <c r="D1664" s="199">
        <v>30</v>
      </c>
      <c r="E1664" s="199">
        <v>418488.81</v>
      </c>
      <c r="F1664" s="199">
        <v>736</v>
      </c>
      <c r="G1664" s="199">
        <f>'Mail Merge'!$E1664+'Mail Merge'!$F1664</f>
        <v>419224.81</v>
      </c>
      <c r="H1664" s="199">
        <v>0</v>
      </c>
      <c r="I1664" s="199" t="s">
        <v>241</v>
      </c>
      <c r="J1664" s="202">
        <f>IFERROR('Mail Merge'!$E1664/'Mail Merge'!$D1664,0)</f>
        <v>13949.627</v>
      </c>
      <c r="K1664" s="199">
        <f>IFERROR('Mail Merge'!$F1664/'Mail Merge'!$D1664,0)</f>
        <v>24.533333333333335</v>
      </c>
      <c r="L1664" s="203">
        <f>IFERROR('Mail Merge'!$G1664/'Mail Merge'!$D1664,0)</f>
        <v>13974.160333333333</v>
      </c>
      <c r="M1664" s="199">
        <v>239269.27000000098</v>
      </c>
      <c r="N1664" s="199" t="s">
        <v>240</v>
      </c>
      <c r="O1664" s="199">
        <v>30734.2</v>
      </c>
      <c r="P1664" s="199">
        <v>669.89</v>
      </c>
      <c r="Q1664" s="199">
        <f>'Mail Merge'!$O1664+'Mail Merge'!$P1664</f>
        <v>31404.09</v>
      </c>
      <c r="R1664" s="199"/>
      <c r="S1664" s="199"/>
      <c r="T1664" s="199">
        <v>0</v>
      </c>
      <c r="U1664" s="199">
        <f>IF(AND('Mail Merge'!$I1664="Did Not Meet",'Mail Merge'!$N1664="Did Not Meet"),MIN(ABS('Mail Merge'!$H1664),ABS('Mail Merge'!$M1664),'Mail Merge'!$Q1664),0)</f>
        <v>0</v>
      </c>
      <c r="V1664" s="199" t="str">
        <f>IF(OR(IFERROR(SEARCH("Met",'Mail Merge'!$N1664),0)&gt;0,IFERROR(SEARCH("Met",'Mail Merge'!$I1664),0)&gt;0),"Met","Not Met")</f>
        <v>Met</v>
      </c>
    </row>
    <row r="1665" spans="1:22" x14ac:dyDescent="0.35">
      <c r="A1665" s="200" t="s">
        <v>109</v>
      </c>
      <c r="B1665" s="201">
        <v>2008</v>
      </c>
      <c r="C1665" s="201" t="s">
        <v>243</v>
      </c>
      <c r="D1665" s="201">
        <v>83</v>
      </c>
      <c r="E1665" s="201">
        <v>937324.63</v>
      </c>
      <c r="F1665" s="201">
        <v>169557.61</v>
      </c>
      <c r="G1665" s="201">
        <f>'Mail Merge'!$E1665+'Mail Merge'!$F1665</f>
        <v>1106882.24</v>
      </c>
      <c r="H1665" s="201">
        <v>0</v>
      </c>
      <c r="I1665" s="201" t="s">
        <v>241</v>
      </c>
      <c r="J1665" s="204">
        <f>IFERROR('Mail Merge'!$E1665/'Mail Merge'!$D1665,0)</f>
        <v>11293.067831325301</v>
      </c>
      <c r="K1665" s="201">
        <f>IFERROR('Mail Merge'!$F1665/'Mail Merge'!$D1665,0)</f>
        <v>2042.8627710843373</v>
      </c>
      <c r="L1665" s="205">
        <f>IFERROR('Mail Merge'!$G1665/'Mail Merge'!$D1665,0)</f>
        <v>13335.930602409639</v>
      </c>
      <c r="M1665" s="201">
        <v>0</v>
      </c>
      <c r="N1665" s="201" t="s">
        <v>241</v>
      </c>
      <c r="O1665" s="201">
        <v>139856.84</v>
      </c>
      <c r="P1665" s="201">
        <v>1579.03</v>
      </c>
      <c r="Q1665" s="201">
        <f>'Mail Merge'!$O1665+'Mail Merge'!$P1665</f>
        <v>141435.87</v>
      </c>
      <c r="R1665" s="201"/>
      <c r="S1665" s="201"/>
      <c r="T1665" s="201"/>
      <c r="U1665" s="201">
        <f>IF(AND('Mail Merge'!$I1665="Did Not Meet",'Mail Merge'!$N1665="Did Not Meet"),MIN(ABS('Mail Merge'!$H1665),ABS('Mail Merge'!$M1665),'Mail Merge'!$Q1665),0)</f>
        <v>0</v>
      </c>
      <c r="V1665" s="201" t="str">
        <f>IF(OR(IFERROR(SEARCH("Met",'Mail Merge'!$N1665),0)&gt;0,IFERROR(SEARCH("Met",'Mail Merge'!$I1665),0)&gt;0),"Met","Not Met")</f>
        <v>Met</v>
      </c>
    </row>
    <row r="1666" spans="1:22" x14ac:dyDescent="0.35">
      <c r="A1666" s="198" t="s">
        <v>110</v>
      </c>
      <c r="B1666" s="199">
        <v>2107</v>
      </c>
      <c r="C1666" s="199" t="s">
        <v>243</v>
      </c>
      <c r="D1666" s="199">
        <v>6</v>
      </c>
      <c r="E1666" s="199">
        <v>27149.14</v>
      </c>
      <c r="F1666" s="199">
        <v>61558.19</v>
      </c>
      <c r="G1666" s="199">
        <f>'Mail Merge'!$E1666+'Mail Merge'!$F1666</f>
        <v>88707.33</v>
      </c>
      <c r="H1666" s="199">
        <v>0</v>
      </c>
      <c r="I1666" s="199" t="s">
        <v>242</v>
      </c>
      <c r="J1666" s="202">
        <f>IFERROR('Mail Merge'!$E1666/'Mail Merge'!$D1666,0)</f>
        <v>4524.8566666666666</v>
      </c>
      <c r="K1666" s="199">
        <f>IFERROR('Mail Merge'!$F1666/'Mail Merge'!$D1666,0)</f>
        <v>10259.698333333334</v>
      </c>
      <c r="L1666" s="203">
        <f>IFERROR('Mail Merge'!$G1666/'Mail Merge'!$D1666,0)</f>
        <v>14784.555</v>
      </c>
      <c r="M1666" s="199">
        <v>0</v>
      </c>
      <c r="N1666" s="199" t="s">
        <v>241</v>
      </c>
      <c r="O1666" s="199">
        <v>17279.32</v>
      </c>
      <c r="P1666" s="199">
        <v>502.42</v>
      </c>
      <c r="Q1666" s="199">
        <f>'Mail Merge'!$O1666+'Mail Merge'!$P1666</f>
        <v>17781.739999999998</v>
      </c>
      <c r="R1666" s="199"/>
      <c r="S1666" s="199">
        <v>29499.14</v>
      </c>
      <c r="T1666" s="199"/>
      <c r="U1666" s="199">
        <f>IF(AND('Mail Merge'!$I1666="Did Not Meet",'Mail Merge'!$N1666="Did Not Meet"),MIN(ABS('Mail Merge'!$H1666),ABS('Mail Merge'!$M1666),'Mail Merge'!$Q1666),0)</f>
        <v>0</v>
      </c>
      <c r="V1666" s="199" t="str">
        <f>IF(OR(IFERROR(SEARCH("Met",'Mail Merge'!$N1666),0)&gt;0,IFERROR(SEARCH("Met",'Mail Merge'!$I1666),0)&gt;0),"Met","Not Met")</f>
        <v>Met</v>
      </c>
    </row>
    <row r="1667" spans="1:22" x14ac:dyDescent="0.35">
      <c r="A1667" s="200" t="s">
        <v>111</v>
      </c>
      <c r="B1667" s="201">
        <v>2219</v>
      </c>
      <c r="C1667" s="201" t="s">
        <v>243</v>
      </c>
      <c r="D1667" s="201">
        <v>24</v>
      </c>
      <c r="E1667" s="201">
        <v>143838.14000000001</v>
      </c>
      <c r="F1667" s="201">
        <v>130454.27</v>
      </c>
      <c r="G1667" s="201">
        <f>'Mail Merge'!$E1667+'Mail Merge'!$F1667</f>
        <v>274292.41000000003</v>
      </c>
      <c r="H1667" s="201">
        <v>0</v>
      </c>
      <c r="I1667" s="201" t="s">
        <v>241</v>
      </c>
      <c r="J1667" s="204">
        <f>IFERROR('Mail Merge'!$E1667/'Mail Merge'!$D1667,0)</f>
        <v>5993.2558333333336</v>
      </c>
      <c r="K1667" s="201">
        <f>IFERROR('Mail Merge'!$F1667/'Mail Merge'!$D1667,0)</f>
        <v>5435.5945833333335</v>
      </c>
      <c r="L1667" s="205">
        <f>IFERROR('Mail Merge'!$G1667/'Mail Merge'!$D1667,0)</f>
        <v>11428.850416666668</v>
      </c>
      <c r="M1667" s="201">
        <v>0</v>
      </c>
      <c r="N1667" s="201" t="s">
        <v>241</v>
      </c>
      <c r="O1667" s="201">
        <v>59937.18</v>
      </c>
      <c r="P1667" s="201">
        <v>2512.09</v>
      </c>
      <c r="Q1667" s="201">
        <f>'Mail Merge'!$O1667+'Mail Merge'!$P1667</f>
        <v>62449.270000000004</v>
      </c>
      <c r="R1667" s="201"/>
      <c r="S1667" s="201"/>
      <c r="T1667" s="201"/>
      <c r="U1667" s="201">
        <f>IF(AND('Mail Merge'!$I1667="Did Not Meet",'Mail Merge'!$N1667="Did Not Meet"),MIN(ABS('Mail Merge'!$H1667),ABS('Mail Merge'!$M1667),'Mail Merge'!$Q1667),0)</f>
        <v>0</v>
      </c>
      <c r="V1667" s="201" t="str">
        <f>IF(OR(IFERROR(SEARCH("Met",'Mail Merge'!$N1667),0)&gt;0,IFERROR(SEARCH("Met",'Mail Merge'!$I1667),0)&gt;0),"Met","Not Met")</f>
        <v>Met</v>
      </c>
    </row>
    <row r="1668" spans="1:22" x14ac:dyDescent="0.35">
      <c r="A1668" s="198" t="s">
        <v>112</v>
      </c>
      <c r="B1668" s="199">
        <v>2091</v>
      </c>
      <c r="C1668" s="199" t="s">
        <v>243</v>
      </c>
      <c r="D1668" s="199">
        <v>247</v>
      </c>
      <c r="E1668" s="199">
        <v>1916516.84</v>
      </c>
      <c r="F1668" s="199">
        <v>506831</v>
      </c>
      <c r="G1668" s="199">
        <f>'Mail Merge'!$E1668+'Mail Merge'!$F1668</f>
        <v>2423347.84</v>
      </c>
      <c r="H1668" s="199">
        <v>0</v>
      </c>
      <c r="I1668" s="199" t="s">
        <v>241</v>
      </c>
      <c r="J1668" s="202">
        <f>IFERROR('Mail Merge'!$E1668/'Mail Merge'!$D1668,0)</f>
        <v>7759.1774898785425</v>
      </c>
      <c r="K1668" s="199">
        <f>IFERROR('Mail Merge'!$F1668/'Mail Merge'!$D1668,0)</f>
        <v>2051.9473684210525</v>
      </c>
      <c r="L1668" s="203">
        <f>IFERROR('Mail Merge'!$G1668/'Mail Merge'!$D1668,0)</f>
        <v>9811.1248582995941</v>
      </c>
      <c r="M1668" s="199">
        <v>0</v>
      </c>
      <c r="N1668" s="199" t="s">
        <v>241</v>
      </c>
      <c r="O1668" s="199">
        <v>293870.95</v>
      </c>
      <c r="P1668" s="199">
        <v>1674.73</v>
      </c>
      <c r="Q1668" s="199">
        <f>'Mail Merge'!$O1668+'Mail Merge'!$P1668</f>
        <v>295545.68</v>
      </c>
      <c r="R1668" s="199"/>
      <c r="S1668" s="199"/>
      <c r="T1668" s="199"/>
      <c r="U1668" s="199">
        <f>IF(AND('Mail Merge'!$I1668="Did Not Meet",'Mail Merge'!$N1668="Did Not Meet"),MIN(ABS('Mail Merge'!$H1668),ABS('Mail Merge'!$M1668),'Mail Merge'!$Q1668),0)</f>
        <v>0</v>
      </c>
      <c r="V1668" s="199" t="str">
        <f>IF(OR(IFERROR(SEARCH("Met",'Mail Merge'!$N1668),0)&gt;0,IFERROR(SEARCH("Met",'Mail Merge'!$I1668),0)&gt;0),"Met","Not Met")</f>
        <v>Met</v>
      </c>
    </row>
    <row r="1669" spans="1:22" x14ac:dyDescent="0.35">
      <c r="A1669" s="200" t="s">
        <v>113</v>
      </c>
      <c r="B1669" s="201">
        <v>2109</v>
      </c>
      <c r="C1669" s="201" t="s">
        <v>243</v>
      </c>
      <c r="D1669" s="201">
        <v>0</v>
      </c>
      <c r="E1669" s="201">
        <v>0</v>
      </c>
      <c r="F1669" s="201">
        <v>10424.790000000001</v>
      </c>
      <c r="G1669" s="201">
        <f>'Mail Merge'!$E1669+'Mail Merge'!$F1669</f>
        <v>10424.790000000001</v>
      </c>
      <c r="H1669" s="201">
        <v>0</v>
      </c>
      <c r="I1669" s="201" t="s">
        <v>241</v>
      </c>
      <c r="J1669" s="204">
        <f>IFERROR('Mail Merge'!$E1669/'Mail Merge'!$D1669,0)</f>
        <v>0</v>
      </c>
      <c r="K1669" s="201">
        <f>IFERROR('Mail Merge'!$F1669/'Mail Merge'!$D1669,0)</f>
        <v>0</v>
      </c>
      <c r="L1669" s="205">
        <f>IFERROR('Mail Merge'!$G1669/'Mail Merge'!$D1669,0)</f>
        <v>0</v>
      </c>
      <c r="M1669" s="201">
        <v>0</v>
      </c>
      <c r="N1669" s="201" t="s">
        <v>241</v>
      </c>
      <c r="O1669" s="201">
        <v>219.95</v>
      </c>
      <c r="P1669" s="201">
        <v>0</v>
      </c>
      <c r="Q1669" s="201">
        <f>'Mail Merge'!$O1669+'Mail Merge'!$P1669</f>
        <v>219.95</v>
      </c>
      <c r="R1669" s="201"/>
      <c r="S1669" s="201"/>
      <c r="T1669" s="201"/>
      <c r="U1669" s="201">
        <f>IF(AND('Mail Merge'!$I1669="Did Not Meet",'Mail Merge'!$N1669="Did Not Meet"),MIN(ABS('Mail Merge'!$H1669),ABS('Mail Merge'!$M1669),'Mail Merge'!$Q1669),0)</f>
        <v>0</v>
      </c>
      <c r="V1669" s="201" t="str">
        <f>IF(OR(IFERROR(SEARCH("Met",'Mail Merge'!$N1669),0)&gt;0,IFERROR(SEARCH("Met",'Mail Merge'!$I1669),0)&gt;0),"Met","Not Met")</f>
        <v>Met</v>
      </c>
    </row>
    <row r="1670" spans="1:22" x14ac:dyDescent="0.35">
      <c r="A1670" s="198" t="s">
        <v>114</v>
      </c>
      <c r="B1670" s="199">
        <v>2057</v>
      </c>
      <c r="C1670" s="199" t="s">
        <v>243</v>
      </c>
      <c r="D1670" s="199">
        <v>885</v>
      </c>
      <c r="E1670" s="199">
        <v>7320437.9699999997</v>
      </c>
      <c r="F1670" s="199">
        <v>233444.27</v>
      </c>
      <c r="G1670" s="199">
        <f>'Mail Merge'!$E1670+'Mail Merge'!$F1670</f>
        <v>7553882.2399999993</v>
      </c>
      <c r="H1670" s="199">
        <v>0</v>
      </c>
      <c r="I1670" s="199" t="s">
        <v>241</v>
      </c>
      <c r="J1670" s="202">
        <f>IFERROR('Mail Merge'!$E1670/'Mail Merge'!$D1670,0)</f>
        <v>8271.6813220338972</v>
      </c>
      <c r="K1670" s="199">
        <f>IFERROR('Mail Merge'!$F1670/'Mail Merge'!$D1670,0)</f>
        <v>263.77883615819206</v>
      </c>
      <c r="L1670" s="203">
        <f>IFERROR('Mail Merge'!$G1670/'Mail Merge'!$D1670,0)</f>
        <v>8535.4601581920888</v>
      </c>
      <c r="M1670" s="199">
        <v>160279.09335336206</v>
      </c>
      <c r="N1670" s="199" t="s">
        <v>240</v>
      </c>
      <c r="O1670" s="199">
        <v>1272898.8899999999</v>
      </c>
      <c r="P1670" s="199">
        <v>12589.04</v>
      </c>
      <c r="Q1670" s="199">
        <f>'Mail Merge'!$O1670+'Mail Merge'!$P1670</f>
        <v>1285487.93</v>
      </c>
      <c r="R1670" s="199"/>
      <c r="S1670" s="199"/>
      <c r="T1670" s="199">
        <v>0</v>
      </c>
      <c r="U1670" s="199">
        <f>IF(AND('Mail Merge'!$I1670="Did Not Meet",'Mail Merge'!$N1670="Did Not Meet"),MIN(ABS('Mail Merge'!$H1670),ABS('Mail Merge'!$M1670),'Mail Merge'!$Q1670),0)</f>
        <v>0</v>
      </c>
      <c r="V1670" s="199" t="str">
        <f>IF(OR(IFERROR(SEARCH("Met",'Mail Merge'!$N1670),0)&gt;0,IFERROR(SEARCH("Met",'Mail Merge'!$I1670),0)&gt;0),"Met","Not Met")</f>
        <v>Met</v>
      </c>
    </row>
    <row r="1671" spans="1:22" x14ac:dyDescent="0.35">
      <c r="A1671" s="200" t="s">
        <v>115</v>
      </c>
      <c r="B1671" s="201">
        <v>2056</v>
      </c>
      <c r="C1671" s="201" t="s">
        <v>243</v>
      </c>
      <c r="D1671" s="201">
        <v>407</v>
      </c>
      <c r="E1671" s="201">
        <v>3393954.46</v>
      </c>
      <c r="F1671" s="201">
        <v>113545.81</v>
      </c>
      <c r="G1671" s="201">
        <f>'Mail Merge'!$E1671+'Mail Merge'!$F1671</f>
        <v>3507500.27</v>
      </c>
      <c r="H1671" s="201">
        <v>0</v>
      </c>
      <c r="I1671" s="201" t="s">
        <v>241</v>
      </c>
      <c r="J1671" s="204">
        <f>IFERROR('Mail Merge'!$E1671/'Mail Merge'!$D1671,0)</f>
        <v>8338.9544471744466</v>
      </c>
      <c r="K1671" s="201">
        <f>IFERROR('Mail Merge'!$F1671/'Mail Merge'!$D1671,0)</f>
        <v>278.98233415233415</v>
      </c>
      <c r="L1671" s="205">
        <f>IFERROR('Mail Merge'!$G1671/'Mail Merge'!$D1671,0)</f>
        <v>8617.9367813267818</v>
      </c>
      <c r="M1671" s="201">
        <v>0</v>
      </c>
      <c r="N1671" s="201" t="s">
        <v>241</v>
      </c>
      <c r="O1671" s="201">
        <v>637677.72</v>
      </c>
      <c r="P1671" s="201">
        <v>7993.01</v>
      </c>
      <c r="Q1671" s="201">
        <f>'Mail Merge'!$O1671+'Mail Merge'!$P1671</f>
        <v>645670.73</v>
      </c>
      <c r="R1671" s="201"/>
      <c r="S1671" s="201"/>
      <c r="T1671" s="201"/>
      <c r="U1671" s="201">
        <f>IF(AND('Mail Merge'!$I1671="Did Not Meet",'Mail Merge'!$N1671="Did Not Meet"),MIN(ABS('Mail Merge'!$H1671),ABS('Mail Merge'!$M1671),'Mail Merge'!$Q1671),0)</f>
        <v>0</v>
      </c>
      <c r="V1671" s="201" t="str">
        <f>IF(OR(IFERROR(SEARCH("Met",'Mail Merge'!$N1671),0)&gt;0,IFERROR(SEARCH("Met",'Mail Merge'!$I1671),0)&gt;0),"Met","Not Met")</f>
        <v>Met</v>
      </c>
    </row>
    <row r="1672" spans="1:22" x14ac:dyDescent="0.35">
      <c r="A1672" s="198" t="s">
        <v>116</v>
      </c>
      <c r="B1672" s="199">
        <v>2262</v>
      </c>
      <c r="C1672" s="199" t="s">
        <v>243</v>
      </c>
      <c r="D1672" s="199">
        <v>96</v>
      </c>
      <c r="E1672" s="199">
        <v>650749.43999999994</v>
      </c>
      <c r="F1672" s="199">
        <v>149287</v>
      </c>
      <c r="G1672" s="199">
        <f>'Mail Merge'!$E1672+'Mail Merge'!$F1672</f>
        <v>800036.44</v>
      </c>
      <c r="H1672" s="199">
        <v>0</v>
      </c>
      <c r="I1672" s="199" t="s">
        <v>241</v>
      </c>
      <c r="J1672" s="202">
        <f>IFERROR('Mail Merge'!$E1672/'Mail Merge'!$D1672,0)</f>
        <v>6778.6399999999994</v>
      </c>
      <c r="K1672" s="199">
        <f>IFERROR('Mail Merge'!$F1672/'Mail Merge'!$D1672,0)</f>
        <v>1555.0729166666667</v>
      </c>
      <c r="L1672" s="203">
        <f>IFERROR('Mail Merge'!$G1672/'Mail Merge'!$D1672,0)</f>
        <v>8333.7129166666655</v>
      </c>
      <c r="M1672" s="199">
        <v>79406.360000000044</v>
      </c>
      <c r="N1672" s="199" t="s">
        <v>240</v>
      </c>
      <c r="O1672" s="199">
        <v>77877.91</v>
      </c>
      <c r="P1672" s="199">
        <v>270.52999999999997</v>
      </c>
      <c r="Q1672" s="199">
        <f>'Mail Merge'!$O1672+'Mail Merge'!$P1672</f>
        <v>78148.44</v>
      </c>
      <c r="R1672" s="199"/>
      <c r="S1672" s="199"/>
      <c r="T1672" s="199">
        <v>0</v>
      </c>
      <c r="U1672" s="199">
        <f>IF(AND('Mail Merge'!$I1672="Did Not Meet",'Mail Merge'!$N1672="Did Not Meet"),MIN(ABS('Mail Merge'!$H1672),ABS('Mail Merge'!$M1672),'Mail Merge'!$Q1672),0)</f>
        <v>0</v>
      </c>
      <c r="V1672" s="199" t="str">
        <f>IF(OR(IFERROR(SEARCH("Met",'Mail Merge'!$N1672),0)&gt;0,IFERROR(SEARCH("Met",'Mail Merge'!$I1672),0)&gt;0),"Met","Not Met")</f>
        <v>Met</v>
      </c>
    </row>
    <row r="1673" spans="1:22" x14ac:dyDescent="0.35">
      <c r="A1673" s="200" t="s">
        <v>117</v>
      </c>
      <c r="B1673" s="201">
        <v>2212</v>
      </c>
      <c r="C1673" s="201" t="s">
        <v>243</v>
      </c>
      <c r="D1673" s="201">
        <v>360</v>
      </c>
      <c r="E1673" s="201">
        <v>2901847.73</v>
      </c>
      <c r="F1673" s="201">
        <v>638415.07999999996</v>
      </c>
      <c r="G1673" s="201">
        <f>'Mail Merge'!$E1673+'Mail Merge'!$F1673</f>
        <v>3540262.81</v>
      </c>
      <c r="H1673" s="201">
        <v>0</v>
      </c>
      <c r="I1673" s="201" t="s">
        <v>241</v>
      </c>
      <c r="J1673" s="204">
        <f>IFERROR('Mail Merge'!$E1673/'Mail Merge'!$D1673,0)</f>
        <v>8060.6881388888887</v>
      </c>
      <c r="K1673" s="201">
        <f>IFERROR('Mail Merge'!$F1673/'Mail Merge'!$D1673,0)</f>
        <v>1773.3752222222222</v>
      </c>
      <c r="L1673" s="205">
        <f>IFERROR('Mail Merge'!$G1673/'Mail Merge'!$D1673,0)</f>
        <v>9834.0633611111116</v>
      </c>
      <c r="M1673" s="201">
        <v>0</v>
      </c>
      <c r="N1673" s="201" t="s">
        <v>241</v>
      </c>
      <c r="O1673" s="201">
        <v>464395.42</v>
      </c>
      <c r="P1673" s="201">
        <v>3569.81</v>
      </c>
      <c r="Q1673" s="201">
        <f>'Mail Merge'!$O1673+'Mail Merge'!$P1673</f>
        <v>467965.23</v>
      </c>
      <c r="R1673" s="201"/>
      <c r="S1673" s="201"/>
      <c r="T1673" s="201"/>
      <c r="U1673" s="201">
        <f>IF(AND('Mail Merge'!$I1673="Did Not Meet",'Mail Merge'!$N1673="Did Not Meet"),MIN(ABS('Mail Merge'!$H1673),ABS('Mail Merge'!$M1673),'Mail Merge'!$Q1673),0)</f>
        <v>0</v>
      </c>
      <c r="V1673" s="201" t="str">
        <f>IF(OR(IFERROR(SEARCH("Met",'Mail Merge'!$N1673),0)&gt;0,IFERROR(SEARCH("Met",'Mail Merge'!$I1673),0)&gt;0),"Met","Not Met")</f>
        <v>Met</v>
      </c>
    </row>
    <row r="1674" spans="1:22" x14ac:dyDescent="0.35">
      <c r="A1674" s="198" t="s">
        <v>118</v>
      </c>
      <c r="B1674" s="199">
        <v>2059</v>
      </c>
      <c r="C1674" s="199" t="s">
        <v>243</v>
      </c>
      <c r="D1674" s="199">
        <v>95</v>
      </c>
      <c r="E1674" s="199">
        <v>653847.49</v>
      </c>
      <c r="F1674" s="199">
        <v>253032.27</v>
      </c>
      <c r="G1674" s="199">
        <f>'Mail Merge'!$E1674+'Mail Merge'!$F1674</f>
        <v>906879.76</v>
      </c>
      <c r="H1674" s="199">
        <v>0</v>
      </c>
      <c r="I1674" s="199" t="s">
        <v>241</v>
      </c>
      <c r="J1674" s="202">
        <f>IFERROR('Mail Merge'!$E1674/'Mail Merge'!$D1674,0)</f>
        <v>6882.6051578947363</v>
      </c>
      <c r="K1674" s="199">
        <f>IFERROR('Mail Merge'!$F1674/'Mail Merge'!$D1674,0)</f>
        <v>2663.4975789473683</v>
      </c>
      <c r="L1674" s="203">
        <f>IFERROR('Mail Merge'!$G1674/'Mail Merge'!$D1674,0)</f>
        <v>9546.1027368421055</v>
      </c>
      <c r="M1674" s="199">
        <v>0</v>
      </c>
      <c r="N1674" s="199" t="s">
        <v>241</v>
      </c>
      <c r="O1674" s="199">
        <v>143941.65</v>
      </c>
      <c r="P1674" s="199">
        <v>1205.8</v>
      </c>
      <c r="Q1674" s="199">
        <f>'Mail Merge'!$O1674+'Mail Merge'!$P1674</f>
        <v>145147.44999999998</v>
      </c>
      <c r="R1674" s="199"/>
      <c r="S1674" s="199"/>
      <c r="T1674" s="199"/>
      <c r="U1674" s="199">
        <f>IF(AND('Mail Merge'!$I1674="Did Not Meet",'Mail Merge'!$N1674="Did Not Meet"),MIN(ABS('Mail Merge'!$H1674),ABS('Mail Merge'!$M1674),'Mail Merge'!$Q1674),0)</f>
        <v>0</v>
      </c>
      <c r="V1674" s="199" t="str">
        <f>IF(OR(IFERROR(SEARCH("Met",'Mail Merge'!$N1674),0)&gt;0,IFERROR(SEARCH("Met",'Mail Merge'!$I1674),0)&gt;0),"Met","Not Met")</f>
        <v>Met</v>
      </c>
    </row>
    <row r="1675" spans="1:22" x14ac:dyDescent="0.35">
      <c r="A1675" s="200" t="s">
        <v>119</v>
      </c>
      <c r="B1675" s="201">
        <v>1923</v>
      </c>
      <c r="C1675" s="201" t="s">
        <v>243</v>
      </c>
      <c r="D1675" s="201">
        <v>669</v>
      </c>
      <c r="E1675" s="201">
        <v>12842186.93</v>
      </c>
      <c r="F1675" s="201">
        <v>203424</v>
      </c>
      <c r="G1675" s="201">
        <f>'Mail Merge'!$E1675+'Mail Merge'!$F1675</f>
        <v>13045610.93</v>
      </c>
      <c r="H1675" s="201">
        <v>0</v>
      </c>
      <c r="I1675" s="201" t="s">
        <v>241</v>
      </c>
      <c r="J1675" s="204">
        <f>IFERROR('Mail Merge'!$E1675/'Mail Merge'!$D1675,0)</f>
        <v>19196.094065769805</v>
      </c>
      <c r="K1675" s="201">
        <f>IFERROR('Mail Merge'!$F1675/'Mail Merge'!$D1675,0)</f>
        <v>304.07174887892376</v>
      </c>
      <c r="L1675" s="205">
        <f>IFERROR('Mail Merge'!$G1675/'Mail Merge'!$D1675,0)</f>
        <v>19500.165814648728</v>
      </c>
      <c r="M1675" s="201">
        <v>0</v>
      </c>
      <c r="N1675" s="201" t="s">
        <v>241</v>
      </c>
      <c r="O1675" s="201">
        <v>1034930.07</v>
      </c>
      <c r="P1675" s="201">
        <v>2966.66</v>
      </c>
      <c r="Q1675" s="201">
        <f>'Mail Merge'!$O1675+'Mail Merge'!$P1675</f>
        <v>1037896.73</v>
      </c>
      <c r="R1675" s="201"/>
      <c r="S1675" s="201"/>
      <c r="T1675" s="201"/>
      <c r="U1675" s="201">
        <f>IF(AND('Mail Merge'!$I1675="Did Not Meet",'Mail Merge'!$N1675="Did Not Meet"),MIN(ABS('Mail Merge'!$H1675),ABS('Mail Merge'!$M1675),'Mail Merge'!$Q1675),0)</f>
        <v>0</v>
      </c>
      <c r="V1675" s="201" t="str">
        <f>IF(OR(IFERROR(SEARCH("Met",'Mail Merge'!$N1675),0)&gt;0,IFERROR(SEARCH("Met",'Mail Merge'!$I1675),0)&gt;0),"Met","Not Met")</f>
        <v>Met</v>
      </c>
    </row>
    <row r="1676" spans="1:22" x14ac:dyDescent="0.35">
      <c r="A1676" s="198" t="s">
        <v>120</v>
      </c>
      <c r="B1676" s="199">
        <v>2101</v>
      </c>
      <c r="C1676" s="199" t="s">
        <v>243</v>
      </c>
      <c r="D1676" s="199">
        <v>661</v>
      </c>
      <c r="E1676" s="199">
        <v>6158032.4699999997</v>
      </c>
      <c r="F1676" s="199">
        <v>784339</v>
      </c>
      <c r="G1676" s="199">
        <f>'Mail Merge'!$E1676+'Mail Merge'!$F1676</f>
        <v>6942371.4699999997</v>
      </c>
      <c r="H1676" s="199">
        <v>0</v>
      </c>
      <c r="I1676" s="199" t="s">
        <v>241</v>
      </c>
      <c r="J1676" s="202">
        <f>IFERROR('Mail Merge'!$E1676/'Mail Merge'!$D1676,0)</f>
        <v>9316.2367170953094</v>
      </c>
      <c r="K1676" s="199">
        <f>IFERROR('Mail Merge'!$F1676/'Mail Merge'!$D1676,0)</f>
        <v>1186.5945537065054</v>
      </c>
      <c r="L1676" s="203">
        <f>IFERROR('Mail Merge'!$G1676/'Mail Merge'!$D1676,0)</f>
        <v>10502.831270801815</v>
      </c>
      <c r="M1676" s="199">
        <v>0</v>
      </c>
      <c r="N1676" s="199" t="s">
        <v>241</v>
      </c>
      <c r="O1676" s="199">
        <v>770984.49</v>
      </c>
      <c r="P1676" s="199">
        <v>5915.37</v>
      </c>
      <c r="Q1676" s="199">
        <f>'Mail Merge'!$O1676+'Mail Merge'!$P1676</f>
        <v>776899.86</v>
      </c>
      <c r="R1676" s="199"/>
      <c r="S1676" s="199"/>
      <c r="T1676" s="199"/>
      <c r="U1676" s="199">
        <f>IF(AND('Mail Merge'!$I1676="Did Not Meet",'Mail Merge'!$N1676="Did Not Meet"),MIN(ABS('Mail Merge'!$H1676),ABS('Mail Merge'!$M1676),'Mail Merge'!$Q1676),0)</f>
        <v>0</v>
      </c>
      <c r="V1676" s="199" t="str">
        <f>IF(OR(IFERROR(SEARCH("Met",'Mail Merge'!$N1676),0)&gt;0,IFERROR(SEARCH("Met",'Mail Merge'!$I1676),0)&gt;0),"Met","Not Met")</f>
        <v>Met</v>
      </c>
    </row>
    <row r="1677" spans="1:22" x14ac:dyDescent="0.35">
      <c r="A1677" s="200" t="s">
        <v>121</v>
      </c>
      <c r="B1677" s="201">
        <v>2097</v>
      </c>
      <c r="C1677" s="201" t="s">
        <v>243</v>
      </c>
      <c r="D1677" s="201">
        <v>811</v>
      </c>
      <c r="E1677" s="201">
        <v>7404414.4100000001</v>
      </c>
      <c r="F1677" s="201">
        <v>809545</v>
      </c>
      <c r="G1677" s="201">
        <f>'Mail Merge'!$E1677+'Mail Merge'!$F1677</f>
        <v>8213959.4100000001</v>
      </c>
      <c r="H1677" s="201">
        <v>0</v>
      </c>
      <c r="I1677" s="201" t="s">
        <v>241</v>
      </c>
      <c r="J1677" s="204">
        <f>IFERROR('Mail Merge'!$E1677/'Mail Merge'!$D1677,0)</f>
        <v>9129.980776818742</v>
      </c>
      <c r="K1677" s="201">
        <f>IFERROR('Mail Merge'!$F1677/'Mail Merge'!$D1677,0)</f>
        <v>998.2059186189889</v>
      </c>
      <c r="L1677" s="205">
        <f>IFERROR('Mail Merge'!$G1677/'Mail Merge'!$D1677,0)</f>
        <v>10128.186695437731</v>
      </c>
      <c r="M1677" s="201">
        <v>206510.98820257658</v>
      </c>
      <c r="N1677" s="201" t="s">
        <v>240</v>
      </c>
      <c r="O1677" s="201">
        <v>1000066.08</v>
      </c>
      <c r="P1677" s="201">
        <v>18191</v>
      </c>
      <c r="Q1677" s="201">
        <f>'Mail Merge'!$O1677+'Mail Merge'!$P1677</f>
        <v>1018257.08</v>
      </c>
      <c r="R1677" s="201"/>
      <c r="S1677" s="201"/>
      <c r="T1677" s="201">
        <v>0</v>
      </c>
      <c r="U1677" s="201">
        <f>IF(AND('Mail Merge'!$I1677="Did Not Meet",'Mail Merge'!$N1677="Did Not Meet"),MIN(ABS('Mail Merge'!$H1677),ABS('Mail Merge'!$M1677),'Mail Merge'!$Q1677),0)</f>
        <v>0</v>
      </c>
      <c r="V1677" s="201" t="str">
        <f>IF(OR(IFERROR(SEARCH("Met",'Mail Merge'!$N1677),0)&gt;0,IFERROR(SEARCH("Met",'Mail Merge'!$I1677),0)&gt;0),"Met","Not Met")</f>
        <v>Met</v>
      </c>
    </row>
    <row r="1678" spans="1:22" x14ac:dyDescent="0.35">
      <c r="A1678" s="198" t="s">
        <v>122</v>
      </c>
      <c r="B1678" s="199">
        <v>2012</v>
      </c>
      <c r="C1678" s="199" t="s">
        <v>243</v>
      </c>
      <c r="D1678" s="199">
        <v>5</v>
      </c>
      <c r="E1678" s="199">
        <v>22729.9</v>
      </c>
      <c r="F1678" s="199">
        <v>53084.66</v>
      </c>
      <c r="G1678" s="199">
        <f>'Mail Merge'!$E1678+'Mail Merge'!$F1678</f>
        <v>75814.559999999998</v>
      </c>
      <c r="H1678" s="199">
        <v>0</v>
      </c>
      <c r="I1678" s="199" t="s">
        <v>241</v>
      </c>
      <c r="J1678" s="202">
        <f>IFERROR('Mail Merge'!$E1678/'Mail Merge'!$D1678,0)</f>
        <v>4545.9800000000005</v>
      </c>
      <c r="K1678" s="199">
        <f>IFERROR('Mail Merge'!$F1678/'Mail Merge'!$D1678,0)</f>
        <v>10616.932000000001</v>
      </c>
      <c r="L1678" s="203">
        <f>IFERROR('Mail Merge'!$G1678/'Mail Merge'!$D1678,0)</f>
        <v>15162.912</v>
      </c>
      <c r="M1678" s="199">
        <v>62427.225499999993</v>
      </c>
      <c r="N1678" s="199" t="s">
        <v>240</v>
      </c>
      <c r="O1678" s="199">
        <v>4903.91</v>
      </c>
      <c r="P1678" s="199">
        <v>0</v>
      </c>
      <c r="Q1678" s="199">
        <f>'Mail Merge'!$O1678+'Mail Merge'!$P1678</f>
        <v>4903.91</v>
      </c>
      <c r="R1678" s="199"/>
      <c r="S1678" s="199"/>
      <c r="T1678" s="199">
        <v>12352.48</v>
      </c>
      <c r="U1678" s="199">
        <f>IF(AND('Mail Merge'!$I1678="Did Not Meet",'Mail Merge'!$N1678="Did Not Meet"),MIN(ABS('Mail Merge'!$H1678),ABS('Mail Merge'!$M1678),'Mail Merge'!$Q1678),0)</f>
        <v>0</v>
      </c>
      <c r="V1678" s="199" t="str">
        <f>IF(OR(IFERROR(SEARCH("Met",'Mail Merge'!$N1678),0)&gt;0,IFERROR(SEARCH("Met",'Mail Merge'!$I1678),0)&gt;0),"Met","Not Met")</f>
        <v>Met</v>
      </c>
    </row>
    <row r="1679" spans="1:22" x14ac:dyDescent="0.35">
      <c r="A1679" s="200" t="s">
        <v>123</v>
      </c>
      <c r="B1679" s="201">
        <v>2092</v>
      </c>
      <c r="C1679" s="201" t="s">
        <v>243</v>
      </c>
      <c r="D1679" s="201">
        <v>94</v>
      </c>
      <c r="E1679" s="201">
        <v>620377.88</v>
      </c>
      <c r="F1679" s="201">
        <v>211907</v>
      </c>
      <c r="G1679" s="201">
        <f>'Mail Merge'!$E1679+'Mail Merge'!$F1679</f>
        <v>832284.88</v>
      </c>
      <c r="H1679" s="201">
        <v>0</v>
      </c>
      <c r="I1679" s="201" t="s">
        <v>241</v>
      </c>
      <c r="J1679" s="204">
        <f>IFERROR('Mail Merge'!$E1679/'Mail Merge'!$D1679,0)</f>
        <v>6599.7646808510635</v>
      </c>
      <c r="K1679" s="201">
        <f>IFERROR('Mail Merge'!$F1679/'Mail Merge'!$D1679,0)</f>
        <v>2254.3297872340427</v>
      </c>
      <c r="L1679" s="205">
        <f>IFERROR('Mail Merge'!$G1679/'Mail Merge'!$D1679,0)</f>
        <v>8854.0944680851062</v>
      </c>
      <c r="M1679" s="201">
        <v>235265.12000000395</v>
      </c>
      <c r="N1679" s="201" t="s">
        <v>240</v>
      </c>
      <c r="O1679" s="201">
        <v>131742.21</v>
      </c>
      <c r="P1679" s="201">
        <v>1130.44</v>
      </c>
      <c r="Q1679" s="201">
        <f>'Mail Merge'!$O1679+'Mail Merge'!$P1679</f>
        <v>132872.65</v>
      </c>
      <c r="R1679" s="201"/>
      <c r="S1679" s="201"/>
      <c r="T1679" s="201">
        <v>148.26</v>
      </c>
      <c r="U1679" s="201">
        <f>IF(AND('Mail Merge'!$I1679="Did Not Meet",'Mail Merge'!$N1679="Did Not Meet"),MIN(ABS('Mail Merge'!$H1679),ABS('Mail Merge'!$M1679),'Mail Merge'!$Q1679),0)</f>
        <v>0</v>
      </c>
      <c r="V1679" s="201" t="str">
        <f>IF(OR(IFERROR(SEARCH("Met",'Mail Merge'!$N1679),0)&gt;0,IFERROR(SEARCH("Met",'Mail Merge'!$I1679),0)&gt;0),"Met","Not Met")</f>
        <v>Met</v>
      </c>
    </row>
    <row r="1680" spans="1:22" x14ac:dyDescent="0.35">
      <c r="A1680" s="198" t="s">
        <v>124</v>
      </c>
      <c r="B1680" s="199">
        <v>2112</v>
      </c>
      <c r="C1680" s="199" t="s">
        <v>243</v>
      </c>
      <c r="D1680" s="199">
        <v>0</v>
      </c>
      <c r="E1680" s="199">
        <v>0</v>
      </c>
      <c r="F1680" s="199">
        <v>872.02</v>
      </c>
      <c r="G1680" s="199">
        <f>'Mail Merge'!$E1680+'Mail Merge'!$F1680</f>
        <v>872.02</v>
      </c>
      <c r="H1680" s="199">
        <v>1465.8899999999999</v>
      </c>
      <c r="I1680" s="199" t="s">
        <v>240</v>
      </c>
      <c r="J1680" s="202">
        <f>IFERROR('Mail Merge'!$E1680/'Mail Merge'!$D1680,0)</f>
        <v>0</v>
      </c>
      <c r="K1680" s="199">
        <f>IFERROR('Mail Merge'!$F1680/'Mail Merge'!$D1680,0)</f>
        <v>0</v>
      </c>
      <c r="L1680" s="203">
        <f>IFERROR('Mail Merge'!$G1680/'Mail Merge'!$D1680,0)</f>
        <v>0</v>
      </c>
      <c r="M1680" s="199">
        <v>0</v>
      </c>
      <c r="N1680" s="199" t="s">
        <v>241</v>
      </c>
      <c r="O1680" s="199">
        <v>406.19</v>
      </c>
      <c r="P1680" s="199">
        <v>0</v>
      </c>
      <c r="Q1680" s="199">
        <f>'Mail Merge'!$O1680+'Mail Merge'!$P1680</f>
        <v>406.19</v>
      </c>
      <c r="R1680" s="199"/>
      <c r="S1680" s="199">
        <v>0</v>
      </c>
      <c r="T1680" s="199"/>
      <c r="U1680" s="199">
        <f>IF(AND('Mail Merge'!$I1680="Did Not Meet",'Mail Merge'!$N1680="Did Not Meet"),MIN(ABS('Mail Merge'!$H1680),ABS('Mail Merge'!$M1680),'Mail Merge'!$Q1680),0)</f>
        <v>0</v>
      </c>
      <c r="V1680" s="199" t="str">
        <f>IF(OR(IFERROR(SEARCH("Met",'Mail Merge'!$N1680),0)&gt;0,IFERROR(SEARCH("Met",'Mail Merge'!$I1680),0)&gt;0),"Met","Not Met")</f>
        <v>Met</v>
      </c>
    </row>
    <row r="1681" spans="1:22" x14ac:dyDescent="0.35">
      <c r="A1681" s="200" t="s">
        <v>125</v>
      </c>
      <c r="B1681" s="201">
        <v>2085</v>
      </c>
      <c r="C1681" s="201" t="s">
        <v>243</v>
      </c>
      <c r="D1681" s="201">
        <v>28</v>
      </c>
      <c r="E1681" s="201">
        <v>204456.21</v>
      </c>
      <c r="F1681" s="201">
        <v>105386</v>
      </c>
      <c r="G1681" s="201">
        <f>'Mail Merge'!$E1681+'Mail Merge'!$F1681</f>
        <v>309842.20999999996</v>
      </c>
      <c r="H1681" s="201">
        <v>0</v>
      </c>
      <c r="I1681" s="201" t="s">
        <v>242</v>
      </c>
      <c r="J1681" s="204">
        <f>IFERROR('Mail Merge'!$E1681/'Mail Merge'!$D1681,0)</f>
        <v>7302.0074999999997</v>
      </c>
      <c r="K1681" s="201">
        <f>IFERROR('Mail Merge'!$F1681/'Mail Merge'!$D1681,0)</f>
        <v>3763.7857142857142</v>
      </c>
      <c r="L1681" s="205">
        <f>IFERROR('Mail Merge'!$G1681/'Mail Merge'!$D1681,0)</f>
        <v>11065.793214285713</v>
      </c>
      <c r="M1681" s="201">
        <v>10583.48391304359</v>
      </c>
      <c r="N1681" s="201" t="s">
        <v>240</v>
      </c>
      <c r="O1681" s="201">
        <v>46098.28</v>
      </c>
      <c r="P1681" s="201">
        <v>251.21</v>
      </c>
      <c r="Q1681" s="201">
        <f>'Mail Merge'!$O1681+'Mail Merge'!$P1681</f>
        <v>46349.49</v>
      </c>
      <c r="R1681" s="201"/>
      <c r="S1681" s="201">
        <v>131092</v>
      </c>
      <c r="T1681" s="201">
        <v>6895.3</v>
      </c>
      <c r="U1681" s="201">
        <f>IF(AND('Mail Merge'!$I1681="Did Not Meet",'Mail Merge'!$N1681="Did Not Meet"),MIN(ABS('Mail Merge'!$H1681),ABS('Mail Merge'!$M1681),'Mail Merge'!$Q1681),0)</f>
        <v>0</v>
      </c>
      <c r="V1681" s="201" t="str">
        <f>IF(OR(IFERROR(SEARCH("Met",'Mail Merge'!$N1681),0)&gt;0,IFERROR(SEARCH("Met",'Mail Merge'!$I1681),0)&gt;0),"Met","Not Met")</f>
        <v>Met</v>
      </c>
    </row>
    <row r="1682" spans="1:22" x14ac:dyDescent="0.35">
      <c r="A1682" s="198" t="s">
        <v>126</v>
      </c>
      <c r="B1682" s="199">
        <v>2094</v>
      </c>
      <c r="C1682" s="199" t="s">
        <v>243</v>
      </c>
      <c r="D1682" s="199">
        <v>56</v>
      </c>
      <c r="E1682" s="199">
        <v>542422.49</v>
      </c>
      <c r="F1682" s="199">
        <v>104041</v>
      </c>
      <c r="G1682" s="199">
        <f>'Mail Merge'!$E1682+'Mail Merge'!$F1682</f>
        <v>646463.49</v>
      </c>
      <c r="H1682" s="199">
        <v>0</v>
      </c>
      <c r="I1682" s="199" t="s">
        <v>241</v>
      </c>
      <c r="J1682" s="202">
        <f>IFERROR('Mail Merge'!$E1682/'Mail Merge'!$D1682,0)</f>
        <v>9686.1158928571422</v>
      </c>
      <c r="K1682" s="199">
        <f>IFERROR('Mail Merge'!$F1682/'Mail Merge'!$D1682,0)</f>
        <v>1857.875</v>
      </c>
      <c r="L1682" s="203">
        <f>IFERROR('Mail Merge'!$G1682/'Mail Merge'!$D1682,0)</f>
        <v>11543.990892857142</v>
      </c>
      <c r="M1682" s="199">
        <v>0</v>
      </c>
      <c r="N1682" s="199" t="s">
        <v>241</v>
      </c>
      <c r="O1682" s="199">
        <v>53412.11</v>
      </c>
      <c r="P1682" s="199">
        <v>334.95</v>
      </c>
      <c r="Q1682" s="199">
        <f>'Mail Merge'!$O1682+'Mail Merge'!$P1682</f>
        <v>53747.06</v>
      </c>
      <c r="R1682" s="199"/>
      <c r="S1682" s="199"/>
      <c r="T1682" s="199"/>
      <c r="U1682" s="199">
        <f>IF(AND('Mail Merge'!$I1682="Did Not Meet",'Mail Merge'!$N1682="Did Not Meet"),MIN(ABS('Mail Merge'!$H1682),ABS('Mail Merge'!$M1682),'Mail Merge'!$Q1682),0)</f>
        <v>0</v>
      </c>
      <c r="V1682" s="199" t="str">
        <f>IF(OR(IFERROR(SEARCH("Met",'Mail Merge'!$N1682),0)&gt;0,IFERROR(SEARCH("Met",'Mail Merge'!$I1682),0)&gt;0),"Met","Not Met")</f>
        <v>Met</v>
      </c>
    </row>
    <row r="1683" spans="1:22" x14ac:dyDescent="0.35">
      <c r="A1683" s="200" t="s">
        <v>127</v>
      </c>
      <c r="B1683" s="201">
        <v>2090</v>
      </c>
      <c r="C1683" s="201" t="s">
        <v>243</v>
      </c>
      <c r="D1683" s="201">
        <v>33</v>
      </c>
      <c r="E1683" s="201">
        <v>449937.88</v>
      </c>
      <c r="F1683" s="201">
        <v>48365</v>
      </c>
      <c r="G1683" s="201">
        <f>'Mail Merge'!$E1683+'Mail Merge'!$F1683</f>
        <v>498302.88</v>
      </c>
      <c r="H1683" s="201">
        <v>0</v>
      </c>
      <c r="I1683" s="201" t="s">
        <v>241</v>
      </c>
      <c r="J1683" s="204">
        <f>IFERROR('Mail Merge'!$E1683/'Mail Merge'!$D1683,0)</f>
        <v>13634.481212121213</v>
      </c>
      <c r="K1683" s="201">
        <f>IFERROR('Mail Merge'!$F1683/'Mail Merge'!$D1683,0)</f>
        <v>1465.6060606060605</v>
      </c>
      <c r="L1683" s="205">
        <f>IFERROR('Mail Merge'!$G1683/'Mail Merge'!$D1683,0)</f>
        <v>15100.087272727273</v>
      </c>
      <c r="M1683" s="201">
        <v>2908.9368750000194</v>
      </c>
      <c r="N1683" s="201" t="s">
        <v>240</v>
      </c>
      <c r="O1683" s="201">
        <v>44758.93</v>
      </c>
      <c r="P1683" s="201">
        <v>167.47</v>
      </c>
      <c r="Q1683" s="201">
        <f>'Mail Merge'!$O1683+'Mail Merge'!$P1683</f>
        <v>44926.400000000001</v>
      </c>
      <c r="R1683" s="201"/>
      <c r="S1683" s="201"/>
      <c r="T1683" s="201">
        <v>0</v>
      </c>
      <c r="U1683" s="201">
        <f>IF(AND('Mail Merge'!$I1683="Did Not Meet",'Mail Merge'!$N1683="Did Not Meet"),MIN(ABS('Mail Merge'!$H1683),ABS('Mail Merge'!$M1683),'Mail Merge'!$Q1683),0)</f>
        <v>0</v>
      </c>
      <c r="V1683" s="201" t="str">
        <f>IF(OR(IFERROR(SEARCH("Met",'Mail Merge'!$N1683),0)&gt;0,IFERROR(SEARCH("Met",'Mail Merge'!$I1683),0)&gt;0),"Met","Not Met")</f>
        <v>Met</v>
      </c>
    </row>
    <row r="1684" spans="1:22" x14ac:dyDescent="0.35">
      <c r="A1684" s="198" t="s">
        <v>128</v>
      </c>
      <c r="B1684" s="199">
        <v>2256</v>
      </c>
      <c r="C1684" s="199" t="s">
        <v>243</v>
      </c>
      <c r="D1684" s="199">
        <v>827</v>
      </c>
      <c r="E1684" s="199">
        <v>7610148.75</v>
      </c>
      <c r="F1684" s="199">
        <v>263142.65000000002</v>
      </c>
      <c r="G1684" s="199">
        <f>'Mail Merge'!$E1684+'Mail Merge'!$F1684</f>
        <v>7873291.4000000004</v>
      </c>
      <c r="H1684" s="199">
        <v>0</v>
      </c>
      <c r="I1684" s="199" t="s">
        <v>241</v>
      </c>
      <c r="J1684" s="202">
        <f>IFERROR('Mail Merge'!$E1684/'Mail Merge'!$D1684,0)</f>
        <v>9202.1145707376054</v>
      </c>
      <c r="K1684" s="199">
        <f>IFERROR('Mail Merge'!$F1684/'Mail Merge'!$D1684,0)</f>
        <v>318.18941958887547</v>
      </c>
      <c r="L1684" s="203">
        <f>IFERROR('Mail Merge'!$G1684/'Mail Merge'!$D1684,0)</f>
        <v>9520.3039903264817</v>
      </c>
      <c r="M1684" s="199">
        <v>0</v>
      </c>
      <c r="N1684" s="199" t="s">
        <v>241</v>
      </c>
      <c r="O1684" s="199">
        <v>955112.43</v>
      </c>
      <c r="P1684" s="199">
        <v>9317.57</v>
      </c>
      <c r="Q1684" s="199">
        <f>'Mail Merge'!$O1684+'Mail Merge'!$P1684</f>
        <v>964430</v>
      </c>
      <c r="R1684" s="199"/>
      <c r="S1684" s="199"/>
      <c r="T1684" s="199"/>
      <c r="U1684" s="199">
        <f>IF(AND('Mail Merge'!$I1684="Did Not Meet",'Mail Merge'!$N1684="Did Not Meet"),MIN(ABS('Mail Merge'!$H1684),ABS('Mail Merge'!$M1684),'Mail Merge'!$Q1684),0)</f>
        <v>0</v>
      </c>
      <c r="V1684" s="199" t="str">
        <f>IF(OR(IFERROR(SEARCH("Met",'Mail Merge'!$N1684),0)&gt;0,IFERROR(SEARCH("Met",'Mail Merge'!$I1684),0)&gt;0),"Met","Not Met")</f>
        <v>Met</v>
      </c>
    </row>
    <row r="1685" spans="1:22" x14ac:dyDescent="0.35">
      <c r="A1685" s="200" t="s">
        <v>129</v>
      </c>
      <c r="B1685" s="201">
        <v>2048</v>
      </c>
      <c r="C1685" s="201" t="s">
        <v>243</v>
      </c>
      <c r="D1685" s="201">
        <v>2150</v>
      </c>
      <c r="E1685" s="201">
        <v>17150211.899999999</v>
      </c>
      <c r="F1685" s="201">
        <v>1602491.21</v>
      </c>
      <c r="G1685" s="201">
        <f>'Mail Merge'!$E1685+'Mail Merge'!$F1685</f>
        <v>18752703.109999999</v>
      </c>
      <c r="H1685" s="201">
        <v>0</v>
      </c>
      <c r="I1685" s="201" t="s">
        <v>241</v>
      </c>
      <c r="J1685" s="204">
        <f>IFERROR('Mail Merge'!$E1685/'Mail Merge'!$D1685,0)</f>
        <v>7976.8427441860458</v>
      </c>
      <c r="K1685" s="201">
        <f>IFERROR('Mail Merge'!$F1685/'Mail Merge'!$D1685,0)</f>
        <v>745.34474883720929</v>
      </c>
      <c r="L1685" s="205">
        <f>IFERROR('Mail Merge'!$G1685/'Mail Merge'!$D1685,0)</f>
        <v>8722.1874930232552</v>
      </c>
      <c r="M1685" s="201">
        <v>0</v>
      </c>
      <c r="N1685" s="201" t="s">
        <v>241</v>
      </c>
      <c r="O1685" s="201">
        <v>2182845.92</v>
      </c>
      <c r="P1685" s="201">
        <v>20531.439999999999</v>
      </c>
      <c r="Q1685" s="201">
        <f>'Mail Merge'!$O1685+'Mail Merge'!$P1685</f>
        <v>2203377.36</v>
      </c>
      <c r="R1685" s="201"/>
      <c r="S1685" s="201"/>
      <c r="T1685" s="201"/>
      <c r="U1685" s="201">
        <f>IF(AND('Mail Merge'!$I1685="Did Not Meet",'Mail Merge'!$N1685="Did Not Meet"),MIN(ABS('Mail Merge'!$H1685),ABS('Mail Merge'!$M1685),'Mail Merge'!$Q1685),0)</f>
        <v>0</v>
      </c>
      <c r="V1685" s="201" t="str">
        <f>IF(OR(IFERROR(SEARCH("Met",'Mail Merge'!$N1685),0)&gt;0,IFERROR(SEARCH("Met",'Mail Merge'!$I1685),0)&gt;0),"Met","Not Met")</f>
        <v>Met</v>
      </c>
    </row>
    <row r="1686" spans="1:22" x14ac:dyDescent="0.35">
      <c r="A1686" s="198" t="s">
        <v>130</v>
      </c>
      <c r="B1686" s="199">
        <v>2205</v>
      </c>
      <c r="C1686" s="199" t="s">
        <v>243</v>
      </c>
      <c r="D1686" s="199">
        <v>206</v>
      </c>
      <c r="E1686" s="199">
        <v>1694637.8</v>
      </c>
      <c r="F1686" s="199">
        <v>350007.05</v>
      </c>
      <c r="G1686" s="199">
        <f>'Mail Merge'!$E1686+'Mail Merge'!$F1686</f>
        <v>2044644.85</v>
      </c>
      <c r="H1686" s="199">
        <v>0</v>
      </c>
      <c r="I1686" s="199" t="s">
        <v>241</v>
      </c>
      <c r="J1686" s="202">
        <f>IFERROR('Mail Merge'!$E1686/'Mail Merge'!$D1686,0)</f>
        <v>8226.3970873786402</v>
      </c>
      <c r="K1686" s="199">
        <f>IFERROR('Mail Merge'!$F1686/'Mail Merge'!$D1686,0)</f>
        <v>1699.063349514563</v>
      </c>
      <c r="L1686" s="203">
        <f>IFERROR('Mail Merge'!$G1686/'Mail Merge'!$D1686,0)</f>
        <v>9925.460436893205</v>
      </c>
      <c r="M1686" s="199">
        <v>0</v>
      </c>
      <c r="N1686" s="199" t="s">
        <v>241</v>
      </c>
      <c r="O1686" s="199">
        <v>278286.01</v>
      </c>
      <c r="P1686" s="199">
        <v>2557.7600000000002</v>
      </c>
      <c r="Q1686" s="199">
        <f>'Mail Merge'!$O1686+'Mail Merge'!$P1686</f>
        <v>280843.77</v>
      </c>
      <c r="R1686" s="199"/>
      <c r="S1686" s="199"/>
      <c r="T1686" s="199"/>
      <c r="U1686" s="199">
        <f>IF(AND('Mail Merge'!$I1686="Did Not Meet",'Mail Merge'!$N1686="Did Not Meet"),MIN(ABS('Mail Merge'!$H1686),ABS('Mail Merge'!$M1686),'Mail Merge'!$Q1686),0)</f>
        <v>0</v>
      </c>
      <c r="V1686" s="199" t="str">
        <f>IF(OR(IFERROR(SEARCH("Met",'Mail Merge'!$N1686),0)&gt;0,IFERROR(SEARCH("Met",'Mail Merge'!$I1686),0)&gt;0),"Met","Not Met")</f>
        <v>Met</v>
      </c>
    </row>
    <row r="1687" spans="1:22" x14ac:dyDescent="0.35">
      <c r="A1687" s="200" t="s">
        <v>131</v>
      </c>
      <c r="B1687" s="201">
        <v>2249</v>
      </c>
      <c r="C1687" s="201" t="s">
        <v>243</v>
      </c>
      <c r="D1687" s="201">
        <v>61</v>
      </c>
      <c r="E1687" s="201">
        <v>27097.02</v>
      </c>
      <c r="F1687" s="201">
        <v>66007</v>
      </c>
      <c r="G1687" s="201">
        <f>'Mail Merge'!$E1687+'Mail Merge'!$F1687</f>
        <v>93104.02</v>
      </c>
      <c r="H1687" s="201">
        <v>0</v>
      </c>
      <c r="I1687" s="201" t="s">
        <v>241</v>
      </c>
      <c r="J1687" s="204">
        <f>IFERROR('Mail Merge'!$E1687/'Mail Merge'!$D1687,0)</f>
        <v>444.21344262295082</v>
      </c>
      <c r="K1687" s="201">
        <f>IFERROR('Mail Merge'!$F1687/'Mail Merge'!$D1687,0)</f>
        <v>1082.0819672131147</v>
      </c>
      <c r="L1687" s="205">
        <f>IFERROR('Mail Merge'!$G1687/'Mail Merge'!$D1687,0)</f>
        <v>1526.2954098360656</v>
      </c>
      <c r="M1687" s="201">
        <v>585341.27399999998</v>
      </c>
      <c r="N1687" s="201" t="s">
        <v>240</v>
      </c>
      <c r="O1687" s="201">
        <v>49625.279999999999</v>
      </c>
      <c r="P1687" s="201">
        <v>0</v>
      </c>
      <c r="Q1687" s="201">
        <f>'Mail Merge'!$O1687+'Mail Merge'!$P1687</f>
        <v>49625.279999999999</v>
      </c>
      <c r="R1687" s="201"/>
      <c r="S1687" s="201"/>
      <c r="T1687" s="201">
        <v>3175.75</v>
      </c>
      <c r="U1687" s="201">
        <f>IF(AND('Mail Merge'!$I1687="Did Not Meet",'Mail Merge'!$N1687="Did Not Meet"),MIN(ABS('Mail Merge'!$H1687),ABS('Mail Merge'!$M1687),'Mail Merge'!$Q1687),0)</f>
        <v>0</v>
      </c>
      <c r="V1687" s="201" t="str">
        <f>IF(OR(IFERROR(SEARCH("Met",'Mail Merge'!$N1687),0)&gt;0,IFERROR(SEARCH("Met",'Mail Merge'!$I1687),0)&gt;0),"Met","Not Met")</f>
        <v>Met</v>
      </c>
    </row>
    <row r="1688" spans="1:22" x14ac:dyDescent="0.35">
      <c r="A1688" s="198" t="s">
        <v>132</v>
      </c>
      <c r="B1688" s="199">
        <v>1925</v>
      </c>
      <c r="C1688" s="199" t="s">
        <v>243</v>
      </c>
      <c r="D1688" s="199">
        <v>384</v>
      </c>
      <c r="E1688" s="199">
        <v>3959536.56</v>
      </c>
      <c r="F1688" s="199">
        <v>685449</v>
      </c>
      <c r="G1688" s="199">
        <f>'Mail Merge'!$E1688+'Mail Merge'!$F1688</f>
        <v>4644985.5600000005</v>
      </c>
      <c r="H1688" s="199">
        <v>0</v>
      </c>
      <c r="I1688" s="199" t="s">
        <v>241</v>
      </c>
      <c r="J1688" s="202">
        <f>IFERROR('Mail Merge'!$E1688/'Mail Merge'!$D1688,0)</f>
        <v>10311.293125</v>
      </c>
      <c r="K1688" s="199">
        <f>IFERROR('Mail Merge'!$F1688/'Mail Merge'!$D1688,0)</f>
        <v>1785.0234375</v>
      </c>
      <c r="L1688" s="203">
        <f>IFERROR('Mail Merge'!$G1688/'Mail Merge'!$D1688,0)</f>
        <v>12096.316562500002</v>
      </c>
      <c r="M1688" s="199">
        <v>0</v>
      </c>
      <c r="N1688" s="199" t="s">
        <v>241</v>
      </c>
      <c r="O1688" s="199">
        <v>446075.85</v>
      </c>
      <c r="P1688" s="199">
        <v>3153.11</v>
      </c>
      <c r="Q1688" s="199">
        <f>'Mail Merge'!$O1688+'Mail Merge'!$P1688</f>
        <v>449228.95999999996</v>
      </c>
      <c r="R1688" s="199"/>
      <c r="S1688" s="199"/>
      <c r="T1688" s="199"/>
      <c r="U1688" s="199">
        <f>IF(AND('Mail Merge'!$I1688="Did Not Meet",'Mail Merge'!$N1688="Did Not Meet"),MIN(ABS('Mail Merge'!$H1688),ABS('Mail Merge'!$M1688),'Mail Merge'!$Q1688),0)</f>
        <v>0</v>
      </c>
      <c r="V1688" s="199" t="str">
        <f>IF(OR(IFERROR(SEARCH("Met",'Mail Merge'!$N1688),0)&gt;0,IFERROR(SEARCH("Met",'Mail Merge'!$I1688),0)&gt;0),"Met","Not Met")</f>
        <v>Met</v>
      </c>
    </row>
    <row r="1689" spans="1:22" x14ac:dyDescent="0.35">
      <c r="A1689" s="200" t="s">
        <v>133</v>
      </c>
      <c r="B1689" s="201">
        <v>1898</v>
      </c>
      <c r="C1689" s="201" t="s">
        <v>243</v>
      </c>
      <c r="D1689" s="201">
        <v>59</v>
      </c>
      <c r="E1689" s="201">
        <v>580023.81999999995</v>
      </c>
      <c r="F1689" s="201">
        <v>87881</v>
      </c>
      <c r="G1689" s="201">
        <f>'Mail Merge'!$E1689+'Mail Merge'!$F1689</f>
        <v>667904.81999999995</v>
      </c>
      <c r="H1689" s="201">
        <v>12.800000000046566</v>
      </c>
      <c r="I1689" s="201" t="s">
        <v>240</v>
      </c>
      <c r="J1689" s="204">
        <f>IFERROR('Mail Merge'!$E1689/'Mail Merge'!$D1689,0)</f>
        <v>9830.9122033898293</v>
      </c>
      <c r="K1689" s="201">
        <f>IFERROR('Mail Merge'!$F1689/'Mail Merge'!$D1689,0)</f>
        <v>1489.5084745762713</v>
      </c>
      <c r="L1689" s="205">
        <f>IFERROR('Mail Merge'!$G1689/'Mail Merge'!$D1689,0)</f>
        <v>11320.420677966102</v>
      </c>
      <c r="M1689" s="201">
        <v>11528.621034485324</v>
      </c>
      <c r="N1689" s="201" t="s">
        <v>240</v>
      </c>
      <c r="O1689" s="201">
        <v>82705.259999999995</v>
      </c>
      <c r="P1689" s="201">
        <v>1507.25</v>
      </c>
      <c r="Q1689" s="201">
        <f>'Mail Merge'!$O1689+'Mail Merge'!$P1689</f>
        <v>84212.51</v>
      </c>
      <c r="R1689" s="201"/>
      <c r="S1689" s="201">
        <v>0</v>
      </c>
      <c r="T1689" s="201">
        <v>0</v>
      </c>
      <c r="U1689" s="201">
        <f>IF(AND('Mail Merge'!$I1689="Did Not Meet",'Mail Merge'!$N1689="Did Not Meet"),MIN(ABS('Mail Merge'!$H1689),ABS('Mail Merge'!$M1689),'Mail Merge'!$Q1689),0)</f>
        <v>12.800000000046566</v>
      </c>
      <c r="V1689" s="201" t="str">
        <f>IF(OR(IFERROR(SEARCH("Met",'Mail Merge'!$N1689),0)&gt;0,IFERROR(SEARCH("Met",'Mail Merge'!$I1689),0)&gt;0),"Met","Not Met")</f>
        <v>Not Met</v>
      </c>
    </row>
    <row r="1690" spans="1:22" x14ac:dyDescent="0.35">
      <c r="A1690" s="198" t="s">
        <v>134</v>
      </c>
      <c r="B1690" s="199">
        <v>2010</v>
      </c>
      <c r="C1690" s="199" t="s">
        <v>243</v>
      </c>
      <c r="D1690" s="199">
        <v>8</v>
      </c>
      <c r="E1690" s="199">
        <v>0</v>
      </c>
      <c r="F1690" s="199">
        <v>88506.68</v>
      </c>
      <c r="G1690" s="199">
        <f>'Mail Merge'!$E1690+'Mail Merge'!$F1690</f>
        <v>88506.68</v>
      </c>
      <c r="H1690" s="199">
        <v>0</v>
      </c>
      <c r="I1690" s="199" t="s">
        <v>241</v>
      </c>
      <c r="J1690" s="202">
        <f>IFERROR('Mail Merge'!$E1690/'Mail Merge'!$D1690,0)</f>
        <v>0</v>
      </c>
      <c r="K1690" s="199">
        <f>IFERROR('Mail Merge'!$F1690/'Mail Merge'!$D1690,0)</f>
        <v>11063.334999999999</v>
      </c>
      <c r="L1690" s="203">
        <f>IFERROR('Mail Merge'!$G1690/'Mail Merge'!$D1690,0)</f>
        <v>11063.334999999999</v>
      </c>
      <c r="M1690" s="199">
        <v>11665.4914285712</v>
      </c>
      <c r="N1690" s="199" t="s">
        <v>240</v>
      </c>
      <c r="O1690" s="199">
        <v>8800.61</v>
      </c>
      <c r="P1690" s="199">
        <v>1507.25</v>
      </c>
      <c r="Q1690" s="199">
        <f>'Mail Merge'!$O1690+'Mail Merge'!$P1690</f>
        <v>10307.86</v>
      </c>
      <c r="R1690" s="199"/>
      <c r="S1690" s="199">
        <v>0</v>
      </c>
      <c r="T1690" s="199">
        <v>0</v>
      </c>
      <c r="U1690" s="199">
        <f>IF(AND('Mail Merge'!$I1690="Did Not Meet",'Mail Merge'!$N1690="Did Not Meet"),MIN(ABS('Mail Merge'!$H1690),ABS('Mail Merge'!$M1690),'Mail Merge'!$Q1690),0)</f>
        <v>0</v>
      </c>
      <c r="V1690" s="199" t="str">
        <f>IF(OR(IFERROR(SEARCH("Met",'Mail Merge'!$N1690),0)&gt;0,IFERROR(SEARCH("Met",'Mail Merge'!$I1690),0)&gt;0),"Met","Not Met")</f>
        <v>Met</v>
      </c>
    </row>
    <row r="1691" spans="1:22" x14ac:dyDescent="0.35">
      <c r="A1691" s="200" t="s">
        <v>135</v>
      </c>
      <c r="B1691" s="201">
        <v>2147</v>
      </c>
      <c r="C1691" s="201" t="s">
        <v>243</v>
      </c>
      <c r="D1691" s="201">
        <v>296</v>
      </c>
      <c r="E1691" s="201">
        <v>2152379.0299999998</v>
      </c>
      <c r="F1691" s="201">
        <v>502779.94</v>
      </c>
      <c r="G1691" s="201">
        <f>'Mail Merge'!$E1691+'Mail Merge'!$F1691</f>
        <v>2655158.9699999997</v>
      </c>
      <c r="H1691" s="201">
        <v>0</v>
      </c>
      <c r="I1691" s="201" t="s">
        <v>241</v>
      </c>
      <c r="J1691" s="204">
        <f>IFERROR('Mail Merge'!$E1691/'Mail Merge'!$D1691,0)</f>
        <v>7271.550777027026</v>
      </c>
      <c r="K1691" s="201">
        <f>IFERROR('Mail Merge'!$F1691/'Mail Merge'!$D1691,0)</f>
        <v>1698.5808783783784</v>
      </c>
      <c r="L1691" s="205">
        <f>IFERROR('Mail Merge'!$G1691/'Mail Merge'!$D1691,0)</f>
        <v>8970.1316554054047</v>
      </c>
      <c r="M1691" s="201">
        <v>0</v>
      </c>
      <c r="N1691" s="201" t="s">
        <v>241</v>
      </c>
      <c r="O1691" s="201">
        <v>349014.87</v>
      </c>
      <c r="P1691" s="201">
        <v>2042.44</v>
      </c>
      <c r="Q1691" s="201">
        <f>'Mail Merge'!$O1691+'Mail Merge'!$P1691</f>
        <v>351057.31</v>
      </c>
      <c r="R1691" s="201"/>
      <c r="S1691" s="201"/>
      <c r="T1691" s="201"/>
      <c r="U1691" s="201">
        <f>IF(AND('Mail Merge'!$I1691="Did Not Meet",'Mail Merge'!$N1691="Did Not Meet"),MIN(ABS('Mail Merge'!$H1691),ABS('Mail Merge'!$M1691),'Mail Merge'!$Q1691),0)</f>
        <v>0</v>
      </c>
      <c r="V1691" s="201" t="str">
        <f>IF(OR(IFERROR(SEARCH("Met",'Mail Merge'!$N1691),0)&gt;0,IFERROR(SEARCH("Met",'Mail Merge'!$I1691),0)&gt;0),"Met","Not Met")</f>
        <v>Met</v>
      </c>
    </row>
    <row r="1692" spans="1:22" x14ac:dyDescent="0.35">
      <c r="A1692" s="198" t="s">
        <v>136</v>
      </c>
      <c r="B1692" s="199">
        <v>2145</v>
      </c>
      <c r="C1692" s="199" t="s">
        <v>243</v>
      </c>
      <c r="D1692" s="199">
        <v>84</v>
      </c>
      <c r="E1692" s="199">
        <v>470495.66</v>
      </c>
      <c r="F1692" s="199">
        <v>111256.77</v>
      </c>
      <c r="G1692" s="199">
        <f>'Mail Merge'!$E1692+'Mail Merge'!$F1692</f>
        <v>581752.42999999993</v>
      </c>
      <c r="H1692" s="199">
        <v>0</v>
      </c>
      <c r="I1692" s="199" t="s">
        <v>241</v>
      </c>
      <c r="J1692" s="202">
        <f>IFERROR('Mail Merge'!$E1692/'Mail Merge'!$D1692,0)</f>
        <v>5601.138809523809</v>
      </c>
      <c r="K1692" s="199">
        <f>IFERROR('Mail Merge'!$F1692/'Mail Merge'!$D1692,0)</f>
        <v>1324.4853571428571</v>
      </c>
      <c r="L1692" s="203">
        <f>IFERROR('Mail Merge'!$G1692/'Mail Merge'!$D1692,0)</f>
        <v>6925.6241666666656</v>
      </c>
      <c r="M1692" s="199">
        <v>52736.887239684176</v>
      </c>
      <c r="N1692" s="199" t="s">
        <v>240</v>
      </c>
      <c r="O1692" s="199">
        <v>126268.74</v>
      </c>
      <c r="P1692" s="199">
        <v>781.54</v>
      </c>
      <c r="Q1692" s="199">
        <f>'Mail Merge'!$O1692+'Mail Merge'!$P1692</f>
        <v>127050.28</v>
      </c>
      <c r="R1692" s="199"/>
      <c r="S1692" s="199"/>
      <c r="T1692" s="199">
        <v>91.97</v>
      </c>
      <c r="U1692" s="199">
        <f>IF(AND('Mail Merge'!$I1692="Did Not Meet",'Mail Merge'!$N1692="Did Not Meet"),MIN(ABS('Mail Merge'!$H1692),ABS('Mail Merge'!$M1692),'Mail Merge'!$Q1692),0)</f>
        <v>0</v>
      </c>
      <c r="V1692" s="199" t="str">
        <f>IF(OR(IFERROR(SEARCH("Met",'Mail Merge'!$N1692),0)&gt;0,IFERROR(SEARCH("Met",'Mail Merge'!$I1692),0)&gt;0),"Met","Not Met")</f>
        <v>Met</v>
      </c>
    </row>
    <row r="1693" spans="1:22" x14ac:dyDescent="0.35">
      <c r="A1693" s="200" t="s">
        <v>137</v>
      </c>
      <c r="B1693" s="201">
        <v>1968</v>
      </c>
      <c r="C1693" s="201" t="s">
        <v>243</v>
      </c>
      <c r="D1693" s="201">
        <v>72</v>
      </c>
      <c r="E1693" s="201">
        <v>576129.41</v>
      </c>
      <c r="F1693" s="201">
        <v>182371.75</v>
      </c>
      <c r="G1693" s="201">
        <f>'Mail Merge'!$E1693+'Mail Merge'!$F1693</f>
        <v>758501.16</v>
      </c>
      <c r="H1693" s="201">
        <v>0</v>
      </c>
      <c r="I1693" s="201" t="s">
        <v>242</v>
      </c>
      <c r="J1693" s="204">
        <f>IFERROR('Mail Merge'!$E1693/'Mail Merge'!$D1693,0)</f>
        <v>8001.797361111112</v>
      </c>
      <c r="K1693" s="201">
        <f>IFERROR('Mail Merge'!$F1693/'Mail Merge'!$D1693,0)</f>
        <v>2532.9409722222222</v>
      </c>
      <c r="L1693" s="205">
        <f>IFERROR('Mail Merge'!$G1693/'Mail Merge'!$D1693,0)</f>
        <v>10534.738333333335</v>
      </c>
      <c r="M1693" s="201">
        <v>19957.539130435158</v>
      </c>
      <c r="N1693" s="201" t="s">
        <v>240</v>
      </c>
      <c r="O1693" s="201">
        <v>121831.35</v>
      </c>
      <c r="P1693" s="201">
        <v>1507.25</v>
      </c>
      <c r="Q1693" s="201">
        <f>'Mail Merge'!$O1693+'Mail Merge'!$P1693</f>
        <v>123338.6</v>
      </c>
      <c r="R1693" s="201"/>
      <c r="S1693" s="201">
        <v>49044.5</v>
      </c>
      <c r="T1693" s="201">
        <v>710.79</v>
      </c>
      <c r="U1693" s="201">
        <f>IF(AND('Mail Merge'!$I1693="Did Not Meet",'Mail Merge'!$N1693="Did Not Meet"),MIN(ABS('Mail Merge'!$H1693),ABS('Mail Merge'!$M1693),'Mail Merge'!$Q1693),0)</f>
        <v>0</v>
      </c>
      <c r="V1693" s="201" t="str">
        <f>IF(OR(IFERROR(SEARCH("Met",'Mail Merge'!$N1693),0)&gt;0,IFERROR(SEARCH("Met",'Mail Merge'!$I1693),0)&gt;0),"Met","Not Met")</f>
        <v>Met</v>
      </c>
    </row>
    <row r="1694" spans="1:22" x14ac:dyDescent="0.35">
      <c r="A1694" s="198" t="s">
        <v>138</v>
      </c>
      <c r="B1694" s="199">
        <v>2198</v>
      </c>
      <c r="C1694" s="199" t="s">
        <v>243</v>
      </c>
      <c r="D1694" s="199">
        <v>123</v>
      </c>
      <c r="E1694" s="199">
        <v>1857348.38</v>
      </c>
      <c r="F1694" s="199">
        <v>261889</v>
      </c>
      <c r="G1694" s="199">
        <f>'Mail Merge'!$E1694+'Mail Merge'!$F1694</f>
        <v>2119237.38</v>
      </c>
      <c r="H1694" s="199">
        <v>0</v>
      </c>
      <c r="I1694" s="199" t="s">
        <v>241</v>
      </c>
      <c r="J1694" s="202">
        <f>IFERROR('Mail Merge'!$E1694/'Mail Merge'!$D1694,0)</f>
        <v>15100.393333333332</v>
      </c>
      <c r="K1694" s="199">
        <f>IFERROR('Mail Merge'!$F1694/'Mail Merge'!$D1694,0)</f>
        <v>2129.1788617886177</v>
      </c>
      <c r="L1694" s="203">
        <f>IFERROR('Mail Merge'!$G1694/'Mail Merge'!$D1694,0)</f>
        <v>17229.572195121949</v>
      </c>
      <c r="M1694" s="199">
        <v>0</v>
      </c>
      <c r="N1694" s="199" t="s">
        <v>241</v>
      </c>
      <c r="O1694" s="199">
        <v>129006.88</v>
      </c>
      <c r="P1694" s="199">
        <v>2153.2199999999998</v>
      </c>
      <c r="Q1694" s="199">
        <f>'Mail Merge'!$O1694+'Mail Merge'!$P1694</f>
        <v>131160.1</v>
      </c>
      <c r="R1694" s="199"/>
      <c r="S1694" s="199"/>
      <c r="T1694" s="199"/>
      <c r="U1694" s="199">
        <f>IF(AND('Mail Merge'!$I1694="Did Not Meet",'Mail Merge'!$N1694="Did Not Meet"),MIN(ABS('Mail Merge'!$H1694),ABS('Mail Merge'!$M1694),'Mail Merge'!$Q1694),0)</f>
        <v>0</v>
      </c>
      <c r="V1694" s="199" t="str">
        <f>IF(OR(IFERROR(SEARCH("Met",'Mail Merge'!$N1694),0)&gt;0,IFERROR(SEARCH("Met",'Mail Merge'!$I1694),0)&gt;0),"Met","Not Met")</f>
        <v>Met</v>
      </c>
    </row>
    <row r="1695" spans="1:22" x14ac:dyDescent="0.35">
      <c r="A1695" s="200" t="s">
        <v>139</v>
      </c>
      <c r="B1695" s="201">
        <v>2199</v>
      </c>
      <c r="C1695" s="201" t="s">
        <v>243</v>
      </c>
      <c r="D1695" s="201">
        <v>71</v>
      </c>
      <c r="E1695" s="201">
        <v>865257.99</v>
      </c>
      <c r="F1695" s="201">
        <v>169222</v>
      </c>
      <c r="G1695" s="201">
        <f>'Mail Merge'!$E1695+'Mail Merge'!$F1695</f>
        <v>1034479.99</v>
      </c>
      <c r="H1695" s="201">
        <v>0</v>
      </c>
      <c r="I1695" s="201" t="s">
        <v>241</v>
      </c>
      <c r="J1695" s="204">
        <f>IFERROR('Mail Merge'!$E1695/'Mail Merge'!$D1695,0)</f>
        <v>12186.732253521126</v>
      </c>
      <c r="K1695" s="201">
        <f>IFERROR('Mail Merge'!$F1695/'Mail Merge'!$D1695,0)</f>
        <v>2383.4084507042253</v>
      </c>
      <c r="L1695" s="205">
        <f>IFERROR('Mail Merge'!$G1695/'Mail Merge'!$D1695,0)</f>
        <v>14570.140704225352</v>
      </c>
      <c r="M1695" s="201">
        <v>0</v>
      </c>
      <c r="N1695" s="201" t="s">
        <v>241</v>
      </c>
      <c r="O1695" s="201">
        <v>105030.9</v>
      </c>
      <c r="P1695" s="201">
        <v>1607.74</v>
      </c>
      <c r="Q1695" s="201">
        <f>'Mail Merge'!$O1695+'Mail Merge'!$P1695</f>
        <v>106638.64</v>
      </c>
      <c r="R1695" s="201"/>
      <c r="S1695" s="201"/>
      <c r="T1695" s="201"/>
      <c r="U1695" s="201">
        <f>IF(AND('Mail Merge'!$I1695="Did Not Meet",'Mail Merge'!$N1695="Did Not Meet"),MIN(ABS('Mail Merge'!$H1695),ABS('Mail Merge'!$M1695),'Mail Merge'!$Q1695),0)</f>
        <v>0</v>
      </c>
      <c r="V1695" s="201" t="str">
        <f>IF(OR(IFERROR(SEARCH("Met",'Mail Merge'!$N1695),0)&gt;0,IFERROR(SEARCH("Met",'Mail Merge'!$I1695),0)&gt;0),"Met","Not Met")</f>
        <v>Met</v>
      </c>
    </row>
    <row r="1696" spans="1:22" x14ac:dyDescent="0.35">
      <c r="A1696" s="198" t="s">
        <v>140</v>
      </c>
      <c r="B1696" s="199">
        <v>2254</v>
      </c>
      <c r="C1696" s="199" t="s">
        <v>243</v>
      </c>
      <c r="D1696" s="199">
        <v>657</v>
      </c>
      <c r="E1696" s="199">
        <v>6443057.8700000001</v>
      </c>
      <c r="F1696" s="199">
        <v>93819</v>
      </c>
      <c r="G1696" s="199">
        <f>'Mail Merge'!$E1696+'Mail Merge'!$F1696</f>
        <v>6536876.8700000001</v>
      </c>
      <c r="H1696" s="199">
        <v>0</v>
      </c>
      <c r="I1696" s="199" t="s">
        <v>241</v>
      </c>
      <c r="J1696" s="202">
        <f>IFERROR('Mail Merge'!$E1696/'Mail Merge'!$D1696,0)</f>
        <v>9806.7851902587518</v>
      </c>
      <c r="K1696" s="199">
        <f>IFERROR('Mail Merge'!$F1696/'Mail Merge'!$D1696,0)</f>
        <v>142.79908675799086</v>
      </c>
      <c r="L1696" s="203">
        <f>IFERROR('Mail Merge'!$G1696/'Mail Merge'!$D1696,0)</f>
        <v>9949.5842770167437</v>
      </c>
      <c r="M1696" s="199">
        <v>0</v>
      </c>
      <c r="N1696" s="199" t="s">
        <v>241</v>
      </c>
      <c r="O1696" s="199">
        <v>760902.56</v>
      </c>
      <c r="P1696" s="199">
        <v>7423.79</v>
      </c>
      <c r="Q1696" s="199">
        <f>'Mail Merge'!$O1696+'Mail Merge'!$P1696</f>
        <v>768326.35000000009</v>
      </c>
      <c r="R1696" s="199"/>
      <c r="S1696" s="199"/>
      <c r="T1696" s="199"/>
      <c r="U1696" s="199">
        <f>IF(AND('Mail Merge'!$I1696="Did Not Meet",'Mail Merge'!$N1696="Did Not Meet"),MIN(ABS('Mail Merge'!$H1696),ABS('Mail Merge'!$M1696),'Mail Merge'!$Q1696),0)</f>
        <v>0</v>
      </c>
      <c r="V1696" s="199" t="str">
        <f>IF(OR(IFERROR(SEARCH("Met",'Mail Merge'!$N1696),0)&gt;0,IFERROR(SEARCH("Met",'Mail Merge'!$I1696),0)&gt;0),"Met","Not Met")</f>
        <v>Met</v>
      </c>
    </row>
    <row r="1697" spans="1:22" x14ac:dyDescent="0.35">
      <c r="A1697" s="200" t="s">
        <v>141</v>
      </c>
      <c r="B1697" s="201">
        <v>1966</v>
      </c>
      <c r="C1697" s="201" t="s">
        <v>243</v>
      </c>
      <c r="D1697" s="201">
        <v>580</v>
      </c>
      <c r="E1697" s="201">
        <v>4282113.9400000004</v>
      </c>
      <c r="F1697" s="201">
        <v>837014.44</v>
      </c>
      <c r="G1697" s="201">
        <f>'Mail Merge'!$E1697+'Mail Merge'!$F1697</f>
        <v>5119128.3800000008</v>
      </c>
      <c r="H1697" s="201">
        <v>0</v>
      </c>
      <c r="I1697" s="201" t="s">
        <v>241</v>
      </c>
      <c r="J1697" s="204">
        <f>IFERROR('Mail Merge'!$E1697/'Mail Merge'!$D1697,0)</f>
        <v>7382.955068965518</v>
      </c>
      <c r="K1697" s="201">
        <f>IFERROR('Mail Merge'!$F1697/'Mail Merge'!$D1697,0)</f>
        <v>1443.128344827586</v>
      </c>
      <c r="L1697" s="205">
        <f>IFERROR('Mail Merge'!$G1697/'Mail Merge'!$D1697,0)</f>
        <v>8826.0834137931051</v>
      </c>
      <c r="M1697" s="201">
        <v>1346105.5310266123</v>
      </c>
      <c r="N1697" s="201" t="s">
        <v>240</v>
      </c>
      <c r="O1697" s="201">
        <v>596162.79</v>
      </c>
      <c r="P1697" s="201">
        <v>4087.47</v>
      </c>
      <c r="Q1697" s="201">
        <f>'Mail Merge'!$O1697+'Mail Merge'!$P1697</f>
        <v>600250.26</v>
      </c>
      <c r="R1697" s="201"/>
      <c r="S1697" s="201"/>
      <c r="T1697" s="201">
        <v>1472.88</v>
      </c>
      <c r="U1697" s="201">
        <f>IF(AND('Mail Merge'!$I1697="Did Not Meet",'Mail Merge'!$N1697="Did Not Meet"),MIN(ABS('Mail Merge'!$H1697),ABS('Mail Merge'!$M1697),'Mail Merge'!$Q1697),0)</f>
        <v>0</v>
      </c>
      <c r="V1697" s="201" t="str">
        <f>IF(OR(IFERROR(SEARCH("Met",'Mail Merge'!$N1697),0)&gt;0,IFERROR(SEARCH("Met",'Mail Merge'!$I1697),0)&gt;0),"Met","Not Met")</f>
        <v>Met</v>
      </c>
    </row>
    <row r="1698" spans="1:22" x14ac:dyDescent="0.35">
      <c r="A1698" s="198" t="s">
        <v>142</v>
      </c>
      <c r="B1698" s="199">
        <v>1924</v>
      </c>
      <c r="C1698" s="199" t="s">
        <v>243</v>
      </c>
      <c r="D1698" s="199">
        <v>2723</v>
      </c>
      <c r="E1698" s="199">
        <v>25905582.75</v>
      </c>
      <c r="F1698" s="199">
        <v>2984839</v>
      </c>
      <c r="G1698" s="199">
        <f>'Mail Merge'!$E1698+'Mail Merge'!$F1698</f>
        <v>28890421.75</v>
      </c>
      <c r="H1698" s="199">
        <v>0</v>
      </c>
      <c r="I1698" s="199" t="s">
        <v>241</v>
      </c>
      <c r="J1698" s="202">
        <f>IFERROR('Mail Merge'!$E1698/'Mail Merge'!$D1698,0)</f>
        <v>9513.6183437385243</v>
      </c>
      <c r="K1698" s="199">
        <f>IFERROR('Mail Merge'!$F1698/'Mail Merge'!$D1698,0)</f>
        <v>1096.1582813073815</v>
      </c>
      <c r="L1698" s="203">
        <f>IFERROR('Mail Merge'!$G1698/'Mail Merge'!$D1698,0)</f>
        <v>10609.776625045904</v>
      </c>
      <c r="M1698" s="199">
        <v>0</v>
      </c>
      <c r="N1698" s="199" t="s">
        <v>241</v>
      </c>
      <c r="O1698" s="199">
        <v>2535684.2599999998</v>
      </c>
      <c r="P1698" s="199">
        <v>14116.19</v>
      </c>
      <c r="Q1698" s="199">
        <f>'Mail Merge'!$O1698+'Mail Merge'!$P1698</f>
        <v>2549800.4499999997</v>
      </c>
      <c r="R1698" s="199"/>
      <c r="S1698" s="199"/>
      <c r="T1698" s="199"/>
      <c r="U1698" s="199">
        <f>IF(AND('Mail Merge'!$I1698="Did Not Meet",'Mail Merge'!$N1698="Did Not Meet"),MIN(ABS('Mail Merge'!$H1698),ABS('Mail Merge'!$M1698),'Mail Merge'!$Q1698),0)</f>
        <v>0</v>
      </c>
      <c r="V1698" s="199" t="str">
        <f>IF(OR(IFERROR(SEARCH("Met",'Mail Merge'!$N1698),0)&gt;0,IFERROR(SEARCH("Met",'Mail Merge'!$I1698),0)&gt;0),"Met","Not Met")</f>
        <v>Met</v>
      </c>
    </row>
    <row r="1699" spans="1:22" x14ac:dyDescent="0.35">
      <c r="A1699" s="200" t="s">
        <v>143</v>
      </c>
      <c r="B1699" s="201">
        <v>1996</v>
      </c>
      <c r="C1699" s="201" t="s">
        <v>243</v>
      </c>
      <c r="D1699" s="201">
        <v>47</v>
      </c>
      <c r="E1699" s="201">
        <v>303601.84000000003</v>
      </c>
      <c r="F1699" s="201">
        <v>49500.62</v>
      </c>
      <c r="G1699" s="201">
        <f>'Mail Merge'!$E1699+'Mail Merge'!$F1699</f>
        <v>353102.46</v>
      </c>
      <c r="H1699" s="201">
        <v>0</v>
      </c>
      <c r="I1699" s="201" t="s">
        <v>242</v>
      </c>
      <c r="J1699" s="204">
        <f>IFERROR('Mail Merge'!$E1699/'Mail Merge'!$D1699,0)</f>
        <v>6459.6136170212767</v>
      </c>
      <c r="K1699" s="201">
        <f>IFERROR('Mail Merge'!$F1699/'Mail Merge'!$D1699,0)</f>
        <v>1053.2046808510638</v>
      </c>
      <c r="L1699" s="205">
        <f>IFERROR('Mail Merge'!$G1699/'Mail Merge'!$D1699,0)</f>
        <v>7512.8182978723407</v>
      </c>
      <c r="M1699" s="201">
        <v>126212.06146153997</v>
      </c>
      <c r="N1699" s="201" t="s">
        <v>240</v>
      </c>
      <c r="O1699" s="201">
        <v>59421.17</v>
      </c>
      <c r="P1699" s="201">
        <v>502.42</v>
      </c>
      <c r="Q1699" s="201">
        <f>'Mail Merge'!$O1699+'Mail Merge'!$P1699</f>
        <v>59923.59</v>
      </c>
      <c r="R1699" s="201"/>
      <c r="S1699" s="201">
        <v>36899.68</v>
      </c>
      <c r="T1699" s="201">
        <v>1229.99</v>
      </c>
      <c r="U1699" s="201">
        <f>IF(AND('Mail Merge'!$I1699="Did Not Meet",'Mail Merge'!$N1699="Did Not Meet"),MIN(ABS('Mail Merge'!$H1699),ABS('Mail Merge'!$M1699),'Mail Merge'!$Q1699),0)</f>
        <v>0</v>
      </c>
      <c r="V1699" s="201" t="str">
        <f>IF(OR(IFERROR(SEARCH("Met",'Mail Merge'!$N1699),0)&gt;0,IFERROR(SEARCH("Met",'Mail Merge'!$I1699),0)&gt;0),"Met","Not Met")</f>
        <v>Met</v>
      </c>
    </row>
    <row r="1700" spans="1:22" x14ac:dyDescent="0.35">
      <c r="A1700" s="198" t="s">
        <v>144</v>
      </c>
      <c r="B1700" s="199">
        <v>2061</v>
      </c>
      <c r="C1700" s="199" t="s">
        <v>243</v>
      </c>
      <c r="D1700" s="199">
        <v>47</v>
      </c>
      <c r="E1700" s="199">
        <v>152426.87</v>
      </c>
      <c r="F1700" s="199">
        <v>120449.67</v>
      </c>
      <c r="G1700" s="199">
        <f>'Mail Merge'!$E1700+'Mail Merge'!$F1700</f>
        <v>272876.53999999998</v>
      </c>
      <c r="H1700" s="199">
        <v>0</v>
      </c>
      <c r="I1700" s="199" t="s">
        <v>241</v>
      </c>
      <c r="J1700" s="202">
        <f>IFERROR('Mail Merge'!$E1700/'Mail Merge'!$D1700,0)</f>
        <v>3243.1248936170214</v>
      </c>
      <c r="K1700" s="199">
        <f>IFERROR('Mail Merge'!$F1700/'Mail Merge'!$D1700,0)</f>
        <v>2562.7589361702126</v>
      </c>
      <c r="L1700" s="203">
        <f>IFERROR('Mail Merge'!$G1700/'Mail Merge'!$D1700,0)</f>
        <v>5805.8838297872335</v>
      </c>
      <c r="M1700" s="199">
        <v>0</v>
      </c>
      <c r="N1700" s="199" t="s">
        <v>242</v>
      </c>
      <c r="O1700" s="199">
        <v>49641.54</v>
      </c>
      <c r="P1700" s="199">
        <v>837.36</v>
      </c>
      <c r="Q1700" s="199">
        <f>'Mail Merge'!$O1700+'Mail Merge'!$P1700</f>
        <v>50478.9</v>
      </c>
      <c r="R1700" s="199"/>
      <c r="S1700" s="199"/>
      <c r="T1700" s="199">
        <v>955.75</v>
      </c>
      <c r="U1700" s="199">
        <f>IF(AND('Mail Merge'!$I1700="Did Not Meet",'Mail Merge'!$N1700="Did Not Meet"),MIN(ABS('Mail Merge'!$H1700),ABS('Mail Merge'!$M1700),'Mail Merge'!$Q1700),0)</f>
        <v>0</v>
      </c>
      <c r="V1700" s="199" t="str">
        <f>IF(OR(IFERROR(SEARCH("Met",'Mail Merge'!$N1700),0)&gt;0,IFERROR(SEARCH("Met",'Mail Merge'!$I1700),0)&gt;0),"Met","Not Met")</f>
        <v>Met</v>
      </c>
    </row>
    <row r="1701" spans="1:22" x14ac:dyDescent="0.35">
      <c r="A1701" s="200" t="s">
        <v>145</v>
      </c>
      <c r="B1701" s="201">
        <v>2141</v>
      </c>
      <c r="C1701" s="201" t="s">
        <v>243</v>
      </c>
      <c r="D1701" s="201">
        <v>299</v>
      </c>
      <c r="E1701" s="201">
        <v>2840471.81</v>
      </c>
      <c r="F1701" s="201">
        <v>368310.08</v>
      </c>
      <c r="G1701" s="201">
        <f>'Mail Merge'!$E1701+'Mail Merge'!$F1701</f>
        <v>3208781.89</v>
      </c>
      <c r="H1701" s="201">
        <v>0</v>
      </c>
      <c r="I1701" s="201" t="s">
        <v>241</v>
      </c>
      <c r="J1701" s="204">
        <f>IFERROR('Mail Merge'!$E1701/'Mail Merge'!$D1701,0)</f>
        <v>9499.9057190635449</v>
      </c>
      <c r="K1701" s="201">
        <f>IFERROR('Mail Merge'!$F1701/'Mail Merge'!$D1701,0)</f>
        <v>1231.806287625418</v>
      </c>
      <c r="L1701" s="205">
        <f>IFERROR('Mail Merge'!$G1701/'Mail Merge'!$D1701,0)</f>
        <v>10731.712006688964</v>
      </c>
      <c r="M1701" s="201">
        <v>0</v>
      </c>
      <c r="N1701" s="201" t="s">
        <v>241</v>
      </c>
      <c r="O1701" s="201">
        <v>263231.31</v>
      </c>
      <c r="P1701" s="201">
        <v>2084.1</v>
      </c>
      <c r="Q1701" s="201">
        <f>'Mail Merge'!$O1701+'Mail Merge'!$P1701</f>
        <v>265315.40999999997</v>
      </c>
      <c r="R1701" s="201"/>
      <c r="S1701" s="201"/>
      <c r="T1701" s="201"/>
      <c r="U1701" s="201">
        <f>IF(AND('Mail Merge'!$I1701="Did Not Meet",'Mail Merge'!$N1701="Did Not Meet"),MIN(ABS('Mail Merge'!$H1701),ABS('Mail Merge'!$M1701),'Mail Merge'!$Q1701),0)</f>
        <v>0</v>
      </c>
      <c r="V1701" s="201" t="str">
        <f>IF(OR(IFERROR(SEARCH("Met",'Mail Merge'!$N1701),0)&gt;0,IFERROR(SEARCH("Met",'Mail Merge'!$I1701),0)&gt;0),"Met","Not Met")</f>
        <v>Met</v>
      </c>
    </row>
    <row r="1702" spans="1:22" x14ac:dyDescent="0.35">
      <c r="A1702" s="198" t="s">
        <v>146</v>
      </c>
      <c r="B1702" s="199">
        <v>2214</v>
      </c>
      <c r="C1702" s="199" t="s">
        <v>243</v>
      </c>
      <c r="D1702" s="199">
        <v>40</v>
      </c>
      <c r="E1702" s="199">
        <v>170545.82</v>
      </c>
      <c r="F1702" s="199">
        <v>72876.350000000006</v>
      </c>
      <c r="G1702" s="199">
        <f>'Mail Merge'!$E1702+'Mail Merge'!$F1702</f>
        <v>243422.17</v>
      </c>
      <c r="H1702" s="199">
        <v>0</v>
      </c>
      <c r="I1702" s="199" t="s">
        <v>242</v>
      </c>
      <c r="J1702" s="202">
        <f>IFERROR('Mail Merge'!$E1702/'Mail Merge'!$D1702,0)</f>
        <v>4263.6455000000005</v>
      </c>
      <c r="K1702" s="199">
        <f>IFERROR('Mail Merge'!$F1702/'Mail Merge'!$D1702,0)</f>
        <v>1821.9087500000001</v>
      </c>
      <c r="L1702" s="203">
        <f>IFERROR('Mail Merge'!$G1702/'Mail Merge'!$D1702,0)</f>
        <v>6085.5542500000001</v>
      </c>
      <c r="M1702" s="199">
        <v>0</v>
      </c>
      <c r="N1702" s="199" t="s">
        <v>242</v>
      </c>
      <c r="O1702" s="199">
        <v>46534.19</v>
      </c>
      <c r="P1702" s="199">
        <v>167.47</v>
      </c>
      <c r="Q1702" s="199">
        <f>'Mail Merge'!$O1702+'Mail Merge'!$P1702</f>
        <v>46701.66</v>
      </c>
      <c r="R1702" s="199"/>
      <c r="S1702" s="199">
        <v>64577.48</v>
      </c>
      <c r="T1702" s="199">
        <v>1956.89</v>
      </c>
      <c r="U1702" s="199">
        <f>IF(AND('Mail Merge'!$I1702="Did Not Meet",'Mail Merge'!$N1702="Did Not Meet"),MIN(ABS('Mail Merge'!$H1702),ABS('Mail Merge'!$M1702),'Mail Merge'!$Q1702),0)</f>
        <v>0</v>
      </c>
      <c r="V1702" s="199" t="str">
        <f>IF(OR(IFERROR(SEARCH("Met",'Mail Merge'!$N1702),0)&gt;0,IFERROR(SEARCH("Met",'Mail Merge'!$I1702),0)&gt;0),"Met","Not Met")</f>
        <v>Met</v>
      </c>
    </row>
    <row r="1703" spans="1:22" x14ac:dyDescent="0.35">
      <c r="A1703" s="200" t="s">
        <v>147</v>
      </c>
      <c r="B1703" s="201">
        <v>2143</v>
      </c>
      <c r="C1703" s="201" t="s">
        <v>243</v>
      </c>
      <c r="D1703" s="201">
        <v>343</v>
      </c>
      <c r="E1703" s="201">
        <v>2879229.32</v>
      </c>
      <c r="F1703" s="201">
        <v>134778.79999999999</v>
      </c>
      <c r="G1703" s="201">
        <f>'Mail Merge'!$E1703+'Mail Merge'!$F1703</f>
        <v>3014008.1199999996</v>
      </c>
      <c r="H1703" s="201">
        <v>0</v>
      </c>
      <c r="I1703" s="201" t="s">
        <v>241</v>
      </c>
      <c r="J1703" s="204">
        <f>IFERROR('Mail Merge'!$E1703/'Mail Merge'!$D1703,0)</f>
        <v>8394.2545772594749</v>
      </c>
      <c r="K1703" s="201">
        <f>IFERROR('Mail Merge'!$F1703/'Mail Merge'!$D1703,0)</f>
        <v>392.94110787172008</v>
      </c>
      <c r="L1703" s="205">
        <f>IFERROR('Mail Merge'!$G1703/'Mail Merge'!$D1703,0)</f>
        <v>8787.1956851311952</v>
      </c>
      <c r="M1703" s="201">
        <v>396823.93688623805</v>
      </c>
      <c r="N1703" s="201" t="s">
        <v>240</v>
      </c>
      <c r="O1703" s="201">
        <v>465177.35</v>
      </c>
      <c r="P1703" s="201">
        <v>3546.48</v>
      </c>
      <c r="Q1703" s="201">
        <f>'Mail Merge'!$O1703+'Mail Merge'!$P1703</f>
        <v>468723.82999999996</v>
      </c>
      <c r="R1703" s="201"/>
      <c r="S1703" s="201"/>
      <c r="T1703" s="201">
        <v>445.8</v>
      </c>
      <c r="U1703" s="201">
        <f>IF(AND('Mail Merge'!$I1703="Did Not Meet",'Mail Merge'!$N1703="Did Not Meet"),MIN(ABS('Mail Merge'!$H1703),ABS('Mail Merge'!$M1703),'Mail Merge'!$Q1703),0)</f>
        <v>0</v>
      </c>
      <c r="V1703" s="201" t="str">
        <f>IF(OR(IFERROR(SEARCH("Met",'Mail Merge'!$N1703),0)&gt;0,IFERROR(SEARCH("Met",'Mail Merge'!$I1703),0)&gt;0),"Met","Not Met")</f>
        <v>Met</v>
      </c>
    </row>
    <row r="1704" spans="1:22" x14ac:dyDescent="0.35">
      <c r="A1704" s="198" t="s">
        <v>148</v>
      </c>
      <c r="B1704" s="199">
        <v>4131</v>
      </c>
      <c r="C1704" s="199" t="s">
        <v>243</v>
      </c>
      <c r="D1704" s="199">
        <v>445</v>
      </c>
      <c r="E1704" s="199">
        <v>4709401.53</v>
      </c>
      <c r="F1704" s="199">
        <v>0</v>
      </c>
      <c r="G1704" s="199">
        <f>'Mail Merge'!$E1704+'Mail Merge'!$F1704</f>
        <v>4709401.53</v>
      </c>
      <c r="H1704" s="199">
        <v>0</v>
      </c>
      <c r="I1704" s="199" t="s">
        <v>241</v>
      </c>
      <c r="J1704" s="202">
        <f>IFERROR('Mail Merge'!$E1704/'Mail Merge'!$D1704,0)</f>
        <v>10582.924786516855</v>
      </c>
      <c r="K1704" s="199">
        <f>IFERROR('Mail Merge'!$F1704/'Mail Merge'!$D1704,0)</f>
        <v>0</v>
      </c>
      <c r="L1704" s="203">
        <f>IFERROR('Mail Merge'!$G1704/'Mail Merge'!$D1704,0)</f>
        <v>10582.924786516855</v>
      </c>
      <c r="M1704" s="199">
        <v>0</v>
      </c>
      <c r="N1704" s="199" t="s">
        <v>241</v>
      </c>
      <c r="O1704" s="199">
        <v>542756.01</v>
      </c>
      <c r="P1704" s="199">
        <v>5442.86</v>
      </c>
      <c r="Q1704" s="199">
        <f>'Mail Merge'!$O1704+'Mail Merge'!$P1704</f>
        <v>548198.87</v>
      </c>
      <c r="R1704" s="199"/>
      <c r="S1704" s="199"/>
      <c r="T1704" s="199"/>
      <c r="U1704" s="199">
        <f>IF(AND('Mail Merge'!$I1704="Did Not Meet",'Mail Merge'!$N1704="Did Not Meet"),MIN(ABS('Mail Merge'!$H1704),ABS('Mail Merge'!$M1704),'Mail Merge'!$Q1704),0)</f>
        <v>0</v>
      </c>
      <c r="V1704" s="199" t="str">
        <f>IF(OR(IFERROR(SEARCH("Met",'Mail Merge'!$N1704),0)&gt;0,IFERROR(SEARCH("Met",'Mail Merge'!$I1704),0)&gt;0),"Met","Not Met")</f>
        <v>Met</v>
      </c>
    </row>
    <row r="1705" spans="1:22" x14ac:dyDescent="0.35">
      <c r="A1705" s="200" t="s">
        <v>149</v>
      </c>
      <c r="B1705" s="201">
        <v>2110</v>
      </c>
      <c r="C1705" s="201" t="s">
        <v>243</v>
      </c>
      <c r="D1705" s="201">
        <v>165</v>
      </c>
      <c r="E1705" s="201">
        <v>903252.29</v>
      </c>
      <c r="F1705" s="201">
        <v>442307.13</v>
      </c>
      <c r="G1705" s="201">
        <f>'Mail Merge'!$E1705+'Mail Merge'!$F1705</f>
        <v>1345559.42</v>
      </c>
      <c r="H1705" s="201">
        <v>0</v>
      </c>
      <c r="I1705" s="201" t="s">
        <v>241</v>
      </c>
      <c r="J1705" s="204">
        <f>IFERROR('Mail Merge'!$E1705/'Mail Merge'!$D1705,0)</f>
        <v>5474.2563030303036</v>
      </c>
      <c r="K1705" s="201">
        <f>IFERROR('Mail Merge'!$F1705/'Mail Merge'!$D1705,0)</f>
        <v>2680.6492727272725</v>
      </c>
      <c r="L1705" s="205">
        <f>IFERROR('Mail Merge'!$G1705/'Mail Merge'!$D1705,0)</f>
        <v>8154.9055757575752</v>
      </c>
      <c r="M1705" s="201">
        <v>0</v>
      </c>
      <c r="N1705" s="201" t="s">
        <v>241</v>
      </c>
      <c r="O1705" s="201">
        <v>240679.39</v>
      </c>
      <c r="P1705" s="201">
        <v>1644.28</v>
      </c>
      <c r="Q1705" s="201">
        <f>'Mail Merge'!$O1705+'Mail Merge'!$P1705</f>
        <v>242323.67</v>
      </c>
      <c r="R1705" s="201"/>
      <c r="S1705" s="201"/>
      <c r="T1705" s="201"/>
      <c r="U1705" s="201">
        <f>IF(AND('Mail Merge'!$I1705="Did Not Meet",'Mail Merge'!$N1705="Did Not Meet"),MIN(ABS('Mail Merge'!$H1705),ABS('Mail Merge'!$M1705),'Mail Merge'!$Q1705),0)</f>
        <v>0</v>
      </c>
      <c r="V1705" s="201" t="str">
        <f>IF(OR(IFERROR(SEARCH("Met",'Mail Merge'!$N1705),0)&gt;0,IFERROR(SEARCH("Met",'Mail Merge'!$I1705),0)&gt;0),"Met","Not Met")</f>
        <v>Met</v>
      </c>
    </row>
    <row r="1706" spans="1:22" x14ac:dyDescent="0.35">
      <c r="A1706" s="198" t="s">
        <v>150</v>
      </c>
      <c r="B1706" s="199">
        <v>1990</v>
      </c>
      <c r="C1706" s="199" t="s">
        <v>243</v>
      </c>
      <c r="D1706" s="199">
        <v>84</v>
      </c>
      <c r="E1706" s="199">
        <v>443703.14</v>
      </c>
      <c r="F1706" s="199">
        <v>86347.34</v>
      </c>
      <c r="G1706" s="199">
        <f>'Mail Merge'!$E1706+'Mail Merge'!$F1706</f>
        <v>530050.48</v>
      </c>
      <c r="H1706" s="199">
        <v>0</v>
      </c>
      <c r="I1706" s="199" t="s">
        <v>241</v>
      </c>
      <c r="J1706" s="202">
        <f>IFERROR('Mail Merge'!$E1706/'Mail Merge'!$D1706,0)</f>
        <v>5282.1802380952386</v>
      </c>
      <c r="K1706" s="199">
        <f>IFERROR('Mail Merge'!$F1706/'Mail Merge'!$D1706,0)</f>
        <v>1027.9445238095238</v>
      </c>
      <c r="L1706" s="203">
        <f>IFERROR('Mail Merge'!$G1706/'Mail Merge'!$D1706,0)</f>
        <v>6310.1247619047617</v>
      </c>
      <c r="M1706" s="199">
        <v>141176.61499999993</v>
      </c>
      <c r="N1706" s="199" t="s">
        <v>240</v>
      </c>
      <c r="O1706" s="199">
        <v>105575.51</v>
      </c>
      <c r="P1706" s="199">
        <v>753.63</v>
      </c>
      <c r="Q1706" s="199">
        <f>'Mail Merge'!$O1706+'Mail Merge'!$P1706</f>
        <v>106329.14</v>
      </c>
      <c r="R1706" s="199"/>
      <c r="S1706" s="199"/>
      <c r="T1706" s="199">
        <v>0</v>
      </c>
      <c r="U1706" s="199">
        <f>IF(AND('Mail Merge'!$I1706="Did Not Meet",'Mail Merge'!$N1706="Did Not Meet"),MIN(ABS('Mail Merge'!$H1706),ABS('Mail Merge'!$M1706),'Mail Merge'!$Q1706),0)</f>
        <v>0</v>
      </c>
      <c r="V1706" s="199" t="str">
        <f>IF(OR(IFERROR(SEARCH("Met",'Mail Merge'!$N1706),0)&gt;0,IFERROR(SEARCH("Met",'Mail Merge'!$I1706),0)&gt;0),"Met","Not Met")</f>
        <v>Met</v>
      </c>
    </row>
    <row r="1707" spans="1:22" x14ac:dyDescent="0.35">
      <c r="A1707" s="200" t="s">
        <v>151</v>
      </c>
      <c r="B1707" s="201">
        <v>2093</v>
      </c>
      <c r="C1707" s="201" t="s">
        <v>243</v>
      </c>
      <c r="D1707" s="201">
        <v>104</v>
      </c>
      <c r="E1707" s="201">
        <v>460499.77</v>
      </c>
      <c r="F1707" s="201">
        <v>158110</v>
      </c>
      <c r="G1707" s="201">
        <f>'Mail Merge'!$E1707+'Mail Merge'!$F1707</f>
        <v>618609.77</v>
      </c>
      <c r="H1707" s="201">
        <v>0</v>
      </c>
      <c r="I1707" s="201" t="s">
        <v>241</v>
      </c>
      <c r="J1707" s="204">
        <f>IFERROR('Mail Merge'!$E1707/'Mail Merge'!$D1707,0)</f>
        <v>4427.8824038461544</v>
      </c>
      <c r="K1707" s="201">
        <f>IFERROR('Mail Merge'!$F1707/'Mail Merge'!$D1707,0)</f>
        <v>1520.2884615384614</v>
      </c>
      <c r="L1707" s="205">
        <f>IFERROR('Mail Merge'!$G1707/'Mail Merge'!$D1707,0)</f>
        <v>5948.1708653846154</v>
      </c>
      <c r="M1707" s="201">
        <v>98603.01453333364</v>
      </c>
      <c r="N1707" s="201" t="s">
        <v>240</v>
      </c>
      <c r="O1707" s="201">
        <v>135076.37</v>
      </c>
      <c r="P1707" s="201">
        <v>2637.69</v>
      </c>
      <c r="Q1707" s="201">
        <f>'Mail Merge'!$O1707+'Mail Merge'!$P1707</f>
        <v>137714.06</v>
      </c>
      <c r="R1707" s="201"/>
      <c r="S1707" s="201"/>
      <c r="T1707" s="201">
        <v>862.58</v>
      </c>
      <c r="U1707" s="201">
        <f>IF(AND('Mail Merge'!$I1707="Did Not Meet",'Mail Merge'!$N1707="Did Not Meet"),MIN(ABS('Mail Merge'!$H1707),ABS('Mail Merge'!$M1707),'Mail Merge'!$Q1707),0)</f>
        <v>0</v>
      </c>
      <c r="V1707" s="201" t="str">
        <f>IF(OR(IFERROR(SEARCH("Met",'Mail Merge'!$N1707),0)&gt;0,IFERROR(SEARCH("Met",'Mail Merge'!$I1707),0)&gt;0),"Met","Not Met")</f>
        <v>Met</v>
      </c>
    </row>
    <row r="1708" spans="1:22" x14ac:dyDescent="0.35">
      <c r="A1708" s="198" t="s">
        <v>152</v>
      </c>
      <c r="B1708" s="199">
        <v>2108</v>
      </c>
      <c r="C1708" s="199" t="s">
        <v>243</v>
      </c>
      <c r="D1708" s="199">
        <v>323</v>
      </c>
      <c r="E1708" s="199">
        <v>2912178.93</v>
      </c>
      <c r="F1708" s="199">
        <v>107457.06</v>
      </c>
      <c r="G1708" s="199">
        <f>'Mail Merge'!$E1708+'Mail Merge'!$F1708</f>
        <v>3019635.99</v>
      </c>
      <c r="H1708" s="199">
        <v>0</v>
      </c>
      <c r="I1708" s="199" t="s">
        <v>241</v>
      </c>
      <c r="J1708" s="202">
        <f>IFERROR('Mail Merge'!$E1708/'Mail Merge'!$D1708,0)</f>
        <v>9016.0338390092893</v>
      </c>
      <c r="K1708" s="199">
        <f>IFERROR('Mail Merge'!$F1708/'Mail Merge'!$D1708,0)</f>
        <v>332.68439628482969</v>
      </c>
      <c r="L1708" s="203">
        <f>IFERROR('Mail Merge'!$G1708/'Mail Merge'!$D1708,0)</f>
        <v>9348.7182352941181</v>
      </c>
      <c r="M1708" s="199">
        <v>12710.237351915854</v>
      </c>
      <c r="N1708" s="199" t="s">
        <v>240</v>
      </c>
      <c r="O1708" s="199">
        <v>507658.04</v>
      </c>
      <c r="P1708" s="199">
        <v>3623.5</v>
      </c>
      <c r="Q1708" s="199">
        <f>'Mail Merge'!$O1708+'Mail Merge'!$P1708</f>
        <v>511281.54</v>
      </c>
      <c r="R1708" s="199"/>
      <c r="S1708" s="199"/>
      <c r="T1708" s="199">
        <v>0</v>
      </c>
      <c r="U1708" s="199">
        <f>IF(AND('Mail Merge'!$I1708="Did Not Meet",'Mail Merge'!$N1708="Did Not Meet"),MIN(ABS('Mail Merge'!$H1708),ABS('Mail Merge'!$M1708),'Mail Merge'!$Q1708),0)</f>
        <v>0</v>
      </c>
      <c r="V1708" s="199" t="str">
        <f>IF(OR(IFERROR(SEARCH("Met",'Mail Merge'!$N1708),0)&gt;0,IFERROR(SEARCH("Met",'Mail Merge'!$I1708),0)&gt;0),"Met","Not Met")</f>
        <v>Met</v>
      </c>
    </row>
    <row r="1709" spans="1:22" x14ac:dyDescent="0.35">
      <c r="A1709" s="200" t="s">
        <v>153</v>
      </c>
      <c r="B1709" s="201">
        <v>1928</v>
      </c>
      <c r="C1709" s="201" t="s">
        <v>243</v>
      </c>
      <c r="D1709" s="201">
        <v>1208</v>
      </c>
      <c r="E1709" s="201">
        <v>15421600.27</v>
      </c>
      <c r="F1709" s="201">
        <v>1962341</v>
      </c>
      <c r="G1709" s="201">
        <f>'Mail Merge'!$E1709+'Mail Merge'!$F1709</f>
        <v>17383941.27</v>
      </c>
      <c r="H1709" s="201">
        <v>0</v>
      </c>
      <c r="I1709" s="201" t="s">
        <v>241</v>
      </c>
      <c r="J1709" s="204">
        <f>IFERROR('Mail Merge'!$E1709/'Mail Merge'!$D1709,0)</f>
        <v>12766.225389072848</v>
      </c>
      <c r="K1709" s="201">
        <f>IFERROR('Mail Merge'!$F1709/'Mail Merge'!$D1709,0)</f>
        <v>1624.4544701986756</v>
      </c>
      <c r="L1709" s="205">
        <f>IFERROR('Mail Merge'!$G1709/'Mail Merge'!$D1709,0)</f>
        <v>14390.679859271522</v>
      </c>
      <c r="M1709" s="201">
        <v>0</v>
      </c>
      <c r="N1709" s="201" t="s">
        <v>241</v>
      </c>
      <c r="O1709" s="201">
        <v>1298060.3500000001</v>
      </c>
      <c r="P1709" s="201">
        <v>11119.38</v>
      </c>
      <c r="Q1709" s="201">
        <f>'Mail Merge'!$O1709+'Mail Merge'!$P1709</f>
        <v>1309179.73</v>
      </c>
      <c r="R1709" s="201"/>
      <c r="S1709" s="201"/>
      <c r="T1709" s="201"/>
      <c r="U1709" s="201">
        <f>IF(AND('Mail Merge'!$I1709="Did Not Meet",'Mail Merge'!$N1709="Did Not Meet"),MIN(ABS('Mail Merge'!$H1709),ABS('Mail Merge'!$M1709),'Mail Merge'!$Q1709),0)</f>
        <v>0</v>
      </c>
      <c r="V1709" s="201" t="str">
        <f>IF(OR(IFERROR(SEARCH("Met",'Mail Merge'!$N1709),0)&gt;0,IFERROR(SEARCH("Met",'Mail Merge'!$I1709),0)&gt;0),"Met","Not Met")</f>
        <v>Met</v>
      </c>
    </row>
    <row r="1710" spans="1:22" x14ac:dyDescent="0.35">
      <c r="A1710" s="198" t="s">
        <v>154</v>
      </c>
      <c r="B1710" s="199">
        <v>1926</v>
      </c>
      <c r="C1710" s="199" t="s">
        <v>243</v>
      </c>
      <c r="D1710" s="199">
        <v>543</v>
      </c>
      <c r="E1710" s="199">
        <v>6205175.21</v>
      </c>
      <c r="F1710" s="199">
        <v>1007312</v>
      </c>
      <c r="G1710" s="199">
        <f>'Mail Merge'!$E1710+'Mail Merge'!$F1710</f>
        <v>7212487.21</v>
      </c>
      <c r="H1710" s="199">
        <v>0</v>
      </c>
      <c r="I1710" s="199" t="s">
        <v>241</v>
      </c>
      <c r="J1710" s="202">
        <f>IFERROR('Mail Merge'!$E1710/'Mail Merge'!$D1710,0)</f>
        <v>11427.578655616942</v>
      </c>
      <c r="K1710" s="199">
        <f>IFERROR('Mail Merge'!$F1710/'Mail Merge'!$D1710,0)</f>
        <v>1855.0865561694291</v>
      </c>
      <c r="L1710" s="203">
        <f>IFERROR('Mail Merge'!$G1710/'Mail Merge'!$D1710,0)</f>
        <v>13282.665211786372</v>
      </c>
      <c r="M1710" s="199">
        <v>0</v>
      </c>
      <c r="N1710" s="199" t="s">
        <v>241</v>
      </c>
      <c r="O1710" s="199">
        <v>643831.54</v>
      </c>
      <c r="P1710" s="199">
        <v>5961.27</v>
      </c>
      <c r="Q1710" s="199">
        <f>'Mail Merge'!$O1710+'Mail Merge'!$P1710</f>
        <v>649792.81000000006</v>
      </c>
      <c r="R1710" s="199"/>
      <c r="S1710" s="199"/>
      <c r="T1710" s="199"/>
      <c r="U1710" s="199">
        <f>IF(AND('Mail Merge'!$I1710="Did Not Meet",'Mail Merge'!$N1710="Did Not Meet"),MIN(ABS('Mail Merge'!$H1710),ABS('Mail Merge'!$M1710),'Mail Merge'!$Q1710),0)</f>
        <v>0</v>
      </c>
      <c r="V1710" s="199" t="str">
        <f>IF(OR(IFERROR(SEARCH("Met",'Mail Merge'!$N1710),0)&gt;0,IFERROR(SEARCH("Met",'Mail Merge'!$I1710),0)&gt;0),"Met","Not Met")</f>
        <v>Met</v>
      </c>
    </row>
    <row r="1711" spans="1:22" x14ac:dyDescent="0.35">
      <c r="A1711" s="200" t="s">
        <v>155</v>
      </c>
      <c r="B1711" s="201">
        <v>2060</v>
      </c>
      <c r="C1711" s="201" t="s">
        <v>243</v>
      </c>
      <c r="D1711" s="201">
        <v>20</v>
      </c>
      <c r="E1711" s="201">
        <v>162443.45000000001</v>
      </c>
      <c r="F1711" s="201">
        <v>100478.72</v>
      </c>
      <c r="G1711" s="201">
        <f>'Mail Merge'!$E1711+'Mail Merge'!$F1711</f>
        <v>262922.17000000004</v>
      </c>
      <c r="H1711" s="201">
        <v>0</v>
      </c>
      <c r="I1711" s="201" t="s">
        <v>241</v>
      </c>
      <c r="J1711" s="204">
        <f>IFERROR('Mail Merge'!$E1711/'Mail Merge'!$D1711,0)</f>
        <v>8122.1725000000006</v>
      </c>
      <c r="K1711" s="201">
        <f>IFERROR('Mail Merge'!$F1711/'Mail Merge'!$D1711,0)</f>
        <v>5023.9359999999997</v>
      </c>
      <c r="L1711" s="205">
        <f>IFERROR('Mail Merge'!$G1711/'Mail Merge'!$D1711,0)</f>
        <v>13146.108500000002</v>
      </c>
      <c r="M1711" s="201">
        <v>0</v>
      </c>
      <c r="N1711" s="201" t="s">
        <v>241</v>
      </c>
      <c r="O1711" s="201">
        <v>29102.66</v>
      </c>
      <c r="P1711" s="201">
        <v>251.21</v>
      </c>
      <c r="Q1711" s="201">
        <f>'Mail Merge'!$O1711+'Mail Merge'!$P1711</f>
        <v>29353.87</v>
      </c>
      <c r="R1711" s="201"/>
      <c r="S1711" s="201"/>
      <c r="T1711" s="201"/>
      <c r="U1711" s="201">
        <f>IF(AND('Mail Merge'!$I1711="Did Not Meet",'Mail Merge'!$N1711="Did Not Meet"),MIN(ABS('Mail Merge'!$H1711),ABS('Mail Merge'!$M1711),'Mail Merge'!$Q1711),0)</f>
        <v>0</v>
      </c>
      <c r="V1711" s="201" t="str">
        <f>IF(OR(IFERROR(SEARCH("Met",'Mail Merge'!$N1711),0)&gt;0,IFERROR(SEARCH("Met",'Mail Merge'!$I1711),0)&gt;0),"Met","Not Met")</f>
        <v>Met</v>
      </c>
    </row>
    <row r="1712" spans="1:22" x14ac:dyDescent="0.35">
      <c r="A1712" s="198" t="s">
        <v>156</v>
      </c>
      <c r="B1712" s="199">
        <v>2181</v>
      </c>
      <c r="C1712" s="199" t="s">
        <v>243</v>
      </c>
      <c r="D1712" s="199">
        <v>509</v>
      </c>
      <c r="E1712" s="199">
        <v>7109548.3600000003</v>
      </c>
      <c r="F1712" s="199">
        <v>950019.92</v>
      </c>
      <c r="G1712" s="199">
        <f>'Mail Merge'!$E1712+'Mail Merge'!$F1712</f>
        <v>8059568.2800000003</v>
      </c>
      <c r="H1712" s="199">
        <v>0</v>
      </c>
      <c r="I1712" s="199" t="s">
        <v>241</v>
      </c>
      <c r="J1712" s="202">
        <f>IFERROR('Mail Merge'!$E1712/'Mail Merge'!$D1712,0)</f>
        <v>13967.678506876229</v>
      </c>
      <c r="K1712" s="199">
        <f>IFERROR('Mail Merge'!$F1712/'Mail Merge'!$D1712,0)</f>
        <v>1866.4438506876229</v>
      </c>
      <c r="L1712" s="203">
        <f>IFERROR('Mail Merge'!$G1712/'Mail Merge'!$D1712,0)</f>
        <v>15834.122357563851</v>
      </c>
      <c r="M1712" s="199">
        <v>0</v>
      </c>
      <c r="N1712" s="199" t="s">
        <v>241</v>
      </c>
      <c r="O1712" s="199">
        <v>569516.02</v>
      </c>
      <c r="P1712" s="199">
        <v>5024.18</v>
      </c>
      <c r="Q1712" s="199">
        <f>'Mail Merge'!$O1712+'Mail Merge'!$P1712</f>
        <v>574540.20000000007</v>
      </c>
      <c r="R1712" s="199"/>
      <c r="S1712" s="199"/>
      <c r="T1712" s="199"/>
      <c r="U1712" s="199">
        <f>IF(AND('Mail Merge'!$I1712="Did Not Meet",'Mail Merge'!$N1712="Did Not Meet"),MIN(ABS('Mail Merge'!$H1712),ABS('Mail Merge'!$M1712),'Mail Merge'!$Q1712),0)</f>
        <v>0</v>
      </c>
      <c r="V1712" s="199" t="str">
        <f>IF(OR(IFERROR(SEARCH("Met",'Mail Merge'!$N1712),0)&gt;0,IFERROR(SEARCH("Met",'Mail Merge'!$I1712),0)&gt;0),"Met","Not Met")</f>
        <v>Met</v>
      </c>
    </row>
    <row r="1713" spans="1:22" x14ac:dyDescent="0.35">
      <c r="A1713" s="200" t="s">
        <v>157</v>
      </c>
      <c r="B1713" s="201">
        <v>2207</v>
      </c>
      <c r="C1713" s="201" t="s">
        <v>243</v>
      </c>
      <c r="D1713" s="201">
        <v>450</v>
      </c>
      <c r="E1713" s="201">
        <v>4906801.9400000004</v>
      </c>
      <c r="F1713" s="201">
        <v>769213.2</v>
      </c>
      <c r="G1713" s="201">
        <f>'Mail Merge'!$E1713+'Mail Merge'!$F1713</f>
        <v>5676015.1400000006</v>
      </c>
      <c r="H1713" s="201">
        <v>0</v>
      </c>
      <c r="I1713" s="201" t="s">
        <v>241</v>
      </c>
      <c r="J1713" s="204">
        <f>IFERROR('Mail Merge'!$E1713/'Mail Merge'!$D1713,0)</f>
        <v>10904.004311111112</v>
      </c>
      <c r="K1713" s="201">
        <f>IFERROR('Mail Merge'!$F1713/'Mail Merge'!$D1713,0)</f>
        <v>1709.3626666666667</v>
      </c>
      <c r="L1713" s="205">
        <f>IFERROR('Mail Merge'!$G1713/'Mail Merge'!$D1713,0)</f>
        <v>12613.36697777778</v>
      </c>
      <c r="M1713" s="201">
        <v>0</v>
      </c>
      <c r="N1713" s="201" t="s">
        <v>241</v>
      </c>
      <c r="O1713" s="201">
        <v>534027.31999999995</v>
      </c>
      <c r="P1713" s="201">
        <v>5364.8</v>
      </c>
      <c r="Q1713" s="201">
        <f>'Mail Merge'!$O1713+'Mail Merge'!$P1713</f>
        <v>539392.12</v>
      </c>
      <c r="R1713" s="201"/>
      <c r="S1713" s="201"/>
      <c r="T1713" s="201"/>
      <c r="U1713" s="201">
        <f>IF(AND('Mail Merge'!$I1713="Did Not Meet",'Mail Merge'!$N1713="Did Not Meet"),MIN(ABS('Mail Merge'!$H1713),ABS('Mail Merge'!$M1713),'Mail Merge'!$Q1713),0)</f>
        <v>0</v>
      </c>
      <c r="V1713" s="201" t="str">
        <f>IF(OR(IFERROR(SEARCH("Met",'Mail Merge'!$N1713),0)&gt;0,IFERROR(SEARCH("Met",'Mail Merge'!$I1713),0)&gt;0),"Met","Not Met")</f>
        <v>Met</v>
      </c>
    </row>
    <row r="1714" spans="1:22" x14ac:dyDescent="0.35">
      <c r="A1714" s="198" t="s">
        <v>158</v>
      </c>
      <c r="B1714" s="199">
        <v>2192</v>
      </c>
      <c r="C1714" s="199" t="s">
        <v>243</v>
      </c>
      <c r="D1714" s="199">
        <v>33</v>
      </c>
      <c r="E1714" s="199">
        <v>416750.44</v>
      </c>
      <c r="F1714" s="199">
        <v>41438.589999999997</v>
      </c>
      <c r="G1714" s="199">
        <f>'Mail Merge'!$E1714+'Mail Merge'!$F1714</f>
        <v>458189.03</v>
      </c>
      <c r="H1714" s="199">
        <v>0</v>
      </c>
      <c r="I1714" s="199" t="s">
        <v>241</v>
      </c>
      <c r="J1714" s="202">
        <f>IFERROR('Mail Merge'!$E1714/'Mail Merge'!$D1714,0)</f>
        <v>12628.801212121212</v>
      </c>
      <c r="K1714" s="199">
        <f>IFERROR('Mail Merge'!$F1714/'Mail Merge'!$D1714,0)</f>
        <v>1255.7148484848483</v>
      </c>
      <c r="L1714" s="203">
        <f>IFERROR('Mail Merge'!$G1714/'Mail Merge'!$D1714,0)</f>
        <v>13884.516060606062</v>
      </c>
      <c r="M1714" s="199">
        <v>113361.68141666571</v>
      </c>
      <c r="N1714" s="199" t="s">
        <v>240</v>
      </c>
      <c r="O1714" s="199">
        <v>35323.08</v>
      </c>
      <c r="P1714" s="199">
        <v>753.63</v>
      </c>
      <c r="Q1714" s="199">
        <f>'Mail Merge'!$O1714+'Mail Merge'!$P1714</f>
        <v>36076.71</v>
      </c>
      <c r="R1714" s="199"/>
      <c r="S1714" s="199"/>
      <c r="T1714" s="199">
        <v>10391.57</v>
      </c>
      <c r="U1714" s="199">
        <f>IF(AND('Mail Merge'!$I1714="Did Not Meet",'Mail Merge'!$N1714="Did Not Meet"),MIN(ABS('Mail Merge'!$H1714),ABS('Mail Merge'!$M1714),'Mail Merge'!$Q1714),0)</f>
        <v>0</v>
      </c>
      <c r="V1714" s="199" t="str">
        <f>IF(OR(IFERROR(SEARCH("Met",'Mail Merge'!$N1714),0)&gt;0,IFERROR(SEARCH("Met",'Mail Merge'!$I1714),0)&gt;0),"Met","Not Met")</f>
        <v>Met</v>
      </c>
    </row>
    <row r="1715" spans="1:22" x14ac:dyDescent="0.35">
      <c r="A1715" s="200" t="s">
        <v>160</v>
      </c>
      <c r="B1715" s="201">
        <v>1900</v>
      </c>
      <c r="C1715" s="201" t="s">
        <v>243</v>
      </c>
      <c r="D1715" s="201">
        <v>172</v>
      </c>
      <c r="E1715" s="201">
        <v>2197750.37</v>
      </c>
      <c r="F1715" s="201">
        <v>176829</v>
      </c>
      <c r="G1715" s="201">
        <f>'Mail Merge'!$E1715+'Mail Merge'!$F1715</f>
        <v>2374579.37</v>
      </c>
      <c r="H1715" s="201">
        <v>0</v>
      </c>
      <c r="I1715" s="201" t="s">
        <v>241</v>
      </c>
      <c r="J1715" s="204">
        <f>IFERROR('Mail Merge'!$E1715/'Mail Merge'!$D1715,0)</f>
        <v>12777.618430232558</v>
      </c>
      <c r="K1715" s="201">
        <f>IFERROR('Mail Merge'!$F1715/'Mail Merge'!$D1715,0)</f>
        <v>1028.0755813953488</v>
      </c>
      <c r="L1715" s="205">
        <f>IFERROR('Mail Merge'!$G1715/'Mail Merge'!$D1715,0)</f>
        <v>13805.694011627907</v>
      </c>
      <c r="M1715" s="201">
        <v>0</v>
      </c>
      <c r="N1715" s="201" t="s">
        <v>241</v>
      </c>
      <c r="O1715" s="201">
        <v>243402.15</v>
      </c>
      <c r="P1715" s="201">
        <v>5024.18</v>
      </c>
      <c r="Q1715" s="201">
        <f>'Mail Merge'!$O1715+'Mail Merge'!$P1715</f>
        <v>248426.33</v>
      </c>
      <c r="R1715" s="201"/>
      <c r="S1715" s="201"/>
      <c r="T1715" s="201"/>
      <c r="U1715" s="201">
        <f>IF(AND('Mail Merge'!$I1715="Did Not Meet",'Mail Merge'!$N1715="Did Not Meet"),MIN(ABS('Mail Merge'!$H1715),ABS('Mail Merge'!$M1715),'Mail Merge'!$Q1715),0)</f>
        <v>0</v>
      </c>
      <c r="V1715" s="201" t="str">
        <f>IF(OR(IFERROR(SEARCH("Met",'Mail Merge'!$N1715),0)&gt;0,IFERROR(SEARCH("Met",'Mail Merge'!$I1715),0)&gt;0),"Met","Not Met")</f>
        <v>Met</v>
      </c>
    </row>
    <row r="1716" spans="1:22" x14ac:dyDescent="0.35">
      <c r="A1716" s="198" t="s">
        <v>161</v>
      </c>
      <c r="B1716" s="199">
        <v>2039</v>
      </c>
      <c r="C1716" s="199" t="s">
        <v>243</v>
      </c>
      <c r="D1716" s="199">
        <v>384</v>
      </c>
      <c r="E1716" s="199">
        <v>3111577.59</v>
      </c>
      <c r="F1716" s="199">
        <v>644693.34</v>
      </c>
      <c r="G1716" s="199">
        <f>'Mail Merge'!$E1716+'Mail Merge'!$F1716</f>
        <v>3756270.9299999997</v>
      </c>
      <c r="H1716" s="199">
        <v>0</v>
      </c>
      <c r="I1716" s="199" t="s">
        <v>241</v>
      </c>
      <c r="J1716" s="202">
        <f>IFERROR('Mail Merge'!$E1716/'Mail Merge'!$D1716,0)</f>
        <v>8103.0666406249993</v>
      </c>
      <c r="K1716" s="199">
        <f>IFERROR('Mail Merge'!$F1716/'Mail Merge'!$D1716,0)</f>
        <v>1678.88890625</v>
      </c>
      <c r="L1716" s="203">
        <f>IFERROR('Mail Merge'!$G1716/'Mail Merge'!$D1716,0)</f>
        <v>9781.9555468749986</v>
      </c>
      <c r="M1716" s="199">
        <v>0</v>
      </c>
      <c r="N1716" s="199" t="s">
        <v>241</v>
      </c>
      <c r="O1716" s="199">
        <v>490938.29</v>
      </c>
      <c r="P1716" s="199">
        <v>7763.93</v>
      </c>
      <c r="Q1716" s="199">
        <f>'Mail Merge'!$O1716+'Mail Merge'!$P1716</f>
        <v>498702.22</v>
      </c>
      <c r="R1716" s="199"/>
      <c r="S1716" s="199"/>
      <c r="T1716" s="199"/>
      <c r="U1716" s="199">
        <f>IF(AND('Mail Merge'!$I1716="Did Not Meet",'Mail Merge'!$N1716="Did Not Meet"),MIN(ABS('Mail Merge'!$H1716),ABS('Mail Merge'!$M1716),'Mail Merge'!$Q1716),0)</f>
        <v>0</v>
      </c>
      <c r="V1716" s="199" t="str">
        <f>IF(OR(IFERROR(SEARCH("Met",'Mail Merge'!$N1716),0)&gt;0,IFERROR(SEARCH("Met",'Mail Merge'!$I1716),0)&gt;0),"Met","Not Met")</f>
        <v>Met</v>
      </c>
    </row>
    <row r="1717" spans="1:22" x14ac:dyDescent="0.35">
      <c r="A1717" s="200" t="s">
        <v>162</v>
      </c>
      <c r="B1717" s="201">
        <v>2202</v>
      </c>
      <c r="C1717" s="201" t="s">
        <v>243</v>
      </c>
      <c r="D1717" s="201">
        <v>39</v>
      </c>
      <c r="E1717" s="201">
        <v>276831.49</v>
      </c>
      <c r="F1717" s="201">
        <v>66190.44</v>
      </c>
      <c r="G1717" s="201">
        <f>'Mail Merge'!$E1717+'Mail Merge'!$F1717</f>
        <v>343021.93</v>
      </c>
      <c r="H1717" s="201">
        <v>0</v>
      </c>
      <c r="I1717" s="201" t="s">
        <v>242</v>
      </c>
      <c r="J1717" s="204">
        <f>IFERROR('Mail Merge'!$E1717/'Mail Merge'!$D1717,0)</f>
        <v>7098.2433333333329</v>
      </c>
      <c r="K1717" s="201">
        <f>IFERROR('Mail Merge'!$F1717/'Mail Merge'!$D1717,0)</f>
        <v>1697.1907692307693</v>
      </c>
      <c r="L1717" s="205">
        <f>IFERROR('Mail Merge'!$G1717/'Mail Merge'!$D1717,0)</f>
        <v>8795.4341025641024</v>
      </c>
      <c r="M1717" s="201">
        <v>382.87131578974413</v>
      </c>
      <c r="N1717" s="201" t="s">
        <v>240</v>
      </c>
      <c r="O1717" s="201">
        <v>70591.22</v>
      </c>
      <c r="P1717" s="201">
        <v>251.21</v>
      </c>
      <c r="Q1717" s="201">
        <f>'Mail Merge'!$O1717+'Mail Merge'!$P1717</f>
        <v>70842.430000000008</v>
      </c>
      <c r="R1717" s="201"/>
      <c r="S1717" s="201">
        <v>42401</v>
      </c>
      <c r="T1717" s="201">
        <v>1115.82</v>
      </c>
      <c r="U1717" s="201">
        <f>IF(AND('Mail Merge'!$I1717="Did Not Meet",'Mail Merge'!$N1717="Did Not Meet"),MIN(ABS('Mail Merge'!$H1717),ABS('Mail Merge'!$M1717),'Mail Merge'!$Q1717),0)</f>
        <v>0</v>
      </c>
      <c r="V1717" s="201" t="str">
        <f>IF(OR(IFERROR(SEARCH("Met",'Mail Merge'!$N1717),0)&gt;0,IFERROR(SEARCH("Met",'Mail Merge'!$I1717),0)&gt;0),"Met","Not Met")</f>
        <v>Met</v>
      </c>
    </row>
    <row r="1718" spans="1:22" x14ac:dyDescent="0.35">
      <c r="A1718" s="198" t="s">
        <v>163</v>
      </c>
      <c r="B1718" s="199">
        <v>2016</v>
      </c>
      <c r="C1718" s="199" t="s">
        <v>243</v>
      </c>
      <c r="D1718" s="199">
        <v>0</v>
      </c>
      <c r="E1718" s="199">
        <v>9000</v>
      </c>
      <c r="F1718" s="199">
        <v>3740</v>
      </c>
      <c r="G1718" s="199">
        <f>'Mail Merge'!$E1718+'Mail Merge'!$F1718</f>
        <v>12740</v>
      </c>
      <c r="H1718" s="199">
        <v>0</v>
      </c>
      <c r="I1718" s="199" t="s">
        <v>241</v>
      </c>
      <c r="J1718" s="202">
        <f>IFERROR('Mail Merge'!$E1718/'Mail Merge'!$D1718,0)</f>
        <v>0</v>
      </c>
      <c r="K1718" s="199">
        <f>IFERROR('Mail Merge'!$F1718/'Mail Merge'!$D1718,0)</f>
        <v>0</v>
      </c>
      <c r="L1718" s="203">
        <f>IFERROR('Mail Merge'!$G1718/'Mail Merge'!$D1718,0)</f>
        <v>0</v>
      </c>
      <c r="M1718" s="199">
        <v>0</v>
      </c>
      <c r="N1718" s="199" t="s">
        <v>241</v>
      </c>
      <c r="O1718" s="199">
        <v>0</v>
      </c>
      <c r="P1718" s="199">
        <v>0</v>
      </c>
      <c r="Q1718" s="199">
        <f>'Mail Merge'!$O1718+'Mail Merge'!$P1718</f>
        <v>0</v>
      </c>
      <c r="R1718" s="199"/>
      <c r="S1718" s="199"/>
      <c r="T1718" s="199"/>
      <c r="U1718" s="199">
        <f>IF(AND('Mail Merge'!$I1718="Did Not Meet",'Mail Merge'!$N1718="Did Not Meet"),MIN(ABS('Mail Merge'!$H1718),ABS('Mail Merge'!$M1718),'Mail Merge'!$Q1718),0)</f>
        <v>0</v>
      </c>
      <c r="V1718" s="199" t="str">
        <f>IF(OR(IFERROR(SEARCH("Met",'Mail Merge'!$N1718),0)&gt;0,IFERROR(SEARCH("Met",'Mail Merge'!$I1718),0)&gt;0),"Met","Not Met")</f>
        <v>Met</v>
      </c>
    </row>
    <row r="1719" spans="1:22" x14ac:dyDescent="0.35">
      <c r="A1719" s="200" t="s">
        <v>164</v>
      </c>
      <c r="B1719" s="201">
        <v>1897</v>
      </c>
      <c r="C1719" s="201" t="s">
        <v>243</v>
      </c>
      <c r="D1719" s="201">
        <v>29</v>
      </c>
      <c r="E1719" s="201">
        <v>229090.44</v>
      </c>
      <c r="F1719" s="201">
        <v>0</v>
      </c>
      <c r="G1719" s="201">
        <f>'Mail Merge'!$E1719+'Mail Merge'!$F1719</f>
        <v>229090.44</v>
      </c>
      <c r="H1719" s="201">
        <v>0</v>
      </c>
      <c r="I1719" s="201" t="s">
        <v>241</v>
      </c>
      <c r="J1719" s="204">
        <f>IFERROR('Mail Merge'!$E1719/'Mail Merge'!$D1719,0)</f>
        <v>7899.6703448275866</v>
      </c>
      <c r="K1719" s="201">
        <f>IFERROR('Mail Merge'!$F1719/'Mail Merge'!$D1719,0)</f>
        <v>0</v>
      </c>
      <c r="L1719" s="205">
        <f>IFERROR('Mail Merge'!$G1719/'Mail Merge'!$D1719,0)</f>
        <v>7899.6703448275866</v>
      </c>
      <c r="M1719" s="201">
        <v>0</v>
      </c>
      <c r="N1719" s="201" t="s">
        <v>241</v>
      </c>
      <c r="O1719" s="201">
        <v>35153.129999999997</v>
      </c>
      <c r="P1719" s="201">
        <v>0</v>
      </c>
      <c r="Q1719" s="201">
        <f>'Mail Merge'!$O1719+'Mail Merge'!$P1719</f>
        <v>35153.129999999997</v>
      </c>
      <c r="R1719" s="201"/>
      <c r="S1719" s="201"/>
      <c r="T1719" s="201"/>
      <c r="U1719" s="201">
        <f>IF(AND('Mail Merge'!$I1719="Did Not Meet",'Mail Merge'!$N1719="Did Not Meet"),MIN(ABS('Mail Merge'!$H1719),ABS('Mail Merge'!$M1719),'Mail Merge'!$Q1719),0)</f>
        <v>0</v>
      </c>
      <c r="V1719" s="201" t="str">
        <f>IF(OR(IFERROR(SEARCH("Met",'Mail Merge'!$N1719),0)&gt;0,IFERROR(SEARCH("Met",'Mail Merge'!$I1719),0)&gt;0),"Met","Not Met")</f>
        <v>Met</v>
      </c>
    </row>
    <row r="1720" spans="1:22" x14ac:dyDescent="0.35">
      <c r="A1720" s="198" t="s">
        <v>165</v>
      </c>
      <c r="B1720" s="199">
        <v>2047</v>
      </c>
      <c r="C1720" s="199" t="s">
        <v>243</v>
      </c>
      <c r="D1720" s="199">
        <v>6</v>
      </c>
      <c r="E1720" s="199">
        <v>13295</v>
      </c>
      <c r="F1720" s="199">
        <v>10080.370000000001</v>
      </c>
      <c r="G1720" s="199">
        <f>'Mail Merge'!$E1720+'Mail Merge'!$F1720</f>
        <v>23375.370000000003</v>
      </c>
      <c r="H1720" s="199">
        <v>0</v>
      </c>
      <c r="I1720" s="199" t="s">
        <v>241</v>
      </c>
      <c r="J1720" s="202">
        <f>IFERROR('Mail Merge'!$E1720/'Mail Merge'!$D1720,0)</f>
        <v>2215.8333333333335</v>
      </c>
      <c r="K1720" s="199">
        <f>IFERROR('Mail Merge'!$F1720/'Mail Merge'!$D1720,0)</f>
        <v>1680.0616666666667</v>
      </c>
      <c r="L1720" s="203">
        <f>IFERROR('Mail Merge'!$G1720/'Mail Merge'!$D1720,0)</f>
        <v>3895.8950000000004</v>
      </c>
      <c r="M1720" s="199">
        <v>22610.909999999996</v>
      </c>
      <c r="N1720" s="199" t="s">
        <v>240</v>
      </c>
      <c r="O1720" s="199">
        <v>7135.88</v>
      </c>
      <c r="P1720" s="199">
        <v>1004.84</v>
      </c>
      <c r="Q1720" s="199">
        <f>'Mail Merge'!$O1720+'Mail Merge'!$P1720</f>
        <v>8140.72</v>
      </c>
      <c r="R1720" s="199"/>
      <c r="S1720" s="199"/>
      <c r="T1720" s="199">
        <v>0</v>
      </c>
      <c r="U1720" s="199">
        <f>IF(AND('Mail Merge'!$I1720="Did Not Meet",'Mail Merge'!$N1720="Did Not Meet"),MIN(ABS('Mail Merge'!$H1720),ABS('Mail Merge'!$M1720),'Mail Merge'!$Q1720),0)</f>
        <v>0</v>
      </c>
      <c r="V1720" s="199" t="str">
        <f>IF(OR(IFERROR(SEARCH("Met",'Mail Merge'!$N1720),0)&gt;0,IFERROR(SEARCH("Met",'Mail Merge'!$I1720),0)&gt;0),"Met","Not Met")</f>
        <v>Met</v>
      </c>
    </row>
    <row r="1721" spans="1:22" x14ac:dyDescent="0.35">
      <c r="A1721" s="200" t="s">
        <v>166</v>
      </c>
      <c r="B1721" s="201">
        <v>2081</v>
      </c>
      <c r="C1721" s="201" t="s">
        <v>243</v>
      </c>
      <c r="D1721" s="201">
        <v>145</v>
      </c>
      <c r="E1721" s="201">
        <v>1071022.0800000001</v>
      </c>
      <c r="F1721" s="201">
        <v>369654</v>
      </c>
      <c r="G1721" s="201">
        <f>'Mail Merge'!$E1721+'Mail Merge'!$F1721</f>
        <v>1440676.08</v>
      </c>
      <c r="H1721" s="201">
        <v>0</v>
      </c>
      <c r="I1721" s="201" t="s">
        <v>241</v>
      </c>
      <c r="J1721" s="204">
        <f>IFERROR('Mail Merge'!$E1721/'Mail Merge'!$D1721,0)</f>
        <v>7386.3591724137932</v>
      </c>
      <c r="K1721" s="201">
        <f>IFERROR('Mail Merge'!$F1721/'Mail Merge'!$D1721,0)</f>
        <v>2549.3379310344826</v>
      </c>
      <c r="L1721" s="205">
        <f>IFERROR('Mail Merge'!$G1721/'Mail Merge'!$D1721,0)</f>
        <v>9935.6971034482758</v>
      </c>
      <c r="M1721" s="201">
        <v>276966.16086538357</v>
      </c>
      <c r="N1721" s="201" t="s">
        <v>240</v>
      </c>
      <c r="O1721" s="201">
        <v>194208.15</v>
      </c>
      <c r="P1721" s="201">
        <v>1722.58</v>
      </c>
      <c r="Q1721" s="201">
        <f>'Mail Merge'!$O1721+'Mail Merge'!$P1721</f>
        <v>195930.72999999998</v>
      </c>
      <c r="R1721" s="201"/>
      <c r="S1721" s="201"/>
      <c r="T1721" s="201">
        <v>515.01</v>
      </c>
      <c r="U1721" s="201">
        <f>IF(AND('Mail Merge'!$I1721="Did Not Meet",'Mail Merge'!$N1721="Did Not Meet"),MIN(ABS('Mail Merge'!$H1721),ABS('Mail Merge'!$M1721),'Mail Merge'!$Q1721),0)</f>
        <v>0</v>
      </c>
      <c r="V1721" s="201" t="str">
        <f>IF(OR(IFERROR(SEARCH("Met",'Mail Merge'!$N1721),0)&gt;0,IFERROR(SEARCH("Met",'Mail Merge'!$I1721),0)&gt;0),"Met","Not Met")</f>
        <v>Met</v>
      </c>
    </row>
    <row r="1722" spans="1:22" x14ac:dyDescent="0.35">
      <c r="A1722" s="198" t="s">
        <v>167</v>
      </c>
      <c r="B1722" s="199">
        <v>2062</v>
      </c>
      <c r="C1722" s="199" t="s">
        <v>243</v>
      </c>
      <c r="D1722" s="199">
        <v>5</v>
      </c>
      <c r="E1722" s="199">
        <v>0</v>
      </c>
      <c r="F1722" s="199">
        <v>21835.13</v>
      </c>
      <c r="G1722" s="199">
        <f>'Mail Merge'!$E1722+'Mail Merge'!$F1722</f>
        <v>21835.13</v>
      </c>
      <c r="H1722" s="199">
        <v>0</v>
      </c>
      <c r="I1722" s="199" t="s">
        <v>241</v>
      </c>
      <c r="J1722" s="202">
        <f>IFERROR('Mail Merge'!$E1722/'Mail Merge'!$D1722,0)</f>
        <v>0</v>
      </c>
      <c r="K1722" s="199">
        <f>IFERROR('Mail Merge'!$F1722/'Mail Merge'!$D1722,0)</f>
        <v>4367.0259999999998</v>
      </c>
      <c r="L1722" s="203">
        <f>IFERROR('Mail Merge'!$G1722/'Mail Merge'!$D1722,0)</f>
        <v>4367.0259999999998</v>
      </c>
      <c r="M1722" s="199">
        <v>0</v>
      </c>
      <c r="N1722" s="199" t="s">
        <v>241</v>
      </c>
      <c r="O1722" s="199">
        <v>2446.34</v>
      </c>
      <c r="P1722" s="199">
        <v>0</v>
      </c>
      <c r="Q1722" s="199">
        <f>'Mail Merge'!$O1722+'Mail Merge'!$P1722</f>
        <v>2446.34</v>
      </c>
      <c r="R1722" s="199"/>
      <c r="S1722" s="199"/>
      <c r="T1722" s="199"/>
      <c r="U1722" s="199">
        <f>IF(AND('Mail Merge'!$I1722="Did Not Meet",'Mail Merge'!$N1722="Did Not Meet"),MIN(ABS('Mail Merge'!$H1722),ABS('Mail Merge'!$M1722),'Mail Merge'!$Q1722),0)</f>
        <v>0</v>
      </c>
      <c r="V1722" s="199" t="str">
        <f>IF(OR(IFERROR(SEARCH("Met",'Mail Merge'!$N1722),0)&gt;0,IFERROR(SEARCH("Met",'Mail Merge'!$I1722),0)&gt;0),"Met","Not Met")</f>
        <v>Met</v>
      </c>
    </row>
    <row r="1723" spans="1:22" x14ac:dyDescent="0.35">
      <c r="A1723" s="200" t="s">
        <v>168</v>
      </c>
      <c r="B1723" s="201">
        <v>1973</v>
      </c>
      <c r="C1723" s="201" t="s">
        <v>243</v>
      </c>
      <c r="D1723" s="201">
        <v>19</v>
      </c>
      <c r="E1723" s="201">
        <v>187523</v>
      </c>
      <c r="F1723" s="201">
        <v>127617.24</v>
      </c>
      <c r="G1723" s="201">
        <f>'Mail Merge'!$E1723+'Mail Merge'!$F1723</f>
        <v>315140.24</v>
      </c>
      <c r="H1723" s="201">
        <v>0</v>
      </c>
      <c r="I1723" s="201" t="s">
        <v>241</v>
      </c>
      <c r="J1723" s="204">
        <f>IFERROR('Mail Merge'!$E1723/'Mail Merge'!$D1723,0)</f>
        <v>9869.6315789473683</v>
      </c>
      <c r="K1723" s="201">
        <f>IFERROR('Mail Merge'!$F1723/'Mail Merge'!$D1723,0)</f>
        <v>6716.6968421052634</v>
      </c>
      <c r="L1723" s="205">
        <f>IFERROR('Mail Merge'!$G1723/'Mail Merge'!$D1723,0)</f>
        <v>16586.328421052633</v>
      </c>
      <c r="M1723" s="201">
        <v>0</v>
      </c>
      <c r="N1723" s="201" t="s">
        <v>241</v>
      </c>
      <c r="O1723" s="201">
        <v>73212.639999999999</v>
      </c>
      <c r="P1723" s="201">
        <v>1256.04</v>
      </c>
      <c r="Q1723" s="201">
        <f>'Mail Merge'!$O1723+'Mail Merge'!$P1723</f>
        <v>74468.679999999993</v>
      </c>
      <c r="R1723" s="201"/>
      <c r="S1723" s="201"/>
      <c r="T1723" s="201"/>
      <c r="U1723" s="201">
        <f>IF(AND('Mail Merge'!$I1723="Did Not Meet",'Mail Merge'!$N1723="Did Not Meet"),MIN(ABS('Mail Merge'!$H1723),ABS('Mail Merge'!$M1723),'Mail Merge'!$Q1723),0)</f>
        <v>0</v>
      </c>
      <c r="V1723" s="201" t="str">
        <f>IF(OR(IFERROR(SEARCH("Met",'Mail Merge'!$N1723),0)&gt;0,IFERROR(SEARCH("Met",'Mail Merge'!$I1723),0)&gt;0),"Met","Not Met")</f>
        <v>Met</v>
      </c>
    </row>
    <row r="1724" spans="1:22" x14ac:dyDescent="0.35">
      <c r="A1724" s="198" t="s">
        <v>169</v>
      </c>
      <c r="B1724" s="199">
        <v>2180</v>
      </c>
      <c r="C1724" s="199" t="s">
        <v>243</v>
      </c>
      <c r="D1724" s="199">
        <v>7241</v>
      </c>
      <c r="E1724" s="199">
        <v>94656752.879999995</v>
      </c>
      <c r="F1724" s="199">
        <v>1485897.77</v>
      </c>
      <c r="G1724" s="199">
        <f>'Mail Merge'!$E1724+'Mail Merge'!$F1724</f>
        <v>96142650.649999991</v>
      </c>
      <c r="H1724" s="199">
        <v>0</v>
      </c>
      <c r="I1724" s="199" t="s">
        <v>241</v>
      </c>
      <c r="J1724" s="202">
        <f>IFERROR('Mail Merge'!$E1724/'Mail Merge'!$D1724,0)</f>
        <v>13072.331567463058</v>
      </c>
      <c r="K1724" s="199">
        <f>IFERROR('Mail Merge'!$F1724/'Mail Merge'!$D1724,0)</f>
        <v>205.20615522717856</v>
      </c>
      <c r="L1724" s="203">
        <f>IFERROR('Mail Merge'!$G1724/'Mail Merge'!$D1724,0)</f>
        <v>13277.537722690235</v>
      </c>
      <c r="M1724" s="199">
        <v>0</v>
      </c>
      <c r="N1724" s="199" t="s">
        <v>241</v>
      </c>
      <c r="O1724" s="199">
        <v>8100852.1100000003</v>
      </c>
      <c r="P1724" s="199">
        <v>85494.12</v>
      </c>
      <c r="Q1724" s="199">
        <f>'Mail Merge'!$O1724+'Mail Merge'!$P1724</f>
        <v>8186346.2300000004</v>
      </c>
      <c r="R1724" s="199"/>
      <c r="S1724" s="199"/>
      <c r="T1724" s="199"/>
      <c r="U1724" s="199">
        <f>IF(AND('Mail Merge'!$I1724="Did Not Meet",'Mail Merge'!$N1724="Did Not Meet"),MIN(ABS('Mail Merge'!$H1724),ABS('Mail Merge'!$M1724),'Mail Merge'!$Q1724),0)</f>
        <v>0</v>
      </c>
      <c r="V1724" s="199" t="str">
        <f>IF(OR(IFERROR(SEARCH("Met",'Mail Merge'!$N1724),0)&gt;0,IFERROR(SEARCH("Met",'Mail Merge'!$I1724),0)&gt;0),"Met","Not Met")</f>
        <v>Met</v>
      </c>
    </row>
    <row r="1725" spans="1:22" x14ac:dyDescent="0.35">
      <c r="A1725" s="200" t="s">
        <v>170</v>
      </c>
      <c r="B1725" s="201">
        <v>1967</v>
      </c>
      <c r="C1725" s="201" t="s">
        <v>243</v>
      </c>
      <c r="D1725" s="201">
        <v>16</v>
      </c>
      <c r="E1725" s="201">
        <v>58475.44</v>
      </c>
      <c r="F1725" s="201">
        <v>30288.720000000001</v>
      </c>
      <c r="G1725" s="201">
        <f>'Mail Merge'!$E1725+'Mail Merge'!$F1725</f>
        <v>88764.160000000003</v>
      </c>
      <c r="H1725" s="201">
        <v>0</v>
      </c>
      <c r="I1725" s="201" t="s">
        <v>242</v>
      </c>
      <c r="J1725" s="204">
        <f>IFERROR('Mail Merge'!$E1725/'Mail Merge'!$D1725,0)</f>
        <v>3654.7150000000001</v>
      </c>
      <c r="K1725" s="201">
        <f>IFERROR('Mail Merge'!$F1725/'Mail Merge'!$D1725,0)</f>
        <v>1893.0450000000001</v>
      </c>
      <c r="L1725" s="205">
        <f>IFERROR('Mail Merge'!$G1725/'Mail Merge'!$D1725,0)</f>
        <v>5547.76</v>
      </c>
      <c r="M1725" s="201">
        <v>3932.9599999999955</v>
      </c>
      <c r="N1725" s="201" t="s">
        <v>240</v>
      </c>
      <c r="O1725" s="201">
        <v>32548.6</v>
      </c>
      <c r="P1725" s="201">
        <v>0</v>
      </c>
      <c r="Q1725" s="201">
        <f>'Mail Merge'!$O1725+'Mail Merge'!$P1725</f>
        <v>32548.6</v>
      </c>
      <c r="R1725" s="201"/>
      <c r="S1725" s="201">
        <v>23912.71</v>
      </c>
      <c r="T1725" s="201">
        <v>1708.05</v>
      </c>
      <c r="U1725" s="201">
        <f>IF(AND('Mail Merge'!$I1725="Did Not Meet",'Mail Merge'!$N1725="Did Not Meet"),MIN(ABS('Mail Merge'!$H1725),ABS('Mail Merge'!$M1725),'Mail Merge'!$Q1725),0)</f>
        <v>0</v>
      </c>
      <c r="V1725" s="201" t="str">
        <f>IF(OR(IFERROR(SEARCH("Met",'Mail Merge'!$N1725),0)&gt;0,IFERROR(SEARCH("Met",'Mail Merge'!$I1725),0)&gt;0),"Met","Not Met")</f>
        <v>Met</v>
      </c>
    </row>
    <row r="1726" spans="1:22" x14ac:dyDescent="0.35">
      <c r="A1726" s="198" t="s">
        <v>171</v>
      </c>
      <c r="B1726" s="199">
        <v>2009</v>
      </c>
      <c r="C1726" s="199" t="s">
        <v>243</v>
      </c>
      <c r="D1726" s="199">
        <v>20</v>
      </c>
      <c r="E1726" s="199">
        <v>192338.68</v>
      </c>
      <c r="F1726" s="199">
        <v>52580.88</v>
      </c>
      <c r="G1726" s="199">
        <f>'Mail Merge'!$E1726+'Mail Merge'!$F1726</f>
        <v>244919.56</v>
      </c>
      <c r="H1726" s="199">
        <v>0</v>
      </c>
      <c r="I1726" s="199" t="s">
        <v>242</v>
      </c>
      <c r="J1726" s="202">
        <f>IFERROR('Mail Merge'!$E1726/'Mail Merge'!$D1726,0)</f>
        <v>9616.9339999999993</v>
      </c>
      <c r="K1726" s="199">
        <f>IFERROR('Mail Merge'!$F1726/'Mail Merge'!$D1726,0)</f>
        <v>2629.0439999999999</v>
      </c>
      <c r="L1726" s="203">
        <f>IFERROR('Mail Merge'!$G1726/'Mail Merge'!$D1726,0)</f>
        <v>12245.977999999999</v>
      </c>
      <c r="M1726" s="199">
        <v>0</v>
      </c>
      <c r="N1726" s="199" t="s">
        <v>242</v>
      </c>
      <c r="O1726" s="199">
        <v>33652.17</v>
      </c>
      <c r="P1726" s="199">
        <v>1004.84</v>
      </c>
      <c r="Q1726" s="199">
        <f>'Mail Merge'!$O1726+'Mail Merge'!$P1726</f>
        <v>34657.009999999995</v>
      </c>
      <c r="R1726" s="199"/>
      <c r="S1726" s="199">
        <v>48551.95</v>
      </c>
      <c r="T1726" s="199">
        <v>2697.33</v>
      </c>
      <c r="U1726" s="199">
        <f>IF(AND('Mail Merge'!$I1726="Did Not Meet",'Mail Merge'!$N1726="Did Not Meet"),MIN(ABS('Mail Merge'!$H1726),ABS('Mail Merge'!$M1726),'Mail Merge'!$Q1726),0)</f>
        <v>0</v>
      </c>
      <c r="V1726" s="199" t="str">
        <f>IF(OR(IFERROR(SEARCH("Met",'Mail Merge'!$N1726),0)&gt;0,IFERROR(SEARCH("Met",'Mail Merge'!$I1726),0)&gt;0),"Met","Not Met")</f>
        <v>Met</v>
      </c>
    </row>
    <row r="1727" spans="1:22" x14ac:dyDescent="0.35">
      <c r="A1727" s="200" t="s">
        <v>172</v>
      </c>
      <c r="B1727" s="201">
        <v>2045</v>
      </c>
      <c r="C1727" s="201" t="s">
        <v>243</v>
      </c>
      <c r="D1727" s="201">
        <v>23</v>
      </c>
      <c r="E1727" s="201">
        <v>146255.04000000001</v>
      </c>
      <c r="F1727" s="201">
        <v>90023.83</v>
      </c>
      <c r="G1727" s="201">
        <f>'Mail Merge'!$E1727+'Mail Merge'!$F1727</f>
        <v>236278.87</v>
      </c>
      <c r="H1727" s="201">
        <v>0</v>
      </c>
      <c r="I1727" s="201" t="s">
        <v>242</v>
      </c>
      <c r="J1727" s="204">
        <f>IFERROR('Mail Merge'!$E1727/'Mail Merge'!$D1727,0)</f>
        <v>6358.9147826086964</v>
      </c>
      <c r="K1727" s="201">
        <f>IFERROR('Mail Merge'!$F1727/'Mail Merge'!$D1727,0)</f>
        <v>3914.0795652173915</v>
      </c>
      <c r="L1727" s="205">
        <f>IFERROR('Mail Merge'!$G1727/'Mail Merge'!$D1727,0)</f>
        <v>10272.994347826087</v>
      </c>
      <c r="M1727" s="201">
        <v>11981.722008113258</v>
      </c>
      <c r="N1727" s="201" t="s">
        <v>240</v>
      </c>
      <c r="O1727" s="201">
        <v>34372.99</v>
      </c>
      <c r="P1727" s="201">
        <v>1004.84</v>
      </c>
      <c r="Q1727" s="201">
        <f>'Mail Merge'!$O1727+'Mail Merge'!$P1727</f>
        <v>35377.829999999994</v>
      </c>
      <c r="R1727" s="201"/>
      <c r="S1727" s="201">
        <v>61818.97</v>
      </c>
      <c r="T1727" s="201">
        <v>3636.41</v>
      </c>
      <c r="U1727" s="201">
        <f>IF(AND('Mail Merge'!$I1727="Did Not Meet",'Mail Merge'!$N1727="Did Not Meet"),MIN(ABS('Mail Merge'!$H1727),ABS('Mail Merge'!$M1727),'Mail Merge'!$Q1727),0)</f>
        <v>0</v>
      </c>
      <c r="V1727" s="201" t="str">
        <f>IF(OR(IFERROR(SEARCH("Met",'Mail Merge'!$N1727),0)&gt;0,IFERROR(SEARCH("Met",'Mail Merge'!$I1727),0)&gt;0),"Met","Not Met")</f>
        <v>Met</v>
      </c>
    </row>
    <row r="1728" spans="1:22" x14ac:dyDescent="0.35">
      <c r="A1728" s="198" t="s">
        <v>173</v>
      </c>
      <c r="B1728" s="199">
        <v>1946</v>
      </c>
      <c r="C1728" s="199" t="s">
        <v>243</v>
      </c>
      <c r="D1728" s="199">
        <v>123</v>
      </c>
      <c r="E1728" s="199">
        <v>1507423.85</v>
      </c>
      <c r="F1728" s="199">
        <v>135429</v>
      </c>
      <c r="G1728" s="199">
        <f>'Mail Merge'!$E1728+'Mail Merge'!$F1728</f>
        <v>1642852.85</v>
      </c>
      <c r="H1728" s="199">
        <v>0</v>
      </c>
      <c r="I1728" s="199" t="s">
        <v>240</v>
      </c>
      <c r="J1728" s="202">
        <f>IFERROR('Mail Merge'!$E1728/'Mail Merge'!$D1728,0)</f>
        <v>12255.478455284554</v>
      </c>
      <c r="K1728" s="199">
        <f>IFERROR('Mail Merge'!$F1728/'Mail Merge'!$D1728,0)</f>
        <v>1101.0487804878048</v>
      </c>
      <c r="L1728" s="203">
        <f>IFERROR('Mail Merge'!$G1728/'Mail Merge'!$D1728,0)</f>
        <v>13356.527235772359</v>
      </c>
      <c r="M1728" s="199">
        <v>100382.94894736529</v>
      </c>
      <c r="N1728" s="199" t="s">
        <v>240</v>
      </c>
      <c r="O1728" s="199">
        <v>203936.94</v>
      </c>
      <c r="P1728" s="199">
        <v>1477.7</v>
      </c>
      <c r="Q1728" s="199">
        <f>'Mail Merge'!$O1728+'Mail Merge'!$P1728</f>
        <v>205414.64</v>
      </c>
      <c r="R1728" s="199"/>
      <c r="S1728" s="199">
        <v>0</v>
      </c>
      <c r="T1728" s="199">
        <v>0</v>
      </c>
      <c r="U1728" s="199">
        <f>IF(AND('Mail Merge'!$I1728="Did Not Meet",'Mail Merge'!$N1728="Did Not Meet"),MIN(ABS('Mail Merge'!$H1728),ABS('Mail Merge'!$M1728),'Mail Merge'!$Q1728),0)</f>
        <v>0</v>
      </c>
      <c r="V1728" s="199" t="str">
        <f>IF(OR(IFERROR(SEARCH("Met",'Mail Merge'!$N1728),0)&gt;0,IFERROR(SEARCH("Met",'Mail Merge'!$I1728),0)&gt;0),"Met","Not Met")</f>
        <v>Not Met</v>
      </c>
    </row>
    <row r="1729" spans="1:22" x14ac:dyDescent="0.35">
      <c r="A1729" s="200" t="s">
        <v>174</v>
      </c>
      <c r="B1729" s="201">
        <v>1977</v>
      </c>
      <c r="C1729" s="201" t="s">
        <v>243</v>
      </c>
      <c r="D1729" s="201">
        <v>981</v>
      </c>
      <c r="E1729" s="201">
        <v>10890241.98</v>
      </c>
      <c r="F1729" s="201">
        <v>1101409.03</v>
      </c>
      <c r="G1729" s="201">
        <f>'Mail Merge'!$E1729+'Mail Merge'!$F1729</f>
        <v>11991651.01</v>
      </c>
      <c r="H1729" s="201">
        <v>0</v>
      </c>
      <c r="I1729" s="201" t="s">
        <v>241</v>
      </c>
      <c r="J1729" s="204">
        <f>IFERROR('Mail Merge'!$E1729/'Mail Merge'!$D1729,0)</f>
        <v>11101.164097859328</v>
      </c>
      <c r="K1729" s="201">
        <f>IFERROR('Mail Merge'!$F1729/'Mail Merge'!$D1729,0)</f>
        <v>1122.7411111111112</v>
      </c>
      <c r="L1729" s="205">
        <f>IFERROR('Mail Merge'!$G1729/'Mail Merge'!$D1729,0)</f>
        <v>12223.905208970438</v>
      </c>
      <c r="M1729" s="201">
        <v>0</v>
      </c>
      <c r="N1729" s="201" t="s">
        <v>241</v>
      </c>
      <c r="O1729" s="201">
        <v>1082040.02</v>
      </c>
      <c r="P1729" s="201">
        <v>4806.47</v>
      </c>
      <c r="Q1729" s="201">
        <f>'Mail Merge'!$O1729+'Mail Merge'!$P1729</f>
        <v>1086846.49</v>
      </c>
      <c r="R1729" s="201"/>
      <c r="S1729" s="201"/>
      <c r="T1729" s="201"/>
      <c r="U1729" s="201">
        <f>IF(AND('Mail Merge'!$I1729="Did Not Meet",'Mail Merge'!$N1729="Did Not Meet"),MIN(ABS('Mail Merge'!$H1729),ABS('Mail Merge'!$M1729),'Mail Merge'!$Q1729),0)</f>
        <v>0</v>
      </c>
      <c r="V1729" s="201" t="str">
        <f>IF(OR(IFERROR(SEARCH("Met",'Mail Merge'!$N1729),0)&gt;0,IFERROR(SEARCH("Met",'Mail Merge'!$I1729),0)&gt;0),"Met","Not Met")</f>
        <v>Met</v>
      </c>
    </row>
    <row r="1730" spans="1:22" x14ac:dyDescent="0.35">
      <c r="A1730" s="198" t="s">
        <v>175</v>
      </c>
      <c r="B1730" s="199">
        <v>2001</v>
      </c>
      <c r="C1730" s="199" t="s">
        <v>243</v>
      </c>
      <c r="D1730" s="199">
        <v>120</v>
      </c>
      <c r="E1730" s="199">
        <v>1406789.13</v>
      </c>
      <c r="F1730" s="199">
        <v>231331.83</v>
      </c>
      <c r="G1730" s="199">
        <f>'Mail Merge'!$E1730+'Mail Merge'!$F1730</f>
        <v>1638120.96</v>
      </c>
      <c r="H1730" s="199">
        <v>0</v>
      </c>
      <c r="I1730" s="199" t="s">
        <v>241</v>
      </c>
      <c r="J1730" s="202">
        <f>IFERROR('Mail Merge'!$E1730/'Mail Merge'!$D1730,0)</f>
        <v>11723.242749999999</v>
      </c>
      <c r="K1730" s="199">
        <f>IFERROR('Mail Merge'!$F1730/'Mail Merge'!$D1730,0)</f>
        <v>1927.7652499999999</v>
      </c>
      <c r="L1730" s="203">
        <f>IFERROR('Mail Merge'!$G1730/'Mail Merge'!$D1730,0)</f>
        <v>13651.008</v>
      </c>
      <c r="M1730" s="199">
        <v>3857.9686956480145</v>
      </c>
      <c r="N1730" s="199" t="s">
        <v>240</v>
      </c>
      <c r="O1730" s="199">
        <v>143738.67000000001</v>
      </c>
      <c r="P1730" s="199">
        <v>3977.48</v>
      </c>
      <c r="Q1730" s="199">
        <f>'Mail Merge'!$O1730+'Mail Merge'!$P1730</f>
        <v>147716.15000000002</v>
      </c>
      <c r="R1730" s="199"/>
      <c r="S1730" s="199"/>
      <c r="T1730" s="199">
        <v>0</v>
      </c>
      <c r="U1730" s="199">
        <f>IF(AND('Mail Merge'!$I1730="Did Not Meet",'Mail Merge'!$N1730="Did Not Meet"),MIN(ABS('Mail Merge'!$H1730),ABS('Mail Merge'!$M1730),'Mail Merge'!$Q1730),0)</f>
        <v>0</v>
      </c>
      <c r="V1730" s="199" t="str">
        <f>IF(OR(IFERROR(SEARCH("Met",'Mail Merge'!$N1730),0)&gt;0,IFERROR(SEARCH("Met",'Mail Merge'!$I1730),0)&gt;0),"Met","Not Met")</f>
        <v>Met</v>
      </c>
    </row>
    <row r="1731" spans="1:22" x14ac:dyDescent="0.35">
      <c r="A1731" s="200" t="s">
        <v>176</v>
      </c>
      <c r="B1731" s="201">
        <v>2182</v>
      </c>
      <c r="C1731" s="201" t="s">
        <v>243</v>
      </c>
      <c r="D1731" s="201">
        <v>1764</v>
      </c>
      <c r="E1731" s="201">
        <v>20349908.170000002</v>
      </c>
      <c r="F1731" s="201">
        <v>3185901.57</v>
      </c>
      <c r="G1731" s="201">
        <f>'Mail Merge'!$E1731+'Mail Merge'!$F1731</f>
        <v>23535809.740000002</v>
      </c>
      <c r="H1731" s="201">
        <v>0</v>
      </c>
      <c r="I1731" s="201" t="s">
        <v>241</v>
      </c>
      <c r="J1731" s="204">
        <f>IFERROR('Mail Merge'!$E1731/'Mail Merge'!$D1731,0)</f>
        <v>11536.229121315193</v>
      </c>
      <c r="K1731" s="201">
        <f>IFERROR('Mail Merge'!$F1731/'Mail Merge'!$D1731,0)</f>
        <v>1806.0666496598637</v>
      </c>
      <c r="L1731" s="205">
        <f>IFERROR('Mail Merge'!$G1731/'Mail Merge'!$D1731,0)</f>
        <v>13342.295770975057</v>
      </c>
      <c r="M1731" s="201">
        <v>0</v>
      </c>
      <c r="N1731" s="201" t="s">
        <v>241</v>
      </c>
      <c r="O1731" s="201">
        <v>1726613.87</v>
      </c>
      <c r="P1731" s="201">
        <v>11162.42</v>
      </c>
      <c r="Q1731" s="201">
        <f>'Mail Merge'!$O1731+'Mail Merge'!$P1731</f>
        <v>1737776.29</v>
      </c>
      <c r="R1731" s="201"/>
      <c r="S1731" s="201"/>
      <c r="T1731" s="201"/>
      <c r="U1731" s="201">
        <f>IF(AND('Mail Merge'!$I1731="Did Not Meet",'Mail Merge'!$N1731="Did Not Meet"),MIN(ABS('Mail Merge'!$H1731),ABS('Mail Merge'!$M1731),'Mail Merge'!$Q1731),0)</f>
        <v>0</v>
      </c>
      <c r="V1731" s="201" t="str">
        <f>IF(OR(IFERROR(SEARCH("Met",'Mail Merge'!$N1731),0)&gt;0,IFERROR(SEARCH("Met",'Mail Merge'!$I1731),0)&gt;0),"Met","Not Met")</f>
        <v>Met</v>
      </c>
    </row>
    <row r="1732" spans="1:22" x14ac:dyDescent="0.35">
      <c r="A1732" s="198" t="s">
        <v>177</v>
      </c>
      <c r="B1732" s="199">
        <v>1999</v>
      </c>
      <c r="C1732" s="199" t="s">
        <v>243</v>
      </c>
      <c r="D1732" s="199">
        <v>61</v>
      </c>
      <c r="E1732" s="199">
        <v>400709.32</v>
      </c>
      <c r="F1732" s="199">
        <v>101590.08</v>
      </c>
      <c r="G1732" s="199">
        <f>'Mail Merge'!$E1732+'Mail Merge'!$F1732</f>
        <v>502299.4</v>
      </c>
      <c r="H1732" s="199">
        <v>52743.37876923076</v>
      </c>
      <c r="I1732" s="199" t="s">
        <v>240</v>
      </c>
      <c r="J1732" s="202">
        <f>IFERROR('Mail Merge'!$E1732/'Mail Merge'!$D1732,0)</f>
        <v>6569.0052459016397</v>
      </c>
      <c r="K1732" s="199">
        <f>IFERROR('Mail Merge'!$F1732/'Mail Merge'!$D1732,0)</f>
        <v>1665.4111475409836</v>
      </c>
      <c r="L1732" s="203">
        <f>IFERROR('Mail Merge'!$G1732/'Mail Merge'!$D1732,0)</f>
        <v>8234.4163934426233</v>
      </c>
      <c r="M1732" s="199">
        <v>43791.075885855913</v>
      </c>
      <c r="N1732" s="199" t="s">
        <v>240</v>
      </c>
      <c r="O1732" s="199">
        <v>68678.67</v>
      </c>
      <c r="P1732" s="199">
        <v>111.65</v>
      </c>
      <c r="Q1732" s="199">
        <f>'Mail Merge'!$O1732+'Mail Merge'!$P1732</f>
        <v>68790.319999999992</v>
      </c>
      <c r="R1732" s="199"/>
      <c r="S1732" s="199">
        <v>33823.08</v>
      </c>
      <c r="T1732" s="199">
        <v>545.53</v>
      </c>
      <c r="U1732" s="199">
        <f>IF(AND('Mail Merge'!$I1732="Did Not Meet",'Mail Merge'!$N1732="Did Not Meet"),MIN(ABS('Mail Merge'!$H1732),ABS('Mail Merge'!$M1732),'Mail Merge'!$Q1732),0)</f>
        <v>43791.075885855913</v>
      </c>
      <c r="V1732" s="199" t="str">
        <f>IF(OR(IFERROR(SEARCH("Met",'Mail Merge'!$N1732),0)&gt;0,IFERROR(SEARCH("Met",'Mail Merge'!$I1732),0)&gt;0),"Met","Not Met")</f>
        <v>Not Met</v>
      </c>
    </row>
    <row r="1733" spans="1:22" x14ac:dyDescent="0.35">
      <c r="A1733" s="200" t="s">
        <v>178</v>
      </c>
      <c r="B1733" s="201">
        <v>2188</v>
      </c>
      <c r="C1733" s="201" t="s">
        <v>243</v>
      </c>
      <c r="D1733" s="201">
        <v>55</v>
      </c>
      <c r="E1733" s="201">
        <v>469045</v>
      </c>
      <c r="F1733" s="201">
        <v>280438.28999999998</v>
      </c>
      <c r="G1733" s="201">
        <f>'Mail Merge'!$E1733+'Mail Merge'!$F1733</f>
        <v>749483.29</v>
      </c>
      <c r="H1733" s="201">
        <v>0</v>
      </c>
      <c r="I1733" s="201" t="s">
        <v>241</v>
      </c>
      <c r="J1733" s="204">
        <f>IFERROR('Mail Merge'!$E1733/'Mail Merge'!$D1733,0)</f>
        <v>8528.0909090909099</v>
      </c>
      <c r="K1733" s="201">
        <f>IFERROR('Mail Merge'!$F1733/'Mail Merge'!$D1733,0)</f>
        <v>5098.8779999999997</v>
      </c>
      <c r="L1733" s="205">
        <f>IFERROR('Mail Merge'!$G1733/'Mail Merge'!$D1733,0)</f>
        <v>13626.968909090911</v>
      </c>
      <c r="M1733" s="201">
        <v>0</v>
      </c>
      <c r="N1733" s="201" t="s">
        <v>241</v>
      </c>
      <c r="O1733" s="201">
        <v>82140.81</v>
      </c>
      <c r="P1733" s="201">
        <v>334.95</v>
      </c>
      <c r="Q1733" s="201">
        <f>'Mail Merge'!$O1733+'Mail Merge'!$P1733</f>
        <v>82475.759999999995</v>
      </c>
      <c r="R1733" s="201"/>
      <c r="S1733" s="201"/>
      <c r="T1733" s="201"/>
      <c r="U1733" s="201">
        <f>IF(AND('Mail Merge'!$I1733="Did Not Meet",'Mail Merge'!$N1733="Did Not Meet"),MIN(ABS('Mail Merge'!$H1733),ABS('Mail Merge'!$M1733),'Mail Merge'!$Q1733),0)</f>
        <v>0</v>
      </c>
      <c r="V1733" s="201" t="str">
        <f>IF(OR(IFERROR(SEARCH("Met",'Mail Merge'!$N1733),0)&gt;0,IFERROR(SEARCH("Met",'Mail Merge'!$I1733),0)&gt;0),"Met","Not Met")</f>
        <v>Met</v>
      </c>
    </row>
    <row r="1734" spans="1:22" x14ac:dyDescent="0.35">
      <c r="A1734" s="198" t="s">
        <v>179</v>
      </c>
      <c r="B1734" s="199">
        <v>2044</v>
      </c>
      <c r="C1734" s="199" t="s">
        <v>243</v>
      </c>
      <c r="D1734" s="199">
        <v>170</v>
      </c>
      <c r="E1734" s="199">
        <v>1262937.6399999999</v>
      </c>
      <c r="F1734" s="199">
        <v>475063.02</v>
      </c>
      <c r="G1734" s="199">
        <f>'Mail Merge'!$E1734+'Mail Merge'!$F1734</f>
        <v>1738000.66</v>
      </c>
      <c r="H1734" s="199">
        <v>0</v>
      </c>
      <c r="I1734" s="199" t="s">
        <v>241</v>
      </c>
      <c r="J1734" s="202">
        <f>IFERROR('Mail Merge'!$E1734/'Mail Merge'!$D1734,0)</f>
        <v>7429.0449411764703</v>
      </c>
      <c r="K1734" s="199">
        <f>IFERROR('Mail Merge'!$F1734/'Mail Merge'!$D1734,0)</f>
        <v>2794.4883529411768</v>
      </c>
      <c r="L1734" s="203">
        <f>IFERROR('Mail Merge'!$G1734/'Mail Merge'!$D1734,0)</f>
        <v>10223.533294117646</v>
      </c>
      <c r="M1734" s="199">
        <v>0</v>
      </c>
      <c r="N1734" s="199" t="s">
        <v>241</v>
      </c>
      <c r="O1734" s="199">
        <v>178252.18</v>
      </c>
      <c r="P1734" s="199">
        <v>893.19</v>
      </c>
      <c r="Q1734" s="199">
        <f>'Mail Merge'!$O1734+'Mail Merge'!$P1734</f>
        <v>179145.37</v>
      </c>
      <c r="R1734" s="199"/>
      <c r="S1734" s="199"/>
      <c r="T1734" s="199"/>
      <c r="U1734" s="199">
        <f>IF(AND('Mail Merge'!$I1734="Did Not Meet",'Mail Merge'!$N1734="Did Not Meet"),MIN(ABS('Mail Merge'!$H1734),ABS('Mail Merge'!$M1734),'Mail Merge'!$Q1734),0)</f>
        <v>0</v>
      </c>
      <c r="V1734" s="199" t="str">
        <f>IF(OR(IFERROR(SEARCH("Met",'Mail Merge'!$N1734),0)&gt;0,IFERROR(SEARCH("Met",'Mail Merge'!$I1734),0)&gt;0),"Met","Not Met")</f>
        <v>Met</v>
      </c>
    </row>
    <row r="1735" spans="1:22" x14ac:dyDescent="0.35">
      <c r="A1735" s="200" t="s">
        <v>180</v>
      </c>
      <c r="B1735" s="201">
        <v>2142</v>
      </c>
      <c r="C1735" s="201" t="s">
        <v>243</v>
      </c>
      <c r="D1735" s="201">
        <v>6672</v>
      </c>
      <c r="E1735" s="201">
        <v>86026560.930000007</v>
      </c>
      <c r="F1735" s="201">
        <v>0</v>
      </c>
      <c r="G1735" s="201">
        <f>'Mail Merge'!$E1735+'Mail Merge'!$F1735</f>
        <v>86026560.930000007</v>
      </c>
      <c r="H1735" s="201">
        <v>0</v>
      </c>
      <c r="I1735" s="201" t="s">
        <v>241</v>
      </c>
      <c r="J1735" s="204">
        <f>IFERROR('Mail Merge'!$E1735/'Mail Merge'!$D1735,0)</f>
        <v>12893.669204136691</v>
      </c>
      <c r="K1735" s="201">
        <f>IFERROR('Mail Merge'!$F1735/'Mail Merge'!$D1735,0)</f>
        <v>0</v>
      </c>
      <c r="L1735" s="205">
        <f>IFERROR('Mail Merge'!$G1735/'Mail Merge'!$D1735,0)</f>
        <v>12893.669204136691</v>
      </c>
      <c r="M1735" s="201">
        <v>0</v>
      </c>
      <c r="N1735" s="201" t="s">
        <v>241</v>
      </c>
      <c r="O1735" s="201">
        <v>7386821.3899999997</v>
      </c>
      <c r="P1735" s="201">
        <v>44373.58</v>
      </c>
      <c r="Q1735" s="201">
        <f>'Mail Merge'!$O1735+'Mail Merge'!$P1735</f>
        <v>7431194.9699999997</v>
      </c>
      <c r="R1735" s="201"/>
      <c r="S1735" s="201"/>
      <c r="T1735" s="201"/>
      <c r="U1735" s="201">
        <f>IF(AND('Mail Merge'!$I1735="Did Not Meet",'Mail Merge'!$N1735="Did Not Meet"),MIN(ABS('Mail Merge'!$H1735),ABS('Mail Merge'!$M1735),'Mail Merge'!$Q1735),0)</f>
        <v>0</v>
      </c>
      <c r="V1735" s="201" t="str">
        <f>IF(OR(IFERROR(SEARCH("Met",'Mail Merge'!$N1735),0)&gt;0,IFERROR(SEARCH("Met",'Mail Merge'!$I1735),0)&gt;0),"Met","Not Met")</f>
        <v>Met</v>
      </c>
    </row>
    <row r="1736" spans="1:22" x14ac:dyDescent="0.35">
      <c r="A1736" s="198" t="s">
        <v>181</v>
      </c>
      <c r="B1736" s="199">
        <v>2104</v>
      </c>
      <c r="C1736" s="199" t="s">
        <v>243</v>
      </c>
      <c r="D1736" s="199">
        <v>735</v>
      </c>
      <c r="E1736" s="199">
        <v>4102887</v>
      </c>
      <c r="F1736" s="199">
        <v>912264</v>
      </c>
      <c r="G1736" s="199">
        <f>'Mail Merge'!$E1736+'Mail Merge'!$F1736</f>
        <v>5015151</v>
      </c>
      <c r="H1736" s="199">
        <v>0</v>
      </c>
      <c r="I1736" s="199" t="s">
        <v>241</v>
      </c>
      <c r="J1736" s="202">
        <f>IFERROR('Mail Merge'!$E1736/'Mail Merge'!$D1736,0)</f>
        <v>5582.1591836734697</v>
      </c>
      <c r="K1736" s="199">
        <f>IFERROR('Mail Merge'!$F1736/'Mail Merge'!$D1736,0)</f>
        <v>1241.1755102040815</v>
      </c>
      <c r="L1736" s="203">
        <f>IFERROR('Mail Merge'!$G1736/'Mail Merge'!$D1736,0)</f>
        <v>6823.3346938775512</v>
      </c>
      <c r="M1736" s="199">
        <v>1892243.899999999</v>
      </c>
      <c r="N1736" s="199" t="s">
        <v>240</v>
      </c>
      <c r="O1736" s="199">
        <v>505714.19</v>
      </c>
      <c r="P1736" s="199">
        <v>2512.09</v>
      </c>
      <c r="Q1736" s="199">
        <f>'Mail Merge'!$O1736+'Mail Merge'!$P1736</f>
        <v>508226.28</v>
      </c>
      <c r="R1736" s="199"/>
      <c r="S1736" s="199"/>
      <c r="T1736" s="199">
        <v>0</v>
      </c>
      <c r="U1736" s="199">
        <f>IF(AND('Mail Merge'!$I1736="Did Not Meet",'Mail Merge'!$N1736="Did Not Meet"),MIN(ABS('Mail Merge'!$H1736),ABS('Mail Merge'!$M1736),'Mail Merge'!$Q1736),0)</f>
        <v>0</v>
      </c>
      <c r="V1736" s="199" t="str">
        <f>IF(OR(IFERROR(SEARCH("Met",'Mail Merge'!$N1736),0)&gt;0,IFERROR(SEARCH("Met",'Mail Merge'!$I1736),0)&gt;0),"Met","Not Met")</f>
        <v>Met</v>
      </c>
    </row>
    <row r="1737" spans="1:22" x14ac:dyDescent="0.35">
      <c r="A1737" s="200" t="s">
        <v>182</v>
      </c>
      <c r="B1737" s="201">
        <v>1944</v>
      </c>
      <c r="C1737" s="201" t="s">
        <v>243</v>
      </c>
      <c r="D1737" s="201">
        <v>295</v>
      </c>
      <c r="E1737" s="201">
        <v>3452310.44</v>
      </c>
      <c r="F1737" s="201">
        <v>537905</v>
      </c>
      <c r="G1737" s="201">
        <f>'Mail Merge'!$E1737+'Mail Merge'!$F1737</f>
        <v>3990215.44</v>
      </c>
      <c r="H1737" s="201">
        <v>0</v>
      </c>
      <c r="I1737" s="201" t="s">
        <v>241</v>
      </c>
      <c r="J1737" s="204">
        <f>IFERROR('Mail Merge'!$E1737/'Mail Merge'!$D1737,0)</f>
        <v>11702.747254237287</v>
      </c>
      <c r="K1737" s="201">
        <f>IFERROR('Mail Merge'!$F1737/'Mail Merge'!$D1737,0)</f>
        <v>1823.406779661017</v>
      </c>
      <c r="L1737" s="205">
        <f>IFERROR('Mail Merge'!$G1737/'Mail Merge'!$D1737,0)</f>
        <v>13526.154033898305</v>
      </c>
      <c r="M1737" s="201">
        <v>27488.988937010115</v>
      </c>
      <c r="N1737" s="201" t="s">
        <v>240</v>
      </c>
      <c r="O1737" s="201">
        <v>357031.07</v>
      </c>
      <c r="P1737" s="201">
        <v>1959.43</v>
      </c>
      <c r="Q1737" s="201">
        <f>'Mail Merge'!$O1737+'Mail Merge'!$P1737</f>
        <v>358990.5</v>
      </c>
      <c r="R1737" s="201"/>
      <c r="S1737" s="201"/>
      <c r="T1737" s="201">
        <v>0</v>
      </c>
      <c r="U1737" s="201">
        <f>IF(AND('Mail Merge'!$I1737="Did Not Meet",'Mail Merge'!$N1737="Did Not Meet"),MIN(ABS('Mail Merge'!$H1737),ABS('Mail Merge'!$M1737),'Mail Merge'!$Q1737),0)</f>
        <v>0</v>
      </c>
      <c r="V1737" s="201" t="str">
        <f>IF(OR(IFERROR(SEARCH("Met",'Mail Merge'!$N1737),0)&gt;0,IFERROR(SEARCH("Met",'Mail Merge'!$I1737),0)&gt;0),"Met","Not Met")</f>
        <v>Met</v>
      </c>
    </row>
    <row r="1738" spans="1:22" x14ac:dyDescent="0.35">
      <c r="A1738" s="198" t="s">
        <v>183</v>
      </c>
      <c r="B1738" s="199">
        <v>2103</v>
      </c>
      <c r="C1738" s="199" t="s">
        <v>243</v>
      </c>
      <c r="D1738" s="199">
        <v>86</v>
      </c>
      <c r="E1738" s="199">
        <v>445385.34</v>
      </c>
      <c r="F1738" s="199">
        <v>176731</v>
      </c>
      <c r="G1738" s="199">
        <f>'Mail Merge'!$E1738+'Mail Merge'!$F1738</f>
        <v>622116.34000000008</v>
      </c>
      <c r="H1738" s="199">
        <v>0</v>
      </c>
      <c r="I1738" s="199" t="s">
        <v>241</v>
      </c>
      <c r="J1738" s="202">
        <f>IFERROR('Mail Merge'!$E1738/'Mail Merge'!$D1738,0)</f>
        <v>5178.8993023255816</v>
      </c>
      <c r="K1738" s="199">
        <f>IFERROR('Mail Merge'!$F1738/'Mail Merge'!$D1738,0)</f>
        <v>2055.0116279069766</v>
      </c>
      <c r="L1738" s="203">
        <f>IFERROR('Mail Merge'!$G1738/'Mail Merge'!$D1738,0)</f>
        <v>7233.9109302325587</v>
      </c>
      <c r="M1738" s="199">
        <v>110786.91068493169</v>
      </c>
      <c r="N1738" s="199" t="s">
        <v>240</v>
      </c>
      <c r="O1738" s="199">
        <v>121877.85</v>
      </c>
      <c r="P1738" s="199">
        <v>401.93</v>
      </c>
      <c r="Q1738" s="199">
        <f>'Mail Merge'!$O1738+'Mail Merge'!$P1738</f>
        <v>122279.78</v>
      </c>
      <c r="R1738" s="199"/>
      <c r="S1738" s="199"/>
      <c r="T1738" s="199">
        <v>0</v>
      </c>
      <c r="U1738" s="199">
        <f>IF(AND('Mail Merge'!$I1738="Did Not Meet",'Mail Merge'!$N1738="Did Not Meet"),MIN(ABS('Mail Merge'!$H1738),ABS('Mail Merge'!$M1738),'Mail Merge'!$Q1738),0)</f>
        <v>0</v>
      </c>
      <c r="V1738" s="199" t="str">
        <f>IF(OR(IFERROR(SEARCH("Met",'Mail Merge'!$N1738),0)&gt;0,IFERROR(SEARCH("Met",'Mail Merge'!$I1738),0)&gt;0),"Met","Not Met")</f>
        <v>Met</v>
      </c>
    </row>
    <row r="1739" spans="1:22" x14ac:dyDescent="0.35">
      <c r="A1739" s="200" t="s">
        <v>184</v>
      </c>
      <c r="B1739" s="201">
        <v>1935</v>
      </c>
      <c r="C1739" s="201" t="s">
        <v>243</v>
      </c>
      <c r="D1739" s="201">
        <v>249</v>
      </c>
      <c r="E1739" s="201">
        <v>2642068.46</v>
      </c>
      <c r="F1739" s="201">
        <v>438680</v>
      </c>
      <c r="G1739" s="201">
        <f>'Mail Merge'!$E1739+'Mail Merge'!$F1739</f>
        <v>3080748.46</v>
      </c>
      <c r="H1739" s="201">
        <v>0</v>
      </c>
      <c r="I1739" s="201" t="s">
        <v>241</v>
      </c>
      <c r="J1739" s="204">
        <f>IFERROR('Mail Merge'!$E1739/'Mail Merge'!$D1739,0)</f>
        <v>10610.716706827308</v>
      </c>
      <c r="K1739" s="201">
        <f>IFERROR('Mail Merge'!$F1739/'Mail Merge'!$D1739,0)</f>
        <v>1761.7670682730923</v>
      </c>
      <c r="L1739" s="205">
        <f>IFERROR('Mail Merge'!$G1739/'Mail Merge'!$D1739,0)</f>
        <v>12372.483775100402</v>
      </c>
      <c r="M1739" s="201">
        <v>0</v>
      </c>
      <c r="N1739" s="201" t="s">
        <v>241</v>
      </c>
      <c r="O1739" s="201">
        <v>254648.68</v>
      </c>
      <c r="P1739" s="201">
        <v>2557.7600000000002</v>
      </c>
      <c r="Q1739" s="201">
        <f>'Mail Merge'!$O1739+'Mail Merge'!$P1739</f>
        <v>257206.44</v>
      </c>
      <c r="R1739" s="201"/>
      <c r="S1739" s="201"/>
      <c r="T1739" s="201"/>
      <c r="U1739" s="201">
        <f>IF(AND('Mail Merge'!$I1739="Did Not Meet",'Mail Merge'!$N1739="Did Not Meet"),MIN(ABS('Mail Merge'!$H1739),ABS('Mail Merge'!$M1739),'Mail Merge'!$Q1739),0)</f>
        <v>0</v>
      </c>
      <c r="V1739" s="201" t="str">
        <f>IF(OR(IFERROR(SEARCH("Met",'Mail Merge'!$N1739),0)&gt;0,IFERROR(SEARCH("Met",'Mail Merge'!$I1739),0)&gt;0),"Met","Not Met")</f>
        <v>Met</v>
      </c>
    </row>
    <row r="1740" spans="1:22" x14ac:dyDescent="0.35">
      <c r="A1740" s="198" t="s">
        <v>185</v>
      </c>
      <c r="B1740" s="199">
        <v>2257</v>
      </c>
      <c r="C1740" s="199" t="s">
        <v>243</v>
      </c>
      <c r="D1740" s="199">
        <v>140</v>
      </c>
      <c r="E1740" s="199">
        <v>777679.15</v>
      </c>
      <c r="F1740" s="199">
        <v>226251.32</v>
      </c>
      <c r="G1740" s="199">
        <f>'Mail Merge'!$E1740+'Mail Merge'!$F1740</f>
        <v>1003930.47</v>
      </c>
      <c r="H1740" s="199">
        <v>0</v>
      </c>
      <c r="I1740" s="199" t="s">
        <v>242</v>
      </c>
      <c r="J1740" s="202">
        <f>IFERROR('Mail Merge'!$E1740/'Mail Merge'!$D1740,0)</f>
        <v>5554.8510714285712</v>
      </c>
      <c r="K1740" s="199">
        <f>IFERROR('Mail Merge'!$F1740/'Mail Merge'!$D1740,0)</f>
        <v>1616.0808571428572</v>
      </c>
      <c r="L1740" s="203">
        <f>IFERROR('Mail Merge'!$G1740/'Mail Merge'!$D1740,0)</f>
        <v>7170.9319285714282</v>
      </c>
      <c r="M1740" s="199">
        <v>387219.20128712815</v>
      </c>
      <c r="N1740" s="199" t="s">
        <v>240</v>
      </c>
      <c r="O1740" s="199">
        <v>156783.69</v>
      </c>
      <c r="P1740" s="199">
        <v>502.42</v>
      </c>
      <c r="Q1740" s="199">
        <f>'Mail Merge'!$O1740+'Mail Merge'!$P1740</f>
        <v>157286.11000000002</v>
      </c>
      <c r="R1740" s="199"/>
      <c r="S1740" s="199">
        <v>62000</v>
      </c>
      <c r="T1740" s="199">
        <v>613.86</v>
      </c>
      <c r="U1740" s="199">
        <f>IF(AND('Mail Merge'!$I1740="Did Not Meet",'Mail Merge'!$N1740="Did Not Meet"),MIN(ABS('Mail Merge'!$H1740),ABS('Mail Merge'!$M1740),'Mail Merge'!$Q1740),0)</f>
        <v>0</v>
      </c>
      <c r="V1740" s="199" t="str">
        <f>IF(OR(IFERROR(SEARCH("Met",'Mail Merge'!$N1740),0)&gt;0,IFERROR(SEARCH("Met",'Mail Merge'!$I1740),0)&gt;0),"Met","Not Met")</f>
        <v>Met</v>
      </c>
    </row>
    <row r="1741" spans="1:22" x14ac:dyDescent="0.35">
      <c r="A1741" s="200" t="s">
        <v>186</v>
      </c>
      <c r="B1741" s="201">
        <v>2195</v>
      </c>
      <c r="C1741" s="201" t="s">
        <v>243</v>
      </c>
      <c r="D1741" s="201">
        <v>42</v>
      </c>
      <c r="E1741" s="201">
        <v>105568.83</v>
      </c>
      <c r="F1741" s="201">
        <v>200618</v>
      </c>
      <c r="G1741" s="201">
        <f>'Mail Merge'!$E1741+'Mail Merge'!$F1741</f>
        <v>306186.83</v>
      </c>
      <c r="H1741" s="201">
        <v>0</v>
      </c>
      <c r="I1741" s="201" t="s">
        <v>241</v>
      </c>
      <c r="J1741" s="204">
        <f>IFERROR('Mail Merge'!$E1741/'Mail Merge'!$D1741,0)</f>
        <v>2513.5435714285713</v>
      </c>
      <c r="K1741" s="201">
        <f>IFERROR('Mail Merge'!$F1741/'Mail Merge'!$D1741,0)</f>
        <v>4776.6190476190477</v>
      </c>
      <c r="L1741" s="205">
        <f>IFERROR('Mail Merge'!$G1741/'Mail Merge'!$D1741,0)</f>
        <v>7290.162619047619</v>
      </c>
      <c r="M1741" s="201">
        <v>29944.817894736829</v>
      </c>
      <c r="N1741" s="201" t="s">
        <v>240</v>
      </c>
      <c r="O1741" s="201">
        <v>54174.37</v>
      </c>
      <c r="P1741" s="201">
        <v>0</v>
      </c>
      <c r="Q1741" s="201">
        <f>'Mail Merge'!$O1741+'Mail Merge'!$P1741</f>
        <v>54174.37</v>
      </c>
      <c r="R1741" s="201"/>
      <c r="S1741" s="201"/>
      <c r="T1741" s="201">
        <v>0</v>
      </c>
      <c r="U1741" s="201">
        <f>IF(AND('Mail Merge'!$I1741="Did Not Meet",'Mail Merge'!$N1741="Did Not Meet"),MIN(ABS('Mail Merge'!$H1741),ABS('Mail Merge'!$M1741),'Mail Merge'!$Q1741),0)</f>
        <v>0</v>
      </c>
      <c r="V1741" s="201" t="str">
        <f>IF(OR(IFERROR(SEARCH("Met",'Mail Merge'!$N1741),0)&gt;0,IFERROR(SEARCH("Met",'Mail Merge'!$I1741),0)&gt;0),"Met","Not Met")</f>
        <v>Met</v>
      </c>
    </row>
    <row r="1742" spans="1:22" x14ac:dyDescent="0.35">
      <c r="A1742" s="198" t="s">
        <v>187</v>
      </c>
      <c r="B1742" s="199">
        <v>2244</v>
      </c>
      <c r="C1742" s="199" t="s">
        <v>243</v>
      </c>
      <c r="D1742" s="199">
        <v>569</v>
      </c>
      <c r="E1742" s="199">
        <v>5434475.7000000002</v>
      </c>
      <c r="F1742" s="199">
        <v>967115</v>
      </c>
      <c r="G1742" s="199">
        <f>'Mail Merge'!$E1742+'Mail Merge'!$F1742</f>
        <v>6401590.7000000002</v>
      </c>
      <c r="H1742" s="199">
        <v>0</v>
      </c>
      <c r="I1742" s="199" t="s">
        <v>241</v>
      </c>
      <c r="J1742" s="202">
        <f>IFERROR('Mail Merge'!$E1742/'Mail Merge'!$D1742,0)</f>
        <v>9550.923901581722</v>
      </c>
      <c r="K1742" s="199">
        <f>IFERROR('Mail Merge'!$F1742/'Mail Merge'!$D1742,0)</f>
        <v>1699.6748681898066</v>
      </c>
      <c r="L1742" s="203">
        <f>IFERROR('Mail Merge'!$G1742/'Mail Merge'!$D1742,0)</f>
        <v>11250.59876977153</v>
      </c>
      <c r="M1742" s="199">
        <v>0</v>
      </c>
      <c r="N1742" s="199" t="s">
        <v>241</v>
      </c>
      <c r="O1742" s="199">
        <v>648125.29</v>
      </c>
      <c r="P1742" s="199">
        <v>2159.65</v>
      </c>
      <c r="Q1742" s="199">
        <f>'Mail Merge'!$O1742+'Mail Merge'!$P1742</f>
        <v>650284.94000000006</v>
      </c>
      <c r="R1742" s="199"/>
      <c r="S1742" s="199"/>
      <c r="T1742" s="199"/>
      <c r="U1742" s="199">
        <f>IF(AND('Mail Merge'!$I1742="Did Not Meet",'Mail Merge'!$N1742="Did Not Meet"),MIN(ABS('Mail Merge'!$H1742),ABS('Mail Merge'!$M1742),'Mail Merge'!$Q1742),0)</f>
        <v>0</v>
      </c>
      <c r="V1742" s="199" t="str">
        <f>IF(OR(IFERROR(SEARCH("Met",'Mail Merge'!$N1742),0)&gt;0,IFERROR(SEARCH("Met",'Mail Merge'!$I1742),0)&gt;0),"Met","Not Met")</f>
        <v>Met</v>
      </c>
    </row>
    <row r="1743" spans="1:22" x14ac:dyDescent="0.35">
      <c r="A1743" s="200" t="s">
        <v>188</v>
      </c>
      <c r="B1743" s="201">
        <v>2138</v>
      </c>
      <c r="C1743" s="201" t="s">
        <v>243</v>
      </c>
      <c r="D1743" s="201">
        <v>496</v>
      </c>
      <c r="E1743" s="201">
        <v>5326787.29</v>
      </c>
      <c r="F1743" s="201">
        <v>314210.34000000003</v>
      </c>
      <c r="G1743" s="201">
        <f>'Mail Merge'!$E1743+'Mail Merge'!$F1743</f>
        <v>5640997.6299999999</v>
      </c>
      <c r="H1743" s="201">
        <v>0</v>
      </c>
      <c r="I1743" s="201" t="s">
        <v>241</v>
      </c>
      <c r="J1743" s="204">
        <f>IFERROR('Mail Merge'!$E1743/'Mail Merge'!$D1743,0)</f>
        <v>10739.490504032257</v>
      </c>
      <c r="K1743" s="201">
        <f>IFERROR('Mail Merge'!$F1743/'Mail Merge'!$D1743,0)</f>
        <v>633.48858870967751</v>
      </c>
      <c r="L1743" s="205">
        <f>IFERROR('Mail Merge'!$G1743/'Mail Merge'!$D1743,0)</f>
        <v>11372.979092741934</v>
      </c>
      <c r="M1743" s="201">
        <v>46204.935095564113</v>
      </c>
      <c r="N1743" s="201" t="s">
        <v>240</v>
      </c>
      <c r="O1743" s="201">
        <v>548886.53</v>
      </c>
      <c r="P1743" s="201">
        <v>4354.29</v>
      </c>
      <c r="Q1743" s="201">
        <f>'Mail Merge'!$O1743+'Mail Merge'!$P1743</f>
        <v>553240.82000000007</v>
      </c>
      <c r="R1743" s="201"/>
      <c r="S1743" s="201"/>
      <c r="T1743" s="201">
        <v>0</v>
      </c>
      <c r="U1743" s="201">
        <f>IF(AND('Mail Merge'!$I1743="Did Not Meet",'Mail Merge'!$N1743="Did Not Meet"),MIN(ABS('Mail Merge'!$H1743),ABS('Mail Merge'!$M1743),'Mail Merge'!$Q1743),0)</f>
        <v>0</v>
      </c>
      <c r="V1743" s="201" t="str">
        <f>IF(OR(IFERROR(SEARCH("Met",'Mail Merge'!$N1743),0)&gt;0,IFERROR(SEARCH("Met",'Mail Merge'!$I1743),0)&gt;0),"Met","Not Met")</f>
        <v>Met</v>
      </c>
    </row>
    <row r="1744" spans="1:22" x14ac:dyDescent="0.35">
      <c r="A1744" s="198" t="s">
        <v>189</v>
      </c>
      <c r="B1744" s="199">
        <v>1978</v>
      </c>
      <c r="C1744" s="199" t="s">
        <v>243</v>
      </c>
      <c r="D1744" s="199">
        <v>103</v>
      </c>
      <c r="E1744" s="199">
        <v>889165.78</v>
      </c>
      <c r="F1744" s="199">
        <v>161458.23999999999</v>
      </c>
      <c r="G1744" s="199">
        <f>'Mail Merge'!$E1744+'Mail Merge'!$F1744</f>
        <v>1050624.02</v>
      </c>
      <c r="H1744" s="199">
        <v>0</v>
      </c>
      <c r="I1744" s="199" t="s">
        <v>241</v>
      </c>
      <c r="J1744" s="202">
        <f>IFERROR('Mail Merge'!$E1744/'Mail Merge'!$D1744,0)</f>
        <v>8632.6774757281564</v>
      </c>
      <c r="K1744" s="199">
        <f>IFERROR('Mail Merge'!$F1744/'Mail Merge'!$D1744,0)</f>
        <v>1567.5557281553397</v>
      </c>
      <c r="L1744" s="203">
        <f>IFERROR('Mail Merge'!$G1744/'Mail Merge'!$D1744,0)</f>
        <v>10200.233203883496</v>
      </c>
      <c r="M1744" s="199">
        <v>0</v>
      </c>
      <c r="N1744" s="199" t="s">
        <v>241</v>
      </c>
      <c r="O1744" s="199">
        <v>163011.21</v>
      </c>
      <c r="P1744" s="199">
        <v>314.01</v>
      </c>
      <c r="Q1744" s="199">
        <f>'Mail Merge'!$O1744+'Mail Merge'!$P1744</f>
        <v>163325.22</v>
      </c>
      <c r="R1744" s="199"/>
      <c r="S1744" s="199"/>
      <c r="T1744" s="199"/>
      <c r="U1744" s="199">
        <f>IF(AND('Mail Merge'!$I1744="Did Not Meet",'Mail Merge'!$N1744="Did Not Meet"),MIN(ABS('Mail Merge'!$H1744),ABS('Mail Merge'!$M1744),'Mail Merge'!$Q1744),0)</f>
        <v>0</v>
      </c>
      <c r="V1744" s="199" t="str">
        <f>IF(OR(IFERROR(SEARCH("Met",'Mail Merge'!$N1744),0)&gt;0,IFERROR(SEARCH("Met",'Mail Merge'!$I1744),0)&gt;0),"Met","Not Met")</f>
        <v>Met</v>
      </c>
    </row>
    <row r="1745" spans="1:22" x14ac:dyDescent="0.35">
      <c r="A1745" s="200" t="s">
        <v>190</v>
      </c>
      <c r="B1745" s="201">
        <v>2096</v>
      </c>
      <c r="C1745" s="201" t="s">
        <v>243</v>
      </c>
      <c r="D1745" s="201">
        <v>188</v>
      </c>
      <c r="E1745" s="201">
        <v>1574561.03</v>
      </c>
      <c r="F1745" s="201">
        <v>453130</v>
      </c>
      <c r="G1745" s="201">
        <f>'Mail Merge'!$E1745+'Mail Merge'!$F1745</f>
        <v>2027691.03</v>
      </c>
      <c r="H1745" s="201">
        <v>0</v>
      </c>
      <c r="I1745" s="201" t="s">
        <v>241</v>
      </c>
      <c r="J1745" s="204">
        <f>IFERROR('Mail Merge'!$E1745/'Mail Merge'!$D1745,0)</f>
        <v>8375.3246276595746</v>
      </c>
      <c r="K1745" s="201">
        <f>IFERROR('Mail Merge'!$F1745/'Mail Merge'!$D1745,0)</f>
        <v>2410.2659574468084</v>
      </c>
      <c r="L1745" s="205">
        <f>IFERROR('Mail Merge'!$G1745/'Mail Merge'!$D1745,0)</f>
        <v>10785.590585106384</v>
      </c>
      <c r="M1745" s="201">
        <v>2088.5143786922822</v>
      </c>
      <c r="N1745" s="201" t="s">
        <v>242</v>
      </c>
      <c r="O1745" s="201">
        <v>239313.02</v>
      </c>
      <c r="P1745" s="201">
        <v>3048</v>
      </c>
      <c r="Q1745" s="201">
        <f>'Mail Merge'!$O1745+'Mail Merge'!$P1745</f>
        <v>242361.02</v>
      </c>
      <c r="R1745" s="201"/>
      <c r="S1745" s="201"/>
      <c r="T1745" s="201">
        <v>544.33000000000004</v>
      </c>
      <c r="U1745" s="201">
        <f>IF(AND('Mail Merge'!$I1745="Did Not Meet",'Mail Merge'!$N1745="Did Not Meet"),MIN(ABS('Mail Merge'!$H1745),ABS('Mail Merge'!$M1745),'Mail Merge'!$Q1745),0)</f>
        <v>0</v>
      </c>
      <c r="V1745" s="201" t="str">
        <f>IF(OR(IFERROR(SEARCH("Met",'Mail Merge'!$N1745),0)&gt;0,IFERROR(SEARCH("Met",'Mail Merge'!$I1745),0)&gt;0),"Met","Not Met")</f>
        <v>Met</v>
      </c>
    </row>
    <row r="1746" spans="1:22" x14ac:dyDescent="0.35">
      <c r="A1746" s="198" t="s">
        <v>191</v>
      </c>
      <c r="B1746" s="199">
        <v>2022</v>
      </c>
      <c r="C1746" s="199" t="s">
        <v>243</v>
      </c>
      <c r="D1746" s="199">
        <v>2</v>
      </c>
      <c r="E1746" s="199">
        <v>10200</v>
      </c>
      <c r="F1746" s="199">
        <v>4721</v>
      </c>
      <c r="G1746" s="199">
        <f>'Mail Merge'!$E1746+'Mail Merge'!$F1746</f>
        <v>14921</v>
      </c>
      <c r="H1746" s="199">
        <v>0</v>
      </c>
      <c r="I1746" s="199" t="s">
        <v>242</v>
      </c>
      <c r="J1746" s="202">
        <f>IFERROR('Mail Merge'!$E1746/'Mail Merge'!$D1746,0)</f>
        <v>5100</v>
      </c>
      <c r="K1746" s="199">
        <f>IFERROR('Mail Merge'!$F1746/'Mail Merge'!$D1746,0)</f>
        <v>2360.5</v>
      </c>
      <c r="L1746" s="203">
        <f>IFERROR('Mail Merge'!$G1746/'Mail Merge'!$D1746,0)</f>
        <v>7460.5</v>
      </c>
      <c r="M1746" s="199">
        <v>0</v>
      </c>
      <c r="N1746" s="199" t="s">
        <v>241</v>
      </c>
      <c r="O1746" s="199">
        <v>0</v>
      </c>
      <c r="P1746" s="199">
        <v>0</v>
      </c>
      <c r="Q1746" s="199">
        <f>'Mail Merge'!$O1746+'Mail Merge'!$P1746</f>
        <v>0</v>
      </c>
      <c r="R1746" s="199"/>
      <c r="S1746" s="199">
        <v>6911.16</v>
      </c>
      <c r="T1746" s="199"/>
      <c r="U1746" s="199">
        <f>IF(AND('Mail Merge'!$I1746="Did Not Meet",'Mail Merge'!$N1746="Did Not Meet"),MIN(ABS('Mail Merge'!$H1746),ABS('Mail Merge'!$M1746),'Mail Merge'!$Q1746),0)</f>
        <v>0</v>
      </c>
      <c r="V1746" s="199" t="str">
        <f>IF(OR(IFERROR(SEARCH("Met",'Mail Merge'!$N1746),0)&gt;0,IFERROR(SEARCH("Met",'Mail Merge'!$I1746),0)&gt;0),"Met","Not Met")</f>
        <v>Met</v>
      </c>
    </row>
    <row r="1747" spans="1:22" x14ac:dyDescent="0.35">
      <c r="A1747" s="200" t="s">
        <v>192</v>
      </c>
      <c r="B1747" s="201">
        <v>2087</v>
      </c>
      <c r="C1747" s="201" t="s">
        <v>243</v>
      </c>
      <c r="D1747" s="201">
        <v>485</v>
      </c>
      <c r="E1747" s="201">
        <v>4898602.5999999996</v>
      </c>
      <c r="F1747" s="201">
        <v>778476</v>
      </c>
      <c r="G1747" s="201">
        <f>'Mail Merge'!$E1747+'Mail Merge'!$F1747</f>
        <v>5677078.5999999996</v>
      </c>
      <c r="H1747" s="201">
        <v>0</v>
      </c>
      <c r="I1747" s="201" t="s">
        <v>241</v>
      </c>
      <c r="J1747" s="204">
        <f>IFERROR('Mail Merge'!$E1747/'Mail Merge'!$D1747,0)</f>
        <v>10100.211546391753</v>
      </c>
      <c r="K1747" s="201">
        <f>IFERROR('Mail Merge'!$F1747/'Mail Merge'!$D1747,0)</f>
        <v>1605.1051546391752</v>
      </c>
      <c r="L1747" s="205">
        <f>IFERROR('Mail Merge'!$G1747/'Mail Merge'!$D1747,0)</f>
        <v>11705.316701030926</v>
      </c>
      <c r="M1747" s="201">
        <v>0</v>
      </c>
      <c r="N1747" s="201" t="s">
        <v>241</v>
      </c>
      <c r="O1747" s="201">
        <v>514935.01</v>
      </c>
      <c r="P1747" s="201">
        <v>2865.27</v>
      </c>
      <c r="Q1747" s="201">
        <f>'Mail Merge'!$O1747+'Mail Merge'!$P1747</f>
        <v>517800.28</v>
      </c>
      <c r="R1747" s="201"/>
      <c r="S1747" s="201"/>
      <c r="T1747" s="201"/>
      <c r="U1747" s="201">
        <f>IF(AND('Mail Merge'!$I1747="Did Not Meet",'Mail Merge'!$N1747="Did Not Meet"),MIN(ABS('Mail Merge'!$H1747),ABS('Mail Merge'!$M1747),'Mail Merge'!$Q1747),0)</f>
        <v>0</v>
      </c>
      <c r="V1747" s="201" t="str">
        <f>IF(OR(IFERROR(SEARCH("Met",'Mail Merge'!$N1747),0)&gt;0,IFERROR(SEARCH("Met",'Mail Merge'!$I1747),0)&gt;0),"Met","Not Met")</f>
        <v>Met</v>
      </c>
    </row>
    <row r="1748" spans="1:22" x14ac:dyDescent="0.35">
      <c r="A1748" s="198" t="s">
        <v>193</v>
      </c>
      <c r="B1748" s="199">
        <v>1994</v>
      </c>
      <c r="C1748" s="199" t="s">
        <v>243</v>
      </c>
      <c r="D1748" s="199">
        <v>264</v>
      </c>
      <c r="E1748" s="199">
        <v>1967510.54</v>
      </c>
      <c r="F1748" s="199">
        <v>342006.16</v>
      </c>
      <c r="G1748" s="199">
        <f>'Mail Merge'!$E1748+'Mail Merge'!$F1748</f>
        <v>2309516.7000000002</v>
      </c>
      <c r="H1748" s="199">
        <v>0</v>
      </c>
      <c r="I1748" s="199" t="s">
        <v>242</v>
      </c>
      <c r="J1748" s="202">
        <f>IFERROR('Mail Merge'!$E1748/'Mail Merge'!$D1748,0)</f>
        <v>7452.6914393939396</v>
      </c>
      <c r="K1748" s="199">
        <f>IFERROR('Mail Merge'!$F1748/'Mail Merge'!$D1748,0)</f>
        <v>1295.4778787878786</v>
      </c>
      <c r="L1748" s="203">
        <f>IFERROR('Mail Merge'!$G1748/'Mail Merge'!$D1748,0)</f>
        <v>8748.1693181818191</v>
      </c>
      <c r="M1748" s="199">
        <v>180389.77024389591</v>
      </c>
      <c r="N1748" s="199" t="s">
        <v>240</v>
      </c>
      <c r="O1748" s="199">
        <v>336740.78</v>
      </c>
      <c r="P1748" s="199">
        <v>5275.39</v>
      </c>
      <c r="Q1748" s="199">
        <f>'Mail Merge'!$O1748+'Mail Merge'!$P1748</f>
        <v>342016.17000000004</v>
      </c>
      <c r="R1748" s="199"/>
      <c r="S1748" s="199">
        <v>172000.66</v>
      </c>
      <c r="T1748" s="199">
        <v>839.03</v>
      </c>
      <c r="U1748" s="199">
        <f>IF(AND('Mail Merge'!$I1748="Did Not Meet",'Mail Merge'!$N1748="Did Not Meet"),MIN(ABS('Mail Merge'!$H1748),ABS('Mail Merge'!$M1748),'Mail Merge'!$Q1748),0)</f>
        <v>0</v>
      </c>
      <c r="V1748" s="199" t="str">
        <f>IF(OR(IFERROR(SEARCH("Met",'Mail Merge'!$N1748),0)&gt;0,IFERROR(SEARCH("Met",'Mail Merge'!$I1748),0)&gt;0),"Met","Not Met")</f>
        <v>Met</v>
      </c>
    </row>
    <row r="1749" spans="1:22" x14ac:dyDescent="0.35">
      <c r="A1749" s="200" t="s">
        <v>194</v>
      </c>
      <c r="B1749" s="201">
        <v>2225</v>
      </c>
      <c r="C1749" s="201" t="s">
        <v>243</v>
      </c>
      <c r="D1749" s="201">
        <v>35</v>
      </c>
      <c r="E1749" s="201">
        <v>268530.48</v>
      </c>
      <c r="F1749" s="201">
        <v>25000</v>
      </c>
      <c r="G1749" s="201">
        <f>'Mail Merge'!$E1749+'Mail Merge'!$F1749</f>
        <v>293530.48</v>
      </c>
      <c r="H1749" s="201">
        <v>0</v>
      </c>
      <c r="I1749" s="201" t="s">
        <v>241</v>
      </c>
      <c r="J1749" s="204">
        <f>IFERROR('Mail Merge'!$E1749/'Mail Merge'!$D1749,0)</f>
        <v>7672.2994285714276</v>
      </c>
      <c r="K1749" s="201">
        <f>IFERROR('Mail Merge'!$F1749/'Mail Merge'!$D1749,0)</f>
        <v>714.28571428571433</v>
      </c>
      <c r="L1749" s="205">
        <f>IFERROR('Mail Merge'!$G1749/'Mail Merge'!$D1749,0)</f>
        <v>8386.5851428571423</v>
      </c>
      <c r="M1749" s="201">
        <v>67325.805999999997</v>
      </c>
      <c r="N1749" s="201" t="s">
        <v>240</v>
      </c>
      <c r="O1749" s="201">
        <v>53336.35</v>
      </c>
      <c r="P1749" s="201">
        <v>753.63</v>
      </c>
      <c r="Q1749" s="201">
        <f>'Mail Merge'!$O1749+'Mail Merge'!$P1749</f>
        <v>54089.979999999996</v>
      </c>
      <c r="R1749" s="201"/>
      <c r="S1749" s="201"/>
      <c r="T1749" s="201">
        <v>0</v>
      </c>
      <c r="U1749" s="201">
        <f>IF(AND('Mail Merge'!$I1749="Did Not Meet",'Mail Merge'!$N1749="Did Not Meet"),MIN(ABS('Mail Merge'!$H1749),ABS('Mail Merge'!$M1749),'Mail Merge'!$Q1749),0)</f>
        <v>0</v>
      </c>
      <c r="V1749" s="201" t="str">
        <f>IF(OR(IFERROR(SEARCH("Met",'Mail Merge'!$N1749),0)&gt;0,IFERROR(SEARCH("Met",'Mail Merge'!$I1749),0)&gt;0),"Met","Not Met")</f>
        <v>Met</v>
      </c>
    </row>
    <row r="1750" spans="1:22" x14ac:dyDescent="0.35">
      <c r="A1750" s="198" t="s">
        <v>195</v>
      </c>
      <c r="B1750" s="199">
        <v>2247</v>
      </c>
      <c r="C1750" s="199" t="s">
        <v>243</v>
      </c>
      <c r="D1750" s="199">
        <v>3</v>
      </c>
      <c r="E1750" s="199">
        <v>13624.72</v>
      </c>
      <c r="F1750" s="199">
        <v>54890</v>
      </c>
      <c r="G1750" s="199">
        <f>'Mail Merge'!$E1750+'Mail Merge'!$F1750</f>
        <v>68514.720000000001</v>
      </c>
      <c r="H1750" s="199">
        <v>0</v>
      </c>
      <c r="I1750" s="199" t="s">
        <v>241</v>
      </c>
      <c r="J1750" s="202">
        <f>IFERROR('Mail Merge'!$E1750/'Mail Merge'!$D1750,0)</f>
        <v>4541.5733333333328</v>
      </c>
      <c r="K1750" s="199">
        <f>IFERROR('Mail Merge'!$F1750/'Mail Merge'!$D1750,0)</f>
        <v>18296.666666666668</v>
      </c>
      <c r="L1750" s="203">
        <f>IFERROR('Mail Merge'!$G1750/'Mail Merge'!$D1750,0)</f>
        <v>22838.240000000002</v>
      </c>
      <c r="M1750" s="199">
        <v>0</v>
      </c>
      <c r="N1750" s="199" t="s">
        <v>241</v>
      </c>
      <c r="O1750" s="199">
        <v>7967.82</v>
      </c>
      <c r="P1750" s="199">
        <v>0</v>
      </c>
      <c r="Q1750" s="199">
        <f>'Mail Merge'!$O1750+'Mail Merge'!$P1750</f>
        <v>7967.82</v>
      </c>
      <c r="R1750" s="199"/>
      <c r="S1750" s="199"/>
      <c r="T1750" s="199"/>
      <c r="U1750" s="199">
        <f>IF(AND('Mail Merge'!$I1750="Did Not Meet",'Mail Merge'!$N1750="Did Not Meet"),MIN(ABS('Mail Merge'!$H1750),ABS('Mail Merge'!$M1750),'Mail Merge'!$Q1750),0)</f>
        <v>0</v>
      </c>
      <c r="V1750" s="199" t="str">
        <f>IF(OR(IFERROR(SEARCH("Met",'Mail Merge'!$N1750),0)&gt;0,IFERROR(SEARCH("Met",'Mail Merge'!$I1750),0)&gt;0),"Met","Not Met")</f>
        <v>Met</v>
      </c>
    </row>
    <row r="1751" spans="1:22" x14ac:dyDescent="0.35">
      <c r="A1751" s="200" t="s">
        <v>196</v>
      </c>
      <c r="B1751" s="201">
        <v>2083</v>
      </c>
      <c r="C1751" s="201" t="s">
        <v>243</v>
      </c>
      <c r="D1751" s="201">
        <v>1664</v>
      </c>
      <c r="E1751" s="201">
        <v>19873320.399999999</v>
      </c>
      <c r="F1751" s="201">
        <v>2304695</v>
      </c>
      <c r="G1751" s="201">
        <f>'Mail Merge'!$E1751+'Mail Merge'!$F1751</f>
        <v>22178015.399999999</v>
      </c>
      <c r="H1751" s="201">
        <v>0</v>
      </c>
      <c r="I1751" s="201" t="s">
        <v>241</v>
      </c>
      <c r="J1751" s="204">
        <f>IFERROR('Mail Merge'!$E1751/'Mail Merge'!$D1751,0)</f>
        <v>11943.101201923077</v>
      </c>
      <c r="K1751" s="201">
        <f>IFERROR('Mail Merge'!$F1751/'Mail Merge'!$D1751,0)</f>
        <v>1385.0330528846155</v>
      </c>
      <c r="L1751" s="205">
        <f>IFERROR('Mail Merge'!$G1751/'Mail Merge'!$D1751,0)</f>
        <v>13328.134254807692</v>
      </c>
      <c r="M1751" s="201">
        <v>0</v>
      </c>
      <c r="N1751" s="201" t="s">
        <v>241</v>
      </c>
      <c r="O1751" s="201">
        <v>1913604.07</v>
      </c>
      <c r="P1751" s="201">
        <v>17359.97</v>
      </c>
      <c r="Q1751" s="201">
        <f>'Mail Merge'!$O1751+'Mail Merge'!$P1751</f>
        <v>1930964.04</v>
      </c>
      <c r="R1751" s="201"/>
      <c r="S1751" s="201"/>
      <c r="T1751" s="201"/>
      <c r="U1751" s="201">
        <f>IF(AND('Mail Merge'!$I1751="Did Not Meet",'Mail Merge'!$N1751="Did Not Meet"),MIN(ABS('Mail Merge'!$H1751),ABS('Mail Merge'!$M1751),'Mail Merge'!$Q1751),0)</f>
        <v>0</v>
      </c>
      <c r="V1751" s="201" t="str">
        <f>IF(OR(IFERROR(SEARCH("Met",'Mail Merge'!$N1751),0)&gt;0,IFERROR(SEARCH("Met",'Mail Merge'!$I1751),0)&gt;0),"Met","Not Met")</f>
        <v>Met</v>
      </c>
    </row>
    <row r="1752" spans="1:22" x14ac:dyDescent="0.35">
      <c r="A1752" s="198" t="s">
        <v>197</v>
      </c>
      <c r="B1752" s="199">
        <v>1948</v>
      </c>
      <c r="C1752" s="199" t="s">
        <v>243</v>
      </c>
      <c r="D1752" s="199">
        <v>451</v>
      </c>
      <c r="E1752" s="199">
        <v>4083396.27</v>
      </c>
      <c r="F1752" s="199">
        <v>797854</v>
      </c>
      <c r="G1752" s="199">
        <f>'Mail Merge'!$E1752+'Mail Merge'!$F1752</f>
        <v>4881250.2699999996</v>
      </c>
      <c r="H1752" s="199">
        <v>0</v>
      </c>
      <c r="I1752" s="199" t="s">
        <v>241</v>
      </c>
      <c r="J1752" s="202">
        <f>IFERROR('Mail Merge'!$E1752/'Mail Merge'!$D1752,0)</f>
        <v>9054.0937250554325</v>
      </c>
      <c r="K1752" s="199">
        <f>IFERROR('Mail Merge'!$F1752/'Mail Merge'!$D1752,0)</f>
        <v>1769.0776053215077</v>
      </c>
      <c r="L1752" s="203">
        <f>IFERROR('Mail Merge'!$G1752/'Mail Merge'!$D1752,0)</f>
        <v>10823.171330376939</v>
      </c>
      <c r="M1752" s="199">
        <v>0</v>
      </c>
      <c r="N1752" s="199" t="s">
        <v>241</v>
      </c>
      <c r="O1752" s="199">
        <v>534860.34</v>
      </c>
      <c r="P1752" s="199">
        <v>4191.82</v>
      </c>
      <c r="Q1752" s="199">
        <f>'Mail Merge'!$O1752+'Mail Merge'!$P1752</f>
        <v>539052.15999999992</v>
      </c>
      <c r="R1752" s="199"/>
      <c r="S1752" s="199"/>
      <c r="T1752" s="199"/>
      <c r="U1752" s="199">
        <f>IF(AND('Mail Merge'!$I1752="Did Not Meet",'Mail Merge'!$N1752="Did Not Meet"),MIN(ABS('Mail Merge'!$H1752),ABS('Mail Merge'!$M1752),'Mail Merge'!$Q1752),0)</f>
        <v>0</v>
      </c>
      <c r="V1752" s="199" t="str">
        <f>IF(OR(IFERROR(SEARCH("Met",'Mail Merge'!$N1752),0)&gt;0,IFERROR(SEARCH("Met",'Mail Merge'!$I1752),0)&gt;0),"Met","Not Met")</f>
        <v>Met</v>
      </c>
    </row>
    <row r="1753" spans="1:22" x14ac:dyDescent="0.35">
      <c r="A1753" s="200" t="s">
        <v>198</v>
      </c>
      <c r="B1753" s="201">
        <v>2144</v>
      </c>
      <c r="C1753" s="201" t="s">
        <v>243</v>
      </c>
      <c r="D1753" s="201">
        <v>21</v>
      </c>
      <c r="E1753" s="201">
        <v>201019.21</v>
      </c>
      <c r="F1753" s="201">
        <v>30779.45</v>
      </c>
      <c r="G1753" s="201">
        <f>'Mail Merge'!$E1753+'Mail Merge'!$F1753</f>
        <v>231798.66</v>
      </c>
      <c r="H1753" s="201">
        <v>0</v>
      </c>
      <c r="I1753" s="201" t="s">
        <v>242</v>
      </c>
      <c r="J1753" s="204">
        <f>IFERROR('Mail Merge'!$E1753/'Mail Merge'!$D1753,0)</f>
        <v>9572.3433333333323</v>
      </c>
      <c r="K1753" s="201">
        <f>IFERROR('Mail Merge'!$F1753/'Mail Merge'!$D1753,0)</f>
        <v>1465.6880952380952</v>
      </c>
      <c r="L1753" s="205">
        <f>IFERROR('Mail Merge'!$G1753/'Mail Merge'!$D1753,0)</f>
        <v>11038.031428571428</v>
      </c>
      <c r="M1753" s="201">
        <v>0</v>
      </c>
      <c r="N1753" s="201" t="s">
        <v>242</v>
      </c>
      <c r="O1753" s="201">
        <v>35281.97</v>
      </c>
      <c r="P1753" s="201">
        <v>0</v>
      </c>
      <c r="Q1753" s="201">
        <f>'Mail Merge'!$O1753+'Mail Merge'!$P1753</f>
        <v>35281.97</v>
      </c>
      <c r="R1753" s="201"/>
      <c r="S1753" s="201">
        <v>190677.12</v>
      </c>
      <c r="T1753" s="201">
        <v>7627.09</v>
      </c>
      <c r="U1753" s="201">
        <f>IF(AND('Mail Merge'!$I1753="Did Not Meet",'Mail Merge'!$N1753="Did Not Meet"),MIN(ABS('Mail Merge'!$H1753),ABS('Mail Merge'!$M1753),'Mail Merge'!$Q1753),0)</f>
        <v>0</v>
      </c>
      <c r="V1753" s="201" t="str">
        <f>IF(OR(IFERROR(SEARCH("Met",'Mail Merge'!$N1753),0)&gt;0,IFERROR(SEARCH("Met",'Mail Merge'!$I1753),0)&gt;0),"Met","Not Met")</f>
        <v>Met</v>
      </c>
    </row>
    <row r="1754" spans="1:22" x14ac:dyDescent="0.35">
      <c r="A1754" s="198" t="s">
        <v>199</v>
      </c>
      <c r="B1754" s="199">
        <v>2209</v>
      </c>
      <c r="C1754" s="199" t="s">
        <v>243</v>
      </c>
      <c r="D1754" s="199">
        <v>58</v>
      </c>
      <c r="E1754" s="199">
        <v>364262.72</v>
      </c>
      <c r="F1754" s="199">
        <v>98617.08</v>
      </c>
      <c r="G1754" s="199">
        <f>'Mail Merge'!$E1754+'Mail Merge'!$F1754</f>
        <v>462879.8</v>
      </c>
      <c r="H1754" s="199">
        <v>0</v>
      </c>
      <c r="I1754" s="199" t="s">
        <v>242</v>
      </c>
      <c r="J1754" s="202">
        <f>IFERROR('Mail Merge'!$E1754/'Mail Merge'!$D1754,0)</f>
        <v>6280.3917241379304</v>
      </c>
      <c r="K1754" s="199">
        <f>IFERROR('Mail Merge'!$F1754/'Mail Merge'!$D1754,0)</f>
        <v>1700.2944827586207</v>
      </c>
      <c r="L1754" s="203">
        <f>IFERROR('Mail Merge'!$G1754/'Mail Merge'!$D1754,0)</f>
        <v>7980.6862068965511</v>
      </c>
      <c r="M1754" s="199">
        <v>52232.075384615397</v>
      </c>
      <c r="N1754" s="199" t="s">
        <v>240</v>
      </c>
      <c r="O1754" s="199">
        <v>80019.320000000007</v>
      </c>
      <c r="P1754" s="199">
        <v>1884.07</v>
      </c>
      <c r="Q1754" s="199">
        <f>'Mail Merge'!$O1754+'Mail Merge'!$P1754</f>
        <v>81903.390000000014</v>
      </c>
      <c r="R1754" s="199"/>
      <c r="S1754" s="199">
        <v>29414.05</v>
      </c>
      <c r="T1754" s="199">
        <v>565.65</v>
      </c>
      <c r="U1754" s="199">
        <f>IF(AND('Mail Merge'!$I1754="Did Not Meet",'Mail Merge'!$N1754="Did Not Meet"),MIN(ABS('Mail Merge'!$H1754),ABS('Mail Merge'!$M1754),'Mail Merge'!$Q1754),0)</f>
        <v>0</v>
      </c>
      <c r="V1754" s="199" t="str">
        <f>IF(OR(IFERROR(SEARCH("Met",'Mail Merge'!$N1754),0)&gt;0,IFERROR(SEARCH("Met",'Mail Merge'!$I1754),0)&gt;0),"Met","Not Met")</f>
        <v>Met</v>
      </c>
    </row>
    <row r="1755" spans="1:22" x14ac:dyDescent="0.35">
      <c r="A1755" s="200" t="s">
        <v>200</v>
      </c>
      <c r="B1755" s="201">
        <v>2018</v>
      </c>
      <c r="C1755" s="201" t="s">
        <v>243</v>
      </c>
      <c r="D1755" s="201">
        <v>0</v>
      </c>
      <c r="E1755" s="201">
        <v>10200</v>
      </c>
      <c r="F1755" s="201">
        <v>4233</v>
      </c>
      <c r="G1755" s="201">
        <f>'Mail Merge'!$E1755+'Mail Merge'!$F1755</f>
        <v>14433</v>
      </c>
      <c r="H1755" s="201">
        <v>0</v>
      </c>
      <c r="I1755" s="201" t="s">
        <v>242</v>
      </c>
      <c r="J1755" s="204">
        <f>IFERROR('Mail Merge'!$E1755/'Mail Merge'!$D1755,0)</f>
        <v>0</v>
      </c>
      <c r="K1755" s="201">
        <f>IFERROR('Mail Merge'!$F1755/'Mail Merge'!$D1755,0)</f>
        <v>0</v>
      </c>
      <c r="L1755" s="205">
        <f>IFERROR('Mail Merge'!$G1755/'Mail Merge'!$D1755,0)</f>
        <v>0</v>
      </c>
      <c r="M1755" s="201">
        <v>0</v>
      </c>
      <c r="N1755" s="201" t="s">
        <v>242</v>
      </c>
      <c r="O1755" s="201">
        <v>0</v>
      </c>
      <c r="P1755" s="201">
        <v>0</v>
      </c>
      <c r="Q1755" s="201">
        <f>'Mail Merge'!$O1755+'Mail Merge'!$P1755</f>
        <v>0</v>
      </c>
      <c r="R1755" s="201"/>
      <c r="S1755" s="201">
        <v>29932.75</v>
      </c>
      <c r="T1755" s="201">
        <v>29932.75</v>
      </c>
      <c r="U1755" s="201">
        <f>IF(AND('Mail Merge'!$I1755="Did Not Meet",'Mail Merge'!$N1755="Did Not Meet"),MIN(ABS('Mail Merge'!$H1755),ABS('Mail Merge'!$M1755),'Mail Merge'!$Q1755),0)</f>
        <v>0</v>
      </c>
      <c r="V1755" s="201" t="str">
        <f>IF(OR(IFERROR(SEARCH("Met",'Mail Merge'!$N1755),0)&gt;0,IFERROR(SEARCH("Met",'Mail Merge'!$I1755),0)&gt;0),"Met","Not Met")</f>
        <v>Met</v>
      </c>
    </row>
    <row r="1756" spans="1:22" x14ac:dyDescent="0.35">
      <c r="A1756" s="198" t="s">
        <v>201</v>
      </c>
      <c r="B1756" s="199">
        <v>2003</v>
      </c>
      <c r="C1756" s="199" t="s">
        <v>243</v>
      </c>
      <c r="D1756" s="199">
        <v>178</v>
      </c>
      <c r="E1756" s="199">
        <v>1266363</v>
      </c>
      <c r="F1756" s="199">
        <v>323391.35999999999</v>
      </c>
      <c r="G1756" s="199">
        <f>'Mail Merge'!$E1756+'Mail Merge'!$F1756</f>
        <v>1589754.3599999999</v>
      </c>
      <c r="H1756" s="199">
        <v>0</v>
      </c>
      <c r="I1756" s="199" t="s">
        <v>241</v>
      </c>
      <c r="J1756" s="202">
        <f>IFERROR('Mail Merge'!$E1756/'Mail Merge'!$D1756,0)</f>
        <v>7114.3988764044943</v>
      </c>
      <c r="K1756" s="199">
        <f>IFERROR('Mail Merge'!$F1756/'Mail Merge'!$D1756,0)</f>
        <v>1816.8053932584269</v>
      </c>
      <c r="L1756" s="203">
        <f>IFERROR('Mail Merge'!$G1756/'Mail Merge'!$D1756,0)</f>
        <v>8931.2042696629214</v>
      </c>
      <c r="M1756" s="199">
        <v>153041.53737499984</v>
      </c>
      <c r="N1756" s="199" t="s">
        <v>240</v>
      </c>
      <c r="O1756" s="199">
        <v>194266.32</v>
      </c>
      <c r="P1756" s="199">
        <v>1406.77</v>
      </c>
      <c r="Q1756" s="199">
        <f>'Mail Merge'!$O1756+'Mail Merge'!$P1756</f>
        <v>195673.09</v>
      </c>
      <c r="R1756" s="199"/>
      <c r="S1756" s="199"/>
      <c r="T1756" s="199">
        <v>0</v>
      </c>
      <c r="U1756" s="199">
        <f>IF(AND('Mail Merge'!$I1756="Did Not Meet",'Mail Merge'!$N1756="Did Not Meet"),MIN(ABS('Mail Merge'!$H1756),ABS('Mail Merge'!$M1756),'Mail Merge'!$Q1756),0)</f>
        <v>0</v>
      </c>
      <c r="V1756" s="199" t="str">
        <f>IF(OR(IFERROR(SEARCH("Met",'Mail Merge'!$N1756),0)&gt;0,IFERROR(SEARCH("Met",'Mail Merge'!$I1756),0)&gt;0),"Met","Not Met")</f>
        <v>Met</v>
      </c>
    </row>
    <row r="1757" spans="1:22" x14ac:dyDescent="0.35">
      <c r="A1757" s="200" t="s">
        <v>202</v>
      </c>
      <c r="B1757" s="201">
        <v>2102</v>
      </c>
      <c r="C1757" s="201" t="s">
        <v>243</v>
      </c>
      <c r="D1757" s="201">
        <v>459</v>
      </c>
      <c r="E1757" s="201">
        <v>3002518.19</v>
      </c>
      <c r="F1757" s="201">
        <v>475236</v>
      </c>
      <c r="G1757" s="201">
        <f>'Mail Merge'!$E1757+'Mail Merge'!$F1757</f>
        <v>3477754.19</v>
      </c>
      <c r="H1757" s="201">
        <v>0</v>
      </c>
      <c r="I1757" s="201" t="s">
        <v>241</v>
      </c>
      <c r="J1757" s="204">
        <f>IFERROR('Mail Merge'!$E1757/'Mail Merge'!$D1757,0)</f>
        <v>6541.4339651416121</v>
      </c>
      <c r="K1757" s="201">
        <f>IFERROR('Mail Merge'!$F1757/'Mail Merge'!$D1757,0)</f>
        <v>1035.3725490196077</v>
      </c>
      <c r="L1757" s="205">
        <f>IFERROR('Mail Merge'!$G1757/'Mail Merge'!$D1757,0)</f>
        <v>7576.8065141612196</v>
      </c>
      <c r="M1757" s="201">
        <v>0</v>
      </c>
      <c r="N1757" s="201" t="s">
        <v>241</v>
      </c>
      <c r="O1757" s="201">
        <v>441933.62</v>
      </c>
      <c r="P1757" s="201">
        <v>3747.77</v>
      </c>
      <c r="Q1757" s="201">
        <f>'Mail Merge'!$O1757+'Mail Merge'!$P1757</f>
        <v>445681.39</v>
      </c>
      <c r="R1757" s="201"/>
      <c r="S1757" s="201"/>
      <c r="T1757" s="201"/>
      <c r="U1757" s="201">
        <f>IF(AND('Mail Merge'!$I1757="Did Not Meet",'Mail Merge'!$N1757="Did Not Meet"),MIN(ABS('Mail Merge'!$H1757),ABS('Mail Merge'!$M1757),'Mail Merge'!$Q1757),0)</f>
        <v>0</v>
      </c>
      <c r="V1757" s="201" t="str">
        <f>IF(OR(IFERROR(SEARCH("Met",'Mail Merge'!$N1757),0)&gt;0,IFERROR(SEARCH("Met",'Mail Merge'!$I1757),0)&gt;0),"Met","Not Met")</f>
        <v>Met</v>
      </c>
    </row>
    <row r="1758" spans="1:22" x14ac:dyDescent="0.35">
      <c r="A1758" s="198" t="s">
        <v>203</v>
      </c>
      <c r="B1758" s="199">
        <v>2055</v>
      </c>
      <c r="C1758" s="199" t="s">
        <v>243</v>
      </c>
      <c r="D1758" s="199">
        <v>560</v>
      </c>
      <c r="E1758" s="199">
        <v>8307034.2999999998</v>
      </c>
      <c r="F1758" s="199">
        <v>302160.81</v>
      </c>
      <c r="G1758" s="199">
        <f>'Mail Merge'!$E1758+'Mail Merge'!$F1758</f>
        <v>8609195.1099999994</v>
      </c>
      <c r="H1758" s="199">
        <v>0</v>
      </c>
      <c r="I1758" s="199" t="s">
        <v>241</v>
      </c>
      <c r="J1758" s="202">
        <f>IFERROR('Mail Merge'!$E1758/'Mail Merge'!$D1758,0)</f>
        <v>14833.989821428571</v>
      </c>
      <c r="K1758" s="199">
        <f>IFERROR('Mail Merge'!$F1758/'Mail Merge'!$D1758,0)</f>
        <v>539.57287499999995</v>
      </c>
      <c r="L1758" s="203">
        <f>IFERROR('Mail Merge'!$G1758/'Mail Merge'!$D1758,0)</f>
        <v>15373.562696428571</v>
      </c>
      <c r="M1758" s="199">
        <v>0</v>
      </c>
      <c r="N1758" s="199" t="s">
        <v>241</v>
      </c>
      <c r="O1758" s="199">
        <v>879340.52</v>
      </c>
      <c r="P1758" s="199">
        <v>11127.63</v>
      </c>
      <c r="Q1758" s="199">
        <f>'Mail Merge'!$O1758+'Mail Merge'!$P1758</f>
        <v>890468.15</v>
      </c>
      <c r="R1758" s="199"/>
      <c r="S1758" s="199"/>
      <c r="T1758" s="199"/>
      <c r="U1758" s="199">
        <f>IF(AND('Mail Merge'!$I1758="Did Not Meet",'Mail Merge'!$N1758="Did Not Meet"),MIN(ABS('Mail Merge'!$H1758),ABS('Mail Merge'!$M1758),'Mail Merge'!$Q1758),0)</f>
        <v>0</v>
      </c>
      <c r="V1758" s="199" t="str">
        <f>IF(OR(IFERROR(SEARCH("Met",'Mail Merge'!$N1758),0)&gt;0,IFERROR(SEARCH("Met",'Mail Merge'!$I1758),0)&gt;0),"Met","Not Met")</f>
        <v>Met</v>
      </c>
    </row>
    <row r="1759" spans="1:22" x14ac:dyDescent="0.35">
      <c r="A1759" s="200" t="s">
        <v>204</v>
      </c>
      <c r="B1759" s="201">
        <v>2242</v>
      </c>
      <c r="C1759" s="201" t="s">
        <v>243</v>
      </c>
      <c r="D1759" s="201">
        <v>1300</v>
      </c>
      <c r="E1759" s="201">
        <v>12990952.1</v>
      </c>
      <c r="F1759" s="201">
        <v>2365837</v>
      </c>
      <c r="G1759" s="201">
        <f>'Mail Merge'!$E1759+'Mail Merge'!$F1759</f>
        <v>15356789.1</v>
      </c>
      <c r="H1759" s="201">
        <v>0</v>
      </c>
      <c r="I1759" s="201" t="s">
        <v>241</v>
      </c>
      <c r="J1759" s="204">
        <f>IFERROR('Mail Merge'!$E1759/'Mail Merge'!$D1759,0)</f>
        <v>9993.0400769230764</v>
      </c>
      <c r="K1759" s="201">
        <f>IFERROR('Mail Merge'!$F1759/'Mail Merge'!$D1759,0)</f>
        <v>1819.8746153846155</v>
      </c>
      <c r="L1759" s="205">
        <f>IFERROR('Mail Merge'!$G1759/'Mail Merge'!$D1759,0)</f>
        <v>11812.914692307691</v>
      </c>
      <c r="M1759" s="201">
        <v>0</v>
      </c>
      <c r="N1759" s="201" t="s">
        <v>241</v>
      </c>
      <c r="O1759" s="201">
        <v>1955825.68</v>
      </c>
      <c r="P1759" s="201">
        <v>10237.950000000001</v>
      </c>
      <c r="Q1759" s="201">
        <f>'Mail Merge'!$O1759+'Mail Merge'!$P1759</f>
        <v>1966063.63</v>
      </c>
      <c r="R1759" s="201"/>
      <c r="S1759" s="201"/>
      <c r="T1759" s="201"/>
      <c r="U1759" s="201">
        <f>IF(AND('Mail Merge'!$I1759="Did Not Meet",'Mail Merge'!$N1759="Did Not Meet"),MIN(ABS('Mail Merge'!$H1759),ABS('Mail Merge'!$M1759),'Mail Merge'!$Q1759),0)</f>
        <v>0</v>
      </c>
      <c r="V1759" s="201" t="str">
        <f>IF(OR(IFERROR(SEARCH("Met",'Mail Merge'!$N1759),0)&gt;0,IFERROR(SEARCH("Met",'Mail Merge'!$I1759),0)&gt;0),"Met","Not Met")</f>
        <v>Met</v>
      </c>
    </row>
    <row r="1760" spans="1:22" x14ac:dyDescent="0.35">
      <c r="A1760" s="198" t="s">
        <v>205</v>
      </c>
      <c r="B1760" s="199">
        <v>2197</v>
      </c>
      <c r="C1760" s="199" t="s">
        <v>243</v>
      </c>
      <c r="D1760" s="199">
        <v>290</v>
      </c>
      <c r="E1760" s="199">
        <v>3515637.22</v>
      </c>
      <c r="F1760" s="199">
        <v>387428</v>
      </c>
      <c r="G1760" s="199">
        <f>'Mail Merge'!$E1760+'Mail Merge'!$F1760</f>
        <v>3903065.22</v>
      </c>
      <c r="H1760" s="199">
        <v>0</v>
      </c>
      <c r="I1760" s="199" t="s">
        <v>241</v>
      </c>
      <c r="J1760" s="202">
        <f>IFERROR('Mail Merge'!$E1760/'Mail Merge'!$D1760,0)</f>
        <v>12122.886965517242</v>
      </c>
      <c r="K1760" s="199">
        <f>IFERROR('Mail Merge'!$F1760/'Mail Merge'!$D1760,0)</f>
        <v>1335.9586206896552</v>
      </c>
      <c r="L1760" s="203">
        <f>IFERROR('Mail Merge'!$G1760/'Mail Merge'!$D1760,0)</f>
        <v>13458.845586206897</v>
      </c>
      <c r="M1760" s="199">
        <v>0</v>
      </c>
      <c r="N1760" s="199" t="s">
        <v>241</v>
      </c>
      <c r="O1760" s="199">
        <v>389741.87</v>
      </c>
      <c r="P1760" s="199">
        <v>3684.4</v>
      </c>
      <c r="Q1760" s="199">
        <f>'Mail Merge'!$O1760+'Mail Merge'!$P1760</f>
        <v>393426.27</v>
      </c>
      <c r="R1760" s="199"/>
      <c r="S1760" s="199"/>
      <c r="T1760" s="199"/>
      <c r="U1760" s="199">
        <f>IF(AND('Mail Merge'!$I1760="Did Not Meet",'Mail Merge'!$N1760="Did Not Meet"),MIN(ABS('Mail Merge'!$H1760),ABS('Mail Merge'!$M1760),'Mail Merge'!$Q1760),0)</f>
        <v>0</v>
      </c>
      <c r="V1760" s="199" t="str">
        <f>IF(OR(IFERROR(SEARCH("Met",'Mail Merge'!$N1760),0)&gt;0,IFERROR(SEARCH("Met",'Mail Merge'!$I1760),0)&gt;0),"Met","Not Met")</f>
        <v>Met</v>
      </c>
    </row>
    <row r="1761" spans="1:22" x14ac:dyDescent="0.35">
      <c r="A1761" s="200" t="s">
        <v>206</v>
      </c>
      <c r="B1761" s="201">
        <v>2222</v>
      </c>
      <c r="C1761" s="201" t="s">
        <v>243</v>
      </c>
      <c r="D1761" s="201">
        <v>0</v>
      </c>
      <c r="E1761" s="201">
        <v>0</v>
      </c>
      <c r="F1761" s="201">
        <v>3700</v>
      </c>
      <c r="G1761" s="201">
        <f>'Mail Merge'!$E1761+'Mail Merge'!$F1761</f>
        <v>3700</v>
      </c>
      <c r="H1761" s="201">
        <v>0</v>
      </c>
      <c r="I1761" s="201" t="s">
        <v>241</v>
      </c>
      <c r="J1761" s="204">
        <f>IFERROR('Mail Merge'!$E1761/'Mail Merge'!$D1761,0)</f>
        <v>0</v>
      </c>
      <c r="K1761" s="201">
        <f>IFERROR('Mail Merge'!$F1761/'Mail Merge'!$D1761,0)</f>
        <v>0</v>
      </c>
      <c r="L1761" s="205">
        <f>IFERROR('Mail Merge'!$G1761/'Mail Merge'!$D1761,0)</f>
        <v>0</v>
      </c>
      <c r="M1761" s="201">
        <v>0</v>
      </c>
      <c r="N1761" s="201" t="s">
        <v>241</v>
      </c>
      <c r="O1761" s="201">
        <v>2088.0700000000002</v>
      </c>
      <c r="P1761" s="201">
        <v>0</v>
      </c>
      <c r="Q1761" s="201">
        <f>'Mail Merge'!$O1761+'Mail Merge'!$P1761</f>
        <v>2088.0700000000002</v>
      </c>
      <c r="R1761" s="201"/>
      <c r="S1761" s="201"/>
      <c r="T1761" s="201"/>
      <c r="U1761" s="201">
        <f>IF(AND('Mail Merge'!$I1761="Did Not Meet",'Mail Merge'!$N1761="Did Not Meet"),MIN(ABS('Mail Merge'!$H1761),ABS('Mail Merge'!$M1761),'Mail Merge'!$Q1761),0)</f>
        <v>0</v>
      </c>
      <c r="V1761" s="201" t="str">
        <f>IF(OR(IFERROR(SEARCH("Met",'Mail Merge'!$N1761),0)&gt;0,IFERROR(SEARCH("Met",'Mail Merge'!$I1761),0)&gt;0),"Met","Not Met")</f>
        <v>Met</v>
      </c>
    </row>
    <row r="1762" spans="1:22" x14ac:dyDescent="0.35">
      <c r="A1762" s="198" t="s">
        <v>207</v>
      </c>
      <c r="B1762" s="199">
        <v>2210</v>
      </c>
      <c r="C1762" s="199" t="s">
        <v>243</v>
      </c>
      <c r="D1762" s="199">
        <v>4</v>
      </c>
      <c r="E1762" s="199">
        <v>4976.1499999999996</v>
      </c>
      <c r="F1762" s="199">
        <v>6795.9</v>
      </c>
      <c r="G1762" s="199">
        <f>'Mail Merge'!$E1762+'Mail Merge'!$F1762</f>
        <v>11772.05</v>
      </c>
      <c r="H1762" s="199">
        <v>0</v>
      </c>
      <c r="I1762" s="199" t="s">
        <v>241</v>
      </c>
      <c r="J1762" s="202">
        <f>IFERROR('Mail Merge'!$E1762/'Mail Merge'!$D1762,0)</f>
        <v>1244.0374999999999</v>
      </c>
      <c r="K1762" s="199">
        <f>IFERROR('Mail Merge'!$F1762/'Mail Merge'!$D1762,0)</f>
        <v>1698.9749999999999</v>
      </c>
      <c r="L1762" s="203">
        <f>IFERROR('Mail Merge'!$G1762/'Mail Merge'!$D1762,0)</f>
        <v>2943.0124999999998</v>
      </c>
      <c r="M1762" s="199">
        <v>4247.2900000000009</v>
      </c>
      <c r="N1762" s="199" t="s">
        <v>240</v>
      </c>
      <c r="O1762" s="199">
        <v>6819.64</v>
      </c>
      <c r="P1762" s="199">
        <v>0</v>
      </c>
      <c r="Q1762" s="199">
        <f>'Mail Merge'!$O1762+'Mail Merge'!$P1762</f>
        <v>6819.64</v>
      </c>
      <c r="R1762" s="199"/>
      <c r="S1762" s="199"/>
      <c r="T1762" s="199">
        <v>0</v>
      </c>
      <c r="U1762" s="199">
        <f>IF(AND('Mail Merge'!$I1762="Did Not Meet",'Mail Merge'!$N1762="Did Not Meet"),MIN(ABS('Mail Merge'!$H1762),ABS('Mail Merge'!$M1762),'Mail Merge'!$Q1762),0)</f>
        <v>0</v>
      </c>
      <c r="V1762" s="199" t="str">
        <f>IF(OR(IFERROR(SEARCH("Met",'Mail Merge'!$N1762),0)&gt;0,IFERROR(SEARCH("Met",'Mail Merge'!$I1762),0)&gt;0),"Met","Not Met")</f>
        <v>Met</v>
      </c>
    </row>
    <row r="1763" spans="1:22" x14ac:dyDescent="0.35">
      <c r="A1763" s="200" t="s">
        <v>208</v>
      </c>
      <c r="B1763" s="201">
        <v>2204</v>
      </c>
      <c r="C1763" s="201" t="s">
        <v>243</v>
      </c>
      <c r="D1763" s="201">
        <v>131</v>
      </c>
      <c r="E1763" s="201">
        <v>1415929.25</v>
      </c>
      <c r="F1763" s="201">
        <v>231332.26</v>
      </c>
      <c r="G1763" s="201">
        <f>'Mail Merge'!$E1763+'Mail Merge'!$F1763</f>
        <v>1647261.51</v>
      </c>
      <c r="H1763" s="201">
        <v>0</v>
      </c>
      <c r="I1763" s="201" t="s">
        <v>241</v>
      </c>
      <c r="J1763" s="204">
        <f>IFERROR('Mail Merge'!$E1763/'Mail Merge'!$D1763,0)</f>
        <v>10808.620229007634</v>
      </c>
      <c r="K1763" s="201">
        <f>IFERROR('Mail Merge'!$F1763/'Mail Merge'!$D1763,0)</f>
        <v>1765.8951145038168</v>
      </c>
      <c r="L1763" s="205">
        <f>IFERROR('Mail Merge'!$G1763/'Mail Merge'!$D1763,0)</f>
        <v>12574.51534351145</v>
      </c>
      <c r="M1763" s="201">
        <v>0</v>
      </c>
      <c r="N1763" s="201" t="s">
        <v>241</v>
      </c>
      <c r="O1763" s="201">
        <v>191914.34</v>
      </c>
      <c r="P1763" s="201">
        <v>1674.73</v>
      </c>
      <c r="Q1763" s="201">
        <f>'Mail Merge'!$O1763+'Mail Merge'!$P1763</f>
        <v>193589.07</v>
      </c>
      <c r="R1763" s="201"/>
      <c r="S1763" s="201"/>
      <c r="T1763" s="201"/>
      <c r="U1763" s="201">
        <f>IF(AND('Mail Merge'!$I1763="Did Not Meet",'Mail Merge'!$N1763="Did Not Meet"),MIN(ABS('Mail Merge'!$H1763),ABS('Mail Merge'!$M1763),'Mail Merge'!$Q1763),0)</f>
        <v>0</v>
      </c>
      <c r="V1763" s="201" t="str">
        <f>IF(OR(IFERROR(SEARCH("Met",'Mail Merge'!$N1763),0)&gt;0,IFERROR(SEARCH("Met",'Mail Merge'!$I1763),0)&gt;0),"Met","Not Met")</f>
        <v>Met</v>
      </c>
    </row>
    <row r="1764" spans="1:22" x14ac:dyDescent="0.35">
      <c r="A1764" s="198" t="s">
        <v>209</v>
      </c>
      <c r="B1764" s="199">
        <v>2213</v>
      </c>
      <c r="C1764" s="199" t="s">
        <v>243</v>
      </c>
      <c r="D1764" s="199">
        <v>39</v>
      </c>
      <c r="E1764" s="199">
        <v>400788.36</v>
      </c>
      <c r="F1764" s="199">
        <v>66248.44</v>
      </c>
      <c r="G1764" s="199">
        <f>'Mail Merge'!$E1764+'Mail Merge'!$F1764</f>
        <v>467036.8</v>
      </c>
      <c r="H1764" s="199">
        <v>0</v>
      </c>
      <c r="I1764" s="199" t="s">
        <v>241</v>
      </c>
      <c r="J1764" s="202">
        <f>IFERROR('Mail Merge'!$E1764/'Mail Merge'!$D1764,0)</f>
        <v>10276.624615384615</v>
      </c>
      <c r="K1764" s="199">
        <f>IFERROR('Mail Merge'!$F1764/'Mail Merge'!$D1764,0)</f>
        <v>1698.6779487179488</v>
      </c>
      <c r="L1764" s="203">
        <f>IFERROR('Mail Merge'!$G1764/'Mail Merge'!$D1764,0)</f>
        <v>11975.302564102563</v>
      </c>
      <c r="M1764" s="199">
        <v>5184.2521052648153</v>
      </c>
      <c r="N1764" s="199" t="s">
        <v>240</v>
      </c>
      <c r="O1764" s="199">
        <v>59404.43</v>
      </c>
      <c r="P1764" s="199">
        <v>0</v>
      </c>
      <c r="Q1764" s="199">
        <f>'Mail Merge'!$O1764+'Mail Merge'!$P1764</f>
        <v>59404.43</v>
      </c>
      <c r="R1764" s="199"/>
      <c r="S1764" s="199"/>
      <c r="T1764" s="199">
        <v>0</v>
      </c>
      <c r="U1764" s="199">
        <f>IF(AND('Mail Merge'!$I1764="Did Not Meet",'Mail Merge'!$N1764="Did Not Meet"),MIN(ABS('Mail Merge'!$H1764),ABS('Mail Merge'!$M1764),'Mail Merge'!$Q1764),0)</f>
        <v>0</v>
      </c>
      <c r="V1764" s="199" t="str">
        <f>IF(OR(IFERROR(SEARCH("Met",'Mail Merge'!$N1764),0)&gt;0,IFERROR(SEARCH("Met",'Mail Merge'!$I1764),0)&gt;0),"Met","Not Met")</f>
        <v>Met</v>
      </c>
    </row>
    <row r="1765" spans="1:22" x14ac:dyDescent="0.35">
      <c r="A1765" s="200" t="s">
        <v>210</v>
      </c>
      <c r="B1765" s="201">
        <v>2116</v>
      </c>
      <c r="C1765" s="201" t="s">
        <v>243</v>
      </c>
      <c r="D1765" s="201">
        <v>104</v>
      </c>
      <c r="E1765" s="201">
        <v>823023.94</v>
      </c>
      <c r="F1765" s="201">
        <v>323760.05</v>
      </c>
      <c r="G1765" s="201">
        <f>'Mail Merge'!$E1765+'Mail Merge'!$F1765</f>
        <v>1146783.99</v>
      </c>
      <c r="H1765" s="201">
        <v>0</v>
      </c>
      <c r="I1765" s="201" t="s">
        <v>241</v>
      </c>
      <c r="J1765" s="204">
        <f>IFERROR('Mail Merge'!$E1765/'Mail Merge'!$D1765,0)</f>
        <v>7913.6917307692302</v>
      </c>
      <c r="K1765" s="201">
        <f>IFERROR('Mail Merge'!$F1765/'Mail Merge'!$D1765,0)</f>
        <v>3113.0774038461536</v>
      </c>
      <c r="L1765" s="205">
        <f>IFERROR('Mail Merge'!$G1765/'Mail Merge'!$D1765,0)</f>
        <v>11026.769134615384</v>
      </c>
      <c r="M1765" s="201">
        <v>0</v>
      </c>
      <c r="N1765" s="201" t="s">
        <v>241</v>
      </c>
      <c r="O1765" s="201">
        <v>179396.58</v>
      </c>
      <c r="P1765" s="201">
        <v>669.89</v>
      </c>
      <c r="Q1765" s="201">
        <f>'Mail Merge'!$O1765+'Mail Merge'!$P1765</f>
        <v>180066.47</v>
      </c>
      <c r="R1765" s="201"/>
      <c r="S1765" s="201"/>
      <c r="T1765" s="201"/>
      <c r="U1765" s="201">
        <f>IF(AND('Mail Merge'!$I1765="Did Not Meet",'Mail Merge'!$N1765="Did Not Meet"),MIN(ABS('Mail Merge'!$H1765),ABS('Mail Merge'!$M1765),'Mail Merge'!$Q1765),0)</f>
        <v>0</v>
      </c>
      <c r="V1765" s="201" t="str">
        <f>IF(OR(IFERROR(SEARCH("Met",'Mail Merge'!$N1765),0)&gt;0,IFERROR(SEARCH("Met",'Mail Merge'!$I1765),0)&gt;0),"Met","Not Met")</f>
        <v>Met</v>
      </c>
    </row>
    <row r="1766" spans="1:22" x14ac:dyDescent="0.35">
      <c r="A1766" s="198" t="s">
        <v>211</v>
      </c>
      <c r="B1766" s="199">
        <v>1947</v>
      </c>
      <c r="C1766" s="199" t="s">
        <v>243</v>
      </c>
      <c r="D1766" s="199">
        <v>101</v>
      </c>
      <c r="E1766" s="199">
        <v>1217145.31</v>
      </c>
      <c r="F1766" s="199">
        <v>91880</v>
      </c>
      <c r="G1766" s="199">
        <f>'Mail Merge'!$E1766+'Mail Merge'!$F1766</f>
        <v>1309025.31</v>
      </c>
      <c r="H1766" s="199">
        <v>0</v>
      </c>
      <c r="I1766" s="199" t="s">
        <v>241</v>
      </c>
      <c r="J1766" s="202">
        <f>IFERROR('Mail Merge'!$E1766/'Mail Merge'!$D1766,0)</f>
        <v>12050.943663366337</v>
      </c>
      <c r="K1766" s="199">
        <f>IFERROR('Mail Merge'!$F1766/'Mail Merge'!$D1766,0)</f>
        <v>909.70297029702965</v>
      </c>
      <c r="L1766" s="203">
        <f>IFERROR('Mail Merge'!$G1766/'Mail Merge'!$D1766,0)</f>
        <v>12960.646633663368</v>
      </c>
      <c r="M1766" s="199">
        <v>227312.39627907457</v>
      </c>
      <c r="N1766" s="199" t="s">
        <v>240</v>
      </c>
      <c r="O1766" s="199">
        <v>113569.77</v>
      </c>
      <c r="P1766" s="199">
        <v>2302.75</v>
      </c>
      <c r="Q1766" s="199">
        <f>'Mail Merge'!$O1766+'Mail Merge'!$P1766</f>
        <v>115872.52</v>
      </c>
      <c r="R1766" s="199"/>
      <c r="S1766" s="199"/>
      <c r="T1766" s="199">
        <v>0</v>
      </c>
      <c r="U1766" s="199">
        <f>IF(AND('Mail Merge'!$I1766="Did Not Meet",'Mail Merge'!$N1766="Did Not Meet"),MIN(ABS('Mail Merge'!$H1766),ABS('Mail Merge'!$M1766),'Mail Merge'!$Q1766),0)</f>
        <v>0</v>
      </c>
      <c r="V1766" s="199" t="str">
        <f>IF(OR(IFERROR(SEARCH("Met",'Mail Merge'!$N1766),0)&gt;0,IFERROR(SEARCH("Met",'Mail Merge'!$I1766),0)&gt;0),"Met","Not Met")</f>
        <v>Met</v>
      </c>
    </row>
    <row r="1767" spans="1:22" x14ac:dyDescent="0.35">
      <c r="A1767" s="200" t="s">
        <v>212</v>
      </c>
      <c r="B1767" s="201">
        <v>2220</v>
      </c>
      <c r="C1767" s="201" t="s">
        <v>243</v>
      </c>
      <c r="D1767" s="201">
        <v>29</v>
      </c>
      <c r="E1767" s="201">
        <v>61107.31</v>
      </c>
      <c r="F1767" s="201">
        <v>156194.09</v>
      </c>
      <c r="G1767" s="201">
        <f>'Mail Merge'!$E1767+'Mail Merge'!$F1767</f>
        <v>217301.4</v>
      </c>
      <c r="H1767" s="201">
        <v>0</v>
      </c>
      <c r="I1767" s="201" t="s">
        <v>241</v>
      </c>
      <c r="J1767" s="204">
        <f>IFERROR('Mail Merge'!$E1767/'Mail Merge'!$D1767,0)</f>
        <v>2107.1486206896552</v>
      </c>
      <c r="K1767" s="201">
        <f>IFERROR('Mail Merge'!$F1767/'Mail Merge'!$D1767,0)</f>
        <v>5386.0031034482754</v>
      </c>
      <c r="L1767" s="205">
        <f>IFERROR('Mail Merge'!$G1767/'Mail Merge'!$D1767,0)</f>
        <v>7493.1517241379306</v>
      </c>
      <c r="M1767" s="201">
        <v>0</v>
      </c>
      <c r="N1767" s="201" t="s">
        <v>241</v>
      </c>
      <c r="O1767" s="201">
        <v>50531</v>
      </c>
      <c r="P1767" s="201">
        <v>401.93</v>
      </c>
      <c r="Q1767" s="201">
        <f>'Mail Merge'!$O1767+'Mail Merge'!$P1767</f>
        <v>50932.93</v>
      </c>
      <c r="R1767" s="201"/>
      <c r="S1767" s="201"/>
      <c r="T1767" s="201"/>
      <c r="U1767" s="201">
        <f>IF(AND('Mail Merge'!$I1767="Did Not Meet",'Mail Merge'!$N1767="Did Not Meet"),MIN(ABS('Mail Merge'!$H1767),ABS('Mail Merge'!$M1767),'Mail Merge'!$Q1767),0)</f>
        <v>0</v>
      </c>
      <c r="V1767" s="201" t="str">
        <f>IF(OR(IFERROR(SEARCH("Met",'Mail Merge'!$N1767),0)&gt;0,IFERROR(SEARCH("Met",'Mail Merge'!$I1767),0)&gt;0),"Met","Not Met")</f>
        <v>Met</v>
      </c>
    </row>
    <row r="1768" spans="1:22" x14ac:dyDescent="0.35">
      <c r="A1768" s="198" t="s">
        <v>213</v>
      </c>
      <c r="B1768" s="199">
        <v>1936</v>
      </c>
      <c r="C1768" s="199" t="s">
        <v>243</v>
      </c>
      <c r="D1768" s="199">
        <v>136</v>
      </c>
      <c r="E1768" s="199">
        <v>1509699.66</v>
      </c>
      <c r="F1768" s="199">
        <v>283212</v>
      </c>
      <c r="G1768" s="199">
        <f>'Mail Merge'!$E1768+'Mail Merge'!$F1768</f>
        <v>1792911.66</v>
      </c>
      <c r="H1768" s="199">
        <v>0</v>
      </c>
      <c r="I1768" s="199" t="s">
        <v>242</v>
      </c>
      <c r="J1768" s="202">
        <f>IFERROR('Mail Merge'!$E1768/'Mail Merge'!$D1768,0)</f>
        <v>11100.732794117646</v>
      </c>
      <c r="K1768" s="199">
        <f>IFERROR('Mail Merge'!$F1768/'Mail Merge'!$D1768,0)</f>
        <v>2082.4411764705883</v>
      </c>
      <c r="L1768" s="203">
        <f>IFERROR('Mail Merge'!$G1768/'Mail Merge'!$D1768,0)</f>
        <v>13183.173970588236</v>
      </c>
      <c r="M1768" s="199">
        <v>0</v>
      </c>
      <c r="N1768" s="199" t="s">
        <v>241</v>
      </c>
      <c r="O1768" s="199">
        <v>161709.32999999999</v>
      </c>
      <c r="P1768" s="199">
        <v>1435.48</v>
      </c>
      <c r="Q1768" s="199">
        <f>'Mail Merge'!$O1768+'Mail Merge'!$P1768</f>
        <v>163144.81</v>
      </c>
      <c r="R1768" s="199"/>
      <c r="S1768" s="199">
        <v>199464.18</v>
      </c>
      <c r="T1768" s="199"/>
      <c r="U1768" s="199">
        <f>IF(AND('Mail Merge'!$I1768="Did Not Meet",'Mail Merge'!$N1768="Did Not Meet"),MIN(ABS('Mail Merge'!$H1768),ABS('Mail Merge'!$M1768),'Mail Merge'!$Q1768),0)</f>
        <v>0</v>
      </c>
      <c r="V1768" s="199" t="str">
        <f>IF(OR(IFERROR(SEARCH("Met",'Mail Merge'!$N1768),0)&gt;0,IFERROR(SEARCH("Met",'Mail Merge'!$I1768),0)&gt;0),"Met","Not Met")</f>
        <v>Met</v>
      </c>
    </row>
    <row r="1769" spans="1:22" x14ac:dyDescent="0.35">
      <c r="A1769" s="200" t="s">
        <v>214</v>
      </c>
      <c r="B1769" s="201">
        <v>1922</v>
      </c>
      <c r="C1769" s="201" t="s">
        <v>243</v>
      </c>
      <c r="D1769" s="201">
        <v>1101</v>
      </c>
      <c r="E1769" s="201">
        <v>12582015.57</v>
      </c>
      <c r="F1769" s="201">
        <v>89638</v>
      </c>
      <c r="G1769" s="201">
        <f>'Mail Merge'!$E1769+'Mail Merge'!$F1769</f>
        <v>12671653.57</v>
      </c>
      <c r="H1769" s="201">
        <v>0</v>
      </c>
      <c r="I1769" s="201" t="s">
        <v>241</v>
      </c>
      <c r="J1769" s="204">
        <f>IFERROR('Mail Merge'!$E1769/'Mail Merge'!$D1769,0)</f>
        <v>11427.807057220709</v>
      </c>
      <c r="K1769" s="201">
        <f>IFERROR('Mail Merge'!$F1769/'Mail Merge'!$D1769,0)</f>
        <v>81.415077202543145</v>
      </c>
      <c r="L1769" s="205">
        <f>IFERROR('Mail Merge'!$G1769/'Mail Merge'!$D1769,0)</f>
        <v>11509.222134423251</v>
      </c>
      <c r="M1769" s="201">
        <v>0</v>
      </c>
      <c r="N1769" s="201" t="s">
        <v>241</v>
      </c>
      <c r="O1769" s="201">
        <v>1306976.6399999999</v>
      </c>
      <c r="P1769" s="201">
        <v>7285.06</v>
      </c>
      <c r="Q1769" s="201">
        <f>'Mail Merge'!$O1769+'Mail Merge'!$P1769</f>
        <v>1314261.7</v>
      </c>
      <c r="R1769" s="201"/>
      <c r="S1769" s="201"/>
      <c r="T1769" s="201"/>
      <c r="U1769" s="201">
        <f>IF(AND('Mail Merge'!$I1769="Did Not Meet",'Mail Merge'!$N1769="Did Not Meet"),MIN(ABS('Mail Merge'!$H1769),ABS('Mail Merge'!$M1769),'Mail Merge'!$Q1769),0)</f>
        <v>0</v>
      </c>
      <c r="V1769" s="201" t="str">
        <f>IF(OR(IFERROR(SEARCH("Met",'Mail Merge'!$N1769),0)&gt;0,IFERROR(SEARCH("Met",'Mail Merge'!$I1769),0)&gt;0),"Met","Not Met")</f>
        <v>Met</v>
      </c>
    </row>
    <row r="1770" spans="1:22" x14ac:dyDescent="0.35">
      <c r="A1770" s="198" t="s">
        <v>215</v>
      </c>
      <c r="B1770" s="199">
        <v>2255</v>
      </c>
      <c r="C1770" s="199" t="s">
        <v>243</v>
      </c>
      <c r="D1770" s="199">
        <v>152</v>
      </c>
      <c r="E1770" s="199">
        <v>1207886.8700000001</v>
      </c>
      <c r="F1770" s="199">
        <v>28981.13</v>
      </c>
      <c r="G1770" s="199">
        <f>'Mail Merge'!$E1770+'Mail Merge'!$F1770</f>
        <v>1236868</v>
      </c>
      <c r="H1770" s="199">
        <v>0</v>
      </c>
      <c r="I1770" s="199" t="s">
        <v>241</v>
      </c>
      <c r="J1770" s="202">
        <f>IFERROR('Mail Merge'!$E1770/'Mail Merge'!$D1770,0)</f>
        <v>7946.6241447368429</v>
      </c>
      <c r="K1770" s="199">
        <f>IFERROR('Mail Merge'!$F1770/'Mail Merge'!$D1770,0)</f>
        <v>190.66532894736844</v>
      </c>
      <c r="L1770" s="203">
        <f>IFERROR('Mail Merge'!$G1770/'Mail Merge'!$D1770,0)</f>
        <v>8137.2894736842109</v>
      </c>
      <c r="M1770" s="199">
        <v>51171.225613497285</v>
      </c>
      <c r="N1770" s="199" t="s">
        <v>240</v>
      </c>
      <c r="O1770" s="199">
        <v>205826.26</v>
      </c>
      <c r="P1770" s="199">
        <v>1552.93</v>
      </c>
      <c r="Q1770" s="199">
        <f>'Mail Merge'!$O1770+'Mail Merge'!$P1770</f>
        <v>207379.19</v>
      </c>
      <c r="R1770" s="199"/>
      <c r="S1770" s="199"/>
      <c r="T1770" s="199">
        <v>633.66999999999996</v>
      </c>
      <c r="U1770" s="199">
        <f>IF(AND('Mail Merge'!$I1770="Did Not Meet",'Mail Merge'!$N1770="Did Not Meet"),MIN(ABS('Mail Merge'!$H1770),ABS('Mail Merge'!$M1770),'Mail Merge'!$Q1770),0)</f>
        <v>0</v>
      </c>
      <c r="V1770" s="199" t="str">
        <f>IF(OR(IFERROR(SEARCH("Met",'Mail Merge'!$N1770),0)&gt;0,IFERROR(SEARCH("Met",'Mail Merge'!$I1770),0)&gt;0),"Met","Not Met")</f>
        <v>Met</v>
      </c>
    </row>
    <row r="1771" spans="1:22" x14ac:dyDescent="0.35">
      <c r="A1771" s="200" t="s">
        <v>216</v>
      </c>
      <c r="B1771" s="201">
        <v>2002</v>
      </c>
      <c r="C1771" s="201" t="s">
        <v>243</v>
      </c>
      <c r="D1771" s="201">
        <v>188</v>
      </c>
      <c r="E1771" s="201">
        <v>1400007.84</v>
      </c>
      <c r="F1771" s="201">
        <v>298213.64</v>
      </c>
      <c r="G1771" s="201">
        <f>'Mail Merge'!$E1771+'Mail Merge'!$F1771</f>
        <v>1698221.48</v>
      </c>
      <c r="H1771" s="201">
        <v>0</v>
      </c>
      <c r="I1771" s="201" t="s">
        <v>241</v>
      </c>
      <c r="J1771" s="204">
        <f>IFERROR('Mail Merge'!$E1771/'Mail Merge'!$D1771,0)</f>
        <v>7446.8502127659576</v>
      </c>
      <c r="K1771" s="201">
        <f>IFERROR('Mail Merge'!$F1771/'Mail Merge'!$D1771,0)</f>
        <v>1586.2427659574469</v>
      </c>
      <c r="L1771" s="205">
        <f>IFERROR('Mail Merge'!$G1771/'Mail Merge'!$D1771,0)</f>
        <v>9033.0929787234036</v>
      </c>
      <c r="M1771" s="201">
        <v>36802.854207651195</v>
      </c>
      <c r="N1771" s="201" t="s">
        <v>240</v>
      </c>
      <c r="O1771" s="201">
        <v>259498.16</v>
      </c>
      <c r="P1771" s="201">
        <v>2877.48</v>
      </c>
      <c r="Q1771" s="201">
        <f>'Mail Merge'!$O1771+'Mail Merge'!$P1771</f>
        <v>262375.64</v>
      </c>
      <c r="R1771" s="201"/>
      <c r="S1771" s="201"/>
      <c r="T1771" s="201">
        <v>0</v>
      </c>
      <c r="U1771" s="201">
        <f>IF(AND('Mail Merge'!$I1771="Did Not Meet",'Mail Merge'!$N1771="Did Not Meet"),MIN(ABS('Mail Merge'!$H1771),ABS('Mail Merge'!$M1771),'Mail Merge'!$Q1771),0)</f>
        <v>0</v>
      </c>
      <c r="V1771" s="201" t="str">
        <f>IF(OR(IFERROR(SEARCH("Met",'Mail Merge'!$N1771),0)&gt;0,IFERROR(SEARCH("Met",'Mail Merge'!$I1771),0)&gt;0),"Met","Not Met")</f>
        <v>Met</v>
      </c>
    </row>
    <row r="1772" spans="1:22" x14ac:dyDescent="0.35">
      <c r="A1772" s="198" t="s">
        <v>217</v>
      </c>
      <c r="B1772" s="199">
        <v>2146</v>
      </c>
      <c r="C1772" s="199" t="s">
        <v>243</v>
      </c>
      <c r="D1772" s="199">
        <v>830</v>
      </c>
      <c r="E1772" s="199">
        <v>7932918.9000000004</v>
      </c>
      <c r="F1772" s="199">
        <v>595620.09</v>
      </c>
      <c r="G1772" s="199">
        <f>'Mail Merge'!$E1772+'Mail Merge'!$F1772</f>
        <v>8528538.9900000002</v>
      </c>
      <c r="H1772" s="199">
        <v>0</v>
      </c>
      <c r="I1772" s="199" t="s">
        <v>241</v>
      </c>
      <c r="J1772" s="202">
        <f>IFERROR('Mail Merge'!$E1772/'Mail Merge'!$D1772,0)</f>
        <v>9557.7336144578312</v>
      </c>
      <c r="K1772" s="199">
        <f>IFERROR('Mail Merge'!$F1772/'Mail Merge'!$D1772,0)</f>
        <v>717.61456626506015</v>
      </c>
      <c r="L1772" s="203">
        <f>IFERROR('Mail Merge'!$G1772/'Mail Merge'!$D1772,0)</f>
        <v>10275.348180722893</v>
      </c>
      <c r="M1772" s="199">
        <v>0</v>
      </c>
      <c r="N1772" s="199" t="s">
        <v>241</v>
      </c>
      <c r="O1772" s="199">
        <v>845956.8</v>
      </c>
      <c r="P1772" s="199">
        <v>3699.62</v>
      </c>
      <c r="Q1772" s="199">
        <f>'Mail Merge'!$O1772+'Mail Merge'!$P1772</f>
        <v>849656.42</v>
      </c>
      <c r="R1772" s="199"/>
      <c r="S1772" s="199"/>
      <c r="T1772" s="199"/>
      <c r="U1772" s="199">
        <f>IF(AND('Mail Merge'!$I1772="Did Not Meet",'Mail Merge'!$N1772="Did Not Meet"),MIN(ABS('Mail Merge'!$H1772),ABS('Mail Merge'!$M1772),'Mail Merge'!$Q1772),0)</f>
        <v>0</v>
      </c>
      <c r="V1772" s="199" t="str">
        <f>IF(OR(IFERROR(SEARCH("Met",'Mail Merge'!$N1772),0)&gt;0,IFERROR(SEARCH("Met",'Mail Merge'!$I1772),0)&gt;0),"Met","Not Met")</f>
        <v>Met</v>
      </c>
    </row>
    <row r="1773" spans="1:22" x14ac:dyDescent="0.35">
      <c r="A1773" s="200" t="s">
        <v>218</v>
      </c>
      <c r="B1773" s="201">
        <v>2251</v>
      </c>
      <c r="C1773" s="201" t="s">
        <v>243</v>
      </c>
      <c r="D1773" s="201">
        <v>121</v>
      </c>
      <c r="E1773" s="201">
        <v>1625887.8</v>
      </c>
      <c r="F1773" s="201">
        <v>176712.14</v>
      </c>
      <c r="G1773" s="201">
        <f>'Mail Merge'!$E1773+'Mail Merge'!$F1773</f>
        <v>1802599.94</v>
      </c>
      <c r="H1773" s="201">
        <v>0</v>
      </c>
      <c r="I1773" s="201" t="s">
        <v>241</v>
      </c>
      <c r="J1773" s="204">
        <f>IFERROR('Mail Merge'!$E1773/'Mail Merge'!$D1773,0)</f>
        <v>13437.089256198347</v>
      </c>
      <c r="K1773" s="201">
        <f>IFERROR('Mail Merge'!$F1773/'Mail Merge'!$D1773,0)</f>
        <v>1460.4309090909092</v>
      </c>
      <c r="L1773" s="205">
        <f>IFERROR('Mail Merge'!$G1773/'Mail Merge'!$D1773,0)</f>
        <v>14897.520165289256</v>
      </c>
      <c r="M1773" s="201">
        <v>0</v>
      </c>
      <c r="N1773" s="201" t="s">
        <v>241</v>
      </c>
      <c r="O1773" s="201">
        <v>185855.1</v>
      </c>
      <c r="P1773" s="201">
        <v>861.29</v>
      </c>
      <c r="Q1773" s="201">
        <f>'Mail Merge'!$O1773+'Mail Merge'!$P1773</f>
        <v>186716.39</v>
      </c>
      <c r="R1773" s="201"/>
      <c r="S1773" s="201"/>
      <c r="T1773" s="201"/>
      <c r="U1773" s="201">
        <f>IF(AND('Mail Merge'!$I1773="Did Not Meet",'Mail Merge'!$N1773="Did Not Meet"),MIN(ABS('Mail Merge'!$H1773),ABS('Mail Merge'!$M1773),'Mail Merge'!$Q1773),0)</f>
        <v>0</v>
      </c>
      <c r="V1773" s="201" t="str">
        <f>IF(OR(IFERROR(SEARCH("Met",'Mail Merge'!$N1773),0)&gt;0,IFERROR(SEARCH("Met",'Mail Merge'!$I1773),0)&gt;0),"Met","Not Met")</f>
        <v>Met</v>
      </c>
    </row>
    <row r="1774" spans="1:22" x14ac:dyDescent="0.35">
      <c r="A1774" s="198" t="s">
        <v>219</v>
      </c>
      <c r="B1774" s="199">
        <v>1997</v>
      </c>
      <c r="C1774" s="199" t="s">
        <v>243</v>
      </c>
      <c r="D1774" s="199">
        <v>31</v>
      </c>
      <c r="E1774" s="199">
        <v>298526.98</v>
      </c>
      <c r="F1774" s="199">
        <v>62271.86</v>
      </c>
      <c r="G1774" s="199">
        <f>'Mail Merge'!$E1774+'Mail Merge'!$F1774</f>
        <v>360798.83999999997</v>
      </c>
      <c r="H1774" s="199">
        <v>0</v>
      </c>
      <c r="I1774" s="199" t="s">
        <v>241</v>
      </c>
      <c r="J1774" s="202">
        <f>IFERROR('Mail Merge'!$E1774/'Mail Merge'!$D1774,0)</f>
        <v>9629.9025806451609</v>
      </c>
      <c r="K1774" s="199">
        <f>IFERROR('Mail Merge'!$F1774/'Mail Merge'!$D1774,0)</f>
        <v>2008.7696774193548</v>
      </c>
      <c r="L1774" s="203">
        <f>IFERROR('Mail Merge'!$G1774/'Mail Merge'!$D1774,0)</f>
        <v>11638.672258064515</v>
      </c>
      <c r="M1774" s="199">
        <v>0</v>
      </c>
      <c r="N1774" s="199" t="s">
        <v>241</v>
      </c>
      <c r="O1774" s="199">
        <v>48953.18</v>
      </c>
      <c r="P1774" s="199">
        <v>0</v>
      </c>
      <c r="Q1774" s="199">
        <f>'Mail Merge'!$O1774+'Mail Merge'!$P1774</f>
        <v>48953.18</v>
      </c>
      <c r="R1774" s="199"/>
      <c r="S1774" s="199"/>
      <c r="T1774" s="199"/>
      <c r="U1774" s="199">
        <f>IF(AND('Mail Merge'!$I1774="Did Not Meet",'Mail Merge'!$N1774="Did Not Meet"),MIN(ABS('Mail Merge'!$H1774),ABS('Mail Merge'!$M1774),'Mail Merge'!$Q1774),0)</f>
        <v>0</v>
      </c>
      <c r="V1774" s="199" t="str">
        <f>IF(OR(IFERROR(SEARCH("Met",'Mail Merge'!$N1774),0)&gt;0,IFERROR(SEARCH("Met",'Mail Merge'!$I1774),0)&gt;0),"Met","Not Met")</f>
        <v>Met</v>
      </c>
    </row>
    <row r="1775" spans="1:22" x14ac:dyDescent="0.35">
      <c r="A1775" s="200" t="s">
        <v>14</v>
      </c>
      <c r="B1775" s="201">
        <v>2063</v>
      </c>
      <c r="C1775" s="201" t="s">
        <v>1537</v>
      </c>
      <c r="D1775" s="201">
        <v>3</v>
      </c>
      <c r="E1775" s="201">
        <v>4336.6899999999996</v>
      </c>
      <c r="F1775" s="201">
        <v>48399.99</v>
      </c>
      <c r="G1775" s="201">
        <f>'Mail Merge'!$E1775+'Mail Merge'!$F1775</f>
        <v>52736.68</v>
      </c>
      <c r="H1775" s="201">
        <v>0</v>
      </c>
      <c r="I1775" s="201" t="s">
        <v>241</v>
      </c>
      <c r="J1775" s="204">
        <f>IFERROR('Mail Merge'!$E1775/'Mail Merge'!$D1775,0)</f>
        <v>1445.5633333333333</v>
      </c>
      <c r="K1775" s="201">
        <f>IFERROR('Mail Merge'!$F1775/'Mail Merge'!$D1775,0)</f>
        <v>16133.33</v>
      </c>
      <c r="L1775" s="205">
        <f>IFERROR('Mail Merge'!$G1775/'Mail Merge'!$D1775,0)</f>
        <v>17578.893333333333</v>
      </c>
      <c r="M1775" s="201">
        <v>-44496.56</v>
      </c>
      <c r="N1775" s="201" t="s">
        <v>240</v>
      </c>
      <c r="O1775" s="201">
        <v>2663.75</v>
      </c>
      <c r="P1775" s="201">
        <v>2.16</v>
      </c>
      <c r="Q1775" s="201">
        <f>'Mail Merge'!$O1775+'Mail Merge'!$P1775</f>
        <v>2665.91</v>
      </c>
      <c r="R1775" s="201"/>
      <c r="S1775" s="201">
        <v>0</v>
      </c>
      <c r="T1775" s="201">
        <v>0</v>
      </c>
      <c r="U1775" s="201">
        <f>IF(AND('Mail Merge'!$I1775="Did Not Meet",'Mail Merge'!$N1775="Did Not Meet"),MIN(ABS('Mail Merge'!$H1775),ABS('Mail Merge'!$M1775),'Mail Merge'!$Q1775),0)</f>
        <v>0</v>
      </c>
      <c r="V1775" s="201" t="str">
        <f>IF(OR(IFERROR(SEARCH("Met",'Mail Merge'!$N1775),0)&gt;0,IFERROR(SEARCH("Met",'Mail Merge'!$I1775),0)&gt;0),"Met","Not Met")</f>
        <v>Met</v>
      </c>
    </row>
    <row r="1776" spans="1:22" x14ac:dyDescent="0.35">
      <c r="A1776" s="198" t="s">
        <v>17</v>
      </c>
      <c r="B1776" s="199">
        <v>2113</v>
      </c>
      <c r="C1776" s="199" t="s">
        <v>1537</v>
      </c>
      <c r="D1776" s="199">
        <v>51</v>
      </c>
      <c r="E1776" s="199">
        <v>238239.31</v>
      </c>
      <c r="F1776" s="199">
        <v>130464.51</v>
      </c>
      <c r="G1776" s="199">
        <f>'Mail Merge'!$E1776+'Mail Merge'!$F1776</f>
        <v>368703.82</v>
      </c>
      <c r="H1776" s="199">
        <v>0</v>
      </c>
      <c r="I1776" s="199" t="s">
        <v>241</v>
      </c>
      <c r="J1776" s="202">
        <f>IFERROR('Mail Merge'!$E1776/'Mail Merge'!$D1776,0)</f>
        <v>4671.359019607843</v>
      </c>
      <c r="K1776" s="199">
        <f>IFERROR('Mail Merge'!$F1776/'Mail Merge'!$D1776,0)</f>
        <v>2558.1276470588236</v>
      </c>
      <c r="L1776" s="203">
        <f>IFERROR('Mail Merge'!$G1776/'Mail Merge'!$D1776,0)</f>
        <v>7229.4866666666667</v>
      </c>
      <c r="M1776" s="199">
        <v>-60675.732142857116</v>
      </c>
      <c r="N1776" s="199" t="s">
        <v>240</v>
      </c>
      <c r="O1776" s="199">
        <v>62030.63</v>
      </c>
      <c r="P1776" s="199">
        <v>82.36</v>
      </c>
      <c r="Q1776" s="199">
        <f>'Mail Merge'!$O1776+'Mail Merge'!$P1776</f>
        <v>62112.99</v>
      </c>
      <c r="R1776" s="199"/>
      <c r="S1776" s="199">
        <v>0</v>
      </c>
      <c r="T1776" s="199">
        <v>0</v>
      </c>
      <c r="U1776" s="199">
        <f>IF(AND('Mail Merge'!$I1776="Did Not Meet",'Mail Merge'!$N1776="Did Not Meet"),MIN(ABS('Mail Merge'!$H1776),ABS('Mail Merge'!$M1776),'Mail Merge'!$Q1776),0)</f>
        <v>0</v>
      </c>
      <c r="V1776" s="199" t="str">
        <f>IF(OR(IFERROR(SEARCH("Met",'Mail Merge'!$N1776),0)&gt;0,IFERROR(SEARCH("Met",'Mail Merge'!$I1776),0)&gt;0),"Met","Not Met")</f>
        <v>Met</v>
      </c>
    </row>
    <row r="1777" spans="1:22" x14ac:dyDescent="0.35">
      <c r="A1777" s="200" t="s">
        <v>20</v>
      </c>
      <c r="B1777" s="201">
        <v>1899</v>
      </c>
      <c r="C1777" s="201" t="s">
        <v>1537</v>
      </c>
      <c r="D1777" s="201">
        <v>38</v>
      </c>
      <c r="E1777" s="201">
        <v>325731.68</v>
      </c>
      <c r="F1777" s="201">
        <v>51906</v>
      </c>
      <c r="G1777" s="201">
        <f>'Mail Merge'!$E1777+'Mail Merge'!$F1777</f>
        <v>377637.68</v>
      </c>
      <c r="H1777" s="201">
        <v>0</v>
      </c>
      <c r="I1777" s="201" t="s">
        <v>241</v>
      </c>
      <c r="J1777" s="204">
        <f>IFERROR('Mail Merge'!$E1777/'Mail Merge'!$D1777,0)</f>
        <v>8571.8863157894739</v>
      </c>
      <c r="K1777" s="201">
        <f>IFERROR('Mail Merge'!$F1777/'Mail Merge'!$D1777,0)</f>
        <v>1365.9473684210527</v>
      </c>
      <c r="L1777" s="205">
        <f>IFERROR('Mail Merge'!$G1777/'Mail Merge'!$D1777,0)</f>
        <v>9937.8336842105255</v>
      </c>
      <c r="M1777" s="201">
        <v>-82657.400000000023</v>
      </c>
      <c r="N1777" s="201" t="s">
        <v>240</v>
      </c>
      <c r="O1777" s="201">
        <v>36210.449999999997</v>
      </c>
      <c r="P1777" s="201">
        <v>485.55</v>
      </c>
      <c r="Q1777" s="201">
        <f>'Mail Merge'!$O1777+'Mail Merge'!$P1777</f>
        <v>36696</v>
      </c>
      <c r="R1777" s="201"/>
      <c r="S1777" s="201">
        <v>0</v>
      </c>
      <c r="T1777" s="201">
        <v>0</v>
      </c>
      <c r="U1777" s="201">
        <f>IF(AND('Mail Merge'!$I1777="Did Not Meet",'Mail Merge'!$N1777="Did Not Meet"),MIN(ABS('Mail Merge'!$H1777),ABS('Mail Merge'!$M1777),'Mail Merge'!$Q1777),0)</f>
        <v>0</v>
      </c>
      <c r="V1777" s="201" t="str">
        <f>IF(OR(IFERROR(SEARCH("Met",'Mail Merge'!$N1777),0)&gt;0,IFERROR(SEARCH("Met",'Mail Merge'!$I1777),0)&gt;0),"Met","Not Met")</f>
        <v>Met</v>
      </c>
    </row>
    <row r="1778" spans="1:22" x14ac:dyDescent="0.35">
      <c r="A1778" s="198" t="s">
        <v>21</v>
      </c>
      <c r="B1778" s="199">
        <v>2252</v>
      </c>
      <c r="C1778" s="199" t="s">
        <v>1537</v>
      </c>
      <c r="D1778" s="199">
        <v>140</v>
      </c>
      <c r="E1778" s="199">
        <v>747128.21</v>
      </c>
      <c r="F1778" s="199">
        <v>109518.19</v>
      </c>
      <c r="G1778" s="199">
        <f>'Mail Merge'!$E1778+'Mail Merge'!$F1778</f>
        <v>856646.39999999991</v>
      </c>
      <c r="H1778" s="199">
        <v>0</v>
      </c>
      <c r="I1778" s="199" t="s">
        <v>241</v>
      </c>
      <c r="J1778" s="202">
        <f>IFERROR('Mail Merge'!$E1778/'Mail Merge'!$D1778,0)</f>
        <v>5336.6300714285708</v>
      </c>
      <c r="K1778" s="199">
        <f>IFERROR('Mail Merge'!$F1778/'Mail Merge'!$D1778,0)</f>
        <v>782.27278571428576</v>
      </c>
      <c r="L1778" s="203">
        <f>IFERROR('Mail Merge'!$G1778/'Mail Merge'!$D1778,0)</f>
        <v>6118.9028571428562</v>
      </c>
      <c r="M1778" s="199">
        <v>-195139.8233009711</v>
      </c>
      <c r="N1778" s="199" t="s">
        <v>240</v>
      </c>
      <c r="O1778" s="199">
        <v>153107.26</v>
      </c>
      <c r="P1778" s="199">
        <v>1520.81</v>
      </c>
      <c r="Q1778" s="199">
        <f>'Mail Merge'!$O1778+'Mail Merge'!$P1778</f>
        <v>154628.07</v>
      </c>
      <c r="R1778" s="199"/>
      <c r="S1778" s="199">
        <v>0</v>
      </c>
      <c r="T1778" s="199">
        <v>446</v>
      </c>
      <c r="U1778" s="199">
        <f>IF(AND('Mail Merge'!$I1778="Did Not Meet",'Mail Merge'!$N1778="Did Not Meet"),MIN(ABS('Mail Merge'!$H1778),ABS('Mail Merge'!$M1778),'Mail Merge'!$Q1778),0)</f>
        <v>0</v>
      </c>
      <c r="V1778" s="199" t="str">
        <f>IF(OR(IFERROR(SEARCH("Met",'Mail Merge'!$N1778),0)&gt;0,IFERROR(SEARCH("Met",'Mail Merge'!$I1778),0)&gt;0),"Met","Not Met")</f>
        <v>Met</v>
      </c>
    </row>
    <row r="1779" spans="1:22" x14ac:dyDescent="0.35">
      <c r="A1779" s="200" t="s">
        <v>23</v>
      </c>
      <c r="B1779" s="201">
        <v>2111</v>
      </c>
      <c r="C1779" s="201" t="s">
        <v>1537</v>
      </c>
      <c r="D1779" s="201">
        <v>7</v>
      </c>
      <c r="E1779" s="201">
        <v>48062.79</v>
      </c>
      <c r="F1779" s="201">
        <v>36469.53</v>
      </c>
      <c r="G1779" s="201">
        <f>'Mail Merge'!$E1779+'Mail Merge'!$F1779</f>
        <v>84532.32</v>
      </c>
      <c r="H1779" s="201">
        <v>0</v>
      </c>
      <c r="I1779" s="201" t="s">
        <v>241</v>
      </c>
      <c r="J1779" s="204">
        <f>IFERROR('Mail Merge'!$E1779/'Mail Merge'!$D1779,0)</f>
        <v>6866.1128571428571</v>
      </c>
      <c r="K1779" s="201">
        <f>IFERROR('Mail Merge'!$F1779/'Mail Merge'!$D1779,0)</f>
        <v>5209.9328571428568</v>
      </c>
      <c r="L1779" s="205">
        <f>IFERROR('Mail Merge'!$G1779/'Mail Merge'!$D1779,0)</f>
        <v>12076.045714285716</v>
      </c>
      <c r="M1779" s="201">
        <v>0</v>
      </c>
      <c r="N1779" s="201" t="s">
        <v>241</v>
      </c>
      <c r="O1779" s="201">
        <v>22521.83</v>
      </c>
      <c r="P1779" s="201">
        <v>26.66</v>
      </c>
      <c r="Q1779" s="201">
        <f>'Mail Merge'!$O1779+'Mail Merge'!$P1779</f>
        <v>22548.49</v>
      </c>
      <c r="R1779" s="201"/>
      <c r="S1779" s="201">
        <v>0</v>
      </c>
      <c r="T1779" s="201">
        <v>0</v>
      </c>
      <c r="U1779" s="201">
        <f>IF(AND('Mail Merge'!$I1779="Did Not Meet",'Mail Merge'!$N1779="Did Not Meet"),MIN(ABS('Mail Merge'!$H1779),ABS('Mail Merge'!$M1779),'Mail Merge'!$Q1779),0)</f>
        <v>0</v>
      </c>
      <c r="V1779" s="201" t="str">
        <f>IF(OR(IFERROR(SEARCH("Met",'Mail Merge'!$N1779),0)&gt;0,IFERROR(SEARCH("Met",'Mail Merge'!$I1779),0)&gt;0),"Met","Not Met")</f>
        <v>Met</v>
      </c>
    </row>
    <row r="1780" spans="1:22" x14ac:dyDescent="0.35">
      <c r="A1780" s="198" t="s">
        <v>24</v>
      </c>
      <c r="B1780" s="199">
        <v>2005</v>
      </c>
      <c r="C1780" s="199" t="s">
        <v>1537</v>
      </c>
      <c r="D1780" s="199">
        <v>29</v>
      </c>
      <c r="E1780" s="199">
        <v>25800</v>
      </c>
      <c r="F1780" s="199">
        <v>160057</v>
      </c>
      <c r="G1780" s="199">
        <f>'Mail Merge'!$E1780+'Mail Merge'!$F1780</f>
        <v>185857</v>
      </c>
      <c r="H1780" s="199">
        <v>0</v>
      </c>
      <c r="I1780" s="199" t="s">
        <v>241</v>
      </c>
      <c r="J1780" s="202">
        <f>IFERROR('Mail Merge'!$E1780/'Mail Merge'!$D1780,0)</f>
        <v>889.65517241379314</v>
      </c>
      <c r="K1780" s="199">
        <f>IFERROR('Mail Merge'!$F1780/'Mail Merge'!$D1780,0)</f>
        <v>5519.2068965517237</v>
      </c>
      <c r="L1780" s="203">
        <f>IFERROR('Mail Merge'!$G1780/'Mail Merge'!$D1780,0)</f>
        <v>6408.8620689655172</v>
      </c>
      <c r="M1780" s="199">
        <v>-58421.336363636365</v>
      </c>
      <c r="N1780" s="199" t="s">
        <v>240</v>
      </c>
      <c r="O1780" s="199">
        <v>24875.21</v>
      </c>
      <c r="P1780" s="199">
        <v>10.85</v>
      </c>
      <c r="Q1780" s="199">
        <f>'Mail Merge'!$O1780+'Mail Merge'!$P1780</f>
        <v>24886.059999999998</v>
      </c>
      <c r="R1780" s="199"/>
      <c r="S1780" s="199">
        <v>0</v>
      </c>
      <c r="T1780" s="199">
        <v>0</v>
      </c>
      <c r="U1780" s="199">
        <f>IF(AND('Mail Merge'!$I1780="Did Not Meet",'Mail Merge'!$N1780="Did Not Meet"),MIN(ABS('Mail Merge'!$H1780),ABS('Mail Merge'!$M1780),'Mail Merge'!$Q1780),0)</f>
        <v>0</v>
      </c>
      <c r="V1780" s="199" t="str">
        <f>IF(OR(IFERROR(SEARCH("Met",'Mail Merge'!$N1780),0)&gt;0,IFERROR(SEARCH("Met",'Mail Merge'!$I1780),0)&gt;0),"Met","Not Met")</f>
        <v>Met</v>
      </c>
    </row>
    <row r="1781" spans="1:22" x14ac:dyDescent="0.35">
      <c r="A1781" s="200" t="s">
        <v>25</v>
      </c>
      <c r="B1781" s="201">
        <v>2115</v>
      </c>
      <c r="C1781" s="201" t="s">
        <v>1537</v>
      </c>
      <c r="D1781" s="201">
        <v>1</v>
      </c>
      <c r="E1781" s="201">
        <v>0</v>
      </c>
      <c r="F1781" s="201">
        <v>13099.28</v>
      </c>
      <c r="G1781" s="201">
        <f>'Mail Merge'!$E1781+'Mail Merge'!$F1781</f>
        <v>13099.28</v>
      </c>
      <c r="H1781" s="201">
        <v>0</v>
      </c>
      <c r="I1781" s="201" t="s">
        <v>241</v>
      </c>
      <c r="J1781" s="204">
        <f>IFERROR('Mail Merge'!$E1781/'Mail Merge'!$D1781,0)</f>
        <v>0</v>
      </c>
      <c r="K1781" s="201">
        <f>IFERROR('Mail Merge'!$F1781/'Mail Merge'!$D1781,0)</f>
        <v>13099.28</v>
      </c>
      <c r="L1781" s="205">
        <f>IFERROR('Mail Merge'!$G1781/'Mail Merge'!$D1781,0)</f>
        <v>13099.28</v>
      </c>
      <c r="M1781" s="201">
        <v>0</v>
      </c>
      <c r="N1781" s="201" t="s">
        <v>241</v>
      </c>
      <c r="O1781" s="201">
        <v>4017.96</v>
      </c>
      <c r="P1781" s="201">
        <v>4.8</v>
      </c>
      <c r="Q1781" s="201">
        <f>'Mail Merge'!$O1781+'Mail Merge'!$P1781</f>
        <v>4022.76</v>
      </c>
      <c r="R1781" s="201"/>
      <c r="S1781" s="201">
        <v>0</v>
      </c>
      <c r="T1781" s="201"/>
      <c r="U1781" s="201">
        <f>IF(AND('Mail Merge'!$I1781="Did Not Meet",'Mail Merge'!$N1781="Did Not Meet"),MIN(ABS('Mail Merge'!$H1781),ABS('Mail Merge'!$M1781),'Mail Merge'!$Q1781),0)</f>
        <v>0</v>
      </c>
      <c r="V1781" s="201" t="str">
        <f>IF(OR(IFERROR(SEARCH("Met",'Mail Merge'!$N1781),0)&gt;0,IFERROR(SEARCH("Met",'Mail Merge'!$I1781),0)&gt;0),"Met","Not Met")</f>
        <v>Met</v>
      </c>
    </row>
    <row r="1782" spans="1:22" x14ac:dyDescent="0.35">
      <c r="A1782" s="198" t="s">
        <v>26</v>
      </c>
      <c r="B1782" s="199">
        <v>2041</v>
      </c>
      <c r="C1782" s="199" t="s">
        <v>1537</v>
      </c>
      <c r="D1782" s="199">
        <v>338</v>
      </c>
      <c r="E1782" s="199">
        <v>3300196.47</v>
      </c>
      <c r="F1782" s="199">
        <v>460331.01</v>
      </c>
      <c r="G1782" s="199">
        <f>'Mail Merge'!$E1782+'Mail Merge'!$F1782</f>
        <v>3760527.4800000004</v>
      </c>
      <c r="H1782" s="199">
        <v>0</v>
      </c>
      <c r="I1782" s="199" t="s">
        <v>241</v>
      </c>
      <c r="J1782" s="202">
        <f>IFERROR('Mail Merge'!$E1782/'Mail Merge'!$D1782,0)</f>
        <v>9763.8948816568045</v>
      </c>
      <c r="K1782" s="199">
        <f>IFERROR('Mail Merge'!$F1782/'Mail Merge'!$D1782,0)</f>
        <v>1361.9260650887575</v>
      </c>
      <c r="L1782" s="203">
        <f>IFERROR('Mail Merge'!$G1782/'Mail Merge'!$D1782,0)</f>
        <v>11125.820946745564</v>
      </c>
      <c r="M1782" s="199">
        <v>0</v>
      </c>
      <c r="N1782" s="199" t="s">
        <v>241</v>
      </c>
      <c r="O1782" s="199">
        <v>490153.94</v>
      </c>
      <c r="P1782" s="199">
        <v>5984.62</v>
      </c>
      <c r="Q1782" s="199">
        <f>'Mail Merge'!$O1782+'Mail Merge'!$P1782</f>
        <v>496138.56</v>
      </c>
      <c r="R1782" s="199"/>
      <c r="S1782" s="199">
        <v>0</v>
      </c>
      <c r="T1782" s="199"/>
      <c r="U1782" s="199">
        <f>IF(AND('Mail Merge'!$I1782="Did Not Meet",'Mail Merge'!$N1782="Did Not Meet"),MIN(ABS('Mail Merge'!$H1782),ABS('Mail Merge'!$M1782),'Mail Merge'!$Q1782),0)</f>
        <v>0</v>
      </c>
      <c r="V1782" s="199" t="str">
        <f>IF(OR(IFERROR(SEARCH("Met",'Mail Merge'!$N1782),0)&gt;0,IFERROR(SEARCH("Met",'Mail Merge'!$I1782),0)&gt;0),"Met","Not Met")</f>
        <v>Met</v>
      </c>
    </row>
    <row r="1783" spans="1:22" x14ac:dyDescent="0.35">
      <c r="A1783" s="200" t="s">
        <v>27</v>
      </c>
      <c r="B1783" s="201">
        <v>2051</v>
      </c>
      <c r="C1783" s="201" t="s">
        <v>1537</v>
      </c>
      <c r="D1783" s="201">
        <v>0</v>
      </c>
      <c r="E1783" s="201">
        <v>0</v>
      </c>
      <c r="F1783" s="201">
        <v>8548.25</v>
      </c>
      <c r="G1783" s="201">
        <f>'Mail Merge'!$E1783+'Mail Merge'!$F1783</f>
        <v>8548.25</v>
      </c>
      <c r="H1783" s="201">
        <v>-376.18000000000029</v>
      </c>
      <c r="I1783" s="201" t="s">
        <v>240</v>
      </c>
      <c r="J1783" s="204">
        <f>IFERROR('Mail Merge'!$E1783/'Mail Merge'!$D1783,0)</f>
        <v>0</v>
      </c>
      <c r="K1783" s="201">
        <f>IFERROR('Mail Merge'!$F1783/'Mail Merge'!$D1783,0)</f>
        <v>0</v>
      </c>
      <c r="L1783" s="205">
        <f>IFERROR('Mail Merge'!$G1783/'Mail Merge'!$D1783,0)</f>
        <v>0</v>
      </c>
      <c r="M1783" s="201">
        <v>0</v>
      </c>
      <c r="N1783" s="201" t="s">
        <v>241</v>
      </c>
      <c r="O1783" s="201">
        <v>1042.48</v>
      </c>
      <c r="P1783" s="201">
        <v>2.0299999999999998</v>
      </c>
      <c r="Q1783" s="201">
        <f>'Mail Merge'!$O1783+'Mail Merge'!$P1783</f>
        <v>1044.51</v>
      </c>
      <c r="R1783" s="201"/>
      <c r="S1783" s="201">
        <v>0</v>
      </c>
      <c r="T1783" s="201"/>
      <c r="U1783" s="201">
        <f>IF(AND('Mail Merge'!$I1783="Did Not Meet",'Mail Merge'!$N1783="Did Not Meet"),MIN(ABS('Mail Merge'!$H1783),ABS('Mail Merge'!$M1783),'Mail Merge'!$Q1783),0)</f>
        <v>0</v>
      </c>
      <c r="V1783" s="201" t="str">
        <f>IF(OR(IFERROR(SEARCH("Met",'Mail Merge'!$N1783),0)&gt;0,IFERROR(SEARCH("Met",'Mail Merge'!$I1783),0)&gt;0),"Met","Not Met")</f>
        <v>Met</v>
      </c>
    </row>
    <row r="1784" spans="1:22" x14ac:dyDescent="0.35">
      <c r="A1784" s="198" t="s">
        <v>28</v>
      </c>
      <c r="B1784" s="199">
        <v>1933</v>
      </c>
      <c r="C1784" s="199" t="s">
        <v>1537</v>
      </c>
      <c r="D1784" s="199">
        <v>242</v>
      </c>
      <c r="E1784" s="199">
        <v>3101009.89</v>
      </c>
      <c r="F1784" s="199">
        <v>565702</v>
      </c>
      <c r="G1784" s="199">
        <f>'Mail Merge'!$E1784+'Mail Merge'!$F1784</f>
        <v>3666711.89</v>
      </c>
      <c r="H1784" s="199">
        <v>0</v>
      </c>
      <c r="I1784" s="199" t="s">
        <v>241</v>
      </c>
      <c r="J1784" s="202">
        <f>IFERROR('Mail Merge'!$E1784/'Mail Merge'!$D1784,0)</f>
        <v>12814.090454545456</v>
      </c>
      <c r="K1784" s="199">
        <f>IFERROR('Mail Merge'!$F1784/'Mail Merge'!$D1784,0)</f>
        <v>2337.6115702479337</v>
      </c>
      <c r="L1784" s="203">
        <f>IFERROR('Mail Merge'!$G1784/'Mail Merge'!$D1784,0)</f>
        <v>15151.702024793389</v>
      </c>
      <c r="M1784" s="199">
        <v>0</v>
      </c>
      <c r="N1784" s="199" t="s">
        <v>241</v>
      </c>
      <c r="O1784" s="199">
        <v>288321.7</v>
      </c>
      <c r="P1784" s="199">
        <v>1557.17</v>
      </c>
      <c r="Q1784" s="199">
        <f>'Mail Merge'!$O1784+'Mail Merge'!$P1784</f>
        <v>289878.87</v>
      </c>
      <c r="R1784" s="199"/>
      <c r="S1784" s="199">
        <v>0</v>
      </c>
      <c r="T1784" s="199"/>
      <c r="U1784" s="199">
        <f>IF(AND('Mail Merge'!$I1784="Did Not Meet",'Mail Merge'!$N1784="Did Not Meet"),MIN(ABS('Mail Merge'!$H1784),ABS('Mail Merge'!$M1784),'Mail Merge'!$Q1784),0)</f>
        <v>0</v>
      </c>
      <c r="V1784" s="199" t="str">
        <f>IF(OR(IFERROR(SEARCH("Met",'Mail Merge'!$N1784),0)&gt;0,IFERROR(SEARCH("Met",'Mail Merge'!$I1784),0)&gt;0),"Met","Not Met")</f>
        <v>Met</v>
      </c>
    </row>
    <row r="1785" spans="1:22" x14ac:dyDescent="0.35">
      <c r="A1785" s="200" t="s">
        <v>29</v>
      </c>
      <c r="B1785" s="201">
        <v>2208</v>
      </c>
      <c r="C1785" s="201" t="s">
        <v>1537</v>
      </c>
      <c r="D1785" s="201">
        <v>86</v>
      </c>
      <c r="E1785" s="201">
        <v>525190.38</v>
      </c>
      <c r="F1785" s="201">
        <v>145874.18</v>
      </c>
      <c r="G1785" s="201">
        <f>'Mail Merge'!$E1785+'Mail Merge'!$F1785</f>
        <v>671064.56000000006</v>
      </c>
      <c r="H1785" s="201">
        <v>0</v>
      </c>
      <c r="I1785" s="201" t="s">
        <v>241</v>
      </c>
      <c r="J1785" s="204">
        <f>IFERROR('Mail Merge'!$E1785/'Mail Merge'!$D1785,0)</f>
        <v>6106.8648837209303</v>
      </c>
      <c r="K1785" s="201">
        <f>IFERROR('Mail Merge'!$F1785/'Mail Merge'!$D1785,0)</f>
        <v>1696.2113953488372</v>
      </c>
      <c r="L1785" s="205">
        <f>IFERROR('Mail Merge'!$G1785/'Mail Merge'!$D1785,0)</f>
        <v>7803.0762790697681</v>
      </c>
      <c r="M1785" s="201">
        <v>0</v>
      </c>
      <c r="N1785" s="201" t="s">
        <v>241</v>
      </c>
      <c r="O1785" s="201">
        <v>101526.28</v>
      </c>
      <c r="P1785" s="201">
        <v>2477.54</v>
      </c>
      <c r="Q1785" s="201">
        <f>'Mail Merge'!$O1785+'Mail Merge'!$P1785</f>
        <v>104003.81999999999</v>
      </c>
      <c r="R1785" s="201"/>
      <c r="S1785" s="201">
        <v>0</v>
      </c>
      <c r="T1785" s="201"/>
      <c r="U1785" s="201">
        <f>IF(AND('Mail Merge'!$I1785="Did Not Meet",'Mail Merge'!$N1785="Did Not Meet"),MIN(ABS('Mail Merge'!$H1785),ABS('Mail Merge'!$M1785),'Mail Merge'!$Q1785),0)</f>
        <v>0</v>
      </c>
      <c r="V1785" s="201" t="str">
        <f>IF(OR(IFERROR(SEARCH("Met",'Mail Merge'!$N1785),0)&gt;0,IFERROR(SEARCH("Met",'Mail Merge'!$I1785),0)&gt;0),"Met","Not Met")</f>
        <v>Met</v>
      </c>
    </row>
    <row r="1786" spans="1:22" x14ac:dyDescent="0.35">
      <c r="A1786" s="198" t="s">
        <v>30</v>
      </c>
      <c r="B1786" s="199">
        <v>1894</v>
      </c>
      <c r="C1786" s="199" t="s">
        <v>1537</v>
      </c>
      <c r="D1786" s="199">
        <v>492</v>
      </c>
      <c r="E1786" s="199">
        <v>2866404.17</v>
      </c>
      <c r="F1786" s="199">
        <v>0</v>
      </c>
      <c r="G1786" s="199">
        <f>'Mail Merge'!$E1786+'Mail Merge'!$F1786</f>
        <v>2866404.17</v>
      </c>
      <c r="H1786" s="199">
        <v>0</v>
      </c>
      <c r="I1786" s="199" t="s">
        <v>241</v>
      </c>
      <c r="J1786" s="202">
        <f>IFERROR('Mail Merge'!$E1786/'Mail Merge'!$D1786,0)</f>
        <v>5826.0247357723574</v>
      </c>
      <c r="K1786" s="199">
        <f>IFERROR('Mail Merge'!$F1786/'Mail Merge'!$D1786,0)</f>
        <v>0</v>
      </c>
      <c r="L1786" s="203">
        <f>IFERROR('Mail Merge'!$G1786/'Mail Merge'!$D1786,0)</f>
        <v>5826.0247357723574</v>
      </c>
      <c r="M1786" s="199">
        <v>-909259.59583629947</v>
      </c>
      <c r="N1786" s="199" t="s">
        <v>240</v>
      </c>
      <c r="O1786" s="199">
        <v>597051.71</v>
      </c>
      <c r="P1786" s="199">
        <v>2915.61</v>
      </c>
      <c r="Q1786" s="199">
        <f>'Mail Merge'!$O1786+'Mail Merge'!$P1786</f>
        <v>599967.31999999995</v>
      </c>
      <c r="R1786" s="199"/>
      <c r="S1786" s="199">
        <v>0</v>
      </c>
      <c r="T1786" s="199">
        <v>0</v>
      </c>
      <c r="U1786" s="199">
        <f>IF(AND('Mail Merge'!$I1786="Did Not Meet",'Mail Merge'!$N1786="Did Not Meet"),MIN(ABS('Mail Merge'!$H1786),ABS('Mail Merge'!$M1786),'Mail Merge'!$Q1786),0)</f>
        <v>0</v>
      </c>
      <c r="V1786" s="199" t="str">
        <f>IF(OR(IFERROR(SEARCH("Met",'Mail Merge'!$N1786),0)&gt;0,IFERROR(SEARCH("Met",'Mail Merge'!$I1786),0)&gt;0),"Met","Not Met")</f>
        <v>Met</v>
      </c>
    </row>
    <row r="1787" spans="1:22" x14ac:dyDescent="0.35">
      <c r="A1787" s="200" t="s">
        <v>32</v>
      </c>
      <c r="B1787" s="201">
        <v>1969</v>
      </c>
      <c r="C1787" s="201" t="s">
        <v>1537</v>
      </c>
      <c r="D1787" s="201">
        <v>96</v>
      </c>
      <c r="E1787" s="201">
        <v>1315471.79</v>
      </c>
      <c r="F1787" s="201">
        <v>228108.2</v>
      </c>
      <c r="G1787" s="201">
        <f>'Mail Merge'!$E1787+'Mail Merge'!$F1787</f>
        <v>1543579.99</v>
      </c>
      <c r="H1787" s="201">
        <v>0</v>
      </c>
      <c r="I1787" s="201" t="s">
        <v>242</v>
      </c>
      <c r="J1787" s="204">
        <f>IFERROR('Mail Merge'!$E1787/'Mail Merge'!$D1787,0)</f>
        <v>13702.831145833334</v>
      </c>
      <c r="K1787" s="201">
        <f>IFERROR('Mail Merge'!$F1787/'Mail Merge'!$D1787,0)</f>
        <v>2376.1270833333333</v>
      </c>
      <c r="L1787" s="205">
        <f>IFERROR('Mail Merge'!$G1787/'Mail Merge'!$D1787,0)</f>
        <v>16078.958229166667</v>
      </c>
      <c r="M1787" s="201">
        <v>0</v>
      </c>
      <c r="N1787" s="201" t="s">
        <v>242</v>
      </c>
      <c r="O1787" s="201">
        <v>137222.57</v>
      </c>
      <c r="P1787" s="201">
        <v>971.1</v>
      </c>
      <c r="Q1787" s="201">
        <f>'Mail Merge'!$O1787+'Mail Merge'!$P1787</f>
        <v>138193.67000000001</v>
      </c>
      <c r="R1787" s="201"/>
      <c r="S1787" s="201">
        <v>174649</v>
      </c>
      <c r="T1787" s="201">
        <v>0</v>
      </c>
      <c r="U1787" s="201">
        <f>IF(AND('Mail Merge'!$I1787="Did Not Meet",'Mail Merge'!$N1787="Did Not Meet"),MIN(ABS('Mail Merge'!$H1787),ABS('Mail Merge'!$M1787),'Mail Merge'!$Q1787),0)</f>
        <v>0</v>
      </c>
      <c r="V1787" s="201" t="str">
        <f>IF(OR(IFERROR(SEARCH("Met",'Mail Merge'!$N1787),0)&gt;0,IFERROR(SEARCH("Met",'Mail Merge'!$I1787),0)&gt;0),"Met","Not Met")</f>
        <v>Met</v>
      </c>
    </row>
    <row r="1788" spans="1:22" x14ac:dyDescent="0.35">
      <c r="A1788" s="198" t="s">
        <v>33</v>
      </c>
      <c r="B1788" s="199">
        <v>2240</v>
      </c>
      <c r="C1788" s="199" t="s">
        <v>1537</v>
      </c>
      <c r="D1788" s="199">
        <v>153</v>
      </c>
      <c r="E1788" s="199">
        <v>1795708</v>
      </c>
      <c r="F1788" s="199">
        <v>233875</v>
      </c>
      <c r="G1788" s="199">
        <f>'Mail Merge'!$E1788+'Mail Merge'!$F1788</f>
        <v>2029583</v>
      </c>
      <c r="H1788" s="199">
        <v>0</v>
      </c>
      <c r="I1788" s="199" t="s">
        <v>241</v>
      </c>
      <c r="J1788" s="202">
        <f>IFERROR('Mail Merge'!$E1788/'Mail Merge'!$D1788,0)</f>
        <v>11736.653594771242</v>
      </c>
      <c r="K1788" s="199">
        <f>IFERROR('Mail Merge'!$F1788/'Mail Merge'!$D1788,0)</f>
        <v>1528.5947712418301</v>
      </c>
      <c r="L1788" s="203">
        <f>IFERROR('Mail Merge'!$G1788/'Mail Merge'!$D1788,0)</f>
        <v>13265.248366013071</v>
      </c>
      <c r="M1788" s="199">
        <v>0</v>
      </c>
      <c r="N1788" s="199" t="s">
        <v>241</v>
      </c>
      <c r="O1788" s="199">
        <v>169300.09</v>
      </c>
      <c r="P1788" s="199">
        <v>569.34</v>
      </c>
      <c r="Q1788" s="199">
        <f>'Mail Merge'!$O1788+'Mail Merge'!$P1788</f>
        <v>169869.43</v>
      </c>
      <c r="R1788" s="199"/>
      <c r="S1788" s="199">
        <v>0</v>
      </c>
      <c r="T1788" s="199">
        <v>0</v>
      </c>
      <c r="U1788" s="199">
        <f>IF(AND('Mail Merge'!$I1788="Did Not Meet",'Mail Merge'!$N1788="Did Not Meet"),MIN(ABS('Mail Merge'!$H1788),ABS('Mail Merge'!$M1788),'Mail Merge'!$Q1788),0)</f>
        <v>0</v>
      </c>
      <c r="V1788" s="199" t="str">
        <f>IF(OR(IFERROR(SEARCH("Met",'Mail Merge'!$N1788),0)&gt;0,IFERROR(SEARCH("Met",'Mail Merge'!$I1788),0)&gt;0),"Met","Not Met")</f>
        <v>Met</v>
      </c>
    </row>
    <row r="1789" spans="1:22" x14ac:dyDescent="0.35">
      <c r="A1789" s="200" t="s">
        <v>34</v>
      </c>
      <c r="B1789" s="201">
        <v>2243</v>
      </c>
      <c r="C1789" s="201" t="s">
        <v>1537</v>
      </c>
      <c r="D1789" s="201">
        <v>5072</v>
      </c>
      <c r="E1789" s="201">
        <v>59829429.590000004</v>
      </c>
      <c r="F1789" s="201">
        <v>5313537</v>
      </c>
      <c r="G1789" s="201">
        <f>'Mail Merge'!$E1789+'Mail Merge'!$F1789</f>
        <v>65142966.590000004</v>
      </c>
      <c r="H1789" s="201">
        <v>0</v>
      </c>
      <c r="I1789" s="201" t="s">
        <v>241</v>
      </c>
      <c r="J1789" s="204">
        <f>IFERROR('Mail Merge'!$E1789/'Mail Merge'!$D1789,0)</f>
        <v>11796.023184148265</v>
      </c>
      <c r="K1789" s="201">
        <f>IFERROR('Mail Merge'!$F1789/'Mail Merge'!$D1789,0)</f>
        <v>1047.6216482649843</v>
      </c>
      <c r="L1789" s="205">
        <f>IFERROR('Mail Merge'!$G1789/'Mail Merge'!$D1789,0)</f>
        <v>12843.644832413251</v>
      </c>
      <c r="M1789" s="201">
        <v>0</v>
      </c>
      <c r="N1789" s="201" t="s">
        <v>241</v>
      </c>
      <c r="O1789" s="201">
        <v>6799947.9400000004</v>
      </c>
      <c r="P1789" s="201">
        <v>25138.080000000002</v>
      </c>
      <c r="Q1789" s="201">
        <f>'Mail Merge'!$O1789+'Mail Merge'!$P1789</f>
        <v>6825086.0200000005</v>
      </c>
      <c r="R1789" s="201"/>
      <c r="S1789" s="201">
        <v>0</v>
      </c>
      <c r="T1789" s="201"/>
      <c r="U1789" s="201">
        <f>IF(AND('Mail Merge'!$I1789="Did Not Meet",'Mail Merge'!$N1789="Did Not Meet"),MIN(ABS('Mail Merge'!$H1789),ABS('Mail Merge'!$M1789),'Mail Merge'!$Q1789),0)</f>
        <v>0</v>
      </c>
      <c r="V1789" s="201" t="str">
        <f>IF(OR(IFERROR(SEARCH("Met",'Mail Merge'!$N1789),0)&gt;0,IFERROR(SEARCH("Met",'Mail Merge'!$I1789),0)&gt;0),"Met","Not Met")</f>
        <v>Met</v>
      </c>
    </row>
    <row r="1790" spans="1:22" x14ac:dyDescent="0.35">
      <c r="A1790" s="198" t="s">
        <v>35</v>
      </c>
      <c r="B1790" s="199">
        <v>1976</v>
      </c>
      <c r="C1790" s="199" t="s">
        <v>1537</v>
      </c>
      <c r="D1790" s="199">
        <v>1857</v>
      </c>
      <c r="E1790" s="199">
        <v>22254244.59</v>
      </c>
      <c r="F1790" s="199">
        <v>3171674.08</v>
      </c>
      <c r="G1790" s="199">
        <f>'Mail Merge'!$E1790+'Mail Merge'!$F1790</f>
        <v>25425918.670000002</v>
      </c>
      <c r="H1790" s="199">
        <v>0</v>
      </c>
      <c r="I1790" s="199" t="s">
        <v>241</v>
      </c>
      <c r="J1790" s="202">
        <f>IFERROR('Mail Merge'!$E1790/'Mail Merge'!$D1790,0)</f>
        <v>11983.97662358643</v>
      </c>
      <c r="K1790" s="199">
        <f>IFERROR('Mail Merge'!$F1790/'Mail Merge'!$D1790,0)</f>
        <v>1707.9558858373721</v>
      </c>
      <c r="L1790" s="203">
        <f>IFERROR('Mail Merge'!$G1790/'Mail Merge'!$D1790,0)</f>
        <v>13691.932509423803</v>
      </c>
      <c r="M1790" s="199">
        <v>0</v>
      </c>
      <c r="N1790" s="199" t="s">
        <v>241</v>
      </c>
      <c r="O1790" s="199">
        <v>2775953.65</v>
      </c>
      <c r="P1790" s="199">
        <v>17940.93</v>
      </c>
      <c r="Q1790" s="199">
        <f>'Mail Merge'!$O1790+'Mail Merge'!$P1790</f>
        <v>2793894.58</v>
      </c>
      <c r="R1790" s="199"/>
      <c r="S1790" s="199">
        <v>0</v>
      </c>
      <c r="T1790" s="199"/>
      <c r="U1790" s="199">
        <f>IF(AND('Mail Merge'!$I1790="Did Not Meet",'Mail Merge'!$N1790="Did Not Meet"),MIN(ABS('Mail Merge'!$H1790),ABS('Mail Merge'!$M1790),'Mail Merge'!$Q1790),0)</f>
        <v>0</v>
      </c>
      <c r="V1790" s="199" t="str">
        <f>IF(OR(IFERROR(SEARCH("Met",'Mail Merge'!$N1790),0)&gt;0,IFERROR(SEARCH("Met",'Mail Merge'!$I1790),0)&gt;0),"Met","Not Met")</f>
        <v>Met</v>
      </c>
    </row>
    <row r="1791" spans="1:22" x14ac:dyDescent="0.35">
      <c r="A1791" s="200" t="s">
        <v>36</v>
      </c>
      <c r="B1791" s="201">
        <v>2088</v>
      </c>
      <c r="C1791" s="201" t="s">
        <v>1537</v>
      </c>
      <c r="D1791" s="201">
        <v>1015</v>
      </c>
      <c r="E1791" s="201">
        <v>10982166.25</v>
      </c>
      <c r="F1791" s="201">
        <v>756351</v>
      </c>
      <c r="G1791" s="201">
        <f>'Mail Merge'!$E1791+'Mail Merge'!$F1791</f>
        <v>11738517.25</v>
      </c>
      <c r="H1791" s="201">
        <v>0</v>
      </c>
      <c r="I1791" s="201" t="s">
        <v>241</v>
      </c>
      <c r="J1791" s="204">
        <f>IFERROR('Mail Merge'!$E1791/'Mail Merge'!$D1791,0)</f>
        <v>10819.868226600986</v>
      </c>
      <c r="K1791" s="201">
        <f>IFERROR('Mail Merge'!$F1791/'Mail Merge'!$D1791,0)</f>
        <v>745.17339901477828</v>
      </c>
      <c r="L1791" s="205">
        <f>IFERROR('Mail Merge'!$G1791/'Mail Merge'!$D1791,0)</f>
        <v>11565.041625615764</v>
      </c>
      <c r="M1791" s="201">
        <v>0</v>
      </c>
      <c r="N1791" s="201" t="s">
        <v>241</v>
      </c>
      <c r="O1791" s="201">
        <v>994047.37</v>
      </c>
      <c r="P1791" s="201">
        <v>9102.16</v>
      </c>
      <c r="Q1791" s="201">
        <f>'Mail Merge'!$O1791+'Mail Merge'!$P1791</f>
        <v>1003149.53</v>
      </c>
      <c r="R1791" s="201"/>
      <c r="S1791" s="201">
        <v>0</v>
      </c>
      <c r="T1791" s="201"/>
      <c r="U1791" s="201">
        <f>IF(AND('Mail Merge'!$I1791="Did Not Meet",'Mail Merge'!$N1791="Did Not Meet"),MIN(ABS('Mail Merge'!$H1791),ABS('Mail Merge'!$M1791),'Mail Merge'!$Q1791),0)</f>
        <v>0</v>
      </c>
      <c r="V1791" s="201" t="str">
        <f>IF(OR(IFERROR(SEARCH("Met",'Mail Merge'!$N1791),0)&gt;0,IFERROR(SEARCH("Met",'Mail Merge'!$I1791),0)&gt;0),"Met","Not Met")</f>
        <v>Met</v>
      </c>
    </row>
    <row r="1792" spans="1:22" x14ac:dyDescent="0.35">
      <c r="A1792" s="198" t="s">
        <v>37</v>
      </c>
      <c r="B1792" s="199">
        <v>2095</v>
      </c>
      <c r="C1792" s="199" t="s">
        <v>1537</v>
      </c>
      <c r="D1792" s="199">
        <v>52</v>
      </c>
      <c r="E1792" s="199">
        <v>416787.82</v>
      </c>
      <c r="F1792" s="199">
        <v>40746</v>
      </c>
      <c r="G1792" s="199">
        <f>'Mail Merge'!$E1792+'Mail Merge'!$F1792</f>
        <v>457533.82</v>
      </c>
      <c r="H1792" s="199">
        <v>0</v>
      </c>
      <c r="I1792" s="199" t="s">
        <v>241</v>
      </c>
      <c r="J1792" s="202">
        <f>IFERROR('Mail Merge'!$E1792/'Mail Merge'!$D1792,0)</f>
        <v>8015.1503846153846</v>
      </c>
      <c r="K1792" s="199">
        <f>IFERROR('Mail Merge'!$F1792/'Mail Merge'!$D1792,0)</f>
        <v>783.57692307692309</v>
      </c>
      <c r="L1792" s="203">
        <f>IFERROR('Mail Merge'!$G1792/'Mail Merge'!$D1792,0)</f>
        <v>8798.7273076923084</v>
      </c>
      <c r="M1792" s="199">
        <v>-36247.766537955191</v>
      </c>
      <c r="N1792" s="199" t="s">
        <v>240</v>
      </c>
      <c r="O1792" s="199">
        <v>46350.89</v>
      </c>
      <c r="P1792" s="199">
        <v>55.83</v>
      </c>
      <c r="Q1792" s="199">
        <f>'Mail Merge'!$O1792+'Mail Merge'!$P1792</f>
        <v>46406.720000000001</v>
      </c>
      <c r="R1792" s="199"/>
      <c r="S1792" s="199">
        <v>0</v>
      </c>
      <c r="T1792" s="199">
        <v>183.7</v>
      </c>
      <c r="U1792" s="199">
        <f>IF(AND('Mail Merge'!$I1792="Did Not Meet",'Mail Merge'!$N1792="Did Not Meet"),MIN(ABS('Mail Merge'!$H1792),ABS('Mail Merge'!$M1792),'Mail Merge'!$Q1792),0)</f>
        <v>0</v>
      </c>
      <c r="V1792" s="199" t="str">
        <f>IF(OR(IFERROR(SEARCH("Met",'Mail Merge'!$N1792),0)&gt;0,IFERROR(SEARCH("Met",'Mail Merge'!$I1792),0)&gt;0),"Met","Not Met")</f>
        <v>Met</v>
      </c>
    </row>
    <row r="1793" spans="1:22" x14ac:dyDescent="0.35">
      <c r="A1793" s="200" t="s">
        <v>38</v>
      </c>
      <c r="B1793" s="201">
        <v>2052</v>
      </c>
      <c r="C1793" s="201" t="s">
        <v>1537</v>
      </c>
      <c r="D1793" s="201">
        <v>5</v>
      </c>
      <c r="E1793" s="201">
        <v>0</v>
      </c>
      <c r="F1793" s="201">
        <v>15938.74</v>
      </c>
      <c r="G1793" s="201">
        <f>'Mail Merge'!$E1793+'Mail Merge'!$F1793</f>
        <v>15938.74</v>
      </c>
      <c r="H1793" s="201">
        <v>-1839.6499999999996</v>
      </c>
      <c r="I1793" s="201" t="s">
        <v>240</v>
      </c>
      <c r="J1793" s="204">
        <f>IFERROR('Mail Merge'!$E1793/'Mail Merge'!$D1793,0)</f>
        <v>0</v>
      </c>
      <c r="K1793" s="201">
        <f>IFERROR('Mail Merge'!$F1793/'Mail Merge'!$D1793,0)</f>
        <v>3187.748</v>
      </c>
      <c r="L1793" s="205">
        <f>IFERROR('Mail Merge'!$G1793/'Mail Merge'!$D1793,0)</f>
        <v>3187.748</v>
      </c>
      <c r="M1793" s="201">
        <v>-28507.235000000001</v>
      </c>
      <c r="N1793" s="201" t="s">
        <v>240</v>
      </c>
      <c r="O1793" s="201">
        <v>4020.89</v>
      </c>
      <c r="P1793" s="201">
        <v>7.82</v>
      </c>
      <c r="Q1793" s="201">
        <f>'Mail Merge'!$O1793+'Mail Merge'!$P1793</f>
        <v>4028.71</v>
      </c>
      <c r="R1793" s="201"/>
      <c r="S1793" s="201">
        <v>0</v>
      </c>
      <c r="T1793" s="201">
        <v>0</v>
      </c>
      <c r="U1793" s="201">
        <f>IF(AND('Mail Merge'!$I1793="Did Not Meet",'Mail Merge'!$N1793="Did Not Meet"),MIN(ABS('Mail Merge'!$H1793),ABS('Mail Merge'!$M1793),'Mail Merge'!$Q1793),0)</f>
        <v>1839.6499999999996</v>
      </c>
      <c r="V1793" s="201" t="str">
        <f>IF(OR(IFERROR(SEARCH("Met",'Mail Merge'!$N1793),0)&gt;0,IFERROR(SEARCH("Met",'Mail Merge'!$I1793),0)&gt;0),"Met","Not Met")</f>
        <v>Not Met</v>
      </c>
    </row>
    <row r="1794" spans="1:22" x14ac:dyDescent="0.35">
      <c r="A1794" s="198" t="s">
        <v>39</v>
      </c>
      <c r="B1794" s="199">
        <v>1974</v>
      </c>
      <c r="C1794" s="199" t="s">
        <v>1537</v>
      </c>
      <c r="D1794" s="199">
        <v>238</v>
      </c>
      <c r="E1794" s="199">
        <v>2350051.3199999998</v>
      </c>
      <c r="F1794" s="199">
        <v>15228.48</v>
      </c>
      <c r="G1794" s="199">
        <f>'Mail Merge'!$E1794+'Mail Merge'!$F1794</f>
        <v>2365279.7999999998</v>
      </c>
      <c r="H1794" s="199">
        <v>0</v>
      </c>
      <c r="I1794" s="199" t="s">
        <v>241</v>
      </c>
      <c r="J1794" s="202">
        <f>IFERROR('Mail Merge'!$E1794/'Mail Merge'!$D1794,0)</f>
        <v>9874.1652100840329</v>
      </c>
      <c r="K1794" s="199">
        <f>IFERROR('Mail Merge'!$F1794/'Mail Merge'!$D1794,0)</f>
        <v>63.985210084033611</v>
      </c>
      <c r="L1794" s="203">
        <f>IFERROR('Mail Merge'!$G1794/'Mail Merge'!$D1794,0)</f>
        <v>9938.1504201680673</v>
      </c>
      <c r="M1794" s="199">
        <v>-199504.07525581421</v>
      </c>
      <c r="N1794" s="199" t="s">
        <v>240</v>
      </c>
      <c r="O1794" s="199">
        <v>326749.06</v>
      </c>
      <c r="P1794" s="199">
        <v>7436.96</v>
      </c>
      <c r="Q1794" s="199">
        <f>'Mail Merge'!$O1794+'Mail Merge'!$P1794</f>
        <v>334186.02</v>
      </c>
      <c r="R1794" s="199"/>
      <c r="S1794" s="199">
        <v>0</v>
      </c>
      <c r="T1794" s="199">
        <v>0</v>
      </c>
      <c r="U1794" s="199">
        <f>IF(AND('Mail Merge'!$I1794="Did Not Meet",'Mail Merge'!$N1794="Did Not Meet"),MIN(ABS('Mail Merge'!$H1794),ABS('Mail Merge'!$M1794),'Mail Merge'!$Q1794),0)</f>
        <v>0</v>
      </c>
      <c r="V1794" s="199" t="str">
        <f>IF(OR(IFERROR(SEARCH("Met",'Mail Merge'!$N1794),0)&gt;0,IFERROR(SEARCH("Met",'Mail Merge'!$I1794),0)&gt;0),"Met","Not Met")</f>
        <v>Met</v>
      </c>
    </row>
    <row r="1795" spans="1:22" x14ac:dyDescent="0.35">
      <c r="A1795" s="200" t="s">
        <v>40</v>
      </c>
      <c r="B1795" s="201">
        <v>1896</v>
      </c>
      <c r="C1795" s="201" t="s">
        <v>1537</v>
      </c>
      <c r="D1795" s="201">
        <v>6</v>
      </c>
      <c r="E1795" s="201">
        <v>59442</v>
      </c>
      <c r="F1795" s="201">
        <v>15377.58</v>
      </c>
      <c r="G1795" s="201">
        <f>'Mail Merge'!$E1795+'Mail Merge'!$F1795</f>
        <v>74819.58</v>
      </c>
      <c r="H1795" s="201">
        <v>0</v>
      </c>
      <c r="I1795" s="201" t="s">
        <v>241</v>
      </c>
      <c r="J1795" s="204">
        <f>IFERROR('Mail Merge'!$E1795/'Mail Merge'!$D1795,0)</f>
        <v>9907</v>
      </c>
      <c r="K1795" s="201">
        <f>IFERROR('Mail Merge'!$F1795/'Mail Merge'!$D1795,0)</f>
        <v>2562.9299999999998</v>
      </c>
      <c r="L1795" s="205">
        <f>IFERROR('Mail Merge'!$G1795/'Mail Merge'!$D1795,0)</f>
        <v>12469.93</v>
      </c>
      <c r="M1795" s="201">
        <v>-146770.63199999995</v>
      </c>
      <c r="N1795" s="201" t="s">
        <v>240</v>
      </c>
      <c r="O1795" s="201">
        <v>15470.22</v>
      </c>
      <c r="P1795" s="201">
        <v>10.93</v>
      </c>
      <c r="Q1795" s="201">
        <f>'Mail Merge'!$O1795+'Mail Merge'!$P1795</f>
        <v>15481.15</v>
      </c>
      <c r="R1795" s="201"/>
      <c r="S1795" s="201">
        <v>0</v>
      </c>
      <c r="T1795" s="201">
        <v>24217.03</v>
      </c>
      <c r="U1795" s="201">
        <f>IF(AND('Mail Merge'!$I1795="Did Not Meet",'Mail Merge'!$N1795="Did Not Meet"),MIN(ABS('Mail Merge'!$H1795),ABS('Mail Merge'!$M1795),'Mail Merge'!$Q1795),0)</f>
        <v>0</v>
      </c>
      <c r="V1795" s="201" t="str">
        <f>IF(OR(IFERROR(SEARCH("Met",'Mail Merge'!$N1795),0)&gt;0,IFERROR(SEARCH("Met",'Mail Merge'!$I1795),0)&gt;0),"Met","Not Met")</f>
        <v>Met</v>
      </c>
    </row>
    <row r="1796" spans="1:22" x14ac:dyDescent="0.35">
      <c r="A1796" s="198" t="s">
        <v>42</v>
      </c>
      <c r="B1796" s="199">
        <v>2046</v>
      </c>
      <c r="C1796" s="199" t="s">
        <v>1537</v>
      </c>
      <c r="D1796" s="199">
        <v>53</v>
      </c>
      <c r="E1796" s="199">
        <v>291517.84000000003</v>
      </c>
      <c r="F1796" s="199">
        <v>126653.25</v>
      </c>
      <c r="G1796" s="199">
        <f>'Mail Merge'!$E1796+'Mail Merge'!$F1796</f>
        <v>418171.09</v>
      </c>
      <c r="H1796" s="199">
        <v>0</v>
      </c>
      <c r="I1796" s="199" t="s">
        <v>241</v>
      </c>
      <c r="J1796" s="202">
        <f>IFERROR('Mail Merge'!$E1796/'Mail Merge'!$D1796,0)</f>
        <v>5500.336603773585</v>
      </c>
      <c r="K1796" s="199">
        <f>IFERROR('Mail Merge'!$F1796/'Mail Merge'!$D1796,0)</f>
        <v>2389.683962264151</v>
      </c>
      <c r="L1796" s="203">
        <f>IFERROR('Mail Merge'!$G1796/'Mail Merge'!$D1796,0)</f>
        <v>7890.020566037736</v>
      </c>
      <c r="M1796" s="199">
        <v>-88907.711126126102</v>
      </c>
      <c r="N1796" s="199" t="s">
        <v>240</v>
      </c>
      <c r="O1796" s="199">
        <v>41065.11</v>
      </c>
      <c r="P1796" s="199">
        <v>20.56</v>
      </c>
      <c r="Q1796" s="199">
        <f>'Mail Merge'!$O1796+'Mail Merge'!$P1796</f>
        <v>41085.67</v>
      </c>
      <c r="R1796" s="199"/>
      <c r="S1796" s="199">
        <v>0</v>
      </c>
      <c r="T1796" s="199">
        <v>201.57</v>
      </c>
      <c r="U1796" s="199">
        <f>IF(AND('Mail Merge'!$I1796="Did Not Meet",'Mail Merge'!$N1796="Did Not Meet"),MIN(ABS('Mail Merge'!$H1796),ABS('Mail Merge'!$M1796),'Mail Merge'!$Q1796),0)</f>
        <v>0</v>
      </c>
      <c r="V1796" s="199" t="str">
        <f>IF(OR(IFERROR(SEARCH("Met",'Mail Merge'!$N1796),0)&gt;0,IFERROR(SEARCH("Met",'Mail Merge'!$I1796),0)&gt;0),"Met","Not Met")</f>
        <v>Met</v>
      </c>
    </row>
    <row r="1797" spans="1:22" x14ac:dyDescent="0.35">
      <c r="A1797" s="200" t="s">
        <v>43</v>
      </c>
      <c r="B1797" s="201">
        <v>1995</v>
      </c>
      <c r="C1797" s="201" t="s">
        <v>1537</v>
      </c>
      <c r="D1797" s="201">
        <v>35</v>
      </c>
      <c r="E1797" s="201">
        <v>245510.1</v>
      </c>
      <c r="F1797" s="201">
        <v>36345.550000000003</v>
      </c>
      <c r="G1797" s="201">
        <f>'Mail Merge'!$E1797+'Mail Merge'!$F1797</f>
        <v>281855.65000000002</v>
      </c>
      <c r="H1797" s="201">
        <v>0</v>
      </c>
      <c r="I1797" s="201" t="s">
        <v>241</v>
      </c>
      <c r="J1797" s="204">
        <f>IFERROR('Mail Merge'!$E1797/'Mail Merge'!$D1797,0)</f>
        <v>7014.5742857142859</v>
      </c>
      <c r="K1797" s="201">
        <f>IFERROR('Mail Merge'!$F1797/'Mail Merge'!$D1797,0)</f>
        <v>1038.4442857142858</v>
      </c>
      <c r="L1797" s="205">
        <f>IFERROR('Mail Merge'!$G1797/'Mail Merge'!$D1797,0)</f>
        <v>8053.0185714285717</v>
      </c>
      <c r="M1797" s="201">
        <v>0</v>
      </c>
      <c r="N1797" s="201" t="s">
        <v>241</v>
      </c>
      <c r="O1797" s="201">
        <v>45390.92</v>
      </c>
      <c r="P1797" s="201">
        <v>56.12</v>
      </c>
      <c r="Q1797" s="201">
        <f>'Mail Merge'!$O1797+'Mail Merge'!$P1797</f>
        <v>45447.040000000001</v>
      </c>
      <c r="R1797" s="201"/>
      <c r="S1797" s="201">
        <v>0</v>
      </c>
      <c r="T1797" s="201"/>
      <c r="U1797" s="201">
        <f>IF(AND('Mail Merge'!$I1797="Did Not Meet",'Mail Merge'!$N1797="Did Not Meet"),MIN(ABS('Mail Merge'!$H1797),ABS('Mail Merge'!$M1797),'Mail Merge'!$Q1797),0)</f>
        <v>0</v>
      </c>
      <c r="V1797" s="201" t="str">
        <f>IF(OR(IFERROR(SEARCH("Met",'Mail Merge'!$N1797),0)&gt;0,IFERROR(SEARCH("Met",'Mail Merge'!$I1797),0)&gt;0),"Met","Not Met")</f>
        <v>Met</v>
      </c>
    </row>
    <row r="1798" spans="1:22" x14ac:dyDescent="0.35">
      <c r="A1798" s="198" t="s">
        <v>44</v>
      </c>
      <c r="B1798" s="199">
        <v>1929</v>
      </c>
      <c r="C1798" s="199" t="s">
        <v>1537</v>
      </c>
      <c r="D1798" s="199">
        <v>599</v>
      </c>
      <c r="E1798" s="199">
        <v>7158153.6699999999</v>
      </c>
      <c r="F1798" s="199">
        <v>608137</v>
      </c>
      <c r="G1798" s="199">
        <f>'Mail Merge'!$E1798+'Mail Merge'!$F1798</f>
        <v>7766290.6699999999</v>
      </c>
      <c r="H1798" s="199">
        <v>0</v>
      </c>
      <c r="I1798" s="199" t="s">
        <v>241</v>
      </c>
      <c r="J1798" s="202">
        <f>IFERROR('Mail Merge'!$E1798/'Mail Merge'!$D1798,0)</f>
        <v>11950.17307178631</v>
      </c>
      <c r="K1798" s="199">
        <f>IFERROR('Mail Merge'!$F1798/'Mail Merge'!$D1798,0)</f>
        <v>1015.2537562604341</v>
      </c>
      <c r="L1798" s="203">
        <f>IFERROR('Mail Merge'!$G1798/'Mail Merge'!$D1798,0)</f>
        <v>12965.426828046744</v>
      </c>
      <c r="M1798" s="199">
        <v>0</v>
      </c>
      <c r="N1798" s="199" t="s">
        <v>241</v>
      </c>
      <c r="O1798" s="199">
        <v>773488.79</v>
      </c>
      <c r="P1798" s="199">
        <v>4199.13</v>
      </c>
      <c r="Q1798" s="199">
        <f>'Mail Merge'!$O1798+'Mail Merge'!$P1798</f>
        <v>777687.92</v>
      </c>
      <c r="R1798" s="199"/>
      <c r="S1798" s="199">
        <v>0</v>
      </c>
      <c r="T1798" s="199"/>
      <c r="U1798" s="199">
        <f>IF(AND('Mail Merge'!$I1798="Did Not Meet",'Mail Merge'!$N1798="Did Not Meet"),MIN(ABS('Mail Merge'!$H1798),ABS('Mail Merge'!$M1798),'Mail Merge'!$Q1798),0)</f>
        <v>0</v>
      </c>
      <c r="V1798" s="199" t="str">
        <f>IF(OR(IFERROR(SEARCH("Met",'Mail Merge'!$N1798),0)&gt;0,IFERROR(SEARCH("Met",'Mail Merge'!$I1798),0)&gt;0),"Met","Not Met")</f>
        <v>Met</v>
      </c>
    </row>
    <row r="1799" spans="1:22" x14ac:dyDescent="0.35">
      <c r="A1799" s="200" t="s">
        <v>45</v>
      </c>
      <c r="B1799" s="201">
        <v>2139</v>
      </c>
      <c r="C1799" s="201" t="s">
        <v>1537</v>
      </c>
      <c r="D1799" s="201">
        <v>370</v>
      </c>
      <c r="E1799" s="201">
        <v>4371758.55</v>
      </c>
      <c r="F1799" s="201">
        <v>300412.24</v>
      </c>
      <c r="G1799" s="201">
        <f>'Mail Merge'!$E1799+'Mail Merge'!$F1799</f>
        <v>4672170.79</v>
      </c>
      <c r="H1799" s="201">
        <v>0</v>
      </c>
      <c r="I1799" s="201" t="s">
        <v>241</v>
      </c>
      <c r="J1799" s="204">
        <f>IFERROR('Mail Merge'!$E1799/'Mail Merge'!$D1799,0)</f>
        <v>11815.563648648647</v>
      </c>
      <c r="K1799" s="201">
        <f>IFERROR('Mail Merge'!$F1799/'Mail Merge'!$D1799,0)</f>
        <v>811.92497297297291</v>
      </c>
      <c r="L1799" s="205">
        <f>IFERROR('Mail Merge'!$G1799/'Mail Merge'!$D1799,0)</f>
        <v>12627.488621621622</v>
      </c>
      <c r="M1799" s="201">
        <v>0</v>
      </c>
      <c r="N1799" s="201" t="s">
        <v>241</v>
      </c>
      <c r="O1799" s="201">
        <v>425698.99</v>
      </c>
      <c r="P1799" s="201">
        <v>5058.51</v>
      </c>
      <c r="Q1799" s="201">
        <f>'Mail Merge'!$O1799+'Mail Merge'!$P1799</f>
        <v>430757.5</v>
      </c>
      <c r="R1799" s="201"/>
      <c r="S1799" s="201">
        <v>0</v>
      </c>
      <c r="T1799" s="201"/>
      <c r="U1799" s="201">
        <f>IF(AND('Mail Merge'!$I1799="Did Not Meet",'Mail Merge'!$N1799="Did Not Meet"),MIN(ABS('Mail Merge'!$H1799),ABS('Mail Merge'!$M1799),'Mail Merge'!$Q1799),0)</f>
        <v>0</v>
      </c>
      <c r="V1799" s="201" t="str">
        <f>IF(OR(IFERROR(SEARCH("Met",'Mail Merge'!$N1799),0)&gt;0,IFERROR(SEARCH("Met",'Mail Merge'!$I1799),0)&gt;0),"Met","Not Met")</f>
        <v>Met</v>
      </c>
    </row>
    <row r="1800" spans="1:22" x14ac:dyDescent="0.35">
      <c r="A1800" s="198" t="s">
        <v>46</v>
      </c>
      <c r="B1800" s="199">
        <v>2185</v>
      </c>
      <c r="C1800" s="199" t="s">
        <v>1537</v>
      </c>
      <c r="D1800" s="199">
        <v>857</v>
      </c>
      <c r="E1800" s="199">
        <v>12644771.060000001</v>
      </c>
      <c r="F1800" s="199">
        <v>1561800.12</v>
      </c>
      <c r="G1800" s="199">
        <f>'Mail Merge'!$E1800+'Mail Merge'!$F1800</f>
        <v>14206571.18</v>
      </c>
      <c r="H1800" s="199">
        <v>0</v>
      </c>
      <c r="I1800" s="199" t="s">
        <v>241</v>
      </c>
      <c r="J1800" s="202">
        <f>IFERROR('Mail Merge'!$E1800/'Mail Merge'!$D1800,0)</f>
        <v>14754.692018669779</v>
      </c>
      <c r="K1800" s="199">
        <f>IFERROR('Mail Merge'!$F1800/'Mail Merge'!$D1800,0)</f>
        <v>1822.4038739789967</v>
      </c>
      <c r="L1800" s="203">
        <f>IFERROR('Mail Merge'!$G1800/'Mail Merge'!$D1800,0)</f>
        <v>16577.095892648773</v>
      </c>
      <c r="M1800" s="199">
        <v>0</v>
      </c>
      <c r="N1800" s="199" t="s">
        <v>241</v>
      </c>
      <c r="O1800" s="199">
        <v>1001372.88</v>
      </c>
      <c r="P1800" s="199">
        <v>9543.35</v>
      </c>
      <c r="Q1800" s="199">
        <f>'Mail Merge'!$O1800+'Mail Merge'!$P1800</f>
        <v>1010916.23</v>
      </c>
      <c r="R1800" s="199"/>
      <c r="S1800" s="199">
        <v>0</v>
      </c>
      <c r="T1800" s="199">
        <v>256.85000000000002</v>
      </c>
      <c r="U1800" s="199">
        <f>IF(AND('Mail Merge'!$I1800="Did Not Meet",'Mail Merge'!$N1800="Did Not Meet"),MIN(ABS('Mail Merge'!$H1800),ABS('Mail Merge'!$M1800),'Mail Merge'!$Q1800),0)</f>
        <v>0</v>
      </c>
      <c r="V1800" s="199" t="str">
        <f>IF(OR(IFERROR(SEARCH("Met",'Mail Merge'!$N1800),0)&gt;0,IFERROR(SEARCH("Met",'Mail Merge'!$I1800),0)&gt;0),"Met","Not Met")</f>
        <v>Met</v>
      </c>
    </row>
    <row r="1801" spans="1:22" x14ac:dyDescent="0.35">
      <c r="A1801" s="200" t="s">
        <v>47</v>
      </c>
      <c r="B1801" s="201">
        <v>1972</v>
      </c>
      <c r="C1801" s="201" t="s">
        <v>1537</v>
      </c>
      <c r="D1801" s="201">
        <v>60</v>
      </c>
      <c r="E1801" s="201">
        <v>282749.34999999998</v>
      </c>
      <c r="F1801" s="201">
        <v>223135.89</v>
      </c>
      <c r="G1801" s="201">
        <f>'Mail Merge'!$E1801+'Mail Merge'!$F1801</f>
        <v>505885.24</v>
      </c>
      <c r="H1801" s="201">
        <v>0</v>
      </c>
      <c r="I1801" s="201" t="s">
        <v>242</v>
      </c>
      <c r="J1801" s="204">
        <f>IFERROR('Mail Merge'!$E1801/'Mail Merge'!$D1801,0)</f>
        <v>4712.4891666666663</v>
      </c>
      <c r="K1801" s="201">
        <f>IFERROR('Mail Merge'!$F1801/'Mail Merge'!$D1801,0)</f>
        <v>3718.9315000000001</v>
      </c>
      <c r="L1801" s="205">
        <f>IFERROR('Mail Merge'!$G1801/'Mail Merge'!$D1801,0)</f>
        <v>8431.4206666666669</v>
      </c>
      <c r="M1801" s="201">
        <v>-33147.218823529394</v>
      </c>
      <c r="N1801" s="201" t="s">
        <v>240</v>
      </c>
      <c r="O1801" s="201">
        <v>112322.88</v>
      </c>
      <c r="P1801" s="201">
        <v>506.5</v>
      </c>
      <c r="Q1801" s="201">
        <f>'Mail Merge'!$O1801+'Mail Merge'!$P1801</f>
        <v>112829.38</v>
      </c>
      <c r="R1801" s="201"/>
      <c r="S1801" s="201">
        <v>164380.18</v>
      </c>
      <c r="T1801" s="201">
        <v>1679.73</v>
      </c>
      <c r="U1801" s="201">
        <f>IF(AND('Mail Merge'!$I1801="Did Not Meet",'Mail Merge'!$N1801="Did Not Meet"),MIN(ABS('Mail Merge'!$H1801),ABS('Mail Merge'!$M1801),'Mail Merge'!$Q1801),0)</f>
        <v>0</v>
      </c>
      <c r="V1801" s="201" t="str">
        <f>IF(OR(IFERROR(SEARCH("Met",'Mail Merge'!$N1801),0)&gt;0,IFERROR(SEARCH("Met",'Mail Merge'!$I1801),0)&gt;0),"Met","Not Met")</f>
        <v>Met</v>
      </c>
    </row>
    <row r="1802" spans="1:22" x14ac:dyDescent="0.35">
      <c r="A1802" s="198" t="s">
        <v>48</v>
      </c>
      <c r="B1802" s="199">
        <v>2105</v>
      </c>
      <c r="C1802" s="199" t="s">
        <v>1537</v>
      </c>
      <c r="D1802" s="199">
        <v>96</v>
      </c>
      <c r="E1802" s="199">
        <v>652864.28</v>
      </c>
      <c r="F1802" s="199">
        <v>127725</v>
      </c>
      <c r="G1802" s="199">
        <f>'Mail Merge'!$E1802+'Mail Merge'!$F1802</f>
        <v>780589.28</v>
      </c>
      <c r="H1802" s="199">
        <v>0</v>
      </c>
      <c r="I1802" s="199" t="s">
        <v>241</v>
      </c>
      <c r="J1802" s="202">
        <f>IFERROR('Mail Merge'!$E1802/'Mail Merge'!$D1802,0)</f>
        <v>6800.6695833333333</v>
      </c>
      <c r="K1802" s="199">
        <f>IFERROR('Mail Merge'!$F1802/'Mail Merge'!$D1802,0)</f>
        <v>1330.46875</v>
      </c>
      <c r="L1802" s="203">
        <f>IFERROR('Mail Merge'!$G1802/'Mail Merge'!$D1802,0)</f>
        <v>8131.1383333333333</v>
      </c>
      <c r="M1802" s="199">
        <v>0</v>
      </c>
      <c r="N1802" s="199" t="s">
        <v>242</v>
      </c>
      <c r="O1802" s="199">
        <v>113948.84</v>
      </c>
      <c r="P1802" s="199">
        <v>1006.43</v>
      </c>
      <c r="Q1802" s="199">
        <f>'Mail Merge'!$O1802+'Mail Merge'!$P1802</f>
        <v>114955.26999999999</v>
      </c>
      <c r="R1802" s="199"/>
      <c r="S1802" s="199">
        <v>0</v>
      </c>
      <c r="T1802" s="199">
        <v>411.01</v>
      </c>
      <c r="U1802" s="199">
        <f>IF(AND('Mail Merge'!$I1802="Did Not Meet",'Mail Merge'!$N1802="Did Not Meet"),MIN(ABS('Mail Merge'!$H1802),ABS('Mail Merge'!$M1802),'Mail Merge'!$Q1802),0)</f>
        <v>0</v>
      </c>
      <c r="V1802" s="199" t="str">
        <f>IF(OR(IFERROR(SEARCH("Met",'Mail Merge'!$N1802),0)&gt;0,IFERROR(SEARCH("Met",'Mail Merge'!$I1802),0)&gt;0),"Met","Not Met")</f>
        <v>Met</v>
      </c>
    </row>
    <row r="1803" spans="1:22" x14ac:dyDescent="0.35">
      <c r="A1803" s="200" t="s">
        <v>49</v>
      </c>
      <c r="B1803" s="201">
        <v>2042</v>
      </c>
      <c r="C1803" s="201" t="s">
        <v>1537</v>
      </c>
      <c r="D1803" s="201">
        <v>679</v>
      </c>
      <c r="E1803" s="201">
        <v>3534463.98</v>
      </c>
      <c r="F1803" s="201">
        <v>970345.37</v>
      </c>
      <c r="G1803" s="201">
        <f>'Mail Merge'!$E1803+'Mail Merge'!$F1803</f>
        <v>4504809.3499999996</v>
      </c>
      <c r="H1803" s="201">
        <v>0</v>
      </c>
      <c r="I1803" s="201" t="s">
        <v>241</v>
      </c>
      <c r="J1803" s="204">
        <f>IFERROR('Mail Merge'!$E1803/'Mail Merge'!$D1803,0)</f>
        <v>5205.396141384389</v>
      </c>
      <c r="K1803" s="201">
        <f>IFERROR('Mail Merge'!$F1803/'Mail Merge'!$D1803,0)</f>
        <v>1429.0800736377025</v>
      </c>
      <c r="L1803" s="205">
        <f>IFERROR('Mail Merge'!$G1803/'Mail Merge'!$D1803,0)</f>
        <v>6634.4762150220904</v>
      </c>
      <c r="M1803" s="201">
        <v>-424968.24593219784</v>
      </c>
      <c r="N1803" s="201" t="s">
        <v>240</v>
      </c>
      <c r="O1803" s="201">
        <v>646064.43000000005</v>
      </c>
      <c r="P1803" s="201">
        <v>10969.49</v>
      </c>
      <c r="Q1803" s="201">
        <f>'Mail Merge'!$O1803+'Mail Merge'!$P1803</f>
        <v>657033.92000000004</v>
      </c>
      <c r="R1803" s="201"/>
      <c r="S1803" s="201">
        <v>0</v>
      </c>
      <c r="T1803" s="201">
        <v>161.54</v>
      </c>
      <c r="U1803" s="201">
        <f>IF(AND('Mail Merge'!$I1803="Did Not Meet",'Mail Merge'!$N1803="Did Not Meet"),MIN(ABS('Mail Merge'!$H1803),ABS('Mail Merge'!$M1803),'Mail Merge'!$Q1803),0)</f>
        <v>0</v>
      </c>
      <c r="V1803" s="201" t="str">
        <f>IF(OR(IFERROR(SEARCH("Met",'Mail Merge'!$N1803),0)&gt;0,IFERROR(SEARCH("Met",'Mail Merge'!$I1803),0)&gt;0),"Met","Not Met")</f>
        <v>Met</v>
      </c>
    </row>
    <row r="1804" spans="1:22" x14ac:dyDescent="0.35">
      <c r="A1804" s="198" t="s">
        <v>50</v>
      </c>
      <c r="B1804" s="199">
        <v>2191</v>
      </c>
      <c r="C1804" s="199" t="s">
        <v>1537</v>
      </c>
      <c r="D1804" s="199">
        <v>354</v>
      </c>
      <c r="E1804" s="199">
        <v>6503321.1299999999</v>
      </c>
      <c r="F1804" s="199">
        <v>253911.1</v>
      </c>
      <c r="G1804" s="199">
        <f>'Mail Merge'!$E1804+'Mail Merge'!$F1804</f>
        <v>6757232.2299999995</v>
      </c>
      <c r="H1804" s="199">
        <v>0</v>
      </c>
      <c r="I1804" s="199" t="s">
        <v>241</v>
      </c>
      <c r="J1804" s="202">
        <f>IFERROR('Mail Merge'!$E1804/'Mail Merge'!$D1804,0)</f>
        <v>18370.963644067797</v>
      </c>
      <c r="K1804" s="199">
        <f>IFERROR('Mail Merge'!$F1804/'Mail Merge'!$D1804,0)</f>
        <v>717.2629943502825</v>
      </c>
      <c r="L1804" s="203">
        <f>IFERROR('Mail Merge'!$G1804/'Mail Merge'!$D1804,0)</f>
        <v>19088.226638418077</v>
      </c>
      <c r="M1804" s="199">
        <v>0</v>
      </c>
      <c r="N1804" s="199" t="s">
        <v>241</v>
      </c>
      <c r="O1804" s="199">
        <v>499177.79</v>
      </c>
      <c r="P1804" s="199">
        <v>3632.48</v>
      </c>
      <c r="Q1804" s="199">
        <f>'Mail Merge'!$O1804+'Mail Merge'!$P1804</f>
        <v>502810.26999999996</v>
      </c>
      <c r="R1804" s="199"/>
      <c r="S1804" s="199">
        <v>0</v>
      </c>
      <c r="T1804" s="199"/>
      <c r="U1804" s="199">
        <f>IF(AND('Mail Merge'!$I1804="Did Not Meet",'Mail Merge'!$N1804="Did Not Meet"),MIN(ABS('Mail Merge'!$H1804),ABS('Mail Merge'!$M1804),'Mail Merge'!$Q1804),0)</f>
        <v>0</v>
      </c>
      <c r="V1804" s="199" t="str">
        <f>IF(OR(IFERROR(SEARCH("Met",'Mail Merge'!$N1804),0)&gt;0,IFERROR(SEARCH("Met",'Mail Merge'!$I1804),0)&gt;0),"Met","Not Met")</f>
        <v>Met</v>
      </c>
    </row>
    <row r="1805" spans="1:22" x14ac:dyDescent="0.35">
      <c r="A1805" s="200" t="s">
        <v>51</v>
      </c>
      <c r="B1805" s="201">
        <v>1945</v>
      </c>
      <c r="C1805" s="201" t="s">
        <v>1537</v>
      </c>
      <c r="D1805" s="201">
        <v>131</v>
      </c>
      <c r="E1805" s="201">
        <v>1796061.94</v>
      </c>
      <c r="F1805" s="201">
        <v>82323</v>
      </c>
      <c r="G1805" s="201">
        <f>'Mail Merge'!$E1805+'Mail Merge'!$F1805</f>
        <v>1878384.94</v>
      </c>
      <c r="H1805" s="201">
        <v>0</v>
      </c>
      <c r="I1805" s="201" t="s">
        <v>241</v>
      </c>
      <c r="J1805" s="204">
        <f>IFERROR('Mail Merge'!$E1805/'Mail Merge'!$D1805,0)</f>
        <v>13710.396488549617</v>
      </c>
      <c r="K1805" s="201">
        <f>IFERROR('Mail Merge'!$F1805/'Mail Merge'!$D1805,0)</f>
        <v>628.41984732824426</v>
      </c>
      <c r="L1805" s="205">
        <f>IFERROR('Mail Merge'!$G1805/'Mail Merge'!$D1805,0)</f>
        <v>14338.816335877862</v>
      </c>
      <c r="M1805" s="201">
        <v>0</v>
      </c>
      <c r="N1805" s="201" t="s">
        <v>242</v>
      </c>
      <c r="O1805" s="201">
        <v>123951.02</v>
      </c>
      <c r="P1805" s="201">
        <v>1988.53</v>
      </c>
      <c r="Q1805" s="201">
        <f>'Mail Merge'!$O1805+'Mail Merge'!$P1805</f>
        <v>125939.55</v>
      </c>
      <c r="R1805" s="201"/>
      <c r="S1805" s="201">
        <v>0</v>
      </c>
      <c r="T1805" s="201">
        <v>761.89</v>
      </c>
      <c r="U1805" s="201">
        <f>IF(AND('Mail Merge'!$I1805="Did Not Meet",'Mail Merge'!$N1805="Did Not Meet"),MIN(ABS('Mail Merge'!$H1805),ABS('Mail Merge'!$M1805),'Mail Merge'!$Q1805),0)</f>
        <v>0</v>
      </c>
      <c r="V1805" s="201" t="str">
        <f>IF(OR(IFERROR(SEARCH("Met",'Mail Merge'!$N1805),0)&gt;0,IFERROR(SEARCH("Met",'Mail Merge'!$I1805),0)&gt;0),"Met","Not Met")</f>
        <v>Met</v>
      </c>
    </row>
    <row r="1806" spans="1:22" x14ac:dyDescent="0.35">
      <c r="A1806" s="198" t="s">
        <v>52</v>
      </c>
      <c r="B1806" s="199">
        <v>1927</v>
      </c>
      <c r="C1806" s="199" t="s">
        <v>1537</v>
      </c>
      <c r="D1806" s="199">
        <v>81</v>
      </c>
      <c r="E1806" s="199">
        <v>941620.34</v>
      </c>
      <c r="F1806" s="199">
        <v>10000</v>
      </c>
      <c r="G1806" s="199">
        <f>'Mail Merge'!$E1806+'Mail Merge'!$F1806</f>
        <v>951620.34</v>
      </c>
      <c r="H1806" s="199">
        <v>0</v>
      </c>
      <c r="I1806" s="199" t="s">
        <v>241</v>
      </c>
      <c r="J1806" s="202">
        <f>IFERROR('Mail Merge'!$E1806/'Mail Merge'!$D1806,0)</f>
        <v>11624.942469135802</v>
      </c>
      <c r="K1806" s="199">
        <f>IFERROR('Mail Merge'!$F1806/'Mail Merge'!$D1806,0)</f>
        <v>123.45679012345678</v>
      </c>
      <c r="L1806" s="203">
        <f>IFERROR('Mail Merge'!$G1806/'Mail Merge'!$D1806,0)</f>
        <v>11748.399259259259</v>
      </c>
      <c r="M1806" s="199">
        <v>0</v>
      </c>
      <c r="N1806" s="199" t="s">
        <v>241</v>
      </c>
      <c r="O1806" s="199">
        <v>118100.18</v>
      </c>
      <c r="P1806" s="199">
        <v>1485.55</v>
      </c>
      <c r="Q1806" s="199">
        <f>'Mail Merge'!$O1806+'Mail Merge'!$P1806</f>
        <v>119585.73</v>
      </c>
      <c r="R1806" s="199"/>
      <c r="S1806" s="199">
        <v>0</v>
      </c>
      <c r="T1806" s="199"/>
      <c r="U1806" s="199">
        <f>IF(AND('Mail Merge'!$I1806="Did Not Meet",'Mail Merge'!$N1806="Did Not Meet"),MIN(ABS('Mail Merge'!$H1806),ABS('Mail Merge'!$M1806),'Mail Merge'!$Q1806),0)</f>
        <v>0</v>
      </c>
      <c r="V1806" s="199" t="str">
        <f>IF(OR(IFERROR(SEARCH("Met",'Mail Merge'!$N1806),0)&gt;0,IFERROR(SEARCH("Met",'Mail Merge'!$I1806),0)&gt;0),"Met","Not Met")</f>
        <v>Met</v>
      </c>
    </row>
    <row r="1807" spans="1:22" x14ac:dyDescent="0.35">
      <c r="A1807" s="200" t="s">
        <v>53</v>
      </c>
      <c r="B1807" s="201">
        <v>2006</v>
      </c>
      <c r="C1807" s="201" t="s">
        <v>1537</v>
      </c>
      <c r="D1807" s="201">
        <v>21</v>
      </c>
      <c r="E1807" s="201">
        <v>4078.6</v>
      </c>
      <c r="F1807" s="201">
        <v>149856</v>
      </c>
      <c r="G1807" s="201">
        <f>'Mail Merge'!$E1807+'Mail Merge'!$F1807</f>
        <v>153934.6</v>
      </c>
      <c r="H1807" s="201">
        <v>0</v>
      </c>
      <c r="I1807" s="201" t="s">
        <v>241</v>
      </c>
      <c r="J1807" s="204">
        <f>IFERROR('Mail Merge'!$E1807/'Mail Merge'!$D1807,0)</f>
        <v>194.21904761904761</v>
      </c>
      <c r="K1807" s="201">
        <f>IFERROR('Mail Merge'!$F1807/'Mail Merge'!$D1807,0)</f>
        <v>7136</v>
      </c>
      <c r="L1807" s="205">
        <f>IFERROR('Mail Merge'!$G1807/'Mail Merge'!$D1807,0)</f>
        <v>7330.2190476190481</v>
      </c>
      <c r="M1807" s="201">
        <v>0</v>
      </c>
      <c r="N1807" s="201" t="s">
        <v>241</v>
      </c>
      <c r="O1807" s="201">
        <v>27283.5</v>
      </c>
      <c r="P1807" s="201">
        <v>16.23</v>
      </c>
      <c r="Q1807" s="201">
        <f>'Mail Merge'!$O1807+'Mail Merge'!$P1807</f>
        <v>27299.73</v>
      </c>
      <c r="R1807" s="201"/>
      <c r="S1807" s="201">
        <v>0</v>
      </c>
      <c r="T1807" s="201"/>
      <c r="U1807" s="201">
        <f>IF(AND('Mail Merge'!$I1807="Did Not Meet",'Mail Merge'!$N1807="Did Not Meet"),MIN(ABS('Mail Merge'!$H1807),ABS('Mail Merge'!$M1807),'Mail Merge'!$Q1807),0)</f>
        <v>0</v>
      </c>
      <c r="V1807" s="201" t="str">
        <f>IF(OR(IFERROR(SEARCH("Met",'Mail Merge'!$N1807),0)&gt;0,IFERROR(SEARCH("Met",'Mail Merge'!$I1807),0)&gt;0),"Met","Not Met")</f>
        <v>Met</v>
      </c>
    </row>
    <row r="1808" spans="1:22" x14ac:dyDescent="0.35">
      <c r="A1808" s="198" t="s">
        <v>54</v>
      </c>
      <c r="B1808" s="199">
        <v>1965</v>
      </c>
      <c r="C1808" s="199" t="s">
        <v>1537</v>
      </c>
      <c r="D1808" s="199">
        <v>508</v>
      </c>
      <c r="E1808" s="199">
        <v>5476323.29</v>
      </c>
      <c r="F1808" s="199">
        <v>1387344.15</v>
      </c>
      <c r="G1808" s="199">
        <f>'Mail Merge'!$E1808+'Mail Merge'!$F1808</f>
        <v>6863667.4399999995</v>
      </c>
      <c r="H1808" s="199">
        <v>0</v>
      </c>
      <c r="I1808" s="199" t="s">
        <v>241</v>
      </c>
      <c r="J1808" s="202">
        <f>IFERROR('Mail Merge'!$E1808/'Mail Merge'!$D1808,0)</f>
        <v>10780.163956692913</v>
      </c>
      <c r="K1808" s="199">
        <f>IFERROR('Mail Merge'!$F1808/'Mail Merge'!$D1808,0)</f>
        <v>2730.9924212598426</v>
      </c>
      <c r="L1808" s="203">
        <f>IFERROR('Mail Merge'!$G1808/'Mail Merge'!$D1808,0)</f>
        <v>13511.156377952755</v>
      </c>
      <c r="M1808" s="199">
        <v>0</v>
      </c>
      <c r="N1808" s="199" t="s">
        <v>241</v>
      </c>
      <c r="O1808" s="199">
        <v>722880.15</v>
      </c>
      <c r="P1808" s="199">
        <v>6987.97</v>
      </c>
      <c r="Q1808" s="199">
        <f>'Mail Merge'!$O1808+'Mail Merge'!$P1808</f>
        <v>729868.12</v>
      </c>
      <c r="R1808" s="199"/>
      <c r="S1808" s="199">
        <v>0</v>
      </c>
      <c r="T1808" s="199"/>
      <c r="U1808" s="199">
        <f>IF(AND('Mail Merge'!$I1808="Did Not Meet",'Mail Merge'!$N1808="Did Not Meet"),MIN(ABS('Mail Merge'!$H1808),ABS('Mail Merge'!$M1808),'Mail Merge'!$Q1808),0)</f>
        <v>0</v>
      </c>
      <c r="V1808" s="199" t="str">
        <f>IF(OR(IFERROR(SEARCH("Met",'Mail Merge'!$N1808),0)&gt;0,IFERROR(SEARCH("Met",'Mail Merge'!$I1808),0)&gt;0),"Met","Not Met")</f>
        <v>Met</v>
      </c>
    </row>
    <row r="1809" spans="1:22" x14ac:dyDescent="0.35">
      <c r="A1809" s="200" t="s">
        <v>55</v>
      </c>
      <c r="B1809" s="201">
        <v>1964</v>
      </c>
      <c r="C1809" s="201" t="s">
        <v>1537</v>
      </c>
      <c r="D1809" s="201">
        <v>188</v>
      </c>
      <c r="E1809" s="201">
        <v>1114503.81</v>
      </c>
      <c r="F1809" s="201">
        <v>220179.76</v>
      </c>
      <c r="G1809" s="201">
        <f>'Mail Merge'!$E1809+'Mail Merge'!$F1809</f>
        <v>1334683.57</v>
      </c>
      <c r="H1809" s="201">
        <v>0</v>
      </c>
      <c r="I1809" s="201" t="s">
        <v>241</v>
      </c>
      <c r="J1809" s="204">
        <f>IFERROR('Mail Merge'!$E1809/'Mail Merge'!$D1809,0)</f>
        <v>5928.2117553191492</v>
      </c>
      <c r="K1809" s="201">
        <f>IFERROR('Mail Merge'!$F1809/'Mail Merge'!$D1809,0)</f>
        <v>1171.1689361702129</v>
      </c>
      <c r="L1809" s="205">
        <f>IFERROR('Mail Merge'!$G1809/'Mail Merge'!$D1809,0)</f>
        <v>7099.3806914893621</v>
      </c>
      <c r="M1809" s="201">
        <v>-888449.67000000016</v>
      </c>
      <c r="N1809" s="201" t="s">
        <v>240</v>
      </c>
      <c r="O1809" s="201">
        <v>195985.87</v>
      </c>
      <c r="P1809" s="201">
        <v>1039.25</v>
      </c>
      <c r="Q1809" s="201">
        <f>'Mail Merge'!$O1809+'Mail Merge'!$P1809</f>
        <v>197025.12</v>
      </c>
      <c r="R1809" s="201"/>
      <c r="S1809" s="201">
        <v>0</v>
      </c>
      <c r="T1809" s="201">
        <v>0</v>
      </c>
      <c r="U1809" s="201">
        <f>IF(AND('Mail Merge'!$I1809="Did Not Meet",'Mail Merge'!$N1809="Did Not Meet"),MIN(ABS('Mail Merge'!$H1809),ABS('Mail Merge'!$M1809),'Mail Merge'!$Q1809),0)</f>
        <v>0</v>
      </c>
      <c r="V1809" s="201" t="str">
        <f>IF(OR(IFERROR(SEARCH("Met",'Mail Merge'!$N1809),0)&gt;0,IFERROR(SEARCH("Met",'Mail Merge'!$I1809),0)&gt;0),"Met","Not Met")</f>
        <v>Met</v>
      </c>
    </row>
    <row r="1810" spans="1:22" x14ac:dyDescent="0.35">
      <c r="A1810" s="198" t="s">
        <v>56</v>
      </c>
      <c r="B1810" s="199">
        <v>2186</v>
      </c>
      <c r="C1810" s="199" t="s">
        <v>1537</v>
      </c>
      <c r="D1810" s="199">
        <v>169</v>
      </c>
      <c r="E1810" s="199">
        <v>1390931.97</v>
      </c>
      <c r="F1810" s="199">
        <v>443780.52</v>
      </c>
      <c r="G1810" s="199">
        <f>'Mail Merge'!$E1810+'Mail Merge'!$F1810</f>
        <v>1834712.49</v>
      </c>
      <c r="H1810" s="199">
        <v>0</v>
      </c>
      <c r="I1810" s="199" t="s">
        <v>241</v>
      </c>
      <c r="J1810" s="202">
        <f>IFERROR('Mail Merge'!$E1810/'Mail Merge'!$D1810,0)</f>
        <v>8230.3666863905328</v>
      </c>
      <c r="K1810" s="199">
        <f>IFERROR('Mail Merge'!$F1810/'Mail Merge'!$D1810,0)</f>
        <v>2625.9202366863906</v>
      </c>
      <c r="L1810" s="203">
        <f>IFERROR('Mail Merge'!$G1810/'Mail Merge'!$D1810,0)</f>
        <v>10856.286923076923</v>
      </c>
      <c r="M1810" s="199">
        <v>-669436.55999999982</v>
      </c>
      <c r="N1810" s="199" t="s">
        <v>240</v>
      </c>
      <c r="O1810" s="199">
        <v>156261.18</v>
      </c>
      <c r="P1810" s="199">
        <v>1545.39</v>
      </c>
      <c r="Q1810" s="199">
        <f>'Mail Merge'!$O1810+'Mail Merge'!$P1810</f>
        <v>157806.57</v>
      </c>
      <c r="R1810" s="199"/>
      <c r="S1810" s="199">
        <v>0</v>
      </c>
      <c r="T1810" s="199">
        <v>158.46</v>
      </c>
      <c r="U1810" s="199">
        <f>IF(AND('Mail Merge'!$I1810="Did Not Meet",'Mail Merge'!$N1810="Did Not Meet"),MIN(ABS('Mail Merge'!$H1810),ABS('Mail Merge'!$M1810),'Mail Merge'!$Q1810),0)</f>
        <v>0</v>
      </c>
      <c r="V1810" s="199" t="str">
        <f>IF(OR(IFERROR(SEARCH("Met",'Mail Merge'!$N1810),0)&gt;0,IFERROR(SEARCH("Met",'Mail Merge'!$I1810),0)&gt;0),"Met","Not Met")</f>
        <v>Met</v>
      </c>
    </row>
    <row r="1811" spans="1:22" x14ac:dyDescent="0.35">
      <c r="A1811" s="200" t="s">
        <v>58</v>
      </c>
      <c r="B1811" s="201">
        <v>1901</v>
      </c>
      <c r="C1811" s="201" t="s">
        <v>1537</v>
      </c>
      <c r="D1811" s="201">
        <v>679</v>
      </c>
      <c r="E1811" s="201">
        <v>9087623.8699999992</v>
      </c>
      <c r="F1811" s="201">
        <v>914585</v>
      </c>
      <c r="G1811" s="201">
        <f>'Mail Merge'!$E1811+'Mail Merge'!$F1811</f>
        <v>10002208.869999999</v>
      </c>
      <c r="H1811" s="201">
        <v>0</v>
      </c>
      <c r="I1811" s="201" t="s">
        <v>241</v>
      </c>
      <c r="J1811" s="204">
        <f>IFERROR('Mail Merge'!$E1811/'Mail Merge'!$D1811,0)</f>
        <v>13383.834860088364</v>
      </c>
      <c r="K1811" s="201">
        <f>IFERROR('Mail Merge'!$F1811/'Mail Merge'!$D1811,0)</f>
        <v>1346.9587628865979</v>
      </c>
      <c r="L1811" s="205">
        <f>IFERROR('Mail Merge'!$G1811/'Mail Merge'!$D1811,0)</f>
        <v>14730.793622974961</v>
      </c>
      <c r="M1811" s="201">
        <v>0</v>
      </c>
      <c r="N1811" s="201" t="s">
        <v>241</v>
      </c>
      <c r="O1811" s="201">
        <v>1006763.88</v>
      </c>
      <c r="P1811" s="201">
        <v>8539.9599999999991</v>
      </c>
      <c r="Q1811" s="201">
        <f>'Mail Merge'!$O1811+'Mail Merge'!$P1811</f>
        <v>1015303.84</v>
      </c>
      <c r="R1811" s="201"/>
      <c r="S1811" s="201">
        <v>0</v>
      </c>
      <c r="T1811" s="201"/>
      <c r="U1811" s="201">
        <f>IF(AND('Mail Merge'!$I1811="Did Not Meet",'Mail Merge'!$N1811="Did Not Meet"),MIN(ABS('Mail Merge'!$H1811),ABS('Mail Merge'!$M1811),'Mail Merge'!$Q1811),0)</f>
        <v>0</v>
      </c>
      <c r="V1811" s="201" t="str">
        <f>IF(OR(IFERROR(SEARCH("Met",'Mail Merge'!$N1811),0)&gt;0,IFERROR(SEARCH("Met",'Mail Merge'!$I1811),0)&gt;0),"Met","Not Met")</f>
        <v>Met</v>
      </c>
    </row>
    <row r="1812" spans="1:22" x14ac:dyDescent="0.35">
      <c r="A1812" s="198" t="s">
        <v>59</v>
      </c>
      <c r="B1812" s="199">
        <v>2216</v>
      </c>
      <c r="C1812" s="199" t="s">
        <v>1537</v>
      </c>
      <c r="D1812" s="199">
        <v>39</v>
      </c>
      <c r="E1812" s="199">
        <v>148900.81</v>
      </c>
      <c r="F1812" s="199">
        <v>73107.100000000006</v>
      </c>
      <c r="G1812" s="199">
        <f>'Mail Merge'!$E1812+'Mail Merge'!$F1812</f>
        <v>222007.91</v>
      </c>
      <c r="H1812" s="199">
        <v>0</v>
      </c>
      <c r="I1812" s="199" t="s">
        <v>241</v>
      </c>
      <c r="J1812" s="202">
        <f>IFERROR('Mail Merge'!$E1812/'Mail Merge'!$D1812,0)</f>
        <v>3817.9694871794873</v>
      </c>
      <c r="K1812" s="199">
        <f>IFERROR('Mail Merge'!$F1812/'Mail Merge'!$D1812,0)</f>
        <v>1874.5410256410257</v>
      </c>
      <c r="L1812" s="203">
        <f>IFERROR('Mail Merge'!$G1812/'Mail Merge'!$D1812,0)</f>
        <v>5692.5105128205132</v>
      </c>
      <c r="M1812" s="199">
        <v>-19496.276418181806</v>
      </c>
      <c r="N1812" s="199" t="s">
        <v>240</v>
      </c>
      <c r="O1812" s="199">
        <v>46490.8</v>
      </c>
      <c r="P1812" s="199">
        <v>485.55</v>
      </c>
      <c r="Q1812" s="199">
        <f>'Mail Merge'!$O1812+'Mail Merge'!$P1812</f>
        <v>46976.350000000006</v>
      </c>
      <c r="R1812" s="199"/>
      <c r="S1812" s="199">
        <v>0</v>
      </c>
      <c r="T1812" s="199">
        <v>1004.66</v>
      </c>
      <c r="U1812" s="199">
        <f>IF(AND('Mail Merge'!$I1812="Did Not Meet",'Mail Merge'!$N1812="Did Not Meet"),MIN(ABS('Mail Merge'!$H1812),ABS('Mail Merge'!$M1812),'Mail Merge'!$Q1812),0)</f>
        <v>0</v>
      </c>
      <c r="V1812" s="199" t="str">
        <f>IF(OR(IFERROR(SEARCH("Met",'Mail Merge'!$N1812),0)&gt;0,IFERROR(SEARCH("Met",'Mail Merge'!$I1812),0)&gt;0),"Met","Not Met")</f>
        <v>Met</v>
      </c>
    </row>
    <row r="1813" spans="1:22" x14ac:dyDescent="0.35">
      <c r="A1813" s="200" t="s">
        <v>60</v>
      </c>
      <c r="B1813" s="201">
        <v>2086</v>
      </c>
      <c r="C1813" s="201" t="s">
        <v>1537</v>
      </c>
      <c r="D1813" s="201">
        <v>223</v>
      </c>
      <c r="E1813" s="201">
        <v>3102165.01</v>
      </c>
      <c r="F1813" s="201">
        <v>490415</v>
      </c>
      <c r="G1813" s="201">
        <f>'Mail Merge'!$E1813+'Mail Merge'!$F1813</f>
        <v>3592580.01</v>
      </c>
      <c r="H1813" s="201">
        <v>0</v>
      </c>
      <c r="I1813" s="201" t="s">
        <v>241</v>
      </c>
      <c r="J1813" s="204">
        <f>IFERROR('Mail Merge'!$E1813/'Mail Merge'!$D1813,0)</f>
        <v>13911.053856502242</v>
      </c>
      <c r="K1813" s="201">
        <f>IFERROR('Mail Merge'!$F1813/'Mail Merge'!$D1813,0)</f>
        <v>2199.1704035874441</v>
      </c>
      <c r="L1813" s="205">
        <f>IFERROR('Mail Merge'!$G1813/'Mail Merge'!$D1813,0)</f>
        <v>16110.224260089684</v>
      </c>
      <c r="M1813" s="201">
        <v>0</v>
      </c>
      <c r="N1813" s="201" t="s">
        <v>241</v>
      </c>
      <c r="O1813" s="201">
        <v>248996.57</v>
      </c>
      <c r="P1813" s="201">
        <v>2484.64</v>
      </c>
      <c r="Q1813" s="201">
        <f>'Mail Merge'!$O1813+'Mail Merge'!$P1813</f>
        <v>251481.21000000002</v>
      </c>
      <c r="R1813" s="201"/>
      <c r="S1813" s="201">
        <v>0</v>
      </c>
      <c r="T1813" s="201"/>
      <c r="U1813" s="201">
        <f>IF(AND('Mail Merge'!$I1813="Did Not Meet",'Mail Merge'!$N1813="Did Not Meet"),MIN(ABS('Mail Merge'!$H1813),ABS('Mail Merge'!$M1813),'Mail Merge'!$Q1813),0)</f>
        <v>0</v>
      </c>
      <c r="V1813" s="201" t="str">
        <f>IF(OR(IFERROR(SEARCH("Met",'Mail Merge'!$N1813),0)&gt;0,IFERROR(SEARCH("Met",'Mail Merge'!$I1813),0)&gt;0),"Met","Not Met")</f>
        <v>Met</v>
      </c>
    </row>
    <row r="1814" spans="1:22" x14ac:dyDescent="0.35">
      <c r="A1814" s="198" t="s">
        <v>61</v>
      </c>
      <c r="B1814" s="199">
        <v>1970</v>
      </c>
      <c r="C1814" s="199" t="s">
        <v>1537</v>
      </c>
      <c r="D1814" s="199">
        <v>418</v>
      </c>
      <c r="E1814" s="199">
        <v>4069379.36</v>
      </c>
      <c r="F1814" s="199">
        <v>256665.88</v>
      </c>
      <c r="G1814" s="199">
        <f>'Mail Merge'!$E1814+'Mail Merge'!$F1814</f>
        <v>4326045.24</v>
      </c>
      <c r="H1814" s="199">
        <v>0</v>
      </c>
      <c r="I1814" s="199" t="s">
        <v>241</v>
      </c>
      <c r="J1814" s="202">
        <f>IFERROR('Mail Merge'!$E1814/'Mail Merge'!$D1814,0)</f>
        <v>9735.3573205741632</v>
      </c>
      <c r="K1814" s="199">
        <f>IFERROR('Mail Merge'!$F1814/'Mail Merge'!$D1814,0)</f>
        <v>614.03320574162683</v>
      </c>
      <c r="L1814" s="203">
        <f>IFERROR('Mail Merge'!$G1814/'Mail Merge'!$D1814,0)</f>
        <v>10349.39052631579</v>
      </c>
      <c r="M1814" s="199">
        <v>-228004.69828571347</v>
      </c>
      <c r="N1814" s="199" t="s">
        <v>240</v>
      </c>
      <c r="O1814" s="199">
        <v>527564.4</v>
      </c>
      <c r="P1814" s="199">
        <v>5026.9399999999996</v>
      </c>
      <c r="Q1814" s="199">
        <f>'Mail Merge'!$O1814+'Mail Merge'!$P1814</f>
        <v>532591.34</v>
      </c>
      <c r="R1814" s="199"/>
      <c r="S1814" s="199">
        <v>0</v>
      </c>
      <c r="T1814" s="199"/>
      <c r="U1814" s="199">
        <f>IF(AND('Mail Merge'!$I1814="Did Not Meet",'Mail Merge'!$N1814="Did Not Meet"),MIN(ABS('Mail Merge'!$H1814),ABS('Mail Merge'!$M1814),'Mail Merge'!$Q1814),0)</f>
        <v>0</v>
      </c>
      <c r="V1814" s="199" t="str">
        <f>IF(OR(IFERROR(SEARCH("Met",'Mail Merge'!$N1814),0)&gt;0,IFERROR(SEARCH("Met",'Mail Merge'!$I1814),0)&gt;0),"Met","Not Met")</f>
        <v>Met</v>
      </c>
    </row>
    <row r="1815" spans="1:22" x14ac:dyDescent="0.35">
      <c r="A1815" s="200" t="s">
        <v>62</v>
      </c>
      <c r="B1815" s="201">
        <v>2089</v>
      </c>
      <c r="C1815" s="201" t="s">
        <v>1537</v>
      </c>
      <c r="D1815" s="201">
        <v>35</v>
      </c>
      <c r="E1815" s="201">
        <v>350975.67</v>
      </c>
      <c r="F1815" s="201">
        <v>101594</v>
      </c>
      <c r="G1815" s="201">
        <f>'Mail Merge'!$E1815+'Mail Merge'!$F1815</f>
        <v>452569.67</v>
      </c>
      <c r="H1815" s="201">
        <v>-10576.072499999951</v>
      </c>
      <c r="I1815" s="201" t="s">
        <v>240</v>
      </c>
      <c r="J1815" s="204">
        <f>IFERROR('Mail Merge'!$E1815/'Mail Merge'!$D1815,0)</f>
        <v>10027.876285714285</v>
      </c>
      <c r="K1815" s="201">
        <f>IFERROR('Mail Merge'!$F1815/'Mail Merge'!$D1815,0)</f>
        <v>2902.6857142857143</v>
      </c>
      <c r="L1815" s="205">
        <f>IFERROR('Mail Merge'!$G1815/'Mail Merge'!$D1815,0)</f>
        <v>12930.562</v>
      </c>
      <c r="M1815" s="201">
        <v>0</v>
      </c>
      <c r="N1815" s="201" t="s">
        <v>242</v>
      </c>
      <c r="O1815" s="201">
        <v>60592.18</v>
      </c>
      <c r="P1815" s="201">
        <v>0</v>
      </c>
      <c r="Q1815" s="201">
        <f>'Mail Merge'!$O1815+'Mail Merge'!$P1815</f>
        <v>60592.18</v>
      </c>
      <c r="R1815" s="201"/>
      <c r="S1815" s="201">
        <v>66163.677499999991</v>
      </c>
      <c r="T1815" s="201">
        <v>1654.09</v>
      </c>
      <c r="U1815" s="201">
        <f>IF(AND('Mail Merge'!$I1815="Did Not Meet",'Mail Merge'!$N1815="Did Not Meet"),MIN(ABS('Mail Merge'!$H1815),ABS('Mail Merge'!$M1815),'Mail Merge'!$Q1815),0)</f>
        <v>0</v>
      </c>
      <c r="V1815" s="201" t="str">
        <f>IF(OR(IFERROR(SEARCH("Met",'Mail Merge'!$N1815),0)&gt;0,IFERROR(SEARCH("Met",'Mail Merge'!$I1815),0)&gt;0),"Met","Not Met")</f>
        <v>Met</v>
      </c>
    </row>
    <row r="1816" spans="1:22" x14ac:dyDescent="0.35">
      <c r="A1816" s="198" t="s">
        <v>63</v>
      </c>
      <c r="B1816" s="199">
        <v>2050</v>
      </c>
      <c r="C1816" s="199" t="s">
        <v>1537</v>
      </c>
      <c r="D1816" s="199">
        <v>103</v>
      </c>
      <c r="E1816" s="199">
        <v>739169.8</v>
      </c>
      <c r="F1816" s="199">
        <v>238247.9</v>
      </c>
      <c r="G1816" s="199">
        <f>'Mail Merge'!$E1816+'Mail Merge'!$F1816</f>
        <v>977417.70000000007</v>
      </c>
      <c r="H1816" s="199">
        <v>0</v>
      </c>
      <c r="I1816" s="199" t="s">
        <v>241</v>
      </c>
      <c r="J1816" s="202">
        <f>IFERROR('Mail Merge'!$E1816/'Mail Merge'!$D1816,0)</f>
        <v>7176.4058252427185</v>
      </c>
      <c r="K1816" s="199">
        <f>IFERROR('Mail Merge'!$F1816/'Mail Merge'!$D1816,0)</f>
        <v>2313.0864077669903</v>
      </c>
      <c r="L1816" s="203">
        <f>IFERROR('Mail Merge'!$G1816/'Mail Merge'!$D1816,0)</f>
        <v>9489.4922330097088</v>
      </c>
      <c r="M1816" s="199">
        <v>-38505.480326087061</v>
      </c>
      <c r="N1816" s="199" t="s">
        <v>240</v>
      </c>
      <c r="O1816" s="199">
        <v>121372.12</v>
      </c>
      <c r="P1816" s="199">
        <v>2492.3000000000002</v>
      </c>
      <c r="Q1816" s="199">
        <f>'Mail Merge'!$O1816+'Mail Merge'!$P1816</f>
        <v>123864.42</v>
      </c>
      <c r="R1816" s="199"/>
      <c r="S1816" s="199">
        <v>0</v>
      </c>
      <c r="T1816" s="199">
        <v>0</v>
      </c>
      <c r="U1816" s="199">
        <f>IF(AND('Mail Merge'!$I1816="Did Not Meet",'Mail Merge'!$N1816="Did Not Meet"),MIN(ABS('Mail Merge'!$H1816),ABS('Mail Merge'!$M1816),'Mail Merge'!$Q1816),0)</f>
        <v>0</v>
      </c>
      <c r="V1816" s="199" t="str">
        <f>IF(OR(IFERROR(SEARCH("Met",'Mail Merge'!$N1816),0)&gt;0,IFERROR(SEARCH("Met",'Mail Merge'!$I1816),0)&gt;0),"Met","Not Met")</f>
        <v>Met</v>
      </c>
    </row>
    <row r="1817" spans="1:22" x14ac:dyDescent="0.35">
      <c r="A1817" s="200" t="s">
        <v>64</v>
      </c>
      <c r="B1817" s="201">
        <v>2190</v>
      </c>
      <c r="C1817" s="201" t="s">
        <v>1537</v>
      </c>
      <c r="D1817" s="201">
        <v>525</v>
      </c>
      <c r="E1817" s="201">
        <v>5388158.0999999996</v>
      </c>
      <c r="F1817" s="201">
        <v>377547.05</v>
      </c>
      <c r="G1817" s="201">
        <f>'Mail Merge'!$E1817+'Mail Merge'!$F1817</f>
        <v>5765705.1499999994</v>
      </c>
      <c r="H1817" s="201">
        <v>0</v>
      </c>
      <c r="I1817" s="201" t="s">
        <v>241</v>
      </c>
      <c r="J1817" s="204">
        <f>IFERROR('Mail Merge'!$E1817/'Mail Merge'!$D1817,0)</f>
        <v>10263.158285714286</v>
      </c>
      <c r="K1817" s="201">
        <f>IFERROR('Mail Merge'!$F1817/'Mail Merge'!$D1817,0)</f>
        <v>719.1372380952381</v>
      </c>
      <c r="L1817" s="205">
        <f>IFERROR('Mail Merge'!$G1817/'Mail Merge'!$D1817,0)</f>
        <v>10982.295523809522</v>
      </c>
      <c r="M1817" s="201">
        <v>0</v>
      </c>
      <c r="N1817" s="201" t="s">
        <v>241</v>
      </c>
      <c r="O1817" s="201">
        <v>548340.25</v>
      </c>
      <c r="P1817" s="201">
        <v>8476.93</v>
      </c>
      <c r="Q1817" s="201">
        <f>'Mail Merge'!$O1817+'Mail Merge'!$P1817</f>
        <v>556817.18000000005</v>
      </c>
      <c r="R1817" s="201"/>
      <c r="S1817" s="201">
        <v>0</v>
      </c>
      <c r="T1817" s="201"/>
      <c r="U1817" s="201">
        <f>IF(AND('Mail Merge'!$I1817="Did Not Meet",'Mail Merge'!$N1817="Did Not Meet"),MIN(ABS('Mail Merge'!$H1817),ABS('Mail Merge'!$M1817),'Mail Merge'!$Q1817),0)</f>
        <v>0</v>
      </c>
      <c r="V1817" s="201" t="str">
        <f>IF(OR(IFERROR(SEARCH("Met",'Mail Merge'!$N1817),0)&gt;0,IFERROR(SEARCH("Met",'Mail Merge'!$I1817),0)&gt;0),"Met","Not Met")</f>
        <v>Met</v>
      </c>
    </row>
    <row r="1818" spans="1:22" x14ac:dyDescent="0.35">
      <c r="A1818" s="198" t="s">
        <v>65</v>
      </c>
      <c r="B1818" s="199">
        <v>2187</v>
      </c>
      <c r="C1818" s="199" t="s">
        <v>1537</v>
      </c>
      <c r="D1818" s="199">
        <v>1183</v>
      </c>
      <c r="E1818" s="199">
        <v>14775567.18</v>
      </c>
      <c r="F1818" s="199">
        <v>1589386.87</v>
      </c>
      <c r="G1818" s="199">
        <f>'Mail Merge'!$E1818+'Mail Merge'!$F1818</f>
        <v>16364954.050000001</v>
      </c>
      <c r="H1818" s="199">
        <v>0</v>
      </c>
      <c r="I1818" s="199" t="s">
        <v>241</v>
      </c>
      <c r="J1818" s="202">
        <f>IFERROR('Mail Merge'!$E1818/'Mail Merge'!$D1818,0)</f>
        <v>12489.913085376162</v>
      </c>
      <c r="K1818" s="199">
        <f>IFERROR('Mail Merge'!$F1818/'Mail Merge'!$D1818,0)</f>
        <v>1343.5222907861371</v>
      </c>
      <c r="L1818" s="203">
        <f>IFERROR('Mail Merge'!$G1818/'Mail Merge'!$D1818,0)</f>
        <v>13833.435376162301</v>
      </c>
      <c r="M1818" s="199">
        <v>0</v>
      </c>
      <c r="N1818" s="199" t="s">
        <v>241</v>
      </c>
      <c r="O1818" s="199">
        <v>1524629.2</v>
      </c>
      <c r="P1818" s="199">
        <v>9506.25</v>
      </c>
      <c r="Q1818" s="199">
        <f>'Mail Merge'!$O1818+'Mail Merge'!$P1818</f>
        <v>1534135.45</v>
      </c>
      <c r="R1818" s="199"/>
      <c r="S1818" s="199">
        <v>0</v>
      </c>
      <c r="T1818" s="199"/>
      <c r="U1818" s="199">
        <f>IF(AND('Mail Merge'!$I1818="Did Not Meet",'Mail Merge'!$N1818="Did Not Meet"),MIN(ABS('Mail Merge'!$H1818),ABS('Mail Merge'!$M1818),'Mail Merge'!$Q1818),0)</f>
        <v>0</v>
      </c>
      <c r="V1818" s="199" t="str">
        <f>IF(OR(IFERROR(SEARCH("Met",'Mail Merge'!$N1818),0)&gt;0,IFERROR(SEARCH("Met",'Mail Merge'!$I1818),0)&gt;0),"Met","Not Met")</f>
        <v>Met</v>
      </c>
    </row>
    <row r="1819" spans="1:22" x14ac:dyDescent="0.35">
      <c r="A1819" s="200" t="s">
        <v>66</v>
      </c>
      <c r="B1819" s="201">
        <v>2253</v>
      </c>
      <c r="C1819" s="201" t="s">
        <v>1537</v>
      </c>
      <c r="D1819" s="201">
        <v>126</v>
      </c>
      <c r="E1819" s="201">
        <v>1028450.13</v>
      </c>
      <c r="F1819" s="201">
        <v>99842.01</v>
      </c>
      <c r="G1819" s="201">
        <f>'Mail Merge'!$E1819+'Mail Merge'!$F1819</f>
        <v>1128292.1399999999</v>
      </c>
      <c r="H1819" s="201">
        <v>0</v>
      </c>
      <c r="I1819" s="201" t="s">
        <v>242</v>
      </c>
      <c r="J1819" s="204">
        <f>IFERROR('Mail Merge'!$E1819/'Mail Merge'!$D1819,0)</f>
        <v>8162.3026190476194</v>
      </c>
      <c r="K1819" s="201">
        <f>IFERROR('Mail Merge'!$F1819/'Mail Merge'!$D1819,0)</f>
        <v>792.39690476190469</v>
      </c>
      <c r="L1819" s="205">
        <f>IFERROR('Mail Merge'!$G1819/'Mail Merge'!$D1819,0)</f>
        <v>8954.6995238095224</v>
      </c>
      <c r="M1819" s="201">
        <v>-11343.912295082162</v>
      </c>
      <c r="N1819" s="201" t="s">
        <v>240</v>
      </c>
      <c r="O1819" s="201">
        <v>148077.56</v>
      </c>
      <c r="P1819" s="201">
        <v>1005.04</v>
      </c>
      <c r="Q1819" s="201">
        <f>'Mail Merge'!$O1819+'Mail Merge'!$P1819</f>
        <v>149082.6</v>
      </c>
      <c r="R1819" s="201"/>
      <c r="S1819" s="201">
        <v>271172.88</v>
      </c>
      <c r="T1819" s="201">
        <v>0</v>
      </c>
      <c r="U1819" s="201">
        <f>IF(AND('Mail Merge'!$I1819="Did Not Meet",'Mail Merge'!$N1819="Did Not Meet"),MIN(ABS('Mail Merge'!$H1819),ABS('Mail Merge'!$M1819),'Mail Merge'!$Q1819),0)</f>
        <v>0</v>
      </c>
      <c r="V1819" s="201" t="str">
        <f>IF(OR(IFERROR(SEARCH("Met",'Mail Merge'!$N1819),0)&gt;0,IFERROR(SEARCH("Met",'Mail Merge'!$I1819),0)&gt;0),"Met","Not Met")</f>
        <v>Met</v>
      </c>
    </row>
    <row r="1820" spans="1:22" x14ac:dyDescent="0.35">
      <c r="A1820" s="198" t="s">
        <v>67</v>
      </c>
      <c r="B1820" s="199">
        <v>2011</v>
      </c>
      <c r="C1820" s="199" t="s">
        <v>1537</v>
      </c>
      <c r="D1820" s="199">
        <v>9</v>
      </c>
      <c r="E1820" s="199">
        <v>6107.93</v>
      </c>
      <c r="F1820" s="199">
        <v>87396.39</v>
      </c>
      <c r="G1820" s="199">
        <f>'Mail Merge'!$E1820+'Mail Merge'!$F1820</f>
        <v>93504.320000000007</v>
      </c>
      <c r="H1820" s="199">
        <v>0</v>
      </c>
      <c r="I1820" s="199" t="s">
        <v>241</v>
      </c>
      <c r="J1820" s="202">
        <f>IFERROR('Mail Merge'!$E1820/'Mail Merge'!$D1820,0)</f>
        <v>678.6588888888889</v>
      </c>
      <c r="K1820" s="199">
        <f>IFERROR('Mail Merge'!$F1820/'Mail Merge'!$D1820,0)</f>
        <v>9710.7099999999991</v>
      </c>
      <c r="L1820" s="203">
        <f>IFERROR('Mail Merge'!$G1820/'Mail Merge'!$D1820,0)</f>
        <v>10389.36888888889</v>
      </c>
      <c r="M1820" s="199">
        <v>-241194.51999999993</v>
      </c>
      <c r="N1820" s="199" t="s">
        <v>240</v>
      </c>
      <c r="O1820" s="199">
        <v>9217.15</v>
      </c>
      <c r="P1820" s="199">
        <v>978.33</v>
      </c>
      <c r="Q1820" s="199">
        <f>'Mail Merge'!$O1820+'Mail Merge'!$P1820</f>
        <v>10195.48</v>
      </c>
      <c r="R1820" s="199"/>
      <c r="S1820" s="199">
        <v>0</v>
      </c>
      <c r="T1820" s="199">
        <v>0</v>
      </c>
      <c r="U1820" s="199">
        <f>IF(AND('Mail Merge'!$I1820="Did Not Meet",'Mail Merge'!$N1820="Did Not Meet"),MIN(ABS('Mail Merge'!$H1820),ABS('Mail Merge'!$M1820),'Mail Merge'!$Q1820),0)</f>
        <v>0</v>
      </c>
      <c r="V1820" s="199" t="str">
        <f>IF(OR(IFERROR(SEARCH("Met",'Mail Merge'!$N1820),0)&gt;0,IFERROR(SEARCH("Met",'Mail Merge'!$I1820),0)&gt;0),"Met","Not Met")</f>
        <v>Met</v>
      </c>
    </row>
    <row r="1821" spans="1:22" x14ac:dyDescent="0.35">
      <c r="A1821" s="200" t="s">
        <v>68</v>
      </c>
      <c r="B1821" s="201">
        <v>2017</v>
      </c>
      <c r="C1821" s="201" t="s">
        <v>1537</v>
      </c>
      <c r="D1821" s="201">
        <v>0</v>
      </c>
      <c r="E1821" s="201">
        <v>0</v>
      </c>
      <c r="F1821" s="201">
        <v>7420.04</v>
      </c>
      <c r="G1821" s="201">
        <f>'Mail Merge'!$E1821+'Mail Merge'!$F1821</f>
        <v>7420.04</v>
      </c>
      <c r="H1821" s="201">
        <v>0</v>
      </c>
      <c r="I1821" s="201" t="s">
        <v>241</v>
      </c>
      <c r="J1821" s="204">
        <f>IFERROR('Mail Merge'!$E1821/'Mail Merge'!$D1821,0)</f>
        <v>0</v>
      </c>
      <c r="K1821" s="201">
        <f>IFERROR('Mail Merge'!$F1821/'Mail Merge'!$D1821,0)</f>
        <v>0</v>
      </c>
      <c r="L1821" s="205">
        <f>IFERROR('Mail Merge'!$G1821/'Mail Merge'!$D1821,0)</f>
        <v>0</v>
      </c>
      <c r="M1821" s="201">
        <v>0</v>
      </c>
      <c r="N1821" s="201" t="s">
        <v>242</v>
      </c>
      <c r="O1821" s="201">
        <v>1094.97</v>
      </c>
      <c r="P1821" s="201">
        <v>2.14</v>
      </c>
      <c r="Q1821" s="201">
        <f>'Mail Merge'!$O1821+'Mail Merge'!$P1821</f>
        <v>1097.1100000000001</v>
      </c>
      <c r="R1821" s="201"/>
      <c r="S1821" s="201">
        <v>0</v>
      </c>
      <c r="T1821" s="201">
        <v>1780</v>
      </c>
      <c r="U1821" s="201">
        <f>IF(AND('Mail Merge'!$I1821="Did Not Meet",'Mail Merge'!$N1821="Did Not Meet"),MIN(ABS('Mail Merge'!$H1821),ABS('Mail Merge'!$M1821),'Mail Merge'!$Q1821),0)</f>
        <v>0</v>
      </c>
      <c r="V1821" s="201" t="str">
        <f>IF(OR(IFERROR(SEARCH("Met",'Mail Merge'!$N1821),0)&gt;0,IFERROR(SEARCH("Met",'Mail Merge'!$I1821),0)&gt;0),"Met","Not Met")</f>
        <v>Met</v>
      </c>
    </row>
    <row r="1822" spans="1:22" x14ac:dyDescent="0.35">
      <c r="A1822" s="198" t="s">
        <v>69</v>
      </c>
      <c r="B1822" s="199">
        <v>2021</v>
      </c>
      <c r="C1822" s="199" t="s">
        <v>1537</v>
      </c>
      <c r="D1822" s="199">
        <v>1</v>
      </c>
      <c r="E1822" s="199">
        <v>7372</v>
      </c>
      <c r="F1822" s="199">
        <v>7795.2</v>
      </c>
      <c r="G1822" s="199">
        <f>'Mail Merge'!$E1822+'Mail Merge'!$F1822</f>
        <v>15167.2</v>
      </c>
      <c r="H1822" s="199">
        <v>0</v>
      </c>
      <c r="I1822" s="199" t="s">
        <v>241</v>
      </c>
      <c r="J1822" s="202">
        <f>IFERROR('Mail Merge'!$E1822/'Mail Merge'!$D1822,0)</f>
        <v>7372</v>
      </c>
      <c r="K1822" s="199">
        <f>IFERROR('Mail Merge'!$F1822/'Mail Merge'!$D1822,0)</f>
        <v>7795.2</v>
      </c>
      <c r="L1822" s="203">
        <f>IFERROR('Mail Merge'!$G1822/'Mail Merge'!$D1822,0)</f>
        <v>15167.2</v>
      </c>
      <c r="M1822" s="199">
        <v>0</v>
      </c>
      <c r="N1822" s="199" t="s">
        <v>241</v>
      </c>
      <c r="O1822" s="199">
        <v>1013.86</v>
      </c>
      <c r="P1822" s="199">
        <v>0.97</v>
      </c>
      <c r="Q1822" s="199">
        <f>'Mail Merge'!$O1822+'Mail Merge'!$P1822</f>
        <v>1014.83</v>
      </c>
      <c r="R1822" s="199"/>
      <c r="S1822" s="199">
        <v>0</v>
      </c>
      <c r="T1822" s="199"/>
      <c r="U1822" s="199">
        <f>IF(AND('Mail Merge'!$I1822="Did Not Meet",'Mail Merge'!$N1822="Did Not Meet"),MIN(ABS('Mail Merge'!$H1822),ABS('Mail Merge'!$M1822),'Mail Merge'!$Q1822),0)</f>
        <v>0</v>
      </c>
      <c r="V1822" s="199" t="str">
        <f>IF(OR(IFERROR(SEARCH("Met",'Mail Merge'!$N1822),0)&gt;0,IFERROR(SEARCH("Met",'Mail Merge'!$I1822),0)&gt;0),"Met","Not Met")</f>
        <v>Met</v>
      </c>
    </row>
    <row r="1823" spans="1:22" x14ac:dyDescent="0.35">
      <c r="A1823" s="200" t="s">
        <v>70</v>
      </c>
      <c r="B1823" s="201">
        <v>1993</v>
      </c>
      <c r="C1823" s="201" t="s">
        <v>1537</v>
      </c>
      <c r="D1823" s="201">
        <v>33</v>
      </c>
      <c r="E1823" s="201">
        <v>197251.13</v>
      </c>
      <c r="F1823" s="201">
        <v>47250.23</v>
      </c>
      <c r="G1823" s="201">
        <f>'Mail Merge'!$E1823+'Mail Merge'!$F1823</f>
        <v>244501.36000000002</v>
      </c>
      <c r="H1823" s="201">
        <v>0</v>
      </c>
      <c r="I1823" s="201" t="s">
        <v>241</v>
      </c>
      <c r="J1823" s="204">
        <f>IFERROR('Mail Merge'!$E1823/'Mail Merge'!$D1823,0)</f>
        <v>5977.3069696969696</v>
      </c>
      <c r="K1823" s="201">
        <f>IFERROR('Mail Merge'!$F1823/'Mail Merge'!$D1823,0)</f>
        <v>1431.8251515151517</v>
      </c>
      <c r="L1823" s="205">
        <f>IFERROR('Mail Merge'!$G1823/'Mail Merge'!$D1823,0)</f>
        <v>7409.132121212122</v>
      </c>
      <c r="M1823" s="201">
        <v>-109660.45999999995</v>
      </c>
      <c r="N1823" s="201" t="s">
        <v>240</v>
      </c>
      <c r="O1823" s="201">
        <v>32978.01</v>
      </c>
      <c r="P1823" s="201">
        <v>989</v>
      </c>
      <c r="Q1823" s="201">
        <f>'Mail Merge'!$O1823+'Mail Merge'!$P1823</f>
        <v>33967.01</v>
      </c>
      <c r="R1823" s="201"/>
      <c r="S1823" s="201">
        <v>0</v>
      </c>
      <c r="T1823" s="201">
        <v>0</v>
      </c>
      <c r="U1823" s="201">
        <f>IF(AND('Mail Merge'!$I1823="Did Not Meet",'Mail Merge'!$N1823="Did Not Meet"),MIN(ABS('Mail Merge'!$H1823),ABS('Mail Merge'!$M1823),'Mail Merge'!$Q1823),0)</f>
        <v>0</v>
      </c>
      <c r="V1823" s="201" t="str">
        <f>IF(OR(IFERROR(SEARCH("Met",'Mail Merge'!$N1823),0)&gt;0,IFERROR(SEARCH("Met",'Mail Merge'!$I1823),0)&gt;0),"Met","Not Met")</f>
        <v>Met</v>
      </c>
    </row>
    <row r="1824" spans="1:22" x14ac:dyDescent="0.35">
      <c r="A1824" s="198" t="s">
        <v>71</v>
      </c>
      <c r="B1824" s="199">
        <v>1991</v>
      </c>
      <c r="C1824" s="199" t="s">
        <v>1537</v>
      </c>
      <c r="D1824" s="199">
        <v>733</v>
      </c>
      <c r="E1824" s="199">
        <v>6274819.4800000004</v>
      </c>
      <c r="F1824" s="199">
        <v>1736871.5</v>
      </c>
      <c r="G1824" s="199">
        <f>'Mail Merge'!$E1824+'Mail Merge'!$F1824</f>
        <v>8011690.9800000004</v>
      </c>
      <c r="H1824" s="199">
        <v>0</v>
      </c>
      <c r="I1824" s="199" t="s">
        <v>241</v>
      </c>
      <c r="J1824" s="202">
        <f>IFERROR('Mail Merge'!$E1824/'Mail Merge'!$D1824,0)</f>
        <v>8560.4631377899059</v>
      </c>
      <c r="K1824" s="199">
        <f>IFERROR('Mail Merge'!$F1824/'Mail Merge'!$D1824,0)</f>
        <v>2369.5381991814461</v>
      </c>
      <c r="L1824" s="203">
        <f>IFERROR('Mail Merge'!$G1824/'Mail Merge'!$D1824,0)</f>
        <v>10930.001336971351</v>
      </c>
      <c r="M1824" s="199">
        <v>-459226.00696428574</v>
      </c>
      <c r="N1824" s="199" t="s">
        <v>240</v>
      </c>
      <c r="O1824" s="199">
        <v>966498.08</v>
      </c>
      <c r="P1824" s="199">
        <v>12607.93</v>
      </c>
      <c r="Q1824" s="199">
        <f>'Mail Merge'!$O1824+'Mail Merge'!$P1824</f>
        <v>979106.01</v>
      </c>
      <c r="R1824" s="199"/>
      <c r="S1824" s="199">
        <v>0</v>
      </c>
      <c r="T1824" s="199">
        <v>0</v>
      </c>
      <c r="U1824" s="199">
        <f>IF(AND('Mail Merge'!$I1824="Did Not Meet",'Mail Merge'!$N1824="Did Not Meet"),MIN(ABS('Mail Merge'!$H1824),ABS('Mail Merge'!$M1824),'Mail Merge'!$Q1824),0)</f>
        <v>0</v>
      </c>
      <c r="V1824" s="199" t="str">
        <f>IF(OR(IFERROR(SEARCH("Met",'Mail Merge'!$N1824),0)&gt;0,IFERROR(SEARCH("Met",'Mail Merge'!$I1824),0)&gt;0),"Met","Not Met")</f>
        <v>Met</v>
      </c>
    </row>
    <row r="1825" spans="1:22" x14ac:dyDescent="0.35">
      <c r="A1825" s="200" t="s">
        <v>72</v>
      </c>
      <c r="B1825" s="201">
        <v>2019</v>
      </c>
      <c r="C1825" s="201" t="s">
        <v>1537</v>
      </c>
      <c r="D1825" s="201">
        <v>1</v>
      </c>
      <c r="E1825" s="201">
        <v>8295</v>
      </c>
      <c r="F1825" s="201">
        <v>7846.31</v>
      </c>
      <c r="G1825" s="201">
        <f>'Mail Merge'!$E1825+'Mail Merge'!$F1825</f>
        <v>16141.310000000001</v>
      </c>
      <c r="H1825" s="201">
        <v>0</v>
      </c>
      <c r="I1825" s="201" t="s">
        <v>241</v>
      </c>
      <c r="J1825" s="204">
        <f>IFERROR('Mail Merge'!$E1825/'Mail Merge'!$D1825,0)</f>
        <v>8295</v>
      </c>
      <c r="K1825" s="201">
        <f>IFERROR('Mail Merge'!$F1825/'Mail Merge'!$D1825,0)</f>
        <v>7846.31</v>
      </c>
      <c r="L1825" s="205">
        <f>IFERROR('Mail Merge'!$G1825/'Mail Merge'!$D1825,0)</f>
        <v>16141.310000000001</v>
      </c>
      <c r="M1825" s="201">
        <v>0</v>
      </c>
      <c r="N1825" s="201" t="s">
        <v>241</v>
      </c>
      <c r="O1825" s="201">
        <v>2047.07</v>
      </c>
      <c r="P1825" s="201">
        <v>1.96</v>
      </c>
      <c r="Q1825" s="201">
        <f>'Mail Merge'!$O1825+'Mail Merge'!$P1825</f>
        <v>2049.0299999999997</v>
      </c>
      <c r="R1825" s="201"/>
      <c r="S1825" s="201">
        <v>0</v>
      </c>
      <c r="T1825" s="201"/>
      <c r="U1825" s="201">
        <f>IF(AND('Mail Merge'!$I1825="Did Not Meet",'Mail Merge'!$N1825="Did Not Meet"),MIN(ABS('Mail Merge'!$H1825),ABS('Mail Merge'!$M1825),'Mail Merge'!$Q1825),0)</f>
        <v>0</v>
      </c>
      <c r="V1825" s="201" t="str">
        <f>IF(OR(IFERROR(SEARCH("Met",'Mail Merge'!$N1825),0)&gt;0,IFERROR(SEARCH("Met",'Mail Merge'!$I1825),0)&gt;0),"Met","Not Met")</f>
        <v>Met</v>
      </c>
    </row>
    <row r="1826" spans="1:22" x14ac:dyDescent="0.35">
      <c r="A1826" s="198" t="s">
        <v>73</v>
      </c>
      <c r="B1826" s="199">
        <v>2229</v>
      </c>
      <c r="C1826" s="199" t="s">
        <v>1537</v>
      </c>
      <c r="D1826" s="199">
        <v>49</v>
      </c>
      <c r="E1826" s="199">
        <v>239785.71</v>
      </c>
      <c r="F1826" s="199">
        <v>0</v>
      </c>
      <c r="G1826" s="199">
        <f>'Mail Merge'!$E1826+'Mail Merge'!$F1826</f>
        <v>239785.71</v>
      </c>
      <c r="H1826" s="199">
        <v>0</v>
      </c>
      <c r="I1826" s="199" t="s">
        <v>241</v>
      </c>
      <c r="J1826" s="202">
        <f>IFERROR('Mail Merge'!$E1826/'Mail Merge'!$D1826,0)</f>
        <v>4893.5859183673465</v>
      </c>
      <c r="K1826" s="199">
        <f>IFERROR('Mail Merge'!$F1826/'Mail Merge'!$D1826,0)</f>
        <v>0</v>
      </c>
      <c r="L1826" s="203">
        <f>IFERROR('Mail Merge'!$G1826/'Mail Merge'!$D1826,0)</f>
        <v>4893.5859183673465</v>
      </c>
      <c r="M1826" s="199">
        <v>-97466.316176470587</v>
      </c>
      <c r="N1826" s="199" t="s">
        <v>240</v>
      </c>
      <c r="O1826" s="199">
        <v>47787.79</v>
      </c>
      <c r="P1826" s="199">
        <v>514.20000000000005</v>
      </c>
      <c r="Q1826" s="199">
        <f>'Mail Merge'!$O1826+'Mail Merge'!$P1826</f>
        <v>48301.99</v>
      </c>
      <c r="R1826" s="199"/>
      <c r="S1826" s="199">
        <v>0</v>
      </c>
      <c r="T1826" s="199">
        <v>0</v>
      </c>
      <c r="U1826" s="199">
        <f>IF(AND('Mail Merge'!$I1826="Did Not Meet",'Mail Merge'!$N1826="Did Not Meet"),MIN(ABS('Mail Merge'!$H1826),ABS('Mail Merge'!$M1826),'Mail Merge'!$Q1826),0)</f>
        <v>0</v>
      </c>
      <c r="V1826" s="199" t="str">
        <f>IF(OR(IFERROR(SEARCH("Met",'Mail Merge'!$N1826),0)&gt;0,IFERROR(SEARCH("Met",'Mail Merge'!$I1826),0)&gt;0),"Met","Not Met")</f>
        <v>Met</v>
      </c>
    </row>
    <row r="1827" spans="1:22" x14ac:dyDescent="0.35">
      <c r="A1827" s="200" t="s">
        <v>74</v>
      </c>
      <c r="B1827" s="201">
        <v>2043</v>
      </c>
      <c r="C1827" s="201" t="s">
        <v>1537</v>
      </c>
      <c r="D1827" s="201">
        <v>568</v>
      </c>
      <c r="E1827" s="201">
        <v>3919873.96</v>
      </c>
      <c r="F1827" s="201">
        <v>336706.01</v>
      </c>
      <c r="G1827" s="201">
        <f>'Mail Merge'!$E1827+'Mail Merge'!$F1827</f>
        <v>4256579.97</v>
      </c>
      <c r="H1827" s="201">
        <v>0</v>
      </c>
      <c r="I1827" s="201" t="s">
        <v>241</v>
      </c>
      <c r="J1827" s="204">
        <f>IFERROR('Mail Merge'!$E1827/'Mail Merge'!$D1827,0)</f>
        <v>6901.186549295775</v>
      </c>
      <c r="K1827" s="201">
        <f>IFERROR('Mail Merge'!$F1827/'Mail Merge'!$D1827,0)</f>
        <v>592.79227112676062</v>
      </c>
      <c r="L1827" s="205">
        <f>IFERROR('Mail Merge'!$G1827/'Mail Merge'!$D1827,0)</f>
        <v>7493.9788204225351</v>
      </c>
      <c r="M1827" s="201">
        <v>-67872.522865064529</v>
      </c>
      <c r="N1827" s="201" t="s">
        <v>240</v>
      </c>
      <c r="O1827" s="201">
        <v>672445.1</v>
      </c>
      <c r="P1827" s="201">
        <v>5637.68</v>
      </c>
      <c r="Q1827" s="201">
        <f>'Mail Merge'!$O1827+'Mail Merge'!$P1827</f>
        <v>678082.78</v>
      </c>
      <c r="R1827" s="201"/>
      <c r="S1827" s="201">
        <v>0</v>
      </c>
      <c r="T1827" s="201">
        <v>0</v>
      </c>
      <c r="U1827" s="201">
        <f>IF(AND('Mail Merge'!$I1827="Did Not Meet",'Mail Merge'!$N1827="Did Not Meet"),MIN(ABS('Mail Merge'!$H1827),ABS('Mail Merge'!$M1827),'Mail Merge'!$Q1827),0)</f>
        <v>0</v>
      </c>
      <c r="V1827" s="201" t="str">
        <f>IF(OR(IFERROR(SEARCH("Met",'Mail Merge'!$N1827),0)&gt;0,IFERROR(SEARCH("Met",'Mail Merge'!$I1827),0)&gt;0),"Met","Not Met")</f>
        <v>Met</v>
      </c>
    </row>
    <row r="1828" spans="1:22" x14ac:dyDescent="0.35">
      <c r="A1828" s="198" t="s">
        <v>75</v>
      </c>
      <c r="B1828" s="199">
        <v>2203</v>
      </c>
      <c r="C1828" s="199" t="s">
        <v>1537</v>
      </c>
      <c r="D1828" s="199">
        <v>43</v>
      </c>
      <c r="E1828" s="199">
        <v>215842.06</v>
      </c>
      <c r="F1828" s="199">
        <v>78225.06</v>
      </c>
      <c r="G1828" s="199">
        <f>'Mail Merge'!$E1828+'Mail Merge'!$F1828</f>
        <v>294067.12</v>
      </c>
      <c r="H1828" s="199">
        <v>0</v>
      </c>
      <c r="I1828" s="199" t="s">
        <v>242</v>
      </c>
      <c r="J1828" s="202">
        <f>IFERROR('Mail Merge'!$E1828/'Mail Merge'!$D1828,0)</f>
        <v>5019.5827906976747</v>
      </c>
      <c r="K1828" s="199">
        <f>IFERROR('Mail Merge'!$F1828/'Mail Merge'!$D1828,0)</f>
        <v>1819.187441860465</v>
      </c>
      <c r="L1828" s="203">
        <f>IFERROR('Mail Merge'!$G1828/'Mail Merge'!$D1828,0)</f>
        <v>6838.7702325581395</v>
      </c>
      <c r="M1828" s="199">
        <v>0</v>
      </c>
      <c r="N1828" s="199" t="s">
        <v>241</v>
      </c>
      <c r="O1828" s="199">
        <v>46123.77</v>
      </c>
      <c r="P1828" s="199">
        <v>485.55</v>
      </c>
      <c r="Q1828" s="199">
        <f>'Mail Merge'!$O1828+'Mail Merge'!$P1828</f>
        <v>46609.32</v>
      </c>
      <c r="R1828" s="199"/>
      <c r="S1828" s="199">
        <v>19798.791521739127</v>
      </c>
      <c r="T1828" s="199"/>
      <c r="U1828" s="199">
        <f>IF(AND('Mail Merge'!$I1828="Did Not Meet",'Mail Merge'!$N1828="Did Not Meet"),MIN(ABS('Mail Merge'!$H1828),ABS('Mail Merge'!$M1828),'Mail Merge'!$Q1828),0)</f>
        <v>0</v>
      </c>
      <c r="V1828" s="199" t="str">
        <f>IF(OR(IFERROR(SEARCH("Met",'Mail Merge'!$N1828),0)&gt;0,IFERROR(SEARCH("Met",'Mail Merge'!$I1828),0)&gt;0),"Met","Not Met")</f>
        <v>Met</v>
      </c>
    </row>
    <row r="1829" spans="1:22" x14ac:dyDescent="0.35">
      <c r="A1829" s="200" t="s">
        <v>76</v>
      </c>
      <c r="B1829" s="201">
        <v>2217</v>
      </c>
      <c r="C1829" s="201" t="s">
        <v>1537</v>
      </c>
      <c r="D1829" s="201">
        <v>57</v>
      </c>
      <c r="E1829" s="201">
        <v>332849.63</v>
      </c>
      <c r="F1829" s="201">
        <v>91603.45</v>
      </c>
      <c r="G1829" s="201">
        <f>'Mail Merge'!$E1829+'Mail Merge'!$F1829</f>
        <v>424453.08</v>
      </c>
      <c r="H1829" s="201">
        <v>0</v>
      </c>
      <c r="I1829" s="201" t="s">
        <v>241</v>
      </c>
      <c r="J1829" s="204">
        <f>IFERROR('Mail Merge'!$E1829/'Mail Merge'!$D1829,0)</f>
        <v>5839.4671929824563</v>
      </c>
      <c r="K1829" s="201">
        <f>IFERROR('Mail Merge'!$F1829/'Mail Merge'!$D1829,0)</f>
        <v>1607.0780701754386</v>
      </c>
      <c r="L1829" s="205">
        <f>IFERROR('Mail Merge'!$G1829/'Mail Merge'!$D1829,0)</f>
        <v>7446.5452631578946</v>
      </c>
      <c r="M1829" s="201">
        <v>-90267.89553191491</v>
      </c>
      <c r="N1829" s="201" t="s">
        <v>240</v>
      </c>
      <c r="O1829" s="201">
        <v>70565.259999999995</v>
      </c>
      <c r="P1829" s="201">
        <v>485.55</v>
      </c>
      <c r="Q1829" s="201">
        <f>'Mail Merge'!$O1829+'Mail Merge'!$P1829</f>
        <v>71050.81</v>
      </c>
      <c r="R1829" s="201"/>
      <c r="S1829" s="201">
        <v>0</v>
      </c>
      <c r="T1829" s="201">
        <v>0</v>
      </c>
      <c r="U1829" s="201">
        <f>IF(AND('Mail Merge'!$I1829="Did Not Meet",'Mail Merge'!$N1829="Did Not Meet"),MIN(ABS('Mail Merge'!$H1829),ABS('Mail Merge'!$M1829),'Mail Merge'!$Q1829),0)</f>
        <v>0</v>
      </c>
      <c r="V1829" s="201" t="str">
        <f>IF(OR(IFERROR(SEARCH("Met",'Mail Merge'!$N1829),0)&gt;0,IFERROR(SEARCH("Met",'Mail Merge'!$I1829),0)&gt;0),"Met","Not Met")</f>
        <v>Met</v>
      </c>
    </row>
    <row r="1830" spans="1:22" x14ac:dyDescent="0.35">
      <c r="A1830" s="198" t="s">
        <v>77</v>
      </c>
      <c r="B1830" s="199">
        <v>1998</v>
      </c>
      <c r="C1830" s="199" t="s">
        <v>1537</v>
      </c>
      <c r="D1830" s="199">
        <v>22</v>
      </c>
      <c r="E1830" s="199">
        <v>224561.04</v>
      </c>
      <c r="F1830" s="199">
        <v>44459.199999999997</v>
      </c>
      <c r="G1830" s="199">
        <f>'Mail Merge'!$E1830+'Mail Merge'!$F1830</f>
        <v>269020.24</v>
      </c>
      <c r="H1830" s="199">
        <v>0</v>
      </c>
      <c r="I1830" s="199" t="s">
        <v>241</v>
      </c>
      <c r="J1830" s="202">
        <f>IFERROR('Mail Merge'!$E1830/'Mail Merge'!$D1830,0)</f>
        <v>10207.32</v>
      </c>
      <c r="K1830" s="199">
        <f>IFERROR('Mail Merge'!$F1830/'Mail Merge'!$D1830,0)</f>
        <v>2020.8727272727272</v>
      </c>
      <c r="L1830" s="203">
        <f>IFERROR('Mail Merge'!$G1830/'Mail Merge'!$D1830,0)</f>
        <v>12228.192727272726</v>
      </c>
      <c r="M1830" s="199">
        <v>0</v>
      </c>
      <c r="N1830" s="199" t="s">
        <v>241</v>
      </c>
      <c r="O1830" s="199">
        <v>43291.29</v>
      </c>
      <c r="P1830" s="199">
        <v>548.53</v>
      </c>
      <c r="Q1830" s="199">
        <f>'Mail Merge'!$O1830+'Mail Merge'!$P1830</f>
        <v>43839.82</v>
      </c>
      <c r="R1830" s="199"/>
      <c r="S1830" s="199">
        <v>0</v>
      </c>
      <c r="T1830" s="199"/>
      <c r="U1830" s="199">
        <f>IF(AND('Mail Merge'!$I1830="Did Not Meet",'Mail Merge'!$N1830="Did Not Meet"),MIN(ABS('Mail Merge'!$H1830),ABS('Mail Merge'!$M1830),'Mail Merge'!$Q1830),0)</f>
        <v>0</v>
      </c>
      <c r="V1830" s="199" t="str">
        <f>IF(OR(IFERROR(SEARCH("Met",'Mail Merge'!$N1830),0)&gt;0,IFERROR(SEARCH("Met",'Mail Merge'!$I1830),0)&gt;0),"Met","Not Met")</f>
        <v>Met</v>
      </c>
    </row>
    <row r="1831" spans="1:22" x14ac:dyDescent="0.35">
      <c r="A1831" s="200" t="s">
        <v>78</v>
      </c>
      <c r="B1831" s="201">
        <v>2221</v>
      </c>
      <c r="C1831" s="201" t="s">
        <v>1537</v>
      </c>
      <c r="D1831" s="201">
        <v>67</v>
      </c>
      <c r="E1831" s="201">
        <v>236108.29</v>
      </c>
      <c r="F1831" s="201">
        <v>335094.24</v>
      </c>
      <c r="G1831" s="201">
        <f>'Mail Merge'!$E1831+'Mail Merge'!$F1831</f>
        <v>571202.53</v>
      </c>
      <c r="H1831" s="201">
        <v>0</v>
      </c>
      <c r="I1831" s="201" t="s">
        <v>241</v>
      </c>
      <c r="J1831" s="204">
        <f>IFERROR('Mail Merge'!$E1831/'Mail Merge'!$D1831,0)</f>
        <v>3524.004328358209</v>
      </c>
      <c r="K1831" s="201">
        <f>IFERROR('Mail Merge'!$F1831/'Mail Merge'!$D1831,0)</f>
        <v>5001.4065671641793</v>
      </c>
      <c r="L1831" s="205">
        <f>IFERROR('Mail Merge'!$G1831/'Mail Merge'!$D1831,0)</f>
        <v>8525.4108955223892</v>
      </c>
      <c r="M1831" s="201">
        <v>0</v>
      </c>
      <c r="N1831" s="201" t="s">
        <v>241</v>
      </c>
      <c r="O1831" s="201">
        <v>92708.09</v>
      </c>
      <c r="P1831" s="201">
        <v>1494.13</v>
      </c>
      <c r="Q1831" s="201">
        <f>'Mail Merge'!$O1831+'Mail Merge'!$P1831</f>
        <v>94202.22</v>
      </c>
      <c r="R1831" s="201"/>
      <c r="S1831" s="201">
        <v>0</v>
      </c>
      <c r="T1831" s="201"/>
      <c r="U1831" s="201">
        <f>IF(AND('Mail Merge'!$I1831="Did Not Meet",'Mail Merge'!$N1831="Did Not Meet"),MIN(ABS('Mail Merge'!$H1831),ABS('Mail Merge'!$M1831),'Mail Merge'!$Q1831),0)</f>
        <v>0</v>
      </c>
      <c r="V1831" s="201" t="str">
        <f>IF(OR(IFERROR(SEARCH("Met",'Mail Merge'!$N1831),0)&gt;0,IFERROR(SEARCH("Met",'Mail Merge'!$I1831),0)&gt;0),"Met","Not Met")</f>
        <v>Met</v>
      </c>
    </row>
    <row r="1832" spans="1:22" x14ac:dyDescent="0.35">
      <c r="A1832" s="198" t="s">
        <v>79</v>
      </c>
      <c r="B1832" s="199">
        <v>1930</v>
      </c>
      <c r="C1832" s="199" t="s">
        <v>1537</v>
      </c>
      <c r="D1832" s="199">
        <v>322</v>
      </c>
      <c r="E1832" s="199">
        <v>2905659.59</v>
      </c>
      <c r="F1832" s="199">
        <v>155733</v>
      </c>
      <c r="G1832" s="199">
        <f>'Mail Merge'!$E1832+'Mail Merge'!$F1832</f>
        <v>3061392.59</v>
      </c>
      <c r="H1832" s="199">
        <v>0</v>
      </c>
      <c r="I1832" s="199" t="s">
        <v>241</v>
      </c>
      <c r="J1832" s="202">
        <f>IFERROR('Mail Merge'!$E1832/'Mail Merge'!$D1832,0)</f>
        <v>9023.7875465838497</v>
      </c>
      <c r="K1832" s="199">
        <f>IFERROR('Mail Merge'!$F1832/'Mail Merge'!$D1832,0)</f>
        <v>483.64285714285717</v>
      </c>
      <c r="L1832" s="203">
        <f>IFERROR('Mail Merge'!$G1832/'Mail Merge'!$D1832,0)</f>
        <v>9507.4304037267084</v>
      </c>
      <c r="M1832" s="199">
        <v>-505330.89431654708</v>
      </c>
      <c r="N1832" s="199" t="s">
        <v>240</v>
      </c>
      <c r="O1832" s="199">
        <v>448519.52</v>
      </c>
      <c r="P1832" s="199">
        <v>2568.2199999999998</v>
      </c>
      <c r="Q1832" s="199">
        <f>'Mail Merge'!$O1832+'Mail Merge'!$P1832</f>
        <v>451087.74</v>
      </c>
      <c r="R1832" s="199"/>
      <c r="S1832" s="199">
        <v>0</v>
      </c>
      <c r="T1832" s="199">
        <v>1107.8499999999999</v>
      </c>
      <c r="U1832" s="199">
        <f>IF(AND('Mail Merge'!$I1832="Did Not Meet",'Mail Merge'!$N1832="Did Not Meet"),MIN(ABS('Mail Merge'!$H1832),ABS('Mail Merge'!$M1832),'Mail Merge'!$Q1832),0)</f>
        <v>0</v>
      </c>
      <c r="V1832" s="199" t="str">
        <f>IF(OR(IFERROR(SEARCH("Met",'Mail Merge'!$N1832),0)&gt;0,IFERROR(SEARCH("Met",'Mail Merge'!$I1832),0)&gt;0),"Met","Not Met")</f>
        <v>Met</v>
      </c>
    </row>
    <row r="1833" spans="1:22" x14ac:dyDescent="0.35">
      <c r="A1833" s="200" t="s">
        <v>80</v>
      </c>
      <c r="B1833" s="201">
        <v>2082</v>
      </c>
      <c r="C1833" s="201" t="s">
        <v>1537</v>
      </c>
      <c r="D1833" s="201">
        <v>2270</v>
      </c>
      <c r="E1833" s="201">
        <v>25492886.949999999</v>
      </c>
      <c r="F1833" s="201">
        <v>3555106</v>
      </c>
      <c r="G1833" s="201">
        <f>'Mail Merge'!$E1833+'Mail Merge'!$F1833</f>
        <v>29047992.949999999</v>
      </c>
      <c r="H1833" s="201">
        <v>0</v>
      </c>
      <c r="I1833" s="201" t="s">
        <v>241</v>
      </c>
      <c r="J1833" s="204">
        <f>IFERROR('Mail Merge'!$E1833/'Mail Merge'!$D1833,0)</f>
        <v>11230.34667400881</v>
      </c>
      <c r="K1833" s="201">
        <f>IFERROR('Mail Merge'!$F1833/'Mail Merge'!$D1833,0)</f>
        <v>1566.1259911894274</v>
      </c>
      <c r="L1833" s="205">
        <f>IFERROR('Mail Merge'!$G1833/'Mail Merge'!$D1833,0)</f>
        <v>12796.472665198238</v>
      </c>
      <c r="M1833" s="201">
        <v>0</v>
      </c>
      <c r="N1833" s="201" t="s">
        <v>241</v>
      </c>
      <c r="O1833" s="201">
        <v>3160597.37</v>
      </c>
      <c r="P1833" s="201">
        <v>21871.97</v>
      </c>
      <c r="Q1833" s="201">
        <f>'Mail Merge'!$O1833+'Mail Merge'!$P1833</f>
        <v>3182469.3400000003</v>
      </c>
      <c r="R1833" s="201"/>
      <c r="S1833" s="201">
        <v>0</v>
      </c>
      <c r="T1833" s="201"/>
      <c r="U1833" s="201">
        <f>IF(AND('Mail Merge'!$I1833="Did Not Meet",'Mail Merge'!$N1833="Did Not Meet"),MIN(ABS('Mail Merge'!$H1833),ABS('Mail Merge'!$M1833),'Mail Merge'!$Q1833),0)</f>
        <v>0</v>
      </c>
      <c r="V1833" s="201" t="str">
        <f>IF(OR(IFERROR(SEARCH("Met",'Mail Merge'!$N1833),0)&gt;0,IFERROR(SEARCH("Met",'Mail Merge'!$I1833),0)&gt;0),"Met","Not Met")</f>
        <v>Met</v>
      </c>
    </row>
    <row r="1834" spans="1:22" x14ac:dyDescent="0.35">
      <c r="A1834" s="198" t="s">
        <v>81</v>
      </c>
      <c r="B1834" s="199">
        <v>2193</v>
      </c>
      <c r="C1834" s="199" t="s">
        <v>1537</v>
      </c>
      <c r="D1834" s="199">
        <v>33</v>
      </c>
      <c r="E1834" s="199">
        <v>225017.85</v>
      </c>
      <c r="F1834" s="199">
        <v>38908.82</v>
      </c>
      <c r="G1834" s="199">
        <f>'Mail Merge'!$E1834+'Mail Merge'!$F1834</f>
        <v>263926.67</v>
      </c>
      <c r="H1834" s="199">
        <v>-10440.320769230733</v>
      </c>
      <c r="I1834" s="199" t="s">
        <v>240</v>
      </c>
      <c r="J1834" s="202">
        <f>IFERROR('Mail Merge'!$E1834/'Mail Merge'!$D1834,0)</f>
        <v>6818.7227272727278</v>
      </c>
      <c r="K1834" s="199">
        <f>IFERROR('Mail Merge'!$F1834/'Mail Merge'!$D1834,0)</f>
        <v>1179.0551515151515</v>
      </c>
      <c r="L1834" s="203">
        <f>IFERROR('Mail Merge'!$G1834/'Mail Merge'!$D1834,0)</f>
        <v>7997.7778787878779</v>
      </c>
      <c r="M1834" s="199">
        <v>0</v>
      </c>
      <c r="N1834" s="199" t="s">
        <v>242</v>
      </c>
      <c r="O1834" s="199">
        <v>53859.58</v>
      </c>
      <c r="P1834" s="199">
        <v>34.549999999999997</v>
      </c>
      <c r="Q1834" s="199">
        <f>'Mail Merge'!$O1834+'Mail Merge'!$P1834</f>
        <v>53894.130000000005</v>
      </c>
      <c r="R1834" s="199"/>
      <c r="S1834" s="199">
        <v>91313.289230769253</v>
      </c>
      <c r="T1834" s="199">
        <v>1877.76</v>
      </c>
      <c r="U1834" s="199">
        <f>IF(AND('Mail Merge'!$I1834="Did Not Meet",'Mail Merge'!$N1834="Did Not Meet"),MIN(ABS('Mail Merge'!$H1834),ABS('Mail Merge'!$M1834),'Mail Merge'!$Q1834),0)</f>
        <v>0</v>
      </c>
      <c r="V1834" s="199" t="str">
        <f>IF(OR(IFERROR(SEARCH("Met",'Mail Merge'!$N1834),0)&gt;0,IFERROR(SEARCH("Met",'Mail Merge'!$I1834),0)&gt;0),"Met","Not Met")</f>
        <v>Met</v>
      </c>
    </row>
    <row r="1835" spans="1:22" x14ac:dyDescent="0.35">
      <c r="A1835" s="200" t="s">
        <v>82</v>
      </c>
      <c r="B1835" s="201">
        <v>2084</v>
      </c>
      <c r="C1835" s="201" t="s">
        <v>1537</v>
      </c>
      <c r="D1835" s="201">
        <v>256</v>
      </c>
      <c r="E1835" s="201">
        <v>3112242.83</v>
      </c>
      <c r="F1835" s="201">
        <v>338679</v>
      </c>
      <c r="G1835" s="201">
        <f>'Mail Merge'!$E1835+'Mail Merge'!$F1835</f>
        <v>3450921.83</v>
      </c>
      <c r="H1835" s="201">
        <v>0</v>
      </c>
      <c r="I1835" s="201" t="s">
        <v>241</v>
      </c>
      <c r="J1835" s="204">
        <f>IFERROR('Mail Merge'!$E1835/'Mail Merge'!$D1835,0)</f>
        <v>12157.1985546875</v>
      </c>
      <c r="K1835" s="201">
        <f>IFERROR('Mail Merge'!$F1835/'Mail Merge'!$D1835,0)</f>
        <v>1322.96484375</v>
      </c>
      <c r="L1835" s="205">
        <f>IFERROR('Mail Merge'!$G1835/'Mail Merge'!$D1835,0)</f>
        <v>13480.1633984375</v>
      </c>
      <c r="M1835" s="201">
        <v>-115615.50196581148</v>
      </c>
      <c r="N1835" s="201" t="s">
        <v>240</v>
      </c>
      <c r="O1835" s="201">
        <v>319932.81</v>
      </c>
      <c r="P1835" s="201">
        <v>3011.12</v>
      </c>
      <c r="Q1835" s="201">
        <f>'Mail Merge'!$O1835+'Mail Merge'!$P1835</f>
        <v>322943.93</v>
      </c>
      <c r="R1835" s="201"/>
      <c r="S1835" s="201">
        <v>0</v>
      </c>
      <c r="T1835" s="201">
        <v>0</v>
      </c>
      <c r="U1835" s="201">
        <f>IF(AND('Mail Merge'!$I1835="Did Not Meet",'Mail Merge'!$N1835="Did Not Meet"),MIN(ABS('Mail Merge'!$H1835),ABS('Mail Merge'!$M1835),'Mail Merge'!$Q1835),0)</f>
        <v>0</v>
      </c>
      <c r="V1835" s="201" t="str">
        <f>IF(OR(IFERROR(SEARCH("Met",'Mail Merge'!$N1835),0)&gt;0,IFERROR(SEARCH("Met",'Mail Merge'!$I1835),0)&gt;0),"Met","Not Met")</f>
        <v>Met</v>
      </c>
    </row>
    <row r="1836" spans="1:22" x14ac:dyDescent="0.35">
      <c r="A1836" s="198" t="s">
        <v>83</v>
      </c>
      <c r="B1836" s="199">
        <v>2241</v>
      </c>
      <c r="C1836" s="199" t="s">
        <v>1537</v>
      </c>
      <c r="D1836" s="199">
        <v>908</v>
      </c>
      <c r="E1836" s="199">
        <v>12145444.630000001</v>
      </c>
      <c r="F1836" s="199">
        <v>286904</v>
      </c>
      <c r="G1836" s="199">
        <f>'Mail Merge'!$E1836+'Mail Merge'!$F1836</f>
        <v>12432348.630000001</v>
      </c>
      <c r="H1836" s="199">
        <v>0</v>
      </c>
      <c r="I1836" s="199" t="s">
        <v>241</v>
      </c>
      <c r="J1836" s="202">
        <f>IFERROR('Mail Merge'!$E1836/'Mail Merge'!$D1836,0)</f>
        <v>13376.040341409693</v>
      </c>
      <c r="K1836" s="199">
        <f>IFERROR('Mail Merge'!$F1836/'Mail Merge'!$D1836,0)</f>
        <v>315.9735682819383</v>
      </c>
      <c r="L1836" s="203">
        <f>IFERROR('Mail Merge'!$G1836/'Mail Merge'!$D1836,0)</f>
        <v>13692.01390969163</v>
      </c>
      <c r="M1836" s="199">
        <v>0</v>
      </c>
      <c r="N1836" s="199" t="s">
        <v>242</v>
      </c>
      <c r="O1836" s="199">
        <v>897637.35</v>
      </c>
      <c r="P1836" s="199">
        <v>3816.78</v>
      </c>
      <c r="Q1836" s="199">
        <f>'Mail Merge'!$O1836+'Mail Merge'!$P1836</f>
        <v>901454.13</v>
      </c>
      <c r="R1836" s="199"/>
      <c r="S1836" s="199">
        <v>0</v>
      </c>
      <c r="T1836" s="199">
        <v>165.17</v>
      </c>
      <c r="U1836" s="199">
        <f>IF(AND('Mail Merge'!$I1836="Did Not Meet",'Mail Merge'!$N1836="Did Not Meet"),MIN(ABS('Mail Merge'!$H1836),ABS('Mail Merge'!$M1836),'Mail Merge'!$Q1836),0)</f>
        <v>0</v>
      </c>
      <c r="V1836" s="199" t="str">
        <f>IF(OR(IFERROR(SEARCH("Met",'Mail Merge'!$N1836),0)&gt;0,IFERROR(SEARCH("Met",'Mail Merge'!$I1836),0)&gt;0),"Met","Not Met")</f>
        <v>Met</v>
      </c>
    </row>
    <row r="1837" spans="1:22" x14ac:dyDescent="0.35">
      <c r="A1837" s="200" t="s">
        <v>84</v>
      </c>
      <c r="B1837" s="201">
        <v>2248</v>
      </c>
      <c r="C1837" s="201" t="s">
        <v>1537</v>
      </c>
      <c r="D1837" s="201">
        <v>63</v>
      </c>
      <c r="E1837" s="201">
        <v>306927.34000000003</v>
      </c>
      <c r="F1837" s="201">
        <v>67605</v>
      </c>
      <c r="G1837" s="201">
        <f>'Mail Merge'!$E1837+'Mail Merge'!$F1837</f>
        <v>374532.34</v>
      </c>
      <c r="H1837" s="201">
        <v>0</v>
      </c>
      <c r="I1837" s="201" t="s">
        <v>241</v>
      </c>
      <c r="J1837" s="204">
        <f>IFERROR('Mail Merge'!$E1837/'Mail Merge'!$D1837,0)</f>
        <v>4871.86253968254</v>
      </c>
      <c r="K1837" s="201">
        <f>IFERROR('Mail Merge'!$F1837/'Mail Merge'!$D1837,0)</f>
        <v>1073.0952380952381</v>
      </c>
      <c r="L1837" s="205">
        <f>IFERROR('Mail Merge'!$G1837/'Mail Merge'!$D1837,0)</f>
        <v>5944.9577777777786</v>
      </c>
      <c r="M1837" s="201">
        <v>-111029.62718749994</v>
      </c>
      <c r="N1837" s="201" t="s">
        <v>240</v>
      </c>
      <c r="O1837" s="201">
        <v>75687.289999999994</v>
      </c>
      <c r="P1837" s="201">
        <v>72.23</v>
      </c>
      <c r="Q1837" s="201">
        <f>'Mail Merge'!$O1837+'Mail Merge'!$P1837</f>
        <v>75759.51999999999</v>
      </c>
      <c r="R1837" s="201"/>
      <c r="S1837" s="201">
        <v>0</v>
      </c>
      <c r="T1837" s="201">
        <v>0</v>
      </c>
      <c r="U1837" s="201">
        <f>IF(AND('Mail Merge'!$I1837="Did Not Meet",'Mail Merge'!$N1837="Did Not Meet"),MIN(ABS('Mail Merge'!$H1837),ABS('Mail Merge'!$M1837),'Mail Merge'!$Q1837),0)</f>
        <v>0</v>
      </c>
      <c r="V1837" s="201" t="str">
        <f>IF(OR(IFERROR(SEARCH("Met",'Mail Merge'!$N1837),0)&gt;0,IFERROR(SEARCH("Met",'Mail Merge'!$I1837),0)&gt;0),"Met","Not Met")</f>
        <v>Met</v>
      </c>
    </row>
    <row r="1838" spans="1:22" x14ac:dyDescent="0.35">
      <c r="A1838" s="198" t="s">
        <v>85</v>
      </c>
      <c r="B1838" s="199">
        <v>2020</v>
      </c>
      <c r="C1838" s="199" t="s">
        <v>1537</v>
      </c>
      <c r="D1838" s="199">
        <v>1</v>
      </c>
      <c r="E1838" s="199">
        <v>6888</v>
      </c>
      <c r="F1838" s="199">
        <v>11884.21</v>
      </c>
      <c r="G1838" s="199">
        <f>'Mail Merge'!$E1838+'Mail Merge'!$F1838</f>
        <v>18772.21</v>
      </c>
      <c r="H1838" s="199">
        <v>0</v>
      </c>
      <c r="I1838" s="199" t="s">
        <v>242</v>
      </c>
      <c r="J1838" s="202">
        <f>IFERROR('Mail Merge'!$E1838/'Mail Merge'!$D1838,0)</f>
        <v>6888</v>
      </c>
      <c r="K1838" s="199">
        <f>IFERROR('Mail Merge'!$F1838/'Mail Merge'!$D1838,0)</f>
        <v>11884.21</v>
      </c>
      <c r="L1838" s="203">
        <f>IFERROR('Mail Merge'!$G1838/'Mail Merge'!$D1838,0)</f>
        <v>18772.21</v>
      </c>
      <c r="M1838" s="199">
        <v>0</v>
      </c>
      <c r="N1838" s="199" t="s">
        <v>241</v>
      </c>
      <c r="O1838" s="199">
        <v>23264.23</v>
      </c>
      <c r="P1838" s="199">
        <v>59.4</v>
      </c>
      <c r="Q1838" s="199">
        <f>'Mail Merge'!$O1838+'Mail Merge'!$P1838</f>
        <v>23323.63</v>
      </c>
      <c r="R1838" s="199"/>
      <c r="S1838" s="199">
        <v>321232.23359999998</v>
      </c>
      <c r="T1838" s="199"/>
      <c r="U1838" s="199">
        <f>IF(AND('Mail Merge'!$I1838="Did Not Meet",'Mail Merge'!$N1838="Did Not Meet"),MIN(ABS('Mail Merge'!$H1838),ABS('Mail Merge'!$M1838),'Mail Merge'!$Q1838),0)</f>
        <v>0</v>
      </c>
      <c r="V1838" s="199" t="str">
        <f>IF(OR(IFERROR(SEARCH("Met",'Mail Merge'!$N1838),0)&gt;0,IFERROR(SEARCH("Met",'Mail Merge'!$I1838),0)&gt;0),"Met","Not Met")</f>
        <v>Met</v>
      </c>
    </row>
    <row r="1839" spans="1:22" x14ac:dyDescent="0.35">
      <c r="A1839" s="200" t="s">
        <v>86</v>
      </c>
      <c r="B1839" s="201">
        <v>2245</v>
      </c>
      <c r="C1839" s="201" t="s">
        <v>1537</v>
      </c>
      <c r="D1839" s="201">
        <v>80</v>
      </c>
      <c r="E1839" s="201">
        <v>914129.54</v>
      </c>
      <c r="F1839" s="201">
        <v>716</v>
      </c>
      <c r="G1839" s="201">
        <f>'Mail Merge'!$E1839+'Mail Merge'!$F1839</f>
        <v>914845.54</v>
      </c>
      <c r="H1839" s="201">
        <v>0</v>
      </c>
      <c r="I1839" s="201" t="s">
        <v>241</v>
      </c>
      <c r="J1839" s="204">
        <f>IFERROR('Mail Merge'!$E1839/'Mail Merge'!$D1839,0)</f>
        <v>11426.61925</v>
      </c>
      <c r="K1839" s="201">
        <f>IFERROR('Mail Merge'!$F1839/'Mail Merge'!$D1839,0)</f>
        <v>8.9499999999999993</v>
      </c>
      <c r="L1839" s="205">
        <f>IFERROR('Mail Merge'!$G1839/'Mail Merge'!$D1839,0)</f>
        <v>11435.56925</v>
      </c>
      <c r="M1839" s="201">
        <v>0</v>
      </c>
      <c r="N1839" s="201" t="s">
        <v>241</v>
      </c>
      <c r="O1839" s="201">
        <v>99569.95</v>
      </c>
      <c r="P1839" s="201">
        <v>26.18</v>
      </c>
      <c r="Q1839" s="201">
        <f>'Mail Merge'!$O1839+'Mail Merge'!$P1839</f>
        <v>99596.12999999999</v>
      </c>
      <c r="R1839" s="201"/>
      <c r="S1839" s="201">
        <v>0</v>
      </c>
      <c r="T1839" s="201"/>
      <c r="U1839" s="201">
        <f>IF(AND('Mail Merge'!$I1839="Did Not Meet",'Mail Merge'!$N1839="Did Not Meet"),MIN(ABS('Mail Merge'!$H1839),ABS('Mail Merge'!$M1839),'Mail Merge'!$Q1839),0)</f>
        <v>0</v>
      </c>
      <c r="V1839" s="201" t="str">
        <f>IF(OR(IFERROR(SEARCH("Met",'Mail Merge'!$N1839),0)&gt;0,IFERROR(SEARCH("Met",'Mail Merge'!$I1839),0)&gt;0),"Met","Not Met")</f>
        <v>Met</v>
      </c>
    </row>
    <row r="1840" spans="1:22" x14ac:dyDescent="0.35">
      <c r="A1840" s="198" t="s">
        <v>87</v>
      </c>
      <c r="B1840" s="199">
        <v>2137</v>
      </c>
      <c r="C1840" s="199" t="s">
        <v>1537</v>
      </c>
      <c r="D1840" s="199">
        <v>176</v>
      </c>
      <c r="E1840" s="199">
        <v>1210280.76</v>
      </c>
      <c r="F1840" s="199">
        <v>255238.28</v>
      </c>
      <c r="G1840" s="199">
        <f>'Mail Merge'!$E1840+'Mail Merge'!$F1840</f>
        <v>1465519.04</v>
      </c>
      <c r="H1840" s="199">
        <v>0</v>
      </c>
      <c r="I1840" s="199" t="s">
        <v>241</v>
      </c>
      <c r="J1840" s="202">
        <f>IFERROR('Mail Merge'!$E1840/'Mail Merge'!$D1840,0)</f>
        <v>6876.5952272727272</v>
      </c>
      <c r="K1840" s="199">
        <f>IFERROR('Mail Merge'!$F1840/'Mail Merge'!$D1840,0)</f>
        <v>1450.2175</v>
      </c>
      <c r="L1840" s="203">
        <f>IFERROR('Mail Merge'!$G1840/'Mail Merge'!$D1840,0)</f>
        <v>8326.812727272727</v>
      </c>
      <c r="M1840" s="199">
        <v>-449501.19097744382</v>
      </c>
      <c r="N1840" s="199" t="s">
        <v>240</v>
      </c>
      <c r="O1840" s="199">
        <v>233056.63</v>
      </c>
      <c r="P1840" s="199">
        <v>106.86</v>
      </c>
      <c r="Q1840" s="199">
        <f>'Mail Merge'!$O1840+'Mail Merge'!$P1840</f>
        <v>233163.49</v>
      </c>
      <c r="R1840" s="199"/>
      <c r="S1840" s="199">
        <v>0</v>
      </c>
      <c r="T1840" s="199">
        <v>0</v>
      </c>
      <c r="U1840" s="199">
        <f>IF(AND('Mail Merge'!$I1840="Did Not Meet",'Mail Merge'!$N1840="Did Not Meet"),MIN(ABS('Mail Merge'!$H1840),ABS('Mail Merge'!$M1840),'Mail Merge'!$Q1840),0)</f>
        <v>0</v>
      </c>
      <c r="V1840" s="199" t="str">
        <f>IF(OR(IFERROR(SEARCH("Met",'Mail Merge'!$N1840),0)&gt;0,IFERROR(SEARCH("Met",'Mail Merge'!$I1840),0)&gt;0),"Met","Not Met")</f>
        <v>Met</v>
      </c>
    </row>
    <row r="1841" spans="1:22" x14ac:dyDescent="0.35">
      <c r="A1841" s="200" t="s">
        <v>88</v>
      </c>
      <c r="B1841" s="201">
        <v>1931</v>
      </c>
      <c r="C1841" s="201" t="s">
        <v>1537</v>
      </c>
      <c r="D1841" s="201">
        <v>273</v>
      </c>
      <c r="E1841" s="201">
        <v>3197361</v>
      </c>
      <c r="F1841" s="201">
        <v>173371</v>
      </c>
      <c r="G1841" s="201">
        <f>'Mail Merge'!$E1841+'Mail Merge'!$F1841</f>
        <v>3370732</v>
      </c>
      <c r="H1841" s="201">
        <v>0</v>
      </c>
      <c r="I1841" s="201" t="s">
        <v>242</v>
      </c>
      <c r="J1841" s="204">
        <f>IFERROR('Mail Merge'!$E1841/'Mail Merge'!$D1841,0)</f>
        <v>11711.945054945056</v>
      </c>
      <c r="K1841" s="201">
        <f>IFERROR('Mail Merge'!$F1841/'Mail Merge'!$D1841,0)</f>
        <v>635.05860805860812</v>
      </c>
      <c r="L1841" s="205">
        <f>IFERROR('Mail Merge'!$G1841/'Mail Merge'!$D1841,0)</f>
        <v>12347.003663003663</v>
      </c>
      <c r="M1841" s="201">
        <v>0</v>
      </c>
      <c r="N1841" s="201" t="s">
        <v>242</v>
      </c>
      <c r="O1841" s="201">
        <v>342019.07</v>
      </c>
      <c r="P1841" s="201">
        <v>1130.97</v>
      </c>
      <c r="Q1841" s="201">
        <f>'Mail Merge'!$O1841+'Mail Merge'!$P1841</f>
        <v>343150.04</v>
      </c>
      <c r="R1841" s="201"/>
      <c r="S1841" s="201">
        <v>247945.76</v>
      </c>
      <c r="T1841" s="201">
        <v>0</v>
      </c>
      <c r="U1841" s="201">
        <f>IF(AND('Mail Merge'!$I1841="Did Not Meet",'Mail Merge'!$N1841="Did Not Meet"),MIN(ABS('Mail Merge'!$H1841),ABS('Mail Merge'!$M1841),'Mail Merge'!$Q1841),0)</f>
        <v>0</v>
      </c>
      <c r="V1841" s="201" t="str">
        <f>IF(OR(IFERROR(SEARCH("Met",'Mail Merge'!$N1841),0)&gt;0,IFERROR(SEARCH("Met",'Mail Merge'!$I1841),0)&gt;0),"Met","Not Met")</f>
        <v>Met</v>
      </c>
    </row>
    <row r="1842" spans="1:22" x14ac:dyDescent="0.35">
      <c r="A1842" s="198" t="s">
        <v>89</v>
      </c>
      <c r="B1842" s="199">
        <v>2000</v>
      </c>
      <c r="C1842" s="199" t="s">
        <v>1537</v>
      </c>
      <c r="D1842" s="199">
        <v>56</v>
      </c>
      <c r="E1842" s="199">
        <v>479921.29</v>
      </c>
      <c r="F1842" s="199">
        <v>133667.82999999999</v>
      </c>
      <c r="G1842" s="199">
        <f>'Mail Merge'!$E1842+'Mail Merge'!$F1842</f>
        <v>613589.12</v>
      </c>
      <c r="H1842" s="199">
        <v>0</v>
      </c>
      <c r="I1842" s="199" t="s">
        <v>242</v>
      </c>
      <c r="J1842" s="202">
        <f>IFERROR('Mail Merge'!$E1842/'Mail Merge'!$D1842,0)</f>
        <v>8570.0230357142846</v>
      </c>
      <c r="K1842" s="199">
        <f>IFERROR('Mail Merge'!$F1842/'Mail Merge'!$D1842,0)</f>
        <v>2386.9255357142856</v>
      </c>
      <c r="L1842" s="203">
        <f>IFERROR('Mail Merge'!$G1842/'Mail Merge'!$D1842,0)</f>
        <v>10956.948571428571</v>
      </c>
      <c r="M1842" s="199">
        <v>0</v>
      </c>
      <c r="N1842" s="199" t="s">
        <v>242</v>
      </c>
      <c r="O1842" s="199">
        <v>55950.400000000001</v>
      </c>
      <c r="P1842" s="199">
        <v>36.19</v>
      </c>
      <c r="Q1842" s="199">
        <f>'Mail Merge'!$O1842+'Mail Merge'!$P1842</f>
        <v>55986.590000000004</v>
      </c>
      <c r="R1842" s="199"/>
      <c r="S1842" s="199">
        <v>215025</v>
      </c>
      <c r="T1842" s="199">
        <v>0</v>
      </c>
      <c r="U1842" s="199">
        <f>IF(AND('Mail Merge'!$I1842="Did Not Meet",'Mail Merge'!$N1842="Did Not Meet"),MIN(ABS('Mail Merge'!$H1842),ABS('Mail Merge'!$M1842),'Mail Merge'!$Q1842),0)</f>
        <v>0</v>
      </c>
      <c r="V1842" s="199" t="str">
        <f>IF(OR(IFERROR(SEARCH("Met",'Mail Merge'!$N1842),0)&gt;0,IFERROR(SEARCH("Met",'Mail Merge'!$I1842),0)&gt;0),"Met","Not Met")</f>
        <v>Met</v>
      </c>
    </row>
    <row r="1843" spans="1:22" x14ac:dyDescent="0.35">
      <c r="A1843" s="200" t="s">
        <v>90</v>
      </c>
      <c r="B1843" s="201">
        <v>1992</v>
      </c>
      <c r="C1843" s="201" t="s">
        <v>1537</v>
      </c>
      <c r="D1843" s="201">
        <v>101</v>
      </c>
      <c r="E1843" s="201">
        <v>794140.84</v>
      </c>
      <c r="F1843" s="201">
        <v>196025.95</v>
      </c>
      <c r="G1843" s="201">
        <f>'Mail Merge'!$E1843+'Mail Merge'!$F1843</f>
        <v>990166.79</v>
      </c>
      <c r="H1843" s="201">
        <v>0</v>
      </c>
      <c r="I1843" s="201" t="s">
        <v>241</v>
      </c>
      <c r="J1843" s="204">
        <f>IFERROR('Mail Merge'!$E1843/'Mail Merge'!$D1843,0)</f>
        <v>7862.7805940594053</v>
      </c>
      <c r="K1843" s="201">
        <f>IFERROR('Mail Merge'!$F1843/'Mail Merge'!$D1843,0)</f>
        <v>1940.85099009901</v>
      </c>
      <c r="L1843" s="205">
        <f>IFERROR('Mail Merge'!$G1843/'Mail Merge'!$D1843,0)</f>
        <v>9803.6315841584164</v>
      </c>
      <c r="M1843" s="201">
        <v>0</v>
      </c>
      <c r="N1843" s="201" t="s">
        <v>241</v>
      </c>
      <c r="O1843" s="201">
        <v>150715.62</v>
      </c>
      <c r="P1843" s="201">
        <v>1017.04</v>
      </c>
      <c r="Q1843" s="201">
        <f>'Mail Merge'!$O1843+'Mail Merge'!$P1843</f>
        <v>151732.66</v>
      </c>
      <c r="R1843" s="201"/>
      <c r="S1843" s="201">
        <v>0</v>
      </c>
      <c r="T1843" s="201"/>
      <c r="U1843" s="201">
        <f>IF(AND('Mail Merge'!$I1843="Did Not Meet",'Mail Merge'!$N1843="Did Not Meet"),MIN(ABS('Mail Merge'!$H1843),ABS('Mail Merge'!$M1843),'Mail Merge'!$Q1843),0)</f>
        <v>0</v>
      </c>
      <c r="V1843" s="201" t="str">
        <f>IF(OR(IFERROR(SEARCH("Met",'Mail Merge'!$N1843),0)&gt;0,IFERROR(SEARCH("Met",'Mail Merge'!$I1843),0)&gt;0),"Met","Not Met")</f>
        <v>Met</v>
      </c>
    </row>
    <row r="1844" spans="1:22" x14ac:dyDescent="0.35">
      <c r="A1844" s="198" t="s">
        <v>91</v>
      </c>
      <c r="B1844" s="199">
        <v>2054</v>
      </c>
      <c r="C1844" s="199" t="s">
        <v>1537</v>
      </c>
      <c r="D1844" s="199">
        <v>787</v>
      </c>
      <c r="E1844" s="199">
        <v>8075861.4199999999</v>
      </c>
      <c r="F1844" s="199">
        <v>324712.24</v>
      </c>
      <c r="G1844" s="199">
        <f>'Mail Merge'!$E1844+'Mail Merge'!$F1844</f>
        <v>8400573.6600000001</v>
      </c>
      <c r="H1844" s="199">
        <v>0</v>
      </c>
      <c r="I1844" s="199" t="s">
        <v>241</v>
      </c>
      <c r="J1844" s="202">
        <f>IFERROR('Mail Merge'!$E1844/'Mail Merge'!$D1844,0)</f>
        <v>10261.577407878018</v>
      </c>
      <c r="K1844" s="199">
        <f>IFERROR('Mail Merge'!$F1844/'Mail Merge'!$D1844,0)</f>
        <v>412.59496823379925</v>
      </c>
      <c r="L1844" s="203">
        <f>IFERROR('Mail Merge'!$G1844/'Mail Merge'!$D1844,0)</f>
        <v>10674.172376111817</v>
      </c>
      <c r="M1844" s="199">
        <v>0</v>
      </c>
      <c r="N1844" s="199" t="s">
        <v>241</v>
      </c>
      <c r="O1844" s="199">
        <v>865166.54</v>
      </c>
      <c r="P1844" s="199">
        <v>6746.78</v>
      </c>
      <c r="Q1844" s="199">
        <f>'Mail Merge'!$O1844+'Mail Merge'!$P1844</f>
        <v>871913.32000000007</v>
      </c>
      <c r="R1844" s="199"/>
      <c r="S1844" s="199">
        <v>0</v>
      </c>
      <c r="T1844" s="199"/>
      <c r="U1844" s="199">
        <f>IF(AND('Mail Merge'!$I1844="Did Not Meet",'Mail Merge'!$N1844="Did Not Meet"),MIN(ABS('Mail Merge'!$H1844),ABS('Mail Merge'!$M1844),'Mail Merge'!$Q1844),0)</f>
        <v>0</v>
      </c>
      <c r="V1844" s="199" t="str">
        <f>IF(OR(IFERROR(SEARCH("Met",'Mail Merge'!$N1844),0)&gt;0,IFERROR(SEARCH("Met",'Mail Merge'!$I1844),0)&gt;0),"Met","Not Met")</f>
        <v>Met</v>
      </c>
    </row>
    <row r="1845" spans="1:22" x14ac:dyDescent="0.35">
      <c r="A1845" s="200" t="s">
        <v>92</v>
      </c>
      <c r="B1845" s="201">
        <v>2100</v>
      </c>
      <c r="C1845" s="201" t="s">
        <v>1537</v>
      </c>
      <c r="D1845" s="201">
        <v>1305</v>
      </c>
      <c r="E1845" s="201">
        <v>15524910.390000001</v>
      </c>
      <c r="F1845" s="201">
        <v>1426886</v>
      </c>
      <c r="G1845" s="201">
        <f>'Mail Merge'!$E1845+'Mail Merge'!$F1845</f>
        <v>16951796.390000001</v>
      </c>
      <c r="H1845" s="201">
        <v>0</v>
      </c>
      <c r="I1845" s="201" t="s">
        <v>241</v>
      </c>
      <c r="J1845" s="204">
        <f>IFERROR('Mail Merge'!$E1845/'Mail Merge'!$D1845,0)</f>
        <v>11896.483057471265</v>
      </c>
      <c r="K1845" s="201">
        <f>IFERROR('Mail Merge'!$F1845/'Mail Merge'!$D1845,0)</f>
        <v>1093.399233716475</v>
      </c>
      <c r="L1845" s="205">
        <f>IFERROR('Mail Merge'!$G1845/'Mail Merge'!$D1845,0)</f>
        <v>12989.88229118774</v>
      </c>
      <c r="M1845" s="201">
        <v>0</v>
      </c>
      <c r="N1845" s="201" t="s">
        <v>241</v>
      </c>
      <c r="O1845" s="201">
        <v>1434627.56</v>
      </c>
      <c r="P1845" s="201">
        <v>10650.35</v>
      </c>
      <c r="Q1845" s="201">
        <f>'Mail Merge'!$O1845+'Mail Merge'!$P1845</f>
        <v>1445277.9100000001</v>
      </c>
      <c r="R1845" s="201"/>
      <c r="S1845" s="201">
        <v>0</v>
      </c>
      <c r="T1845" s="201"/>
      <c r="U1845" s="201">
        <f>IF(AND('Mail Merge'!$I1845="Did Not Meet",'Mail Merge'!$N1845="Did Not Meet"),MIN(ABS('Mail Merge'!$H1845),ABS('Mail Merge'!$M1845),'Mail Merge'!$Q1845),0)</f>
        <v>0</v>
      </c>
      <c r="V1845" s="201" t="str">
        <f>IF(OR(IFERROR(SEARCH("Met",'Mail Merge'!$N1845),0)&gt;0,IFERROR(SEARCH("Met",'Mail Merge'!$I1845),0)&gt;0),"Met","Not Met")</f>
        <v>Met</v>
      </c>
    </row>
    <row r="1846" spans="1:22" x14ac:dyDescent="0.35">
      <c r="A1846" s="198" t="s">
        <v>93</v>
      </c>
      <c r="B1846" s="199">
        <v>2183</v>
      </c>
      <c r="C1846" s="199" t="s">
        <v>1537</v>
      </c>
      <c r="D1846" s="199">
        <v>1467</v>
      </c>
      <c r="E1846" s="199">
        <v>18219236.370000001</v>
      </c>
      <c r="F1846" s="199">
        <v>1098139.1499999999</v>
      </c>
      <c r="G1846" s="199">
        <f>'Mail Merge'!$E1846+'Mail Merge'!$F1846</f>
        <v>19317375.52</v>
      </c>
      <c r="H1846" s="199">
        <v>0</v>
      </c>
      <c r="I1846" s="199" t="s">
        <v>241</v>
      </c>
      <c r="J1846" s="202">
        <f>IFERROR('Mail Merge'!$E1846/'Mail Merge'!$D1846,0)</f>
        <v>12419.384028629858</v>
      </c>
      <c r="K1846" s="199">
        <f>IFERROR('Mail Merge'!$F1846/'Mail Merge'!$D1846,0)</f>
        <v>748.56111111111102</v>
      </c>
      <c r="L1846" s="203">
        <f>IFERROR('Mail Merge'!$G1846/'Mail Merge'!$D1846,0)</f>
        <v>13167.945139740968</v>
      </c>
      <c r="M1846" s="199">
        <v>0</v>
      </c>
      <c r="N1846" s="199" t="s">
        <v>241</v>
      </c>
      <c r="O1846" s="199">
        <v>1834879.87</v>
      </c>
      <c r="P1846" s="199">
        <v>14128.42</v>
      </c>
      <c r="Q1846" s="199">
        <f>'Mail Merge'!$O1846+'Mail Merge'!$P1846</f>
        <v>1849008.29</v>
      </c>
      <c r="R1846" s="199"/>
      <c r="S1846" s="199">
        <v>0</v>
      </c>
      <c r="T1846" s="199"/>
      <c r="U1846" s="199">
        <f>IF(AND('Mail Merge'!$I1846="Did Not Meet",'Mail Merge'!$N1846="Did Not Meet"),MIN(ABS('Mail Merge'!$H1846),ABS('Mail Merge'!$M1846),'Mail Merge'!$Q1846),0)</f>
        <v>0</v>
      </c>
      <c r="V1846" s="199" t="str">
        <f>IF(OR(IFERROR(SEARCH("Met",'Mail Merge'!$N1846),0)&gt;0,IFERROR(SEARCH("Met",'Mail Merge'!$I1846),0)&gt;0),"Met","Not Met")</f>
        <v>Met</v>
      </c>
    </row>
    <row r="1847" spans="1:22" x14ac:dyDescent="0.35">
      <c r="A1847" s="200" t="s">
        <v>94</v>
      </c>
      <c r="B1847" s="201">
        <v>2014</v>
      </c>
      <c r="C1847" s="201" t="s">
        <v>1537</v>
      </c>
      <c r="D1847" s="201">
        <v>108</v>
      </c>
      <c r="E1847" s="201">
        <v>1439708.38</v>
      </c>
      <c r="F1847" s="201">
        <v>0</v>
      </c>
      <c r="G1847" s="201">
        <f>'Mail Merge'!$E1847+'Mail Merge'!$F1847</f>
        <v>1439708.38</v>
      </c>
      <c r="H1847" s="201">
        <v>0</v>
      </c>
      <c r="I1847" s="201" t="s">
        <v>241</v>
      </c>
      <c r="J1847" s="204">
        <f>IFERROR('Mail Merge'!$E1847/'Mail Merge'!$D1847,0)</f>
        <v>13330.633148148147</v>
      </c>
      <c r="K1847" s="201">
        <f>IFERROR('Mail Merge'!$F1847/'Mail Merge'!$D1847,0)</f>
        <v>0</v>
      </c>
      <c r="L1847" s="205">
        <f>IFERROR('Mail Merge'!$G1847/'Mail Merge'!$D1847,0)</f>
        <v>13330.633148148147</v>
      </c>
      <c r="M1847" s="201">
        <v>-2769.54710280375</v>
      </c>
      <c r="N1847" s="201" t="s">
        <v>240</v>
      </c>
      <c r="O1847" s="201">
        <v>165629.84</v>
      </c>
      <c r="P1847" s="201">
        <v>1981.92</v>
      </c>
      <c r="Q1847" s="201">
        <f>'Mail Merge'!$O1847+'Mail Merge'!$P1847</f>
        <v>167611.76</v>
      </c>
      <c r="R1847" s="201"/>
      <c r="S1847" s="201">
        <v>0</v>
      </c>
      <c r="T1847" s="201">
        <v>0</v>
      </c>
      <c r="U1847" s="201">
        <f>IF(AND('Mail Merge'!$I1847="Did Not Meet",'Mail Merge'!$N1847="Did Not Meet"),MIN(ABS('Mail Merge'!$H1847),ABS('Mail Merge'!$M1847),'Mail Merge'!$Q1847),0)</f>
        <v>0</v>
      </c>
      <c r="V1847" s="201" t="str">
        <f>IF(OR(IFERROR(SEARCH("Met",'Mail Merge'!$N1847),0)&gt;0,IFERROR(SEARCH("Met",'Mail Merge'!$I1847),0)&gt;0),"Met","Not Met")</f>
        <v>Met</v>
      </c>
    </row>
    <row r="1848" spans="1:22" x14ac:dyDescent="0.35">
      <c r="A1848" s="198" t="s">
        <v>95</v>
      </c>
      <c r="B1848" s="199">
        <v>2015</v>
      </c>
      <c r="C1848" s="199" t="s">
        <v>1537</v>
      </c>
      <c r="D1848" s="199">
        <v>54</v>
      </c>
      <c r="E1848" s="199">
        <v>345541.21</v>
      </c>
      <c r="F1848" s="199">
        <v>32198.81</v>
      </c>
      <c r="G1848" s="199">
        <f>'Mail Merge'!$E1848+'Mail Merge'!$F1848</f>
        <v>377740.02</v>
      </c>
      <c r="H1848" s="199">
        <v>0</v>
      </c>
      <c r="I1848" s="199" t="s">
        <v>241</v>
      </c>
      <c r="J1848" s="202">
        <f>IFERROR('Mail Merge'!$E1848/'Mail Merge'!$D1848,0)</f>
        <v>6398.9112962962963</v>
      </c>
      <c r="K1848" s="199">
        <f>IFERROR('Mail Merge'!$F1848/'Mail Merge'!$D1848,0)</f>
        <v>596.27425925925934</v>
      </c>
      <c r="L1848" s="203">
        <f>IFERROR('Mail Merge'!$G1848/'Mail Merge'!$D1848,0)</f>
        <v>6995.1855555555558</v>
      </c>
      <c r="M1848" s="199">
        <v>-556501.38</v>
      </c>
      <c r="N1848" s="199" t="s">
        <v>240</v>
      </c>
      <c r="O1848" s="199">
        <v>17768.75</v>
      </c>
      <c r="P1848" s="199">
        <v>22.53</v>
      </c>
      <c r="Q1848" s="199">
        <f>'Mail Merge'!$O1848+'Mail Merge'!$P1848</f>
        <v>17791.28</v>
      </c>
      <c r="R1848" s="199"/>
      <c r="S1848" s="199">
        <v>0</v>
      </c>
      <c r="T1848" s="199">
        <v>1722.81</v>
      </c>
      <c r="U1848" s="199">
        <f>IF(AND('Mail Merge'!$I1848="Did Not Meet",'Mail Merge'!$N1848="Did Not Meet"),MIN(ABS('Mail Merge'!$H1848),ABS('Mail Merge'!$M1848),'Mail Merge'!$Q1848),0)</f>
        <v>0</v>
      </c>
      <c r="V1848" s="199" t="str">
        <f>IF(OR(IFERROR(SEARCH("Met",'Mail Merge'!$N1848),0)&gt;0,IFERROR(SEARCH("Met",'Mail Merge'!$I1848),0)&gt;0),"Met","Not Met")</f>
        <v>Met</v>
      </c>
    </row>
    <row r="1849" spans="1:22" x14ac:dyDescent="0.35">
      <c r="A1849" s="200" t="s">
        <v>96</v>
      </c>
      <c r="B1849" s="201">
        <v>2023</v>
      </c>
      <c r="C1849" s="201" t="s">
        <v>1537</v>
      </c>
      <c r="D1849" s="201">
        <v>39</v>
      </c>
      <c r="E1849" s="201">
        <v>27663.23</v>
      </c>
      <c r="F1849" s="201">
        <v>33173.61</v>
      </c>
      <c r="G1849" s="201">
        <f>'Mail Merge'!$E1849+'Mail Merge'!$F1849</f>
        <v>60836.84</v>
      </c>
      <c r="H1849" s="201">
        <v>0</v>
      </c>
      <c r="I1849" s="201" t="s">
        <v>241</v>
      </c>
      <c r="J1849" s="204">
        <f>IFERROR('Mail Merge'!$E1849/'Mail Merge'!$D1849,0)</f>
        <v>709.31358974358977</v>
      </c>
      <c r="K1849" s="201">
        <f>IFERROR('Mail Merge'!$F1849/'Mail Merge'!$D1849,0)</f>
        <v>850.60538461538465</v>
      </c>
      <c r="L1849" s="205">
        <f>IFERROR('Mail Merge'!$G1849/'Mail Merge'!$D1849,0)</f>
        <v>1559.9189743589743</v>
      </c>
      <c r="M1849" s="201">
        <v>-307912.58</v>
      </c>
      <c r="N1849" s="201" t="s">
        <v>240</v>
      </c>
      <c r="O1849" s="201">
        <v>12314.87</v>
      </c>
      <c r="P1849" s="201">
        <v>0</v>
      </c>
      <c r="Q1849" s="201">
        <f>'Mail Merge'!$O1849+'Mail Merge'!$P1849</f>
        <v>12314.87</v>
      </c>
      <c r="R1849" s="201"/>
      <c r="S1849" s="201">
        <v>0</v>
      </c>
      <c r="T1849" s="201">
        <v>0</v>
      </c>
      <c r="U1849" s="201">
        <f>IF(AND('Mail Merge'!$I1849="Did Not Meet",'Mail Merge'!$N1849="Did Not Meet"),MIN(ABS('Mail Merge'!$H1849),ABS('Mail Merge'!$M1849),'Mail Merge'!$Q1849),0)</f>
        <v>0</v>
      </c>
      <c r="V1849" s="201" t="str">
        <f>IF(OR(IFERROR(SEARCH("Met",'Mail Merge'!$N1849),0)&gt;0,IFERROR(SEARCH("Met",'Mail Merge'!$I1849),0)&gt;0),"Met","Not Met")</f>
        <v>Met</v>
      </c>
    </row>
    <row r="1850" spans="1:22" x14ac:dyDescent="0.35">
      <c r="A1850" s="198" t="s">
        <v>97</v>
      </c>
      <c r="B1850" s="199">
        <v>2114</v>
      </c>
      <c r="C1850" s="199" t="s">
        <v>1537</v>
      </c>
      <c r="D1850" s="199">
        <v>18</v>
      </c>
      <c r="E1850" s="199">
        <v>85393.72</v>
      </c>
      <c r="F1850" s="199">
        <v>69696</v>
      </c>
      <c r="G1850" s="199">
        <f>'Mail Merge'!$E1850+'Mail Merge'!$F1850</f>
        <v>155089.72</v>
      </c>
      <c r="H1850" s="199">
        <v>0</v>
      </c>
      <c r="I1850" s="199" t="s">
        <v>241</v>
      </c>
      <c r="J1850" s="202">
        <f>IFERROR('Mail Merge'!$E1850/'Mail Merge'!$D1850,0)</f>
        <v>4744.0955555555556</v>
      </c>
      <c r="K1850" s="199">
        <f>IFERROR('Mail Merge'!$F1850/'Mail Merge'!$D1850,0)</f>
        <v>3872</v>
      </c>
      <c r="L1850" s="203">
        <f>IFERROR('Mail Merge'!$G1850/'Mail Merge'!$D1850,0)</f>
        <v>8616.0955555555556</v>
      </c>
      <c r="M1850" s="199">
        <v>-49320.966153846166</v>
      </c>
      <c r="N1850" s="199" t="s">
        <v>240</v>
      </c>
      <c r="O1850" s="199">
        <v>18240.89</v>
      </c>
      <c r="P1850" s="199">
        <v>999.53</v>
      </c>
      <c r="Q1850" s="199">
        <f>'Mail Merge'!$O1850+'Mail Merge'!$P1850</f>
        <v>19240.419999999998</v>
      </c>
      <c r="R1850" s="199"/>
      <c r="S1850" s="199">
        <v>0</v>
      </c>
      <c r="T1850" s="199">
        <v>0</v>
      </c>
      <c r="U1850" s="199">
        <f>IF(AND('Mail Merge'!$I1850="Did Not Meet",'Mail Merge'!$N1850="Did Not Meet"),MIN(ABS('Mail Merge'!$H1850),ABS('Mail Merge'!$M1850),'Mail Merge'!$Q1850),0)</f>
        <v>0</v>
      </c>
      <c r="V1850" s="199" t="str">
        <f>IF(OR(IFERROR(SEARCH("Met",'Mail Merge'!$N1850),0)&gt;0,IFERROR(SEARCH("Met",'Mail Merge'!$I1850),0)&gt;0),"Met","Not Met")</f>
        <v>Met</v>
      </c>
    </row>
    <row r="1851" spans="1:22" x14ac:dyDescent="0.35">
      <c r="A1851" s="200" t="s">
        <v>98</v>
      </c>
      <c r="B1851" s="201">
        <v>2099</v>
      </c>
      <c r="C1851" s="201" t="s">
        <v>1537</v>
      </c>
      <c r="D1851" s="201">
        <v>132</v>
      </c>
      <c r="E1851" s="201">
        <v>1279351.05</v>
      </c>
      <c r="F1851" s="201">
        <v>147072</v>
      </c>
      <c r="G1851" s="201">
        <f>'Mail Merge'!$E1851+'Mail Merge'!$F1851</f>
        <v>1426423.05</v>
      </c>
      <c r="H1851" s="201">
        <v>0</v>
      </c>
      <c r="I1851" s="201" t="s">
        <v>241</v>
      </c>
      <c r="J1851" s="204">
        <f>IFERROR('Mail Merge'!$E1851/'Mail Merge'!$D1851,0)</f>
        <v>9692.0534090909096</v>
      </c>
      <c r="K1851" s="201">
        <f>IFERROR('Mail Merge'!$F1851/'Mail Merge'!$D1851,0)</f>
        <v>1114.1818181818182</v>
      </c>
      <c r="L1851" s="205">
        <f>IFERROR('Mail Merge'!$G1851/'Mail Merge'!$D1851,0)</f>
        <v>10806.235227272728</v>
      </c>
      <c r="M1851" s="201">
        <v>0</v>
      </c>
      <c r="N1851" s="201" t="s">
        <v>241</v>
      </c>
      <c r="O1851" s="201">
        <v>132837.21</v>
      </c>
      <c r="P1851" s="201">
        <v>1056.23</v>
      </c>
      <c r="Q1851" s="201">
        <f>'Mail Merge'!$O1851+'Mail Merge'!$P1851</f>
        <v>133893.44</v>
      </c>
      <c r="R1851" s="201"/>
      <c r="S1851" s="201">
        <v>0</v>
      </c>
      <c r="T1851" s="201"/>
      <c r="U1851" s="201">
        <f>IF(AND('Mail Merge'!$I1851="Did Not Meet",'Mail Merge'!$N1851="Did Not Meet"),MIN(ABS('Mail Merge'!$H1851),ABS('Mail Merge'!$M1851),'Mail Merge'!$Q1851),0)</f>
        <v>0</v>
      </c>
      <c r="V1851" s="201" t="str">
        <f>IF(OR(IFERROR(SEARCH("Met",'Mail Merge'!$N1851),0)&gt;0,IFERROR(SEARCH("Met",'Mail Merge'!$I1851),0)&gt;0),"Met","Not Met")</f>
        <v>Met</v>
      </c>
    </row>
    <row r="1852" spans="1:22" x14ac:dyDescent="0.35">
      <c r="A1852" s="198" t="s">
        <v>99</v>
      </c>
      <c r="B1852" s="199">
        <v>2201</v>
      </c>
      <c r="C1852" s="199" t="s">
        <v>1537</v>
      </c>
      <c r="D1852" s="199">
        <v>21</v>
      </c>
      <c r="E1852" s="199">
        <v>121993.33</v>
      </c>
      <c r="F1852" s="199">
        <v>37441.06</v>
      </c>
      <c r="G1852" s="199">
        <f>'Mail Merge'!$E1852+'Mail Merge'!$F1852</f>
        <v>159434.39000000001</v>
      </c>
      <c r="H1852" s="199">
        <v>0</v>
      </c>
      <c r="I1852" s="199" t="s">
        <v>241</v>
      </c>
      <c r="J1852" s="202">
        <f>IFERROR('Mail Merge'!$E1852/'Mail Merge'!$D1852,0)</f>
        <v>5809.2061904761904</v>
      </c>
      <c r="K1852" s="199">
        <f>IFERROR('Mail Merge'!$F1852/'Mail Merge'!$D1852,0)</f>
        <v>1782.9076190476189</v>
      </c>
      <c r="L1852" s="203">
        <f>IFERROR('Mail Merge'!$G1852/'Mail Merge'!$D1852,0)</f>
        <v>7592.1138095238102</v>
      </c>
      <c r="M1852" s="199">
        <v>0</v>
      </c>
      <c r="N1852" s="199" t="s">
        <v>241</v>
      </c>
      <c r="O1852" s="199">
        <v>25247.69</v>
      </c>
      <c r="P1852" s="199">
        <v>485.55</v>
      </c>
      <c r="Q1852" s="199">
        <f>'Mail Merge'!$O1852+'Mail Merge'!$P1852</f>
        <v>25733.239999999998</v>
      </c>
      <c r="R1852" s="199"/>
      <c r="S1852" s="199">
        <v>0</v>
      </c>
      <c r="T1852" s="199"/>
      <c r="U1852" s="199">
        <f>IF(AND('Mail Merge'!$I1852="Did Not Meet",'Mail Merge'!$N1852="Did Not Meet"),MIN(ABS('Mail Merge'!$H1852),ABS('Mail Merge'!$M1852),'Mail Merge'!$Q1852),0)</f>
        <v>0</v>
      </c>
      <c r="V1852" s="199" t="str">
        <f>IF(OR(IFERROR(SEARCH("Met",'Mail Merge'!$N1852),0)&gt;0,IFERROR(SEARCH("Met",'Mail Merge'!$I1852),0)&gt;0),"Met","Not Met")</f>
        <v>Met</v>
      </c>
    </row>
    <row r="1853" spans="1:22" x14ac:dyDescent="0.35">
      <c r="A1853" s="200" t="s">
        <v>100</v>
      </c>
      <c r="B1853" s="201">
        <v>2206</v>
      </c>
      <c r="C1853" s="201" t="s">
        <v>1537</v>
      </c>
      <c r="D1853" s="201">
        <v>718</v>
      </c>
      <c r="E1853" s="201">
        <v>6247011</v>
      </c>
      <c r="F1853" s="201">
        <v>0</v>
      </c>
      <c r="G1853" s="201">
        <f>'Mail Merge'!$E1853+'Mail Merge'!$F1853</f>
        <v>6247011</v>
      </c>
      <c r="H1853" s="201">
        <v>0</v>
      </c>
      <c r="I1853" s="201" t="s">
        <v>241</v>
      </c>
      <c r="J1853" s="204">
        <f>IFERROR('Mail Merge'!$E1853/'Mail Merge'!$D1853,0)</f>
        <v>8700.5724233983292</v>
      </c>
      <c r="K1853" s="201">
        <f>IFERROR('Mail Merge'!$F1853/'Mail Merge'!$D1853,0)</f>
        <v>0</v>
      </c>
      <c r="L1853" s="205">
        <f>IFERROR('Mail Merge'!$G1853/'Mail Merge'!$D1853,0)</f>
        <v>8700.5724233983292</v>
      </c>
      <c r="M1853" s="201">
        <v>0</v>
      </c>
      <c r="N1853" s="201" t="s">
        <v>241</v>
      </c>
      <c r="O1853" s="201">
        <v>824874.7</v>
      </c>
      <c r="P1853" s="201">
        <v>4825.6400000000003</v>
      </c>
      <c r="Q1853" s="201">
        <f>'Mail Merge'!$O1853+'Mail Merge'!$P1853</f>
        <v>829700.34</v>
      </c>
      <c r="R1853" s="201"/>
      <c r="S1853" s="201">
        <v>0</v>
      </c>
      <c r="T1853" s="201"/>
      <c r="U1853" s="201">
        <f>IF(AND('Mail Merge'!$I1853="Did Not Meet",'Mail Merge'!$N1853="Did Not Meet"),MIN(ABS('Mail Merge'!$H1853),ABS('Mail Merge'!$M1853),'Mail Merge'!$Q1853),0)</f>
        <v>0</v>
      </c>
      <c r="V1853" s="201" t="str">
        <f>IF(OR(IFERROR(SEARCH("Met",'Mail Merge'!$N1853),0)&gt;0,IFERROR(SEARCH("Met",'Mail Merge'!$I1853),0)&gt;0),"Met","Not Met")</f>
        <v>Met</v>
      </c>
    </row>
    <row r="1854" spans="1:22" x14ac:dyDescent="0.35">
      <c r="A1854" s="198" t="s">
        <v>101</v>
      </c>
      <c r="B1854" s="199">
        <v>2239</v>
      </c>
      <c r="C1854" s="199" t="s">
        <v>1537</v>
      </c>
      <c r="D1854" s="199">
        <v>3185</v>
      </c>
      <c r="E1854" s="199">
        <v>36485717.390000001</v>
      </c>
      <c r="F1854" s="199">
        <v>4500713</v>
      </c>
      <c r="G1854" s="199">
        <f>'Mail Merge'!$E1854+'Mail Merge'!$F1854</f>
        <v>40986430.390000001</v>
      </c>
      <c r="H1854" s="199">
        <v>0</v>
      </c>
      <c r="I1854" s="199" t="s">
        <v>241</v>
      </c>
      <c r="J1854" s="202">
        <f>IFERROR('Mail Merge'!$E1854/'Mail Merge'!$D1854,0)</f>
        <v>11455.484266875981</v>
      </c>
      <c r="K1854" s="199">
        <f>IFERROR('Mail Merge'!$F1854/'Mail Merge'!$D1854,0)</f>
        <v>1413.0967032967033</v>
      </c>
      <c r="L1854" s="203">
        <f>IFERROR('Mail Merge'!$G1854/'Mail Merge'!$D1854,0)</f>
        <v>12868.580970172685</v>
      </c>
      <c r="M1854" s="199">
        <v>0</v>
      </c>
      <c r="N1854" s="199" t="s">
        <v>241</v>
      </c>
      <c r="O1854" s="199">
        <v>2771275.58</v>
      </c>
      <c r="P1854" s="199">
        <v>13174.37</v>
      </c>
      <c r="Q1854" s="199">
        <f>'Mail Merge'!$O1854+'Mail Merge'!$P1854</f>
        <v>2784449.95</v>
      </c>
      <c r="R1854" s="199"/>
      <c r="S1854" s="199">
        <v>0</v>
      </c>
      <c r="T1854" s="199"/>
      <c r="U1854" s="199">
        <f>IF(AND('Mail Merge'!$I1854="Did Not Meet",'Mail Merge'!$N1854="Did Not Meet"),MIN(ABS('Mail Merge'!$H1854),ABS('Mail Merge'!$M1854),'Mail Merge'!$Q1854),0)</f>
        <v>0</v>
      </c>
      <c r="V1854" s="199" t="str">
        <f>IF(OR(IFERROR(SEARCH("Met",'Mail Merge'!$N1854),0)&gt;0,IFERROR(SEARCH("Met",'Mail Merge'!$I1854),0)&gt;0),"Met","Not Met")</f>
        <v>Met</v>
      </c>
    </row>
    <row r="1855" spans="1:22" x14ac:dyDescent="0.35">
      <c r="A1855" s="200" t="s">
        <v>102</v>
      </c>
      <c r="B1855" s="201">
        <v>2024</v>
      </c>
      <c r="C1855" s="201" t="s">
        <v>1537</v>
      </c>
      <c r="D1855" s="201">
        <v>488</v>
      </c>
      <c r="E1855" s="201">
        <v>4800497.84</v>
      </c>
      <c r="F1855" s="201">
        <v>0</v>
      </c>
      <c r="G1855" s="201">
        <f>'Mail Merge'!$E1855+'Mail Merge'!$F1855</f>
        <v>4800497.84</v>
      </c>
      <c r="H1855" s="201">
        <v>0</v>
      </c>
      <c r="I1855" s="201" t="s">
        <v>241</v>
      </c>
      <c r="J1855" s="204">
        <f>IFERROR('Mail Merge'!$E1855/'Mail Merge'!$D1855,0)</f>
        <v>9837.0857377049178</v>
      </c>
      <c r="K1855" s="201">
        <f>IFERROR('Mail Merge'!$F1855/'Mail Merge'!$D1855,0)</f>
        <v>0</v>
      </c>
      <c r="L1855" s="205">
        <f>IFERROR('Mail Merge'!$G1855/'Mail Merge'!$D1855,0)</f>
        <v>9837.0857377049178</v>
      </c>
      <c r="M1855" s="201">
        <v>0</v>
      </c>
      <c r="N1855" s="201" t="s">
        <v>241</v>
      </c>
      <c r="O1855" s="201">
        <v>621728.27</v>
      </c>
      <c r="P1855" s="201">
        <v>2682.55</v>
      </c>
      <c r="Q1855" s="201">
        <f>'Mail Merge'!$O1855+'Mail Merge'!$P1855</f>
        <v>624410.82000000007</v>
      </c>
      <c r="R1855" s="201"/>
      <c r="S1855" s="201">
        <v>0</v>
      </c>
      <c r="T1855" s="201"/>
      <c r="U1855" s="201">
        <f>IF(AND('Mail Merge'!$I1855="Did Not Meet",'Mail Merge'!$N1855="Did Not Meet"),MIN(ABS('Mail Merge'!$H1855),ABS('Mail Merge'!$M1855),'Mail Merge'!$Q1855),0)</f>
        <v>0</v>
      </c>
      <c r="V1855" s="201" t="str">
        <f>IF(OR(IFERROR(SEARCH("Met",'Mail Merge'!$N1855),0)&gt;0,IFERROR(SEARCH("Met",'Mail Merge'!$I1855),0)&gt;0),"Met","Not Met")</f>
        <v>Met</v>
      </c>
    </row>
    <row r="1856" spans="1:22" x14ac:dyDescent="0.35">
      <c r="A1856" s="198" t="s">
        <v>103</v>
      </c>
      <c r="B1856" s="199">
        <v>1895</v>
      </c>
      <c r="C1856" s="199" t="s">
        <v>1537</v>
      </c>
      <c r="D1856" s="199">
        <v>5</v>
      </c>
      <c r="E1856" s="199">
        <v>66742.41</v>
      </c>
      <c r="F1856" s="199">
        <v>62490.53</v>
      </c>
      <c r="G1856" s="199">
        <f>'Mail Merge'!$E1856+'Mail Merge'!$F1856</f>
        <v>129232.94</v>
      </c>
      <c r="H1856" s="199">
        <v>0</v>
      </c>
      <c r="I1856" s="199" t="s">
        <v>241</v>
      </c>
      <c r="J1856" s="202">
        <f>IFERROR('Mail Merge'!$E1856/'Mail Merge'!$D1856,0)</f>
        <v>13348.482</v>
      </c>
      <c r="K1856" s="199">
        <f>IFERROR('Mail Merge'!$F1856/'Mail Merge'!$D1856,0)</f>
        <v>12498.106</v>
      </c>
      <c r="L1856" s="203">
        <f>IFERROR('Mail Merge'!$G1856/'Mail Merge'!$D1856,0)</f>
        <v>25846.588</v>
      </c>
      <c r="M1856" s="199">
        <v>0</v>
      </c>
      <c r="N1856" s="199" t="s">
        <v>241</v>
      </c>
      <c r="O1856" s="199">
        <v>17513.02</v>
      </c>
      <c r="P1856" s="199">
        <v>971.1</v>
      </c>
      <c r="Q1856" s="199">
        <f>'Mail Merge'!$O1856+'Mail Merge'!$P1856</f>
        <v>18484.12</v>
      </c>
      <c r="R1856" s="199"/>
      <c r="S1856" s="199">
        <v>0</v>
      </c>
      <c r="T1856" s="199"/>
      <c r="U1856" s="199">
        <f>IF(AND('Mail Merge'!$I1856="Did Not Meet",'Mail Merge'!$N1856="Did Not Meet"),MIN(ABS('Mail Merge'!$H1856),ABS('Mail Merge'!$M1856),'Mail Merge'!$Q1856),0)</f>
        <v>0</v>
      </c>
      <c r="V1856" s="199" t="str">
        <f>IF(OR(IFERROR(SEARCH("Met",'Mail Merge'!$N1856),0)&gt;0,IFERROR(SEARCH("Met",'Mail Merge'!$I1856),0)&gt;0),"Met","Not Met")</f>
        <v>Met</v>
      </c>
    </row>
    <row r="1857" spans="1:22" x14ac:dyDescent="0.35">
      <c r="A1857" s="200" t="s">
        <v>104</v>
      </c>
      <c r="B1857" s="201">
        <v>2215</v>
      </c>
      <c r="C1857" s="201" t="s">
        <v>1537</v>
      </c>
      <c r="D1857" s="201">
        <v>42</v>
      </c>
      <c r="E1857" s="201">
        <v>233731.33</v>
      </c>
      <c r="F1857" s="201">
        <v>71293.710000000006</v>
      </c>
      <c r="G1857" s="201">
        <f>'Mail Merge'!$E1857+'Mail Merge'!$F1857</f>
        <v>305025.03999999998</v>
      </c>
      <c r="H1857" s="201">
        <v>0</v>
      </c>
      <c r="I1857" s="201" t="s">
        <v>242</v>
      </c>
      <c r="J1857" s="204">
        <f>IFERROR('Mail Merge'!$E1857/'Mail Merge'!$D1857,0)</f>
        <v>5565.0316666666668</v>
      </c>
      <c r="K1857" s="201">
        <f>IFERROR('Mail Merge'!$F1857/'Mail Merge'!$D1857,0)</f>
        <v>1697.4692857142859</v>
      </c>
      <c r="L1857" s="205">
        <f>IFERROR('Mail Merge'!$G1857/'Mail Merge'!$D1857,0)</f>
        <v>7262.5009523809522</v>
      </c>
      <c r="M1857" s="201">
        <v>-11297.277499999998</v>
      </c>
      <c r="N1857" s="201" t="s">
        <v>240</v>
      </c>
      <c r="O1857" s="201">
        <v>60421.88</v>
      </c>
      <c r="P1857" s="201">
        <v>0</v>
      </c>
      <c r="Q1857" s="201">
        <f>'Mail Merge'!$O1857+'Mail Merge'!$P1857</f>
        <v>60421.88</v>
      </c>
      <c r="R1857" s="201"/>
      <c r="S1857" s="201">
        <v>35781.14</v>
      </c>
      <c r="T1857" s="201">
        <v>0</v>
      </c>
      <c r="U1857" s="201">
        <f>IF(AND('Mail Merge'!$I1857="Did Not Meet",'Mail Merge'!$N1857="Did Not Meet"),MIN(ABS('Mail Merge'!$H1857),ABS('Mail Merge'!$M1857),'Mail Merge'!$Q1857),0)</f>
        <v>0</v>
      </c>
      <c r="V1857" s="201" t="str">
        <f>IF(OR(IFERROR(SEARCH("Met",'Mail Merge'!$N1857),0)&gt;0,IFERROR(SEARCH("Met",'Mail Merge'!$I1857),0)&gt;0),"Met","Not Met")</f>
        <v>Met</v>
      </c>
    </row>
    <row r="1858" spans="1:22" x14ac:dyDescent="0.35">
      <c r="A1858" s="198" t="s">
        <v>105</v>
      </c>
      <c r="B1858" s="199">
        <v>3997</v>
      </c>
      <c r="C1858" s="199" t="s">
        <v>1537</v>
      </c>
      <c r="D1858" s="199">
        <v>27</v>
      </c>
      <c r="E1858" s="199">
        <v>183894.2</v>
      </c>
      <c r="F1858" s="199">
        <v>45798.43</v>
      </c>
      <c r="G1858" s="199">
        <f>'Mail Merge'!$E1858+'Mail Merge'!$F1858</f>
        <v>229692.63</v>
      </c>
      <c r="H1858" s="199">
        <v>0</v>
      </c>
      <c r="I1858" s="199" t="s">
        <v>241</v>
      </c>
      <c r="J1858" s="202">
        <f>IFERROR('Mail Merge'!$E1858/'Mail Merge'!$D1858,0)</f>
        <v>6810.8962962962969</v>
      </c>
      <c r="K1858" s="199">
        <f>IFERROR('Mail Merge'!$F1858/'Mail Merge'!$D1858,0)</f>
        <v>1696.2381481481482</v>
      </c>
      <c r="L1858" s="203">
        <f>IFERROR('Mail Merge'!$G1858/'Mail Merge'!$D1858,0)</f>
        <v>8507.1344444444439</v>
      </c>
      <c r="M1858" s="199">
        <v>-7817.8424999999952</v>
      </c>
      <c r="N1858" s="199" t="s">
        <v>240</v>
      </c>
      <c r="O1858" s="199">
        <v>23575.51</v>
      </c>
      <c r="P1858" s="199">
        <v>506.98</v>
      </c>
      <c r="Q1858" s="199">
        <f>'Mail Merge'!$O1858+'Mail Merge'!$P1858</f>
        <v>24082.489999999998</v>
      </c>
      <c r="R1858" s="199"/>
      <c r="S1858" s="199">
        <v>0</v>
      </c>
      <c r="T1858" s="199">
        <v>0</v>
      </c>
      <c r="U1858" s="199">
        <f>IF(AND('Mail Merge'!$I1858="Did Not Meet",'Mail Merge'!$N1858="Did Not Meet"),MIN(ABS('Mail Merge'!$H1858),ABS('Mail Merge'!$M1858),'Mail Merge'!$Q1858),0)</f>
        <v>0</v>
      </c>
      <c r="V1858" s="199" t="str">
        <f>IF(OR(IFERROR(SEARCH("Met",'Mail Merge'!$N1858),0)&gt;0,IFERROR(SEARCH("Met",'Mail Merge'!$I1858),0)&gt;0),"Met","Not Met")</f>
        <v>Met</v>
      </c>
    </row>
    <row r="1859" spans="1:22" x14ac:dyDescent="0.35">
      <c r="A1859" s="200" t="s">
        <v>106</v>
      </c>
      <c r="B1859" s="201">
        <v>2053</v>
      </c>
      <c r="C1859" s="201" t="s">
        <v>1537</v>
      </c>
      <c r="D1859" s="201">
        <v>509</v>
      </c>
      <c r="E1859" s="201">
        <v>4773190.04</v>
      </c>
      <c r="F1859" s="201">
        <v>1187726.33</v>
      </c>
      <c r="G1859" s="201">
        <f>'Mail Merge'!$E1859+'Mail Merge'!$F1859</f>
        <v>5960916.3700000001</v>
      </c>
      <c r="H1859" s="201">
        <v>0</v>
      </c>
      <c r="I1859" s="201" t="s">
        <v>241</v>
      </c>
      <c r="J1859" s="204">
        <f>IFERROR('Mail Merge'!$E1859/'Mail Merge'!$D1859,0)</f>
        <v>9377.5835756385077</v>
      </c>
      <c r="K1859" s="201">
        <f>IFERROR('Mail Merge'!$F1859/'Mail Merge'!$D1859,0)</f>
        <v>2333.4505500982318</v>
      </c>
      <c r="L1859" s="205">
        <f>IFERROR('Mail Merge'!$G1859/'Mail Merge'!$D1859,0)</f>
        <v>11711.034125736738</v>
      </c>
      <c r="M1859" s="201">
        <v>0</v>
      </c>
      <c r="N1859" s="201" t="s">
        <v>241</v>
      </c>
      <c r="O1859" s="201">
        <v>526882.65</v>
      </c>
      <c r="P1859" s="201">
        <v>9978.9500000000007</v>
      </c>
      <c r="Q1859" s="201">
        <f>'Mail Merge'!$O1859+'Mail Merge'!$P1859</f>
        <v>536861.6</v>
      </c>
      <c r="R1859" s="201"/>
      <c r="S1859" s="201">
        <v>0</v>
      </c>
      <c r="T1859" s="201"/>
      <c r="U1859" s="201">
        <f>IF(AND('Mail Merge'!$I1859="Did Not Meet",'Mail Merge'!$N1859="Did Not Meet"),MIN(ABS('Mail Merge'!$H1859),ABS('Mail Merge'!$M1859),'Mail Merge'!$Q1859),0)</f>
        <v>0</v>
      </c>
      <c r="V1859" s="201" t="str">
        <f>IF(OR(IFERROR(SEARCH("Met",'Mail Merge'!$N1859),0)&gt;0,IFERROR(SEARCH("Met",'Mail Merge'!$I1859),0)&gt;0),"Met","Not Met")</f>
        <v>Met</v>
      </c>
    </row>
    <row r="1860" spans="1:22" x14ac:dyDescent="0.35">
      <c r="A1860" s="198" t="s">
        <v>107</v>
      </c>
      <c r="B1860" s="199">
        <v>2140</v>
      </c>
      <c r="C1860" s="199" t="s">
        <v>1537</v>
      </c>
      <c r="D1860" s="199">
        <v>144</v>
      </c>
      <c r="E1860" s="199">
        <v>1203202.58</v>
      </c>
      <c r="F1860" s="199">
        <v>180101.05</v>
      </c>
      <c r="G1860" s="199">
        <f>'Mail Merge'!$E1860+'Mail Merge'!$F1860</f>
        <v>1383303.6300000001</v>
      </c>
      <c r="H1860" s="199">
        <v>0</v>
      </c>
      <c r="I1860" s="199" t="s">
        <v>241</v>
      </c>
      <c r="J1860" s="202">
        <f>IFERROR('Mail Merge'!$E1860/'Mail Merge'!$D1860,0)</f>
        <v>8355.5734722222223</v>
      </c>
      <c r="K1860" s="199">
        <f>IFERROR('Mail Merge'!$F1860/'Mail Merge'!$D1860,0)</f>
        <v>1250.7017361111111</v>
      </c>
      <c r="L1860" s="203">
        <f>IFERROR('Mail Merge'!$G1860/'Mail Merge'!$D1860,0)</f>
        <v>9606.2752083333344</v>
      </c>
      <c r="M1860" s="199">
        <v>-62339.074477611546</v>
      </c>
      <c r="N1860" s="199" t="s">
        <v>240</v>
      </c>
      <c r="O1860" s="199">
        <v>139140.07</v>
      </c>
      <c r="P1860" s="199">
        <v>508.38</v>
      </c>
      <c r="Q1860" s="199">
        <f>'Mail Merge'!$O1860+'Mail Merge'!$P1860</f>
        <v>139648.45000000001</v>
      </c>
      <c r="R1860" s="199"/>
      <c r="S1860" s="199">
        <v>0</v>
      </c>
      <c r="T1860" s="199">
        <v>0</v>
      </c>
      <c r="U1860" s="199">
        <f>IF(AND('Mail Merge'!$I1860="Did Not Meet",'Mail Merge'!$N1860="Did Not Meet"),MIN(ABS('Mail Merge'!$H1860),ABS('Mail Merge'!$M1860),'Mail Merge'!$Q1860),0)</f>
        <v>0</v>
      </c>
      <c r="V1860" s="199" t="str">
        <f>IF(OR(IFERROR(SEARCH("Met",'Mail Merge'!$N1860),0)&gt;0,IFERROR(SEARCH("Met",'Mail Merge'!$I1860),0)&gt;0),"Met","Not Met")</f>
        <v>Met</v>
      </c>
    </row>
    <row r="1861" spans="1:22" x14ac:dyDescent="0.35">
      <c r="A1861" s="200" t="s">
        <v>108</v>
      </c>
      <c r="B1861" s="201">
        <v>1934</v>
      </c>
      <c r="C1861" s="201" t="s">
        <v>1537</v>
      </c>
      <c r="D1861" s="201">
        <v>31</v>
      </c>
      <c r="E1861" s="201">
        <v>320778.52</v>
      </c>
      <c r="F1861" s="201">
        <v>99718</v>
      </c>
      <c r="G1861" s="201">
        <f>'Mail Merge'!$E1861+'Mail Merge'!$F1861</f>
        <v>420496.52</v>
      </c>
      <c r="H1861" s="201">
        <v>0</v>
      </c>
      <c r="I1861" s="201" t="s">
        <v>241</v>
      </c>
      <c r="J1861" s="204">
        <f>IFERROR('Mail Merge'!$E1861/'Mail Merge'!$D1861,0)</f>
        <v>10347.694193548388</v>
      </c>
      <c r="K1861" s="201">
        <f>IFERROR('Mail Merge'!$F1861/'Mail Merge'!$D1861,0)</f>
        <v>3216.7096774193546</v>
      </c>
      <c r="L1861" s="205">
        <f>IFERROR('Mail Merge'!$G1861/'Mail Merge'!$D1861,0)</f>
        <v>13564.403870967742</v>
      </c>
      <c r="M1861" s="201">
        <v>-259947.36266666665</v>
      </c>
      <c r="N1861" s="201" t="s">
        <v>240</v>
      </c>
      <c r="O1861" s="201">
        <v>27920.89</v>
      </c>
      <c r="P1861" s="201">
        <v>485.55</v>
      </c>
      <c r="Q1861" s="201">
        <f>'Mail Merge'!$O1861+'Mail Merge'!$P1861</f>
        <v>28406.44</v>
      </c>
      <c r="R1861" s="201"/>
      <c r="S1861" s="201">
        <v>0</v>
      </c>
      <c r="T1861" s="201">
        <v>0</v>
      </c>
      <c r="U1861" s="201">
        <f>IF(AND('Mail Merge'!$I1861="Did Not Meet",'Mail Merge'!$N1861="Did Not Meet"),MIN(ABS('Mail Merge'!$H1861),ABS('Mail Merge'!$M1861),'Mail Merge'!$Q1861),0)</f>
        <v>0</v>
      </c>
      <c r="V1861" s="201" t="str">
        <f>IF(OR(IFERROR(SEARCH("Met",'Mail Merge'!$N1861),0)&gt;0,IFERROR(SEARCH("Met",'Mail Merge'!$I1861),0)&gt;0),"Met","Not Met")</f>
        <v>Met</v>
      </c>
    </row>
    <row r="1862" spans="1:22" x14ac:dyDescent="0.35">
      <c r="A1862" s="198" t="s">
        <v>109</v>
      </c>
      <c r="B1862" s="199">
        <v>2008</v>
      </c>
      <c r="C1862" s="199" t="s">
        <v>1537</v>
      </c>
      <c r="D1862" s="199">
        <v>85</v>
      </c>
      <c r="E1862" s="199">
        <v>960845.71</v>
      </c>
      <c r="F1862" s="199">
        <v>157514.87</v>
      </c>
      <c r="G1862" s="199">
        <f>'Mail Merge'!$E1862+'Mail Merge'!$F1862</f>
        <v>1118360.58</v>
      </c>
      <c r="H1862" s="199">
        <v>0</v>
      </c>
      <c r="I1862" s="199" t="s">
        <v>241</v>
      </c>
      <c r="J1862" s="202">
        <f>IFERROR('Mail Merge'!$E1862/'Mail Merge'!$D1862,0)</f>
        <v>11304.067176470588</v>
      </c>
      <c r="K1862" s="199">
        <f>IFERROR('Mail Merge'!$F1862/'Mail Merge'!$D1862,0)</f>
        <v>1853.1161176470587</v>
      </c>
      <c r="L1862" s="203">
        <f>IFERROR('Mail Merge'!$G1862/'Mail Merge'!$D1862,0)</f>
        <v>13157.183294117647</v>
      </c>
      <c r="M1862" s="199">
        <v>-15193.521204819272</v>
      </c>
      <c r="N1862" s="199" t="s">
        <v>240</v>
      </c>
      <c r="O1862" s="199">
        <v>139330.57999999999</v>
      </c>
      <c r="P1862" s="199">
        <v>3427.87</v>
      </c>
      <c r="Q1862" s="199">
        <f>'Mail Merge'!$O1862+'Mail Merge'!$P1862</f>
        <v>142758.44999999998</v>
      </c>
      <c r="R1862" s="199"/>
      <c r="S1862" s="199">
        <v>0</v>
      </c>
      <c r="T1862" s="199">
        <v>0</v>
      </c>
      <c r="U1862" s="199">
        <f>IF(AND('Mail Merge'!$I1862="Did Not Meet",'Mail Merge'!$N1862="Did Not Meet"),MIN(ABS('Mail Merge'!$H1862),ABS('Mail Merge'!$M1862),'Mail Merge'!$Q1862),0)</f>
        <v>0</v>
      </c>
      <c r="V1862" s="199" t="str">
        <f>IF(OR(IFERROR(SEARCH("Met",'Mail Merge'!$N1862),0)&gt;0,IFERROR(SEARCH("Met",'Mail Merge'!$I1862),0)&gt;0),"Met","Not Met")</f>
        <v>Met</v>
      </c>
    </row>
    <row r="1863" spans="1:22" x14ac:dyDescent="0.35">
      <c r="A1863" s="200" t="s">
        <v>110</v>
      </c>
      <c r="B1863" s="201">
        <v>2107</v>
      </c>
      <c r="C1863" s="201" t="s">
        <v>1537</v>
      </c>
      <c r="D1863" s="201">
        <v>3</v>
      </c>
      <c r="E1863" s="201">
        <v>50192.35</v>
      </c>
      <c r="F1863" s="201">
        <v>65514.44</v>
      </c>
      <c r="G1863" s="201">
        <f>'Mail Merge'!$E1863+'Mail Merge'!$F1863</f>
        <v>115706.79000000001</v>
      </c>
      <c r="H1863" s="201">
        <v>0</v>
      </c>
      <c r="I1863" s="201" t="s">
        <v>241</v>
      </c>
      <c r="J1863" s="204">
        <f>IFERROR('Mail Merge'!$E1863/'Mail Merge'!$D1863,0)</f>
        <v>16730.783333333333</v>
      </c>
      <c r="K1863" s="201">
        <f>IFERROR('Mail Merge'!$F1863/'Mail Merge'!$D1863,0)</f>
        <v>21838.146666666667</v>
      </c>
      <c r="L1863" s="205">
        <f>IFERROR('Mail Merge'!$G1863/'Mail Merge'!$D1863,0)</f>
        <v>38568.93</v>
      </c>
      <c r="M1863" s="201">
        <v>0</v>
      </c>
      <c r="N1863" s="201" t="s">
        <v>241</v>
      </c>
      <c r="O1863" s="201">
        <v>15029.46</v>
      </c>
      <c r="P1863" s="201">
        <v>8.5</v>
      </c>
      <c r="Q1863" s="201">
        <f>'Mail Merge'!$O1863+'Mail Merge'!$P1863</f>
        <v>15037.96</v>
      </c>
      <c r="R1863" s="201"/>
      <c r="S1863" s="201">
        <v>0</v>
      </c>
      <c r="T1863" s="201"/>
      <c r="U1863" s="201">
        <f>IF(AND('Mail Merge'!$I1863="Did Not Meet",'Mail Merge'!$N1863="Did Not Meet"),MIN(ABS('Mail Merge'!$H1863),ABS('Mail Merge'!$M1863),'Mail Merge'!$Q1863),0)</f>
        <v>0</v>
      </c>
      <c r="V1863" s="201" t="str">
        <f>IF(OR(IFERROR(SEARCH("Met",'Mail Merge'!$N1863),0)&gt;0,IFERROR(SEARCH("Met",'Mail Merge'!$I1863),0)&gt;0),"Met","Not Met")</f>
        <v>Met</v>
      </c>
    </row>
    <row r="1864" spans="1:22" x14ac:dyDescent="0.35">
      <c r="A1864" s="198" t="s">
        <v>111</v>
      </c>
      <c r="B1864" s="199">
        <v>2219</v>
      </c>
      <c r="C1864" s="199" t="s">
        <v>1537</v>
      </c>
      <c r="D1864" s="199">
        <v>31</v>
      </c>
      <c r="E1864" s="199">
        <v>148765.32</v>
      </c>
      <c r="F1864" s="199">
        <v>153951.26999999999</v>
      </c>
      <c r="G1864" s="199">
        <f>'Mail Merge'!$E1864+'Mail Merge'!$F1864</f>
        <v>302716.58999999997</v>
      </c>
      <c r="H1864" s="199">
        <v>0</v>
      </c>
      <c r="I1864" s="199" t="s">
        <v>241</v>
      </c>
      <c r="J1864" s="202">
        <f>IFERROR('Mail Merge'!$E1864/'Mail Merge'!$D1864,0)</f>
        <v>4798.8812903225808</v>
      </c>
      <c r="K1864" s="199">
        <f>IFERROR('Mail Merge'!$F1864/'Mail Merge'!$D1864,0)</f>
        <v>4966.17</v>
      </c>
      <c r="L1864" s="203">
        <f>IFERROR('Mail Merge'!$G1864/'Mail Merge'!$D1864,0)</f>
        <v>9765.051290322579</v>
      </c>
      <c r="M1864" s="199">
        <v>-51577.772916666756</v>
      </c>
      <c r="N1864" s="199" t="s">
        <v>240</v>
      </c>
      <c r="O1864" s="199">
        <v>59141.68</v>
      </c>
      <c r="P1864" s="199">
        <v>971.1</v>
      </c>
      <c r="Q1864" s="199">
        <f>'Mail Merge'!$O1864+'Mail Merge'!$P1864</f>
        <v>60112.78</v>
      </c>
      <c r="R1864" s="199"/>
      <c r="S1864" s="199">
        <v>0</v>
      </c>
      <c r="T1864" s="199">
        <v>0</v>
      </c>
      <c r="U1864" s="199">
        <f>IF(AND('Mail Merge'!$I1864="Did Not Meet",'Mail Merge'!$N1864="Did Not Meet"),MIN(ABS('Mail Merge'!$H1864),ABS('Mail Merge'!$M1864),'Mail Merge'!$Q1864),0)</f>
        <v>0</v>
      </c>
      <c r="V1864" s="199" t="str">
        <f>IF(OR(IFERROR(SEARCH("Met",'Mail Merge'!$N1864),0)&gt;0,IFERROR(SEARCH("Met",'Mail Merge'!$I1864),0)&gt;0),"Met","Not Met")</f>
        <v>Met</v>
      </c>
    </row>
    <row r="1865" spans="1:22" x14ac:dyDescent="0.35">
      <c r="A1865" s="200" t="s">
        <v>112</v>
      </c>
      <c r="B1865" s="201">
        <v>2091</v>
      </c>
      <c r="C1865" s="201" t="s">
        <v>1537</v>
      </c>
      <c r="D1865" s="201">
        <v>251</v>
      </c>
      <c r="E1865" s="201">
        <v>1926621.52</v>
      </c>
      <c r="F1865" s="201">
        <v>539735</v>
      </c>
      <c r="G1865" s="201">
        <f>'Mail Merge'!$E1865+'Mail Merge'!$F1865</f>
        <v>2466356.52</v>
      </c>
      <c r="H1865" s="201">
        <v>0</v>
      </c>
      <c r="I1865" s="201" t="s">
        <v>241</v>
      </c>
      <c r="J1865" s="204">
        <f>IFERROR('Mail Merge'!$E1865/'Mail Merge'!$D1865,0)</f>
        <v>7675.7829482071711</v>
      </c>
      <c r="K1865" s="201">
        <f>IFERROR('Mail Merge'!$F1865/'Mail Merge'!$D1865,0)</f>
        <v>2150.3386454183269</v>
      </c>
      <c r="L1865" s="205">
        <f>IFERROR('Mail Merge'!$G1865/'Mail Merge'!$D1865,0)</f>
        <v>9826.1215936254976</v>
      </c>
      <c r="M1865" s="201">
        <v>0</v>
      </c>
      <c r="N1865" s="201" t="s">
        <v>241</v>
      </c>
      <c r="O1865" s="201">
        <v>284283.90999999997</v>
      </c>
      <c r="P1865" s="201">
        <v>8817.86</v>
      </c>
      <c r="Q1865" s="201">
        <f>'Mail Merge'!$O1865+'Mail Merge'!$P1865</f>
        <v>293101.76999999996</v>
      </c>
      <c r="R1865" s="201"/>
      <c r="S1865" s="201">
        <v>0</v>
      </c>
      <c r="T1865" s="201"/>
      <c r="U1865" s="201">
        <f>IF(AND('Mail Merge'!$I1865="Did Not Meet",'Mail Merge'!$N1865="Did Not Meet"),MIN(ABS('Mail Merge'!$H1865),ABS('Mail Merge'!$M1865),'Mail Merge'!$Q1865),0)</f>
        <v>0</v>
      </c>
      <c r="V1865" s="201" t="str">
        <f>IF(OR(IFERROR(SEARCH("Met",'Mail Merge'!$N1865),0)&gt;0,IFERROR(SEARCH("Met",'Mail Merge'!$I1865),0)&gt;0),"Met","Not Met")</f>
        <v>Met</v>
      </c>
    </row>
    <row r="1866" spans="1:22" x14ac:dyDescent="0.35">
      <c r="A1866" s="198" t="s">
        <v>113</v>
      </c>
      <c r="B1866" s="199">
        <v>2109</v>
      </c>
      <c r="C1866" s="199" t="s">
        <v>1537</v>
      </c>
      <c r="D1866" s="199">
        <v>0</v>
      </c>
      <c r="E1866" s="199">
        <v>0</v>
      </c>
      <c r="F1866" s="199">
        <v>10981.25</v>
      </c>
      <c r="G1866" s="199">
        <f>'Mail Merge'!$E1866+'Mail Merge'!$F1866</f>
        <v>10981.25</v>
      </c>
      <c r="H1866" s="199">
        <v>0</v>
      </c>
      <c r="I1866" s="199" t="s">
        <v>241</v>
      </c>
      <c r="J1866" s="202">
        <f>IFERROR('Mail Merge'!$E1866/'Mail Merge'!$D1866,0)</f>
        <v>0</v>
      </c>
      <c r="K1866" s="199">
        <f>IFERROR('Mail Merge'!$F1866/'Mail Merge'!$D1866,0)</f>
        <v>0</v>
      </c>
      <c r="L1866" s="203">
        <f>IFERROR('Mail Merge'!$G1866/'Mail Merge'!$D1866,0)</f>
        <v>0</v>
      </c>
      <c r="M1866" s="199">
        <v>0</v>
      </c>
      <c r="N1866" s="199" t="s">
        <v>241</v>
      </c>
      <c r="O1866" s="199">
        <v>226.29</v>
      </c>
      <c r="P1866" s="199">
        <v>0.44</v>
      </c>
      <c r="Q1866" s="199">
        <f>'Mail Merge'!$O1866+'Mail Merge'!$P1866</f>
        <v>226.73</v>
      </c>
      <c r="R1866" s="199"/>
      <c r="S1866" s="199">
        <v>0</v>
      </c>
      <c r="T1866" s="199"/>
      <c r="U1866" s="199">
        <f>IF(AND('Mail Merge'!$I1866="Did Not Meet",'Mail Merge'!$N1866="Did Not Meet"),MIN(ABS('Mail Merge'!$H1866),ABS('Mail Merge'!$M1866),'Mail Merge'!$Q1866),0)</f>
        <v>0</v>
      </c>
      <c r="V1866" s="199" t="str">
        <f>IF(OR(IFERROR(SEARCH("Met",'Mail Merge'!$N1866),0)&gt;0,IFERROR(SEARCH("Met",'Mail Merge'!$I1866),0)&gt;0),"Met","Not Met")</f>
        <v>Met</v>
      </c>
    </row>
    <row r="1867" spans="1:22" x14ac:dyDescent="0.35">
      <c r="A1867" s="200" t="s">
        <v>114</v>
      </c>
      <c r="B1867" s="201">
        <v>2057</v>
      </c>
      <c r="C1867" s="201" t="s">
        <v>1537</v>
      </c>
      <c r="D1867" s="201">
        <v>934</v>
      </c>
      <c r="E1867" s="201">
        <v>8290182.4900000002</v>
      </c>
      <c r="F1867" s="201">
        <v>179445.34</v>
      </c>
      <c r="G1867" s="201">
        <f>'Mail Merge'!$E1867+'Mail Merge'!$F1867</f>
        <v>8469627.8300000001</v>
      </c>
      <c r="H1867" s="201">
        <v>0</v>
      </c>
      <c r="I1867" s="201" t="s">
        <v>241</v>
      </c>
      <c r="J1867" s="204">
        <f>IFERROR('Mail Merge'!$E1867/'Mail Merge'!$D1867,0)</f>
        <v>8875.998383297645</v>
      </c>
      <c r="K1867" s="201">
        <f>IFERROR('Mail Merge'!$F1867/'Mail Merge'!$D1867,0)</f>
        <v>192.12563169164881</v>
      </c>
      <c r="L1867" s="205">
        <f>IFERROR('Mail Merge'!$G1867/'Mail Merge'!$D1867,0)</f>
        <v>9068.1240149892928</v>
      </c>
      <c r="M1867" s="201">
        <v>0</v>
      </c>
      <c r="N1867" s="201" t="s">
        <v>241</v>
      </c>
      <c r="O1867" s="201">
        <v>1293220.53</v>
      </c>
      <c r="P1867" s="201">
        <v>10334.36</v>
      </c>
      <c r="Q1867" s="201">
        <f>'Mail Merge'!$O1867+'Mail Merge'!$P1867</f>
        <v>1303554.8900000001</v>
      </c>
      <c r="R1867" s="201"/>
      <c r="S1867" s="201">
        <v>0</v>
      </c>
      <c r="T1867" s="201"/>
      <c r="U1867" s="201">
        <f>IF(AND('Mail Merge'!$I1867="Did Not Meet",'Mail Merge'!$N1867="Did Not Meet"),MIN(ABS('Mail Merge'!$H1867),ABS('Mail Merge'!$M1867),'Mail Merge'!$Q1867),0)</f>
        <v>0</v>
      </c>
      <c r="V1867" s="201" t="str">
        <f>IF(OR(IFERROR(SEARCH("Met",'Mail Merge'!$N1867),0)&gt;0,IFERROR(SEARCH("Met",'Mail Merge'!$I1867),0)&gt;0),"Met","Not Met")</f>
        <v>Met</v>
      </c>
    </row>
    <row r="1868" spans="1:22" x14ac:dyDescent="0.35">
      <c r="A1868" s="198" t="s">
        <v>115</v>
      </c>
      <c r="B1868" s="199">
        <v>2056</v>
      </c>
      <c r="C1868" s="199" t="s">
        <v>1537</v>
      </c>
      <c r="D1868" s="199">
        <v>449</v>
      </c>
      <c r="E1868" s="199">
        <v>3312229.8</v>
      </c>
      <c r="F1868" s="199">
        <v>199494.52</v>
      </c>
      <c r="G1868" s="199">
        <f>'Mail Merge'!$E1868+'Mail Merge'!$F1868</f>
        <v>3511724.32</v>
      </c>
      <c r="H1868" s="199">
        <v>0</v>
      </c>
      <c r="I1868" s="199" t="s">
        <v>241</v>
      </c>
      <c r="J1868" s="202">
        <f>IFERROR('Mail Merge'!$E1868/'Mail Merge'!$D1868,0)</f>
        <v>7376.9037861915367</v>
      </c>
      <c r="K1868" s="199">
        <f>IFERROR('Mail Merge'!$F1868/'Mail Merge'!$D1868,0)</f>
        <v>444.30850779510018</v>
      </c>
      <c r="L1868" s="203">
        <f>IFERROR('Mail Merge'!$G1868/'Mail Merge'!$D1868,0)</f>
        <v>7821.2122939866367</v>
      </c>
      <c r="M1868" s="199">
        <v>-357729.29481572512</v>
      </c>
      <c r="N1868" s="199" t="s">
        <v>240</v>
      </c>
      <c r="O1868" s="199">
        <v>605282.24</v>
      </c>
      <c r="P1868" s="199">
        <v>6986.85</v>
      </c>
      <c r="Q1868" s="199">
        <f>'Mail Merge'!$O1868+'Mail Merge'!$P1868</f>
        <v>612269.09</v>
      </c>
      <c r="R1868" s="199"/>
      <c r="S1868" s="199">
        <v>0</v>
      </c>
      <c r="T1868" s="199">
        <v>0</v>
      </c>
      <c r="U1868" s="199">
        <f>IF(AND('Mail Merge'!$I1868="Did Not Meet",'Mail Merge'!$N1868="Did Not Meet"),MIN(ABS('Mail Merge'!$H1868),ABS('Mail Merge'!$M1868),'Mail Merge'!$Q1868),0)</f>
        <v>0</v>
      </c>
      <c r="V1868" s="199" t="str">
        <f>IF(OR(IFERROR(SEARCH("Met",'Mail Merge'!$N1868),0)&gt;0,IFERROR(SEARCH("Met",'Mail Merge'!$I1868),0)&gt;0),"Met","Not Met")</f>
        <v>Met</v>
      </c>
    </row>
    <row r="1869" spans="1:22" x14ac:dyDescent="0.35">
      <c r="A1869" s="200" t="s">
        <v>116</v>
      </c>
      <c r="B1869" s="201">
        <v>2262</v>
      </c>
      <c r="C1869" s="201" t="s">
        <v>1537</v>
      </c>
      <c r="D1869" s="201">
        <v>97</v>
      </c>
      <c r="E1869" s="201">
        <v>815702.27</v>
      </c>
      <c r="F1869" s="201">
        <v>50859</v>
      </c>
      <c r="G1869" s="201">
        <f>'Mail Merge'!$E1869+'Mail Merge'!$F1869</f>
        <v>866561.27</v>
      </c>
      <c r="H1869" s="201">
        <v>0</v>
      </c>
      <c r="I1869" s="201" t="s">
        <v>241</v>
      </c>
      <c r="J1869" s="204">
        <f>IFERROR('Mail Merge'!$E1869/'Mail Merge'!$D1869,0)</f>
        <v>8409.3017525773193</v>
      </c>
      <c r="K1869" s="201">
        <f>IFERROR('Mail Merge'!$F1869/'Mail Merge'!$D1869,0)</f>
        <v>524.31958762886597</v>
      </c>
      <c r="L1869" s="205">
        <f>IFERROR('Mail Merge'!$G1869/'Mail Merge'!$D1869,0)</f>
        <v>8933.6213402061858</v>
      </c>
      <c r="M1869" s="201">
        <v>-22042.392499999907</v>
      </c>
      <c r="N1869" s="201" t="s">
        <v>240</v>
      </c>
      <c r="O1869" s="201">
        <v>82624.44</v>
      </c>
      <c r="P1869" s="201">
        <v>2472.13</v>
      </c>
      <c r="Q1869" s="201">
        <f>'Mail Merge'!$O1869+'Mail Merge'!$P1869</f>
        <v>85096.57</v>
      </c>
      <c r="R1869" s="201"/>
      <c r="S1869" s="201">
        <v>0</v>
      </c>
      <c r="T1869" s="201">
        <v>0</v>
      </c>
      <c r="U1869" s="201">
        <f>IF(AND('Mail Merge'!$I1869="Did Not Meet",'Mail Merge'!$N1869="Did Not Meet"),MIN(ABS('Mail Merge'!$H1869),ABS('Mail Merge'!$M1869),'Mail Merge'!$Q1869),0)</f>
        <v>0</v>
      </c>
      <c r="V1869" s="201" t="str">
        <f>IF(OR(IFERROR(SEARCH("Met",'Mail Merge'!$N1869),0)&gt;0,IFERROR(SEARCH("Met",'Mail Merge'!$I1869),0)&gt;0),"Met","Not Met")</f>
        <v>Met</v>
      </c>
    </row>
    <row r="1870" spans="1:22" x14ac:dyDescent="0.35">
      <c r="A1870" s="198" t="s">
        <v>117</v>
      </c>
      <c r="B1870" s="199">
        <v>2212</v>
      </c>
      <c r="C1870" s="199" t="s">
        <v>1537</v>
      </c>
      <c r="D1870" s="199">
        <v>375</v>
      </c>
      <c r="E1870" s="199">
        <v>3214849.1</v>
      </c>
      <c r="F1870" s="199">
        <v>666381</v>
      </c>
      <c r="G1870" s="199">
        <f>'Mail Merge'!$E1870+'Mail Merge'!$F1870</f>
        <v>3881230.1</v>
      </c>
      <c r="H1870" s="199">
        <v>0</v>
      </c>
      <c r="I1870" s="199" t="s">
        <v>241</v>
      </c>
      <c r="J1870" s="202">
        <f>IFERROR('Mail Merge'!$E1870/'Mail Merge'!$D1870,0)</f>
        <v>8572.9309333333331</v>
      </c>
      <c r="K1870" s="199">
        <f>IFERROR('Mail Merge'!$F1870/'Mail Merge'!$D1870,0)</f>
        <v>1777.0160000000001</v>
      </c>
      <c r="L1870" s="203">
        <f>IFERROR('Mail Merge'!$G1870/'Mail Merge'!$D1870,0)</f>
        <v>10349.946933333333</v>
      </c>
      <c r="M1870" s="199">
        <v>0</v>
      </c>
      <c r="N1870" s="199" t="s">
        <v>241</v>
      </c>
      <c r="O1870" s="199">
        <v>455021.38</v>
      </c>
      <c r="P1870" s="199">
        <v>5007.34</v>
      </c>
      <c r="Q1870" s="199">
        <f>'Mail Merge'!$O1870+'Mail Merge'!$P1870</f>
        <v>460028.72000000003</v>
      </c>
      <c r="R1870" s="199"/>
      <c r="S1870" s="199">
        <v>0</v>
      </c>
      <c r="T1870" s="199"/>
      <c r="U1870" s="199">
        <f>IF(AND('Mail Merge'!$I1870="Did Not Meet",'Mail Merge'!$N1870="Did Not Meet"),MIN(ABS('Mail Merge'!$H1870),ABS('Mail Merge'!$M1870),'Mail Merge'!$Q1870),0)</f>
        <v>0</v>
      </c>
      <c r="V1870" s="199" t="str">
        <f>IF(OR(IFERROR(SEARCH("Met",'Mail Merge'!$N1870),0)&gt;0,IFERROR(SEARCH("Met",'Mail Merge'!$I1870),0)&gt;0),"Met","Not Met")</f>
        <v>Met</v>
      </c>
    </row>
    <row r="1871" spans="1:22" x14ac:dyDescent="0.35">
      <c r="A1871" s="200" t="s">
        <v>118</v>
      </c>
      <c r="B1871" s="201">
        <v>2059</v>
      </c>
      <c r="C1871" s="201" t="s">
        <v>1537</v>
      </c>
      <c r="D1871" s="201">
        <v>92</v>
      </c>
      <c r="E1871" s="201">
        <v>805916.88</v>
      </c>
      <c r="F1871" s="201">
        <v>309927.07</v>
      </c>
      <c r="G1871" s="201">
        <f>'Mail Merge'!$E1871+'Mail Merge'!$F1871</f>
        <v>1115843.95</v>
      </c>
      <c r="H1871" s="201">
        <v>0</v>
      </c>
      <c r="I1871" s="201" t="s">
        <v>241</v>
      </c>
      <c r="J1871" s="204">
        <f>IFERROR('Mail Merge'!$E1871/'Mail Merge'!$D1871,0)</f>
        <v>8759.9660869565214</v>
      </c>
      <c r="K1871" s="201">
        <f>IFERROR('Mail Merge'!$F1871/'Mail Merge'!$D1871,0)</f>
        <v>3368.7725</v>
      </c>
      <c r="L1871" s="205">
        <f>IFERROR('Mail Merge'!$G1871/'Mail Merge'!$D1871,0)</f>
        <v>12128.738586956521</v>
      </c>
      <c r="M1871" s="201">
        <v>0</v>
      </c>
      <c r="N1871" s="201" t="s">
        <v>241</v>
      </c>
      <c r="O1871" s="201">
        <v>142973.54999999999</v>
      </c>
      <c r="P1871" s="201">
        <v>1528.22</v>
      </c>
      <c r="Q1871" s="201">
        <f>'Mail Merge'!$O1871+'Mail Merge'!$P1871</f>
        <v>144501.76999999999</v>
      </c>
      <c r="R1871" s="201"/>
      <c r="S1871" s="201">
        <v>0</v>
      </c>
      <c r="T1871" s="201"/>
      <c r="U1871" s="201">
        <f>IF(AND('Mail Merge'!$I1871="Did Not Meet",'Mail Merge'!$N1871="Did Not Meet"),MIN(ABS('Mail Merge'!$H1871),ABS('Mail Merge'!$M1871),'Mail Merge'!$Q1871),0)</f>
        <v>0</v>
      </c>
      <c r="V1871" s="201" t="str">
        <f>IF(OR(IFERROR(SEARCH("Met",'Mail Merge'!$N1871),0)&gt;0,IFERROR(SEARCH("Met",'Mail Merge'!$I1871),0)&gt;0),"Met","Not Met")</f>
        <v>Met</v>
      </c>
    </row>
    <row r="1872" spans="1:22" x14ac:dyDescent="0.35">
      <c r="A1872" s="198" t="s">
        <v>119</v>
      </c>
      <c r="B1872" s="199">
        <v>1923</v>
      </c>
      <c r="C1872" s="199" t="s">
        <v>1537</v>
      </c>
      <c r="D1872" s="199">
        <v>688</v>
      </c>
      <c r="E1872" s="199">
        <v>14714109.619999999</v>
      </c>
      <c r="F1872" s="199">
        <v>213207</v>
      </c>
      <c r="G1872" s="199">
        <f>'Mail Merge'!$E1872+'Mail Merge'!$F1872</f>
        <v>14927316.619999999</v>
      </c>
      <c r="H1872" s="199">
        <v>0</v>
      </c>
      <c r="I1872" s="199" t="s">
        <v>241</v>
      </c>
      <c r="J1872" s="202">
        <f>IFERROR('Mail Merge'!$E1872/'Mail Merge'!$D1872,0)</f>
        <v>21386.787238372093</v>
      </c>
      <c r="K1872" s="199">
        <f>IFERROR('Mail Merge'!$F1872/'Mail Merge'!$D1872,0)</f>
        <v>309.89389534883719</v>
      </c>
      <c r="L1872" s="203">
        <f>IFERROR('Mail Merge'!$G1872/'Mail Merge'!$D1872,0)</f>
        <v>21696.681133720929</v>
      </c>
      <c r="M1872" s="199">
        <v>0</v>
      </c>
      <c r="N1872" s="199" t="s">
        <v>241</v>
      </c>
      <c r="O1872" s="199">
        <v>1068372.97</v>
      </c>
      <c r="P1872" s="199">
        <v>5096.0200000000004</v>
      </c>
      <c r="Q1872" s="199">
        <f>'Mail Merge'!$O1872+'Mail Merge'!$P1872</f>
        <v>1073468.99</v>
      </c>
      <c r="R1872" s="199"/>
      <c r="S1872" s="199">
        <v>0</v>
      </c>
      <c r="T1872" s="199"/>
      <c r="U1872" s="199">
        <f>IF(AND('Mail Merge'!$I1872="Did Not Meet",'Mail Merge'!$N1872="Did Not Meet"),MIN(ABS('Mail Merge'!$H1872),ABS('Mail Merge'!$M1872),'Mail Merge'!$Q1872),0)</f>
        <v>0</v>
      </c>
      <c r="V1872" s="199" t="str">
        <f>IF(OR(IFERROR(SEARCH("Met",'Mail Merge'!$N1872),0)&gt;0,IFERROR(SEARCH("Met",'Mail Merge'!$I1872),0)&gt;0),"Met","Not Met")</f>
        <v>Met</v>
      </c>
    </row>
    <row r="1873" spans="1:22" x14ac:dyDescent="0.35">
      <c r="A1873" s="200" t="s">
        <v>120</v>
      </c>
      <c r="B1873" s="201">
        <v>2101</v>
      </c>
      <c r="C1873" s="201" t="s">
        <v>1537</v>
      </c>
      <c r="D1873" s="201">
        <v>678</v>
      </c>
      <c r="E1873" s="201">
        <v>6259305.4199999999</v>
      </c>
      <c r="F1873" s="201">
        <v>968958</v>
      </c>
      <c r="G1873" s="201">
        <f>'Mail Merge'!$E1873+'Mail Merge'!$F1873</f>
        <v>7228263.4199999999</v>
      </c>
      <c r="H1873" s="201">
        <v>0</v>
      </c>
      <c r="I1873" s="201" t="s">
        <v>241</v>
      </c>
      <c r="J1873" s="204">
        <f>IFERROR('Mail Merge'!$E1873/'Mail Merge'!$D1873,0)</f>
        <v>9232.0138938053096</v>
      </c>
      <c r="K1873" s="201">
        <f>IFERROR('Mail Merge'!$F1873/'Mail Merge'!$D1873,0)</f>
        <v>1429.141592920354</v>
      </c>
      <c r="L1873" s="205">
        <f>IFERROR('Mail Merge'!$G1873/'Mail Merge'!$D1873,0)</f>
        <v>10661.155486725664</v>
      </c>
      <c r="M1873" s="201">
        <v>0</v>
      </c>
      <c r="N1873" s="201" t="s">
        <v>241</v>
      </c>
      <c r="O1873" s="201">
        <v>774988.41</v>
      </c>
      <c r="P1873" s="201">
        <v>2232.38</v>
      </c>
      <c r="Q1873" s="201">
        <f>'Mail Merge'!$O1873+'Mail Merge'!$P1873</f>
        <v>777220.79</v>
      </c>
      <c r="R1873" s="201"/>
      <c r="S1873" s="201">
        <v>0</v>
      </c>
      <c r="T1873" s="201"/>
      <c r="U1873" s="201">
        <f>IF(AND('Mail Merge'!$I1873="Did Not Meet",'Mail Merge'!$N1873="Did Not Meet"),MIN(ABS('Mail Merge'!$H1873),ABS('Mail Merge'!$M1873),'Mail Merge'!$Q1873),0)</f>
        <v>0</v>
      </c>
      <c r="V1873" s="201" t="str">
        <f>IF(OR(IFERROR(SEARCH("Met",'Mail Merge'!$N1873),0)&gt;0,IFERROR(SEARCH("Met",'Mail Merge'!$I1873),0)&gt;0),"Met","Not Met")</f>
        <v>Met</v>
      </c>
    </row>
    <row r="1874" spans="1:22" x14ac:dyDescent="0.35">
      <c r="A1874" s="198" t="s">
        <v>121</v>
      </c>
      <c r="B1874" s="199">
        <v>2097</v>
      </c>
      <c r="C1874" s="199" t="s">
        <v>1537</v>
      </c>
      <c r="D1874" s="199">
        <v>847</v>
      </c>
      <c r="E1874" s="199">
        <v>7507771.96</v>
      </c>
      <c r="F1874" s="199">
        <v>1147938</v>
      </c>
      <c r="G1874" s="199">
        <f>'Mail Merge'!$E1874+'Mail Merge'!$F1874</f>
        <v>8655709.9600000009</v>
      </c>
      <c r="H1874" s="199">
        <v>0</v>
      </c>
      <c r="I1874" s="199" t="s">
        <v>241</v>
      </c>
      <c r="J1874" s="202">
        <f>IFERROR('Mail Merge'!$E1874/'Mail Merge'!$D1874,0)</f>
        <v>8863.9574498229049</v>
      </c>
      <c r="K1874" s="199">
        <f>IFERROR('Mail Merge'!$F1874/'Mail Merge'!$D1874,0)</f>
        <v>1355.2987012987012</v>
      </c>
      <c r="L1874" s="203">
        <f>IFERROR('Mail Merge'!$G1874/'Mail Merge'!$D1874,0)</f>
        <v>10219.256151121606</v>
      </c>
      <c r="M1874" s="199">
        <v>-138542.10815977104</v>
      </c>
      <c r="N1874" s="199" t="s">
        <v>240</v>
      </c>
      <c r="O1874" s="199">
        <v>1006523.86</v>
      </c>
      <c r="P1874" s="199">
        <v>13524.84</v>
      </c>
      <c r="Q1874" s="199">
        <f>'Mail Merge'!$O1874+'Mail Merge'!$P1874</f>
        <v>1020048.7</v>
      </c>
      <c r="R1874" s="199"/>
      <c r="S1874" s="199">
        <v>0</v>
      </c>
      <c r="T1874" s="199">
        <v>0</v>
      </c>
      <c r="U1874" s="199">
        <f>IF(AND('Mail Merge'!$I1874="Did Not Meet",'Mail Merge'!$N1874="Did Not Meet"),MIN(ABS('Mail Merge'!$H1874),ABS('Mail Merge'!$M1874),'Mail Merge'!$Q1874),0)</f>
        <v>0</v>
      </c>
      <c r="V1874" s="199" t="str">
        <f>IF(OR(IFERROR(SEARCH("Met",'Mail Merge'!$N1874),0)&gt;0,IFERROR(SEARCH("Met",'Mail Merge'!$I1874),0)&gt;0),"Met","Not Met")</f>
        <v>Met</v>
      </c>
    </row>
    <row r="1875" spans="1:22" x14ac:dyDescent="0.35">
      <c r="A1875" s="200" t="s">
        <v>122</v>
      </c>
      <c r="B1875" s="201">
        <v>2012</v>
      </c>
      <c r="C1875" s="201" t="s">
        <v>1537</v>
      </c>
      <c r="D1875" s="201">
        <v>3</v>
      </c>
      <c r="E1875" s="201">
        <v>16978.2</v>
      </c>
      <c r="F1875" s="201">
        <v>57665.23</v>
      </c>
      <c r="G1875" s="201">
        <f>'Mail Merge'!$E1875+'Mail Merge'!$F1875</f>
        <v>74643.430000000008</v>
      </c>
      <c r="H1875" s="201">
        <v>0</v>
      </c>
      <c r="I1875" s="201" t="s">
        <v>242</v>
      </c>
      <c r="J1875" s="204">
        <f>IFERROR('Mail Merge'!$E1875/'Mail Merge'!$D1875,0)</f>
        <v>5659.4000000000005</v>
      </c>
      <c r="K1875" s="201">
        <f>IFERROR('Mail Merge'!$F1875/'Mail Merge'!$D1875,0)</f>
        <v>19221.743333333336</v>
      </c>
      <c r="L1875" s="205">
        <f>IFERROR('Mail Merge'!$G1875/'Mail Merge'!$D1875,0)</f>
        <v>24881.143333333337</v>
      </c>
      <c r="M1875" s="201">
        <v>0</v>
      </c>
      <c r="N1875" s="201" t="s">
        <v>242</v>
      </c>
      <c r="O1875" s="201">
        <v>5817.13</v>
      </c>
      <c r="P1875" s="201">
        <v>0</v>
      </c>
      <c r="Q1875" s="201">
        <f>'Mail Merge'!$O1875+'Mail Merge'!$P1875</f>
        <v>5817.13</v>
      </c>
      <c r="R1875" s="201"/>
      <c r="S1875" s="201">
        <v>30325.824000000001</v>
      </c>
      <c r="T1875" s="201">
        <v>27584.91</v>
      </c>
      <c r="U1875" s="201">
        <f>IF(AND('Mail Merge'!$I1875="Did Not Meet",'Mail Merge'!$N1875="Did Not Meet"),MIN(ABS('Mail Merge'!$H1875),ABS('Mail Merge'!$M1875),'Mail Merge'!$Q1875),0)</f>
        <v>0</v>
      </c>
      <c r="V1875" s="201" t="str">
        <f>IF(OR(IFERROR(SEARCH("Met",'Mail Merge'!$N1875),0)&gt;0,IFERROR(SEARCH("Met",'Mail Merge'!$I1875),0)&gt;0),"Met","Not Met")</f>
        <v>Met</v>
      </c>
    </row>
    <row r="1876" spans="1:22" x14ac:dyDescent="0.35">
      <c r="A1876" s="198" t="s">
        <v>123</v>
      </c>
      <c r="B1876" s="199">
        <v>2092</v>
      </c>
      <c r="C1876" s="199" t="s">
        <v>1537</v>
      </c>
      <c r="D1876" s="199">
        <v>90</v>
      </c>
      <c r="E1876" s="199">
        <v>606796.39</v>
      </c>
      <c r="F1876" s="199">
        <v>232317</v>
      </c>
      <c r="G1876" s="199">
        <f>'Mail Merge'!$E1876+'Mail Merge'!$F1876</f>
        <v>839113.39</v>
      </c>
      <c r="H1876" s="199">
        <v>0</v>
      </c>
      <c r="I1876" s="199" t="s">
        <v>241</v>
      </c>
      <c r="J1876" s="202">
        <f>IFERROR('Mail Merge'!$E1876/'Mail Merge'!$D1876,0)</f>
        <v>6742.1821111111112</v>
      </c>
      <c r="K1876" s="199">
        <f>IFERROR('Mail Merge'!$F1876/'Mail Merge'!$D1876,0)</f>
        <v>2581.3000000000002</v>
      </c>
      <c r="L1876" s="203">
        <f>IFERROR('Mail Merge'!$G1876/'Mail Merge'!$D1876,0)</f>
        <v>9323.4821111111105</v>
      </c>
      <c r="M1876" s="199">
        <v>-128533.33322317795</v>
      </c>
      <c r="N1876" s="199" t="s">
        <v>240</v>
      </c>
      <c r="O1876" s="199">
        <v>126348.6</v>
      </c>
      <c r="P1876" s="199">
        <v>522.65</v>
      </c>
      <c r="Q1876" s="199">
        <f>'Mail Merge'!$O1876+'Mail Merge'!$P1876</f>
        <v>126871.25</v>
      </c>
      <c r="R1876" s="199"/>
      <c r="S1876" s="199">
        <v>0</v>
      </c>
      <c r="T1876" s="199">
        <v>901.8</v>
      </c>
      <c r="U1876" s="199">
        <f>IF(AND('Mail Merge'!$I1876="Did Not Meet",'Mail Merge'!$N1876="Did Not Meet"),MIN(ABS('Mail Merge'!$H1876),ABS('Mail Merge'!$M1876),'Mail Merge'!$Q1876),0)</f>
        <v>0</v>
      </c>
      <c r="V1876" s="199" t="str">
        <f>IF(OR(IFERROR(SEARCH("Met",'Mail Merge'!$N1876),0)&gt;0,IFERROR(SEARCH("Met",'Mail Merge'!$I1876),0)&gt;0),"Met","Not Met")</f>
        <v>Met</v>
      </c>
    </row>
    <row r="1877" spans="1:22" x14ac:dyDescent="0.35">
      <c r="A1877" s="200" t="s">
        <v>124</v>
      </c>
      <c r="B1877" s="201">
        <v>2112</v>
      </c>
      <c r="C1877" s="201" t="s">
        <v>1537</v>
      </c>
      <c r="D1877" s="201">
        <v>0</v>
      </c>
      <c r="E1877" s="201">
        <v>0</v>
      </c>
      <c r="F1877" s="201">
        <v>934.84</v>
      </c>
      <c r="G1877" s="201">
        <f>'Mail Merge'!$E1877+'Mail Merge'!$F1877</f>
        <v>934.84</v>
      </c>
      <c r="H1877" s="201">
        <v>-1403.0699999999997</v>
      </c>
      <c r="I1877" s="201" t="s">
        <v>240</v>
      </c>
      <c r="J1877" s="204">
        <f>IFERROR('Mail Merge'!$E1877/'Mail Merge'!$D1877,0)</f>
        <v>0</v>
      </c>
      <c r="K1877" s="201">
        <f>IFERROR('Mail Merge'!$F1877/'Mail Merge'!$D1877,0)</f>
        <v>0</v>
      </c>
      <c r="L1877" s="205">
        <f>IFERROR('Mail Merge'!$G1877/'Mail Merge'!$D1877,0)</f>
        <v>0</v>
      </c>
      <c r="M1877" s="201">
        <v>0</v>
      </c>
      <c r="N1877" s="201" t="s">
        <v>241</v>
      </c>
      <c r="O1877" s="201">
        <v>417.89</v>
      </c>
      <c r="P1877" s="201">
        <v>0.82</v>
      </c>
      <c r="Q1877" s="201">
        <f>'Mail Merge'!$O1877+'Mail Merge'!$P1877</f>
        <v>418.71</v>
      </c>
      <c r="R1877" s="201"/>
      <c r="S1877" s="201">
        <v>0</v>
      </c>
      <c r="T1877" s="201"/>
      <c r="U1877" s="201">
        <f>IF(AND('Mail Merge'!$I1877="Did Not Meet",'Mail Merge'!$N1877="Did Not Meet"),MIN(ABS('Mail Merge'!$H1877),ABS('Mail Merge'!$M1877),'Mail Merge'!$Q1877),0)</f>
        <v>0</v>
      </c>
      <c r="V1877" s="201" t="str">
        <f>IF(OR(IFERROR(SEARCH("Met",'Mail Merge'!$N1877),0)&gt;0,IFERROR(SEARCH("Met",'Mail Merge'!$I1877),0)&gt;0),"Met","Not Met")</f>
        <v>Met</v>
      </c>
    </row>
    <row r="1878" spans="1:22" x14ac:dyDescent="0.35">
      <c r="A1878" s="198" t="s">
        <v>125</v>
      </c>
      <c r="B1878" s="199">
        <v>2085</v>
      </c>
      <c r="C1878" s="199" t="s">
        <v>1537</v>
      </c>
      <c r="D1878" s="199">
        <v>28</v>
      </c>
      <c r="E1878" s="199">
        <v>252986.59</v>
      </c>
      <c r="F1878" s="199">
        <v>50554</v>
      </c>
      <c r="G1878" s="199">
        <f>'Mail Merge'!$E1878+'Mail Merge'!$F1878</f>
        <v>303540.58999999997</v>
      </c>
      <c r="H1878" s="199">
        <v>-6301.6199999999953</v>
      </c>
      <c r="I1878" s="199" t="s">
        <v>240</v>
      </c>
      <c r="J1878" s="202">
        <f>IFERROR('Mail Merge'!$E1878/'Mail Merge'!$D1878,0)</f>
        <v>9035.2353571428575</v>
      </c>
      <c r="K1878" s="199">
        <f>IFERROR('Mail Merge'!$F1878/'Mail Merge'!$D1878,0)</f>
        <v>1805.5</v>
      </c>
      <c r="L1878" s="203">
        <f>IFERROR('Mail Merge'!$G1878/'Mail Merge'!$D1878,0)</f>
        <v>10840.735357142856</v>
      </c>
      <c r="M1878" s="199">
        <v>-209953.5039130435</v>
      </c>
      <c r="N1878" s="199" t="s">
        <v>240</v>
      </c>
      <c r="O1878" s="199">
        <v>53060.7</v>
      </c>
      <c r="P1878" s="199">
        <v>20.350000000000001</v>
      </c>
      <c r="Q1878" s="199">
        <f>'Mail Merge'!$O1878+'Mail Merge'!$P1878</f>
        <v>53081.049999999996</v>
      </c>
      <c r="R1878" s="199"/>
      <c r="S1878" s="199">
        <v>0</v>
      </c>
      <c r="T1878" s="199">
        <v>6895.3</v>
      </c>
      <c r="U1878" s="199">
        <f>IF(AND('Mail Merge'!$I1878="Did Not Meet",'Mail Merge'!$N1878="Did Not Meet"),MIN(ABS('Mail Merge'!$H1878),ABS('Mail Merge'!$M1878),'Mail Merge'!$Q1878),0)</f>
        <v>6301.6199999999953</v>
      </c>
      <c r="V1878" s="199" t="str">
        <f>IF(OR(IFERROR(SEARCH("Met",'Mail Merge'!$N1878),0)&gt;0,IFERROR(SEARCH("Met",'Mail Merge'!$I1878),0)&gt;0),"Met","Not Met")</f>
        <v>Not Met</v>
      </c>
    </row>
    <row r="1879" spans="1:22" x14ac:dyDescent="0.35">
      <c r="A1879" s="200" t="s">
        <v>126</v>
      </c>
      <c r="B1879" s="201">
        <v>2094</v>
      </c>
      <c r="C1879" s="201" t="s">
        <v>1537</v>
      </c>
      <c r="D1879" s="201">
        <v>53</v>
      </c>
      <c r="E1879" s="201">
        <v>531804.44999999995</v>
      </c>
      <c r="F1879" s="201">
        <v>111462</v>
      </c>
      <c r="G1879" s="201">
        <f>'Mail Merge'!$E1879+'Mail Merge'!$F1879</f>
        <v>643266.44999999995</v>
      </c>
      <c r="H1879" s="201">
        <v>0</v>
      </c>
      <c r="I1879" s="201" t="s">
        <v>242</v>
      </c>
      <c r="J1879" s="204">
        <f>IFERROR('Mail Merge'!$E1879/'Mail Merge'!$D1879,0)</f>
        <v>10034.046226415094</v>
      </c>
      <c r="K1879" s="201">
        <f>IFERROR('Mail Merge'!$F1879/'Mail Merge'!$D1879,0)</f>
        <v>2103.0566037735848</v>
      </c>
      <c r="L1879" s="205">
        <f>IFERROR('Mail Merge'!$G1879/'Mail Merge'!$D1879,0)</f>
        <v>12137.102830188678</v>
      </c>
      <c r="M1879" s="201">
        <v>0</v>
      </c>
      <c r="N1879" s="201" t="s">
        <v>241</v>
      </c>
      <c r="O1879" s="201">
        <v>54582.71</v>
      </c>
      <c r="P1879" s="201">
        <v>508.42</v>
      </c>
      <c r="Q1879" s="201">
        <f>'Mail Merge'!$O1879+'Mail Merge'!$P1879</f>
        <v>55091.13</v>
      </c>
      <c r="R1879" s="201"/>
      <c r="S1879" s="201">
        <v>34631.972678571423</v>
      </c>
      <c r="T1879" s="201"/>
      <c r="U1879" s="201">
        <f>IF(AND('Mail Merge'!$I1879="Did Not Meet",'Mail Merge'!$N1879="Did Not Meet"),MIN(ABS('Mail Merge'!$H1879),ABS('Mail Merge'!$M1879),'Mail Merge'!$Q1879),0)</f>
        <v>0</v>
      </c>
      <c r="V1879" s="201" t="str">
        <f>IF(OR(IFERROR(SEARCH("Met",'Mail Merge'!$N1879),0)&gt;0,IFERROR(SEARCH("Met",'Mail Merge'!$I1879),0)&gt;0),"Met","Not Met")</f>
        <v>Met</v>
      </c>
    </row>
    <row r="1880" spans="1:22" x14ac:dyDescent="0.35">
      <c r="A1880" s="198" t="s">
        <v>127</v>
      </c>
      <c r="B1880" s="199">
        <v>2090</v>
      </c>
      <c r="C1880" s="199" t="s">
        <v>1537</v>
      </c>
      <c r="D1880" s="199">
        <v>34</v>
      </c>
      <c r="E1880" s="199">
        <v>552878.15</v>
      </c>
      <c r="F1880" s="199">
        <v>106736</v>
      </c>
      <c r="G1880" s="199">
        <f>'Mail Merge'!$E1880+'Mail Merge'!$F1880</f>
        <v>659614.15</v>
      </c>
      <c r="H1880" s="199">
        <v>0</v>
      </c>
      <c r="I1880" s="199" t="s">
        <v>241</v>
      </c>
      <c r="J1880" s="202">
        <f>IFERROR('Mail Merge'!$E1880/'Mail Merge'!$D1880,0)</f>
        <v>16261.12205882353</v>
      </c>
      <c r="K1880" s="199">
        <f>IFERROR('Mail Merge'!$F1880/'Mail Merge'!$D1880,0)</f>
        <v>3139.294117647059</v>
      </c>
      <c r="L1880" s="203">
        <f>IFERROR('Mail Merge'!$G1880/'Mail Merge'!$D1880,0)</f>
        <v>19400.41617647059</v>
      </c>
      <c r="M1880" s="199">
        <v>0</v>
      </c>
      <c r="N1880" s="199" t="s">
        <v>241</v>
      </c>
      <c r="O1880" s="199">
        <v>41059.35</v>
      </c>
      <c r="P1880" s="199">
        <v>8.15</v>
      </c>
      <c r="Q1880" s="199">
        <f>'Mail Merge'!$O1880+'Mail Merge'!$P1880</f>
        <v>41067.5</v>
      </c>
      <c r="R1880" s="199"/>
      <c r="S1880" s="199">
        <v>0</v>
      </c>
      <c r="T1880" s="199"/>
      <c r="U1880" s="199">
        <f>IF(AND('Mail Merge'!$I1880="Did Not Meet",'Mail Merge'!$N1880="Did Not Meet"),MIN(ABS('Mail Merge'!$H1880),ABS('Mail Merge'!$M1880),'Mail Merge'!$Q1880),0)</f>
        <v>0</v>
      </c>
      <c r="V1880" s="199" t="str">
        <f>IF(OR(IFERROR(SEARCH("Met",'Mail Merge'!$N1880),0)&gt;0,IFERROR(SEARCH("Met",'Mail Merge'!$I1880),0)&gt;0),"Met","Not Met")</f>
        <v>Met</v>
      </c>
    </row>
    <row r="1881" spans="1:22" x14ac:dyDescent="0.35">
      <c r="A1881" s="200" t="s">
        <v>128</v>
      </c>
      <c r="B1881" s="201">
        <v>2256</v>
      </c>
      <c r="C1881" s="201" t="s">
        <v>1537</v>
      </c>
      <c r="D1881" s="201">
        <v>895</v>
      </c>
      <c r="E1881" s="201">
        <v>7815598.1399999997</v>
      </c>
      <c r="F1881" s="201">
        <v>501857.67</v>
      </c>
      <c r="G1881" s="201">
        <f>'Mail Merge'!$E1881+'Mail Merge'!$F1881</f>
        <v>8317455.8099999996</v>
      </c>
      <c r="H1881" s="201">
        <v>0</v>
      </c>
      <c r="I1881" s="201" t="s">
        <v>241</v>
      </c>
      <c r="J1881" s="204">
        <f>IFERROR('Mail Merge'!$E1881/'Mail Merge'!$D1881,0)</f>
        <v>8732.5118882681563</v>
      </c>
      <c r="K1881" s="201">
        <f>IFERROR('Mail Merge'!$F1881/'Mail Merge'!$D1881,0)</f>
        <v>560.73482681564246</v>
      </c>
      <c r="L1881" s="205">
        <f>IFERROR('Mail Merge'!$G1881/'Mail Merge'!$D1881,0)</f>
        <v>9293.2467150837983</v>
      </c>
      <c r="M1881" s="201">
        <v>-203216.26134220156</v>
      </c>
      <c r="N1881" s="201" t="s">
        <v>240</v>
      </c>
      <c r="O1881" s="201">
        <v>991590.73</v>
      </c>
      <c r="P1881" s="201">
        <v>7730.35</v>
      </c>
      <c r="Q1881" s="201">
        <f>'Mail Merge'!$O1881+'Mail Merge'!$P1881</f>
        <v>999321.08</v>
      </c>
      <c r="R1881" s="201"/>
      <c r="S1881" s="201">
        <v>0</v>
      </c>
      <c r="T1881" s="201">
        <v>0</v>
      </c>
      <c r="U1881" s="201">
        <f>IF(AND('Mail Merge'!$I1881="Did Not Meet",'Mail Merge'!$N1881="Did Not Meet"),MIN(ABS('Mail Merge'!$H1881),ABS('Mail Merge'!$M1881),'Mail Merge'!$Q1881),0)</f>
        <v>0</v>
      </c>
      <c r="V1881" s="201" t="str">
        <f>IF(OR(IFERROR(SEARCH("Met",'Mail Merge'!$N1881),0)&gt;0,IFERROR(SEARCH("Met",'Mail Merge'!$I1881),0)&gt;0),"Met","Not Met")</f>
        <v>Met</v>
      </c>
    </row>
    <row r="1882" spans="1:22" x14ac:dyDescent="0.35">
      <c r="A1882" s="198" t="s">
        <v>129</v>
      </c>
      <c r="B1882" s="199">
        <v>2048</v>
      </c>
      <c r="C1882" s="199" t="s">
        <v>1537</v>
      </c>
      <c r="D1882" s="199">
        <v>2192</v>
      </c>
      <c r="E1882" s="199">
        <v>17703238.199999999</v>
      </c>
      <c r="F1882" s="199">
        <v>1580269.55</v>
      </c>
      <c r="G1882" s="199">
        <f>'Mail Merge'!$E1882+'Mail Merge'!$F1882</f>
        <v>19283507.75</v>
      </c>
      <c r="H1882" s="199">
        <v>0</v>
      </c>
      <c r="I1882" s="199" t="s">
        <v>241</v>
      </c>
      <c r="J1882" s="202">
        <f>IFERROR('Mail Merge'!$E1882/'Mail Merge'!$D1882,0)</f>
        <v>8076.2947992700729</v>
      </c>
      <c r="K1882" s="199">
        <f>IFERROR('Mail Merge'!$F1882/'Mail Merge'!$D1882,0)</f>
        <v>720.92588959854015</v>
      </c>
      <c r="L1882" s="203">
        <f>IFERROR('Mail Merge'!$G1882/'Mail Merge'!$D1882,0)</f>
        <v>8797.2206888686123</v>
      </c>
      <c r="M1882" s="199">
        <v>0</v>
      </c>
      <c r="N1882" s="199" t="s">
        <v>241</v>
      </c>
      <c r="O1882" s="199">
        <v>2151114.6800000002</v>
      </c>
      <c r="P1882" s="199">
        <v>24261.27</v>
      </c>
      <c r="Q1882" s="199">
        <f>'Mail Merge'!$O1882+'Mail Merge'!$P1882</f>
        <v>2175375.9500000002</v>
      </c>
      <c r="R1882" s="199"/>
      <c r="S1882" s="199">
        <v>0</v>
      </c>
      <c r="T1882" s="199"/>
      <c r="U1882" s="199">
        <f>IF(AND('Mail Merge'!$I1882="Did Not Meet",'Mail Merge'!$N1882="Did Not Meet"),MIN(ABS('Mail Merge'!$H1882),ABS('Mail Merge'!$M1882),'Mail Merge'!$Q1882),0)</f>
        <v>0</v>
      </c>
      <c r="V1882" s="199" t="str">
        <f>IF(OR(IFERROR(SEARCH("Met",'Mail Merge'!$N1882),0)&gt;0,IFERROR(SEARCH("Met",'Mail Merge'!$I1882),0)&gt;0),"Met","Not Met")</f>
        <v>Met</v>
      </c>
    </row>
    <row r="1883" spans="1:22" x14ac:dyDescent="0.35">
      <c r="A1883" s="200" t="s">
        <v>130</v>
      </c>
      <c r="B1883" s="201">
        <v>2205</v>
      </c>
      <c r="C1883" s="201" t="s">
        <v>1537</v>
      </c>
      <c r="D1883" s="201">
        <v>211</v>
      </c>
      <c r="E1883" s="201">
        <v>1801463.1</v>
      </c>
      <c r="F1883" s="201">
        <v>350858.51</v>
      </c>
      <c r="G1883" s="201">
        <f>'Mail Merge'!$E1883+'Mail Merge'!$F1883</f>
        <v>2152321.6100000003</v>
      </c>
      <c r="H1883" s="201">
        <v>0</v>
      </c>
      <c r="I1883" s="201" t="s">
        <v>241</v>
      </c>
      <c r="J1883" s="204">
        <f>IFERROR('Mail Merge'!$E1883/'Mail Merge'!$D1883,0)</f>
        <v>8537.7398104265412</v>
      </c>
      <c r="K1883" s="201">
        <f>IFERROR('Mail Merge'!$F1883/'Mail Merge'!$D1883,0)</f>
        <v>1662.8365402843601</v>
      </c>
      <c r="L1883" s="205">
        <f>IFERROR('Mail Merge'!$G1883/'Mail Merge'!$D1883,0)</f>
        <v>10200.576350710902</v>
      </c>
      <c r="M1883" s="201">
        <v>0</v>
      </c>
      <c r="N1883" s="201" t="s">
        <v>241</v>
      </c>
      <c r="O1883" s="201">
        <v>284130.25</v>
      </c>
      <c r="P1883" s="201">
        <v>3031.97</v>
      </c>
      <c r="Q1883" s="201">
        <f>'Mail Merge'!$O1883+'Mail Merge'!$P1883</f>
        <v>287162.21999999997</v>
      </c>
      <c r="R1883" s="201"/>
      <c r="S1883" s="201">
        <v>0</v>
      </c>
      <c r="T1883" s="201"/>
      <c r="U1883" s="201">
        <f>IF(AND('Mail Merge'!$I1883="Did Not Meet",'Mail Merge'!$N1883="Did Not Meet"),MIN(ABS('Mail Merge'!$H1883),ABS('Mail Merge'!$M1883),'Mail Merge'!$Q1883),0)</f>
        <v>0</v>
      </c>
      <c r="V1883" s="201" t="str">
        <f>IF(OR(IFERROR(SEARCH("Met",'Mail Merge'!$N1883),0)&gt;0,IFERROR(SEARCH("Met",'Mail Merge'!$I1883),0)&gt;0),"Met","Not Met")</f>
        <v>Met</v>
      </c>
    </row>
    <row r="1884" spans="1:22" x14ac:dyDescent="0.35">
      <c r="A1884" s="198" t="s">
        <v>131</v>
      </c>
      <c r="B1884" s="199">
        <v>2249</v>
      </c>
      <c r="C1884" s="199" t="s">
        <v>1537</v>
      </c>
      <c r="D1884" s="199">
        <v>93</v>
      </c>
      <c r="E1884" s="199">
        <v>24290.97</v>
      </c>
      <c r="F1884" s="199">
        <v>69336</v>
      </c>
      <c r="G1884" s="199">
        <f>'Mail Merge'!$E1884+'Mail Merge'!$F1884</f>
        <v>93626.97</v>
      </c>
      <c r="H1884" s="199">
        <v>0</v>
      </c>
      <c r="I1884" s="199" t="s">
        <v>241</v>
      </c>
      <c r="J1884" s="202">
        <f>IFERROR('Mail Merge'!$E1884/'Mail Merge'!$D1884,0)</f>
        <v>261.19322580645161</v>
      </c>
      <c r="K1884" s="199">
        <f>IFERROR('Mail Merge'!$F1884/'Mail Merge'!$D1884,0)</f>
        <v>745.54838709677415</v>
      </c>
      <c r="L1884" s="203">
        <f>IFERROR('Mail Merge'!$G1884/'Mail Merge'!$D1884,0)</f>
        <v>1006.7416129032258</v>
      </c>
      <c r="M1884" s="199">
        <v>-940724.05199999991</v>
      </c>
      <c r="N1884" s="199" t="s">
        <v>240</v>
      </c>
      <c r="O1884" s="199">
        <v>51921.3</v>
      </c>
      <c r="P1884" s="199">
        <v>103.78</v>
      </c>
      <c r="Q1884" s="199">
        <f>'Mail Merge'!$O1884+'Mail Merge'!$P1884</f>
        <v>52025.08</v>
      </c>
      <c r="R1884" s="199"/>
      <c r="S1884" s="199">
        <v>0</v>
      </c>
      <c r="T1884" s="199">
        <v>3175.75</v>
      </c>
      <c r="U1884" s="199">
        <f>IF(AND('Mail Merge'!$I1884="Did Not Meet",'Mail Merge'!$N1884="Did Not Meet"),MIN(ABS('Mail Merge'!$H1884),ABS('Mail Merge'!$M1884),'Mail Merge'!$Q1884),0)</f>
        <v>0</v>
      </c>
      <c r="V1884" s="199" t="str">
        <f>IF(OR(IFERROR(SEARCH("Met",'Mail Merge'!$N1884),0)&gt;0,IFERROR(SEARCH("Met",'Mail Merge'!$I1884),0)&gt;0),"Met","Not Met")</f>
        <v>Met</v>
      </c>
    </row>
    <row r="1885" spans="1:22" x14ac:dyDescent="0.35">
      <c r="A1885" s="200" t="s">
        <v>132</v>
      </c>
      <c r="B1885" s="201">
        <v>1925</v>
      </c>
      <c r="C1885" s="201" t="s">
        <v>1537</v>
      </c>
      <c r="D1885" s="201">
        <v>426</v>
      </c>
      <c r="E1885" s="201">
        <v>4022105.75</v>
      </c>
      <c r="F1885" s="201">
        <v>621506</v>
      </c>
      <c r="G1885" s="201">
        <f>'Mail Merge'!$E1885+'Mail Merge'!$F1885</f>
        <v>4643611.75</v>
      </c>
      <c r="H1885" s="201">
        <v>0</v>
      </c>
      <c r="I1885" s="201" t="s">
        <v>242</v>
      </c>
      <c r="J1885" s="204">
        <f>IFERROR('Mail Merge'!$E1885/'Mail Merge'!$D1885,0)</f>
        <v>9441.5627934272306</v>
      </c>
      <c r="K1885" s="201">
        <f>IFERROR('Mail Merge'!$F1885/'Mail Merge'!$D1885,0)</f>
        <v>1458.9342723004695</v>
      </c>
      <c r="L1885" s="205">
        <f>IFERROR('Mail Merge'!$G1885/'Mail Merge'!$D1885,0)</f>
        <v>10900.497065727699</v>
      </c>
      <c r="M1885" s="201">
        <v>-462270.66812500107</v>
      </c>
      <c r="N1885" s="201" t="s">
        <v>240</v>
      </c>
      <c r="O1885" s="201">
        <v>448862.71</v>
      </c>
      <c r="P1885" s="201">
        <v>2571.38</v>
      </c>
      <c r="Q1885" s="201">
        <f>'Mail Merge'!$O1885+'Mail Merge'!$P1885</f>
        <v>451434.09</v>
      </c>
      <c r="R1885" s="201"/>
      <c r="S1885" s="201">
        <v>42500</v>
      </c>
      <c r="T1885" s="201">
        <v>0</v>
      </c>
      <c r="U1885" s="201">
        <f>IF(AND('Mail Merge'!$I1885="Did Not Meet",'Mail Merge'!$N1885="Did Not Meet"),MIN(ABS('Mail Merge'!$H1885),ABS('Mail Merge'!$M1885),'Mail Merge'!$Q1885),0)</f>
        <v>0</v>
      </c>
      <c r="V1885" s="201" t="str">
        <f>IF(OR(IFERROR(SEARCH("Met",'Mail Merge'!$N1885),0)&gt;0,IFERROR(SEARCH("Met",'Mail Merge'!$I1885),0)&gt;0),"Met","Not Met")</f>
        <v>Met</v>
      </c>
    </row>
    <row r="1886" spans="1:22" x14ac:dyDescent="0.35">
      <c r="A1886" s="198" t="s">
        <v>133</v>
      </c>
      <c r="B1886" s="199">
        <v>1898</v>
      </c>
      <c r="C1886" s="199" t="s">
        <v>1537</v>
      </c>
      <c r="D1886" s="199">
        <v>46</v>
      </c>
      <c r="E1886" s="199">
        <v>580117.28</v>
      </c>
      <c r="F1886" s="199">
        <v>48791</v>
      </c>
      <c r="G1886" s="199">
        <f>'Mail Merge'!$E1886+'Mail Merge'!$F1886</f>
        <v>628908.28</v>
      </c>
      <c r="H1886" s="199">
        <v>0</v>
      </c>
      <c r="I1886" s="199" t="s">
        <v>242</v>
      </c>
      <c r="J1886" s="202">
        <f>IFERROR('Mail Merge'!$E1886/'Mail Merge'!$D1886,0)</f>
        <v>12611.245217391304</v>
      </c>
      <c r="K1886" s="199">
        <f>IFERROR('Mail Merge'!$F1886/'Mail Merge'!$D1886,0)</f>
        <v>1060.6739130434783</v>
      </c>
      <c r="L1886" s="203">
        <f>IFERROR('Mail Merge'!$G1886/'Mail Merge'!$D1886,0)</f>
        <v>13671.919130434782</v>
      </c>
      <c r="M1886" s="199">
        <v>0</v>
      </c>
      <c r="N1886" s="199" t="s">
        <v>241</v>
      </c>
      <c r="O1886" s="199">
        <v>86203.57</v>
      </c>
      <c r="P1886" s="199">
        <v>120.52</v>
      </c>
      <c r="Q1886" s="199">
        <f>'Mail Merge'!$O1886+'Mail Merge'!$P1886</f>
        <v>86324.090000000011</v>
      </c>
      <c r="R1886" s="199"/>
      <c r="S1886" s="199">
        <v>147165.4688135593</v>
      </c>
      <c r="T1886" s="199"/>
      <c r="U1886" s="199">
        <f>IF(AND('Mail Merge'!$I1886="Did Not Meet",'Mail Merge'!$N1886="Did Not Meet"),MIN(ABS('Mail Merge'!$H1886),ABS('Mail Merge'!$M1886),'Mail Merge'!$Q1886),0)</f>
        <v>0</v>
      </c>
      <c r="V1886" s="199" t="str">
        <f>IF(OR(IFERROR(SEARCH("Met",'Mail Merge'!$N1886),0)&gt;0,IFERROR(SEARCH("Met",'Mail Merge'!$I1886),0)&gt;0),"Met","Not Met")</f>
        <v>Met</v>
      </c>
    </row>
    <row r="1887" spans="1:22" x14ac:dyDescent="0.35">
      <c r="A1887" s="200" t="s">
        <v>134</v>
      </c>
      <c r="B1887" s="201">
        <v>2010</v>
      </c>
      <c r="C1887" s="201" t="s">
        <v>1537</v>
      </c>
      <c r="D1887" s="201">
        <v>8</v>
      </c>
      <c r="E1887" s="201">
        <v>0</v>
      </c>
      <c r="F1887" s="201">
        <v>61235.54</v>
      </c>
      <c r="G1887" s="201">
        <f>'Mail Merge'!$E1887+'Mail Merge'!$F1887</f>
        <v>61235.54</v>
      </c>
      <c r="H1887" s="201">
        <v>0</v>
      </c>
      <c r="I1887" s="201" t="s">
        <v>242</v>
      </c>
      <c r="J1887" s="204">
        <f>IFERROR('Mail Merge'!$E1887/'Mail Merge'!$D1887,0)</f>
        <v>0</v>
      </c>
      <c r="K1887" s="201">
        <f>IFERROR('Mail Merge'!$F1887/'Mail Merge'!$D1887,0)</f>
        <v>7654.4425000000001</v>
      </c>
      <c r="L1887" s="205">
        <f>IFERROR('Mail Merge'!$G1887/'Mail Merge'!$D1887,0)</f>
        <v>7654.4425000000001</v>
      </c>
      <c r="M1887" s="201">
        <v>-5205.7857142857101</v>
      </c>
      <c r="N1887" s="201" t="s">
        <v>240</v>
      </c>
      <c r="O1887" s="201">
        <v>8350.17</v>
      </c>
      <c r="P1887" s="201">
        <v>485.55</v>
      </c>
      <c r="Q1887" s="201">
        <f>'Mail Merge'!$O1887+'Mail Merge'!$P1887</f>
        <v>8835.7199999999993</v>
      </c>
      <c r="R1887" s="201"/>
      <c r="S1887" s="201">
        <v>29514.489999999998</v>
      </c>
      <c r="T1887" s="201">
        <v>0</v>
      </c>
      <c r="U1887" s="201">
        <f>IF(AND('Mail Merge'!$I1887="Did Not Meet",'Mail Merge'!$N1887="Did Not Meet"),MIN(ABS('Mail Merge'!$H1887),ABS('Mail Merge'!$M1887),'Mail Merge'!$Q1887),0)</f>
        <v>0</v>
      </c>
      <c r="V1887" s="201" t="str">
        <f>IF(OR(IFERROR(SEARCH("Met",'Mail Merge'!$N1887),0)&gt;0,IFERROR(SEARCH("Met",'Mail Merge'!$I1887),0)&gt;0),"Met","Not Met")</f>
        <v>Met</v>
      </c>
    </row>
    <row r="1888" spans="1:22" x14ac:dyDescent="0.35">
      <c r="A1888" s="198" t="s">
        <v>135</v>
      </c>
      <c r="B1888" s="199">
        <v>2147</v>
      </c>
      <c r="C1888" s="199" t="s">
        <v>1537</v>
      </c>
      <c r="D1888" s="199">
        <v>325</v>
      </c>
      <c r="E1888" s="199">
        <v>2027212.49</v>
      </c>
      <c r="F1888" s="199">
        <v>540532.29</v>
      </c>
      <c r="G1888" s="199">
        <f>'Mail Merge'!$E1888+'Mail Merge'!$F1888</f>
        <v>2567744.7800000003</v>
      </c>
      <c r="H1888" s="199">
        <v>0</v>
      </c>
      <c r="I1888" s="199" t="s">
        <v>242</v>
      </c>
      <c r="J1888" s="202">
        <f>IFERROR('Mail Merge'!$E1888/'Mail Merge'!$D1888,0)</f>
        <v>6237.5768923076921</v>
      </c>
      <c r="K1888" s="199">
        <f>IFERROR('Mail Merge'!$F1888/'Mail Merge'!$D1888,0)</f>
        <v>1663.176276923077</v>
      </c>
      <c r="L1888" s="203">
        <f>IFERROR('Mail Merge'!$G1888/'Mail Merge'!$D1888,0)</f>
        <v>7900.7531692307703</v>
      </c>
      <c r="M1888" s="199">
        <v>-197472.8568243238</v>
      </c>
      <c r="N1888" s="199" t="s">
        <v>240</v>
      </c>
      <c r="O1888" s="199">
        <v>342906.61</v>
      </c>
      <c r="P1888" s="199">
        <v>2042.02</v>
      </c>
      <c r="Q1888" s="199">
        <f>'Mail Merge'!$O1888+'Mail Merge'!$P1888</f>
        <v>344948.63</v>
      </c>
      <c r="R1888" s="199"/>
      <c r="S1888" s="199">
        <v>136683.82999999999</v>
      </c>
      <c r="T1888" s="199">
        <v>0</v>
      </c>
      <c r="U1888" s="199">
        <f>IF(AND('Mail Merge'!$I1888="Did Not Meet",'Mail Merge'!$N1888="Did Not Meet"),MIN(ABS('Mail Merge'!$H1888),ABS('Mail Merge'!$M1888),'Mail Merge'!$Q1888),0)</f>
        <v>0</v>
      </c>
      <c r="V1888" s="199" t="str">
        <f>IF(OR(IFERROR(SEARCH("Met",'Mail Merge'!$N1888),0)&gt;0,IFERROR(SEARCH("Met",'Mail Merge'!$I1888),0)&gt;0),"Met","Not Met")</f>
        <v>Met</v>
      </c>
    </row>
    <row r="1889" spans="1:22" x14ac:dyDescent="0.35">
      <c r="A1889" s="200" t="s">
        <v>136</v>
      </c>
      <c r="B1889" s="201">
        <v>2145</v>
      </c>
      <c r="C1889" s="201" t="s">
        <v>1537</v>
      </c>
      <c r="D1889" s="201">
        <v>94</v>
      </c>
      <c r="E1889" s="201">
        <v>506863.64</v>
      </c>
      <c r="F1889" s="201">
        <v>129462</v>
      </c>
      <c r="G1889" s="201">
        <f>'Mail Merge'!$E1889+'Mail Merge'!$F1889</f>
        <v>636325.64</v>
      </c>
      <c r="H1889" s="201">
        <v>0</v>
      </c>
      <c r="I1889" s="201" t="s">
        <v>241</v>
      </c>
      <c r="J1889" s="204">
        <f>IFERROR('Mail Merge'!$E1889/'Mail Merge'!$D1889,0)</f>
        <v>5392.166382978724</v>
      </c>
      <c r="K1889" s="201">
        <f>IFERROR('Mail Merge'!$F1889/'Mail Merge'!$D1889,0)</f>
        <v>1377.2553191489362</v>
      </c>
      <c r="L1889" s="205">
        <f>IFERROR('Mail Merge'!$G1889/'Mail Merge'!$D1889,0)</f>
        <v>6769.42170212766</v>
      </c>
      <c r="M1889" s="201">
        <v>-82342.871940298472</v>
      </c>
      <c r="N1889" s="201" t="s">
        <v>240</v>
      </c>
      <c r="O1889" s="201">
        <v>130025.60000000001</v>
      </c>
      <c r="P1889" s="201">
        <v>1491.82</v>
      </c>
      <c r="Q1889" s="201">
        <f>'Mail Merge'!$O1889+'Mail Merge'!$P1889</f>
        <v>131517.42000000001</v>
      </c>
      <c r="R1889" s="201"/>
      <c r="S1889" s="201">
        <v>0</v>
      </c>
      <c r="T1889" s="201">
        <v>91.97</v>
      </c>
      <c r="U1889" s="201">
        <f>IF(AND('Mail Merge'!$I1889="Did Not Meet",'Mail Merge'!$N1889="Did Not Meet"),MIN(ABS('Mail Merge'!$H1889),ABS('Mail Merge'!$M1889),'Mail Merge'!$Q1889),0)</f>
        <v>0</v>
      </c>
      <c r="V1889" s="201" t="str">
        <f>IF(OR(IFERROR(SEARCH("Met",'Mail Merge'!$N1889),0)&gt;0,IFERROR(SEARCH("Met",'Mail Merge'!$I1889),0)&gt;0),"Met","Not Met")</f>
        <v>Met</v>
      </c>
    </row>
    <row r="1890" spans="1:22" x14ac:dyDescent="0.35">
      <c r="A1890" s="198" t="s">
        <v>137</v>
      </c>
      <c r="B1890" s="199">
        <v>1968</v>
      </c>
      <c r="C1890" s="199" t="s">
        <v>1537</v>
      </c>
      <c r="D1890" s="199">
        <v>78</v>
      </c>
      <c r="E1890" s="199">
        <v>581581.11</v>
      </c>
      <c r="F1890" s="199">
        <v>167984.76</v>
      </c>
      <c r="G1890" s="199">
        <f>'Mail Merge'!$E1890+'Mail Merge'!$F1890</f>
        <v>749565.87</v>
      </c>
      <c r="H1890" s="199">
        <v>0</v>
      </c>
      <c r="I1890" s="199" t="s">
        <v>242</v>
      </c>
      <c r="J1890" s="202">
        <f>IFERROR('Mail Merge'!$E1890/'Mail Merge'!$D1890,0)</f>
        <v>7456.168076923077</v>
      </c>
      <c r="K1890" s="199">
        <f>IFERROR('Mail Merge'!$F1890/'Mail Merge'!$D1890,0)</f>
        <v>2153.6507692307691</v>
      </c>
      <c r="L1890" s="203">
        <f>IFERROR('Mail Merge'!$G1890/'Mail Merge'!$D1890,0)</f>
        <v>9609.8188461538466</v>
      </c>
      <c r="M1890" s="199">
        <v>-91166.863043478283</v>
      </c>
      <c r="N1890" s="199" t="s">
        <v>240</v>
      </c>
      <c r="O1890" s="199">
        <v>130346.93</v>
      </c>
      <c r="P1890" s="199">
        <v>519.55999999999995</v>
      </c>
      <c r="Q1890" s="199">
        <f>'Mail Merge'!$O1890+'Mail Merge'!$P1890</f>
        <v>130866.48999999999</v>
      </c>
      <c r="R1890" s="199"/>
      <c r="S1890" s="199">
        <v>51342.320000000007</v>
      </c>
      <c r="T1890" s="199">
        <v>710.79</v>
      </c>
      <c r="U1890" s="199">
        <f>IF(AND('Mail Merge'!$I1890="Did Not Meet",'Mail Merge'!$N1890="Did Not Meet"),MIN(ABS('Mail Merge'!$H1890),ABS('Mail Merge'!$M1890),'Mail Merge'!$Q1890),0)</f>
        <v>0</v>
      </c>
      <c r="V1890" s="199" t="str">
        <f>IF(OR(IFERROR(SEARCH("Met",'Mail Merge'!$N1890),0)&gt;0,IFERROR(SEARCH("Met",'Mail Merge'!$I1890),0)&gt;0),"Met","Not Met")</f>
        <v>Met</v>
      </c>
    </row>
    <row r="1891" spans="1:22" x14ac:dyDescent="0.35">
      <c r="A1891" s="200" t="s">
        <v>138</v>
      </c>
      <c r="B1891" s="201">
        <v>2198</v>
      </c>
      <c r="C1891" s="201" t="s">
        <v>1537</v>
      </c>
      <c r="D1891" s="201">
        <v>124</v>
      </c>
      <c r="E1891" s="201">
        <v>1956580.18</v>
      </c>
      <c r="F1891" s="201">
        <v>283671</v>
      </c>
      <c r="G1891" s="201">
        <f>'Mail Merge'!$E1891+'Mail Merge'!$F1891</f>
        <v>2240251.1799999997</v>
      </c>
      <c r="H1891" s="201">
        <v>0</v>
      </c>
      <c r="I1891" s="201" t="s">
        <v>241</v>
      </c>
      <c r="J1891" s="204">
        <f>IFERROR('Mail Merge'!$E1891/'Mail Merge'!$D1891,0)</f>
        <v>15778.872419354839</v>
      </c>
      <c r="K1891" s="201">
        <f>IFERROR('Mail Merge'!$F1891/'Mail Merge'!$D1891,0)</f>
        <v>2287.6693548387098</v>
      </c>
      <c r="L1891" s="205">
        <f>IFERROR('Mail Merge'!$G1891/'Mail Merge'!$D1891,0)</f>
        <v>18066.541774193545</v>
      </c>
      <c r="M1891" s="201">
        <v>0</v>
      </c>
      <c r="N1891" s="201" t="s">
        <v>241</v>
      </c>
      <c r="O1891" s="201">
        <v>124377.2</v>
      </c>
      <c r="P1891" s="201">
        <v>2495.4299999999998</v>
      </c>
      <c r="Q1891" s="201">
        <f>'Mail Merge'!$O1891+'Mail Merge'!$P1891</f>
        <v>126872.62999999999</v>
      </c>
      <c r="R1891" s="201"/>
      <c r="S1891" s="201">
        <v>0</v>
      </c>
      <c r="T1891" s="201"/>
      <c r="U1891" s="201">
        <f>IF(AND('Mail Merge'!$I1891="Did Not Meet",'Mail Merge'!$N1891="Did Not Meet"),MIN(ABS('Mail Merge'!$H1891),ABS('Mail Merge'!$M1891),'Mail Merge'!$Q1891),0)</f>
        <v>0</v>
      </c>
      <c r="V1891" s="201" t="str">
        <f>IF(OR(IFERROR(SEARCH("Met",'Mail Merge'!$N1891),0)&gt;0,IFERROR(SEARCH("Met",'Mail Merge'!$I1891),0)&gt;0),"Met","Not Met")</f>
        <v>Met</v>
      </c>
    </row>
    <row r="1892" spans="1:22" x14ac:dyDescent="0.35">
      <c r="A1892" s="198" t="s">
        <v>139</v>
      </c>
      <c r="B1892" s="199">
        <v>2199</v>
      </c>
      <c r="C1892" s="199" t="s">
        <v>1537</v>
      </c>
      <c r="D1892" s="199">
        <v>79</v>
      </c>
      <c r="E1892" s="199">
        <v>870436.9</v>
      </c>
      <c r="F1892" s="199">
        <v>165307</v>
      </c>
      <c r="G1892" s="199">
        <f>'Mail Merge'!$E1892+'Mail Merge'!$F1892</f>
        <v>1035743.9</v>
      </c>
      <c r="H1892" s="199">
        <v>0</v>
      </c>
      <c r="I1892" s="199" t="s">
        <v>241</v>
      </c>
      <c r="J1892" s="202">
        <f>IFERROR('Mail Merge'!$E1892/'Mail Merge'!$D1892,0)</f>
        <v>11018.188607594937</v>
      </c>
      <c r="K1892" s="199">
        <f>IFERROR('Mail Merge'!$F1892/'Mail Merge'!$D1892,0)</f>
        <v>2092.493670886076</v>
      </c>
      <c r="L1892" s="203">
        <f>IFERROR('Mail Merge'!$G1892/'Mail Merge'!$D1892,0)</f>
        <v>13110.682278481014</v>
      </c>
      <c r="M1892" s="199">
        <v>-115297.21563380274</v>
      </c>
      <c r="N1892" s="199" t="s">
        <v>240</v>
      </c>
      <c r="O1892" s="199">
        <v>103832.9</v>
      </c>
      <c r="P1892" s="199">
        <v>1510.76</v>
      </c>
      <c r="Q1892" s="199">
        <f>'Mail Merge'!$O1892+'Mail Merge'!$P1892</f>
        <v>105343.65999999999</v>
      </c>
      <c r="R1892" s="199"/>
      <c r="S1892" s="199">
        <v>0</v>
      </c>
      <c r="T1892" s="199">
        <v>0</v>
      </c>
      <c r="U1892" s="199">
        <f>IF(AND('Mail Merge'!$I1892="Did Not Meet",'Mail Merge'!$N1892="Did Not Meet"),MIN(ABS('Mail Merge'!$H1892),ABS('Mail Merge'!$M1892),'Mail Merge'!$Q1892),0)</f>
        <v>0</v>
      </c>
      <c r="V1892" s="199" t="str">
        <f>IF(OR(IFERROR(SEARCH("Met",'Mail Merge'!$N1892),0)&gt;0,IFERROR(SEARCH("Met",'Mail Merge'!$I1892),0)&gt;0),"Met","Not Met")</f>
        <v>Met</v>
      </c>
    </row>
    <row r="1893" spans="1:22" x14ac:dyDescent="0.35">
      <c r="A1893" s="200" t="s">
        <v>140</v>
      </c>
      <c r="B1893" s="201">
        <v>2254</v>
      </c>
      <c r="C1893" s="201" t="s">
        <v>1537</v>
      </c>
      <c r="D1893" s="201">
        <v>673</v>
      </c>
      <c r="E1893" s="201">
        <v>7705365.9500000002</v>
      </c>
      <c r="F1893" s="201">
        <v>157320</v>
      </c>
      <c r="G1893" s="201">
        <f>'Mail Merge'!$E1893+'Mail Merge'!$F1893</f>
        <v>7862685.9500000002</v>
      </c>
      <c r="H1893" s="201">
        <v>0</v>
      </c>
      <c r="I1893" s="201" t="s">
        <v>241</v>
      </c>
      <c r="J1893" s="204">
        <f>IFERROR('Mail Merge'!$E1893/'Mail Merge'!$D1893,0)</f>
        <v>11449.280757800892</v>
      </c>
      <c r="K1893" s="201">
        <f>IFERROR('Mail Merge'!$F1893/'Mail Merge'!$D1893,0)</f>
        <v>233.75928677563149</v>
      </c>
      <c r="L1893" s="205">
        <f>IFERROR('Mail Merge'!$G1893/'Mail Merge'!$D1893,0)</f>
        <v>11683.040044576523</v>
      </c>
      <c r="M1893" s="201">
        <v>0</v>
      </c>
      <c r="N1893" s="201" t="s">
        <v>241</v>
      </c>
      <c r="O1893" s="201">
        <v>769241.89</v>
      </c>
      <c r="P1893" s="201">
        <v>5717.96</v>
      </c>
      <c r="Q1893" s="201">
        <f>'Mail Merge'!$O1893+'Mail Merge'!$P1893</f>
        <v>774959.85</v>
      </c>
      <c r="R1893" s="201"/>
      <c r="S1893" s="201">
        <v>0</v>
      </c>
      <c r="T1893" s="201"/>
      <c r="U1893" s="201">
        <f>IF(AND('Mail Merge'!$I1893="Did Not Meet",'Mail Merge'!$N1893="Did Not Meet"),MIN(ABS('Mail Merge'!$H1893),ABS('Mail Merge'!$M1893),'Mail Merge'!$Q1893),0)</f>
        <v>0</v>
      </c>
      <c r="V1893" s="201" t="str">
        <f>IF(OR(IFERROR(SEARCH("Met",'Mail Merge'!$N1893),0)&gt;0,IFERROR(SEARCH("Met",'Mail Merge'!$I1893),0)&gt;0),"Met","Not Met")</f>
        <v>Met</v>
      </c>
    </row>
    <row r="1894" spans="1:22" x14ac:dyDescent="0.35">
      <c r="A1894" s="198" t="s">
        <v>141</v>
      </c>
      <c r="B1894" s="199">
        <v>1966</v>
      </c>
      <c r="C1894" s="199" t="s">
        <v>1537</v>
      </c>
      <c r="D1894" s="199">
        <v>600</v>
      </c>
      <c r="E1894" s="199">
        <v>4103116.48</v>
      </c>
      <c r="F1894" s="199">
        <v>1041567.9</v>
      </c>
      <c r="G1894" s="199">
        <f>'Mail Merge'!$E1894+'Mail Merge'!$F1894</f>
        <v>5144684.38</v>
      </c>
      <c r="H1894" s="199">
        <v>0</v>
      </c>
      <c r="I1894" s="199" t="s">
        <v>241</v>
      </c>
      <c r="J1894" s="202">
        <f>IFERROR('Mail Merge'!$E1894/'Mail Merge'!$D1894,0)</f>
        <v>6838.5274666666664</v>
      </c>
      <c r="K1894" s="199">
        <f>IFERROR('Mail Merge'!$F1894/'Mail Merge'!$D1894,0)</f>
        <v>1735.9465</v>
      </c>
      <c r="L1894" s="203">
        <f>IFERROR('Mail Merge'!$G1894/'Mail Merge'!$D1894,0)</f>
        <v>8574.4739666666665</v>
      </c>
      <c r="M1894" s="199">
        <v>-1543488.6314068437</v>
      </c>
      <c r="N1894" s="199" t="s">
        <v>240</v>
      </c>
      <c r="O1894" s="199">
        <v>615331.48</v>
      </c>
      <c r="P1894" s="199">
        <v>6252.44</v>
      </c>
      <c r="Q1894" s="199">
        <f>'Mail Merge'!$O1894+'Mail Merge'!$P1894</f>
        <v>621583.91999999993</v>
      </c>
      <c r="R1894" s="199"/>
      <c r="S1894" s="199">
        <v>0</v>
      </c>
      <c r="T1894" s="199">
        <v>1472.88</v>
      </c>
      <c r="U1894" s="199">
        <f>IF(AND('Mail Merge'!$I1894="Did Not Meet",'Mail Merge'!$N1894="Did Not Meet"),MIN(ABS('Mail Merge'!$H1894),ABS('Mail Merge'!$M1894),'Mail Merge'!$Q1894),0)</f>
        <v>0</v>
      </c>
      <c r="V1894" s="199" t="str">
        <f>IF(OR(IFERROR(SEARCH("Met",'Mail Merge'!$N1894),0)&gt;0,IFERROR(SEARCH("Met",'Mail Merge'!$I1894),0)&gt;0),"Met","Not Met")</f>
        <v>Met</v>
      </c>
    </row>
    <row r="1895" spans="1:22" x14ac:dyDescent="0.35">
      <c r="A1895" s="200" t="s">
        <v>142</v>
      </c>
      <c r="B1895" s="201">
        <v>1924</v>
      </c>
      <c r="C1895" s="201" t="s">
        <v>1537</v>
      </c>
      <c r="D1895" s="201">
        <v>2796</v>
      </c>
      <c r="E1895" s="201">
        <v>30929296.600000001</v>
      </c>
      <c r="F1895" s="201">
        <v>3077706</v>
      </c>
      <c r="G1895" s="201">
        <f>'Mail Merge'!$E1895+'Mail Merge'!$F1895</f>
        <v>34007002.600000001</v>
      </c>
      <c r="H1895" s="201">
        <v>0</v>
      </c>
      <c r="I1895" s="201" t="s">
        <v>241</v>
      </c>
      <c r="J1895" s="204">
        <f>IFERROR('Mail Merge'!$E1895/'Mail Merge'!$D1895,0)</f>
        <v>11061.980185979972</v>
      </c>
      <c r="K1895" s="201">
        <f>IFERROR('Mail Merge'!$F1895/'Mail Merge'!$D1895,0)</f>
        <v>1100.7532188841201</v>
      </c>
      <c r="L1895" s="205">
        <f>IFERROR('Mail Merge'!$G1895/'Mail Merge'!$D1895,0)</f>
        <v>12162.733404864091</v>
      </c>
      <c r="M1895" s="201">
        <v>0</v>
      </c>
      <c r="N1895" s="201" t="s">
        <v>241</v>
      </c>
      <c r="O1895" s="201">
        <v>2579896.56</v>
      </c>
      <c r="P1895" s="201">
        <v>18169</v>
      </c>
      <c r="Q1895" s="201">
        <f>'Mail Merge'!$O1895+'Mail Merge'!$P1895</f>
        <v>2598065.56</v>
      </c>
      <c r="R1895" s="201"/>
      <c r="S1895" s="201">
        <v>0</v>
      </c>
      <c r="T1895" s="201"/>
      <c r="U1895" s="201">
        <f>IF(AND('Mail Merge'!$I1895="Did Not Meet",'Mail Merge'!$N1895="Did Not Meet"),MIN(ABS('Mail Merge'!$H1895),ABS('Mail Merge'!$M1895),'Mail Merge'!$Q1895),0)</f>
        <v>0</v>
      </c>
      <c r="V1895" s="201" t="str">
        <f>IF(OR(IFERROR(SEARCH("Met",'Mail Merge'!$N1895),0)&gt;0,IFERROR(SEARCH("Met",'Mail Merge'!$I1895),0)&gt;0),"Met","Not Met")</f>
        <v>Met</v>
      </c>
    </row>
    <row r="1896" spans="1:22" x14ac:dyDescent="0.35">
      <c r="A1896" s="198" t="s">
        <v>143</v>
      </c>
      <c r="B1896" s="199">
        <v>1996</v>
      </c>
      <c r="C1896" s="199" t="s">
        <v>1537</v>
      </c>
      <c r="D1896" s="199">
        <v>41</v>
      </c>
      <c r="E1896" s="199">
        <v>411479.43</v>
      </c>
      <c r="F1896" s="199">
        <v>54705.98</v>
      </c>
      <c r="G1896" s="199">
        <f>'Mail Merge'!$E1896+'Mail Merge'!$F1896</f>
        <v>466185.41</v>
      </c>
      <c r="H1896" s="199">
        <v>0</v>
      </c>
      <c r="I1896" s="199" t="s">
        <v>241</v>
      </c>
      <c r="J1896" s="202">
        <f>IFERROR('Mail Merge'!$E1896/'Mail Merge'!$D1896,0)</f>
        <v>10036.083658536585</v>
      </c>
      <c r="K1896" s="199">
        <f>IFERROR('Mail Merge'!$F1896/'Mail Merge'!$D1896,0)</f>
        <v>1334.2921951219514</v>
      </c>
      <c r="L1896" s="203">
        <f>IFERROR('Mail Merge'!$G1896/'Mail Merge'!$D1896,0)</f>
        <v>11370.375853658536</v>
      </c>
      <c r="M1896" s="199">
        <v>0</v>
      </c>
      <c r="N1896" s="199" t="s">
        <v>242</v>
      </c>
      <c r="O1896" s="199">
        <v>59818.6</v>
      </c>
      <c r="P1896" s="199">
        <v>498.79</v>
      </c>
      <c r="Q1896" s="199">
        <f>'Mail Merge'!$O1896+'Mail Merge'!$P1896</f>
        <v>60317.39</v>
      </c>
      <c r="R1896" s="199"/>
      <c r="S1896" s="199">
        <v>0</v>
      </c>
      <c r="T1896" s="199">
        <v>2732.55</v>
      </c>
      <c r="U1896" s="199">
        <f>IF(AND('Mail Merge'!$I1896="Did Not Meet",'Mail Merge'!$N1896="Did Not Meet"),MIN(ABS('Mail Merge'!$H1896),ABS('Mail Merge'!$M1896),'Mail Merge'!$Q1896),0)</f>
        <v>0</v>
      </c>
      <c r="V1896" s="199" t="str">
        <f>IF(OR(IFERROR(SEARCH("Met",'Mail Merge'!$N1896),0)&gt;0,IFERROR(SEARCH("Met",'Mail Merge'!$I1896),0)&gt;0),"Met","Not Met")</f>
        <v>Met</v>
      </c>
    </row>
    <row r="1897" spans="1:22" x14ac:dyDescent="0.35">
      <c r="A1897" s="200" t="s">
        <v>144</v>
      </c>
      <c r="B1897" s="201">
        <v>2061</v>
      </c>
      <c r="C1897" s="201" t="s">
        <v>1537</v>
      </c>
      <c r="D1897" s="201">
        <v>53</v>
      </c>
      <c r="E1897" s="201">
        <v>232673.48</v>
      </c>
      <c r="F1897" s="201">
        <v>122758.91</v>
      </c>
      <c r="G1897" s="201">
        <f>'Mail Merge'!$E1897+'Mail Merge'!$F1897</f>
        <v>355432.39</v>
      </c>
      <c r="H1897" s="201">
        <v>0</v>
      </c>
      <c r="I1897" s="201" t="s">
        <v>241</v>
      </c>
      <c r="J1897" s="204">
        <f>IFERROR('Mail Merge'!$E1897/'Mail Merge'!$D1897,0)</f>
        <v>4390.0656603773587</v>
      </c>
      <c r="K1897" s="201">
        <f>IFERROR('Mail Merge'!$F1897/'Mail Merge'!$D1897,0)</f>
        <v>2316.2058490566037</v>
      </c>
      <c r="L1897" s="205">
        <f>IFERROR('Mail Merge'!$G1897/'Mail Merge'!$D1897,0)</f>
        <v>6706.2715094339628</v>
      </c>
      <c r="M1897" s="201">
        <v>0</v>
      </c>
      <c r="N1897" s="201" t="s">
        <v>241</v>
      </c>
      <c r="O1897" s="201">
        <v>45134.2</v>
      </c>
      <c r="P1897" s="201">
        <v>29.24</v>
      </c>
      <c r="Q1897" s="201">
        <f>'Mail Merge'!$O1897+'Mail Merge'!$P1897</f>
        <v>45163.439999999995</v>
      </c>
      <c r="R1897" s="201"/>
      <c r="S1897" s="201">
        <v>0</v>
      </c>
      <c r="T1897" s="201"/>
      <c r="U1897" s="201">
        <f>IF(AND('Mail Merge'!$I1897="Did Not Meet",'Mail Merge'!$N1897="Did Not Meet"),MIN(ABS('Mail Merge'!$H1897),ABS('Mail Merge'!$M1897),'Mail Merge'!$Q1897),0)</f>
        <v>0</v>
      </c>
      <c r="V1897" s="201" t="str">
        <f>IF(OR(IFERROR(SEARCH("Met",'Mail Merge'!$N1897),0)&gt;0,IFERROR(SEARCH("Met",'Mail Merge'!$I1897),0)&gt;0),"Met","Not Met")</f>
        <v>Met</v>
      </c>
    </row>
    <row r="1898" spans="1:22" x14ac:dyDescent="0.35">
      <c r="A1898" s="198" t="s">
        <v>145</v>
      </c>
      <c r="B1898" s="199">
        <v>2141</v>
      </c>
      <c r="C1898" s="199" t="s">
        <v>1537</v>
      </c>
      <c r="D1898" s="199">
        <v>291</v>
      </c>
      <c r="E1898" s="199">
        <v>2880908.81</v>
      </c>
      <c r="F1898" s="199">
        <v>398061.39</v>
      </c>
      <c r="G1898" s="199">
        <f>'Mail Merge'!$E1898+'Mail Merge'!$F1898</f>
        <v>3278970.2</v>
      </c>
      <c r="H1898" s="199">
        <v>0</v>
      </c>
      <c r="I1898" s="199" t="s">
        <v>241</v>
      </c>
      <c r="J1898" s="202">
        <f>IFERROR('Mail Merge'!$E1898/'Mail Merge'!$D1898,0)</f>
        <v>9900.0302749140901</v>
      </c>
      <c r="K1898" s="199">
        <f>IFERROR('Mail Merge'!$F1898/'Mail Merge'!$D1898,0)</f>
        <v>1367.9085567010309</v>
      </c>
      <c r="L1898" s="203">
        <f>IFERROR('Mail Merge'!$G1898/'Mail Merge'!$D1898,0)</f>
        <v>11267.938831615122</v>
      </c>
      <c r="M1898" s="199">
        <v>0</v>
      </c>
      <c r="N1898" s="199" t="s">
        <v>241</v>
      </c>
      <c r="O1898" s="199">
        <v>269414.88</v>
      </c>
      <c r="P1898" s="199">
        <v>3048.24</v>
      </c>
      <c r="Q1898" s="199">
        <f>'Mail Merge'!$O1898+'Mail Merge'!$P1898</f>
        <v>272463.12</v>
      </c>
      <c r="R1898" s="199"/>
      <c r="S1898" s="199">
        <v>0</v>
      </c>
      <c r="T1898" s="199"/>
      <c r="U1898" s="199">
        <f>IF(AND('Mail Merge'!$I1898="Did Not Meet",'Mail Merge'!$N1898="Did Not Meet"),MIN(ABS('Mail Merge'!$H1898),ABS('Mail Merge'!$M1898),'Mail Merge'!$Q1898),0)</f>
        <v>0</v>
      </c>
      <c r="V1898" s="199" t="str">
        <f>IF(OR(IFERROR(SEARCH("Met",'Mail Merge'!$N1898),0)&gt;0,IFERROR(SEARCH("Met",'Mail Merge'!$I1898),0)&gt;0),"Met","Not Met")</f>
        <v>Met</v>
      </c>
    </row>
    <row r="1899" spans="1:22" x14ac:dyDescent="0.35">
      <c r="A1899" s="200" t="s">
        <v>146</v>
      </c>
      <c r="B1899" s="201">
        <v>2214</v>
      </c>
      <c r="C1899" s="201" t="s">
        <v>1537</v>
      </c>
      <c r="D1899" s="201">
        <v>39</v>
      </c>
      <c r="E1899" s="201">
        <v>197700.63</v>
      </c>
      <c r="F1899" s="201">
        <v>72937.09</v>
      </c>
      <c r="G1899" s="201">
        <f>'Mail Merge'!$E1899+'Mail Merge'!$F1899</f>
        <v>270637.71999999997</v>
      </c>
      <c r="H1899" s="201">
        <v>0</v>
      </c>
      <c r="I1899" s="201" t="s">
        <v>241</v>
      </c>
      <c r="J1899" s="204">
        <f>IFERROR('Mail Merge'!$E1899/'Mail Merge'!$D1899,0)</f>
        <v>5069.2469230769229</v>
      </c>
      <c r="K1899" s="201">
        <f>IFERROR('Mail Merge'!$F1899/'Mail Merge'!$D1899,0)</f>
        <v>1870.1817948717949</v>
      </c>
      <c r="L1899" s="205">
        <f>IFERROR('Mail Merge'!$G1899/'Mail Merge'!$D1899,0)</f>
        <v>6939.4287179487173</v>
      </c>
      <c r="M1899" s="201">
        <v>0</v>
      </c>
      <c r="N1899" s="201" t="s">
        <v>241</v>
      </c>
      <c r="O1899" s="201">
        <v>46712.12</v>
      </c>
      <c r="P1899" s="201">
        <v>38.61</v>
      </c>
      <c r="Q1899" s="201">
        <f>'Mail Merge'!$O1899+'Mail Merge'!$P1899</f>
        <v>46750.73</v>
      </c>
      <c r="R1899" s="201"/>
      <c r="S1899" s="201">
        <v>0</v>
      </c>
      <c r="T1899" s="201"/>
      <c r="U1899" s="201">
        <f>IF(AND('Mail Merge'!$I1899="Did Not Meet",'Mail Merge'!$N1899="Did Not Meet"),MIN(ABS('Mail Merge'!$H1899),ABS('Mail Merge'!$M1899),'Mail Merge'!$Q1899),0)</f>
        <v>0</v>
      </c>
      <c r="V1899" s="201" t="str">
        <f>IF(OR(IFERROR(SEARCH("Met",'Mail Merge'!$N1899),0)&gt;0,IFERROR(SEARCH("Met",'Mail Merge'!$I1899),0)&gt;0),"Met","Not Met")</f>
        <v>Met</v>
      </c>
    </row>
    <row r="1900" spans="1:22" x14ac:dyDescent="0.35">
      <c r="A1900" s="198" t="s">
        <v>147</v>
      </c>
      <c r="B1900" s="199">
        <v>2143</v>
      </c>
      <c r="C1900" s="199" t="s">
        <v>1537</v>
      </c>
      <c r="D1900" s="199">
        <v>372</v>
      </c>
      <c r="E1900" s="199">
        <v>2887187.73</v>
      </c>
      <c r="F1900" s="199">
        <v>217602.33</v>
      </c>
      <c r="G1900" s="199">
        <f>'Mail Merge'!$E1900+'Mail Merge'!$F1900</f>
        <v>3104790.06</v>
      </c>
      <c r="H1900" s="199">
        <v>0</v>
      </c>
      <c r="I1900" s="199" t="s">
        <v>241</v>
      </c>
      <c r="J1900" s="202">
        <f>IFERROR('Mail Merge'!$E1900/'Mail Merge'!$D1900,0)</f>
        <v>7761.2573387096772</v>
      </c>
      <c r="K1900" s="199">
        <f>IFERROR('Mail Merge'!$F1900/'Mail Merge'!$D1900,0)</f>
        <v>584.95249999999999</v>
      </c>
      <c r="L1900" s="203">
        <f>IFERROR('Mail Merge'!$G1900/'Mail Merge'!$D1900,0)</f>
        <v>8346.2098387096776</v>
      </c>
      <c r="M1900" s="199">
        <v>-651652.69516483473</v>
      </c>
      <c r="N1900" s="199" t="s">
        <v>240</v>
      </c>
      <c r="O1900" s="199">
        <v>480123.97</v>
      </c>
      <c r="P1900" s="199">
        <v>2764.27</v>
      </c>
      <c r="Q1900" s="199">
        <f>'Mail Merge'!$O1900+'Mail Merge'!$P1900</f>
        <v>482888.24</v>
      </c>
      <c r="R1900" s="199"/>
      <c r="S1900" s="199">
        <v>0</v>
      </c>
      <c r="T1900" s="199">
        <v>445.8</v>
      </c>
      <c r="U1900" s="199">
        <f>IF(AND('Mail Merge'!$I1900="Did Not Meet",'Mail Merge'!$N1900="Did Not Meet"),MIN(ABS('Mail Merge'!$H1900),ABS('Mail Merge'!$M1900),'Mail Merge'!$Q1900),0)</f>
        <v>0</v>
      </c>
      <c r="V1900" s="199" t="str">
        <f>IF(OR(IFERROR(SEARCH("Met",'Mail Merge'!$N1900),0)&gt;0,IFERROR(SEARCH("Met",'Mail Merge'!$I1900),0)&gt;0),"Met","Not Met")</f>
        <v>Met</v>
      </c>
    </row>
    <row r="1901" spans="1:22" x14ac:dyDescent="0.35">
      <c r="A1901" s="200" t="s">
        <v>148</v>
      </c>
      <c r="B1901" s="201">
        <v>4131</v>
      </c>
      <c r="C1901" s="201" t="s">
        <v>1537</v>
      </c>
      <c r="D1901" s="201">
        <v>453</v>
      </c>
      <c r="E1901" s="201">
        <v>4829453.4400000004</v>
      </c>
      <c r="F1901" s="201">
        <v>0</v>
      </c>
      <c r="G1901" s="201">
        <f>'Mail Merge'!$E1901+'Mail Merge'!$F1901</f>
        <v>4829453.4400000004</v>
      </c>
      <c r="H1901" s="201">
        <v>0</v>
      </c>
      <c r="I1901" s="201" t="s">
        <v>241</v>
      </c>
      <c r="J1901" s="204">
        <f>IFERROR('Mail Merge'!$E1901/'Mail Merge'!$D1901,0)</f>
        <v>10661.045121412804</v>
      </c>
      <c r="K1901" s="201">
        <f>IFERROR('Mail Merge'!$F1901/'Mail Merge'!$D1901,0)</f>
        <v>0</v>
      </c>
      <c r="L1901" s="205">
        <f>IFERROR('Mail Merge'!$G1901/'Mail Merge'!$D1901,0)</f>
        <v>10661.045121412804</v>
      </c>
      <c r="M1901" s="201">
        <v>0</v>
      </c>
      <c r="N1901" s="201" t="s">
        <v>241</v>
      </c>
      <c r="O1901" s="201">
        <v>518381.7</v>
      </c>
      <c r="P1901" s="201">
        <v>5108.8599999999997</v>
      </c>
      <c r="Q1901" s="201">
        <f>'Mail Merge'!$O1901+'Mail Merge'!$P1901</f>
        <v>523490.56</v>
      </c>
      <c r="R1901" s="201"/>
      <c r="S1901" s="201">
        <v>0</v>
      </c>
      <c r="T1901" s="201"/>
      <c r="U1901" s="201">
        <f>IF(AND('Mail Merge'!$I1901="Did Not Meet",'Mail Merge'!$N1901="Did Not Meet"),MIN(ABS('Mail Merge'!$H1901),ABS('Mail Merge'!$M1901),'Mail Merge'!$Q1901),0)</f>
        <v>0</v>
      </c>
      <c r="V1901" s="201" t="str">
        <f>IF(OR(IFERROR(SEARCH("Met",'Mail Merge'!$N1901),0)&gt;0,IFERROR(SEARCH("Met",'Mail Merge'!$I1901),0)&gt;0),"Met","Not Met")</f>
        <v>Met</v>
      </c>
    </row>
    <row r="1902" spans="1:22" x14ac:dyDescent="0.35">
      <c r="A1902" s="198" t="s">
        <v>149</v>
      </c>
      <c r="B1902" s="199">
        <v>2110</v>
      </c>
      <c r="C1902" s="199" t="s">
        <v>1537</v>
      </c>
      <c r="D1902" s="199">
        <v>182</v>
      </c>
      <c r="E1902" s="199">
        <v>947472.91</v>
      </c>
      <c r="F1902" s="199">
        <v>459087.5</v>
      </c>
      <c r="G1902" s="199">
        <f>'Mail Merge'!$E1902+'Mail Merge'!$F1902</f>
        <v>1406560.4100000001</v>
      </c>
      <c r="H1902" s="199">
        <v>0</v>
      </c>
      <c r="I1902" s="199" t="s">
        <v>241</v>
      </c>
      <c r="J1902" s="202">
        <f>IFERROR('Mail Merge'!$E1902/'Mail Merge'!$D1902,0)</f>
        <v>5205.8951098901098</v>
      </c>
      <c r="K1902" s="199">
        <f>IFERROR('Mail Merge'!$F1902/'Mail Merge'!$D1902,0)</f>
        <v>2522.4587912087914</v>
      </c>
      <c r="L1902" s="203">
        <f>IFERROR('Mail Merge'!$G1902/'Mail Merge'!$D1902,0)</f>
        <v>7728.3539010989016</v>
      </c>
      <c r="M1902" s="199">
        <v>-77632.404787878593</v>
      </c>
      <c r="N1902" s="199" t="s">
        <v>240</v>
      </c>
      <c r="O1902" s="199">
        <v>245339.05</v>
      </c>
      <c r="P1902" s="199">
        <v>2064.16</v>
      </c>
      <c r="Q1902" s="199">
        <f>'Mail Merge'!$O1902+'Mail Merge'!$P1902</f>
        <v>247403.21</v>
      </c>
      <c r="R1902" s="199"/>
      <c r="S1902" s="199">
        <v>0</v>
      </c>
      <c r="T1902" s="199">
        <v>0</v>
      </c>
      <c r="U1902" s="199">
        <f>IF(AND('Mail Merge'!$I1902="Did Not Meet",'Mail Merge'!$N1902="Did Not Meet"),MIN(ABS('Mail Merge'!$H1902),ABS('Mail Merge'!$M1902),'Mail Merge'!$Q1902),0)</f>
        <v>0</v>
      </c>
      <c r="V1902" s="199" t="str">
        <f>IF(OR(IFERROR(SEARCH("Met",'Mail Merge'!$N1902),0)&gt;0,IFERROR(SEARCH("Met",'Mail Merge'!$I1902),0)&gt;0),"Met","Not Met")</f>
        <v>Met</v>
      </c>
    </row>
    <row r="1903" spans="1:22" x14ac:dyDescent="0.35">
      <c r="A1903" s="200" t="s">
        <v>150</v>
      </c>
      <c r="B1903" s="201">
        <v>1990</v>
      </c>
      <c r="C1903" s="201" t="s">
        <v>1537</v>
      </c>
      <c r="D1903" s="201">
        <v>88</v>
      </c>
      <c r="E1903" s="201">
        <v>450639.35999999999</v>
      </c>
      <c r="F1903" s="201">
        <v>85230.68</v>
      </c>
      <c r="G1903" s="201">
        <f>'Mail Merge'!$E1903+'Mail Merge'!$F1903</f>
        <v>535870.04</v>
      </c>
      <c r="H1903" s="201">
        <v>0</v>
      </c>
      <c r="I1903" s="201" t="s">
        <v>241</v>
      </c>
      <c r="J1903" s="204">
        <f>IFERROR('Mail Merge'!$E1903/'Mail Merge'!$D1903,0)</f>
        <v>5120.9018181818183</v>
      </c>
      <c r="K1903" s="201">
        <f>IFERROR('Mail Merge'!$F1903/'Mail Merge'!$D1903,0)</f>
        <v>968.53045454545452</v>
      </c>
      <c r="L1903" s="205">
        <f>IFERROR('Mail Merge'!$G1903/'Mail Merge'!$D1903,0)</f>
        <v>6089.4322727272729</v>
      </c>
      <c r="M1903" s="201">
        <v>-167320.24999999997</v>
      </c>
      <c r="N1903" s="201" t="s">
        <v>240</v>
      </c>
      <c r="O1903" s="201">
        <v>100737.64</v>
      </c>
      <c r="P1903" s="201">
        <v>997.41</v>
      </c>
      <c r="Q1903" s="201">
        <f>'Mail Merge'!$O1903+'Mail Merge'!$P1903</f>
        <v>101735.05</v>
      </c>
      <c r="R1903" s="201"/>
      <c r="S1903" s="201">
        <v>0</v>
      </c>
      <c r="T1903" s="201">
        <v>0</v>
      </c>
      <c r="U1903" s="201">
        <f>IF(AND('Mail Merge'!$I1903="Did Not Meet",'Mail Merge'!$N1903="Did Not Meet"),MIN(ABS('Mail Merge'!$H1903),ABS('Mail Merge'!$M1903),'Mail Merge'!$Q1903),0)</f>
        <v>0</v>
      </c>
      <c r="V1903" s="201" t="str">
        <f>IF(OR(IFERROR(SEARCH("Met",'Mail Merge'!$N1903),0)&gt;0,IFERROR(SEARCH("Met",'Mail Merge'!$I1903),0)&gt;0),"Met","Not Met")</f>
        <v>Met</v>
      </c>
    </row>
    <row r="1904" spans="1:22" x14ac:dyDescent="0.35">
      <c r="A1904" s="198" t="s">
        <v>151</v>
      </c>
      <c r="B1904" s="199">
        <v>2093</v>
      </c>
      <c r="C1904" s="199" t="s">
        <v>1537</v>
      </c>
      <c r="D1904" s="199">
        <v>109</v>
      </c>
      <c r="E1904" s="199">
        <v>383663</v>
      </c>
      <c r="F1904" s="199">
        <v>235956</v>
      </c>
      <c r="G1904" s="199">
        <f>'Mail Merge'!$E1904+'Mail Merge'!$F1904</f>
        <v>619619</v>
      </c>
      <c r="H1904" s="199">
        <v>0</v>
      </c>
      <c r="I1904" s="199" t="s">
        <v>241</v>
      </c>
      <c r="J1904" s="202">
        <f>IFERROR('Mail Merge'!$E1904/'Mail Merge'!$D1904,0)</f>
        <v>3519.8440366972477</v>
      </c>
      <c r="K1904" s="199">
        <f>IFERROR('Mail Merge'!$F1904/'Mail Merge'!$D1904,0)</f>
        <v>2164.7339449541282</v>
      </c>
      <c r="L1904" s="203">
        <f>IFERROR('Mail Merge'!$G1904/'Mail Merge'!$D1904,0)</f>
        <v>5684.5779816513759</v>
      </c>
      <c r="M1904" s="199">
        <v>-226096.37666666659</v>
      </c>
      <c r="N1904" s="199" t="s">
        <v>240</v>
      </c>
      <c r="O1904" s="199">
        <v>143658.23000000001</v>
      </c>
      <c r="P1904" s="199">
        <v>2974.79</v>
      </c>
      <c r="Q1904" s="199">
        <f>'Mail Merge'!$O1904+'Mail Merge'!$P1904</f>
        <v>146633.02000000002</v>
      </c>
      <c r="R1904" s="199"/>
      <c r="S1904" s="199">
        <v>0</v>
      </c>
      <c r="T1904" s="199">
        <v>862.58</v>
      </c>
      <c r="U1904" s="199">
        <f>IF(AND('Mail Merge'!$I1904="Did Not Meet",'Mail Merge'!$N1904="Did Not Meet"),MIN(ABS('Mail Merge'!$H1904),ABS('Mail Merge'!$M1904),'Mail Merge'!$Q1904),0)</f>
        <v>0</v>
      </c>
      <c r="V1904" s="199" t="str">
        <f>IF(OR(IFERROR(SEARCH("Met",'Mail Merge'!$N1904),0)&gt;0,IFERROR(SEARCH("Met",'Mail Merge'!$I1904),0)&gt;0),"Met","Not Met")</f>
        <v>Met</v>
      </c>
    </row>
    <row r="1905" spans="1:22" x14ac:dyDescent="0.35">
      <c r="A1905" s="200" t="s">
        <v>152</v>
      </c>
      <c r="B1905" s="201">
        <v>2108</v>
      </c>
      <c r="C1905" s="201" t="s">
        <v>1537</v>
      </c>
      <c r="D1905" s="201">
        <v>319</v>
      </c>
      <c r="E1905" s="201">
        <v>3405919.43</v>
      </c>
      <c r="F1905" s="201">
        <v>50903.519999999997</v>
      </c>
      <c r="G1905" s="201">
        <f>'Mail Merge'!$E1905+'Mail Merge'!$F1905</f>
        <v>3456822.95</v>
      </c>
      <c r="H1905" s="201">
        <v>0</v>
      </c>
      <c r="I1905" s="201" t="s">
        <v>241</v>
      </c>
      <c r="J1905" s="204">
        <f>IFERROR('Mail Merge'!$E1905/'Mail Merge'!$D1905,0)</f>
        <v>10676.863416927899</v>
      </c>
      <c r="K1905" s="201">
        <f>IFERROR('Mail Merge'!$F1905/'Mail Merge'!$D1905,0)</f>
        <v>159.57216300940439</v>
      </c>
      <c r="L1905" s="205">
        <f>IFERROR('Mail Merge'!$G1905/'Mail Merge'!$D1905,0)</f>
        <v>10836.435579937304</v>
      </c>
      <c r="M1905" s="201">
        <v>0</v>
      </c>
      <c r="N1905" s="201" t="s">
        <v>241</v>
      </c>
      <c r="O1905" s="201">
        <v>518721.97</v>
      </c>
      <c r="P1905" s="201">
        <v>2687.93</v>
      </c>
      <c r="Q1905" s="201">
        <f>'Mail Merge'!$O1905+'Mail Merge'!$P1905</f>
        <v>521409.89999999997</v>
      </c>
      <c r="R1905" s="201"/>
      <c r="S1905" s="201">
        <v>0</v>
      </c>
      <c r="T1905" s="201"/>
      <c r="U1905" s="201">
        <f>IF(AND('Mail Merge'!$I1905="Did Not Meet",'Mail Merge'!$N1905="Did Not Meet"),MIN(ABS('Mail Merge'!$H1905),ABS('Mail Merge'!$M1905),'Mail Merge'!$Q1905),0)</f>
        <v>0</v>
      </c>
      <c r="V1905" s="201" t="str">
        <f>IF(OR(IFERROR(SEARCH("Met",'Mail Merge'!$N1905),0)&gt;0,IFERROR(SEARCH("Met",'Mail Merge'!$I1905),0)&gt;0),"Met","Not Met")</f>
        <v>Met</v>
      </c>
    </row>
    <row r="1906" spans="1:22" x14ac:dyDescent="0.35">
      <c r="A1906" s="198" t="s">
        <v>153</v>
      </c>
      <c r="B1906" s="199">
        <v>1928</v>
      </c>
      <c r="C1906" s="199" t="s">
        <v>1537</v>
      </c>
      <c r="D1906" s="199">
        <v>1248</v>
      </c>
      <c r="E1906" s="199">
        <v>16795978.920000002</v>
      </c>
      <c r="F1906" s="199">
        <v>1909197</v>
      </c>
      <c r="G1906" s="199">
        <f>'Mail Merge'!$E1906+'Mail Merge'!$F1906</f>
        <v>18705175.920000002</v>
      </c>
      <c r="H1906" s="199">
        <v>0</v>
      </c>
      <c r="I1906" s="199" t="s">
        <v>241</v>
      </c>
      <c r="J1906" s="202">
        <f>IFERROR('Mail Merge'!$E1906/'Mail Merge'!$D1906,0)</f>
        <v>13458.316442307694</v>
      </c>
      <c r="K1906" s="199">
        <f>IFERROR('Mail Merge'!$F1906/'Mail Merge'!$D1906,0)</f>
        <v>1529.8052884615386</v>
      </c>
      <c r="L1906" s="203">
        <f>IFERROR('Mail Merge'!$G1906/'Mail Merge'!$D1906,0)</f>
        <v>14988.121730769231</v>
      </c>
      <c r="M1906" s="199">
        <v>0</v>
      </c>
      <c r="N1906" s="199" t="s">
        <v>241</v>
      </c>
      <c r="O1906" s="199">
        <v>1308601.82</v>
      </c>
      <c r="P1906" s="199">
        <v>11010.18</v>
      </c>
      <c r="Q1906" s="199">
        <f>'Mail Merge'!$O1906+'Mail Merge'!$P1906</f>
        <v>1319612</v>
      </c>
      <c r="R1906" s="199"/>
      <c r="S1906" s="199">
        <v>0</v>
      </c>
      <c r="T1906" s="199"/>
      <c r="U1906" s="199">
        <f>IF(AND('Mail Merge'!$I1906="Did Not Meet",'Mail Merge'!$N1906="Did Not Meet"),MIN(ABS('Mail Merge'!$H1906),ABS('Mail Merge'!$M1906),'Mail Merge'!$Q1906),0)</f>
        <v>0</v>
      </c>
      <c r="V1906" s="199" t="str">
        <f>IF(OR(IFERROR(SEARCH("Met",'Mail Merge'!$N1906),0)&gt;0,IFERROR(SEARCH("Met",'Mail Merge'!$I1906),0)&gt;0),"Met","Not Met")</f>
        <v>Met</v>
      </c>
    </row>
    <row r="1907" spans="1:22" x14ac:dyDescent="0.35">
      <c r="A1907" s="200" t="s">
        <v>154</v>
      </c>
      <c r="B1907" s="201">
        <v>1926</v>
      </c>
      <c r="C1907" s="201" t="s">
        <v>1537</v>
      </c>
      <c r="D1907" s="201">
        <v>603</v>
      </c>
      <c r="E1907" s="201">
        <v>6799755.0899999999</v>
      </c>
      <c r="F1907" s="201">
        <v>1130241</v>
      </c>
      <c r="G1907" s="201">
        <f>'Mail Merge'!$E1907+'Mail Merge'!$F1907</f>
        <v>7929996.0899999999</v>
      </c>
      <c r="H1907" s="201">
        <v>0</v>
      </c>
      <c r="I1907" s="201" t="s">
        <v>241</v>
      </c>
      <c r="J1907" s="204">
        <f>IFERROR('Mail Merge'!$E1907/'Mail Merge'!$D1907,0)</f>
        <v>11276.542437810946</v>
      </c>
      <c r="K1907" s="201">
        <f>IFERROR('Mail Merge'!$F1907/'Mail Merge'!$D1907,0)</f>
        <v>1874.363184079602</v>
      </c>
      <c r="L1907" s="205">
        <f>IFERROR('Mail Merge'!$G1907/'Mail Merge'!$D1907,0)</f>
        <v>13150.905621890546</v>
      </c>
      <c r="M1907" s="201">
        <v>-79451.032707183156</v>
      </c>
      <c r="N1907" s="201" t="s">
        <v>240</v>
      </c>
      <c r="O1907" s="201">
        <v>634723.44999999995</v>
      </c>
      <c r="P1907" s="201">
        <v>8514.2800000000007</v>
      </c>
      <c r="Q1907" s="201">
        <f>'Mail Merge'!$O1907+'Mail Merge'!$P1907</f>
        <v>643237.73</v>
      </c>
      <c r="R1907" s="201"/>
      <c r="S1907" s="201">
        <v>0</v>
      </c>
      <c r="T1907" s="201">
        <v>0</v>
      </c>
      <c r="U1907" s="201">
        <f>IF(AND('Mail Merge'!$I1907="Did Not Meet",'Mail Merge'!$N1907="Did Not Meet"),MIN(ABS('Mail Merge'!$H1907),ABS('Mail Merge'!$M1907),'Mail Merge'!$Q1907),0)</f>
        <v>0</v>
      </c>
      <c r="V1907" s="201" t="str">
        <f>IF(OR(IFERROR(SEARCH("Met",'Mail Merge'!$N1907),0)&gt;0,IFERROR(SEARCH("Met",'Mail Merge'!$I1907),0)&gt;0),"Met","Not Met")</f>
        <v>Met</v>
      </c>
    </row>
    <row r="1908" spans="1:22" x14ac:dyDescent="0.35">
      <c r="A1908" s="198" t="s">
        <v>155</v>
      </c>
      <c r="B1908" s="199">
        <v>2060</v>
      </c>
      <c r="C1908" s="199" t="s">
        <v>1537</v>
      </c>
      <c r="D1908" s="199">
        <v>24</v>
      </c>
      <c r="E1908" s="199">
        <v>231954.18</v>
      </c>
      <c r="F1908" s="199">
        <v>74586.259999999995</v>
      </c>
      <c r="G1908" s="199">
        <f>'Mail Merge'!$E1908+'Mail Merge'!$F1908</f>
        <v>306540.44</v>
      </c>
      <c r="H1908" s="199">
        <v>0</v>
      </c>
      <c r="I1908" s="199" t="s">
        <v>241</v>
      </c>
      <c r="J1908" s="202">
        <f>IFERROR('Mail Merge'!$E1908/'Mail Merge'!$D1908,0)</f>
        <v>9664.7574999999997</v>
      </c>
      <c r="K1908" s="199">
        <f>IFERROR('Mail Merge'!$F1908/'Mail Merge'!$D1908,0)</f>
        <v>3107.7608333333333</v>
      </c>
      <c r="L1908" s="203">
        <f>IFERROR('Mail Merge'!$G1908/'Mail Merge'!$D1908,0)</f>
        <v>12772.518333333333</v>
      </c>
      <c r="M1908" s="199">
        <v>-8966.164000000048</v>
      </c>
      <c r="N1908" s="199" t="s">
        <v>240</v>
      </c>
      <c r="O1908" s="199">
        <v>28983.7</v>
      </c>
      <c r="P1908" s="199">
        <v>0</v>
      </c>
      <c r="Q1908" s="199">
        <f>'Mail Merge'!$O1908+'Mail Merge'!$P1908</f>
        <v>28983.7</v>
      </c>
      <c r="R1908" s="199"/>
      <c r="S1908" s="199">
        <v>0</v>
      </c>
      <c r="T1908" s="199">
        <v>0</v>
      </c>
      <c r="U1908" s="199">
        <f>IF(AND('Mail Merge'!$I1908="Did Not Meet",'Mail Merge'!$N1908="Did Not Meet"),MIN(ABS('Mail Merge'!$H1908),ABS('Mail Merge'!$M1908),'Mail Merge'!$Q1908),0)</f>
        <v>0</v>
      </c>
      <c r="V1908" s="199" t="str">
        <f>IF(OR(IFERROR(SEARCH("Met",'Mail Merge'!$N1908),0)&gt;0,IFERROR(SEARCH("Met",'Mail Merge'!$I1908),0)&gt;0),"Met","Not Met")</f>
        <v>Met</v>
      </c>
    </row>
    <row r="1909" spans="1:22" x14ac:dyDescent="0.35">
      <c r="A1909" s="200" t="s">
        <v>156</v>
      </c>
      <c r="B1909" s="201">
        <v>2181</v>
      </c>
      <c r="C1909" s="201" t="s">
        <v>1537</v>
      </c>
      <c r="D1909" s="201">
        <v>516</v>
      </c>
      <c r="E1909" s="201">
        <v>7163617.6600000001</v>
      </c>
      <c r="F1909" s="201">
        <v>902478.45</v>
      </c>
      <c r="G1909" s="201">
        <f>'Mail Merge'!$E1909+'Mail Merge'!$F1909</f>
        <v>8066096.1100000003</v>
      </c>
      <c r="H1909" s="201">
        <v>0</v>
      </c>
      <c r="I1909" s="201" t="s">
        <v>241</v>
      </c>
      <c r="J1909" s="204">
        <f>IFERROR('Mail Merge'!$E1909/'Mail Merge'!$D1909,0)</f>
        <v>13882.979961240311</v>
      </c>
      <c r="K1909" s="201">
        <f>IFERROR('Mail Merge'!$F1909/'Mail Merge'!$D1909,0)</f>
        <v>1748.9892441860463</v>
      </c>
      <c r="L1909" s="205">
        <f>IFERROR('Mail Merge'!$G1909/'Mail Merge'!$D1909,0)</f>
        <v>15631.969205426358</v>
      </c>
      <c r="M1909" s="201">
        <v>-104311.02650294625</v>
      </c>
      <c r="N1909" s="201" t="s">
        <v>240</v>
      </c>
      <c r="O1909" s="201">
        <v>547462.47</v>
      </c>
      <c r="P1909" s="201">
        <v>1123.42</v>
      </c>
      <c r="Q1909" s="201">
        <f>'Mail Merge'!$O1909+'Mail Merge'!$P1909</f>
        <v>548585.89</v>
      </c>
      <c r="R1909" s="201"/>
      <c r="S1909" s="201">
        <v>0</v>
      </c>
      <c r="T1909" s="201">
        <v>0</v>
      </c>
      <c r="U1909" s="201">
        <f>IF(AND('Mail Merge'!$I1909="Did Not Meet",'Mail Merge'!$N1909="Did Not Meet"),MIN(ABS('Mail Merge'!$H1909),ABS('Mail Merge'!$M1909),'Mail Merge'!$Q1909),0)</f>
        <v>0</v>
      </c>
      <c r="V1909" s="201" t="str">
        <f>IF(OR(IFERROR(SEARCH("Met",'Mail Merge'!$N1909),0)&gt;0,IFERROR(SEARCH("Met",'Mail Merge'!$I1909),0)&gt;0),"Met","Not Met")</f>
        <v>Met</v>
      </c>
    </row>
    <row r="1910" spans="1:22" x14ac:dyDescent="0.35">
      <c r="A1910" s="198" t="s">
        <v>157</v>
      </c>
      <c r="B1910" s="199">
        <v>2207</v>
      </c>
      <c r="C1910" s="199" t="s">
        <v>1537</v>
      </c>
      <c r="D1910" s="199">
        <v>455</v>
      </c>
      <c r="E1910" s="199">
        <v>4901594.13</v>
      </c>
      <c r="F1910" s="199">
        <v>786752.68</v>
      </c>
      <c r="G1910" s="199">
        <f>'Mail Merge'!$E1910+'Mail Merge'!$F1910</f>
        <v>5688346.8099999996</v>
      </c>
      <c r="H1910" s="199">
        <v>0</v>
      </c>
      <c r="I1910" s="199" t="s">
        <v>241</v>
      </c>
      <c r="J1910" s="202">
        <f>IFERROR('Mail Merge'!$E1910/'Mail Merge'!$D1910,0)</f>
        <v>10772.734351648351</v>
      </c>
      <c r="K1910" s="199">
        <f>IFERROR('Mail Merge'!$F1910/'Mail Merge'!$D1910,0)</f>
        <v>1729.1267692307692</v>
      </c>
      <c r="L1910" s="203">
        <f>IFERROR('Mail Merge'!$G1910/'Mail Merge'!$D1910,0)</f>
        <v>12501.861120879121</v>
      </c>
      <c r="M1910" s="199">
        <v>-50735.164888889733</v>
      </c>
      <c r="N1910" s="199" t="s">
        <v>240</v>
      </c>
      <c r="O1910" s="199">
        <v>542645.78</v>
      </c>
      <c r="P1910" s="199">
        <v>3604.01</v>
      </c>
      <c r="Q1910" s="199">
        <f>'Mail Merge'!$O1910+'Mail Merge'!$P1910</f>
        <v>546249.79</v>
      </c>
      <c r="R1910" s="199"/>
      <c r="S1910" s="199">
        <v>0</v>
      </c>
      <c r="T1910" s="199">
        <v>0</v>
      </c>
      <c r="U1910" s="199">
        <f>IF(AND('Mail Merge'!$I1910="Did Not Meet",'Mail Merge'!$N1910="Did Not Meet"),MIN(ABS('Mail Merge'!$H1910),ABS('Mail Merge'!$M1910),'Mail Merge'!$Q1910),0)</f>
        <v>0</v>
      </c>
      <c r="V1910" s="199" t="str">
        <f>IF(OR(IFERROR(SEARCH("Met",'Mail Merge'!$N1910),0)&gt;0,IFERROR(SEARCH("Met",'Mail Merge'!$I1910),0)&gt;0),"Met","Not Met")</f>
        <v>Met</v>
      </c>
    </row>
    <row r="1911" spans="1:22" x14ac:dyDescent="0.35">
      <c r="A1911" s="200" t="s">
        <v>158</v>
      </c>
      <c r="B1911" s="201">
        <v>2192</v>
      </c>
      <c r="C1911" s="201" t="s">
        <v>1537</v>
      </c>
      <c r="D1911" s="201">
        <v>43</v>
      </c>
      <c r="E1911" s="201">
        <v>476063.18</v>
      </c>
      <c r="F1911" s="201">
        <v>63466.99</v>
      </c>
      <c r="G1911" s="201">
        <f>'Mail Merge'!$E1911+'Mail Merge'!$F1911</f>
        <v>539530.17000000004</v>
      </c>
      <c r="H1911" s="201">
        <v>0</v>
      </c>
      <c r="I1911" s="201" t="s">
        <v>241</v>
      </c>
      <c r="J1911" s="204">
        <f>IFERROR('Mail Merge'!$E1911/'Mail Merge'!$D1911,0)</f>
        <v>11071.236744186046</v>
      </c>
      <c r="K1911" s="201">
        <f>IFERROR('Mail Merge'!$F1911/'Mail Merge'!$D1911,0)</f>
        <v>1475.976511627907</v>
      </c>
      <c r="L1911" s="205">
        <f>IFERROR('Mail Merge'!$G1911/'Mail Merge'!$D1911,0)</f>
        <v>12547.213255813955</v>
      </c>
      <c r="M1911" s="201">
        <v>-568818.19333333336</v>
      </c>
      <c r="N1911" s="201" t="s">
        <v>240</v>
      </c>
      <c r="O1911" s="201">
        <v>32419.93</v>
      </c>
      <c r="P1911" s="201">
        <v>75.23</v>
      </c>
      <c r="Q1911" s="201">
        <f>'Mail Merge'!$O1911+'Mail Merge'!$P1911</f>
        <v>32495.16</v>
      </c>
      <c r="R1911" s="201"/>
      <c r="S1911" s="201">
        <v>0</v>
      </c>
      <c r="T1911" s="201">
        <v>10391.57</v>
      </c>
      <c r="U1911" s="201">
        <f>IF(AND('Mail Merge'!$I1911="Did Not Meet",'Mail Merge'!$N1911="Did Not Meet"),MIN(ABS('Mail Merge'!$H1911),ABS('Mail Merge'!$M1911),'Mail Merge'!$Q1911),0)</f>
        <v>0</v>
      </c>
      <c r="V1911" s="201" t="str">
        <f>IF(OR(IFERROR(SEARCH("Met",'Mail Merge'!$N1911),0)&gt;0,IFERROR(SEARCH("Met",'Mail Merge'!$I1911),0)&gt;0),"Met","Not Met")</f>
        <v>Met</v>
      </c>
    </row>
    <row r="1912" spans="1:22" x14ac:dyDescent="0.35">
      <c r="A1912" s="198" t="s">
        <v>160</v>
      </c>
      <c r="B1912" s="199">
        <v>1900</v>
      </c>
      <c r="C1912" s="199" t="s">
        <v>1537</v>
      </c>
      <c r="D1912" s="199">
        <v>164</v>
      </c>
      <c r="E1912" s="199">
        <v>2226633.23</v>
      </c>
      <c r="F1912" s="199">
        <v>183031</v>
      </c>
      <c r="G1912" s="199">
        <f>'Mail Merge'!$E1912+'Mail Merge'!$F1912</f>
        <v>2409664.23</v>
      </c>
      <c r="H1912" s="199">
        <v>0</v>
      </c>
      <c r="I1912" s="199" t="s">
        <v>241</v>
      </c>
      <c r="J1912" s="202">
        <f>IFERROR('Mail Merge'!$E1912/'Mail Merge'!$D1912,0)</f>
        <v>13577.031890243903</v>
      </c>
      <c r="K1912" s="199">
        <f>IFERROR('Mail Merge'!$F1912/'Mail Merge'!$D1912,0)</f>
        <v>1116.0426829268292</v>
      </c>
      <c r="L1912" s="203">
        <f>IFERROR('Mail Merge'!$G1912/'Mail Merge'!$D1912,0)</f>
        <v>14693.074573170732</v>
      </c>
      <c r="M1912" s="199">
        <v>0</v>
      </c>
      <c r="N1912" s="199" t="s">
        <v>241</v>
      </c>
      <c r="O1912" s="199">
        <v>239150.78</v>
      </c>
      <c r="P1912" s="199">
        <v>5386.58</v>
      </c>
      <c r="Q1912" s="199">
        <f>'Mail Merge'!$O1912+'Mail Merge'!$P1912</f>
        <v>244537.36</v>
      </c>
      <c r="R1912" s="199"/>
      <c r="S1912" s="199">
        <v>0</v>
      </c>
      <c r="T1912" s="199"/>
      <c r="U1912" s="199">
        <f>IF(AND('Mail Merge'!$I1912="Did Not Meet",'Mail Merge'!$N1912="Did Not Meet"),MIN(ABS('Mail Merge'!$H1912),ABS('Mail Merge'!$M1912),'Mail Merge'!$Q1912),0)</f>
        <v>0</v>
      </c>
      <c r="V1912" s="199" t="str">
        <f>IF(OR(IFERROR(SEARCH("Met",'Mail Merge'!$N1912),0)&gt;0,IFERROR(SEARCH("Met",'Mail Merge'!$I1912),0)&gt;0),"Met","Not Met")</f>
        <v>Met</v>
      </c>
    </row>
    <row r="1913" spans="1:22" x14ac:dyDescent="0.35">
      <c r="A1913" s="200" t="s">
        <v>161</v>
      </c>
      <c r="B1913" s="201">
        <v>2039</v>
      </c>
      <c r="C1913" s="201" t="s">
        <v>1537</v>
      </c>
      <c r="D1913" s="201">
        <v>425</v>
      </c>
      <c r="E1913" s="201">
        <v>3575468.74</v>
      </c>
      <c r="F1913" s="201">
        <v>602662.86</v>
      </c>
      <c r="G1913" s="201">
        <f>'Mail Merge'!$E1913+'Mail Merge'!$F1913</f>
        <v>4178131.6</v>
      </c>
      <c r="H1913" s="201">
        <v>0</v>
      </c>
      <c r="I1913" s="201" t="s">
        <v>241</v>
      </c>
      <c r="J1913" s="204">
        <f>IFERROR('Mail Merge'!$E1913/'Mail Merge'!$D1913,0)</f>
        <v>8412.8676235294115</v>
      </c>
      <c r="K1913" s="201">
        <f>IFERROR('Mail Merge'!$F1913/'Mail Merge'!$D1913,0)</f>
        <v>1418.0302588235293</v>
      </c>
      <c r="L1913" s="205">
        <f>IFERROR('Mail Merge'!$G1913/'Mail Merge'!$D1913,0)</f>
        <v>9830.8978823529415</v>
      </c>
      <c r="M1913" s="201">
        <v>0</v>
      </c>
      <c r="N1913" s="201" t="s">
        <v>241</v>
      </c>
      <c r="O1913" s="201">
        <v>504952.12</v>
      </c>
      <c r="P1913" s="201">
        <v>6588.3</v>
      </c>
      <c r="Q1913" s="201">
        <f>'Mail Merge'!$O1913+'Mail Merge'!$P1913</f>
        <v>511540.42</v>
      </c>
      <c r="R1913" s="201"/>
      <c r="S1913" s="201">
        <v>0</v>
      </c>
      <c r="T1913" s="201"/>
      <c r="U1913" s="201">
        <f>IF(AND('Mail Merge'!$I1913="Did Not Meet",'Mail Merge'!$N1913="Did Not Meet"),MIN(ABS('Mail Merge'!$H1913),ABS('Mail Merge'!$M1913),'Mail Merge'!$Q1913),0)</f>
        <v>0</v>
      </c>
      <c r="V1913" s="201" t="str">
        <f>IF(OR(IFERROR(SEARCH("Met",'Mail Merge'!$N1913),0)&gt;0,IFERROR(SEARCH("Met",'Mail Merge'!$I1913),0)&gt;0),"Met","Not Met")</f>
        <v>Met</v>
      </c>
    </row>
    <row r="1914" spans="1:22" x14ac:dyDescent="0.35">
      <c r="A1914" s="198" t="s">
        <v>162</v>
      </c>
      <c r="B1914" s="199">
        <v>2202</v>
      </c>
      <c r="C1914" s="199" t="s">
        <v>1537</v>
      </c>
      <c r="D1914" s="199">
        <v>38</v>
      </c>
      <c r="E1914" s="199">
        <v>308954.23999999999</v>
      </c>
      <c r="F1914" s="199">
        <v>66190.45</v>
      </c>
      <c r="G1914" s="199">
        <f>'Mail Merge'!$E1914+'Mail Merge'!$F1914</f>
        <v>375144.69</v>
      </c>
      <c r="H1914" s="199">
        <v>0</v>
      </c>
      <c r="I1914" s="199" t="s">
        <v>241</v>
      </c>
      <c r="J1914" s="202">
        <f>IFERROR('Mail Merge'!$E1914/'Mail Merge'!$D1914,0)</f>
        <v>8130.3747368421054</v>
      </c>
      <c r="K1914" s="199">
        <f>IFERROR('Mail Merge'!$F1914/'Mail Merge'!$D1914,0)</f>
        <v>1741.8539473684209</v>
      </c>
      <c r="L1914" s="203">
        <f>IFERROR('Mail Merge'!$G1914/'Mail Merge'!$D1914,0)</f>
        <v>9872.2286842105259</v>
      </c>
      <c r="M1914" s="199">
        <v>0</v>
      </c>
      <c r="N1914" s="199" t="s">
        <v>242</v>
      </c>
      <c r="O1914" s="199">
        <v>71767.05</v>
      </c>
      <c r="P1914" s="199">
        <v>517.64</v>
      </c>
      <c r="Q1914" s="199">
        <f>'Mail Merge'!$O1914+'Mail Merge'!$P1914</f>
        <v>72284.69</v>
      </c>
      <c r="R1914" s="199"/>
      <c r="S1914" s="199">
        <v>0</v>
      </c>
      <c r="T1914" s="199">
        <v>1347.27</v>
      </c>
      <c r="U1914" s="199">
        <f>IF(AND('Mail Merge'!$I1914="Did Not Meet",'Mail Merge'!$N1914="Did Not Meet"),MIN(ABS('Mail Merge'!$H1914),ABS('Mail Merge'!$M1914),'Mail Merge'!$Q1914),0)</f>
        <v>0</v>
      </c>
      <c r="V1914" s="199" t="str">
        <f>IF(OR(IFERROR(SEARCH("Met",'Mail Merge'!$N1914),0)&gt;0,IFERROR(SEARCH("Met",'Mail Merge'!$I1914),0)&gt;0),"Met","Not Met")</f>
        <v>Met</v>
      </c>
    </row>
    <row r="1915" spans="1:22" x14ac:dyDescent="0.35">
      <c r="A1915" s="200" t="s">
        <v>163</v>
      </c>
      <c r="B1915" s="201">
        <v>2016</v>
      </c>
      <c r="C1915" s="201" t="s">
        <v>1537</v>
      </c>
      <c r="D1915" s="201">
        <v>0</v>
      </c>
      <c r="E1915" s="201">
        <v>8614</v>
      </c>
      <c r="F1915" s="201">
        <v>8085.9</v>
      </c>
      <c r="G1915" s="201">
        <f>'Mail Merge'!$E1915+'Mail Merge'!$F1915</f>
        <v>16699.900000000001</v>
      </c>
      <c r="H1915" s="201">
        <v>0</v>
      </c>
      <c r="I1915" s="201" t="s">
        <v>241</v>
      </c>
      <c r="J1915" s="204">
        <f>IFERROR('Mail Merge'!$E1915/'Mail Merge'!$D1915,0)</f>
        <v>0</v>
      </c>
      <c r="K1915" s="201">
        <f>IFERROR('Mail Merge'!$F1915/'Mail Merge'!$D1915,0)</f>
        <v>0</v>
      </c>
      <c r="L1915" s="205">
        <f>IFERROR('Mail Merge'!$G1915/'Mail Merge'!$D1915,0)</f>
        <v>0</v>
      </c>
      <c r="M1915" s="201">
        <v>0</v>
      </c>
      <c r="N1915" s="201" t="s">
        <v>241</v>
      </c>
      <c r="O1915" s="201">
        <v>1250.47</v>
      </c>
      <c r="P1915" s="201">
        <v>2.44</v>
      </c>
      <c r="Q1915" s="201">
        <f>'Mail Merge'!$O1915+'Mail Merge'!$P1915</f>
        <v>1252.9100000000001</v>
      </c>
      <c r="R1915" s="201"/>
      <c r="S1915" s="201">
        <v>0</v>
      </c>
      <c r="T1915" s="201"/>
      <c r="U1915" s="201">
        <f>IF(AND('Mail Merge'!$I1915="Did Not Meet",'Mail Merge'!$N1915="Did Not Meet"),MIN(ABS('Mail Merge'!$H1915),ABS('Mail Merge'!$M1915),'Mail Merge'!$Q1915),0)</f>
        <v>0</v>
      </c>
      <c r="V1915" s="201" t="str">
        <f>IF(OR(IFERROR(SEARCH("Met",'Mail Merge'!$N1915),0)&gt;0,IFERROR(SEARCH("Met",'Mail Merge'!$I1915),0)&gt;0),"Met","Not Met")</f>
        <v>Met</v>
      </c>
    </row>
    <row r="1916" spans="1:22" x14ac:dyDescent="0.35">
      <c r="A1916" s="198" t="s">
        <v>164</v>
      </c>
      <c r="B1916" s="199">
        <v>1897</v>
      </c>
      <c r="C1916" s="199" t="s">
        <v>1537</v>
      </c>
      <c r="D1916" s="199">
        <v>31</v>
      </c>
      <c r="E1916" s="199">
        <v>230507.84</v>
      </c>
      <c r="F1916" s="199">
        <v>0</v>
      </c>
      <c r="G1916" s="199">
        <f>'Mail Merge'!$E1916+'Mail Merge'!$F1916</f>
        <v>230507.84</v>
      </c>
      <c r="H1916" s="199">
        <v>0</v>
      </c>
      <c r="I1916" s="199" t="s">
        <v>241</v>
      </c>
      <c r="J1916" s="202">
        <f>IFERROR('Mail Merge'!$E1916/'Mail Merge'!$D1916,0)</f>
        <v>7435.7367741935486</v>
      </c>
      <c r="K1916" s="199">
        <f>IFERROR('Mail Merge'!$F1916/'Mail Merge'!$D1916,0)</f>
        <v>0</v>
      </c>
      <c r="L1916" s="203">
        <f>IFERROR('Mail Merge'!$G1916/'Mail Merge'!$D1916,0)</f>
        <v>7435.7367741935486</v>
      </c>
      <c r="M1916" s="199">
        <v>-14381.940689655177</v>
      </c>
      <c r="N1916" s="199" t="s">
        <v>240</v>
      </c>
      <c r="O1916" s="199">
        <v>35295.120000000003</v>
      </c>
      <c r="P1916" s="199">
        <v>0</v>
      </c>
      <c r="Q1916" s="199">
        <f>'Mail Merge'!$O1916+'Mail Merge'!$P1916</f>
        <v>35295.120000000003</v>
      </c>
      <c r="R1916" s="199"/>
      <c r="S1916" s="199">
        <v>0</v>
      </c>
      <c r="T1916" s="199">
        <v>0</v>
      </c>
      <c r="U1916" s="199">
        <f>IF(AND('Mail Merge'!$I1916="Did Not Meet",'Mail Merge'!$N1916="Did Not Meet"),MIN(ABS('Mail Merge'!$H1916),ABS('Mail Merge'!$M1916),'Mail Merge'!$Q1916),0)</f>
        <v>0</v>
      </c>
      <c r="V1916" s="199" t="str">
        <f>IF(OR(IFERROR(SEARCH("Met",'Mail Merge'!$N1916),0)&gt;0,IFERROR(SEARCH("Met",'Mail Merge'!$I1916),0)&gt;0),"Met","Not Met")</f>
        <v>Met</v>
      </c>
    </row>
    <row r="1917" spans="1:22" x14ac:dyDescent="0.35">
      <c r="A1917" s="200" t="s">
        <v>165</v>
      </c>
      <c r="B1917" s="201">
        <v>2047</v>
      </c>
      <c r="C1917" s="201" t="s">
        <v>1537</v>
      </c>
      <c r="D1917" s="201">
        <v>4</v>
      </c>
      <c r="E1917" s="201">
        <v>11347</v>
      </c>
      <c r="F1917" s="201">
        <v>12416.99</v>
      </c>
      <c r="G1917" s="201">
        <f>'Mail Merge'!$E1917+'Mail Merge'!$F1917</f>
        <v>23763.989999999998</v>
      </c>
      <c r="H1917" s="201">
        <v>0</v>
      </c>
      <c r="I1917" s="201" t="s">
        <v>241</v>
      </c>
      <c r="J1917" s="204">
        <f>IFERROR('Mail Merge'!$E1917/'Mail Merge'!$D1917,0)</f>
        <v>2836.75</v>
      </c>
      <c r="K1917" s="201">
        <f>IFERROR('Mail Merge'!$F1917/'Mail Merge'!$D1917,0)</f>
        <v>3104.2474999999999</v>
      </c>
      <c r="L1917" s="205">
        <f>IFERROR('Mail Merge'!$G1917/'Mail Merge'!$D1917,0)</f>
        <v>5940.9974999999995</v>
      </c>
      <c r="M1917" s="201">
        <v>0</v>
      </c>
      <c r="N1917" s="201" t="s">
        <v>242</v>
      </c>
      <c r="O1917" s="201">
        <v>7228.7</v>
      </c>
      <c r="P1917" s="201">
        <v>6</v>
      </c>
      <c r="Q1917" s="201">
        <f>'Mail Merge'!$O1917+'Mail Merge'!$P1917</f>
        <v>7234.7</v>
      </c>
      <c r="R1917" s="201"/>
      <c r="S1917" s="201">
        <v>0</v>
      </c>
      <c r="T1917" s="201">
        <v>3895.9</v>
      </c>
      <c r="U1917" s="201">
        <f>IF(AND('Mail Merge'!$I1917="Did Not Meet",'Mail Merge'!$N1917="Did Not Meet"),MIN(ABS('Mail Merge'!$H1917),ABS('Mail Merge'!$M1917),'Mail Merge'!$Q1917),0)</f>
        <v>0</v>
      </c>
      <c r="V1917" s="201" t="str">
        <f>IF(OR(IFERROR(SEARCH("Met",'Mail Merge'!$N1917),0)&gt;0,IFERROR(SEARCH("Met",'Mail Merge'!$I1917),0)&gt;0),"Met","Not Met")</f>
        <v>Met</v>
      </c>
    </row>
    <row r="1918" spans="1:22" x14ac:dyDescent="0.35">
      <c r="A1918" s="198" t="s">
        <v>166</v>
      </c>
      <c r="B1918" s="199">
        <v>2081</v>
      </c>
      <c r="C1918" s="199" t="s">
        <v>1537</v>
      </c>
      <c r="D1918" s="199">
        <v>148</v>
      </c>
      <c r="E1918" s="199">
        <v>1160789.1200000001</v>
      </c>
      <c r="F1918" s="199">
        <v>282031</v>
      </c>
      <c r="G1918" s="199">
        <f>'Mail Merge'!$E1918+'Mail Merge'!$F1918</f>
        <v>1442820.12</v>
      </c>
      <c r="H1918" s="199">
        <v>0</v>
      </c>
      <c r="I1918" s="199" t="s">
        <v>241</v>
      </c>
      <c r="J1918" s="202">
        <f>IFERROR('Mail Merge'!$E1918/'Mail Merge'!$D1918,0)</f>
        <v>7843.1697297297305</v>
      </c>
      <c r="K1918" s="199">
        <f>IFERROR('Mail Merge'!$F1918/'Mail Merge'!$D1918,0)</f>
        <v>1905.6148648648648</v>
      </c>
      <c r="L1918" s="203">
        <f>IFERROR('Mail Merge'!$G1918/'Mail Merge'!$D1918,0)</f>
        <v>9748.7845945945955</v>
      </c>
      <c r="M1918" s="199">
        <v>-310359.54653846141</v>
      </c>
      <c r="N1918" s="199" t="s">
        <v>240</v>
      </c>
      <c r="O1918" s="199">
        <v>196451.27</v>
      </c>
      <c r="P1918" s="199">
        <v>1049.21</v>
      </c>
      <c r="Q1918" s="199">
        <f>'Mail Merge'!$O1918+'Mail Merge'!$P1918</f>
        <v>197500.47999999998</v>
      </c>
      <c r="R1918" s="199"/>
      <c r="S1918" s="199">
        <v>0</v>
      </c>
      <c r="T1918" s="199">
        <v>515.01</v>
      </c>
      <c r="U1918" s="199">
        <f>IF(AND('Mail Merge'!$I1918="Did Not Meet",'Mail Merge'!$N1918="Did Not Meet"),MIN(ABS('Mail Merge'!$H1918),ABS('Mail Merge'!$M1918),'Mail Merge'!$Q1918),0)</f>
        <v>0</v>
      </c>
      <c r="V1918" s="199" t="str">
        <f>IF(OR(IFERROR(SEARCH("Met",'Mail Merge'!$N1918),0)&gt;0,IFERROR(SEARCH("Met",'Mail Merge'!$I1918),0)&gt;0),"Met","Not Met")</f>
        <v>Met</v>
      </c>
    </row>
    <row r="1919" spans="1:22" x14ac:dyDescent="0.35">
      <c r="A1919" s="200" t="s">
        <v>167</v>
      </c>
      <c r="B1919" s="201">
        <v>2062</v>
      </c>
      <c r="C1919" s="201" t="s">
        <v>1537</v>
      </c>
      <c r="D1919" s="201">
        <v>4</v>
      </c>
      <c r="E1919" s="201">
        <v>0</v>
      </c>
      <c r="F1919" s="201">
        <v>28738.02</v>
      </c>
      <c r="G1919" s="201">
        <f>'Mail Merge'!$E1919+'Mail Merge'!$F1919</f>
        <v>28738.02</v>
      </c>
      <c r="H1919" s="201">
        <v>0</v>
      </c>
      <c r="I1919" s="201" t="s">
        <v>241</v>
      </c>
      <c r="J1919" s="204">
        <f>IFERROR('Mail Merge'!$E1919/'Mail Merge'!$D1919,0)</f>
        <v>0</v>
      </c>
      <c r="K1919" s="201">
        <f>IFERROR('Mail Merge'!$F1919/'Mail Merge'!$D1919,0)</f>
        <v>7184.5050000000001</v>
      </c>
      <c r="L1919" s="205">
        <f>IFERROR('Mail Merge'!$G1919/'Mail Merge'!$D1919,0)</f>
        <v>7184.5050000000001</v>
      </c>
      <c r="M1919" s="201">
        <v>0</v>
      </c>
      <c r="N1919" s="201" t="s">
        <v>241</v>
      </c>
      <c r="O1919" s="201">
        <v>2637.87</v>
      </c>
      <c r="P1919" s="201">
        <v>2.38</v>
      </c>
      <c r="Q1919" s="201">
        <f>'Mail Merge'!$O1919+'Mail Merge'!$P1919</f>
        <v>2640.25</v>
      </c>
      <c r="R1919" s="201"/>
      <c r="S1919" s="201">
        <v>0</v>
      </c>
      <c r="T1919" s="201"/>
      <c r="U1919" s="201">
        <f>IF(AND('Mail Merge'!$I1919="Did Not Meet",'Mail Merge'!$N1919="Did Not Meet"),MIN(ABS('Mail Merge'!$H1919),ABS('Mail Merge'!$M1919),'Mail Merge'!$Q1919),0)</f>
        <v>0</v>
      </c>
      <c r="V1919" s="201" t="str">
        <f>IF(OR(IFERROR(SEARCH("Met",'Mail Merge'!$N1919),0)&gt;0,IFERROR(SEARCH("Met",'Mail Merge'!$I1919),0)&gt;0),"Met","Not Met")</f>
        <v>Met</v>
      </c>
    </row>
    <row r="1920" spans="1:22" x14ac:dyDescent="0.35">
      <c r="A1920" s="198" t="s">
        <v>168</v>
      </c>
      <c r="B1920" s="199">
        <v>1973</v>
      </c>
      <c r="C1920" s="199" t="s">
        <v>1537</v>
      </c>
      <c r="D1920" s="199">
        <v>25</v>
      </c>
      <c r="E1920" s="199">
        <v>186579</v>
      </c>
      <c r="F1920" s="199">
        <v>128859.97</v>
      </c>
      <c r="G1920" s="199">
        <f>'Mail Merge'!$E1920+'Mail Merge'!$F1920</f>
        <v>315438.96999999997</v>
      </c>
      <c r="H1920" s="199">
        <v>0</v>
      </c>
      <c r="I1920" s="199" t="s">
        <v>241</v>
      </c>
      <c r="J1920" s="202">
        <f>IFERROR('Mail Merge'!$E1920/'Mail Merge'!$D1920,0)</f>
        <v>7463.16</v>
      </c>
      <c r="K1920" s="199">
        <f>IFERROR('Mail Merge'!$F1920/'Mail Merge'!$D1920,0)</f>
        <v>5154.3987999999999</v>
      </c>
      <c r="L1920" s="203">
        <f>IFERROR('Mail Merge'!$G1920/'Mail Merge'!$D1920,0)</f>
        <v>12617.558799999999</v>
      </c>
      <c r="M1920" s="199">
        <v>-99219.240526315843</v>
      </c>
      <c r="N1920" s="199" t="s">
        <v>240</v>
      </c>
      <c r="O1920" s="199">
        <v>66858.28</v>
      </c>
      <c r="P1920" s="199">
        <v>986.72</v>
      </c>
      <c r="Q1920" s="199">
        <f>'Mail Merge'!$O1920+'Mail Merge'!$P1920</f>
        <v>67845</v>
      </c>
      <c r="R1920" s="199"/>
      <c r="S1920" s="199">
        <v>0</v>
      </c>
      <c r="T1920" s="199">
        <v>0</v>
      </c>
      <c r="U1920" s="199">
        <f>IF(AND('Mail Merge'!$I1920="Did Not Meet",'Mail Merge'!$N1920="Did Not Meet"),MIN(ABS('Mail Merge'!$H1920),ABS('Mail Merge'!$M1920),'Mail Merge'!$Q1920),0)</f>
        <v>0</v>
      </c>
      <c r="V1920" s="199" t="str">
        <f>IF(OR(IFERROR(SEARCH("Met",'Mail Merge'!$N1920),0)&gt;0,IFERROR(SEARCH("Met",'Mail Merge'!$I1920),0)&gt;0),"Met","Not Met")</f>
        <v>Met</v>
      </c>
    </row>
    <row r="1921" spans="1:22" x14ac:dyDescent="0.35">
      <c r="A1921" s="200" t="s">
        <v>169</v>
      </c>
      <c r="B1921" s="201">
        <v>2180</v>
      </c>
      <c r="C1921" s="201" t="s">
        <v>1537</v>
      </c>
      <c r="D1921" s="201">
        <v>7560</v>
      </c>
      <c r="E1921" s="201">
        <v>101818464.75</v>
      </c>
      <c r="F1921" s="201">
        <v>2301408.35</v>
      </c>
      <c r="G1921" s="201">
        <f>'Mail Merge'!$E1921+'Mail Merge'!$F1921</f>
        <v>104119873.09999999</v>
      </c>
      <c r="H1921" s="201">
        <v>0</v>
      </c>
      <c r="I1921" s="201" t="s">
        <v>241</v>
      </c>
      <c r="J1921" s="204">
        <f>IFERROR('Mail Merge'!$E1921/'Mail Merge'!$D1921,0)</f>
        <v>13468.050892857143</v>
      </c>
      <c r="K1921" s="201">
        <f>IFERROR('Mail Merge'!$F1921/'Mail Merge'!$D1921,0)</f>
        <v>304.41909391534392</v>
      </c>
      <c r="L1921" s="205">
        <f>IFERROR('Mail Merge'!$G1921/'Mail Merge'!$D1921,0)</f>
        <v>13772.469986772487</v>
      </c>
      <c r="M1921" s="201">
        <v>0</v>
      </c>
      <c r="N1921" s="201" t="s">
        <v>241</v>
      </c>
      <c r="O1921" s="201">
        <v>8145381.4500000002</v>
      </c>
      <c r="P1921" s="201">
        <v>91718.86</v>
      </c>
      <c r="Q1921" s="201">
        <f>'Mail Merge'!$O1921+'Mail Merge'!$P1921</f>
        <v>8237100.3100000005</v>
      </c>
      <c r="R1921" s="201"/>
      <c r="S1921" s="201">
        <v>0</v>
      </c>
      <c r="T1921" s="201"/>
      <c r="U1921" s="201">
        <f>IF(AND('Mail Merge'!$I1921="Did Not Meet",'Mail Merge'!$N1921="Did Not Meet"),MIN(ABS('Mail Merge'!$H1921),ABS('Mail Merge'!$M1921),'Mail Merge'!$Q1921),0)</f>
        <v>0</v>
      </c>
      <c r="V1921" s="201" t="str">
        <f>IF(OR(IFERROR(SEARCH("Met",'Mail Merge'!$N1921),0)&gt;0,IFERROR(SEARCH("Met",'Mail Merge'!$I1921),0)&gt;0),"Met","Not Met")</f>
        <v>Met</v>
      </c>
    </row>
    <row r="1922" spans="1:22" x14ac:dyDescent="0.35">
      <c r="A1922" s="198" t="s">
        <v>170</v>
      </c>
      <c r="B1922" s="199">
        <v>1967</v>
      </c>
      <c r="C1922" s="199" t="s">
        <v>1537</v>
      </c>
      <c r="D1922" s="199">
        <v>21</v>
      </c>
      <c r="E1922" s="199">
        <v>60347.08</v>
      </c>
      <c r="F1922" s="199">
        <v>31670.27</v>
      </c>
      <c r="G1922" s="199">
        <f>'Mail Merge'!$E1922+'Mail Merge'!$F1922</f>
        <v>92017.35</v>
      </c>
      <c r="H1922" s="199">
        <v>0</v>
      </c>
      <c r="I1922" s="199" t="s">
        <v>241</v>
      </c>
      <c r="J1922" s="202">
        <f>IFERROR('Mail Merge'!$E1922/'Mail Merge'!$D1922,0)</f>
        <v>2873.6704761904762</v>
      </c>
      <c r="K1922" s="199">
        <f>IFERROR('Mail Merge'!$F1922/'Mail Merge'!$D1922,0)</f>
        <v>1508.1080952380953</v>
      </c>
      <c r="L1922" s="203">
        <f>IFERROR('Mail Merge'!$G1922/'Mail Merge'!$D1922,0)</f>
        <v>4381.7785714285719</v>
      </c>
      <c r="M1922" s="199">
        <v>-65516.57999999998</v>
      </c>
      <c r="N1922" s="199" t="s">
        <v>240</v>
      </c>
      <c r="O1922" s="199">
        <v>28975.51</v>
      </c>
      <c r="P1922" s="199">
        <v>40.35</v>
      </c>
      <c r="Q1922" s="199">
        <f>'Mail Merge'!$O1922+'Mail Merge'!$P1922</f>
        <v>29015.859999999997</v>
      </c>
      <c r="R1922" s="199"/>
      <c r="S1922" s="199">
        <v>0</v>
      </c>
      <c r="T1922" s="199">
        <v>1708.05</v>
      </c>
      <c r="U1922" s="199">
        <f>IF(AND('Mail Merge'!$I1922="Did Not Meet",'Mail Merge'!$N1922="Did Not Meet"),MIN(ABS('Mail Merge'!$H1922),ABS('Mail Merge'!$M1922),'Mail Merge'!$Q1922),0)</f>
        <v>0</v>
      </c>
      <c r="V1922" s="199" t="str">
        <f>IF(OR(IFERROR(SEARCH("Met",'Mail Merge'!$N1922),0)&gt;0,IFERROR(SEARCH("Met",'Mail Merge'!$I1922),0)&gt;0),"Met","Not Met")</f>
        <v>Met</v>
      </c>
    </row>
    <row r="1923" spans="1:22" x14ac:dyDescent="0.35">
      <c r="A1923" s="200" t="s">
        <v>171</v>
      </c>
      <c r="B1923" s="201">
        <v>2009</v>
      </c>
      <c r="C1923" s="201" t="s">
        <v>1537</v>
      </c>
      <c r="D1923" s="201">
        <v>28</v>
      </c>
      <c r="E1923" s="201">
        <v>170412.43</v>
      </c>
      <c r="F1923" s="201">
        <v>92119.86</v>
      </c>
      <c r="G1923" s="201">
        <f>'Mail Merge'!$E1923+'Mail Merge'!$F1923</f>
        <v>262532.28999999998</v>
      </c>
      <c r="H1923" s="201">
        <v>0</v>
      </c>
      <c r="I1923" s="201" t="s">
        <v>241</v>
      </c>
      <c r="J1923" s="204">
        <f>IFERROR('Mail Merge'!$E1923/'Mail Merge'!$D1923,0)</f>
        <v>6086.1582142857142</v>
      </c>
      <c r="K1923" s="201">
        <f>IFERROR('Mail Merge'!$F1923/'Mail Merge'!$D1923,0)</f>
        <v>3289.9949999999999</v>
      </c>
      <c r="L1923" s="205">
        <f>IFERROR('Mail Merge'!$G1923/'Mail Merge'!$D1923,0)</f>
        <v>9376.1532142857141</v>
      </c>
      <c r="M1923" s="201">
        <v>-80355.093999999983</v>
      </c>
      <c r="N1923" s="201" t="s">
        <v>240</v>
      </c>
      <c r="O1923" s="201">
        <v>31442.73</v>
      </c>
      <c r="P1923" s="201">
        <v>1456.64</v>
      </c>
      <c r="Q1923" s="201">
        <f>'Mail Merge'!$O1923+'Mail Merge'!$P1923</f>
        <v>32899.370000000003</v>
      </c>
      <c r="R1923" s="201"/>
      <c r="S1923" s="201">
        <v>0</v>
      </c>
      <c r="T1923" s="201">
        <v>0</v>
      </c>
      <c r="U1923" s="201">
        <f>IF(AND('Mail Merge'!$I1923="Did Not Meet",'Mail Merge'!$N1923="Did Not Meet"),MIN(ABS('Mail Merge'!$H1923),ABS('Mail Merge'!$M1923),'Mail Merge'!$Q1923),0)</f>
        <v>0</v>
      </c>
      <c r="V1923" s="201" t="str">
        <f>IF(OR(IFERROR(SEARCH("Met",'Mail Merge'!$N1923),0)&gt;0,IFERROR(SEARCH("Met",'Mail Merge'!$I1923),0)&gt;0),"Met","Not Met")</f>
        <v>Met</v>
      </c>
    </row>
    <row r="1924" spans="1:22" x14ac:dyDescent="0.35">
      <c r="A1924" s="198" t="s">
        <v>172</v>
      </c>
      <c r="B1924" s="199">
        <v>2045</v>
      </c>
      <c r="C1924" s="199" t="s">
        <v>1537</v>
      </c>
      <c r="D1924" s="199">
        <v>25</v>
      </c>
      <c r="E1924" s="199">
        <v>189273.23</v>
      </c>
      <c r="F1924" s="199">
        <v>100232.86</v>
      </c>
      <c r="G1924" s="199">
        <f>'Mail Merge'!$E1924+'Mail Merge'!$F1924</f>
        <v>289506.09000000003</v>
      </c>
      <c r="H1924" s="199">
        <v>0</v>
      </c>
      <c r="I1924" s="199" t="s">
        <v>241</v>
      </c>
      <c r="J1924" s="202">
        <f>IFERROR('Mail Merge'!$E1924/'Mail Merge'!$D1924,0)</f>
        <v>7570.9292000000005</v>
      </c>
      <c r="K1924" s="199">
        <f>IFERROR('Mail Merge'!$F1924/'Mail Merge'!$D1924,0)</f>
        <v>4009.3144000000002</v>
      </c>
      <c r="L1924" s="203">
        <f>IFERROR('Mail Merge'!$G1924/'Mail Merge'!$D1924,0)</f>
        <v>11580.243600000002</v>
      </c>
      <c r="M1924" s="199">
        <v>-71252.630588235246</v>
      </c>
      <c r="N1924" s="199" t="s">
        <v>240</v>
      </c>
      <c r="O1924" s="199">
        <v>37568.33</v>
      </c>
      <c r="P1924" s="199">
        <v>543.77</v>
      </c>
      <c r="Q1924" s="199">
        <f>'Mail Merge'!$O1924+'Mail Merge'!$P1924</f>
        <v>38112.1</v>
      </c>
      <c r="R1924" s="199"/>
      <c r="S1924" s="199">
        <v>0</v>
      </c>
      <c r="T1924" s="199">
        <v>3636.41</v>
      </c>
      <c r="U1924" s="199">
        <f>IF(AND('Mail Merge'!$I1924="Did Not Meet",'Mail Merge'!$N1924="Did Not Meet"),MIN(ABS('Mail Merge'!$H1924),ABS('Mail Merge'!$M1924),'Mail Merge'!$Q1924),0)</f>
        <v>0</v>
      </c>
      <c r="V1924" s="199" t="str">
        <f>IF(OR(IFERROR(SEARCH("Met",'Mail Merge'!$N1924),0)&gt;0,IFERROR(SEARCH("Met",'Mail Merge'!$I1924),0)&gt;0),"Met","Not Met")</f>
        <v>Met</v>
      </c>
    </row>
    <row r="1925" spans="1:22" x14ac:dyDescent="0.35">
      <c r="A1925" s="200" t="s">
        <v>173</v>
      </c>
      <c r="B1925" s="201">
        <v>1946</v>
      </c>
      <c r="C1925" s="201" t="s">
        <v>1537</v>
      </c>
      <c r="D1925" s="201">
        <v>157</v>
      </c>
      <c r="E1925" s="201">
        <v>1570894.24</v>
      </c>
      <c r="F1925" s="201">
        <v>156304</v>
      </c>
      <c r="G1925" s="201">
        <f>'Mail Merge'!$E1925+'Mail Merge'!$F1925</f>
        <v>1727198.24</v>
      </c>
      <c r="H1925" s="201">
        <v>0</v>
      </c>
      <c r="I1925" s="201" t="s">
        <v>241</v>
      </c>
      <c r="J1925" s="204">
        <f>IFERROR('Mail Merge'!$E1925/'Mail Merge'!$D1925,0)</f>
        <v>10005.695796178345</v>
      </c>
      <c r="K1925" s="201">
        <f>IFERROR('Mail Merge'!$F1925/'Mail Merge'!$D1925,0)</f>
        <v>995.56687898089172</v>
      </c>
      <c r="L1925" s="205">
        <f>IFERROR('Mail Merge'!$G1925/'Mail Merge'!$D1925,0)</f>
        <v>11001.262675159236</v>
      </c>
      <c r="M1925" s="201">
        <v>-497907.61719298229</v>
      </c>
      <c r="N1925" s="201" t="s">
        <v>240</v>
      </c>
      <c r="O1925" s="201">
        <v>198622.49</v>
      </c>
      <c r="P1925" s="201">
        <v>1977.03</v>
      </c>
      <c r="Q1925" s="201">
        <f>'Mail Merge'!$O1925+'Mail Merge'!$P1925</f>
        <v>200599.52</v>
      </c>
      <c r="R1925" s="201"/>
      <c r="S1925" s="201">
        <v>0</v>
      </c>
      <c r="T1925" s="201">
        <v>0</v>
      </c>
      <c r="U1925" s="201">
        <f>IF(AND('Mail Merge'!$I1925="Did Not Meet",'Mail Merge'!$N1925="Did Not Meet"),MIN(ABS('Mail Merge'!$H1925),ABS('Mail Merge'!$M1925),'Mail Merge'!$Q1925),0)</f>
        <v>0</v>
      </c>
      <c r="V1925" s="201" t="str">
        <f>IF(OR(IFERROR(SEARCH("Met",'Mail Merge'!$N1925),0)&gt;0,IFERROR(SEARCH("Met",'Mail Merge'!$I1925),0)&gt;0),"Met","Not Met")</f>
        <v>Met</v>
      </c>
    </row>
    <row r="1926" spans="1:22" x14ac:dyDescent="0.35">
      <c r="A1926" s="198" t="s">
        <v>174</v>
      </c>
      <c r="B1926" s="199">
        <v>1977</v>
      </c>
      <c r="C1926" s="199" t="s">
        <v>1537</v>
      </c>
      <c r="D1926" s="199">
        <v>957</v>
      </c>
      <c r="E1926" s="199">
        <v>12245320.380000001</v>
      </c>
      <c r="F1926" s="199">
        <v>1249717.51</v>
      </c>
      <c r="G1926" s="199">
        <f>'Mail Merge'!$E1926+'Mail Merge'!$F1926</f>
        <v>13495037.890000001</v>
      </c>
      <c r="H1926" s="199">
        <v>0</v>
      </c>
      <c r="I1926" s="199" t="s">
        <v>241</v>
      </c>
      <c r="J1926" s="202">
        <f>IFERROR('Mail Merge'!$E1926/'Mail Merge'!$D1926,0)</f>
        <v>12795.528087774295</v>
      </c>
      <c r="K1926" s="199">
        <f>IFERROR('Mail Merge'!$F1926/'Mail Merge'!$D1926,0)</f>
        <v>1305.8699164054337</v>
      </c>
      <c r="L1926" s="203">
        <f>IFERROR('Mail Merge'!$G1926/'Mail Merge'!$D1926,0)</f>
        <v>14101.398004179729</v>
      </c>
      <c r="M1926" s="199">
        <v>0</v>
      </c>
      <c r="N1926" s="199" t="s">
        <v>241</v>
      </c>
      <c r="O1926" s="199">
        <v>1094255.6100000001</v>
      </c>
      <c r="P1926" s="199">
        <v>10148.84</v>
      </c>
      <c r="Q1926" s="199">
        <f>'Mail Merge'!$O1926+'Mail Merge'!$P1926</f>
        <v>1104404.4500000002</v>
      </c>
      <c r="R1926" s="199"/>
      <c r="S1926" s="199">
        <v>0</v>
      </c>
      <c r="T1926" s="199"/>
      <c r="U1926" s="199">
        <f>IF(AND('Mail Merge'!$I1926="Did Not Meet",'Mail Merge'!$N1926="Did Not Meet"),MIN(ABS('Mail Merge'!$H1926),ABS('Mail Merge'!$M1926),'Mail Merge'!$Q1926),0)</f>
        <v>0</v>
      </c>
      <c r="V1926" s="199" t="str">
        <f>IF(OR(IFERROR(SEARCH("Met",'Mail Merge'!$N1926),0)&gt;0,IFERROR(SEARCH("Met",'Mail Merge'!$I1926),0)&gt;0),"Met","Not Met")</f>
        <v>Met</v>
      </c>
    </row>
    <row r="1927" spans="1:22" x14ac:dyDescent="0.35">
      <c r="A1927" s="200" t="s">
        <v>175</v>
      </c>
      <c r="B1927" s="201">
        <v>2001</v>
      </c>
      <c r="C1927" s="201" t="s">
        <v>1537</v>
      </c>
      <c r="D1927" s="201">
        <v>116</v>
      </c>
      <c r="E1927" s="201">
        <v>1594255.29</v>
      </c>
      <c r="F1927" s="201">
        <v>276453.51</v>
      </c>
      <c r="G1927" s="201">
        <f>'Mail Merge'!$E1927+'Mail Merge'!$F1927</f>
        <v>1870708.8</v>
      </c>
      <c r="H1927" s="201">
        <v>0</v>
      </c>
      <c r="I1927" s="201" t="s">
        <v>241</v>
      </c>
      <c r="J1927" s="204">
        <f>IFERROR('Mail Merge'!$E1927/'Mail Merge'!$D1927,0)</f>
        <v>13743.580086206897</v>
      </c>
      <c r="K1927" s="201">
        <f>IFERROR('Mail Merge'!$F1927/'Mail Merge'!$D1927,0)</f>
        <v>2383.2199137931034</v>
      </c>
      <c r="L1927" s="205">
        <f>IFERROR('Mail Merge'!$G1927/'Mail Merge'!$D1927,0)</f>
        <v>16126.800000000001</v>
      </c>
      <c r="M1927" s="201">
        <v>0</v>
      </c>
      <c r="N1927" s="201" t="s">
        <v>241</v>
      </c>
      <c r="O1927" s="201">
        <v>136795.96</v>
      </c>
      <c r="P1927" s="201">
        <v>2937.15</v>
      </c>
      <c r="Q1927" s="201">
        <f>'Mail Merge'!$O1927+'Mail Merge'!$P1927</f>
        <v>139733.10999999999</v>
      </c>
      <c r="R1927" s="201"/>
      <c r="S1927" s="201">
        <v>0</v>
      </c>
      <c r="T1927" s="201"/>
      <c r="U1927" s="201">
        <f>IF(AND('Mail Merge'!$I1927="Did Not Meet",'Mail Merge'!$N1927="Did Not Meet"),MIN(ABS('Mail Merge'!$H1927),ABS('Mail Merge'!$M1927),'Mail Merge'!$Q1927),0)</f>
        <v>0</v>
      </c>
      <c r="V1927" s="201" t="str">
        <f>IF(OR(IFERROR(SEARCH("Met",'Mail Merge'!$N1927),0)&gt;0,IFERROR(SEARCH("Met",'Mail Merge'!$I1927),0)&gt;0),"Met","Not Met")</f>
        <v>Met</v>
      </c>
    </row>
    <row r="1928" spans="1:22" x14ac:dyDescent="0.35">
      <c r="A1928" s="198" t="s">
        <v>176</v>
      </c>
      <c r="B1928" s="199">
        <v>2182</v>
      </c>
      <c r="C1928" s="199" t="s">
        <v>1537</v>
      </c>
      <c r="D1928" s="199">
        <v>1782</v>
      </c>
      <c r="E1928" s="199">
        <v>21433872.739999998</v>
      </c>
      <c r="F1928" s="199">
        <v>2103937.34</v>
      </c>
      <c r="G1928" s="199">
        <f>'Mail Merge'!$E1928+'Mail Merge'!$F1928</f>
        <v>23537810.079999998</v>
      </c>
      <c r="H1928" s="199">
        <v>0</v>
      </c>
      <c r="I1928" s="199" t="s">
        <v>241</v>
      </c>
      <c r="J1928" s="202">
        <f>IFERROR('Mail Merge'!$E1928/'Mail Merge'!$D1928,0)</f>
        <v>12027.98694725028</v>
      </c>
      <c r="K1928" s="199">
        <f>IFERROR('Mail Merge'!$F1928/'Mail Merge'!$D1928,0)</f>
        <v>1180.6606846240179</v>
      </c>
      <c r="L1928" s="203">
        <f>IFERROR('Mail Merge'!$G1928/'Mail Merge'!$D1928,0)</f>
        <v>13208.647631874297</v>
      </c>
      <c r="M1928" s="199">
        <v>-238160.98387755448</v>
      </c>
      <c r="N1928" s="199" t="s">
        <v>240</v>
      </c>
      <c r="O1928" s="199">
        <v>1719810.98</v>
      </c>
      <c r="P1928" s="199">
        <v>10750.31</v>
      </c>
      <c r="Q1928" s="199">
        <f>'Mail Merge'!$O1928+'Mail Merge'!$P1928</f>
        <v>1730561.29</v>
      </c>
      <c r="R1928" s="199"/>
      <c r="S1928" s="199">
        <v>0</v>
      </c>
      <c r="T1928" s="199">
        <v>0</v>
      </c>
      <c r="U1928" s="199">
        <f>IF(AND('Mail Merge'!$I1928="Did Not Meet",'Mail Merge'!$N1928="Did Not Meet"),MIN(ABS('Mail Merge'!$H1928),ABS('Mail Merge'!$M1928),'Mail Merge'!$Q1928),0)</f>
        <v>0</v>
      </c>
      <c r="V1928" s="199" t="str">
        <f>IF(OR(IFERROR(SEARCH("Met",'Mail Merge'!$N1928),0)&gt;0,IFERROR(SEARCH("Met",'Mail Merge'!$I1928),0)&gt;0),"Met","Not Met")</f>
        <v>Met</v>
      </c>
    </row>
    <row r="1929" spans="1:22" x14ac:dyDescent="0.35">
      <c r="A1929" s="200" t="s">
        <v>177</v>
      </c>
      <c r="B1929" s="201">
        <v>1999</v>
      </c>
      <c r="C1929" s="201" t="s">
        <v>1537</v>
      </c>
      <c r="D1929" s="201">
        <v>63</v>
      </c>
      <c r="E1929" s="201">
        <v>479863.89</v>
      </c>
      <c r="F1929" s="201">
        <v>139972.07999999999</v>
      </c>
      <c r="G1929" s="201">
        <f>'Mail Merge'!$E1929+'Mail Merge'!$F1929</f>
        <v>619835.97</v>
      </c>
      <c r="H1929" s="201">
        <v>0</v>
      </c>
      <c r="I1929" s="201" t="s">
        <v>241</v>
      </c>
      <c r="J1929" s="204">
        <f>IFERROR('Mail Merge'!$E1929/'Mail Merge'!$D1929,0)</f>
        <v>7616.8871428571429</v>
      </c>
      <c r="K1929" s="201">
        <f>IFERROR('Mail Merge'!$F1929/'Mail Merge'!$D1929,0)</f>
        <v>2221.7790476190476</v>
      </c>
      <c r="L1929" s="205">
        <f>IFERROR('Mail Merge'!$G1929/'Mail Merge'!$D1929,0)</f>
        <v>9838.6661904761895</v>
      </c>
      <c r="M1929" s="201">
        <v>0</v>
      </c>
      <c r="N1929" s="201" t="s">
        <v>241</v>
      </c>
      <c r="O1929" s="201">
        <v>68262.080000000002</v>
      </c>
      <c r="P1929" s="201">
        <v>23.85</v>
      </c>
      <c r="Q1929" s="201">
        <f>'Mail Merge'!$O1929+'Mail Merge'!$P1929</f>
        <v>68285.930000000008</v>
      </c>
      <c r="R1929" s="201"/>
      <c r="S1929" s="201">
        <v>0</v>
      </c>
      <c r="T1929" s="201"/>
      <c r="U1929" s="201">
        <f>IF(AND('Mail Merge'!$I1929="Did Not Meet",'Mail Merge'!$N1929="Did Not Meet"),MIN(ABS('Mail Merge'!$H1929),ABS('Mail Merge'!$M1929),'Mail Merge'!$Q1929),0)</f>
        <v>0</v>
      </c>
      <c r="V1929" s="201" t="str">
        <f>IF(OR(IFERROR(SEARCH("Met",'Mail Merge'!$N1929),0)&gt;0,IFERROR(SEARCH("Met",'Mail Merge'!$I1929),0)&gt;0),"Met","Not Met")</f>
        <v>Met</v>
      </c>
    </row>
    <row r="1930" spans="1:22" x14ac:dyDescent="0.35">
      <c r="A1930" s="198" t="s">
        <v>178</v>
      </c>
      <c r="B1930" s="199">
        <v>2188</v>
      </c>
      <c r="C1930" s="199" t="s">
        <v>1537</v>
      </c>
      <c r="D1930" s="199">
        <v>53</v>
      </c>
      <c r="E1930" s="199">
        <v>449447.08</v>
      </c>
      <c r="F1930" s="199">
        <v>310032.65000000002</v>
      </c>
      <c r="G1930" s="199">
        <f>'Mail Merge'!$E1930+'Mail Merge'!$F1930</f>
        <v>759479.73</v>
      </c>
      <c r="H1930" s="199">
        <v>0</v>
      </c>
      <c r="I1930" s="199" t="s">
        <v>241</v>
      </c>
      <c r="J1930" s="202">
        <f>IFERROR('Mail Merge'!$E1930/'Mail Merge'!$D1930,0)</f>
        <v>8480.1335849056613</v>
      </c>
      <c r="K1930" s="199">
        <f>IFERROR('Mail Merge'!$F1930/'Mail Merge'!$D1930,0)</f>
        <v>5849.6726415094345</v>
      </c>
      <c r="L1930" s="203">
        <f>IFERROR('Mail Merge'!$G1930/'Mail Merge'!$D1930,0)</f>
        <v>14329.806226415094</v>
      </c>
      <c r="M1930" s="199">
        <v>0</v>
      </c>
      <c r="N1930" s="199" t="s">
        <v>241</v>
      </c>
      <c r="O1930" s="199">
        <v>69870.070000000007</v>
      </c>
      <c r="P1930" s="199">
        <v>553.79999999999995</v>
      </c>
      <c r="Q1930" s="199">
        <f>'Mail Merge'!$O1930+'Mail Merge'!$P1930</f>
        <v>70423.87000000001</v>
      </c>
      <c r="R1930" s="199"/>
      <c r="S1930" s="199">
        <v>0</v>
      </c>
      <c r="T1930" s="199"/>
      <c r="U1930" s="199">
        <f>IF(AND('Mail Merge'!$I1930="Did Not Meet",'Mail Merge'!$N1930="Did Not Meet"),MIN(ABS('Mail Merge'!$H1930),ABS('Mail Merge'!$M1930),'Mail Merge'!$Q1930),0)</f>
        <v>0</v>
      </c>
      <c r="V1930" s="199" t="str">
        <f>IF(OR(IFERROR(SEARCH("Met",'Mail Merge'!$N1930),0)&gt;0,IFERROR(SEARCH("Met",'Mail Merge'!$I1930),0)&gt;0),"Met","Not Met")</f>
        <v>Met</v>
      </c>
    </row>
    <row r="1931" spans="1:22" x14ac:dyDescent="0.35">
      <c r="A1931" s="200" t="s">
        <v>179</v>
      </c>
      <c r="B1931" s="201">
        <v>2044</v>
      </c>
      <c r="C1931" s="201" t="s">
        <v>1537</v>
      </c>
      <c r="D1931" s="201">
        <v>184</v>
      </c>
      <c r="E1931" s="201">
        <v>1273410.54</v>
      </c>
      <c r="F1931" s="201">
        <v>465985.37</v>
      </c>
      <c r="G1931" s="201">
        <f>'Mail Merge'!$E1931+'Mail Merge'!$F1931</f>
        <v>1739395.9100000001</v>
      </c>
      <c r="H1931" s="201">
        <v>0</v>
      </c>
      <c r="I1931" s="201" t="s">
        <v>241</v>
      </c>
      <c r="J1931" s="204">
        <f>IFERROR('Mail Merge'!$E1931/'Mail Merge'!$D1931,0)</f>
        <v>6920.7094565217394</v>
      </c>
      <c r="K1931" s="201">
        <f>IFERROR('Mail Merge'!$F1931/'Mail Merge'!$D1931,0)</f>
        <v>2532.5291847826088</v>
      </c>
      <c r="L1931" s="205">
        <f>IFERROR('Mail Merge'!$G1931/'Mail Merge'!$D1931,0)</f>
        <v>9453.2386413043478</v>
      </c>
      <c r="M1931" s="201">
        <v>-141734.21611764684</v>
      </c>
      <c r="N1931" s="201" t="s">
        <v>240</v>
      </c>
      <c r="O1931" s="201">
        <v>175499.17</v>
      </c>
      <c r="P1931" s="201">
        <v>1518.34</v>
      </c>
      <c r="Q1931" s="201">
        <f>'Mail Merge'!$O1931+'Mail Merge'!$P1931</f>
        <v>177017.51</v>
      </c>
      <c r="R1931" s="201"/>
      <c r="S1931" s="201">
        <v>0</v>
      </c>
      <c r="T1931" s="201">
        <v>0</v>
      </c>
      <c r="U1931" s="201">
        <f>IF(AND('Mail Merge'!$I1931="Did Not Meet",'Mail Merge'!$N1931="Did Not Meet"),MIN(ABS('Mail Merge'!$H1931),ABS('Mail Merge'!$M1931),'Mail Merge'!$Q1931),0)</f>
        <v>0</v>
      </c>
      <c r="V1931" s="201" t="str">
        <f>IF(OR(IFERROR(SEARCH("Met",'Mail Merge'!$N1931),0)&gt;0,IFERROR(SEARCH("Met",'Mail Merge'!$I1931),0)&gt;0),"Met","Not Met")</f>
        <v>Met</v>
      </c>
    </row>
    <row r="1932" spans="1:22" x14ac:dyDescent="0.35">
      <c r="A1932" s="198" t="s">
        <v>180</v>
      </c>
      <c r="B1932" s="199">
        <v>2142</v>
      </c>
      <c r="C1932" s="199" t="s">
        <v>1537</v>
      </c>
      <c r="D1932" s="199">
        <v>6706</v>
      </c>
      <c r="E1932" s="199">
        <v>88919728.859999999</v>
      </c>
      <c r="F1932" s="199">
        <v>0</v>
      </c>
      <c r="G1932" s="199">
        <f>'Mail Merge'!$E1932+'Mail Merge'!$F1932</f>
        <v>88919728.859999999</v>
      </c>
      <c r="H1932" s="199">
        <v>0</v>
      </c>
      <c r="I1932" s="199" t="s">
        <v>241</v>
      </c>
      <c r="J1932" s="202">
        <f>IFERROR('Mail Merge'!$E1932/'Mail Merge'!$D1932,0)</f>
        <v>13259.726940053682</v>
      </c>
      <c r="K1932" s="199">
        <f>IFERROR('Mail Merge'!$F1932/'Mail Merge'!$D1932,0)</f>
        <v>0</v>
      </c>
      <c r="L1932" s="203">
        <f>IFERROR('Mail Merge'!$G1932/'Mail Merge'!$D1932,0)</f>
        <v>13259.726940053682</v>
      </c>
      <c r="M1932" s="199">
        <v>0</v>
      </c>
      <c r="N1932" s="199" t="s">
        <v>241</v>
      </c>
      <c r="O1932" s="199">
        <v>7380013.7699999996</v>
      </c>
      <c r="P1932" s="199">
        <v>37354.18</v>
      </c>
      <c r="Q1932" s="199">
        <f>'Mail Merge'!$O1932+'Mail Merge'!$P1932</f>
        <v>7417367.9499999993</v>
      </c>
      <c r="R1932" s="199"/>
      <c r="S1932" s="199">
        <v>0</v>
      </c>
      <c r="T1932" s="199"/>
      <c r="U1932" s="199">
        <f>IF(AND('Mail Merge'!$I1932="Did Not Meet",'Mail Merge'!$N1932="Did Not Meet"),MIN(ABS('Mail Merge'!$H1932),ABS('Mail Merge'!$M1932),'Mail Merge'!$Q1932),0)</f>
        <v>0</v>
      </c>
      <c r="V1932" s="199" t="str">
        <f>IF(OR(IFERROR(SEARCH("Met",'Mail Merge'!$N1932),0)&gt;0,IFERROR(SEARCH("Met",'Mail Merge'!$I1932),0)&gt;0),"Met","Not Met")</f>
        <v>Met</v>
      </c>
    </row>
    <row r="1933" spans="1:22" x14ac:dyDescent="0.35">
      <c r="A1933" s="200" t="s">
        <v>181</v>
      </c>
      <c r="B1933" s="201">
        <v>2104</v>
      </c>
      <c r="C1933" s="201" t="s">
        <v>1537</v>
      </c>
      <c r="D1933" s="201">
        <v>695</v>
      </c>
      <c r="E1933" s="201">
        <v>5075152.78</v>
      </c>
      <c r="F1933" s="201">
        <v>812100</v>
      </c>
      <c r="G1933" s="201">
        <f>'Mail Merge'!$E1933+'Mail Merge'!$F1933</f>
        <v>5887252.7800000003</v>
      </c>
      <c r="H1933" s="201">
        <v>0</v>
      </c>
      <c r="I1933" s="201" t="s">
        <v>241</v>
      </c>
      <c r="J1933" s="204">
        <f>IFERROR('Mail Merge'!$E1933/'Mail Merge'!$D1933,0)</f>
        <v>7302.3781007194248</v>
      </c>
      <c r="K1933" s="201">
        <f>IFERROR('Mail Merge'!$F1933/'Mail Merge'!$D1933,0)</f>
        <v>1168.4892086330935</v>
      </c>
      <c r="L1933" s="205">
        <f>IFERROR('Mail Merge'!$G1933/'Mail Merge'!$D1933,0)</f>
        <v>8470.8673093525176</v>
      </c>
      <c r="M1933" s="201">
        <v>0</v>
      </c>
      <c r="N1933" s="201" t="s">
        <v>242</v>
      </c>
      <c r="O1933" s="201">
        <v>509974.4</v>
      </c>
      <c r="P1933" s="201">
        <v>2295.33</v>
      </c>
      <c r="Q1933" s="201">
        <f>'Mail Merge'!$O1933+'Mail Merge'!$P1933</f>
        <v>512269.73000000004</v>
      </c>
      <c r="R1933" s="201"/>
      <c r="S1933" s="201">
        <v>0</v>
      </c>
      <c r="T1933" s="201">
        <v>5085.97</v>
      </c>
      <c r="U1933" s="201">
        <f>IF(AND('Mail Merge'!$I1933="Did Not Meet",'Mail Merge'!$N1933="Did Not Meet"),MIN(ABS('Mail Merge'!$H1933),ABS('Mail Merge'!$M1933),'Mail Merge'!$Q1933),0)</f>
        <v>0</v>
      </c>
      <c r="V1933" s="201" t="str">
        <f>IF(OR(IFERROR(SEARCH("Met",'Mail Merge'!$N1933),0)&gt;0,IFERROR(SEARCH("Met",'Mail Merge'!$I1933),0)&gt;0),"Met","Not Met")</f>
        <v>Met</v>
      </c>
    </row>
    <row r="1934" spans="1:22" x14ac:dyDescent="0.35">
      <c r="A1934" s="198" t="s">
        <v>182</v>
      </c>
      <c r="B1934" s="199">
        <v>1944</v>
      </c>
      <c r="C1934" s="199" t="s">
        <v>1537</v>
      </c>
      <c r="D1934" s="199">
        <v>322</v>
      </c>
      <c r="E1934" s="199">
        <v>3369083.14</v>
      </c>
      <c r="F1934" s="199">
        <v>731539</v>
      </c>
      <c r="G1934" s="199">
        <f>'Mail Merge'!$E1934+'Mail Merge'!$F1934</f>
        <v>4100622.14</v>
      </c>
      <c r="H1934" s="199">
        <v>0</v>
      </c>
      <c r="I1934" s="199" t="s">
        <v>241</v>
      </c>
      <c r="J1934" s="202">
        <f>IFERROR('Mail Merge'!$E1934/'Mail Merge'!$D1934,0)</f>
        <v>10462.991118012424</v>
      </c>
      <c r="K1934" s="199">
        <f>IFERROR('Mail Merge'!$F1934/'Mail Merge'!$D1934,0)</f>
        <v>2271.8602484472049</v>
      </c>
      <c r="L1934" s="203">
        <f>IFERROR('Mail Merge'!$G1934/'Mail Merge'!$D1934,0)</f>
        <v>12734.851366459628</v>
      </c>
      <c r="M1934" s="199">
        <v>-284804.38921259815</v>
      </c>
      <c r="N1934" s="199" t="s">
        <v>240</v>
      </c>
      <c r="O1934" s="199">
        <v>348081.91</v>
      </c>
      <c r="P1934" s="199">
        <v>4899.32</v>
      </c>
      <c r="Q1934" s="199">
        <f>'Mail Merge'!$O1934+'Mail Merge'!$P1934</f>
        <v>352981.23</v>
      </c>
      <c r="R1934" s="199"/>
      <c r="S1934" s="199">
        <v>0</v>
      </c>
      <c r="T1934" s="199">
        <v>0</v>
      </c>
      <c r="U1934" s="199">
        <f>IF(AND('Mail Merge'!$I1934="Did Not Meet",'Mail Merge'!$N1934="Did Not Meet"),MIN(ABS('Mail Merge'!$H1934),ABS('Mail Merge'!$M1934),'Mail Merge'!$Q1934),0)</f>
        <v>0</v>
      </c>
      <c r="V1934" s="199" t="str">
        <f>IF(OR(IFERROR(SEARCH("Met",'Mail Merge'!$N1934),0)&gt;0,IFERROR(SEARCH("Met",'Mail Merge'!$I1934),0)&gt;0),"Met","Not Met")</f>
        <v>Met</v>
      </c>
    </row>
    <row r="1935" spans="1:22" x14ac:dyDescent="0.35">
      <c r="A1935" s="200" t="s">
        <v>183</v>
      </c>
      <c r="B1935" s="201">
        <v>2103</v>
      </c>
      <c r="C1935" s="201" t="s">
        <v>1537</v>
      </c>
      <c r="D1935" s="201">
        <v>97</v>
      </c>
      <c r="E1935" s="201">
        <v>515245.19</v>
      </c>
      <c r="F1935" s="201">
        <v>106912</v>
      </c>
      <c r="G1935" s="201">
        <f>'Mail Merge'!$E1935+'Mail Merge'!$F1935</f>
        <v>622157.18999999994</v>
      </c>
      <c r="H1935" s="201">
        <v>0</v>
      </c>
      <c r="I1935" s="201" t="s">
        <v>241</v>
      </c>
      <c r="J1935" s="204">
        <f>IFERROR('Mail Merge'!$E1935/'Mail Merge'!$D1935,0)</f>
        <v>5311.806082474227</v>
      </c>
      <c r="K1935" s="201">
        <f>IFERROR('Mail Merge'!$F1935/'Mail Merge'!$D1935,0)</f>
        <v>1102.1855670103093</v>
      </c>
      <c r="L1935" s="205">
        <f>IFERROR('Mail Merge'!$G1935/'Mail Merge'!$D1935,0)</f>
        <v>6413.9916494845356</v>
      </c>
      <c r="M1935" s="201">
        <v>-204489.49972602742</v>
      </c>
      <c r="N1935" s="201" t="s">
        <v>240</v>
      </c>
      <c r="O1935" s="201">
        <v>130713.87</v>
      </c>
      <c r="P1935" s="201">
        <v>596.01</v>
      </c>
      <c r="Q1935" s="201">
        <f>'Mail Merge'!$O1935+'Mail Merge'!$P1935</f>
        <v>131309.88</v>
      </c>
      <c r="R1935" s="201"/>
      <c r="S1935" s="201">
        <v>0</v>
      </c>
      <c r="T1935" s="201">
        <v>0</v>
      </c>
      <c r="U1935" s="201">
        <f>IF(AND('Mail Merge'!$I1935="Did Not Meet",'Mail Merge'!$N1935="Did Not Meet"),MIN(ABS('Mail Merge'!$H1935),ABS('Mail Merge'!$M1935),'Mail Merge'!$Q1935),0)</f>
        <v>0</v>
      </c>
      <c r="V1935" s="201" t="str">
        <f>IF(OR(IFERROR(SEARCH("Met",'Mail Merge'!$N1935),0)&gt;0,IFERROR(SEARCH("Met",'Mail Merge'!$I1935),0)&gt;0),"Met","Not Met")</f>
        <v>Met</v>
      </c>
    </row>
    <row r="1936" spans="1:22" x14ac:dyDescent="0.35">
      <c r="A1936" s="198" t="s">
        <v>184</v>
      </c>
      <c r="B1936" s="199">
        <v>1935</v>
      </c>
      <c r="C1936" s="199" t="s">
        <v>1537</v>
      </c>
      <c r="D1936" s="199">
        <v>253</v>
      </c>
      <c r="E1936" s="199">
        <v>2747846.82</v>
      </c>
      <c r="F1936" s="199">
        <v>486026</v>
      </c>
      <c r="G1936" s="199">
        <f>'Mail Merge'!$E1936+'Mail Merge'!$F1936</f>
        <v>3233872.82</v>
      </c>
      <c r="H1936" s="199">
        <v>0</v>
      </c>
      <c r="I1936" s="199" t="s">
        <v>241</v>
      </c>
      <c r="J1936" s="202">
        <f>IFERROR('Mail Merge'!$E1936/'Mail Merge'!$D1936,0)</f>
        <v>10861.054624505929</v>
      </c>
      <c r="K1936" s="199">
        <f>IFERROR('Mail Merge'!$F1936/'Mail Merge'!$D1936,0)</f>
        <v>1921.0513833992095</v>
      </c>
      <c r="L1936" s="203">
        <f>IFERROR('Mail Merge'!$G1936/'Mail Merge'!$D1936,0)</f>
        <v>12782.106007905139</v>
      </c>
      <c r="M1936" s="199">
        <v>0</v>
      </c>
      <c r="N1936" s="199" t="s">
        <v>241</v>
      </c>
      <c r="O1936" s="199">
        <v>263649.53000000003</v>
      </c>
      <c r="P1936" s="199">
        <v>3030.24</v>
      </c>
      <c r="Q1936" s="199">
        <f>'Mail Merge'!$O1936+'Mail Merge'!$P1936</f>
        <v>266679.77</v>
      </c>
      <c r="R1936" s="199"/>
      <c r="S1936" s="199">
        <v>0</v>
      </c>
      <c r="T1936" s="199"/>
      <c r="U1936" s="199">
        <f>IF(AND('Mail Merge'!$I1936="Did Not Meet",'Mail Merge'!$N1936="Did Not Meet"),MIN(ABS('Mail Merge'!$H1936),ABS('Mail Merge'!$M1936),'Mail Merge'!$Q1936),0)</f>
        <v>0</v>
      </c>
      <c r="V1936" s="199" t="str">
        <f>IF(OR(IFERROR(SEARCH("Met",'Mail Merge'!$N1936),0)&gt;0,IFERROR(SEARCH("Met",'Mail Merge'!$I1936),0)&gt;0),"Met","Not Met")</f>
        <v>Met</v>
      </c>
    </row>
    <row r="1937" spans="1:22" x14ac:dyDescent="0.35">
      <c r="A1937" s="200" t="s">
        <v>185</v>
      </c>
      <c r="B1937" s="201">
        <v>2257</v>
      </c>
      <c r="C1937" s="201" t="s">
        <v>1537</v>
      </c>
      <c r="D1937" s="201">
        <v>119</v>
      </c>
      <c r="E1937" s="201">
        <v>925815.3</v>
      </c>
      <c r="F1937" s="201">
        <v>213731.94</v>
      </c>
      <c r="G1937" s="201">
        <f>'Mail Merge'!$E1937+'Mail Merge'!$F1937</f>
        <v>1139547.24</v>
      </c>
      <c r="H1937" s="201">
        <v>0</v>
      </c>
      <c r="I1937" s="201" t="s">
        <v>241</v>
      </c>
      <c r="J1937" s="204">
        <f>IFERROR('Mail Merge'!$E1937/'Mail Merge'!$D1937,0)</f>
        <v>7779.960504201681</v>
      </c>
      <c r="K1937" s="201">
        <f>IFERROR('Mail Merge'!$F1937/'Mail Merge'!$D1937,0)</f>
        <v>1796.0667226890757</v>
      </c>
      <c r="L1937" s="205">
        <f>IFERROR('Mail Merge'!$G1937/'Mail Merge'!$D1937,0)</f>
        <v>9576.0272268907556</v>
      </c>
      <c r="M1937" s="201">
        <v>0</v>
      </c>
      <c r="N1937" s="201" t="s">
        <v>242</v>
      </c>
      <c r="O1937" s="201">
        <v>157901.24</v>
      </c>
      <c r="P1937" s="201">
        <v>2445.71</v>
      </c>
      <c r="Q1937" s="201">
        <f>'Mail Merge'!$O1937+'Mail Merge'!$P1937</f>
        <v>160346.94999999998</v>
      </c>
      <c r="R1937" s="201"/>
      <c r="S1937" s="201">
        <v>0</v>
      </c>
      <c r="T1937" s="201">
        <v>2104.85</v>
      </c>
      <c r="U1937" s="201">
        <f>IF(AND('Mail Merge'!$I1937="Did Not Meet",'Mail Merge'!$N1937="Did Not Meet"),MIN(ABS('Mail Merge'!$H1937),ABS('Mail Merge'!$M1937),'Mail Merge'!$Q1937),0)</f>
        <v>0</v>
      </c>
      <c r="V1937" s="201" t="str">
        <f>IF(OR(IFERROR(SEARCH("Met",'Mail Merge'!$N1937),0)&gt;0,IFERROR(SEARCH("Met",'Mail Merge'!$I1937),0)&gt;0),"Met","Not Met")</f>
        <v>Met</v>
      </c>
    </row>
    <row r="1938" spans="1:22" x14ac:dyDescent="0.35">
      <c r="A1938" s="198" t="s">
        <v>186</v>
      </c>
      <c r="B1938" s="199">
        <v>2195</v>
      </c>
      <c r="C1938" s="199" t="s">
        <v>1537</v>
      </c>
      <c r="D1938" s="199">
        <v>40</v>
      </c>
      <c r="E1938" s="199">
        <v>73519.820000000007</v>
      </c>
      <c r="F1938" s="199">
        <v>225354</v>
      </c>
      <c r="G1938" s="199">
        <f>'Mail Merge'!$E1938+'Mail Merge'!$F1938</f>
        <v>298873.82</v>
      </c>
      <c r="H1938" s="199">
        <v>0</v>
      </c>
      <c r="I1938" s="199" t="s">
        <v>242</v>
      </c>
      <c r="J1938" s="202">
        <f>IFERROR('Mail Merge'!$E1938/'Mail Merge'!$D1938,0)</f>
        <v>1837.9955000000002</v>
      </c>
      <c r="K1938" s="199">
        <f>IFERROR('Mail Merge'!$F1938/'Mail Merge'!$D1938,0)</f>
        <v>5633.85</v>
      </c>
      <c r="L1938" s="203">
        <f>IFERROR('Mail Merge'!$G1938/'Mail Merge'!$D1938,0)</f>
        <v>7471.8455000000004</v>
      </c>
      <c r="M1938" s="199">
        <v>-5903.8481704260375</v>
      </c>
      <c r="N1938" s="199" t="s">
        <v>240</v>
      </c>
      <c r="O1938" s="199">
        <v>44609.35</v>
      </c>
      <c r="P1938" s="199">
        <v>495.28</v>
      </c>
      <c r="Q1938" s="199">
        <f>'Mail Merge'!$O1938+'Mail Merge'!$P1938</f>
        <v>45104.63</v>
      </c>
      <c r="R1938" s="199"/>
      <c r="S1938" s="199">
        <v>14580.325238095238</v>
      </c>
      <c r="T1938" s="199">
        <v>383.69</v>
      </c>
      <c r="U1938" s="199">
        <f>IF(AND('Mail Merge'!$I1938="Did Not Meet",'Mail Merge'!$N1938="Did Not Meet"),MIN(ABS('Mail Merge'!$H1938),ABS('Mail Merge'!$M1938),'Mail Merge'!$Q1938),0)</f>
        <v>0</v>
      </c>
      <c r="V1938" s="199" t="str">
        <f>IF(OR(IFERROR(SEARCH("Met",'Mail Merge'!$N1938),0)&gt;0,IFERROR(SEARCH("Met",'Mail Merge'!$I1938),0)&gt;0),"Met","Not Met")</f>
        <v>Met</v>
      </c>
    </row>
    <row r="1939" spans="1:22" x14ac:dyDescent="0.35">
      <c r="A1939" s="200" t="s">
        <v>187</v>
      </c>
      <c r="B1939" s="201">
        <v>2244</v>
      </c>
      <c r="C1939" s="201" t="s">
        <v>1537</v>
      </c>
      <c r="D1939" s="201">
        <v>578</v>
      </c>
      <c r="E1939" s="201">
        <v>5974993.46</v>
      </c>
      <c r="F1939" s="201">
        <v>921595</v>
      </c>
      <c r="G1939" s="201">
        <f>'Mail Merge'!$E1939+'Mail Merge'!$F1939</f>
        <v>6896588.46</v>
      </c>
      <c r="H1939" s="201">
        <v>0</v>
      </c>
      <c r="I1939" s="201" t="s">
        <v>241</v>
      </c>
      <c r="J1939" s="204">
        <f>IFERROR('Mail Merge'!$E1939/'Mail Merge'!$D1939,0)</f>
        <v>10337.358927335639</v>
      </c>
      <c r="K1939" s="201">
        <f>IFERROR('Mail Merge'!$F1939/'Mail Merge'!$D1939,0)</f>
        <v>1594.455017301038</v>
      </c>
      <c r="L1939" s="205">
        <f>IFERROR('Mail Merge'!$G1939/'Mail Merge'!$D1939,0)</f>
        <v>11931.813944636679</v>
      </c>
      <c r="M1939" s="201">
        <v>0</v>
      </c>
      <c r="N1939" s="201" t="s">
        <v>241</v>
      </c>
      <c r="O1939" s="201">
        <v>624049.1</v>
      </c>
      <c r="P1939" s="201">
        <v>2588.9299999999998</v>
      </c>
      <c r="Q1939" s="201">
        <f>'Mail Merge'!$O1939+'Mail Merge'!$P1939</f>
        <v>626638.03</v>
      </c>
      <c r="R1939" s="201"/>
      <c r="S1939" s="201">
        <v>0</v>
      </c>
      <c r="T1939" s="201"/>
      <c r="U1939" s="201">
        <f>IF(AND('Mail Merge'!$I1939="Did Not Meet",'Mail Merge'!$N1939="Did Not Meet"),MIN(ABS('Mail Merge'!$H1939),ABS('Mail Merge'!$M1939),'Mail Merge'!$Q1939),0)</f>
        <v>0</v>
      </c>
      <c r="V1939" s="201" t="str">
        <f>IF(OR(IFERROR(SEARCH("Met",'Mail Merge'!$N1939),0)&gt;0,IFERROR(SEARCH("Met",'Mail Merge'!$I1939),0)&gt;0),"Met","Not Met")</f>
        <v>Met</v>
      </c>
    </row>
    <row r="1940" spans="1:22" x14ac:dyDescent="0.35">
      <c r="A1940" s="198" t="s">
        <v>188</v>
      </c>
      <c r="B1940" s="199">
        <v>2138</v>
      </c>
      <c r="C1940" s="199" t="s">
        <v>1537</v>
      </c>
      <c r="D1940" s="199">
        <v>519</v>
      </c>
      <c r="E1940" s="199">
        <v>6314796.5599999996</v>
      </c>
      <c r="F1940" s="199">
        <v>293222.8</v>
      </c>
      <c r="G1940" s="199">
        <f>'Mail Merge'!$E1940+'Mail Merge'!$F1940</f>
        <v>6608019.3599999994</v>
      </c>
      <c r="H1940" s="199">
        <v>0</v>
      </c>
      <c r="I1940" s="199" t="s">
        <v>241</v>
      </c>
      <c r="J1940" s="202">
        <f>IFERROR('Mail Merge'!$E1940/'Mail Merge'!$D1940,0)</f>
        <v>12167.238073217726</v>
      </c>
      <c r="K1940" s="199">
        <f>IFERROR('Mail Merge'!$F1940/'Mail Merge'!$D1940,0)</f>
        <v>564.97649325626207</v>
      </c>
      <c r="L1940" s="203">
        <f>IFERROR('Mail Merge'!$G1940/'Mail Merge'!$D1940,0)</f>
        <v>12732.214566473987</v>
      </c>
      <c r="M1940" s="199">
        <v>0</v>
      </c>
      <c r="N1940" s="199" t="s">
        <v>241</v>
      </c>
      <c r="O1940" s="199">
        <v>574409.1</v>
      </c>
      <c r="P1940" s="199">
        <v>763.99</v>
      </c>
      <c r="Q1940" s="199">
        <f>'Mail Merge'!$O1940+'Mail Merge'!$P1940</f>
        <v>575173.09</v>
      </c>
      <c r="R1940" s="199"/>
      <c r="S1940" s="199">
        <v>0</v>
      </c>
      <c r="T1940" s="199"/>
      <c r="U1940" s="199">
        <f>IF(AND('Mail Merge'!$I1940="Did Not Meet",'Mail Merge'!$N1940="Did Not Meet"),MIN(ABS('Mail Merge'!$H1940),ABS('Mail Merge'!$M1940),'Mail Merge'!$Q1940),0)</f>
        <v>0</v>
      </c>
      <c r="V1940" s="199" t="str">
        <f>IF(OR(IFERROR(SEARCH("Met",'Mail Merge'!$N1940),0)&gt;0,IFERROR(SEARCH("Met",'Mail Merge'!$I1940),0)&gt;0),"Met","Not Met")</f>
        <v>Met</v>
      </c>
    </row>
    <row r="1941" spans="1:22" x14ac:dyDescent="0.35">
      <c r="A1941" s="200" t="s">
        <v>189</v>
      </c>
      <c r="B1941" s="201">
        <v>1978</v>
      </c>
      <c r="C1941" s="201" t="s">
        <v>1537</v>
      </c>
      <c r="D1941" s="201">
        <v>112</v>
      </c>
      <c r="E1941" s="201">
        <v>958966.38</v>
      </c>
      <c r="F1941" s="201">
        <v>147702.60999999999</v>
      </c>
      <c r="G1941" s="201">
        <f>'Mail Merge'!$E1941+'Mail Merge'!$F1941</f>
        <v>1106668.99</v>
      </c>
      <c r="H1941" s="201">
        <v>0</v>
      </c>
      <c r="I1941" s="201" t="s">
        <v>241</v>
      </c>
      <c r="J1941" s="204">
        <f>IFERROR('Mail Merge'!$E1941/'Mail Merge'!$D1941,0)</f>
        <v>8562.1998214285722</v>
      </c>
      <c r="K1941" s="201">
        <f>IFERROR('Mail Merge'!$F1941/'Mail Merge'!$D1941,0)</f>
        <v>1318.7733035714284</v>
      </c>
      <c r="L1941" s="205">
        <f>IFERROR('Mail Merge'!$G1941/'Mail Merge'!$D1941,0)</f>
        <v>9880.9731250000004</v>
      </c>
      <c r="M1941" s="201">
        <v>-35757.128834951465</v>
      </c>
      <c r="N1941" s="201" t="s">
        <v>240</v>
      </c>
      <c r="O1941" s="201">
        <v>169907.58</v>
      </c>
      <c r="P1941" s="201">
        <v>971.1</v>
      </c>
      <c r="Q1941" s="201">
        <f>'Mail Merge'!$O1941+'Mail Merge'!$P1941</f>
        <v>170878.68</v>
      </c>
      <c r="R1941" s="201"/>
      <c r="S1941" s="201">
        <v>0</v>
      </c>
      <c r="T1941" s="201">
        <v>0</v>
      </c>
      <c r="U1941" s="201">
        <f>IF(AND('Mail Merge'!$I1941="Did Not Meet",'Mail Merge'!$N1941="Did Not Meet"),MIN(ABS('Mail Merge'!$H1941),ABS('Mail Merge'!$M1941),'Mail Merge'!$Q1941),0)</f>
        <v>0</v>
      </c>
      <c r="V1941" s="201" t="str">
        <f>IF(OR(IFERROR(SEARCH("Met",'Mail Merge'!$N1941),0)&gt;0,IFERROR(SEARCH("Met",'Mail Merge'!$I1941),0)&gt;0),"Met","Not Met")</f>
        <v>Met</v>
      </c>
    </row>
    <row r="1942" spans="1:22" x14ac:dyDescent="0.35">
      <c r="A1942" s="198" t="s">
        <v>190</v>
      </c>
      <c r="B1942" s="199">
        <v>2096</v>
      </c>
      <c r="C1942" s="199" t="s">
        <v>1537</v>
      </c>
      <c r="D1942" s="199">
        <v>199</v>
      </c>
      <c r="E1942" s="199">
        <v>1994318.5</v>
      </c>
      <c r="F1942" s="199">
        <v>204014</v>
      </c>
      <c r="G1942" s="199">
        <f>'Mail Merge'!$E1942+'Mail Merge'!$F1942</f>
        <v>2198332.5</v>
      </c>
      <c r="H1942" s="199">
        <v>0</v>
      </c>
      <c r="I1942" s="199" t="s">
        <v>241</v>
      </c>
      <c r="J1942" s="202">
        <f>IFERROR('Mail Merge'!$E1942/'Mail Merge'!$D1942,0)</f>
        <v>10021.701005025127</v>
      </c>
      <c r="K1942" s="199">
        <f>IFERROR('Mail Merge'!$F1942/'Mail Merge'!$D1942,0)</f>
        <v>1025.1959798994974</v>
      </c>
      <c r="L1942" s="203">
        <f>IFERROR('Mail Merge'!$G1942/'Mail Merge'!$D1942,0)</f>
        <v>11046.896984924622</v>
      </c>
      <c r="M1942" s="199">
        <v>0</v>
      </c>
      <c r="N1942" s="199" t="s">
        <v>241</v>
      </c>
      <c r="O1942" s="199">
        <v>264171.07</v>
      </c>
      <c r="P1942" s="199">
        <v>583.71</v>
      </c>
      <c r="Q1942" s="199">
        <f>'Mail Merge'!$O1942+'Mail Merge'!$P1942</f>
        <v>264754.78000000003</v>
      </c>
      <c r="R1942" s="199"/>
      <c r="S1942" s="199">
        <v>0</v>
      </c>
      <c r="T1942" s="199"/>
      <c r="U1942" s="199">
        <f>IF(AND('Mail Merge'!$I1942="Did Not Meet",'Mail Merge'!$N1942="Did Not Meet"),MIN(ABS('Mail Merge'!$H1942),ABS('Mail Merge'!$M1942),'Mail Merge'!$Q1942),0)</f>
        <v>0</v>
      </c>
      <c r="V1942" s="199" t="str">
        <f>IF(OR(IFERROR(SEARCH("Met",'Mail Merge'!$N1942),0)&gt;0,IFERROR(SEARCH("Met",'Mail Merge'!$I1942),0)&gt;0),"Met","Not Met")</f>
        <v>Met</v>
      </c>
    </row>
    <row r="1943" spans="1:22" x14ac:dyDescent="0.35">
      <c r="A1943" s="200" t="s">
        <v>191</v>
      </c>
      <c r="B1943" s="201">
        <v>2022</v>
      </c>
      <c r="C1943" s="201" t="s">
        <v>1537</v>
      </c>
      <c r="D1943" s="201">
        <v>3</v>
      </c>
      <c r="E1943" s="201">
        <v>10927</v>
      </c>
      <c r="F1943" s="201">
        <v>10108.9</v>
      </c>
      <c r="G1943" s="201">
        <f>'Mail Merge'!$E1943+'Mail Merge'!$F1943</f>
        <v>21035.9</v>
      </c>
      <c r="H1943" s="201">
        <v>0</v>
      </c>
      <c r="I1943" s="201" t="s">
        <v>241</v>
      </c>
      <c r="J1943" s="204">
        <f>IFERROR('Mail Merge'!$E1943/'Mail Merge'!$D1943,0)</f>
        <v>3642.3333333333335</v>
      </c>
      <c r="K1943" s="201">
        <f>IFERROR('Mail Merge'!$F1943/'Mail Merge'!$D1943,0)</f>
        <v>3369.6333333333332</v>
      </c>
      <c r="L1943" s="205">
        <f>IFERROR('Mail Merge'!$G1943/'Mail Merge'!$D1943,0)</f>
        <v>7011.9666666666672</v>
      </c>
      <c r="M1943" s="201">
        <v>-1345.5999999999985</v>
      </c>
      <c r="N1943" s="201" t="s">
        <v>240</v>
      </c>
      <c r="O1943" s="201">
        <v>3347.16</v>
      </c>
      <c r="P1943" s="201">
        <v>3.48</v>
      </c>
      <c r="Q1943" s="201">
        <f>'Mail Merge'!$O1943+'Mail Merge'!$P1943</f>
        <v>3350.64</v>
      </c>
      <c r="R1943" s="201"/>
      <c r="S1943" s="201">
        <v>0</v>
      </c>
      <c r="T1943" s="201">
        <v>0</v>
      </c>
      <c r="U1943" s="201">
        <f>IF(AND('Mail Merge'!$I1943="Did Not Meet",'Mail Merge'!$N1943="Did Not Meet"),MIN(ABS('Mail Merge'!$H1943),ABS('Mail Merge'!$M1943),'Mail Merge'!$Q1943),0)</f>
        <v>0</v>
      </c>
      <c r="V1943" s="201" t="str">
        <f>IF(OR(IFERROR(SEARCH("Met",'Mail Merge'!$N1943),0)&gt;0,IFERROR(SEARCH("Met",'Mail Merge'!$I1943),0)&gt;0),"Met","Not Met")</f>
        <v>Met</v>
      </c>
    </row>
    <row r="1944" spans="1:22" x14ac:dyDescent="0.35">
      <c r="A1944" s="198" t="s">
        <v>192</v>
      </c>
      <c r="B1944" s="199">
        <v>2087</v>
      </c>
      <c r="C1944" s="199" t="s">
        <v>1537</v>
      </c>
      <c r="D1944" s="199">
        <v>505</v>
      </c>
      <c r="E1944" s="199">
        <v>4966381.97</v>
      </c>
      <c r="F1944" s="199">
        <v>996501</v>
      </c>
      <c r="G1944" s="199">
        <f>'Mail Merge'!$E1944+'Mail Merge'!$F1944</f>
        <v>5962882.9699999997</v>
      </c>
      <c r="H1944" s="199">
        <v>0</v>
      </c>
      <c r="I1944" s="199" t="s">
        <v>241</v>
      </c>
      <c r="J1944" s="202">
        <f>IFERROR('Mail Merge'!$E1944/'Mail Merge'!$D1944,0)</f>
        <v>9834.4197425742568</v>
      </c>
      <c r="K1944" s="199">
        <f>IFERROR('Mail Merge'!$F1944/'Mail Merge'!$D1944,0)</f>
        <v>1973.2693069306931</v>
      </c>
      <c r="L1944" s="203">
        <f>IFERROR('Mail Merge'!$G1944/'Mail Merge'!$D1944,0)</f>
        <v>11807.68904950495</v>
      </c>
      <c r="M1944" s="199">
        <v>0</v>
      </c>
      <c r="N1944" s="199" t="s">
        <v>241</v>
      </c>
      <c r="O1944" s="199">
        <v>526325.78</v>
      </c>
      <c r="P1944" s="199">
        <v>5504.61</v>
      </c>
      <c r="Q1944" s="199">
        <f>'Mail Merge'!$O1944+'Mail Merge'!$P1944</f>
        <v>531830.39</v>
      </c>
      <c r="R1944" s="199"/>
      <c r="S1944" s="199">
        <v>0</v>
      </c>
      <c r="T1944" s="199"/>
      <c r="U1944" s="199">
        <f>IF(AND('Mail Merge'!$I1944="Did Not Meet",'Mail Merge'!$N1944="Did Not Meet"),MIN(ABS('Mail Merge'!$H1944),ABS('Mail Merge'!$M1944),'Mail Merge'!$Q1944),0)</f>
        <v>0</v>
      </c>
      <c r="V1944" s="199" t="str">
        <f>IF(OR(IFERROR(SEARCH("Met",'Mail Merge'!$N1944),0)&gt;0,IFERROR(SEARCH("Met",'Mail Merge'!$I1944),0)&gt;0),"Met","Not Met")</f>
        <v>Met</v>
      </c>
    </row>
    <row r="1945" spans="1:22" x14ac:dyDescent="0.35">
      <c r="A1945" s="200" t="s">
        <v>193</v>
      </c>
      <c r="B1945" s="201">
        <v>1994</v>
      </c>
      <c r="C1945" s="201" t="s">
        <v>1537</v>
      </c>
      <c r="D1945" s="201">
        <v>271</v>
      </c>
      <c r="E1945" s="201">
        <v>1950519</v>
      </c>
      <c r="F1945" s="201">
        <v>381690.58</v>
      </c>
      <c r="G1945" s="201">
        <f>'Mail Merge'!$E1945+'Mail Merge'!$F1945</f>
        <v>2332209.58</v>
      </c>
      <c r="H1945" s="201">
        <v>0</v>
      </c>
      <c r="I1945" s="201" t="s">
        <v>241</v>
      </c>
      <c r="J1945" s="204">
        <f>IFERROR('Mail Merge'!$E1945/'Mail Merge'!$D1945,0)</f>
        <v>7197.4870848708488</v>
      </c>
      <c r="K1945" s="201">
        <f>IFERROR('Mail Merge'!$F1945/'Mail Merge'!$D1945,0)</f>
        <v>1408.4523247232473</v>
      </c>
      <c r="L1945" s="205">
        <f>IFERROR('Mail Merge'!$G1945/'Mail Merge'!$D1945,0)</f>
        <v>8605.939409594097</v>
      </c>
      <c r="M1945" s="201">
        <v>-451094.26756097528</v>
      </c>
      <c r="N1945" s="201" t="s">
        <v>240</v>
      </c>
      <c r="O1945" s="201">
        <v>324986.07</v>
      </c>
      <c r="P1945" s="201">
        <v>3500.04</v>
      </c>
      <c r="Q1945" s="201">
        <f>'Mail Merge'!$O1945+'Mail Merge'!$P1945</f>
        <v>328486.11</v>
      </c>
      <c r="R1945" s="201"/>
      <c r="S1945" s="201">
        <v>0</v>
      </c>
      <c r="T1945" s="201">
        <v>839.03</v>
      </c>
      <c r="U1945" s="201">
        <f>IF(AND('Mail Merge'!$I1945="Did Not Meet",'Mail Merge'!$N1945="Did Not Meet"),MIN(ABS('Mail Merge'!$H1945),ABS('Mail Merge'!$M1945),'Mail Merge'!$Q1945),0)</f>
        <v>0</v>
      </c>
      <c r="V1945" s="201" t="str">
        <f>IF(OR(IFERROR(SEARCH("Met",'Mail Merge'!$N1945),0)&gt;0,IFERROR(SEARCH("Met",'Mail Merge'!$I1945),0)&gt;0),"Met","Not Met")</f>
        <v>Met</v>
      </c>
    </row>
    <row r="1946" spans="1:22" x14ac:dyDescent="0.35">
      <c r="A1946" s="198" t="s">
        <v>194</v>
      </c>
      <c r="B1946" s="199">
        <v>2225</v>
      </c>
      <c r="C1946" s="199" t="s">
        <v>1537</v>
      </c>
      <c r="D1946" s="199">
        <v>32</v>
      </c>
      <c r="E1946" s="199">
        <v>279762.01</v>
      </c>
      <c r="F1946" s="199">
        <v>28600</v>
      </c>
      <c r="G1946" s="199">
        <f>'Mail Merge'!$E1946+'Mail Merge'!$F1946</f>
        <v>308362.01</v>
      </c>
      <c r="H1946" s="199">
        <v>0</v>
      </c>
      <c r="I1946" s="199" t="s">
        <v>241</v>
      </c>
      <c r="J1946" s="202">
        <f>IFERROR('Mail Merge'!$E1946/'Mail Merge'!$D1946,0)</f>
        <v>8742.5628125000003</v>
      </c>
      <c r="K1946" s="199">
        <f>IFERROR('Mail Merge'!$F1946/'Mail Merge'!$D1946,0)</f>
        <v>893.75</v>
      </c>
      <c r="L1946" s="203">
        <f>IFERROR('Mail Merge'!$G1946/'Mail Merge'!$D1946,0)</f>
        <v>9636.3128125000003</v>
      </c>
      <c r="M1946" s="199">
        <v>0</v>
      </c>
      <c r="N1946" s="199" t="s">
        <v>242</v>
      </c>
      <c r="O1946" s="199">
        <v>51686.400000000001</v>
      </c>
      <c r="P1946" s="199">
        <v>498.76</v>
      </c>
      <c r="Q1946" s="199">
        <f>'Mail Merge'!$O1946+'Mail Merge'!$P1946</f>
        <v>52185.16</v>
      </c>
      <c r="R1946" s="199"/>
      <c r="S1946" s="199">
        <v>0</v>
      </c>
      <c r="T1946" s="199">
        <v>1006.39</v>
      </c>
      <c r="U1946" s="199">
        <f>IF(AND('Mail Merge'!$I1946="Did Not Meet",'Mail Merge'!$N1946="Did Not Meet"),MIN(ABS('Mail Merge'!$H1946),ABS('Mail Merge'!$M1946),'Mail Merge'!$Q1946),0)</f>
        <v>0</v>
      </c>
      <c r="V1946" s="199" t="str">
        <f>IF(OR(IFERROR(SEARCH("Met",'Mail Merge'!$N1946),0)&gt;0,IFERROR(SEARCH("Met",'Mail Merge'!$I1946),0)&gt;0),"Met","Not Met")</f>
        <v>Met</v>
      </c>
    </row>
    <row r="1947" spans="1:22" x14ac:dyDescent="0.35">
      <c r="A1947" s="200" t="s">
        <v>195</v>
      </c>
      <c r="B1947" s="201">
        <v>2247</v>
      </c>
      <c r="C1947" s="201" t="s">
        <v>1537</v>
      </c>
      <c r="D1947" s="201">
        <v>5</v>
      </c>
      <c r="E1947" s="201">
        <v>19232.61</v>
      </c>
      <c r="F1947" s="201">
        <v>50112</v>
      </c>
      <c r="G1947" s="201">
        <f>'Mail Merge'!$E1947+'Mail Merge'!$F1947</f>
        <v>69344.61</v>
      </c>
      <c r="H1947" s="201">
        <v>0</v>
      </c>
      <c r="I1947" s="201" t="s">
        <v>241</v>
      </c>
      <c r="J1947" s="204">
        <f>IFERROR('Mail Merge'!$E1947/'Mail Merge'!$D1947,0)</f>
        <v>3846.5219999999999</v>
      </c>
      <c r="K1947" s="201">
        <f>IFERROR('Mail Merge'!$F1947/'Mail Merge'!$D1947,0)</f>
        <v>10022.4</v>
      </c>
      <c r="L1947" s="205">
        <f>IFERROR('Mail Merge'!$G1947/'Mail Merge'!$D1947,0)</f>
        <v>13868.922</v>
      </c>
      <c r="M1947" s="201">
        <v>-44846.590000000004</v>
      </c>
      <c r="N1947" s="201" t="s">
        <v>240</v>
      </c>
      <c r="O1947" s="201">
        <v>5096.78</v>
      </c>
      <c r="P1947" s="201">
        <v>0</v>
      </c>
      <c r="Q1947" s="201">
        <f>'Mail Merge'!$O1947+'Mail Merge'!$P1947</f>
        <v>5096.78</v>
      </c>
      <c r="R1947" s="201"/>
      <c r="S1947" s="201">
        <v>0</v>
      </c>
      <c r="T1947" s="201">
        <v>0</v>
      </c>
      <c r="U1947" s="201">
        <f>IF(AND('Mail Merge'!$I1947="Did Not Meet",'Mail Merge'!$N1947="Did Not Meet"),MIN(ABS('Mail Merge'!$H1947),ABS('Mail Merge'!$M1947),'Mail Merge'!$Q1947),0)</f>
        <v>0</v>
      </c>
      <c r="V1947" s="201" t="str">
        <f>IF(OR(IFERROR(SEARCH("Met",'Mail Merge'!$N1947),0)&gt;0,IFERROR(SEARCH("Met",'Mail Merge'!$I1947),0)&gt;0),"Met","Not Met")</f>
        <v>Met</v>
      </c>
    </row>
    <row r="1948" spans="1:22" x14ac:dyDescent="0.35">
      <c r="A1948" s="198" t="s">
        <v>196</v>
      </c>
      <c r="B1948" s="199">
        <v>2083</v>
      </c>
      <c r="C1948" s="199" t="s">
        <v>1537</v>
      </c>
      <c r="D1948" s="199">
        <v>1690</v>
      </c>
      <c r="E1948" s="199">
        <v>19897208.309999999</v>
      </c>
      <c r="F1948" s="199">
        <v>2383274</v>
      </c>
      <c r="G1948" s="199">
        <f>'Mail Merge'!$E1948+'Mail Merge'!$F1948</f>
        <v>22280482.309999999</v>
      </c>
      <c r="H1948" s="199">
        <v>0</v>
      </c>
      <c r="I1948" s="199" t="s">
        <v>241</v>
      </c>
      <c r="J1948" s="202">
        <f>IFERROR('Mail Merge'!$E1948/'Mail Merge'!$D1948,0)</f>
        <v>11773.496041420118</v>
      </c>
      <c r="K1948" s="199">
        <f>IFERROR('Mail Merge'!$F1948/'Mail Merge'!$D1948,0)</f>
        <v>1410.2213017751478</v>
      </c>
      <c r="L1948" s="203">
        <f>IFERROR('Mail Merge'!$G1948/'Mail Merge'!$D1948,0)</f>
        <v>13183.717343195265</v>
      </c>
      <c r="M1948" s="199">
        <v>-244064.58062500114</v>
      </c>
      <c r="N1948" s="199" t="s">
        <v>240</v>
      </c>
      <c r="O1948" s="199">
        <v>1926059.71</v>
      </c>
      <c r="P1948" s="199">
        <v>16286.68</v>
      </c>
      <c r="Q1948" s="199">
        <f>'Mail Merge'!$O1948+'Mail Merge'!$P1948</f>
        <v>1942346.39</v>
      </c>
      <c r="R1948" s="199"/>
      <c r="S1948" s="199">
        <v>0</v>
      </c>
      <c r="T1948" s="199">
        <v>0</v>
      </c>
      <c r="U1948" s="199">
        <f>IF(AND('Mail Merge'!$I1948="Did Not Meet",'Mail Merge'!$N1948="Did Not Meet"),MIN(ABS('Mail Merge'!$H1948),ABS('Mail Merge'!$M1948),'Mail Merge'!$Q1948),0)</f>
        <v>0</v>
      </c>
      <c r="V1948" s="199" t="str">
        <f>IF(OR(IFERROR(SEARCH("Met",'Mail Merge'!$N1948),0)&gt;0,IFERROR(SEARCH("Met",'Mail Merge'!$I1948),0)&gt;0),"Met","Not Met")</f>
        <v>Met</v>
      </c>
    </row>
    <row r="1949" spans="1:22" x14ac:dyDescent="0.35">
      <c r="A1949" s="200" t="s">
        <v>197</v>
      </c>
      <c r="B1949" s="201">
        <v>1948</v>
      </c>
      <c r="C1949" s="201" t="s">
        <v>1537</v>
      </c>
      <c r="D1949" s="201">
        <v>443</v>
      </c>
      <c r="E1949" s="201">
        <v>4589961.32</v>
      </c>
      <c r="F1949" s="201">
        <v>856724</v>
      </c>
      <c r="G1949" s="201">
        <f>'Mail Merge'!$E1949+'Mail Merge'!$F1949</f>
        <v>5446685.3200000003</v>
      </c>
      <c r="H1949" s="201">
        <v>0</v>
      </c>
      <c r="I1949" s="201" t="s">
        <v>241</v>
      </c>
      <c r="J1949" s="204">
        <f>IFERROR('Mail Merge'!$E1949/'Mail Merge'!$D1949,0)</f>
        <v>10361.08650112867</v>
      </c>
      <c r="K1949" s="201">
        <f>IFERROR('Mail Merge'!$F1949/'Mail Merge'!$D1949,0)</f>
        <v>1933.9142212189615</v>
      </c>
      <c r="L1949" s="205">
        <f>IFERROR('Mail Merge'!$G1949/'Mail Merge'!$D1949,0)</f>
        <v>12295.00072234763</v>
      </c>
      <c r="M1949" s="201">
        <v>0</v>
      </c>
      <c r="N1949" s="201" t="s">
        <v>241</v>
      </c>
      <c r="O1949" s="201">
        <v>527557.80000000005</v>
      </c>
      <c r="P1949" s="201">
        <v>8904.41</v>
      </c>
      <c r="Q1949" s="201">
        <f>'Mail Merge'!$O1949+'Mail Merge'!$P1949</f>
        <v>536462.21000000008</v>
      </c>
      <c r="R1949" s="201"/>
      <c r="S1949" s="201">
        <v>0</v>
      </c>
      <c r="T1949" s="201"/>
      <c r="U1949" s="201">
        <f>IF(AND('Mail Merge'!$I1949="Did Not Meet",'Mail Merge'!$N1949="Did Not Meet"),MIN(ABS('Mail Merge'!$H1949),ABS('Mail Merge'!$M1949),'Mail Merge'!$Q1949),0)</f>
        <v>0</v>
      </c>
      <c r="V1949" s="201" t="str">
        <f>IF(OR(IFERROR(SEARCH("Met",'Mail Merge'!$N1949),0)&gt;0,IFERROR(SEARCH("Met",'Mail Merge'!$I1949),0)&gt;0),"Met","Not Met")</f>
        <v>Met</v>
      </c>
    </row>
    <row r="1950" spans="1:22" x14ac:dyDescent="0.35">
      <c r="A1950" s="198" t="s">
        <v>198</v>
      </c>
      <c r="B1950" s="199">
        <v>2144</v>
      </c>
      <c r="C1950" s="199" t="s">
        <v>1537</v>
      </c>
      <c r="D1950" s="199">
        <v>14</v>
      </c>
      <c r="E1950" s="199">
        <v>215348.54</v>
      </c>
      <c r="F1950" s="199">
        <v>30025.97</v>
      </c>
      <c r="G1950" s="199">
        <f>'Mail Merge'!$E1950+'Mail Merge'!$F1950</f>
        <v>245374.51</v>
      </c>
      <c r="H1950" s="199">
        <v>0</v>
      </c>
      <c r="I1950" s="199" t="s">
        <v>241</v>
      </c>
      <c r="J1950" s="202">
        <f>IFERROR('Mail Merge'!$E1950/'Mail Merge'!$D1950,0)</f>
        <v>15382.038571428571</v>
      </c>
      <c r="K1950" s="199">
        <f>IFERROR('Mail Merge'!$F1950/'Mail Merge'!$D1950,0)</f>
        <v>2144.7121428571431</v>
      </c>
      <c r="L1950" s="203">
        <f>IFERROR('Mail Merge'!$G1950/'Mail Merge'!$D1950,0)</f>
        <v>17526.750714285714</v>
      </c>
      <c r="M1950" s="199">
        <v>0</v>
      </c>
      <c r="N1950" s="199" t="s">
        <v>241</v>
      </c>
      <c r="O1950" s="199">
        <v>41609.120000000003</v>
      </c>
      <c r="P1950" s="199">
        <v>992.13</v>
      </c>
      <c r="Q1950" s="199">
        <f>'Mail Merge'!$O1950+'Mail Merge'!$P1950</f>
        <v>42601.25</v>
      </c>
      <c r="R1950" s="199"/>
      <c r="S1950" s="199">
        <v>0</v>
      </c>
      <c r="T1950" s="199"/>
      <c r="U1950" s="199">
        <f>IF(AND('Mail Merge'!$I1950="Did Not Meet",'Mail Merge'!$N1950="Did Not Meet"),MIN(ABS('Mail Merge'!$H1950),ABS('Mail Merge'!$M1950),'Mail Merge'!$Q1950),0)</f>
        <v>0</v>
      </c>
      <c r="V1950" s="199" t="str">
        <f>IF(OR(IFERROR(SEARCH("Met",'Mail Merge'!$N1950),0)&gt;0,IFERROR(SEARCH("Met",'Mail Merge'!$I1950),0)&gt;0),"Met","Not Met")</f>
        <v>Met</v>
      </c>
    </row>
    <row r="1951" spans="1:22" x14ac:dyDescent="0.35">
      <c r="A1951" s="200" t="s">
        <v>199</v>
      </c>
      <c r="B1951" s="201">
        <v>2209</v>
      </c>
      <c r="C1951" s="201" t="s">
        <v>1537</v>
      </c>
      <c r="D1951" s="201">
        <v>71</v>
      </c>
      <c r="E1951" s="201">
        <v>493158.41</v>
      </c>
      <c r="F1951" s="201">
        <v>109578.47</v>
      </c>
      <c r="G1951" s="201">
        <f>'Mail Merge'!$E1951+'Mail Merge'!$F1951</f>
        <v>602736.88</v>
      </c>
      <c r="H1951" s="201">
        <v>0</v>
      </c>
      <c r="I1951" s="201" t="s">
        <v>241</v>
      </c>
      <c r="J1951" s="204">
        <f>IFERROR('Mail Merge'!$E1951/'Mail Merge'!$D1951,0)</f>
        <v>6945.8930985915486</v>
      </c>
      <c r="K1951" s="201">
        <f>IFERROR('Mail Merge'!$F1951/'Mail Merge'!$D1951,0)</f>
        <v>1543.3587323943661</v>
      </c>
      <c r="L1951" s="205">
        <f>IFERROR('Mail Merge'!$G1951/'Mail Merge'!$D1951,0)</f>
        <v>8489.2518309859151</v>
      </c>
      <c r="M1951" s="201">
        <v>-67992.596730769219</v>
      </c>
      <c r="N1951" s="201" t="s">
        <v>240</v>
      </c>
      <c r="O1951" s="201">
        <v>79109.86</v>
      </c>
      <c r="P1951" s="201">
        <v>0</v>
      </c>
      <c r="Q1951" s="201">
        <f>'Mail Merge'!$O1951+'Mail Merge'!$P1951</f>
        <v>79109.86</v>
      </c>
      <c r="R1951" s="201"/>
      <c r="S1951" s="201">
        <v>0</v>
      </c>
      <c r="T1951" s="201">
        <v>565.65</v>
      </c>
      <c r="U1951" s="201">
        <f>IF(AND('Mail Merge'!$I1951="Did Not Meet",'Mail Merge'!$N1951="Did Not Meet"),MIN(ABS('Mail Merge'!$H1951),ABS('Mail Merge'!$M1951),'Mail Merge'!$Q1951),0)</f>
        <v>0</v>
      </c>
      <c r="V1951" s="201" t="str">
        <f>IF(OR(IFERROR(SEARCH("Met",'Mail Merge'!$N1951),0)&gt;0,IFERROR(SEARCH("Met",'Mail Merge'!$I1951),0)&gt;0),"Met","Not Met")</f>
        <v>Met</v>
      </c>
    </row>
    <row r="1952" spans="1:22" x14ac:dyDescent="0.35">
      <c r="A1952" s="198" t="s">
        <v>200</v>
      </c>
      <c r="B1952" s="199">
        <v>2018</v>
      </c>
      <c r="C1952" s="199" t="s">
        <v>1537</v>
      </c>
      <c r="D1952" s="199">
        <v>1</v>
      </c>
      <c r="E1952" s="199">
        <v>10003</v>
      </c>
      <c r="F1952" s="199">
        <v>7722.58</v>
      </c>
      <c r="G1952" s="199">
        <f>'Mail Merge'!$E1952+'Mail Merge'!$F1952</f>
        <v>17725.580000000002</v>
      </c>
      <c r="H1952" s="199">
        <v>0</v>
      </c>
      <c r="I1952" s="199" t="s">
        <v>241</v>
      </c>
      <c r="J1952" s="202">
        <f>IFERROR('Mail Merge'!$E1952/'Mail Merge'!$D1952,0)</f>
        <v>10003</v>
      </c>
      <c r="K1952" s="199">
        <f>IFERROR('Mail Merge'!$F1952/'Mail Merge'!$D1952,0)</f>
        <v>7722.58</v>
      </c>
      <c r="L1952" s="203">
        <f>IFERROR('Mail Merge'!$G1952/'Mail Merge'!$D1952,0)</f>
        <v>17725.580000000002</v>
      </c>
      <c r="M1952" s="199">
        <v>0</v>
      </c>
      <c r="N1952" s="199" t="s">
        <v>241</v>
      </c>
      <c r="O1952" s="199">
        <v>2965.19</v>
      </c>
      <c r="P1952" s="199">
        <v>3.76</v>
      </c>
      <c r="Q1952" s="199">
        <f>'Mail Merge'!$O1952+'Mail Merge'!$P1952</f>
        <v>2968.9500000000003</v>
      </c>
      <c r="R1952" s="199"/>
      <c r="S1952" s="199">
        <v>0</v>
      </c>
      <c r="T1952" s="199"/>
      <c r="U1952" s="199">
        <f>IF(AND('Mail Merge'!$I1952="Did Not Meet",'Mail Merge'!$N1952="Did Not Meet"),MIN(ABS('Mail Merge'!$H1952),ABS('Mail Merge'!$M1952),'Mail Merge'!$Q1952),0)</f>
        <v>0</v>
      </c>
      <c r="V1952" s="199" t="str">
        <f>IF(OR(IFERROR(SEARCH("Met",'Mail Merge'!$N1952),0)&gt;0,IFERROR(SEARCH("Met",'Mail Merge'!$I1952),0)&gt;0),"Met","Not Met")</f>
        <v>Met</v>
      </c>
    </row>
    <row r="1953" spans="1:22" x14ac:dyDescent="0.35">
      <c r="A1953" s="200" t="s">
        <v>201</v>
      </c>
      <c r="B1953" s="201">
        <v>2003</v>
      </c>
      <c r="C1953" s="201" t="s">
        <v>1537</v>
      </c>
      <c r="D1953" s="201">
        <v>193</v>
      </c>
      <c r="E1953" s="201">
        <v>1383545</v>
      </c>
      <c r="F1953" s="201">
        <v>309586.55</v>
      </c>
      <c r="G1953" s="201">
        <f>'Mail Merge'!$E1953+'Mail Merge'!$F1953</f>
        <v>1693131.55</v>
      </c>
      <c r="H1953" s="201">
        <v>0</v>
      </c>
      <c r="I1953" s="201" t="s">
        <v>241</v>
      </c>
      <c r="J1953" s="204">
        <f>IFERROR('Mail Merge'!$E1953/'Mail Merge'!$D1953,0)</f>
        <v>7168.6269430051816</v>
      </c>
      <c r="K1953" s="201">
        <f>IFERROR('Mail Merge'!$F1953/'Mail Merge'!$D1953,0)</f>
        <v>1604.0753886010361</v>
      </c>
      <c r="L1953" s="205">
        <f>IFERROR('Mail Merge'!$G1953/'Mail Merge'!$D1953,0)</f>
        <v>8772.7023316062186</v>
      </c>
      <c r="M1953" s="201">
        <v>-196529.17018749964</v>
      </c>
      <c r="N1953" s="201" t="s">
        <v>240</v>
      </c>
      <c r="O1953" s="201">
        <v>205428.54</v>
      </c>
      <c r="P1953" s="201">
        <v>3014.41</v>
      </c>
      <c r="Q1953" s="201">
        <f>'Mail Merge'!$O1953+'Mail Merge'!$P1953</f>
        <v>208442.95</v>
      </c>
      <c r="R1953" s="201"/>
      <c r="S1953" s="201">
        <v>0</v>
      </c>
      <c r="T1953" s="201">
        <v>0</v>
      </c>
      <c r="U1953" s="201">
        <f>IF(AND('Mail Merge'!$I1953="Did Not Meet",'Mail Merge'!$N1953="Did Not Meet"),MIN(ABS('Mail Merge'!$H1953),ABS('Mail Merge'!$M1953),'Mail Merge'!$Q1953),0)</f>
        <v>0</v>
      </c>
      <c r="V1953" s="201" t="str">
        <f>IF(OR(IFERROR(SEARCH("Met",'Mail Merge'!$N1953),0)&gt;0,IFERROR(SEARCH("Met",'Mail Merge'!$I1953),0)&gt;0),"Met","Not Met")</f>
        <v>Met</v>
      </c>
    </row>
    <row r="1954" spans="1:22" x14ac:dyDescent="0.35">
      <c r="A1954" s="198" t="s">
        <v>202</v>
      </c>
      <c r="B1954" s="199">
        <v>2102</v>
      </c>
      <c r="C1954" s="199" t="s">
        <v>1537</v>
      </c>
      <c r="D1954" s="199">
        <v>440</v>
      </c>
      <c r="E1954" s="199">
        <v>3213542.26</v>
      </c>
      <c r="F1954" s="199">
        <v>530593</v>
      </c>
      <c r="G1954" s="199">
        <f>'Mail Merge'!$E1954+'Mail Merge'!$F1954</f>
        <v>3744135.26</v>
      </c>
      <c r="H1954" s="199">
        <v>0</v>
      </c>
      <c r="I1954" s="199" t="s">
        <v>241</v>
      </c>
      <c r="J1954" s="202">
        <f>IFERROR('Mail Merge'!$E1954/'Mail Merge'!$D1954,0)</f>
        <v>7303.5051363636358</v>
      </c>
      <c r="K1954" s="199">
        <f>IFERROR('Mail Merge'!$F1954/'Mail Merge'!$D1954,0)</f>
        <v>1205.8931818181818</v>
      </c>
      <c r="L1954" s="203">
        <f>IFERROR('Mail Merge'!$G1954/'Mail Merge'!$D1954,0)</f>
        <v>8509.3983181818185</v>
      </c>
      <c r="M1954" s="199">
        <v>0</v>
      </c>
      <c r="N1954" s="199" t="s">
        <v>241</v>
      </c>
      <c r="O1954" s="199">
        <v>432189.3</v>
      </c>
      <c r="P1954" s="199">
        <v>643.36</v>
      </c>
      <c r="Q1954" s="199">
        <f>'Mail Merge'!$O1954+'Mail Merge'!$P1954</f>
        <v>432832.66</v>
      </c>
      <c r="R1954" s="199"/>
      <c r="S1954" s="199">
        <v>0</v>
      </c>
      <c r="T1954" s="199"/>
      <c r="U1954" s="199">
        <f>IF(AND('Mail Merge'!$I1954="Did Not Meet",'Mail Merge'!$N1954="Did Not Meet"),MIN(ABS('Mail Merge'!$H1954),ABS('Mail Merge'!$M1954),'Mail Merge'!$Q1954),0)</f>
        <v>0</v>
      </c>
      <c r="V1954" s="199" t="str">
        <f>IF(OR(IFERROR(SEARCH("Met",'Mail Merge'!$N1954),0)&gt;0,IFERROR(SEARCH("Met",'Mail Merge'!$I1954),0)&gt;0),"Met","Not Met")</f>
        <v>Met</v>
      </c>
    </row>
    <row r="1955" spans="1:22" x14ac:dyDescent="0.35">
      <c r="A1955" s="200" t="s">
        <v>203</v>
      </c>
      <c r="B1955" s="201">
        <v>2055</v>
      </c>
      <c r="C1955" s="201" t="s">
        <v>1537</v>
      </c>
      <c r="D1955" s="201">
        <v>577</v>
      </c>
      <c r="E1955" s="201">
        <v>8430029.7599999998</v>
      </c>
      <c r="F1955" s="201">
        <v>262691.63</v>
      </c>
      <c r="G1955" s="201">
        <f>'Mail Merge'!$E1955+'Mail Merge'!$F1955</f>
        <v>8692721.3900000006</v>
      </c>
      <c r="H1955" s="201">
        <v>0</v>
      </c>
      <c r="I1955" s="201" t="s">
        <v>241</v>
      </c>
      <c r="J1955" s="204">
        <f>IFERROR('Mail Merge'!$E1955/'Mail Merge'!$D1955,0)</f>
        <v>14610.10357019064</v>
      </c>
      <c r="K1955" s="201">
        <f>IFERROR('Mail Merge'!$F1955/'Mail Merge'!$D1955,0)</f>
        <v>455.27145580589257</v>
      </c>
      <c r="L1955" s="205">
        <f>IFERROR('Mail Merge'!$G1955/'Mail Merge'!$D1955,0)</f>
        <v>15065.375025996535</v>
      </c>
      <c r="M1955" s="201">
        <v>-177824.28583928512</v>
      </c>
      <c r="N1955" s="201" t="s">
        <v>240</v>
      </c>
      <c r="O1955" s="201">
        <v>876853.37</v>
      </c>
      <c r="P1955" s="201">
        <v>11027.02</v>
      </c>
      <c r="Q1955" s="201">
        <f>'Mail Merge'!$O1955+'Mail Merge'!$P1955</f>
        <v>887880.39</v>
      </c>
      <c r="R1955" s="201"/>
      <c r="S1955" s="201">
        <v>0</v>
      </c>
      <c r="T1955" s="201">
        <v>0</v>
      </c>
      <c r="U1955" s="201">
        <f>IF(AND('Mail Merge'!$I1955="Did Not Meet",'Mail Merge'!$N1955="Did Not Meet"),MIN(ABS('Mail Merge'!$H1955),ABS('Mail Merge'!$M1955),'Mail Merge'!$Q1955),0)</f>
        <v>0</v>
      </c>
      <c r="V1955" s="201" t="str">
        <f>IF(OR(IFERROR(SEARCH("Met",'Mail Merge'!$N1955),0)&gt;0,IFERROR(SEARCH("Met",'Mail Merge'!$I1955),0)&gt;0),"Met","Not Met")</f>
        <v>Met</v>
      </c>
    </row>
    <row r="1956" spans="1:22" x14ac:dyDescent="0.35">
      <c r="A1956" s="198" t="s">
        <v>204</v>
      </c>
      <c r="B1956" s="199">
        <v>2242</v>
      </c>
      <c r="C1956" s="199" t="s">
        <v>1537</v>
      </c>
      <c r="D1956" s="199">
        <v>1384</v>
      </c>
      <c r="E1956" s="199">
        <v>13607898.43</v>
      </c>
      <c r="F1956" s="199">
        <v>2778287</v>
      </c>
      <c r="G1956" s="199">
        <f>'Mail Merge'!$E1956+'Mail Merge'!$F1956</f>
        <v>16386185.43</v>
      </c>
      <c r="H1956" s="199">
        <v>0</v>
      </c>
      <c r="I1956" s="199" t="s">
        <v>241</v>
      </c>
      <c r="J1956" s="202">
        <f>IFERROR('Mail Merge'!$E1956/'Mail Merge'!$D1956,0)</f>
        <v>9832.296553468208</v>
      </c>
      <c r="K1956" s="199">
        <f>IFERROR('Mail Merge'!$F1956/'Mail Merge'!$D1956,0)</f>
        <v>2007.432803468208</v>
      </c>
      <c r="L1956" s="203">
        <f>IFERROR('Mail Merge'!$G1956/'Mail Merge'!$D1956,0)</f>
        <v>11839.729356936416</v>
      </c>
      <c r="M1956" s="199">
        <v>0</v>
      </c>
      <c r="N1956" s="199" t="s">
        <v>241</v>
      </c>
      <c r="O1956" s="199">
        <v>1917153.99</v>
      </c>
      <c r="P1956" s="199">
        <v>10860.97</v>
      </c>
      <c r="Q1956" s="199">
        <f>'Mail Merge'!$O1956+'Mail Merge'!$P1956</f>
        <v>1928014.96</v>
      </c>
      <c r="R1956" s="199"/>
      <c r="S1956" s="199">
        <v>0</v>
      </c>
      <c r="T1956" s="199"/>
      <c r="U1956" s="199">
        <f>IF(AND('Mail Merge'!$I1956="Did Not Meet",'Mail Merge'!$N1956="Did Not Meet"),MIN(ABS('Mail Merge'!$H1956),ABS('Mail Merge'!$M1956),'Mail Merge'!$Q1956),0)</f>
        <v>0</v>
      </c>
      <c r="V1956" s="199" t="str">
        <f>IF(OR(IFERROR(SEARCH("Met",'Mail Merge'!$N1956),0)&gt;0,IFERROR(SEARCH("Met",'Mail Merge'!$I1956),0)&gt;0),"Met","Not Met")</f>
        <v>Met</v>
      </c>
    </row>
    <row r="1957" spans="1:22" x14ac:dyDescent="0.35">
      <c r="A1957" s="200" t="s">
        <v>205</v>
      </c>
      <c r="B1957" s="201">
        <v>2197</v>
      </c>
      <c r="C1957" s="201" t="s">
        <v>1537</v>
      </c>
      <c r="D1957" s="201">
        <v>342</v>
      </c>
      <c r="E1957" s="201">
        <v>3504294.92</v>
      </c>
      <c r="F1957" s="201">
        <v>567368</v>
      </c>
      <c r="G1957" s="201">
        <f>'Mail Merge'!$E1957+'Mail Merge'!$F1957</f>
        <v>4071662.92</v>
      </c>
      <c r="H1957" s="201">
        <v>0</v>
      </c>
      <c r="I1957" s="201" t="s">
        <v>241</v>
      </c>
      <c r="J1957" s="204">
        <f>IFERROR('Mail Merge'!$E1957/'Mail Merge'!$D1957,0)</f>
        <v>10246.476374269005</v>
      </c>
      <c r="K1957" s="201">
        <f>IFERROR('Mail Merge'!$F1957/'Mail Merge'!$D1957,0)</f>
        <v>1658.9707602339181</v>
      </c>
      <c r="L1957" s="205">
        <f>IFERROR('Mail Merge'!$G1957/'Mail Merge'!$D1957,0)</f>
        <v>11905.447134502923</v>
      </c>
      <c r="M1957" s="201">
        <v>-531262.27048275888</v>
      </c>
      <c r="N1957" s="201" t="s">
        <v>240</v>
      </c>
      <c r="O1957" s="201">
        <v>370010.63</v>
      </c>
      <c r="P1957" s="201">
        <v>4538.01</v>
      </c>
      <c r="Q1957" s="201">
        <f>'Mail Merge'!$O1957+'Mail Merge'!$P1957</f>
        <v>374548.64</v>
      </c>
      <c r="R1957" s="201"/>
      <c r="S1957" s="201">
        <v>0</v>
      </c>
      <c r="T1957" s="201">
        <v>0</v>
      </c>
      <c r="U1957" s="201">
        <f>IF(AND('Mail Merge'!$I1957="Did Not Meet",'Mail Merge'!$N1957="Did Not Meet"),MIN(ABS('Mail Merge'!$H1957),ABS('Mail Merge'!$M1957),'Mail Merge'!$Q1957),0)</f>
        <v>0</v>
      </c>
      <c r="V1957" s="201" t="str">
        <f>IF(OR(IFERROR(SEARCH("Met",'Mail Merge'!$N1957),0)&gt;0,IFERROR(SEARCH("Met",'Mail Merge'!$I1957),0)&gt;0),"Met","Not Met")</f>
        <v>Met</v>
      </c>
    </row>
    <row r="1958" spans="1:22" x14ac:dyDescent="0.35">
      <c r="A1958" s="198" t="s">
        <v>206</v>
      </c>
      <c r="B1958" s="199">
        <v>2222</v>
      </c>
      <c r="C1958" s="199" t="s">
        <v>1537</v>
      </c>
      <c r="D1958" s="199">
        <v>0</v>
      </c>
      <c r="E1958" s="199">
        <v>0</v>
      </c>
      <c r="F1958" s="199">
        <v>3700</v>
      </c>
      <c r="G1958" s="199">
        <f>'Mail Merge'!$E1958+'Mail Merge'!$F1958</f>
        <v>3700</v>
      </c>
      <c r="H1958" s="199">
        <v>0</v>
      </c>
      <c r="I1958" s="199" t="s">
        <v>241</v>
      </c>
      <c r="J1958" s="202">
        <f>IFERROR('Mail Merge'!$E1958/'Mail Merge'!$D1958,0)</f>
        <v>0</v>
      </c>
      <c r="K1958" s="199">
        <f>IFERROR('Mail Merge'!$F1958/'Mail Merge'!$D1958,0)</f>
        <v>0</v>
      </c>
      <c r="L1958" s="203">
        <f>IFERROR('Mail Merge'!$G1958/'Mail Merge'!$D1958,0)</f>
        <v>0</v>
      </c>
      <c r="M1958" s="199">
        <v>0</v>
      </c>
      <c r="N1958" s="199" t="s">
        <v>241</v>
      </c>
      <c r="O1958" s="199">
        <v>2088.5700000000002</v>
      </c>
      <c r="P1958" s="199">
        <v>0.03</v>
      </c>
      <c r="Q1958" s="199">
        <f>'Mail Merge'!$O1958+'Mail Merge'!$P1958</f>
        <v>2088.6000000000004</v>
      </c>
      <c r="R1958" s="199"/>
      <c r="S1958" s="199">
        <v>0</v>
      </c>
      <c r="T1958" s="199"/>
      <c r="U1958" s="199">
        <f>IF(AND('Mail Merge'!$I1958="Did Not Meet",'Mail Merge'!$N1958="Did Not Meet"),MIN(ABS('Mail Merge'!$H1958),ABS('Mail Merge'!$M1958),'Mail Merge'!$Q1958),0)</f>
        <v>0</v>
      </c>
      <c r="V1958" s="199" t="str">
        <f>IF(OR(IFERROR(SEARCH("Met",'Mail Merge'!$N1958),0)&gt;0,IFERROR(SEARCH("Met",'Mail Merge'!$I1958),0)&gt;0),"Met","Not Met")</f>
        <v>Met</v>
      </c>
    </row>
    <row r="1959" spans="1:22" x14ac:dyDescent="0.35">
      <c r="A1959" s="200" t="s">
        <v>207</v>
      </c>
      <c r="B1959" s="201">
        <v>2210</v>
      </c>
      <c r="C1959" s="201" t="s">
        <v>1537</v>
      </c>
      <c r="D1959" s="201">
        <v>2</v>
      </c>
      <c r="E1959" s="201">
        <v>5243.88</v>
      </c>
      <c r="F1959" s="201">
        <v>7023.47</v>
      </c>
      <c r="G1959" s="201">
        <f>'Mail Merge'!$E1959+'Mail Merge'!$F1959</f>
        <v>12267.35</v>
      </c>
      <c r="H1959" s="201">
        <v>0</v>
      </c>
      <c r="I1959" s="201" t="s">
        <v>241</v>
      </c>
      <c r="J1959" s="204">
        <f>IFERROR('Mail Merge'!$E1959/'Mail Merge'!$D1959,0)</f>
        <v>2621.94</v>
      </c>
      <c r="K1959" s="201">
        <f>IFERROR('Mail Merge'!$F1959/'Mail Merge'!$D1959,0)</f>
        <v>3511.7350000000001</v>
      </c>
      <c r="L1959" s="205">
        <f>IFERROR('Mail Merge'!$G1959/'Mail Merge'!$D1959,0)</f>
        <v>6133.6750000000002</v>
      </c>
      <c r="M1959" s="201">
        <v>0</v>
      </c>
      <c r="N1959" s="201" t="s">
        <v>241</v>
      </c>
      <c r="O1959" s="201">
        <v>6935.84</v>
      </c>
      <c r="P1959" s="201">
        <v>7.44</v>
      </c>
      <c r="Q1959" s="201">
        <f>'Mail Merge'!$O1959+'Mail Merge'!$P1959</f>
        <v>6943.28</v>
      </c>
      <c r="R1959" s="201"/>
      <c r="S1959" s="201">
        <v>0</v>
      </c>
      <c r="T1959" s="201"/>
      <c r="U1959" s="201">
        <f>IF(AND('Mail Merge'!$I1959="Did Not Meet",'Mail Merge'!$N1959="Did Not Meet"),MIN(ABS('Mail Merge'!$H1959),ABS('Mail Merge'!$M1959),'Mail Merge'!$Q1959),0)</f>
        <v>0</v>
      </c>
      <c r="V1959" s="201" t="str">
        <f>IF(OR(IFERROR(SEARCH("Met",'Mail Merge'!$N1959),0)&gt;0,IFERROR(SEARCH("Met",'Mail Merge'!$I1959),0)&gt;0),"Met","Not Met")</f>
        <v>Met</v>
      </c>
    </row>
    <row r="1960" spans="1:22" x14ac:dyDescent="0.35">
      <c r="A1960" s="198" t="s">
        <v>208</v>
      </c>
      <c r="B1960" s="199">
        <v>2204</v>
      </c>
      <c r="C1960" s="199" t="s">
        <v>1537</v>
      </c>
      <c r="D1960" s="199">
        <v>134</v>
      </c>
      <c r="E1960" s="199">
        <v>1557478.38</v>
      </c>
      <c r="F1960" s="199">
        <v>231332.28</v>
      </c>
      <c r="G1960" s="199">
        <f>'Mail Merge'!$E1960+'Mail Merge'!$F1960</f>
        <v>1788810.66</v>
      </c>
      <c r="H1960" s="199">
        <v>0</v>
      </c>
      <c r="I1960" s="199" t="s">
        <v>241</v>
      </c>
      <c r="J1960" s="202">
        <f>IFERROR('Mail Merge'!$E1960/'Mail Merge'!$D1960,0)</f>
        <v>11622.972985074626</v>
      </c>
      <c r="K1960" s="199">
        <f>IFERROR('Mail Merge'!$F1960/'Mail Merge'!$D1960,0)</f>
        <v>1726.3602985074626</v>
      </c>
      <c r="L1960" s="203">
        <f>IFERROR('Mail Merge'!$G1960/'Mail Merge'!$D1960,0)</f>
        <v>13349.333283582089</v>
      </c>
      <c r="M1960" s="199">
        <v>0</v>
      </c>
      <c r="N1960" s="199" t="s">
        <v>241</v>
      </c>
      <c r="O1960" s="199">
        <v>186337.61</v>
      </c>
      <c r="P1960" s="199">
        <v>1980.33</v>
      </c>
      <c r="Q1960" s="199">
        <f>'Mail Merge'!$O1960+'Mail Merge'!$P1960</f>
        <v>188317.93999999997</v>
      </c>
      <c r="R1960" s="199"/>
      <c r="S1960" s="199">
        <v>0</v>
      </c>
      <c r="T1960" s="199"/>
      <c r="U1960" s="199">
        <f>IF(AND('Mail Merge'!$I1960="Did Not Meet",'Mail Merge'!$N1960="Did Not Meet"),MIN(ABS('Mail Merge'!$H1960),ABS('Mail Merge'!$M1960),'Mail Merge'!$Q1960),0)</f>
        <v>0</v>
      </c>
      <c r="V1960" s="199" t="str">
        <f>IF(OR(IFERROR(SEARCH("Met",'Mail Merge'!$N1960),0)&gt;0,IFERROR(SEARCH("Met",'Mail Merge'!$I1960),0)&gt;0),"Met","Not Met")</f>
        <v>Met</v>
      </c>
    </row>
    <row r="1961" spans="1:22" x14ac:dyDescent="0.35">
      <c r="A1961" s="200" t="s">
        <v>209</v>
      </c>
      <c r="B1961" s="201">
        <v>2213</v>
      </c>
      <c r="C1961" s="201" t="s">
        <v>1537</v>
      </c>
      <c r="D1961" s="201">
        <v>39</v>
      </c>
      <c r="E1961" s="201">
        <v>402427.56</v>
      </c>
      <c r="F1961" s="201">
        <v>66427.3</v>
      </c>
      <c r="G1961" s="201">
        <f>'Mail Merge'!$E1961+'Mail Merge'!$F1961</f>
        <v>468854.86</v>
      </c>
      <c r="H1961" s="201">
        <v>0</v>
      </c>
      <c r="I1961" s="201" t="s">
        <v>241</v>
      </c>
      <c r="J1961" s="204">
        <f>IFERROR('Mail Merge'!$E1961/'Mail Merge'!$D1961,0)</f>
        <v>10318.655384615384</v>
      </c>
      <c r="K1961" s="201">
        <f>IFERROR('Mail Merge'!$F1961/'Mail Merge'!$D1961,0)</f>
        <v>1703.2641025641026</v>
      </c>
      <c r="L1961" s="205">
        <f>IFERROR('Mail Merge'!$G1961/'Mail Merge'!$D1961,0)</f>
        <v>12021.919487179486</v>
      </c>
      <c r="M1961" s="201">
        <v>-3366.1921052631933</v>
      </c>
      <c r="N1961" s="201" t="s">
        <v>240</v>
      </c>
      <c r="O1961" s="201">
        <v>66378.37</v>
      </c>
      <c r="P1961" s="201">
        <v>520.23</v>
      </c>
      <c r="Q1961" s="201">
        <f>'Mail Merge'!$O1961+'Mail Merge'!$P1961</f>
        <v>66898.599999999991</v>
      </c>
      <c r="R1961" s="201"/>
      <c r="S1961" s="201">
        <v>0</v>
      </c>
      <c r="T1961" s="201">
        <v>0</v>
      </c>
      <c r="U1961" s="201">
        <f>IF(AND('Mail Merge'!$I1961="Did Not Meet",'Mail Merge'!$N1961="Did Not Meet"),MIN(ABS('Mail Merge'!$H1961),ABS('Mail Merge'!$M1961),'Mail Merge'!$Q1961),0)</f>
        <v>0</v>
      </c>
      <c r="V1961" s="201" t="str">
        <f>IF(OR(IFERROR(SEARCH("Met",'Mail Merge'!$N1961),0)&gt;0,IFERROR(SEARCH("Met",'Mail Merge'!$I1961),0)&gt;0),"Met","Not Met")</f>
        <v>Met</v>
      </c>
    </row>
    <row r="1962" spans="1:22" x14ac:dyDescent="0.35">
      <c r="A1962" s="198" t="s">
        <v>210</v>
      </c>
      <c r="B1962" s="199">
        <v>2116</v>
      </c>
      <c r="C1962" s="199" t="s">
        <v>1537</v>
      </c>
      <c r="D1962" s="199">
        <v>127</v>
      </c>
      <c r="E1962" s="199">
        <v>943895.41</v>
      </c>
      <c r="F1962" s="199">
        <v>352064.01</v>
      </c>
      <c r="G1962" s="199">
        <f>'Mail Merge'!$E1962+'Mail Merge'!$F1962</f>
        <v>1295959.42</v>
      </c>
      <c r="H1962" s="199">
        <v>0</v>
      </c>
      <c r="I1962" s="199" t="s">
        <v>241</v>
      </c>
      <c r="J1962" s="202">
        <f>IFERROR('Mail Merge'!$E1962/'Mail Merge'!$D1962,0)</f>
        <v>7432.2473228346462</v>
      </c>
      <c r="K1962" s="199">
        <f>IFERROR('Mail Merge'!$F1962/'Mail Merge'!$D1962,0)</f>
        <v>2772.1575590551183</v>
      </c>
      <c r="L1962" s="203">
        <f>IFERROR('Mail Merge'!$G1962/'Mail Merge'!$D1962,0)</f>
        <v>10204.404881889763</v>
      </c>
      <c r="M1962" s="199">
        <v>-104440.26009615394</v>
      </c>
      <c r="N1962" s="199" t="s">
        <v>240</v>
      </c>
      <c r="O1962" s="199">
        <v>186004.34</v>
      </c>
      <c r="P1962" s="199">
        <v>45.48</v>
      </c>
      <c r="Q1962" s="199">
        <f>'Mail Merge'!$O1962+'Mail Merge'!$P1962</f>
        <v>186049.82</v>
      </c>
      <c r="R1962" s="199"/>
      <c r="S1962" s="199">
        <v>0</v>
      </c>
      <c r="T1962" s="199">
        <v>0</v>
      </c>
      <c r="U1962" s="199">
        <f>IF(AND('Mail Merge'!$I1962="Did Not Meet",'Mail Merge'!$N1962="Did Not Meet"),MIN(ABS('Mail Merge'!$H1962),ABS('Mail Merge'!$M1962),'Mail Merge'!$Q1962),0)</f>
        <v>0</v>
      </c>
      <c r="V1962" s="199" t="str">
        <f>IF(OR(IFERROR(SEARCH("Met",'Mail Merge'!$N1962),0)&gt;0,IFERROR(SEARCH("Met",'Mail Merge'!$I1962),0)&gt;0),"Met","Not Met")</f>
        <v>Met</v>
      </c>
    </row>
    <row r="1963" spans="1:22" x14ac:dyDescent="0.35">
      <c r="A1963" s="200" t="s">
        <v>211</v>
      </c>
      <c r="B1963" s="201">
        <v>1947</v>
      </c>
      <c r="C1963" s="201" t="s">
        <v>1537</v>
      </c>
      <c r="D1963" s="201">
        <v>104</v>
      </c>
      <c r="E1963" s="201">
        <v>1202448.58</v>
      </c>
      <c r="F1963" s="201">
        <v>106671</v>
      </c>
      <c r="G1963" s="201">
        <f>'Mail Merge'!$E1963+'Mail Merge'!$F1963</f>
        <v>1309119.58</v>
      </c>
      <c r="H1963" s="201">
        <v>0</v>
      </c>
      <c r="I1963" s="201" t="s">
        <v>241</v>
      </c>
      <c r="J1963" s="204">
        <f>IFERROR('Mail Merge'!$E1963/'Mail Merge'!$D1963,0)</f>
        <v>11562.005576923078</v>
      </c>
      <c r="K1963" s="201">
        <f>IFERROR('Mail Merge'!$F1963/'Mail Merge'!$D1963,0)</f>
        <v>1025.6826923076924</v>
      </c>
      <c r="L1963" s="205">
        <f>IFERROR('Mail Merge'!$G1963/'Mail Merge'!$D1963,0)</f>
        <v>12587.68826923077</v>
      </c>
      <c r="M1963" s="201">
        <v>-272851.91953488364</v>
      </c>
      <c r="N1963" s="201" t="s">
        <v>240</v>
      </c>
      <c r="O1963" s="201">
        <v>104064.99</v>
      </c>
      <c r="P1963" s="201">
        <v>988.84</v>
      </c>
      <c r="Q1963" s="201">
        <f>'Mail Merge'!$O1963+'Mail Merge'!$P1963</f>
        <v>105053.83</v>
      </c>
      <c r="R1963" s="201"/>
      <c r="S1963" s="201">
        <v>0</v>
      </c>
      <c r="T1963" s="201">
        <v>0</v>
      </c>
      <c r="U1963" s="201">
        <f>IF(AND('Mail Merge'!$I1963="Did Not Meet",'Mail Merge'!$N1963="Did Not Meet"),MIN(ABS('Mail Merge'!$H1963),ABS('Mail Merge'!$M1963),'Mail Merge'!$Q1963),0)</f>
        <v>0</v>
      </c>
      <c r="V1963" s="201" t="str">
        <f>IF(OR(IFERROR(SEARCH("Met",'Mail Merge'!$N1963),0)&gt;0,IFERROR(SEARCH("Met",'Mail Merge'!$I1963),0)&gt;0),"Met","Not Met")</f>
        <v>Met</v>
      </c>
    </row>
    <row r="1964" spans="1:22" x14ac:dyDescent="0.35">
      <c r="A1964" s="198" t="s">
        <v>212</v>
      </c>
      <c r="B1964" s="199">
        <v>2220</v>
      </c>
      <c r="C1964" s="199" t="s">
        <v>1537</v>
      </c>
      <c r="D1964" s="199">
        <v>30</v>
      </c>
      <c r="E1964" s="199">
        <v>173058.11</v>
      </c>
      <c r="F1964" s="199">
        <v>149667.75</v>
      </c>
      <c r="G1964" s="199">
        <f>'Mail Merge'!$E1964+'Mail Merge'!$F1964</f>
        <v>322725.86</v>
      </c>
      <c r="H1964" s="199">
        <v>0</v>
      </c>
      <c r="I1964" s="199" t="s">
        <v>241</v>
      </c>
      <c r="J1964" s="202">
        <f>IFERROR('Mail Merge'!$E1964/'Mail Merge'!$D1964,0)</f>
        <v>5768.603666666666</v>
      </c>
      <c r="K1964" s="199">
        <f>IFERROR('Mail Merge'!$F1964/'Mail Merge'!$D1964,0)</f>
        <v>4988.9250000000002</v>
      </c>
      <c r="L1964" s="203">
        <f>IFERROR('Mail Merge'!$G1964/'Mail Merge'!$D1964,0)</f>
        <v>10757.528666666667</v>
      </c>
      <c r="M1964" s="199">
        <v>0</v>
      </c>
      <c r="N1964" s="199" t="s">
        <v>241</v>
      </c>
      <c r="O1964" s="199">
        <v>56307.09</v>
      </c>
      <c r="P1964" s="199">
        <v>997.05</v>
      </c>
      <c r="Q1964" s="199">
        <f>'Mail Merge'!$O1964+'Mail Merge'!$P1964</f>
        <v>57304.14</v>
      </c>
      <c r="R1964" s="199"/>
      <c r="S1964" s="199">
        <v>0</v>
      </c>
      <c r="T1964" s="199"/>
      <c r="U1964" s="199">
        <f>IF(AND('Mail Merge'!$I1964="Did Not Meet",'Mail Merge'!$N1964="Did Not Meet"),MIN(ABS('Mail Merge'!$H1964),ABS('Mail Merge'!$M1964),'Mail Merge'!$Q1964),0)</f>
        <v>0</v>
      </c>
      <c r="V1964" s="199" t="str">
        <f>IF(OR(IFERROR(SEARCH("Met",'Mail Merge'!$N1964),0)&gt;0,IFERROR(SEARCH("Met",'Mail Merge'!$I1964),0)&gt;0),"Met","Not Met")</f>
        <v>Met</v>
      </c>
    </row>
    <row r="1965" spans="1:22" x14ac:dyDescent="0.35">
      <c r="A1965" s="200" t="s">
        <v>213</v>
      </c>
      <c r="B1965" s="201">
        <v>1936</v>
      </c>
      <c r="C1965" s="201" t="s">
        <v>1537</v>
      </c>
      <c r="D1965" s="201">
        <v>158</v>
      </c>
      <c r="E1965" s="201">
        <v>1480448.33</v>
      </c>
      <c r="F1965" s="201">
        <v>300827</v>
      </c>
      <c r="G1965" s="201">
        <f>'Mail Merge'!$E1965+'Mail Merge'!$F1965</f>
        <v>1781275.33</v>
      </c>
      <c r="H1965" s="201">
        <v>0</v>
      </c>
      <c r="I1965" s="201" t="s">
        <v>242</v>
      </c>
      <c r="J1965" s="204">
        <f>IFERROR('Mail Merge'!$E1965/'Mail Merge'!$D1965,0)</f>
        <v>9369.926139240506</v>
      </c>
      <c r="K1965" s="201">
        <f>IFERROR('Mail Merge'!$F1965/'Mail Merge'!$D1965,0)</f>
        <v>1903.9683544303798</v>
      </c>
      <c r="L1965" s="205">
        <f>IFERROR('Mail Merge'!$G1965/'Mail Merge'!$D1965,0)</f>
        <v>11273.894493670887</v>
      </c>
      <c r="M1965" s="201">
        <v>-258389.30676470583</v>
      </c>
      <c r="N1965" s="201" t="s">
        <v>240</v>
      </c>
      <c r="O1965" s="201">
        <v>157364.66</v>
      </c>
      <c r="P1965" s="201">
        <v>1018.5</v>
      </c>
      <c r="Q1965" s="201">
        <f>'Mail Merge'!$O1965+'Mail Merge'!$P1965</f>
        <v>158383.16</v>
      </c>
      <c r="R1965" s="201"/>
      <c r="S1965" s="201">
        <v>37250.959999999999</v>
      </c>
      <c r="T1965" s="201">
        <v>0</v>
      </c>
      <c r="U1965" s="201">
        <f>IF(AND('Mail Merge'!$I1965="Did Not Meet",'Mail Merge'!$N1965="Did Not Meet"),MIN(ABS('Mail Merge'!$H1965),ABS('Mail Merge'!$M1965),'Mail Merge'!$Q1965),0)</f>
        <v>0</v>
      </c>
      <c r="V1965" s="201" t="str">
        <f>IF(OR(IFERROR(SEARCH("Met",'Mail Merge'!$N1965),0)&gt;0,IFERROR(SEARCH("Met",'Mail Merge'!$I1965),0)&gt;0),"Met","Not Met")</f>
        <v>Met</v>
      </c>
    </row>
    <row r="1966" spans="1:22" x14ac:dyDescent="0.35">
      <c r="A1966" s="198" t="s">
        <v>214</v>
      </c>
      <c r="B1966" s="199">
        <v>1922</v>
      </c>
      <c r="C1966" s="199" t="s">
        <v>1537</v>
      </c>
      <c r="D1966" s="199">
        <v>1128</v>
      </c>
      <c r="E1966" s="199">
        <v>13012723.439999999</v>
      </c>
      <c r="F1966" s="199">
        <v>59958</v>
      </c>
      <c r="G1966" s="199">
        <f>'Mail Merge'!$E1966+'Mail Merge'!$F1966</f>
        <v>13072681.439999999</v>
      </c>
      <c r="H1966" s="199">
        <v>0</v>
      </c>
      <c r="I1966" s="199" t="s">
        <v>241</v>
      </c>
      <c r="J1966" s="202">
        <f>IFERROR('Mail Merge'!$E1966/'Mail Merge'!$D1966,0)</f>
        <v>11536.102340425532</v>
      </c>
      <c r="K1966" s="199">
        <f>IFERROR('Mail Merge'!$F1966/'Mail Merge'!$D1966,0)</f>
        <v>53.154255319148938</v>
      </c>
      <c r="L1966" s="203">
        <f>IFERROR('Mail Merge'!$G1966/'Mail Merge'!$D1966,0)</f>
        <v>11589.25659574468</v>
      </c>
      <c r="M1966" s="199">
        <v>0</v>
      </c>
      <c r="N1966" s="199" t="s">
        <v>241</v>
      </c>
      <c r="O1966" s="199">
        <v>1309146.1599999999</v>
      </c>
      <c r="P1966" s="199">
        <v>9754.67</v>
      </c>
      <c r="Q1966" s="199">
        <f>'Mail Merge'!$O1966+'Mail Merge'!$P1966</f>
        <v>1318900.8299999998</v>
      </c>
      <c r="R1966" s="199"/>
      <c r="S1966" s="199">
        <v>0</v>
      </c>
      <c r="T1966" s="199"/>
      <c r="U1966" s="199">
        <f>IF(AND('Mail Merge'!$I1966="Did Not Meet",'Mail Merge'!$N1966="Did Not Meet"),MIN(ABS('Mail Merge'!$H1966),ABS('Mail Merge'!$M1966),'Mail Merge'!$Q1966),0)</f>
        <v>0</v>
      </c>
      <c r="V1966" s="199" t="str">
        <f>IF(OR(IFERROR(SEARCH("Met",'Mail Merge'!$N1966),0)&gt;0,IFERROR(SEARCH("Met",'Mail Merge'!$I1966),0)&gt;0),"Met","Not Met")</f>
        <v>Met</v>
      </c>
    </row>
    <row r="1967" spans="1:22" x14ac:dyDescent="0.35">
      <c r="A1967" s="200" t="s">
        <v>215</v>
      </c>
      <c r="B1967" s="201">
        <v>2255</v>
      </c>
      <c r="C1967" s="201" t="s">
        <v>1537</v>
      </c>
      <c r="D1967" s="201">
        <v>147</v>
      </c>
      <c r="E1967" s="201">
        <v>1168533.18</v>
      </c>
      <c r="F1967" s="201">
        <v>28636.05</v>
      </c>
      <c r="G1967" s="201">
        <f>'Mail Merge'!$E1967+'Mail Merge'!$F1967</f>
        <v>1197169.23</v>
      </c>
      <c r="H1967" s="201">
        <v>0</v>
      </c>
      <c r="I1967" s="201" t="s">
        <v>242</v>
      </c>
      <c r="J1967" s="204">
        <f>IFERROR('Mail Merge'!$E1967/'Mail Merge'!$D1967,0)</f>
        <v>7949.2053061224487</v>
      </c>
      <c r="K1967" s="201">
        <f>IFERROR('Mail Merge'!$F1967/'Mail Merge'!$D1967,0)</f>
        <v>194.8030612244898</v>
      </c>
      <c r="L1967" s="205">
        <f>IFERROR('Mail Merge'!$G1967/'Mail Merge'!$D1967,0)</f>
        <v>8144.0083673469389</v>
      </c>
      <c r="M1967" s="201">
        <v>-88248.556578947391</v>
      </c>
      <c r="N1967" s="201" t="s">
        <v>240</v>
      </c>
      <c r="O1967" s="201">
        <v>196650.11</v>
      </c>
      <c r="P1967" s="201">
        <v>2498.64</v>
      </c>
      <c r="Q1967" s="201">
        <f>'Mail Merge'!$O1967+'Mail Merge'!$P1967</f>
        <v>199148.75</v>
      </c>
      <c r="R1967" s="201"/>
      <c r="S1967" s="201">
        <v>40686.447368421053</v>
      </c>
      <c r="T1967" s="201">
        <v>996.94</v>
      </c>
      <c r="U1967" s="201">
        <f>IF(AND('Mail Merge'!$I1967="Did Not Meet",'Mail Merge'!$N1967="Did Not Meet"),MIN(ABS('Mail Merge'!$H1967),ABS('Mail Merge'!$M1967),'Mail Merge'!$Q1967),0)</f>
        <v>0</v>
      </c>
      <c r="V1967" s="201" t="str">
        <f>IF(OR(IFERROR(SEARCH("Met",'Mail Merge'!$N1967),0)&gt;0,IFERROR(SEARCH("Met",'Mail Merge'!$I1967),0)&gt;0),"Met","Not Met")</f>
        <v>Met</v>
      </c>
    </row>
    <row r="1968" spans="1:22" x14ac:dyDescent="0.35">
      <c r="A1968" s="198" t="s">
        <v>216</v>
      </c>
      <c r="B1968" s="199">
        <v>2002</v>
      </c>
      <c r="C1968" s="199" t="s">
        <v>1537</v>
      </c>
      <c r="D1968" s="199">
        <v>208</v>
      </c>
      <c r="E1968" s="199">
        <v>1597996.38</v>
      </c>
      <c r="F1968" s="199">
        <v>377066.25</v>
      </c>
      <c r="G1968" s="199">
        <f>'Mail Merge'!$E1968+'Mail Merge'!$F1968</f>
        <v>1975062.63</v>
      </c>
      <c r="H1968" s="199">
        <v>0</v>
      </c>
      <c r="I1968" s="199" t="s">
        <v>241</v>
      </c>
      <c r="J1968" s="202">
        <f>IFERROR('Mail Merge'!$E1968/'Mail Merge'!$D1968,0)</f>
        <v>7682.674903846153</v>
      </c>
      <c r="K1968" s="199">
        <f>IFERROR('Mail Merge'!$F1968/'Mail Merge'!$D1968,0)</f>
        <v>1812.8185096153845</v>
      </c>
      <c r="L1968" s="203">
        <f>IFERROR('Mail Merge'!$G1968/'Mail Merge'!$D1968,0)</f>
        <v>9495.4934134615378</v>
      </c>
      <c r="M1968" s="199">
        <v>0</v>
      </c>
      <c r="N1968" s="199" t="s">
        <v>241</v>
      </c>
      <c r="O1968" s="199">
        <v>256804.13</v>
      </c>
      <c r="P1968" s="199">
        <v>3505.28</v>
      </c>
      <c r="Q1968" s="199">
        <f>'Mail Merge'!$O1968+'Mail Merge'!$P1968</f>
        <v>260309.41</v>
      </c>
      <c r="R1968" s="199"/>
      <c r="S1968" s="199">
        <v>0</v>
      </c>
      <c r="T1968" s="199"/>
      <c r="U1968" s="199">
        <f>IF(AND('Mail Merge'!$I1968="Did Not Meet",'Mail Merge'!$N1968="Did Not Meet"),MIN(ABS('Mail Merge'!$H1968),ABS('Mail Merge'!$M1968),'Mail Merge'!$Q1968),0)</f>
        <v>0</v>
      </c>
      <c r="V1968" s="199" t="str">
        <f>IF(OR(IFERROR(SEARCH("Met",'Mail Merge'!$N1968),0)&gt;0,IFERROR(SEARCH("Met",'Mail Merge'!$I1968),0)&gt;0),"Met","Not Met")</f>
        <v>Met</v>
      </c>
    </row>
    <row r="1969" spans="1:22" x14ac:dyDescent="0.35">
      <c r="A1969" s="200" t="s">
        <v>217</v>
      </c>
      <c r="B1969" s="201">
        <v>2146</v>
      </c>
      <c r="C1969" s="201" t="s">
        <v>1537</v>
      </c>
      <c r="D1969" s="201">
        <v>845</v>
      </c>
      <c r="E1969" s="201">
        <v>8951078.1300000008</v>
      </c>
      <c r="F1969" s="201">
        <v>593570.86</v>
      </c>
      <c r="G1969" s="201">
        <f>'Mail Merge'!$E1969+'Mail Merge'!$F1969</f>
        <v>9544648.9900000002</v>
      </c>
      <c r="H1969" s="201">
        <v>0</v>
      </c>
      <c r="I1969" s="201" t="s">
        <v>241</v>
      </c>
      <c r="J1969" s="204">
        <f>IFERROR('Mail Merge'!$E1969/'Mail Merge'!$D1969,0)</f>
        <v>10592.991869822486</v>
      </c>
      <c r="K1969" s="201">
        <f>IFERROR('Mail Merge'!$F1969/'Mail Merge'!$D1969,0)</f>
        <v>702.45072189349116</v>
      </c>
      <c r="L1969" s="205">
        <f>IFERROR('Mail Merge'!$G1969/'Mail Merge'!$D1969,0)</f>
        <v>11295.442591715977</v>
      </c>
      <c r="M1969" s="201">
        <v>0</v>
      </c>
      <c r="N1969" s="201" t="s">
        <v>241</v>
      </c>
      <c r="O1969" s="201">
        <v>858279.06</v>
      </c>
      <c r="P1969" s="201">
        <v>2826.37</v>
      </c>
      <c r="Q1969" s="201">
        <f>'Mail Merge'!$O1969+'Mail Merge'!$P1969</f>
        <v>861105.43</v>
      </c>
      <c r="R1969" s="201"/>
      <c r="S1969" s="201">
        <v>0</v>
      </c>
      <c r="T1969" s="201"/>
      <c r="U1969" s="201">
        <f>IF(AND('Mail Merge'!$I1969="Did Not Meet",'Mail Merge'!$N1969="Did Not Meet"),MIN(ABS('Mail Merge'!$H1969),ABS('Mail Merge'!$M1969),'Mail Merge'!$Q1969),0)</f>
        <v>0</v>
      </c>
      <c r="V1969" s="201" t="str">
        <f>IF(OR(IFERROR(SEARCH("Met",'Mail Merge'!$N1969),0)&gt;0,IFERROR(SEARCH("Met",'Mail Merge'!$I1969),0)&gt;0),"Met","Not Met")</f>
        <v>Met</v>
      </c>
    </row>
    <row r="1970" spans="1:22" x14ac:dyDescent="0.35">
      <c r="A1970" s="198" t="s">
        <v>218</v>
      </c>
      <c r="B1970" s="199">
        <v>2251</v>
      </c>
      <c r="C1970" s="199" t="s">
        <v>1537</v>
      </c>
      <c r="D1970" s="199">
        <v>127</v>
      </c>
      <c r="E1970" s="199">
        <v>1510364.31</v>
      </c>
      <c r="F1970" s="199">
        <v>207861.99</v>
      </c>
      <c r="G1970" s="199">
        <f>'Mail Merge'!$E1970+'Mail Merge'!$F1970</f>
        <v>1718226.3</v>
      </c>
      <c r="H1970" s="199">
        <v>-84373.639999999898</v>
      </c>
      <c r="I1970" s="199" t="s">
        <v>240</v>
      </c>
      <c r="J1970" s="202">
        <f>IFERROR('Mail Merge'!$E1970/'Mail Merge'!$D1970,0)</f>
        <v>11892.632362204726</v>
      </c>
      <c r="K1970" s="199">
        <f>IFERROR('Mail Merge'!$F1970/'Mail Merge'!$D1970,0)</f>
        <v>1636.7085826771652</v>
      </c>
      <c r="L1970" s="203">
        <f>IFERROR('Mail Merge'!$G1970/'Mail Merge'!$D1970,0)</f>
        <v>13529.340944881889</v>
      </c>
      <c r="M1970" s="199">
        <v>-173758.76099173553</v>
      </c>
      <c r="N1970" s="199" t="s">
        <v>240</v>
      </c>
      <c r="O1970" s="199">
        <v>183338.78</v>
      </c>
      <c r="P1970" s="199">
        <v>990.52</v>
      </c>
      <c r="Q1970" s="199">
        <f>'Mail Merge'!$O1970+'Mail Merge'!$P1970</f>
        <v>184329.3</v>
      </c>
      <c r="R1970" s="199"/>
      <c r="S1970" s="199">
        <v>0</v>
      </c>
      <c r="T1970" s="199">
        <v>0</v>
      </c>
      <c r="U1970" s="199">
        <f>IF(AND('Mail Merge'!$I1970="Did Not Meet",'Mail Merge'!$N1970="Did Not Meet"),MIN(ABS('Mail Merge'!$H1970),ABS('Mail Merge'!$M1970),'Mail Merge'!$Q1970),0)</f>
        <v>84373.639999999898</v>
      </c>
      <c r="V1970" s="199" t="str">
        <f>IF(OR(IFERROR(SEARCH("Met",'Mail Merge'!$N1970),0)&gt;0,IFERROR(SEARCH("Met",'Mail Merge'!$I1970),0)&gt;0),"Met","Not Met")</f>
        <v>Not Met</v>
      </c>
    </row>
    <row r="1971" spans="1:22" x14ac:dyDescent="0.35">
      <c r="A1971" s="200" t="s">
        <v>219</v>
      </c>
      <c r="B1971" s="201">
        <v>1997</v>
      </c>
      <c r="C1971" s="201" t="s">
        <v>1537</v>
      </c>
      <c r="D1971" s="201">
        <v>38</v>
      </c>
      <c r="E1971" s="201">
        <v>304434.65000000002</v>
      </c>
      <c r="F1971" s="201">
        <v>69247.94</v>
      </c>
      <c r="G1971" s="201">
        <f>'Mail Merge'!$E1971+'Mail Merge'!$F1971</f>
        <v>373682.59</v>
      </c>
      <c r="H1971" s="201">
        <v>0</v>
      </c>
      <c r="I1971" s="201" t="s">
        <v>241</v>
      </c>
      <c r="J1971" s="204">
        <f>IFERROR('Mail Merge'!$E1971/'Mail Merge'!$D1971,0)</f>
        <v>8011.4381578947377</v>
      </c>
      <c r="K1971" s="201">
        <f>IFERROR('Mail Merge'!$F1971/'Mail Merge'!$D1971,0)</f>
        <v>1822.3142105263159</v>
      </c>
      <c r="L1971" s="205">
        <f>IFERROR('Mail Merge'!$G1971/'Mail Merge'!$D1971,0)</f>
        <v>9833.7523684210537</v>
      </c>
      <c r="M1971" s="201">
        <v>-68586.955806451515</v>
      </c>
      <c r="N1971" s="201" t="s">
        <v>240</v>
      </c>
      <c r="O1971" s="201">
        <v>52626.38</v>
      </c>
      <c r="P1971" s="201">
        <v>510.85</v>
      </c>
      <c r="Q1971" s="201">
        <f>'Mail Merge'!$O1971+'Mail Merge'!$P1971</f>
        <v>53137.229999999996</v>
      </c>
      <c r="R1971" s="201"/>
      <c r="S1971" s="201">
        <v>0</v>
      </c>
      <c r="T1971" s="201">
        <v>0</v>
      </c>
      <c r="U1971" s="201">
        <f>IF(AND('Mail Merge'!$I1971="Did Not Meet",'Mail Merge'!$N1971="Did Not Meet"),MIN(ABS('Mail Merge'!$H1971),ABS('Mail Merge'!$M1971),'Mail Merge'!$Q1971),0)</f>
        <v>0</v>
      </c>
      <c r="V1971" s="201" t="str">
        <f>IF(OR(IFERROR(SEARCH("Met",'Mail Merge'!$N1971),0)&gt;0,IFERROR(SEARCH("Met",'Mail Merge'!$I1971),0)&gt;0),"Met","Not Met")</f>
        <v>Met</v>
      </c>
    </row>
    <row r="1972" spans="1:22" s="104" customFormat="1" x14ac:dyDescent="0.35">
      <c r="A1972" s="206" t="s">
        <v>14</v>
      </c>
      <c r="B1972" s="207">
        <v>2063</v>
      </c>
      <c r="C1972" s="207" t="s">
        <v>1534</v>
      </c>
      <c r="D1972" s="207">
        <v>5</v>
      </c>
      <c r="E1972" s="208">
        <v>4514.75</v>
      </c>
      <c r="F1972" s="208">
        <v>66689.84</v>
      </c>
      <c r="G1972" s="207">
        <f>'Mail Merge'!$E1972+'Mail Merge'!$F1972</f>
        <v>71204.59</v>
      </c>
      <c r="H1972" s="207"/>
      <c r="I1972" s="207" t="s">
        <v>241</v>
      </c>
      <c r="J1972" s="209">
        <f>IFERROR('Mail Merge'!$E1972/'Mail Merge'!$D1972,0)</f>
        <v>902.95</v>
      </c>
      <c r="K1972" s="207">
        <f>IFERROR('Mail Merge'!$F1972/'Mail Merge'!$D1972,0)</f>
        <v>13337.967999999999</v>
      </c>
      <c r="L1972" s="207">
        <f>IFERROR('Mail Merge'!$G1972/'Mail Merge'!$D1972,0)</f>
        <v>14240.918</v>
      </c>
      <c r="M1972" s="207"/>
      <c r="N1972" s="210" t="s">
        <v>2140</v>
      </c>
      <c r="O1972" s="207">
        <v>2614.52</v>
      </c>
      <c r="P1972" s="207">
        <v>243.89</v>
      </c>
      <c r="Q1972" s="207">
        <f>'Mail Merge'!$O1972+'Mail Merge'!$P1972</f>
        <v>2858.41</v>
      </c>
      <c r="R1972" s="207"/>
      <c r="S1972" s="207"/>
      <c r="T1972" s="207"/>
      <c r="U1972" s="207">
        <f>IF(AND('Mail Merge'!$I1972="Did Not Meet",'Mail Merge'!$N1972="Did Not Meet"),MIN(ABS('Mail Merge'!$H1972),ABS('Mail Merge'!$M1972),'Mail Merge'!$Q1972),0)</f>
        <v>0</v>
      </c>
      <c r="V1972" s="207" t="s">
        <v>241</v>
      </c>
    </row>
    <row r="1973" spans="1:22" x14ac:dyDescent="0.35">
      <c r="A1973" s="200" t="s">
        <v>17</v>
      </c>
      <c r="B1973" s="201">
        <v>2113</v>
      </c>
      <c r="C1973" s="201" t="s">
        <v>1534</v>
      </c>
      <c r="D1973" s="201">
        <v>43</v>
      </c>
      <c r="E1973" s="211">
        <v>275669.42</v>
      </c>
      <c r="F1973" s="211">
        <v>93756.959999999992</v>
      </c>
      <c r="G1973" s="201">
        <f>'Mail Merge'!$E1973+'Mail Merge'!$F1973</f>
        <v>369426.38</v>
      </c>
      <c r="H1973" s="201"/>
      <c r="I1973" s="201" t="s">
        <v>242</v>
      </c>
      <c r="J1973" s="204">
        <f>IFERROR('Mail Merge'!$E1973/'Mail Merge'!$D1973,0)</f>
        <v>6410.9167441860463</v>
      </c>
      <c r="K1973" s="201">
        <f>IFERROR('Mail Merge'!$F1973/'Mail Merge'!$D1973,0)</f>
        <v>2180.394418604651</v>
      </c>
      <c r="L1973" s="201">
        <f>IFERROR('Mail Merge'!$G1973/'Mail Merge'!$D1973,0)</f>
        <v>8591.3111627906983</v>
      </c>
      <c r="M1973" s="201"/>
      <c r="N1973" s="212" t="s">
        <v>241</v>
      </c>
      <c r="O1973" s="201">
        <v>58373.280000000006</v>
      </c>
      <c r="P1973" s="201">
        <v>363</v>
      </c>
      <c r="Q1973" s="201">
        <f>'Mail Merge'!$O1973+'Mail Merge'!$P1973</f>
        <v>58736.280000000006</v>
      </c>
      <c r="R1973" s="201"/>
      <c r="S1973" s="201"/>
      <c r="T1973" s="201"/>
      <c r="U1973" s="201">
        <f>IF(AND('Mail Merge'!$I1973="Did Not Meet",'Mail Merge'!$N1973="Did Not Meet"),MIN(ABS('Mail Merge'!$H1973),ABS('Mail Merge'!$M1973),'Mail Merge'!$Q1973),0)</f>
        <v>0</v>
      </c>
      <c r="V1973" s="201" t="s">
        <v>242</v>
      </c>
    </row>
    <row r="1974" spans="1:22" x14ac:dyDescent="0.35">
      <c r="A1974" s="198" t="s">
        <v>20</v>
      </c>
      <c r="B1974" s="199">
        <v>1899</v>
      </c>
      <c r="C1974" s="199" t="s">
        <v>1534</v>
      </c>
      <c r="D1974" s="199">
        <v>98</v>
      </c>
      <c r="E1974" s="213">
        <v>757951.11</v>
      </c>
      <c r="F1974" s="213">
        <v>143484</v>
      </c>
      <c r="G1974" s="199">
        <f>'Mail Merge'!$E1974+'Mail Merge'!$F1974</f>
        <v>901435.11</v>
      </c>
      <c r="H1974" s="199"/>
      <c r="I1974" s="199" t="s">
        <v>241</v>
      </c>
      <c r="J1974" s="202">
        <f>IFERROR('Mail Merge'!$E1974/'Mail Merge'!$D1974,0)</f>
        <v>7734.1949999999997</v>
      </c>
      <c r="K1974" s="199">
        <f>IFERROR('Mail Merge'!$F1974/'Mail Merge'!$D1974,0)</f>
        <v>1464.1224489795918</v>
      </c>
      <c r="L1974" s="199">
        <f>IFERROR('Mail Merge'!$G1974/'Mail Merge'!$D1974,0)</f>
        <v>9198.3174489795911</v>
      </c>
      <c r="M1974" s="199"/>
      <c r="N1974" s="210" t="s">
        <v>2140</v>
      </c>
      <c r="O1974" s="199">
        <v>48606.03</v>
      </c>
      <c r="P1974" s="199">
        <v>1533.57</v>
      </c>
      <c r="Q1974" s="199">
        <f>'Mail Merge'!$O1974+'Mail Merge'!$P1974</f>
        <v>50139.6</v>
      </c>
      <c r="R1974" s="199"/>
      <c r="S1974" s="199"/>
      <c r="T1974" s="199"/>
      <c r="U1974" s="199">
        <f>IF(AND('Mail Merge'!$I1974="Did Not Meet",'Mail Merge'!$N1974="Did Not Meet"),MIN(ABS('Mail Merge'!$H1974),ABS('Mail Merge'!$M1974),'Mail Merge'!$Q1974),0)</f>
        <v>0</v>
      </c>
      <c r="V1974" s="199" t="s">
        <v>241</v>
      </c>
    </row>
    <row r="1975" spans="1:22" x14ac:dyDescent="0.35">
      <c r="A1975" s="200" t="s">
        <v>21</v>
      </c>
      <c r="B1975" s="201">
        <v>2252</v>
      </c>
      <c r="C1975" s="201" t="s">
        <v>1534</v>
      </c>
      <c r="D1975" s="201">
        <v>125</v>
      </c>
      <c r="E1975" s="211">
        <v>676751.8</v>
      </c>
      <c r="F1975" s="211">
        <v>142426.82999999999</v>
      </c>
      <c r="G1975" s="201">
        <f>'Mail Merge'!$E1975+'Mail Merge'!$F1975</f>
        <v>819178.63</v>
      </c>
      <c r="H1975" s="201"/>
      <c r="I1975" s="201" t="s">
        <v>242</v>
      </c>
      <c r="J1975" s="204">
        <f>IFERROR('Mail Merge'!$E1975/'Mail Merge'!$D1975,0)</f>
        <v>5414.0144</v>
      </c>
      <c r="K1975" s="201">
        <f>IFERROR('Mail Merge'!$F1975/'Mail Merge'!$D1975,0)</f>
        <v>1139.41464</v>
      </c>
      <c r="L1975" s="201">
        <f>IFERROR('Mail Merge'!$G1975/'Mail Merge'!$D1975,0)</f>
        <v>6553.42904</v>
      </c>
      <c r="M1975" s="201"/>
      <c r="N1975" s="212" t="s">
        <v>241</v>
      </c>
      <c r="O1975" s="201">
        <v>184023.94</v>
      </c>
      <c r="P1975" s="201">
        <v>8034.88</v>
      </c>
      <c r="Q1975" s="201">
        <f>'Mail Merge'!$O1975+'Mail Merge'!$P1975</f>
        <v>192058.82</v>
      </c>
      <c r="R1975" s="201"/>
      <c r="S1975" s="201"/>
      <c r="T1975" s="201"/>
      <c r="U1975" s="201">
        <f>IF(AND('Mail Merge'!$I1975="Did Not Meet",'Mail Merge'!$N1975="Did Not Meet"),MIN(ABS('Mail Merge'!$H1975),ABS('Mail Merge'!$M1975),'Mail Merge'!$Q1975),0)</f>
        <v>0</v>
      </c>
      <c r="V1975" s="201" t="s">
        <v>242</v>
      </c>
    </row>
    <row r="1976" spans="1:22" x14ac:dyDescent="0.35">
      <c r="A1976" s="198" t="s">
        <v>23</v>
      </c>
      <c r="B1976" s="199">
        <v>2111</v>
      </c>
      <c r="C1976" s="199" t="s">
        <v>1534</v>
      </c>
      <c r="D1976" s="199">
        <v>10</v>
      </c>
      <c r="E1976" s="199">
        <v>43439.82</v>
      </c>
      <c r="F1976" s="213">
        <v>41493</v>
      </c>
      <c r="G1976" s="199">
        <f>'Mail Merge'!$E1976+'Mail Merge'!$F1976</f>
        <v>84932.82</v>
      </c>
      <c r="H1976" s="199"/>
      <c r="I1976" s="199" t="s">
        <v>241</v>
      </c>
      <c r="J1976" s="202">
        <f>IFERROR('Mail Merge'!$E1976/'Mail Merge'!$D1976,0)</f>
        <v>4343.982</v>
      </c>
      <c r="K1976" s="199">
        <f>IFERROR('Mail Merge'!$F1976/'Mail Merge'!$D1976,0)</f>
        <v>4149.3</v>
      </c>
      <c r="L1976" s="199">
        <f>IFERROR('Mail Merge'!$G1976/'Mail Merge'!$D1976,0)</f>
        <v>8493.2820000000011</v>
      </c>
      <c r="M1976" s="199"/>
      <c r="N1976" s="210" t="s">
        <v>2140</v>
      </c>
      <c r="O1976" s="199">
        <v>24524.48</v>
      </c>
      <c r="P1976" s="199">
        <v>846.63</v>
      </c>
      <c r="Q1976" s="199">
        <f>'Mail Merge'!$O1976+'Mail Merge'!$P1976</f>
        <v>25371.11</v>
      </c>
      <c r="R1976" s="199"/>
      <c r="S1976" s="199"/>
      <c r="T1976" s="199"/>
      <c r="U1976" s="199">
        <f>IF(AND('Mail Merge'!$I1976="Did Not Meet",'Mail Merge'!$N1976="Did Not Meet"),MIN(ABS('Mail Merge'!$H1976),ABS('Mail Merge'!$M1976),'Mail Merge'!$Q1976),0)</f>
        <v>0</v>
      </c>
      <c r="V1976" s="199" t="s">
        <v>241</v>
      </c>
    </row>
    <row r="1977" spans="1:22" x14ac:dyDescent="0.35">
      <c r="A1977" s="200" t="s">
        <v>24</v>
      </c>
      <c r="B1977" s="201">
        <v>2005</v>
      </c>
      <c r="C1977" s="201" t="s">
        <v>1534</v>
      </c>
      <c r="D1977" s="201">
        <v>24</v>
      </c>
      <c r="E1977" s="211">
        <v>28897.65</v>
      </c>
      <c r="F1977" s="211">
        <v>157487</v>
      </c>
      <c r="G1977" s="201">
        <f>'Mail Merge'!$E1977+'Mail Merge'!$F1977</f>
        <v>186384.65</v>
      </c>
      <c r="H1977" s="201"/>
      <c r="I1977" s="201" t="s">
        <v>241</v>
      </c>
      <c r="J1977" s="204">
        <f>IFERROR('Mail Merge'!$E1977/'Mail Merge'!$D1977,0)</f>
        <v>1204.0687500000001</v>
      </c>
      <c r="K1977" s="201">
        <f>IFERROR('Mail Merge'!$F1977/'Mail Merge'!$D1977,0)</f>
        <v>6561.958333333333</v>
      </c>
      <c r="L1977" s="201">
        <f>IFERROR('Mail Merge'!$G1977/'Mail Merge'!$D1977,0)</f>
        <v>7766.0270833333334</v>
      </c>
      <c r="M1977" s="201"/>
      <c r="N1977" s="212" t="s">
        <v>241</v>
      </c>
      <c r="O1977" s="201">
        <v>33229.160000000003</v>
      </c>
      <c r="P1977" s="201">
        <v>613.46</v>
      </c>
      <c r="Q1977" s="201">
        <f>'Mail Merge'!$O1977+'Mail Merge'!$P1977</f>
        <v>33842.620000000003</v>
      </c>
      <c r="R1977" s="201"/>
      <c r="S1977" s="201"/>
      <c r="T1977" s="201"/>
      <c r="U1977" s="201">
        <f>IF(AND('Mail Merge'!$I1977="Did Not Meet",'Mail Merge'!$N1977="Did Not Meet"),MIN(ABS('Mail Merge'!$H1977),ABS('Mail Merge'!$M1977),'Mail Merge'!$Q1977),0)</f>
        <v>0</v>
      </c>
      <c r="V1977" s="201" t="s">
        <v>241</v>
      </c>
    </row>
    <row r="1978" spans="1:22" x14ac:dyDescent="0.35">
      <c r="A1978" s="198" t="s">
        <v>25</v>
      </c>
      <c r="B1978" s="199">
        <v>2115</v>
      </c>
      <c r="C1978" s="199" t="s">
        <v>1534</v>
      </c>
      <c r="D1978" s="199">
        <v>1</v>
      </c>
      <c r="E1978" s="199">
        <v>0</v>
      </c>
      <c r="F1978" s="213">
        <v>13099.999999999998</v>
      </c>
      <c r="G1978" s="199">
        <f>'Mail Merge'!$E1978+'Mail Merge'!$F1978</f>
        <v>13099.999999999998</v>
      </c>
      <c r="H1978" s="199"/>
      <c r="I1978" s="199" t="s">
        <v>241</v>
      </c>
      <c r="J1978" s="202">
        <f>IFERROR('Mail Merge'!$E1978/'Mail Merge'!$D1978,0)</f>
        <v>0</v>
      </c>
      <c r="K1978" s="199">
        <f>IFERROR('Mail Merge'!$F1978/'Mail Merge'!$D1978,0)</f>
        <v>13099.999999999998</v>
      </c>
      <c r="L1978" s="199">
        <f>IFERROR('Mail Merge'!$G1978/'Mail Merge'!$D1978,0)</f>
        <v>13099.999999999998</v>
      </c>
      <c r="M1978" s="199"/>
      <c r="N1978" s="210" t="s">
        <v>241</v>
      </c>
      <c r="O1978" s="199">
        <v>4879.6499999999996</v>
      </c>
      <c r="P1978" s="199">
        <v>8.1</v>
      </c>
      <c r="Q1978" s="199">
        <f>'Mail Merge'!$O1978+'Mail Merge'!$P1978</f>
        <v>4887.75</v>
      </c>
      <c r="R1978" s="199"/>
      <c r="S1978" s="199"/>
      <c r="T1978" s="199"/>
      <c r="U1978" s="199">
        <f>IF(AND('Mail Merge'!$I1978="Did Not Meet",'Mail Merge'!$N1978="Did Not Meet"),MIN(ABS('Mail Merge'!$H1978),ABS('Mail Merge'!$M1978),'Mail Merge'!$Q1978),0)</f>
        <v>0</v>
      </c>
      <c r="V1978" s="199" t="s">
        <v>241</v>
      </c>
    </row>
    <row r="1979" spans="1:22" x14ac:dyDescent="0.35">
      <c r="A1979" s="200" t="s">
        <v>26</v>
      </c>
      <c r="B1979" s="201">
        <v>2041</v>
      </c>
      <c r="C1979" s="201" t="s">
        <v>1534</v>
      </c>
      <c r="D1979" s="201">
        <v>309</v>
      </c>
      <c r="E1979" s="211">
        <v>3311269.2600000002</v>
      </c>
      <c r="F1979" s="211">
        <v>568007.90999999992</v>
      </c>
      <c r="G1979" s="201">
        <f>'Mail Merge'!$E1979+'Mail Merge'!$F1979</f>
        <v>3879277.17</v>
      </c>
      <c r="H1979" s="201"/>
      <c r="I1979" s="201" t="s">
        <v>241</v>
      </c>
      <c r="J1979" s="204">
        <f>IFERROR('Mail Merge'!$E1979/'Mail Merge'!$D1979,0)</f>
        <v>10716.081747572816</v>
      </c>
      <c r="K1979" s="201">
        <f>IFERROR('Mail Merge'!$F1979/'Mail Merge'!$D1979,0)</f>
        <v>1838.2133009708734</v>
      </c>
      <c r="L1979" s="201">
        <f>IFERROR('Mail Merge'!$G1979/'Mail Merge'!$D1979,0)</f>
        <v>12554.295048543689</v>
      </c>
      <c r="M1979" s="201"/>
      <c r="N1979" s="212" t="s">
        <v>241</v>
      </c>
      <c r="O1979" s="201">
        <v>662774.5</v>
      </c>
      <c r="P1979" s="201">
        <v>15732.5</v>
      </c>
      <c r="Q1979" s="201">
        <f>'Mail Merge'!$O1979+'Mail Merge'!$P1979</f>
        <v>678507</v>
      </c>
      <c r="R1979" s="201"/>
      <c r="S1979" s="201"/>
      <c r="T1979" s="201"/>
      <c r="U1979" s="201">
        <f>IF(AND('Mail Merge'!$I1979="Did Not Meet",'Mail Merge'!$N1979="Did Not Meet"),MIN(ABS('Mail Merge'!$H1979),ABS('Mail Merge'!$M1979),'Mail Merge'!$Q1979),0)</f>
        <v>0</v>
      </c>
      <c r="V1979" s="201" t="s">
        <v>241</v>
      </c>
    </row>
    <row r="1980" spans="1:22" x14ac:dyDescent="0.35">
      <c r="A1980" s="198" t="s">
        <v>27</v>
      </c>
      <c r="B1980" s="199">
        <v>2051</v>
      </c>
      <c r="C1980" s="199" t="s">
        <v>1534</v>
      </c>
      <c r="D1980" s="199">
        <v>0</v>
      </c>
      <c r="E1980" s="199">
        <v>0</v>
      </c>
      <c r="F1980" s="213">
        <v>8932.7100000000009</v>
      </c>
      <c r="G1980" s="199">
        <f>'Mail Merge'!$E1980+'Mail Merge'!$F1980</f>
        <v>8932.7100000000009</v>
      </c>
      <c r="H1980" s="199"/>
      <c r="I1980" s="199" t="s">
        <v>241</v>
      </c>
      <c r="J1980" s="202">
        <f>IFERROR('Mail Merge'!$E1980/'Mail Merge'!$D1980,0)</f>
        <v>0</v>
      </c>
      <c r="K1980" s="199">
        <f>IFERROR('Mail Merge'!$F1980/'Mail Merge'!$D1980,0)</f>
        <v>0</v>
      </c>
      <c r="L1980" s="199">
        <f>IFERROR('Mail Merge'!$G1980/'Mail Merge'!$D1980,0)</f>
        <v>0</v>
      </c>
      <c r="M1980" s="199"/>
      <c r="N1980" s="210" t="s">
        <v>241</v>
      </c>
      <c r="O1980" s="199">
        <v>953.18</v>
      </c>
      <c r="P1980" s="199">
        <v>2.3199999999999998</v>
      </c>
      <c r="Q1980" s="199">
        <f>'Mail Merge'!$O1980+'Mail Merge'!$P1980</f>
        <v>955.5</v>
      </c>
      <c r="R1980" s="199"/>
      <c r="S1980" s="199"/>
      <c r="T1980" s="199"/>
      <c r="U1980" s="199">
        <f>IF(AND('Mail Merge'!$I1980="Did Not Meet",'Mail Merge'!$N1980="Did Not Meet"),MIN(ABS('Mail Merge'!$H1980),ABS('Mail Merge'!$M1980),'Mail Merge'!$Q1980),0)</f>
        <v>0</v>
      </c>
      <c r="V1980" s="199" t="s">
        <v>241</v>
      </c>
    </row>
    <row r="1981" spans="1:22" x14ac:dyDescent="0.35">
      <c r="A1981" s="200" t="s">
        <v>28</v>
      </c>
      <c r="B1981" s="201">
        <v>1933</v>
      </c>
      <c r="C1981" s="201" t="s">
        <v>1534</v>
      </c>
      <c r="D1981" s="201">
        <v>239</v>
      </c>
      <c r="E1981" s="211">
        <v>3090523.67</v>
      </c>
      <c r="F1981" s="211">
        <v>652145</v>
      </c>
      <c r="G1981" s="201">
        <f>'Mail Merge'!$E1981+'Mail Merge'!$F1981</f>
        <v>3742668.67</v>
      </c>
      <c r="H1981" s="201"/>
      <c r="I1981" s="201" t="s">
        <v>241</v>
      </c>
      <c r="J1981" s="204">
        <f>IFERROR('Mail Merge'!$E1981/'Mail Merge'!$D1981,0)</f>
        <v>12931.061380753137</v>
      </c>
      <c r="K1981" s="201">
        <f>IFERROR('Mail Merge'!$F1981/'Mail Merge'!$D1981,0)</f>
        <v>2728.6401673640166</v>
      </c>
      <c r="L1981" s="201">
        <f>IFERROR('Mail Merge'!$G1981/'Mail Merge'!$D1981,0)</f>
        <v>15659.701548117155</v>
      </c>
      <c r="M1981" s="201"/>
      <c r="N1981" s="212" t="s">
        <v>241</v>
      </c>
      <c r="O1981" s="201">
        <v>385653.42000000004</v>
      </c>
      <c r="P1981" s="201">
        <v>8414.51</v>
      </c>
      <c r="Q1981" s="201">
        <f>'Mail Merge'!$O1981+'Mail Merge'!$P1981</f>
        <v>394067.93000000005</v>
      </c>
      <c r="R1981" s="201"/>
      <c r="S1981" s="201"/>
      <c r="T1981" s="201"/>
      <c r="U1981" s="201">
        <f>IF(AND('Mail Merge'!$I1981="Did Not Meet",'Mail Merge'!$N1981="Did Not Meet"),MIN(ABS('Mail Merge'!$H1981),ABS('Mail Merge'!$M1981),'Mail Merge'!$Q1981),0)</f>
        <v>0</v>
      </c>
      <c r="V1981" s="201" t="s">
        <v>241</v>
      </c>
    </row>
    <row r="1982" spans="1:22" x14ac:dyDescent="0.35">
      <c r="A1982" s="198" t="s">
        <v>29</v>
      </c>
      <c r="B1982" s="199">
        <v>2208</v>
      </c>
      <c r="C1982" s="199" t="s">
        <v>1534</v>
      </c>
      <c r="D1982" s="199">
        <v>88</v>
      </c>
      <c r="E1982" s="213">
        <v>530420.86</v>
      </c>
      <c r="F1982" s="213">
        <v>158478.79999999999</v>
      </c>
      <c r="G1982" s="199">
        <f>'Mail Merge'!$E1982+'Mail Merge'!$F1982</f>
        <v>688899.65999999992</v>
      </c>
      <c r="H1982" s="199"/>
      <c r="I1982" s="199" t="s">
        <v>241</v>
      </c>
      <c r="J1982" s="202">
        <f>IFERROR('Mail Merge'!$E1982/'Mail Merge'!$D1982,0)</f>
        <v>6027.5097727272723</v>
      </c>
      <c r="K1982" s="199">
        <f>IFERROR('Mail Merge'!$F1982/'Mail Merge'!$D1982,0)</f>
        <v>1800.8954545454544</v>
      </c>
      <c r="L1982" s="199">
        <f>IFERROR('Mail Merge'!$G1982/'Mail Merge'!$D1982,0)</f>
        <v>7828.4052272727267</v>
      </c>
      <c r="M1982" s="199"/>
      <c r="N1982" s="210" t="s">
        <v>241</v>
      </c>
      <c r="O1982" s="199">
        <v>113221.54999999999</v>
      </c>
      <c r="P1982" s="199">
        <v>5016.59</v>
      </c>
      <c r="Q1982" s="199">
        <f>'Mail Merge'!$O1982+'Mail Merge'!$P1982</f>
        <v>118238.13999999998</v>
      </c>
      <c r="R1982" s="199"/>
      <c r="S1982" s="199"/>
      <c r="T1982" s="199"/>
      <c r="U1982" s="199">
        <f>IF(AND('Mail Merge'!$I1982="Did Not Meet",'Mail Merge'!$N1982="Did Not Meet"),MIN(ABS('Mail Merge'!$H1982),ABS('Mail Merge'!$M1982),'Mail Merge'!$Q1982),0)</f>
        <v>0</v>
      </c>
      <c r="V1982" s="199" t="s">
        <v>241</v>
      </c>
    </row>
    <row r="1983" spans="1:22" x14ac:dyDescent="0.35">
      <c r="A1983" s="200" t="s">
        <v>30</v>
      </c>
      <c r="B1983" s="201">
        <v>1894</v>
      </c>
      <c r="C1983" s="201" t="s">
        <v>1534</v>
      </c>
      <c r="D1983" s="201">
        <v>527</v>
      </c>
      <c r="E1983" s="211">
        <v>3052665.1100000013</v>
      </c>
      <c r="F1983" s="201">
        <v>0</v>
      </c>
      <c r="G1983" s="201">
        <f>'Mail Merge'!$E1983+'Mail Merge'!$F1983</f>
        <v>3052665.1100000013</v>
      </c>
      <c r="H1983" s="201"/>
      <c r="I1983" s="201" t="s">
        <v>241</v>
      </c>
      <c r="J1983" s="204">
        <f>IFERROR('Mail Merge'!$E1983/'Mail Merge'!$D1983,0)</f>
        <v>5792.5334155597748</v>
      </c>
      <c r="K1983" s="201">
        <f>IFERROR('Mail Merge'!$F1983/'Mail Merge'!$D1983,0)</f>
        <v>0</v>
      </c>
      <c r="L1983" s="201">
        <f>IFERROR('Mail Merge'!$G1983/'Mail Merge'!$D1983,0)</f>
        <v>5792.5334155597748</v>
      </c>
      <c r="M1983" s="201"/>
      <c r="N1983" s="212" t="s">
        <v>2140</v>
      </c>
      <c r="O1983" s="201">
        <v>666267.1</v>
      </c>
      <c r="P1983" s="201">
        <v>8920.76</v>
      </c>
      <c r="Q1983" s="201">
        <f>'Mail Merge'!$O1983+'Mail Merge'!$P1983</f>
        <v>675187.86</v>
      </c>
      <c r="R1983" s="201"/>
      <c r="S1983" s="201"/>
      <c r="T1983" s="201"/>
      <c r="U1983" s="201">
        <f>IF(AND('Mail Merge'!$I1983="Did Not Meet",'Mail Merge'!$N1983="Did Not Meet"),MIN(ABS('Mail Merge'!$H1983),ABS('Mail Merge'!$M1983),'Mail Merge'!$Q1983),0)</f>
        <v>0</v>
      </c>
      <c r="V1983" s="201" t="s">
        <v>241</v>
      </c>
    </row>
    <row r="1984" spans="1:22" x14ac:dyDescent="0.35">
      <c r="A1984" s="198" t="s">
        <v>32</v>
      </c>
      <c r="B1984" s="199">
        <v>1969</v>
      </c>
      <c r="C1984" s="199" t="s">
        <v>1534</v>
      </c>
      <c r="D1984" s="199">
        <v>91</v>
      </c>
      <c r="E1984" s="213">
        <v>1030810.1799999996</v>
      </c>
      <c r="F1984" s="213">
        <v>392923.12</v>
      </c>
      <c r="G1984" s="199">
        <f>'Mail Merge'!$E1984+'Mail Merge'!$F1984</f>
        <v>1423733.2999999996</v>
      </c>
      <c r="H1984" s="199"/>
      <c r="I1984" s="199" t="s">
        <v>242</v>
      </c>
      <c r="J1984" s="202">
        <f>IFERROR('Mail Merge'!$E1984/'Mail Merge'!$D1984,0)</f>
        <v>11327.584395604392</v>
      </c>
      <c r="K1984" s="199">
        <f>IFERROR('Mail Merge'!$F1984/'Mail Merge'!$D1984,0)</f>
        <v>4317.8364835164839</v>
      </c>
      <c r="L1984" s="199">
        <f>IFERROR('Mail Merge'!$G1984/'Mail Merge'!$D1984,0)</f>
        <v>15645.420879120875</v>
      </c>
      <c r="M1984" s="199"/>
      <c r="N1984" s="210" t="s">
        <v>242</v>
      </c>
      <c r="O1984" s="199">
        <v>166894.26999999999</v>
      </c>
      <c r="P1984" s="199">
        <v>5623.7300000000005</v>
      </c>
      <c r="Q1984" s="199">
        <f>'Mail Merge'!$O1984+'Mail Merge'!$P1984</f>
        <v>172518</v>
      </c>
      <c r="R1984" s="199"/>
      <c r="S1984" s="199"/>
      <c r="T1984" s="199"/>
      <c r="U1984" s="199">
        <f>IF(AND('Mail Merge'!$I1984="Did Not Meet",'Mail Merge'!$N1984="Did Not Meet"),MIN(ABS('Mail Merge'!$H1984),ABS('Mail Merge'!$M1984),'Mail Merge'!$Q1984),0)</f>
        <v>0</v>
      </c>
      <c r="V1984" s="199" t="s">
        <v>242</v>
      </c>
    </row>
    <row r="1985" spans="1:22" x14ac:dyDescent="0.35">
      <c r="A1985" s="200" t="s">
        <v>33</v>
      </c>
      <c r="B1985" s="201">
        <v>2240</v>
      </c>
      <c r="C1985" s="201" t="s">
        <v>1534</v>
      </c>
      <c r="D1985" s="201">
        <v>141</v>
      </c>
      <c r="E1985" s="211">
        <v>1500587.0200000003</v>
      </c>
      <c r="F1985" s="211">
        <v>288514</v>
      </c>
      <c r="G1985" s="201">
        <f>'Mail Merge'!$E1985+'Mail Merge'!$F1985</f>
        <v>1789101.0200000003</v>
      </c>
      <c r="H1985" s="201"/>
      <c r="I1985" s="201" t="s">
        <v>2140</v>
      </c>
      <c r="J1985" s="204">
        <f>IFERROR('Mail Merge'!$E1985/'Mail Merge'!$D1985,0)</f>
        <v>10642.461134751775</v>
      </c>
      <c r="K1985" s="201">
        <f>IFERROR('Mail Merge'!$F1985/'Mail Merge'!$D1985,0)</f>
        <v>2046.1985815602836</v>
      </c>
      <c r="L1985" s="201">
        <f>IFERROR('Mail Merge'!$G1985/'Mail Merge'!$D1985,0)</f>
        <v>12688.659716312059</v>
      </c>
      <c r="M1985" s="201"/>
      <c r="N1985" s="212" t="s">
        <v>242</v>
      </c>
      <c r="O1985" s="201">
        <v>214429.47</v>
      </c>
      <c r="P1985" s="201">
        <v>1830.33</v>
      </c>
      <c r="Q1985" s="201">
        <f>'Mail Merge'!$O1985+'Mail Merge'!$P1985</f>
        <v>216259.8</v>
      </c>
      <c r="R1985" s="201"/>
      <c r="S1985" s="201"/>
      <c r="T1985" s="201"/>
      <c r="U1985" s="201">
        <f>IF(AND('Mail Merge'!$I1985="Did Not Meet",'Mail Merge'!$N1985="Did Not Meet"),MIN(ABS('Mail Merge'!$H1985),ABS('Mail Merge'!$M1985),'Mail Merge'!$Q1985),0)</f>
        <v>0</v>
      </c>
      <c r="V1985" s="201" t="s">
        <v>2138</v>
      </c>
    </row>
    <row r="1986" spans="1:22" x14ac:dyDescent="0.35">
      <c r="A1986" s="198" t="s">
        <v>34</v>
      </c>
      <c r="B1986" s="199">
        <v>2243</v>
      </c>
      <c r="C1986" s="199" t="s">
        <v>1534</v>
      </c>
      <c r="D1986" s="199">
        <v>4841</v>
      </c>
      <c r="E1986" s="213">
        <v>56342084.420000024</v>
      </c>
      <c r="F1986" s="213">
        <v>6015285</v>
      </c>
      <c r="G1986" s="199">
        <f>'Mail Merge'!$E1986+'Mail Merge'!$F1986</f>
        <v>62357369.420000024</v>
      </c>
      <c r="H1986" s="199"/>
      <c r="I1986" s="199" t="s">
        <v>242</v>
      </c>
      <c r="J1986" s="202">
        <f>IFERROR('Mail Merge'!$E1986/'Mail Merge'!$D1986,0)</f>
        <v>11638.52187977691</v>
      </c>
      <c r="K1986" s="199">
        <f>IFERROR('Mail Merge'!$F1986/'Mail Merge'!$D1986,0)</f>
        <v>1242.5707498450734</v>
      </c>
      <c r="L1986" s="199">
        <f>IFERROR('Mail Merge'!$G1986/'Mail Merge'!$D1986,0)</f>
        <v>12881.092629621984</v>
      </c>
      <c r="M1986" s="199"/>
      <c r="N1986" s="210" t="s">
        <v>241</v>
      </c>
      <c r="O1986" s="199">
        <v>8018273.6799999988</v>
      </c>
      <c r="P1986" s="199">
        <v>124205.85</v>
      </c>
      <c r="Q1986" s="199">
        <f>'Mail Merge'!$O1986+'Mail Merge'!$P1986</f>
        <v>8142479.5299999984</v>
      </c>
      <c r="R1986" s="199"/>
      <c r="S1986" s="199"/>
      <c r="T1986" s="199"/>
      <c r="U1986" s="199">
        <f>IF(AND('Mail Merge'!$I1986="Did Not Meet",'Mail Merge'!$N1986="Did Not Meet"),MIN(ABS('Mail Merge'!$H1986),ABS('Mail Merge'!$M1986),'Mail Merge'!$Q1986),0)</f>
        <v>0</v>
      </c>
      <c r="V1986" s="199" t="s">
        <v>242</v>
      </c>
    </row>
    <row r="1987" spans="1:22" x14ac:dyDescent="0.35">
      <c r="A1987" s="200" t="s">
        <v>35</v>
      </c>
      <c r="B1987" s="201">
        <v>1976</v>
      </c>
      <c r="C1987" s="201" t="s">
        <v>1534</v>
      </c>
      <c r="D1987" s="201">
        <v>1791</v>
      </c>
      <c r="E1987" s="211">
        <v>22276469.34</v>
      </c>
      <c r="F1987" s="211">
        <v>3220356.0599999996</v>
      </c>
      <c r="G1987" s="201">
        <f>'Mail Merge'!$E1987+'Mail Merge'!$F1987</f>
        <v>25496825.399999999</v>
      </c>
      <c r="H1987" s="201"/>
      <c r="I1987" s="201" t="s">
        <v>241</v>
      </c>
      <c r="J1987" s="204">
        <f>IFERROR('Mail Merge'!$E1987/'Mail Merge'!$D1987,0)</f>
        <v>12438.006331658291</v>
      </c>
      <c r="K1987" s="201">
        <f>IFERROR('Mail Merge'!$F1987/'Mail Merge'!$D1987,0)</f>
        <v>1798.0770854271354</v>
      </c>
      <c r="L1987" s="201">
        <f>IFERROR('Mail Merge'!$G1987/'Mail Merge'!$D1987,0)</f>
        <v>14236.083417085427</v>
      </c>
      <c r="M1987" s="201"/>
      <c r="N1987" s="212" t="s">
        <v>241</v>
      </c>
      <c r="O1987" s="201">
        <v>3553149.2300000004</v>
      </c>
      <c r="P1987" s="201">
        <v>67040.62</v>
      </c>
      <c r="Q1987" s="201">
        <f>'Mail Merge'!$O1987+'Mail Merge'!$P1987</f>
        <v>3620189.8500000006</v>
      </c>
      <c r="R1987" s="201"/>
      <c r="S1987" s="201"/>
      <c r="T1987" s="201"/>
      <c r="U1987" s="201">
        <f>IF(AND('Mail Merge'!$I1987="Did Not Meet",'Mail Merge'!$N1987="Did Not Meet"),MIN(ABS('Mail Merge'!$H1987),ABS('Mail Merge'!$M1987),'Mail Merge'!$Q1987),0)</f>
        <v>0</v>
      </c>
      <c r="V1987" s="201" t="s">
        <v>241</v>
      </c>
    </row>
    <row r="1988" spans="1:22" x14ac:dyDescent="0.35">
      <c r="A1988" s="198" t="s">
        <v>36</v>
      </c>
      <c r="B1988" s="199">
        <v>2088</v>
      </c>
      <c r="C1988" s="199" t="s">
        <v>1534</v>
      </c>
      <c r="D1988" s="199">
        <v>966</v>
      </c>
      <c r="E1988" s="213">
        <v>11026414.260000002</v>
      </c>
      <c r="F1988" s="213">
        <v>848617</v>
      </c>
      <c r="G1988" s="199">
        <f>'Mail Merge'!$E1988+'Mail Merge'!$F1988</f>
        <v>11875031.260000002</v>
      </c>
      <c r="H1988" s="199"/>
      <c r="I1988" s="199" t="s">
        <v>241</v>
      </c>
      <c r="J1988" s="202">
        <f>IFERROR('Mail Merge'!$E1988/'Mail Merge'!$D1988,0)</f>
        <v>11414.507515527952</v>
      </c>
      <c r="K1988" s="199">
        <f>IFERROR('Mail Merge'!$F1988/'Mail Merge'!$D1988,0)</f>
        <v>878.48550724637676</v>
      </c>
      <c r="L1988" s="199">
        <f>IFERROR('Mail Merge'!$G1988/'Mail Merge'!$D1988,0)</f>
        <v>12292.993022774328</v>
      </c>
      <c r="M1988" s="199"/>
      <c r="N1988" s="210" t="s">
        <v>241</v>
      </c>
      <c r="O1988" s="199">
        <v>1193907.27</v>
      </c>
      <c r="P1988" s="199">
        <v>28779.11</v>
      </c>
      <c r="Q1988" s="199">
        <f>'Mail Merge'!$O1988+'Mail Merge'!$P1988</f>
        <v>1222686.3800000001</v>
      </c>
      <c r="R1988" s="199"/>
      <c r="S1988" s="199"/>
      <c r="T1988" s="199"/>
      <c r="U1988" s="199">
        <f>IF(AND('Mail Merge'!$I1988="Did Not Meet",'Mail Merge'!$N1988="Did Not Meet"),MIN(ABS('Mail Merge'!$H1988),ABS('Mail Merge'!$M1988),'Mail Merge'!$Q1988),0)</f>
        <v>0</v>
      </c>
      <c r="V1988" s="199" t="s">
        <v>241</v>
      </c>
    </row>
    <row r="1989" spans="1:22" x14ac:dyDescent="0.35">
      <c r="A1989" s="200" t="s">
        <v>37</v>
      </c>
      <c r="B1989" s="201">
        <v>2095</v>
      </c>
      <c r="C1989" s="201" t="s">
        <v>1534</v>
      </c>
      <c r="D1989" s="201">
        <v>41</v>
      </c>
      <c r="E1989" s="211">
        <v>378329.81999999995</v>
      </c>
      <c r="F1989" s="211">
        <v>41235</v>
      </c>
      <c r="G1989" s="201">
        <f>'Mail Merge'!$E1989+'Mail Merge'!$F1989</f>
        <v>419564.81999999995</v>
      </c>
      <c r="H1989" s="201"/>
      <c r="I1989" s="201" t="s">
        <v>242</v>
      </c>
      <c r="J1989" s="204">
        <f>IFERROR('Mail Merge'!$E1989/'Mail Merge'!$D1989,0)</f>
        <v>9227.5565853658518</v>
      </c>
      <c r="K1989" s="201">
        <f>IFERROR('Mail Merge'!$F1989/'Mail Merge'!$D1989,0)</f>
        <v>1005.7317073170732</v>
      </c>
      <c r="L1989" s="201">
        <f>IFERROR('Mail Merge'!$G1989/'Mail Merge'!$D1989,0)</f>
        <v>10233.288292682926</v>
      </c>
      <c r="M1989" s="201"/>
      <c r="N1989" s="212" t="s">
        <v>241</v>
      </c>
      <c r="O1989" s="201">
        <v>55344.71</v>
      </c>
      <c r="P1989" s="201">
        <v>568.13</v>
      </c>
      <c r="Q1989" s="201">
        <f>'Mail Merge'!$O1989+'Mail Merge'!$P1989</f>
        <v>55912.84</v>
      </c>
      <c r="R1989" s="201"/>
      <c r="S1989" s="201"/>
      <c r="T1989" s="201"/>
      <c r="U1989" s="201">
        <f>IF(AND('Mail Merge'!$I1989="Did Not Meet",'Mail Merge'!$N1989="Did Not Meet"),MIN(ABS('Mail Merge'!$H1989),ABS('Mail Merge'!$M1989),'Mail Merge'!$Q1989),0)</f>
        <v>0</v>
      </c>
      <c r="V1989" s="201" t="s">
        <v>242</v>
      </c>
    </row>
    <row r="1990" spans="1:22" x14ac:dyDescent="0.35">
      <c r="A1990" s="198" t="s">
        <v>38</v>
      </c>
      <c r="B1990" s="199">
        <v>2052</v>
      </c>
      <c r="C1990" s="199" t="s">
        <v>1534</v>
      </c>
      <c r="D1990" s="199">
        <v>3</v>
      </c>
      <c r="E1990" s="199">
        <v>0</v>
      </c>
      <c r="F1990" s="213">
        <v>16655.57</v>
      </c>
      <c r="G1990" s="199">
        <f>'Mail Merge'!$E1990+'Mail Merge'!$F1990</f>
        <v>16655.57</v>
      </c>
      <c r="H1990" s="199"/>
      <c r="I1990" s="199" t="s">
        <v>241</v>
      </c>
      <c r="J1990" s="202">
        <f>IFERROR('Mail Merge'!$E1990/'Mail Merge'!$D1990,0)</f>
        <v>0</v>
      </c>
      <c r="K1990" s="199">
        <f>IFERROR('Mail Merge'!$F1990/'Mail Merge'!$D1990,0)</f>
        <v>5551.8566666666666</v>
      </c>
      <c r="L1990" s="199">
        <f>IFERROR('Mail Merge'!$G1990/'Mail Merge'!$D1990,0)</f>
        <v>5551.8566666666666</v>
      </c>
      <c r="M1990" s="199"/>
      <c r="N1990" s="210" t="s">
        <v>2140</v>
      </c>
      <c r="O1990" s="199">
        <v>4311.9799999999996</v>
      </c>
      <c r="P1990" s="199">
        <v>0</v>
      </c>
      <c r="Q1990" s="199">
        <f>'Mail Merge'!$O1990+'Mail Merge'!$P1990</f>
        <v>4311.9799999999996</v>
      </c>
      <c r="R1990" s="199"/>
      <c r="S1990" s="199"/>
      <c r="T1990" s="199"/>
      <c r="U1990" s="199">
        <f>IF(AND('Mail Merge'!$I1990="Did Not Meet",'Mail Merge'!$N1990="Did Not Meet"),MIN(ABS('Mail Merge'!$H1990),ABS('Mail Merge'!$M1990),'Mail Merge'!$Q1990),0)</f>
        <v>0</v>
      </c>
      <c r="V1990" s="199" t="s">
        <v>241</v>
      </c>
    </row>
    <row r="1991" spans="1:22" x14ac:dyDescent="0.35">
      <c r="A1991" s="200" t="s">
        <v>39</v>
      </c>
      <c r="B1991" s="201">
        <v>1974</v>
      </c>
      <c r="C1991" s="201" t="s">
        <v>1534</v>
      </c>
      <c r="D1991" s="201">
        <v>225</v>
      </c>
      <c r="E1991" s="211">
        <v>2320698.1199999992</v>
      </c>
      <c r="F1991" s="211">
        <v>62579.49</v>
      </c>
      <c r="G1991" s="201">
        <f>'Mail Merge'!$E1991+'Mail Merge'!$F1991</f>
        <v>2383277.6099999994</v>
      </c>
      <c r="H1991" s="201"/>
      <c r="I1991" s="201" t="s">
        <v>241</v>
      </c>
      <c r="J1991" s="204">
        <f>IFERROR('Mail Merge'!$E1991/'Mail Merge'!$D1991,0)</f>
        <v>10314.213866666663</v>
      </c>
      <c r="K1991" s="201">
        <f>IFERROR('Mail Merge'!$F1991/'Mail Merge'!$D1991,0)</f>
        <v>278.13106666666664</v>
      </c>
      <c r="L1991" s="201">
        <f>IFERROR('Mail Merge'!$G1991/'Mail Merge'!$D1991,0)</f>
        <v>10592.34493333333</v>
      </c>
      <c r="M1991" s="201"/>
      <c r="N1991" s="212" t="s">
        <v>241</v>
      </c>
      <c r="O1991" s="201">
        <v>356815.52</v>
      </c>
      <c r="P1991" s="201">
        <v>14937.560000000001</v>
      </c>
      <c r="Q1991" s="201">
        <f>'Mail Merge'!$O1991+'Mail Merge'!$P1991</f>
        <v>371753.08</v>
      </c>
      <c r="R1991" s="201"/>
      <c r="S1991" s="201"/>
      <c r="T1991" s="201"/>
      <c r="U1991" s="201">
        <f>IF(AND('Mail Merge'!$I1991="Did Not Meet",'Mail Merge'!$N1991="Did Not Meet"),MIN(ABS('Mail Merge'!$H1991),ABS('Mail Merge'!$M1991),'Mail Merge'!$Q1991),0)</f>
        <v>0</v>
      </c>
      <c r="V1991" s="201" t="s">
        <v>241</v>
      </c>
    </row>
    <row r="1992" spans="1:22" x14ac:dyDescent="0.35">
      <c r="A1992" s="198" t="s">
        <v>40</v>
      </c>
      <c r="B1992" s="199">
        <v>1896</v>
      </c>
      <c r="C1992" s="199" t="s">
        <v>1534</v>
      </c>
      <c r="D1992" s="199">
        <v>5</v>
      </c>
      <c r="E1992" s="213">
        <v>63948</v>
      </c>
      <c r="F1992" s="213">
        <v>18468.940000000002</v>
      </c>
      <c r="G1992" s="199">
        <f>'Mail Merge'!$E1992+'Mail Merge'!$F1992</f>
        <v>82416.94</v>
      </c>
      <c r="H1992" s="199"/>
      <c r="I1992" s="199" t="s">
        <v>241</v>
      </c>
      <c r="J1992" s="202">
        <f>IFERROR('Mail Merge'!$E1992/'Mail Merge'!$D1992,0)</f>
        <v>12789.6</v>
      </c>
      <c r="K1992" s="199">
        <f>IFERROR('Mail Merge'!$F1992/'Mail Merge'!$D1992,0)</f>
        <v>3693.7880000000005</v>
      </c>
      <c r="L1992" s="199">
        <f>IFERROR('Mail Merge'!$G1992/'Mail Merge'!$D1992,0)</f>
        <v>16483.387999999999</v>
      </c>
      <c r="M1992" s="199"/>
      <c r="N1992" s="210" t="s">
        <v>241</v>
      </c>
      <c r="O1992" s="199">
        <v>17476.259999999998</v>
      </c>
      <c r="P1992" s="199">
        <v>302.08999999999997</v>
      </c>
      <c r="Q1992" s="199">
        <f>'Mail Merge'!$O1992+'Mail Merge'!$P1992</f>
        <v>17778.349999999999</v>
      </c>
      <c r="R1992" s="199"/>
      <c r="S1992" s="199"/>
      <c r="T1992" s="199"/>
      <c r="U1992" s="199">
        <f>IF(AND('Mail Merge'!$I1992="Did Not Meet",'Mail Merge'!$N1992="Did Not Meet"),MIN(ABS('Mail Merge'!$H1992),ABS('Mail Merge'!$M1992),'Mail Merge'!$Q1992),0)</f>
        <v>0</v>
      </c>
      <c r="V1992" s="199" t="s">
        <v>241</v>
      </c>
    </row>
    <row r="1993" spans="1:22" x14ac:dyDescent="0.35">
      <c r="A1993" s="200" t="s">
        <v>42</v>
      </c>
      <c r="B1993" s="201">
        <v>2046</v>
      </c>
      <c r="C1993" s="201" t="s">
        <v>1534</v>
      </c>
      <c r="D1993" s="201">
        <v>47</v>
      </c>
      <c r="E1993" s="211">
        <v>273769.73000000004</v>
      </c>
      <c r="F1993" s="211">
        <v>99488.41</v>
      </c>
      <c r="G1993" s="201">
        <f>'Mail Merge'!$E1993+'Mail Merge'!$F1993</f>
        <v>373258.14</v>
      </c>
      <c r="H1993" s="201"/>
      <c r="I1993" s="201" t="s">
        <v>242</v>
      </c>
      <c r="J1993" s="204">
        <f>IFERROR('Mail Merge'!$E1993/'Mail Merge'!$D1993,0)</f>
        <v>5824.8878723404259</v>
      </c>
      <c r="K1993" s="201">
        <f>IFERROR('Mail Merge'!$F1993/'Mail Merge'!$D1993,0)</f>
        <v>2116.7746808510637</v>
      </c>
      <c r="L1993" s="201">
        <f>IFERROR('Mail Merge'!$G1993/'Mail Merge'!$D1993,0)</f>
        <v>7941.6625531914897</v>
      </c>
      <c r="M1993" s="201"/>
      <c r="N1993" s="212" t="s">
        <v>241</v>
      </c>
      <c r="O1993" s="201">
        <v>41980.47</v>
      </c>
      <c r="P1993" s="201">
        <v>570.87</v>
      </c>
      <c r="Q1993" s="201">
        <f>'Mail Merge'!$O1993+'Mail Merge'!$P1993</f>
        <v>42551.340000000004</v>
      </c>
      <c r="R1993" s="201"/>
      <c r="S1993" s="201"/>
      <c r="T1993" s="201"/>
      <c r="U1993" s="201">
        <f>IF(AND('Mail Merge'!$I1993="Did Not Meet",'Mail Merge'!$N1993="Did Not Meet"),MIN(ABS('Mail Merge'!$H1993),ABS('Mail Merge'!$M1993),'Mail Merge'!$Q1993),0)</f>
        <v>0</v>
      </c>
      <c r="V1993" s="201" t="s">
        <v>242</v>
      </c>
    </row>
    <row r="1994" spans="1:22" x14ac:dyDescent="0.35">
      <c r="A1994" s="198" t="s">
        <v>43</v>
      </c>
      <c r="B1994" s="199">
        <v>1995</v>
      </c>
      <c r="C1994" s="199" t="s">
        <v>1534</v>
      </c>
      <c r="D1994" s="199">
        <v>40</v>
      </c>
      <c r="E1994" s="213">
        <v>294406.66000000003</v>
      </c>
      <c r="F1994" s="213">
        <v>38184.799999999996</v>
      </c>
      <c r="G1994" s="199">
        <f>'Mail Merge'!$E1994+'Mail Merge'!$F1994</f>
        <v>332591.46000000002</v>
      </c>
      <c r="H1994" s="199"/>
      <c r="I1994" s="199" t="s">
        <v>241</v>
      </c>
      <c r="J1994" s="202">
        <f>IFERROR('Mail Merge'!$E1994/'Mail Merge'!$D1994,0)</f>
        <v>7360.1665000000012</v>
      </c>
      <c r="K1994" s="199">
        <f>IFERROR('Mail Merge'!$F1994/'Mail Merge'!$D1994,0)</f>
        <v>954.61999999999989</v>
      </c>
      <c r="L1994" s="199">
        <f>IFERROR('Mail Merge'!$G1994/'Mail Merge'!$D1994,0)</f>
        <v>8314.7865000000002</v>
      </c>
      <c r="M1994" s="199"/>
      <c r="N1994" s="210" t="s">
        <v>241</v>
      </c>
      <c r="O1994" s="199">
        <v>50366.05</v>
      </c>
      <c r="P1994" s="199">
        <v>335.08</v>
      </c>
      <c r="Q1994" s="199">
        <f>'Mail Merge'!$O1994+'Mail Merge'!$P1994</f>
        <v>50701.130000000005</v>
      </c>
      <c r="R1994" s="199"/>
      <c r="S1994" s="199"/>
      <c r="T1994" s="199"/>
      <c r="U1994" s="199">
        <f>IF(AND('Mail Merge'!$I1994="Did Not Meet",'Mail Merge'!$N1994="Did Not Meet"),MIN(ABS('Mail Merge'!$H1994),ABS('Mail Merge'!$M1994),'Mail Merge'!$Q1994),0)</f>
        <v>0</v>
      </c>
      <c r="V1994" s="199" t="s">
        <v>241</v>
      </c>
    </row>
    <row r="1995" spans="1:22" x14ac:dyDescent="0.35">
      <c r="A1995" s="200" t="s">
        <v>44</v>
      </c>
      <c r="B1995" s="201">
        <v>1929</v>
      </c>
      <c r="C1995" s="201" t="s">
        <v>1534</v>
      </c>
      <c r="D1995" s="201">
        <v>570</v>
      </c>
      <c r="E1995" s="211">
        <v>6918693.4699999997</v>
      </c>
      <c r="F1995" s="211">
        <v>572619</v>
      </c>
      <c r="G1995" s="201">
        <f>'Mail Merge'!$E1995+'Mail Merge'!$F1995</f>
        <v>7491312.4699999997</v>
      </c>
      <c r="H1995" s="201"/>
      <c r="I1995" s="201" t="s">
        <v>242</v>
      </c>
      <c r="J1995" s="204">
        <f>IFERROR('Mail Merge'!$E1995/'Mail Merge'!$D1995,0)</f>
        <v>12138.058719298246</v>
      </c>
      <c r="K1995" s="201">
        <f>IFERROR('Mail Merge'!$F1995/'Mail Merge'!$D1995,0)</f>
        <v>1004.5947368421052</v>
      </c>
      <c r="L1995" s="201">
        <f>IFERROR('Mail Merge'!$G1995/'Mail Merge'!$D1995,0)</f>
        <v>13142.65345614035</v>
      </c>
      <c r="M1995" s="201"/>
      <c r="N1995" s="212" t="s">
        <v>241</v>
      </c>
      <c r="O1995" s="201">
        <v>1013577.5800000001</v>
      </c>
      <c r="P1995" s="201">
        <v>16320.41</v>
      </c>
      <c r="Q1995" s="201">
        <f>'Mail Merge'!$O1995+'Mail Merge'!$P1995</f>
        <v>1029897.9900000001</v>
      </c>
      <c r="R1995" s="201"/>
      <c r="S1995" s="201"/>
      <c r="T1995" s="201"/>
      <c r="U1995" s="201">
        <f>IF(AND('Mail Merge'!$I1995="Did Not Meet",'Mail Merge'!$N1995="Did Not Meet"),MIN(ABS('Mail Merge'!$H1995),ABS('Mail Merge'!$M1995),'Mail Merge'!$Q1995),0)</f>
        <v>0</v>
      </c>
      <c r="V1995" s="201" t="s">
        <v>242</v>
      </c>
    </row>
    <row r="1996" spans="1:22" x14ac:dyDescent="0.35">
      <c r="A1996" s="198" t="s">
        <v>45</v>
      </c>
      <c r="B1996" s="199">
        <v>2139</v>
      </c>
      <c r="C1996" s="199" t="s">
        <v>1534</v>
      </c>
      <c r="D1996" s="199">
        <v>373</v>
      </c>
      <c r="E1996" s="213">
        <v>4084185.330000001</v>
      </c>
      <c r="F1996" s="213">
        <v>378518.9</v>
      </c>
      <c r="G1996" s="199">
        <f>'Mail Merge'!$E1996+'Mail Merge'!$F1996</f>
        <v>4462704.2300000014</v>
      </c>
      <c r="H1996" s="199"/>
      <c r="I1996" s="199" t="s">
        <v>242</v>
      </c>
      <c r="J1996" s="202">
        <f>IFERROR('Mail Merge'!$E1996/'Mail Merge'!$D1996,0)</f>
        <v>10949.558525469172</v>
      </c>
      <c r="K1996" s="199">
        <f>IFERROR('Mail Merge'!$F1996/'Mail Merge'!$D1996,0)</f>
        <v>1014.7959785522789</v>
      </c>
      <c r="L1996" s="199">
        <f>IFERROR('Mail Merge'!$G1996/'Mail Merge'!$D1996,0)</f>
        <v>11964.354504021452</v>
      </c>
      <c r="M1996" s="199"/>
      <c r="N1996" s="210" t="s">
        <v>242</v>
      </c>
      <c r="O1996" s="199">
        <v>557823.12</v>
      </c>
      <c r="P1996" s="199">
        <v>12843.11</v>
      </c>
      <c r="Q1996" s="199">
        <f>'Mail Merge'!$O1996+'Mail Merge'!$P1996</f>
        <v>570666.23</v>
      </c>
      <c r="R1996" s="199"/>
      <c r="S1996" s="199"/>
      <c r="T1996" s="199"/>
      <c r="U1996" s="199">
        <f>IF(AND('Mail Merge'!$I1996="Did Not Meet",'Mail Merge'!$N1996="Did Not Meet"),MIN(ABS('Mail Merge'!$H1996),ABS('Mail Merge'!$M1996),'Mail Merge'!$Q1996),0)</f>
        <v>0</v>
      </c>
      <c r="V1996" s="199" t="s">
        <v>242</v>
      </c>
    </row>
    <row r="1997" spans="1:22" x14ac:dyDescent="0.35">
      <c r="A1997" s="200" t="s">
        <v>46</v>
      </c>
      <c r="B1997" s="201">
        <v>2185</v>
      </c>
      <c r="C1997" s="201" t="s">
        <v>1534</v>
      </c>
      <c r="D1997" s="201">
        <v>842</v>
      </c>
      <c r="E1997" s="211">
        <v>11598962.540000001</v>
      </c>
      <c r="F1997" s="211">
        <v>1720338.6700000002</v>
      </c>
      <c r="G1997" s="201">
        <f>'Mail Merge'!$E1997+'Mail Merge'!$F1997</f>
        <v>13319301.210000001</v>
      </c>
      <c r="H1997" s="201"/>
      <c r="I1997" s="201" t="s">
        <v>242</v>
      </c>
      <c r="J1997" s="204">
        <f>IFERROR('Mail Merge'!$E1997/'Mail Merge'!$D1997,0)</f>
        <v>13775.489952494063</v>
      </c>
      <c r="K1997" s="201">
        <f>IFERROR('Mail Merge'!$F1997/'Mail Merge'!$D1997,0)</f>
        <v>2043.1575653206653</v>
      </c>
      <c r="L1997" s="201">
        <f>IFERROR('Mail Merge'!$G1997/'Mail Merge'!$D1997,0)</f>
        <v>15818.647517814728</v>
      </c>
      <c r="M1997" s="201"/>
      <c r="N1997" s="212" t="s">
        <v>242</v>
      </c>
      <c r="O1997" s="201">
        <v>1320264.05</v>
      </c>
      <c r="P1997" s="201">
        <v>33957.370000000003</v>
      </c>
      <c r="Q1997" s="201">
        <f>'Mail Merge'!$O1997+'Mail Merge'!$P1997</f>
        <v>1354221.4200000002</v>
      </c>
      <c r="R1997" s="201"/>
      <c r="S1997" s="201"/>
      <c r="T1997" s="201"/>
      <c r="U1997" s="201">
        <f>IF(AND('Mail Merge'!$I1997="Did Not Meet",'Mail Merge'!$N1997="Did Not Meet"),MIN(ABS('Mail Merge'!$H1997),ABS('Mail Merge'!$M1997),'Mail Merge'!$Q1997),0)</f>
        <v>0</v>
      </c>
      <c r="V1997" s="201" t="s">
        <v>242</v>
      </c>
    </row>
    <row r="1998" spans="1:22" x14ac:dyDescent="0.35">
      <c r="A1998" s="198" t="s">
        <v>47</v>
      </c>
      <c r="B1998" s="199">
        <v>1972</v>
      </c>
      <c r="C1998" s="199" t="s">
        <v>1534</v>
      </c>
      <c r="D1998" s="199">
        <v>55</v>
      </c>
      <c r="E1998" s="213">
        <v>306266.18999999994</v>
      </c>
      <c r="F1998" s="213">
        <v>207392.97</v>
      </c>
      <c r="G1998" s="199">
        <f>'Mail Merge'!$E1998+'Mail Merge'!$F1998</f>
        <v>513659.15999999992</v>
      </c>
      <c r="H1998" s="199"/>
      <c r="I1998" s="199" t="s">
        <v>241</v>
      </c>
      <c r="J1998" s="202">
        <f>IFERROR('Mail Merge'!$E1998/'Mail Merge'!$D1998,0)</f>
        <v>5568.4761818181805</v>
      </c>
      <c r="K1998" s="199">
        <f>IFERROR('Mail Merge'!$F1998/'Mail Merge'!$D1998,0)</f>
        <v>3770.7812727272726</v>
      </c>
      <c r="L1998" s="199">
        <f>IFERROR('Mail Merge'!$G1998/'Mail Merge'!$D1998,0)</f>
        <v>9339.2574545454536</v>
      </c>
      <c r="M1998" s="199"/>
      <c r="N1998" s="210" t="s">
        <v>241</v>
      </c>
      <c r="O1998" s="199">
        <v>126221.48</v>
      </c>
      <c r="P1998" s="199">
        <v>3215.28</v>
      </c>
      <c r="Q1998" s="199">
        <f>'Mail Merge'!$O1998+'Mail Merge'!$P1998</f>
        <v>129436.76</v>
      </c>
      <c r="R1998" s="199"/>
      <c r="S1998" s="199"/>
      <c r="T1998" s="199"/>
      <c r="U1998" s="199">
        <f>IF(AND('Mail Merge'!$I1998="Did Not Meet",'Mail Merge'!$N1998="Did Not Meet"),MIN(ABS('Mail Merge'!$H1998),ABS('Mail Merge'!$M1998),'Mail Merge'!$Q1998),0)</f>
        <v>0</v>
      </c>
      <c r="V1998" s="199" t="s">
        <v>241</v>
      </c>
    </row>
    <row r="1999" spans="1:22" x14ac:dyDescent="0.35">
      <c r="A1999" s="200" t="s">
        <v>48</v>
      </c>
      <c r="B1999" s="201">
        <v>2105</v>
      </c>
      <c r="C1999" s="201" t="s">
        <v>1534</v>
      </c>
      <c r="D1999" s="201">
        <v>99</v>
      </c>
      <c r="E1999" s="211">
        <v>719654.11000000022</v>
      </c>
      <c r="F1999" s="211">
        <v>170440</v>
      </c>
      <c r="G1999" s="201">
        <f>'Mail Merge'!$E1999+'Mail Merge'!$F1999</f>
        <v>890094.11000000022</v>
      </c>
      <c r="H1999" s="201"/>
      <c r="I1999" s="201" t="s">
        <v>2139</v>
      </c>
      <c r="J1999" s="204">
        <f>IFERROR('Mail Merge'!$E1999/'Mail Merge'!$D1999,0)</f>
        <v>7269.2334343434368</v>
      </c>
      <c r="K1999" s="201">
        <f>IFERROR('Mail Merge'!$F1999/'Mail Merge'!$D1999,0)</f>
        <v>1721.6161616161617</v>
      </c>
      <c r="L1999" s="201">
        <f>IFERROR('Mail Merge'!$G1999/'Mail Merge'!$D1999,0)</f>
        <v>8990.8495959595984</v>
      </c>
      <c r="M1999" s="201"/>
      <c r="N1999" s="212" t="s">
        <v>241</v>
      </c>
      <c r="O1999" s="201">
        <v>143500.01</v>
      </c>
      <c r="P1999" s="201">
        <v>4147.05</v>
      </c>
      <c r="Q1999" s="201">
        <f>'Mail Merge'!$O1999+'Mail Merge'!$P1999</f>
        <v>147647.06</v>
      </c>
      <c r="R1999" s="201"/>
      <c r="S1999" s="201"/>
      <c r="T1999" s="201"/>
      <c r="U1999" s="201">
        <f>IF(AND('Mail Merge'!$I1999="Did Not Meet",'Mail Merge'!$N1999="Did Not Meet"),MIN(ABS('Mail Merge'!$H1999),ABS('Mail Merge'!$M1999),'Mail Merge'!$Q1999),0)</f>
        <v>0</v>
      </c>
      <c r="V1999" s="201" t="s">
        <v>2139</v>
      </c>
    </row>
    <row r="2000" spans="1:22" x14ac:dyDescent="0.35">
      <c r="A2000" s="198" t="s">
        <v>49</v>
      </c>
      <c r="B2000" s="199">
        <v>2042</v>
      </c>
      <c r="C2000" s="199" t="s">
        <v>1534</v>
      </c>
      <c r="D2000" s="199">
        <v>673</v>
      </c>
      <c r="E2000" s="213">
        <v>3347688.7499999995</v>
      </c>
      <c r="F2000" s="213">
        <v>1167415.31</v>
      </c>
      <c r="G2000" s="199">
        <f>'Mail Merge'!$E2000+'Mail Merge'!$F2000</f>
        <v>4515104.0599999996</v>
      </c>
      <c r="H2000" s="199"/>
      <c r="I2000" s="199" t="s">
        <v>241</v>
      </c>
      <c r="J2000" s="202">
        <f>IFERROR('Mail Merge'!$E2000/'Mail Merge'!$D2000,0)</f>
        <v>4974.2774888558688</v>
      </c>
      <c r="K2000" s="199">
        <f>IFERROR('Mail Merge'!$F2000/'Mail Merge'!$D2000,0)</f>
        <v>1734.6438484398218</v>
      </c>
      <c r="L2000" s="199">
        <f>IFERROR('Mail Merge'!$G2000/'Mail Merge'!$D2000,0)</f>
        <v>6708.9213372956901</v>
      </c>
      <c r="M2000" s="199"/>
      <c r="N2000" s="210" t="s">
        <v>241</v>
      </c>
      <c r="O2000" s="199">
        <v>914708.65</v>
      </c>
      <c r="P2000" s="199">
        <v>32046.989999999998</v>
      </c>
      <c r="Q2000" s="199">
        <f>'Mail Merge'!$O2000+'Mail Merge'!$P2000</f>
        <v>946755.64</v>
      </c>
      <c r="R2000" s="199"/>
      <c r="S2000" s="199"/>
      <c r="T2000" s="199"/>
      <c r="U2000" s="199">
        <f>IF(AND('Mail Merge'!$I2000="Did Not Meet",'Mail Merge'!$N2000="Did Not Meet"),MIN(ABS('Mail Merge'!$H2000),ABS('Mail Merge'!$M2000),'Mail Merge'!$Q2000),0)</f>
        <v>0</v>
      </c>
      <c r="V2000" s="199" t="s">
        <v>241</v>
      </c>
    </row>
    <row r="2001" spans="1:22" x14ac:dyDescent="0.35">
      <c r="A2001" s="200" t="s">
        <v>50</v>
      </c>
      <c r="B2001" s="201">
        <v>2191</v>
      </c>
      <c r="C2001" s="201" t="s">
        <v>1534</v>
      </c>
      <c r="D2001" s="201">
        <v>319</v>
      </c>
      <c r="E2001" s="211">
        <v>6087357.8999999985</v>
      </c>
      <c r="F2001" s="211">
        <v>391417.39999999997</v>
      </c>
      <c r="G2001" s="201">
        <f>'Mail Merge'!$E2001+'Mail Merge'!$F2001</f>
        <v>6478775.2999999989</v>
      </c>
      <c r="H2001" s="201"/>
      <c r="I2001" s="201" t="s">
        <v>242</v>
      </c>
      <c r="J2001" s="204">
        <f>IFERROR('Mail Merge'!$E2001/'Mail Merge'!$D2001,0)</f>
        <v>19082.626645768021</v>
      </c>
      <c r="K2001" s="201">
        <f>IFERROR('Mail Merge'!$F2001/'Mail Merge'!$D2001,0)</f>
        <v>1227.0137931034483</v>
      </c>
      <c r="L2001" s="201">
        <f>IFERROR('Mail Merge'!$G2001/'Mail Merge'!$D2001,0)</f>
        <v>20309.640438871469</v>
      </c>
      <c r="M2001" s="201"/>
      <c r="N2001" s="212" t="s">
        <v>241</v>
      </c>
      <c r="O2001" s="201">
        <v>627929.39</v>
      </c>
      <c r="P2001" s="201">
        <v>15686.66</v>
      </c>
      <c r="Q2001" s="201">
        <f>'Mail Merge'!$O2001+'Mail Merge'!$P2001</f>
        <v>643616.05000000005</v>
      </c>
      <c r="R2001" s="201"/>
      <c r="S2001" s="201"/>
      <c r="T2001" s="201"/>
      <c r="U2001" s="201">
        <f>IF(AND('Mail Merge'!$I2001="Did Not Meet",'Mail Merge'!$N2001="Did Not Meet"),MIN(ABS('Mail Merge'!$H2001),ABS('Mail Merge'!$M2001),'Mail Merge'!$Q2001),0)</f>
        <v>0</v>
      </c>
      <c r="V2001" s="201" t="s">
        <v>242</v>
      </c>
    </row>
    <row r="2002" spans="1:22" x14ac:dyDescent="0.35">
      <c r="A2002" s="198" t="s">
        <v>51</v>
      </c>
      <c r="B2002" s="199">
        <v>1945</v>
      </c>
      <c r="C2002" s="199" t="s">
        <v>1534</v>
      </c>
      <c r="D2002" s="199">
        <v>144</v>
      </c>
      <c r="E2002" s="213">
        <v>2051229.9200000002</v>
      </c>
      <c r="F2002" s="213">
        <v>52542</v>
      </c>
      <c r="G2002" s="199">
        <f>'Mail Merge'!$E2002+'Mail Merge'!$F2002</f>
        <v>2103771.92</v>
      </c>
      <c r="H2002" s="199"/>
      <c r="I2002" s="199" t="s">
        <v>241</v>
      </c>
      <c r="J2002" s="202">
        <f>IFERROR('Mail Merge'!$E2002/'Mail Merge'!$D2002,0)</f>
        <v>14244.652222222223</v>
      </c>
      <c r="K2002" s="199">
        <f>IFERROR('Mail Merge'!$F2002/'Mail Merge'!$D2002,0)</f>
        <v>364.875</v>
      </c>
      <c r="L2002" s="199">
        <f>IFERROR('Mail Merge'!$G2002/'Mail Merge'!$D2002,0)</f>
        <v>14609.527222222221</v>
      </c>
      <c r="M2002" s="199"/>
      <c r="N2002" s="210" t="s">
        <v>241</v>
      </c>
      <c r="O2002" s="199">
        <v>167625.03999999998</v>
      </c>
      <c r="P2002" s="199">
        <v>8073.99</v>
      </c>
      <c r="Q2002" s="199">
        <f>'Mail Merge'!$O2002+'Mail Merge'!$P2002</f>
        <v>175699.02999999997</v>
      </c>
      <c r="R2002" s="199"/>
      <c r="S2002" s="199"/>
      <c r="T2002" s="199"/>
      <c r="U2002" s="199">
        <f>IF(AND('Mail Merge'!$I2002="Did Not Meet",'Mail Merge'!$N2002="Did Not Meet"),MIN(ABS('Mail Merge'!$H2002),ABS('Mail Merge'!$M2002),'Mail Merge'!$Q2002),0)</f>
        <v>0</v>
      </c>
      <c r="V2002" s="199" t="s">
        <v>241</v>
      </c>
    </row>
    <row r="2003" spans="1:22" x14ac:dyDescent="0.35">
      <c r="A2003" s="200" t="s">
        <v>52</v>
      </c>
      <c r="B2003" s="201">
        <v>1927</v>
      </c>
      <c r="C2003" s="201" t="s">
        <v>1534</v>
      </c>
      <c r="D2003" s="201">
        <v>71</v>
      </c>
      <c r="E2003" s="211">
        <v>792142.32999999984</v>
      </c>
      <c r="F2003" s="211">
        <v>8600</v>
      </c>
      <c r="G2003" s="201">
        <f>'Mail Merge'!$E2003+'Mail Merge'!$F2003</f>
        <v>800742.32999999984</v>
      </c>
      <c r="H2003" s="201"/>
      <c r="I2003" s="201" t="s">
        <v>242</v>
      </c>
      <c r="J2003" s="204">
        <f>IFERROR('Mail Merge'!$E2003/'Mail Merge'!$D2003,0)</f>
        <v>11156.93422535211</v>
      </c>
      <c r="K2003" s="201">
        <f>IFERROR('Mail Merge'!$F2003/'Mail Merge'!$D2003,0)</f>
        <v>121.12676056338029</v>
      </c>
      <c r="L2003" s="201">
        <f>IFERROR('Mail Merge'!$G2003/'Mail Merge'!$D2003,0)</f>
        <v>11278.06098591549</v>
      </c>
      <c r="M2003" s="201"/>
      <c r="N2003" s="212" t="s">
        <v>242</v>
      </c>
      <c r="O2003" s="201">
        <v>146389.11000000002</v>
      </c>
      <c r="P2003" s="201">
        <v>5578.5499999999993</v>
      </c>
      <c r="Q2003" s="201">
        <f>'Mail Merge'!$O2003+'Mail Merge'!$P2003</f>
        <v>151967.66</v>
      </c>
      <c r="R2003" s="201"/>
      <c r="S2003" s="201"/>
      <c r="T2003" s="201"/>
      <c r="U2003" s="201">
        <f>IF(AND('Mail Merge'!$I2003="Did Not Meet",'Mail Merge'!$N2003="Did Not Meet"),MIN(ABS('Mail Merge'!$H2003),ABS('Mail Merge'!$M2003),'Mail Merge'!$Q2003),0)</f>
        <v>0</v>
      </c>
      <c r="V2003" s="201" t="s">
        <v>242</v>
      </c>
    </row>
    <row r="2004" spans="1:22" x14ac:dyDescent="0.35">
      <c r="A2004" s="198" t="s">
        <v>53</v>
      </c>
      <c r="B2004" s="199">
        <v>2006</v>
      </c>
      <c r="C2004" s="199" t="s">
        <v>1534</v>
      </c>
      <c r="D2004" s="199">
        <v>17</v>
      </c>
      <c r="E2004" s="213">
        <v>8173.43</v>
      </c>
      <c r="F2004" s="213">
        <v>146131</v>
      </c>
      <c r="G2004" s="199">
        <f>'Mail Merge'!$E2004+'Mail Merge'!$F2004</f>
        <v>154304.43</v>
      </c>
      <c r="H2004" s="199"/>
      <c r="I2004" s="199" t="s">
        <v>241</v>
      </c>
      <c r="J2004" s="202">
        <f>IFERROR('Mail Merge'!$E2004/'Mail Merge'!$D2004,0)</f>
        <v>480.79</v>
      </c>
      <c r="K2004" s="199">
        <f>IFERROR('Mail Merge'!$F2004/'Mail Merge'!$D2004,0)</f>
        <v>8595.9411764705874</v>
      </c>
      <c r="L2004" s="199">
        <f>IFERROR('Mail Merge'!$G2004/'Mail Merge'!$D2004,0)</f>
        <v>9076.7311764705883</v>
      </c>
      <c r="M2004" s="199"/>
      <c r="N2004" s="210" t="s">
        <v>241</v>
      </c>
      <c r="O2004" s="199">
        <v>29969.499999999996</v>
      </c>
      <c r="P2004" s="199">
        <v>862.25</v>
      </c>
      <c r="Q2004" s="199">
        <f>'Mail Merge'!$O2004+'Mail Merge'!$P2004</f>
        <v>30831.749999999996</v>
      </c>
      <c r="R2004" s="199"/>
      <c r="S2004" s="199"/>
      <c r="T2004" s="199"/>
      <c r="U2004" s="199">
        <f>IF(AND('Mail Merge'!$I2004="Did Not Meet",'Mail Merge'!$N2004="Did Not Meet"),MIN(ABS('Mail Merge'!$H2004),ABS('Mail Merge'!$M2004),'Mail Merge'!$Q2004),0)</f>
        <v>0</v>
      </c>
      <c r="V2004" s="199" t="s">
        <v>241</v>
      </c>
    </row>
    <row r="2005" spans="1:22" x14ac:dyDescent="0.35">
      <c r="A2005" s="200" t="s">
        <v>54</v>
      </c>
      <c r="B2005" s="201">
        <v>1965</v>
      </c>
      <c r="C2005" s="201" t="s">
        <v>1534</v>
      </c>
      <c r="D2005" s="201">
        <v>477</v>
      </c>
      <c r="E2005" s="211">
        <v>6025285.5699999994</v>
      </c>
      <c r="F2005" s="211">
        <v>1499203.78</v>
      </c>
      <c r="G2005" s="201">
        <f>'Mail Merge'!$E2005+'Mail Merge'!$F2005</f>
        <v>7524489.3499999996</v>
      </c>
      <c r="H2005" s="201"/>
      <c r="I2005" s="201" t="s">
        <v>241</v>
      </c>
      <c r="J2005" s="204">
        <f>IFERROR('Mail Merge'!$E2005/'Mail Merge'!$D2005,0)</f>
        <v>12631.625932914045</v>
      </c>
      <c r="K2005" s="201">
        <f>IFERROR('Mail Merge'!$F2005/'Mail Merge'!$D2005,0)</f>
        <v>3142.9848637316563</v>
      </c>
      <c r="L2005" s="201">
        <f>IFERROR('Mail Merge'!$G2005/'Mail Merge'!$D2005,0)</f>
        <v>15774.610796645702</v>
      </c>
      <c r="M2005" s="201"/>
      <c r="N2005" s="212" t="s">
        <v>241</v>
      </c>
      <c r="O2005" s="201">
        <v>863655.49</v>
      </c>
      <c r="P2005" s="201">
        <v>28244.82</v>
      </c>
      <c r="Q2005" s="201">
        <f>'Mail Merge'!$O2005+'Mail Merge'!$P2005</f>
        <v>891900.30999999994</v>
      </c>
      <c r="R2005" s="201"/>
      <c r="S2005" s="201"/>
      <c r="T2005" s="201"/>
      <c r="U2005" s="201">
        <f>IF(AND('Mail Merge'!$I2005="Did Not Meet",'Mail Merge'!$N2005="Did Not Meet"),MIN(ABS('Mail Merge'!$H2005),ABS('Mail Merge'!$M2005),'Mail Merge'!$Q2005),0)</f>
        <v>0</v>
      </c>
      <c r="V2005" s="201" t="s">
        <v>241</v>
      </c>
    </row>
    <row r="2006" spans="1:22" x14ac:dyDescent="0.35">
      <c r="A2006" s="198" t="s">
        <v>55</v>
      </c>
      <c r="B2006" s="199">
        <v>1964</v>
      </c>
      <c r="C2006" s="199" t="s">
        <v>1534</v>
      </c>
      <c r="D2006" s="199">
        <v>198</v>
      </c>
      <c r="E2006" s="213">
        <v>1192806.4799999997</v>
      </c>
      <c r="F2006" s="213">
        <v>247731.52</v>
      </c>
      <c r="G2006" s="199">
        <f>'Mail Merge'!$E2006+'Mail Merge'!$F2006</f>
        <v>1440537.9999999998</v>
      </c>
      <c r="H2006" s="199"/>
      <c r="I2006" s="199" t="s">
        <v>241</v>
      </c>
      <c r="J2006" s="202">
        <f>IFERROR('Mail Merge'!$E2006/'Mail Merge'!$D2006,0)</f>
        <v>6024.2751515151504</v>
      </c>
      <c r="K2006" s="199">
        <f>IFERROR('Mail Merge'!$F2006/'Mail Merge'!$D2006,0)</f>
        <v>1251.1692929292929</v>
      </c>
      <c r="L2006" s="199">
        <f>IFERROR('Mail Merge'!$G2006/'Mail Merge'!$D2006,0)</f>
        <v>7275.4444444444434</v>
      </c>
      <c r="M2006" s="199"/>
      <c r="N2006" s="210" t="s">
        <v>241</v>
      </c>
      <c r="O2006" s="199">
        <v>246827.33000000002</v>
      </c>
      <c r="P2006" s="199">
        <v>9290.5600000000013</v>
      </c>
      <c r="Q2006" s="199">
        <f>'Mail Merge'!$O2006+'Mail Merge'!$P2006</f>
        <v>256117.89</v>
      </c>
      <c r="R2006" s="199"/>
      <c r="S2006" s="199"/>
      <c r="T2006" s="199"/>
      <c r="U2006" s="199">
        <f>IF(AND('Mail Merge'!$I2006="Did Not Meet",'Mail Merge'!$N2006="Did Not Meet"),MIN(ABS('Mail Merge'!$H2006),ABS('Mail Merge'!$M2006),'Mail Merge'!$Q2006),0)</f>
        <v>0</v>
      </c>
      <c r="V2006" s="199" t="s">
        <v>241</v>
      </c>
    </row>
    <row r="2007" spans="1:22" x14ac:dyDescent="0.35">
      <c r="A2007" s="200" t="s">
        <v>56</v>
      </c>
      <c r="B2007" s="201">
        <v>2186</v>
      </c>
      <c r="C2007" s="201" t="s">
        <v>1534</v>
      </c>
      <c r="D2007" s="201">
        <v>151</v>
      </c>
      <c r="E2007" s="211">
        <v>1477787.9200000006</v>
      </c>
      <c r="F2007" s="211">
        <v>81843.61</v>
      </c>
      <c r="G2007" s="201">
        <f>'Mail Merge'!$E2007+'Mail Merge'!$F2007</f>
        <v>1559631.5300000007</v>
      </c>
      <c r="H2007" s="201"/>
      <c r="I2007" s="201" t="s">
        <v>2140</v>
      </c>
      <c r="J2007" s="204">
        <f>IFERROR('Mail Merge'!$E2007/'Mail Merge'!$D2007,0)</f>
        <v>9786.6749668874218</v>
      </c>
      <c r="K2007" s="201">
        <f>IFERROR('Mail Merge'!$F2007/'Mail Merge'!$D2007,0)</f>
        <v>542.01066225165562</v>
      </c>
      <c r="L2007" s="201">
        <f>IFERROR('Mail Merge'!$G2007/'Mail Merge'!$D2007,0)</f>
        <v>10328.685629139078</v>
      </c>
      <c r="M2007" s="201"/>
      <c r="N2007" s="212" t="s">
        <v>242</v>
      </c>
      <c r="O2007" s="201">
        <v>189718.96</v>
      </c>
      <c r="P2007" s="201">
        <v>3763.77</v>
      </c>
      <c r="Q2007" s="201">
        <f>'Mail Merge'!$O2007+'Mail Merge'!$P2007</f>
        <v>193482.72999999998</v>
      </c>
      <c r="R2007" s="201"/>
      <c r="S2007" s="201"/>
      <c r="T2007" s="201"/>
      <c r="U2007" s="201">
        <f>IF(AND('Mail Merge'!$I2007="Did Not Meet",'Mail Merge'!$N2007="Did Not Meet"),MIN(ABS('Mail Merge'!$H2007),ABS('Mail Merge'!$M2007),'Mail Merge'!$Q2007),0)</f>
        <v>0</v>
      </c>
      <c r="V2007" s="201" t="s">
        <v>2138</v>
      </c>
    </row>
    <row r="2008" spans="1:22" x14ac:dyDescent="0.35">
      <c r="A2008" s="198" t="s">
        <v>58</v>
      </c>
      <c r="B2008" s="199">
        <v>1901</v>
      </c>
      <c r="C2008" s="199" t="s">
        <v>1534</v>
      </c>
      <c r="D2008" s="199">
        <v>689</v>
      </c>
      <c r="E2008" s="213">
        <v>9840214.1899999939</v>
      </c>
      <c r="F2008" s="213">
        <v>994981</v>
      </c>
      <c r="G2008" s="199">
        <f>'Mail Merge'!$E2008+'Mail Merge'!$F2008</f>
        <v>10835195.189999994</v>
      </c>
      <c r="H2008" s="199"/>
      <c r="I2008" s="199" t="s">
        <v>241</v>
      </c>
      <c r="J2008" s="202">
        <f>IFERROR('Mail Merge'!$E2008/'Mail Merge'!$D2008,0)</f>
        <v>14281.878359941937</v>
      </c>
      <c r="K2008" s="199">
        <f>IFERROR('Mail Merge'!$F2008/'Mail Merge'!$D2008,0)</f>
        <v>1444.0943396226414</v>
      </c>
      <c r="L2008" s="199">
        <f>IFERROR('Mail Merge'!$G2008/'Mail Merge'!$D2008,0)</f>
        <v>15725.972699564578</v>
      </c>
      <c r="M2008" s="199"/>
      <c r="N2008" s="210" t="s">
        <v>241</v>
      </c>
      <c r="O2008" s="199">
        <v>1516610.48</v>
      </c>
      <c r="P2008" s="199">
        <v>38789.630000000005</v>
      </c>
      <c r="Q2008" s="199">
        <f>'Mail Merge'!$O2008+'Mail Merge'!$P2008</f>
        <v>1555400.1099999999</v>
      </c>
      <c r="R2008" s="199"/>
      <c r="S2008" s="199"/>
      <c r="T2008" s="199"/>
      <c r="U2008" s="199">
        <f>IF(AND('Mail Merge'!$I2008="Did Not Meet",'Mail Merge'!$N2008="Did Not Meet"),MIN(ABS('Mail Merge'!$H2008),ABS('Mail Merge'!$M2008),'Mail Merge'!$Q2008),0)</f>
        <v>0</v>
      </c>
      <c r="V2008" s="199" t="s">
        <v>241</v>
      </c>
    </row>
    <row r="2009" spans="1:22" x14ac:dyDescent="0.35">
      <c r="A2009" s="200" t="s">
        <v>59</v>
      </c>
      <c r="B2009" s="201">
        <v>2216</v>
      </c>
      <c r="C2009" s="201" t="s">
        <v>1534</v>
      </c>
      <c r="D2009" s="201">
        <v>35</v>
      </c>
      <c r="E2009" s="211">
        <v>151482.67000000001</v>
      </c>
      <c r="F2009" s="211">
        <v>76099.649999999994</v>
      </c>
      <c r="G2009" s="201">
        <f>'Mail Merge'!$E2009+'Mail Merge'!$F2009</f>
        <v>227582.32</v>
      </c>
      <c r="H2009" s="201"/>
      <c r="I2009" s="201" t="s">
        <v>241</v>
      </c>
      <c r="J2009" s="204">
        <f>IFERROR('Mail Merge'!$E2009/'Mail Merge'!$D2009,0)</f>
        <v>4328.0762857142863</v>
      </c>
      <c r="K2009" s="201">
        <f>IFERROR('Mail Merge'!$F2009/'Mail Merge'!$D2009,0)</f>
        <v>2174.275714285714</v>
      </c>
      <c r="L2009" s="201">
        <f>IFERROR('Mail Merge'!$G2009/'Mail Merge'!$D2009,0)</f>
        <v>6502.3519999999999</v>
      </c>
      <c r="M2009" s="201"/>
      <c r="N2009" s="212" t="s">
        <v>241</v>
      </c>
      <c r="O2009" s="201">
        <v>58387.45</v>
      </c>
      <c r="P2009" s="201">
        <v>1620.83</v>
      </c>
      <c r="Q2009" s="201">
        <f>'Mail Merge'!$O2009+'Mail Merge'!$P2009</f>
        <v>60008.28</v>
      </c>
      <c r="R2009" s="201"/>
      <c r="S2009" s="201"/>
      <c r="T2009" s="201"/>
      <c r="U2009" s="201">
        <f>IF(AND('Mail Merge'!$I2009="Did Not Meet",'Mail Merge'!$N2009="Did Not Meet"),MIN(ABS('Mail Merge'!$H2009),ABS('Mail Merge'!$M2009),'Mail Merge'!$Q2009),0)</f>
        <v>0</v>
      </c>
      <c r="V2009" s="201" t="s">
        <v>241</v>
      </c>
    </row>
    <row r="2010" spans="1:22" x14ac:dyDescent="0.35">
      <c r="A2010" s="198" t="s">
        <v>60</v>
      </c>
      <c r="B2010" s="199">
        <v>2086</v>
      </c>
      <c r="C2010" s="199" t="s">
        <v>1534</v>
      </c>
      <c r="D2010" s="199">
        <v>192</v>
      </c>
      <c r="E2010" s="213">
        <v>2587774.96</v>
      </c>
      <c r="F2010" s="213">
        <v>502422</v>
      </c>
      <c r="G2010" s="199">
        <f>'Mail Merge'!$E2010+'Mail Merge'!$F2010</f>
        <v>3090196.96</v>
      </c>
      <c r="H2010" s="199"/>
      <c r="I2010" s="199" t="s">
        <v>2140</v>
      </c>
      <c r="J2010" s="202">
        <f>IFERROR('Mail Merge'!$E2010/'Mail Merge'!$D2010,0)</f>
        <v>13477.994583333333</v>
      </c>
      <c r="K2010" s="199">
        <f>IFERROR('Mail Merge'!$F2010/'Mail Merge'!$D2010,0)</f>
        <v>2616.78125</v>
      </c>
      <c r="L2010" s="199">
        <f>IFERROR('Mail Merge'!$G2010/'Mail Merge'!$D2010,0)</f>
        <v>16094.775833333333</v>
      </c>
      <c r="M2010" s="199"/>
      <c r="N2010" s="210" t="s">
        <v>242</v>
      </c>
      <c r="O2010" s="199">
        <v>305247.84000000003</v>
      </c>
      <c r="P2010" s="199">
        <v>8819.5400000000009</v>
      </c>
      <c r="Q2010" s="199">
        <f>'Mail Merge'!$O2010+'Mail Merge'!$P2010</f>
        <v>314067.38</v>
      </c>
      <c r="R2010" s="199"/>
      <c r="S2010" s="199"/>
      <c r="T2010" s="199"/>
      <c r="U2010" s="199">
        <f>IF(AND('Mail Merge'!$I2010="Did Not Meet",'Mail Merge'!$N2010="Did Not Meet"),MIN(ABS('Mail Merge'!$H2010),ABS('Mail Merge'!$M2010),'Mail Merge'!$Q2010),0)</f>
        <v>0</v>
      </c>
      <c r="V2010" s="199" t="s">
        <v>2138</v>
      </c>
    </row>
    <row r="2011" spans="1:22" x14ac:dyDescent="0.35">
      <c r="A2011" s="200" t="s">
        <v>61</v>
      </c>
      <c r="B2011" s="201">
        <v>1970</v>
      </c>
      <c r="C2011" s="201" t="s">
        <v>1534</v>
      </c>
      <c r="D2011" s="201">
        <v>440</v>
      </c>
      <c r="E2011" s="211">
        <v>4056154.6500000018</v>
      </c>
      <c r="F2011" s="211">
        <v>324083.21999999997</v>
      </c>
      <c r="G2011" s="201">
        <f>'Mail Merge'!$E2011+'Mail Merge'!$F2011</f>
        <v>4380237.870000002</v>
      </c>
      <c r="H2011" s="201"/>
      <c r="I2011" s="201" t="s">
        <v>241</v>
      </c>
      <c r="J2011" s="204">
        <f>IFERROR('Mail Merge'!$E2011/'Mail Merge'!$D2011,0)</f>
        <v>9218.5332954545502</v>
      </c>
      <c r="K2011" s="201">
        <f>IFERROR('Mail Merge'!$F2011/'Mail Merge'!$D2011,0)</f>
        <v>736.55277272727267</v>
      </c>
      <c r="L2011" s="201">
        <f>IFERROR('Mail Merge'!$G2011/'Mail Merge'!$D2011,0)</f>
        <v>9955.0860681818231</v>
      </c>
      <c r="M2011" s="201"/>
      <c r="N2011" s="212" t="s">
        <v>2140</v>
      </c>
      <c r="O2011" s="201">
        <v>650716.14</v>
      </c>
      <c r="P2011" s="201">
        <v>24923.089999999997</v>
      </c>
      <c r="Q2011" s="201">
        <f>'Mail Merge'!$O2011+'Mail Merge'!$P2011</f>
        <v>675639.23</v>
      </c>
      <c r="R2011" s="201"/>
      <c r="S2011" s="201"/>
      <c r="T2011" s="201"/>
      <c r="U2011" s="201">
        <f>IF(AND('Mail Merge'!$I2011="Did Not Meet",'Mail Merge'!$N2011="Did Not Meet"),MIN(ABS('Mail Merge'!$H2011),ABS('Mail Merge'!$M2011),'Mail Merge'!$Q2011),0)</f>
        <v>0</v>
      </c>
      <c r="V2011" s="201" t="s">
        <v>241</v>
      </c>
    </row>
    <row r="2012" spans="1:22" x14ac:dyDescent="0.35">
      <c r="A2012" s="198" t="s">
        <v>62</v>
      </c>
      <c r="B2012" s="199">
        <v>2089</v>
      </c>
      <c r="C2012" s="199" t="s">
        <v>1534</v>
      </c>
      <c r="D2012" s="199">
        <v>33</v>
      </c>
      <c r="E2012" s="213">
        <v>304790.31999999995</v>
      </c>
      <c r="F2012" s="213">
        <v>128821</v>
      </c>
      <c r="G2012" s="199">
        <f>'Mail Merge'!$E2012+'Mail Merge'!$F2012</f>
        <v>433611.31999999995</v>
      </c>
      <c r="H2012" s="199"/>
      <c r="I2012" s="199" t="s">
        <v>2140</v>
      </c>
      <c r="J2012" s="202">
        <f>IFERROR('Mail Merge'!$E2012/'Mail Merge'!$D2012,0)</f>
        <v>9236.0703030303011</v>
      </c>
      <c r="K2012" s="199">
        <f>IFERROR('Mail Merge'!$F2012/'Mail Merge'!$D2012,0)</f>
        <v>3903.6666666666665</v>
      </c>
      <c r="L2012" s="199">
        <f>IFERROR('Mail Merge'!$G2012/'Mail Merge'!$D2012,0)</f>
        <v>13139.736969696969</v>
      </c>
      <c r="M2012" s="199"/>
      <c r="N2012" s="210" t="s">
        <v>241</v>
      </c>
      <c r="O2012" s="199">
        <v>70202.12</v>
      </c>
      <c r="P2012" s="199">
        <v>1145.3599999999999</v>
      </c>
      <c r="Q2012" s="199">
        <f>'Mail Merge'!$O2012+'Mail Merge'!$P2012</f>
        <v>71347.48</v>
      </c>
      <c r="R2012" s="199"/>
      <c r="S2012" s="199"/>
      <c r="T2012" s="199"/>
      <c r="U2012" s="199">
        <f>IF(AND('Mail Merge'!$I2012="Did Not Meet",'Mail Merge'!$N2012="Did Not Meet"),MIN(ABS('Mail Merge'!$H2012),ABS('Mail Merge'!$M2012),'Mail Merge'!$Q2012),0)</f>
        <v>0</v>
      </c>
      <c r="V2012" s="199" t="s">
        <v>2138</v>
      </c>
    </row>
    <row r="2013" spans="1:22" x14ac:dyDescent="0.35">
      <c r="A2013" s="200" t="s">
        <v>63</v>
      </c>
      <c r="B2013" s="201">
        <v>2050</v>
      </c>
      <c r="C2013" s="201" t="s">
        <v>1534</v>
      </c>
      <c r="D2013" s="201">
        <v>111</v>
      </c>
      <c r="E2013" s="211">
        <v>652736.61999999988</v>
      </c>
      <c r="F2013" s="211">
        <v>248962.76</v>
      </c>
      <c r="G2013" s="201">
        <f>'Mail Merge'!$E2013+'Mail Merge'!$F2013</f>
        <v>901699.37999999989</v>
      </c>
      <c r="H2013" s="201"/>
      <c r="I2013" s="201" t="s">
        <v>242</v>
      </c>
      <c r="J2013" s="204">
        <f>IFERROR('Mail Merge'!$E2013/'Mail Merge'!$D2013,0)</f>
        <v>5880.5100900900889</v>
      </c>
      <c r="K2013" s="201">
        <f>IFERROR('Mail Merge'!$F2013/'Mail Merge'!$D2013,0)</f>
        <v>2242.9077477477476</v>
      </c>
      <c r="L2013" s="201">
        <f>IFERROR('Mail Merge'!$G2013/'Mail Merge'!$D2013,0)</f>
        <v>8123.4178378378365</v>
      </c>
      <c r="M2013" s="201"/>
      <c r="N2013" s="212" t="s">
        <v>2140</v>
      </c>
      <c r="O2013" s="201">
        <v>132217.56</v>
      </c>
      <c r="P2013" s="201">
        <v>4228.82</v>
      </c>
      <c r="Q2013" s="201">
        <f>'Mail Merge'!$O2013+'Mail Merge'!$P2013</f>
        <v>136446.38</v>
      </c>
      <c r="R2013" s="201"/>
      <c r="S2013" s="201"/>
      <c r="T2013" s="201"/>
      <c r="U2013" s="201">
        <f>IF(AND('Mail Merge'!$I2013="Did Not Meet",'Mail Merge'!$N2013="Did Not Meet"),MIN(ABS('Mail Merge'!$H2013),ABS('Mail Merge'!$M2013),'Mail Merge'!$Q2013),0)</f>
        <v>0</v>
      </c>
      <c r="V2013" s="201" t="s">
        <v>242</v>
      </c>
    </row>
    <row r="2014" spans="1:22" x14ac:dyDescent="0.35">
      <c r="A2014" s="198" t="s">
        <v>64</v>
      </c>
      <c r="B2014" s="199">
        <v>2190</v>
      </c>
      <c r="C2014" s="199" t="s">
        <v>1534</v>
      </c>
      <c r="D2014" s="199">
        <v>518</v>
      </c>
      <c r="E2014" s="213">
        <v>5344424.0999999996</v>
      </c>
      <c r="F2014" s="213">
        <v>473582.38</v>
      </c>
      <c r="G2014" s="199">
        <f>'Mail Merge'!$E2014+'Mail Merge'!$F2014</f>
        <v>5818006.4799999995</v>
      </c>
      <c r="H2014" s="199"/>
      <c r="I2014" s="199" t="s">
        <v>241</v>
      </c>
      <c r="J2014" s="202">
        <f>IFERROR('Mail Merge'!$E2014/'Mail Merge'!$D2014,0)</f>
        <v>10317.421042471042</v>
      </c>
      <c r="K2014" s="199">
        <f>IFERROR('Mail Merge'!$F2014/'Mail Merge'!$D2014,0)</f>
        <v>914.25169884169884</v>
      </c>
      <c r="L2014" s="199">
        <f>IFERROR('Mail Merge'!$G2014/'Mail Merge'!$D2014,0)</f>
        <v>11231.672741312741</v>
      </c>
      <c r="M2014" s="199"/>
      <c r="N2014" s="210" t="s">
        <v>241</v>
      </c>
      <c r="O2014" s="199">
        <v>722729.94</v>
      </c>
      <c r="P2014" s="199">
        <v>24702.09</v>
      </c>
      <c r="Q2014" s="199">
        <f>'Mail Merge'!$O2014+'Mail Merge'!$P2014</f>
        <v>747432.02999999991</v>
      </c>
      <c r="R2014" s="199"/>
      <c r="S2014" s="199"/>
      <c r="T2014" s="199"/>
      <c r="U2014" s="199">
        <f>IF(AND('Mail Merge'!$I2014="Did Not Meet",'Mail Merge'!$N2014="Did Not Meet"),MIN(ABS('Mail Merge'!$H2014),ABS('Mail Merge'!$M2014),'Mail Merge'!$Q2014),0)</f>
        <v>0</v>
      </c>
      <c r="V2014" s="199" t="s">
        <v>241</v>
      </c>
    </row>
    <row r="2015" spans="1:22" x14ac:dyDescent="0.35">
      <c r="A2015" s="200" t="s">
        <v>65</v>
      </c>
      <c r="B2015" s="201">
        <v>2187</v>
      </c>
      <c r="C2015" s="201" t="s">
        <v>1534</v>
      </c>
      <c r="D2015" s="201">
        <v>1178</v>
      </c>
      <c r="E2015" s="211">
        <v>13975290.159999996</v>
      </c>
      <c r="F2015" s="211">
        <v>1853482.0100000002</v>
      </c>
      <c r="G2015" s="201">
        <f>'Mail Merge'!$E2015+'Mail Merge'!$F2015</f>
        <v>15828772.169999996</v>
      </c>
      <c r="H2015" s="201"/>
      <c r="I2015" s="201" t="s">
        <v>242</v>
      </c>
      <c r="J2015" s="204">
        <f>IFERROR('Mail Merge'!$E2015/'Mail Merge'!$D2015,0)</f>
        <v>11863.57398981324</v>
      </c>
      <c r="K2015" s="201">
        <f>IFERROR('Mail Merge'!$F2015/'Mail Merge'!$D2015,0)</f>
        <v>1573.4142699490665</v>
      </c>
      <c r="L2015" s="201">
        <f>IFERROR('Mail Merge'!$G2015/'Mail Merge'!$D2015,0)</f>
        <v>13436.988259762305</v>
      </c>
      <c r="M2015" s="201"/>
      <c r="N2015" s="212" t="s">
        <v>242</v>
      </c>
      <c r="O2015" s="201">
        <v>2051135.95</v>
      </c>
      <c r="P2015" s="201">
        <v>49832.340000000004</v>
      </c>
      <c r="Q2015" s="201">
        <f>'Mail Merge'!$O2015+'Mail Merge'!$P2015</f>
        <v>2100968.29</v>
      </c>
      <c r="R2015" s="201"/>
      <c r="S2015" s="201"/>
      <c r="T2015" s="201"/>
      <c r="U2015" s="201">
        <f>IF(AND('Mail Merge'!$I2015="Did Not Meet",'Mail Merge'!$N2015="Did Not Meet"),MIN(ABS('Mail Merge'!$H2015),ABS('Mail Merge'!$M2015),'Mail Merge'!$Q2015),0)</f>
        <v>0</v>
      </c>
      <c r="V2015" s="201" t="s">
        <v>242</v>
      </c>
    </row>
    <row r="2016" spans="1:22" x14ac:dyDescent="0.35">
      <c r="A2016" s="198" t="s">
        <v>66</v>
      </c>
      <c r="B2016" s="199">
        <v>2253</v>
      </c>
      <c r="C2016" s="199" t="s">
        <v>1534</v>
      </c>
      <c r="D2016" s="199">
        <v>122</v>
      </c>
      <c r="E2016" s="213">
        <v>1190334.7900000003</v>
      </c>
      <c r="F2016" s="213">
        <v>99746.700000000012</v>
      </c>
      <c r="G2016" s="199">
        <f>'Mail Merge'!$E2016+'Mail Merge'!$F2016</f>
        <v>1290081.4900000002</v>
      </c>
      <c r="H2016" s="199"/>
      <c r="I2016" s="199" t="s">
        <v>241</v>
      </c>
      <c r="J2016" s="202">
        <f>IFERROR('Mail Merge'!$E2016/'Mail Merge'!$D2016,0)</f>
        <v>9756.8425409836091</v>
      </c>
      <c r="K2016" s="199">
        <f>IFERROR('Mail Merge'!$F2016/'Mail Merge'!$D2016,0)</f>
        <v>817.59590163934433</v>
      </c>
      <c r="L2016" s="199">
        <f>IFERROR('Mail Merge'!$G2016/'Mail Merge'!$D2016,0)</f>
        <v>10574.438442622954</v>
      </c>
      <c r="M2016" s="199"/>
      <c r="N2016" s="210" t="s">
        <v>241</v>
      </c>
      <c r="O2016" s="199">
        <v>202442.86</v>
      </c>
      <c r="P2016" s="199">
        <v>4750.0200000000004</v>
      </c>
      <c r="Q2016" s="199">
        <f>'Mail Merge'!$O2016+'Mail Merge'!$P2016</f>
        <v>207192.87999999998</v>
      </c>
      <c r="R2016" s="199"/>
      <c r="S2016" s="199"/>
      <c r="T2016" s="199"/>
      <c r="U2016" s="199">
        <f>IF(AND('Mail Merge'!$I2016="Did Not Meet",'Mail Merge'!$N2016="Did Not Meet"),MIN(ABS('Mail Merge'!$H2016),ABS('Mail Merge'!$M2016),'Mail Merge'!$Q2016),0)</f>
        <v>0</v>
      </c>
      <c r="V2016" s="199" t="s">
        <v>241</v>
      </c>
    </row>
    <row r="2017" spans="1:22" x14ac:dyDescent="0.35">
      <c r="A2017" s="200" t="s">
        <v>67</v>
      </c>
      <c r="B2017" s="201">
        <v>2011</v>
      </c>
      <c r="C2017" s="201" t="s">
        <v>1534</v>
      </c>
      <c r="D2017" s="201">
        <v>8</v>
      </c>
      <c r="E2017" s="211">
        <v>74282</v>
      </c>
      <c r="F2017" s="211">
        <v>60062.77</v>
      </c>
      <c r="G2017" s="201">
        <f>'Mail Merge'!$E2017+'Mail Merge'!$F2017</f>
        <v>134344.76999999999</v>
      </c>
      <c r="H2017" s="201"/>
      <c r="I2017" s="201" t="s">
        <v>242</v>
      </c>
      <c r="J2017" s="204">
        <f>IFERROR('Mail Merge'!$E2017/'Mail Merge'!$D2017,0)</f>
        <v>9285.25</v>
      </c>
      <c r="K2017" s="201">
        <f>IFERROR('Mail Merge'!$F2017/'Mail Merge'!$D2017,0)</f>
        <v>7507.8462499999996</v>
      </c>
      <c r="L2017" s="201">
        <f>IFERROR('Mail Merge'!$G2017/'Mail Merge'!$D2017,0)</f>
        <v>16793.096249999999</v>
      </c>
      <c r="M2017" s="201"/>
      <c r="N2017" s="212" t="s">
        <v>241</v>
      </c>
      <c r="O2017" s="201">
        <v>8716.48</v>
      </c>
      <c r="P2017" s="201">
        <v>2046.12</v>
      </c>
      <c r="Q2017" s="201">
        <f>'Mail Merge'!$O2017+'Mail Merge'!$P2017</f>
        <v>10762.599999999999</v>
      </c>
      <c r="R2017" s="201"/>
      <c r="S2017" s="201"/>
      <c r="T2017" s="201"/>
      <c r="U2017" s="201">
        <f>IF(AND('Mail Merge'!$I2017="Did Not Meet",'Mail Merge'!$N2017="Did Not Meet"),MIN(ABS('Mail Merge'!$H2017),ABS('Mail Merge'!$M2017),'Mail Merge'!$Q2017),0)</f>
        <v>0</v>
      </c>
      <c r="V2017" s="201" t="s">
        <v>242</v>
      </c>
    </row>
    <row r="2018" spans="1:22" x14ac:dyDescent="0.35">
      <c r="A2018" s="198" t="s">
        <v>68</v>
      </c>
      <c r="B2018" s="199">
        <v>2017</v>
      </c>
      <c r="C2018" s="199" t="s">
        <v>1534</v>
      </c>
      <c r="D2018" s="199">
        <v>0</v>
      </c>
      <c r="E2018" s="199">
        <v>0</v>
      </c>
      <c r="F2018" s="213">
        <v>16675.879999999997</v>
      </c>
      <c r="G2018" s="199">
        <f>'Mail Merge'!$E2018+'Mail Merge'!$F2018</f>
        <v>16675.879999999997</v>
      </c>
      <c r="H2018" s="199"/>
      <c r="I2018" s="199" t="s">
        <v>241</v>
      </c>
      <c r="J2018" s="202">
        <f>IFERROR('Mail Merge'!$E2018/'Mail Merge'!$D2018,0)</f>
        <v>0</v>
      </c>
      <c r="K2018" s="199">
        <f>IFERROR('Mail Merge'!$F2018/'Mail Merge'!$D2018,0)</f>
        <v>0</v>
      </c>
      <c r="L2018" s="199">
        <f>IFERROR('Mail Merge'!$G2018/'Mail Merge'!$D2018,0)</f>
        <v>0</v>
      </c>
      <c r="M2018" s="199"/>
      <c r="N2018" s="210" t="s">
        <v>241</v>
      </c>
      <c r="O2018" s="199">
        <v>0</v>
      </c>
      <c r="P2018" s="199">
        <v>0</v>
      </c>
      <c r="Q2018" s="199">
        <f>'Mail Merge'!$O2018+'Mail Merge'!$P2018</f>
        <v>0</v>
      </c>
      <c r="R2018" s="199"/>
      <c r="S2018" s="199"/>
      <c r="T2018" s="199"/>
      <c r="U2018" s="199">
        <f>IF(AND('Mail Merge'!$I2018="Did Not Meet",'Mail Merge'!$N2018="Did Not Meet"),MIN(ABS('Mail Merge'!$H2018),ABS('Mail Merge'!$M2018),'Mail Merge'!$Q2018),0)</f>
        <v>0</v>
      </c>
      <c r="V2018" s="199" t="s">
        <v>241</v>
      </c>
    </row>
    <row r="2019" spans="1:22" x14ac:dyDescent="0.35">
      <c r="A2019" s="200" t="s">
        <v>69</v>
      </c>
      <c r="B2019" s="201">
        <v>2021</v>
      </c>
      <c r="C2019" s="201" t="s">
        <v>1534</v>
      </c>
      <c r="D2019" s="201">
        <v>1</v>
      </c>
      <c r="E2019" s="201">
        <v>0</v>
      </c>
      <c r="F2019" s="211">
        <v>18720.61</v>
      </c>
      <c r="G2019" s="201">
        <f>'Mail Merge'!$E2019+'Mail Merge'!$F2019</f>
        <v>18720.61</v>
      </c>
      <c r="H2019" s="201"/>
      <c r="I2019" s="201" t="s">
        <v>241</v>
      </c>
      <c r="J2019" s="204">
        <f>IFERROR('Mail Merge'!$E2019/'Mail Merge'!$D2019,0)</f>
        <v>0</v>
      </c>
      <c r="K2019" s="201">
        <f>IFERROR('Mail Merge'!$F2019/'Mail Merge'!$D2019,0)</f>
        <v>18720.61</v>
      </c>
      <c r="L2019" s="201">
        <f>IFERROR('Mail Merge'!$G2019/'Mail Merge'!$D2019,0)</f>
        <v>18720.61</v>
      </c>
      <c r="M2019" s="201"/>
      <c r="N2019" s="212" t="s">
        <v>241</v>
      </c>
      <c r="O2019" s="201">
        <v>0</v>
      </c>
      <c r="P2019" s="201">
        <v>0</v>
      </c>
      <c r="Q2019" s="201">
        <f>'Mail Merge'!$O2019+'Mail Merge'!$P2019</f>
        <v>0</v>
      </c>
      <c r="R2019" s="201"/>
      <c r="S2019" s="201"/>
      <c r="T2019" s="201"/>
      <c r="U2019" s="201">
        <f>IF(AND('Mail Merge'!$I2019="Did Not Meet",'Mail Merge'!$N2019="Did Not Meet"),MIN(ABS('Mail Merge'!$H2019),ABS('Mail Merge'!$M2019),'Mail Merge'!$Q2019),0)</f>
        <v>0</v>
      </c>
      <c r="V2019" s="201" t="s">
        <v>241</v>
      </c>
    </row>
    <row r="2020" spans="1:22" x14ac:dyDescent="0.35">
      <c r="A2020" s="198" t="s">
        <v>70</v>
      </c>
      <c r="B2020" s="199">
        <v>1993</v>
      </c>
      <c r="C2020" s="199" t="s">
        <v>1534</v>
      </c>
      <c r="D2020" s="199">
        <v>39</v>
      </c>
      <c r="E2020" s="213">
        <v>129974.00999999998</v>
      </c>
      <c r="F2020" s="213">
        <v>49244.680000000008</v>
      </c>
      <c r="G2020" s="199">
        <f>'Mail Merge'!$E2020+'Mail Merge'!$F2020</f>
        <v>179218.69</v>
      </c>
      <c r="H2020" s="199"/>
      <c r="I2020" s="199" t="s">
        <v>242</v>
      </c>
      <c r="J2020" s="202">
        <f>IFERROR('Mail Merge'!$E2020/'Mail Merge'!$D2020,0)</f>
        <v>3332.6669230769226</v>
      </c>
      <c r="K2020" s="199">
        <f>IFERROR('Mail Merge'!$F2020/'Mail Merge'!$D2020,0)</f>
        <v>1262.6841025641027</v>
      </c>
      <c r="L2020" s="199">
        <f>IFERROR('Mail Merge'!$G2020/'Mail Merge'!$D2020,0)</f>
        <v>4595.3510256410254</v>
      </c>
      <c r="M2020" s="199"/>
      <c r="N2020" s="210" t="s">
        <v>2140</v>
      </c>
      <c r="O2020" s="199">
        <v>59015.180000000008</v>
      </c>
      <c r="P2020" s="199">
        <v>1542.03</v>
      </c>
      <c r="Q2020" s="199">
        <f>'Mail Merge'!$O2020+'Mail Merge'!$P2020</f>
        <v>60557.210000000006</v>
      </c>
      <c r="R2020" s="199"/>
      <c r="S2020" s="199"/>
      <c r="T2020" s="199"/>
      <c r="U2020" s="199">
        <f>IF(AND('Mail Merge'!$I2020="Did Not Meet",'Mail Merge'!$N2020="Did Not Meet"),MIN(ABS('Mail Merge'!$H2020),ABS('Mail Merge'!$M2020),'Mail Merge'!$Q2020),0)</f>
        <v>0</v>
      </c>
      <c r="V2020" s="199" t="s">
        <v>242</v>
      </c>
    </row>
    <row r="2021" spans="1:22" x14ac:dyDescent="0.35">
      <c r="A2021" s="200" t="s">
        <v>71</v>
      </c>
      <c r="B2021" s="201">
        <v>1991</v>
      </c>
      <c r="C2021" s="201" t="s">
        <v>1534</v>
      </c>
      <c r="D2021" s="201">
        <v>682</v>
      </c>
      <c r="E2021" s="211">
        <v>6501877.7599999979</v>
      </c>
      <c r="F2021" s="211">
        <v>1844137.11</v>
      </c>
      <c r="G2021" s="201">
        <f>'Mail Merge'!$E2021+'Mail Merge'!$F2021</f>
        <v>8346014.8699999982</v>
      </c>
      <c r="H2021" s="201"/>
      <c r="I2021" s="201" t="s">
        <v>241</v>
      </c>
      <c r="J2021" s="204">
        <f>IFERROR('Mail Merge'!$E2021/'Mail Merge'!$D2021,0)</f>
        <v>9533.545102639293</v>
      </c>
      <c r="K2021" s="201">
        <f>IFERROR('Mail Merge'!$F2021/'Mail Merge'!$D2021,0)</f>
        <v>2704.0133577712613</v>
      </c>
      <c r="L2021" s="201">
        <f>IFERROR('Mail Merge'!$G2021/'Mail Merge'!$D2021,0)</f>
        <v>12237.558460410555</v>
      </c>
      <c r="M2021" s="201"/>
      <c r="N2021" s="212" t="s">
        <v>241</v>
      </c>
      <c r="O2021" s="201">
        <v>1307614.55</v>
      </c>
      <c r="P2021" s="201">
        <v>43113.86</v>
      </c>
      <c r="Q2021" s="201">
        <f>'Mail Merge'!$O2021+'Mail Merge'!$P2021</f>
        <v>1350728.4100000001</v>
      </c>
      <c r="R2021" s="201"/>
      <c r="S2021" s="201"/>
      <c r="T2021" s="201"/>
      <c r="U2021" s="201">
        <f>IF(AND('Mail Merge'!$I2021="Did Not Meet",'Mail Merge'!$N2021="Did Not Meet"),MIN(ABS('Mail Merge'!$H2021),ABS('Mail Merge'!$M2021),'Mail Merge'!$Q2021),0)</f>
        <v>0</v>
      </c>
      <c r="V2021" s="201" t="s">
        <v>241</v>
      </c>
    </row>
    <row r="2022" spans="1:22" x14ac:dyDescent="0.35">
      <c r="A2022" s="198" t="s">
        <v>72</v>
      </c>
      <c r="B2022" s="199">
        <v>2019</v>
      </c>
      <c r="C2022" s="199" t="s">
        <v>1534</v>
      </c>
      <c r="D2022" s="199">
        <v>1</v>
      </c>
      <c r="E2022" s="199">
        <v>0</v>
      </c>
      <c r="F2022" s="213">
        <v>18964.830000000002</v>
      </c>
      <c r="G2022" s="199">
        <f>'Mail Merge'!$E2022+'Mail Merge'!$F2022</f>
        <v>18964.830000000002</v>
      </c>
      <c r="H2022" s="199"/>
      <c r="I2022" s="199" t="s">
        <v>241</v>
      </c>
      <c r="J2022" s="202">
        <f>IFERROR('Mail Merge'!$E2022/'Mail Merge'!$D2022,0)</f>
        <v>0</v>
      </c>
      <c r="K2022" s="199">
        <f>IFERROR('Mail Merge'!$F2022/'Mail Merge'!$D2022,0)</f>
        <v>18964.830000000002</v>
      </c>
      <c r="L2022" s="199">
        <f>IFERROR('Mail Merge'!$G2022/'Mail Merge'!$D2022,0)</f>
        <v>18964.830000000002</v>
      </c>
      <c r="M2022" s="199"/>
      <c r="N2022" s="210" t="s">
        <v>241</v>
      </c>
      <c r="O2022" s="199">
        <v>0</v>
      </c>
      <c r="P2022" s="199">
        <v>0</v>
      </c>
      <c r="Q2022" s="199">
        <f>'Mail Merge'!$O2022+'Mail Merge'!$P2022</f>
        <v>0</v>
      </c>
      <c r="R2022" s="199"/>
      <c r="S2022" s="199"/>
      <c r="T2022" s="199"/>
      <c r="U2022" s="199">
        <f>IF(AND('Mail Merge'!$I2022="Did Not Meet",'Mail Merge'!$N2022="Did Not Meet"),MIN(ABS('Mail Merge'!$H2022),ABS('Mail Merge'!$M2022),'Mail Merge'!$Q2022),0)</f>
        <v>0</v>
      </c>
      <c r="V2022" s="199"/>
    </row>
    <row r="2023" spans="1:22" x14ac:dyDescent="0.35">
      <c r="A2023" s="200" t="s">
        <v>73</v>
      </c>
      <c r="B2023" s="201">
        <v>2229</v>
      </c>
      <c r="C2023" s="201" t="s">
        <v>1534</v>
      </c>
      <c r="D2023" s="201">
        <v>56</v>
      </c>
      <c r="E2023" s="211">
        <v>301402.23</v>
      </c>
      <c r="F2023" s="201">
        <v>0</v>
      </c>
      <c r="G2023" s="201">
        <f>'Mail Merge'!$E2023+'Mail Merge'!$F2023</f>
        <v>301402.23</v>
      </c>
      <c r="H2023" s="201"/>
      <c r="I2023" s="201" t="s">
        <v>241</v>
      </c>
      <c r="J2023" s="204">
        <f>IFERROR('Mail Merge'!$E2023/'Mail Merge'!$D2023,0)</f>
        <v>5382.1826785714284</v>
      </c>
      <c r="K2023" s="201">
        <f>IFERROR('Mail Merge'!$F2023/'Mail Merge'!$D2023,0)</f>
        <v>0</v>
      </c>
      <c r="L2023" s="201">
        <f>IFERROR('Mail Merge'!$G2023/'Mail Merge'!$D2023,0)</f>
        <v>5382.1826785714284</v>
      </c>
      <c r="M2023" s="201"/>
      <c r="N2023" s="212" t="s">
        <v>241</v>
      </c>
      <c r="O2023" s="201">
        <v>58197.229999999996</v>
      </c>
      <c r="P2023" s="201">
        <v>1593.4499999999998</v>
      </c>
      <c r="Q2023" s="201">
        <f>'Mail Merge'!$O2023+'Mail Merge'!$P2023</f>
        <v>59790.679999999993</v>
      </c>
      <c r="R2023" s="201"/>
      <c r="S2023" s="201"/>
      <c r="T2023" s="201"/>
      <c r="U2023" s="201">
        <f>IF(AND('Mail Merge'!$I2023="Did Not Meet",'Mail Merge'!$N2023="Did Not Meet"),MIN(ABS('Mail Merge'!$H2023),ABS('Mail Merge'!$M2023),'Mail Merge'!$Q2023),0)</f>
        <v>0</v>
      </c>
      <c r="V2023" s="201" t="s">
        <v>241</v>
      </c>
    </row>
    <row r="2024" spans="1:22" x14ac:dyDescent="0.35">
      <c r="A2024" s="198" t="s">
        <v>74</v>
      </c>
      <c r="B2024" s="199">
        <v>2043</v>
      </c>
      <c r="C2024" s="199" t="s">
        <v>1534</v>
      </c>
      <c r="D2024" s="199">
        <v>552</v>
      </c>
      <c r="E2024" s="213">
        <v>3896785.7300000009</v>
      </c>
      <c r="F2024" s="213">
        <v>549922.05000000005</v>
      </c>
      <c r="G2024" s="199">
        <f>'Mail Merge'!$E2024+'Mail Merge'!$F2024</f>
        <v>4446707.7800000012</v>
      </c>
      <c r="H2024" s="199"/>
      <c r="I2024" s="199" t="s">
        <v>241</v>
      </c>
      <c r="J2024" s="202">
        <f>IFERROR('Mail Merge'!$E2024/'Mail Merge'!$D2024,0)</f>
        <v>7059.3944384057986</v>
      </c>
      <c r="K2024" s="199">
        <f>IFERROR('Mail Merge'!$F2024/'Mail Merge'!$D2024,0)</f>
        <v>996.23559782608709</v>
      </c>
      <c r="L2024" s="199">
        <f>IFERROR('Mail Merge'!$G2024/'Mail Merge'!$D2024,0)</f>
        <v>8055.6300362318862</v>
      </c>
      <c r="M2024" s="199"/>
      <c r="N2024" s="210" t="s">
        <v>241</v>
      </c>
      <c r="O2024" s="199">
        <v>892142.48</v>
      </c>
      <c r="P2024" s="199">
        <v>20949.93</v>
      </c>
      <c r="Q2024" s="199">
        <f>'Mail Merge'!$O2024+'Mail Merge'!$P2024</f>
        <v>913092.41</v>
      </c>
      <c r="R2024" s="199"/>
      <c r="S2024" s="199"/>
      <c r="T2024" s="199"/>
      <c r="U2024" s="199">
        <f>IF(AND('Mail Merge'!$I2024="Did Not Meet",'Mail Merge'!$N2024="Did Not Meet"),MIN(ABS('Mail Merge'!$H2024),ABS('Mail Merge'!$M2024),'Mail Merge'!$Q2024),0)</f>
        <v>0</v>
      </c>
      <c r="V2024" s="199" t="s">
        <v>241</v>
      </c>
    </row>
    <row r="2025" spans="1:22" x14ac:dyDescent="0.35">
      <c r="A2025" s="200" t="s">
        <v>75</v>
      </c>
      <c r="B2025" s="201">
        <v>2203</v>
      </c>
      <c r="C2025" s="201" t="s">
        <v>1534</v>
      </c>
      <c r="D2025" s="201">
        <v>36</v>
      </c>
      <c r="E2025" s="211">
        <v>190418.63999999998</v>
      </c>
      <c r="F2025" s="211">
        <v>82652.039999999994</v>
      </c>
      <c r="G2025" s="201">
        <f>'Mail Merge'!$E2025+'Mail Merge'!$F2025</f>
        <v>273070.68</v>
      </c>
      <c r="H2025" s="201"/>
      <c r="I2025" s="201" t="s">
        <v>242</v>
      </c>
      <c r="J2025" s="204">
        <f>IFERROR('Mail Merge'!$E2025/'Mail Merge'!$D2025,0)</f>
        <v>5289.4066666666658</v>
      </c>
      <c r="K2025" s="201">
        <f>IFERROR('Mail Merge'!$F2025/'Mail Merge'!$D2025,0)</f>
        <v>2295.89</v>
      </c>
      <c r="L2025" s="201">
        <f>IFERROR('Mail Merge'!$G2025/'Mail Merge'!$D2025,0)</f>
        <v>7585.2966666666662</v>
      </c>
      <c r="M2025" s="201"/>
      <c r="N2025" s="212" t="s">
        <v>241</v>
      </c>
      <c r="O2025" s="201">
        <v>49721.509999999995</v>
      </c>
      <c r="P2025" s="201">
        <v>569.79</v>
      </c>
      <c r="Q2025" s="201">
        <f>'Mail Merge'!$O2025+'Mail Merge'!$P2025</f>
        <v>50291.299999999996</v>
      </c>
      <c r="R2025" s="201"/>
      <c r="S2025" s="201"/>
      <c r="T2025" s="201"/>
      <c r="U2025" s="201">
        <f>IF(AND('Mail Merge'!$I2025="Did Not Meet",'Mail Merge'!$N2025="Did Not Meet"),MIN(ABS('Mail Merge'!$H2025),ABS('Mail Merge'!$M2025),'Mail Merge'!$Q2025),0)</f>
        <v>0</v>
      </c>
      <c r="V2025" s="201" t="s">
        <v>242</v>
      </c>
    </row>
    <row r="2026" spans="1:22" x14ac:dyDescent="0.35">
      <c r="A2026" s="198" t="s">
        <v>76</v>
      </c>
      <c r="B2026" s="199">
        <v>2217</v>
      </c>
      <c r="C2026" s="199" t="s">
        <v>1534</v>
      </c>
      <c r="D2026" s="199">
        <v>53</v>
      </c>
      <c r="E2026" s="213">
        <v>322442.01999999996</v>
      </c>
      <c r="F2026" s="213">
        <v>102018.3</v>
      </c>
      <c r="G2026" s="199">
        <f>'Mail Merge'!$E2026+'Mail Merge'!$F2026</f>
        <v>424460.31999999995</v>
      </c>
      <c r="H2026" s="199"/>
      <c r="I2026" s="199" t="s">
        <v>241</v>
      </c>
      <c r="J2026" s="202">
        <f>IFERROR('Mail Merge'!$E2026/'Mail Merge'!$D2026,0)</f>
        <v>6083.8116981132071</v>
      </c>
      <c r="K2026" s="199">
        <f>IFERROR('Mail Merge'!$F2026/'Mail Merge'!$D2026,0)</f>
        <v>1924.8735849056604</v>
      </c>
      <c r="L2026" s="199">
        <f>IFERROR('Mail Merge'!$G2026/'Mail Merge'!$D2026,0)</f>
        <v>8008.6852830188673</v>
      </c>
      <c r="M2026" s="199"/>
      <c r="N2026" s="210" t="s">
        <v>241</v>
      </c>
      <c r="O2026" s="199">
        <v>85215.459999999992</v>
      </c>
      <c r="P2026" s="199">
        <v>620.15</v>
      </c>
      <c r="Q2026" s="199">
        <f>'Mail Merge'!$O2026+'Mail Merge'!$P2026</f>
        <v>85835.609999999986</v>
      </c>
      <c r="R2026" s="199"/>
      <c r="S2026" s="199"/>
      <c r="T2026" s="199"/>
      <c r="U2026" s="199">
        <f>IF(AND('Mail Merge'!$I2026="Did Not Meet",'Mail Merge'!$N2026="Did Not Meet"),MIN(ABS('Mail Merge'!$H2026),ABS('Mail Merge'!$M2026),'Mail Merge'!$Q2026),0)</f>
        <v>0</v>
      </c>
      <c r="V2026" s="199" t="s">
        <v>241</v>
      </c>
    </row>
    <row r="2027" spans="1:22" x14ac:dyDescent="0.35">
      <c r="A2027" s="200" t="s">
        <v>77</v>
      </c>
      <c r="B2027" s="201">
        <v>1998</v>
      </c>
      <c r="C2027" s="201" t="s">
        <v>1534</v>
      </c>
      <c r="D2027" s="201">
        <v>19</v>
      </c>
      <c r="E2027" s="211">
        <v>196303.63999999998</v>
      </c>
      <c r="F2027" s="211">
        <v>51736.430000000008</v>
      </c>
      <c r="G2027" s="201">
        <f>'Mail Merge'!$E2027+'Mail Merge'!$F2027</f>
        <v>248040.07</v>
      </c>
      <c r="H2027" s="201"/>
      <c r="I2027" s="201" t="s">
        <v>242</v>
      </c>
      <c r="J2027" s="204">
        <f>IFERROR('Mail Merge'!$E2027/'Mail Merge'!$D2027,0)</f>
        <v>10331.77052631579</v>
      </c>
      <c r="K2027" s="201">
        <f>IFERROR('Mail Merge'!$F2027/'Mail Merge'!$D2027,0)</f>
        <v>2722.9700000000003</v>
      </c>
      <c r="L2027" s="201">
        <f>IFERROR('Mail Merge'!$G2027/'Mail Merge'!$D2027,0)</f>
        <v>13054.740526315791</v>
      </c>
      <c r="M2027" s="201"/>
      <c r="N2027" s="212" t="s">
        <v>241</v>
      </c>
      <c r="O2027" s="201">
        <v>49351.08</v>
      </c>
      <c r="P2027" s="201">
        <v>0</v>
      </c>
      <c r="Q2027" s="201">
        <f>'Mail Merge'!$O2027+'Mail Merge'!$P2027</f>
        <v>49351.08</v>
      </c>
      <c r="R2027" s="201"/>
      <c r="S2027" s="201"/>
      <c r="T2027" s="201"/>
      <c r="U2027" s="201">
        <f>IF(AND('Mail Merge'!$I2027="Did Not Meet",'Mail Merge'!$N2027="Did Not Meet"),MIN(ABS('Mail Merge'!$H2027),ABS('Mail Merge'!$M2027),'Mail Merge'!$Q2027),0)</f>
        <v>0</v>
      </c>
      <c r="V2027" s="201" t="s">
        <v>242</v>
      </c>
    </row>
    <row r="2028" spans="1:22" x14ac:dyDescent="0.35">
      <c r="A2028" s="198" t="s">
        <v>78</v>
      </c>
      <c r="B2028" s="199">
        <v>2221</v>
      </c>
      <c r="C2028" s="199" t="s">
        <v>1534</v>
      </c>
      <c r="D2028" s="199">
        <v>61</v>
      </c>
      <c r="E2028" s="213">
        <v>222649.09999999998</v>
      </c>
      <c r="F2028" s="213">
        <v>337887.86</v>
      </c>
      <c r="G2028" s="199">
        <f>'Mail Merge'!$E2028+'Mail Merge'!$F2028</f>
        <v>560536.96</v>
      </c>
      <c r="H2028" s="199"/>
      <c r="I2028" s="199" t="s">
        <v>242</v>
      </c>
      <c r="J2028" s="202">
        <f>IFERROR('Mail Merge'!$E2028/'Mail Merge'!$D2028,0)</f>
        <v>3649.9852459016388</v>
      </c>
      <c r="K2028" s="199">
        <f>IFERROR('Mail Merge'!$F2028/'Mail Merge'!$D2028,0)</f>
        <v>5539.1452459016391</v>
      </c>
      <c r="L2028" s="199">
        <f>IFERROR('Mail Merge'!$G2028/'Mail Merge'!$D2028,0)</f>
        <v>9189.1304918032783</v>
      </c>
      <c r="M2028" s="199"/>
      <c r="N2028" s="210" t="s">
        <v>241</v>
      </c>
      <c r="O2028" s="199">
        <v>106098.64</v>
      </c>
      <c r="P2028" s="199">
        <v>2595.42</v>
      </c>
      <c r="Q2028" s="199">
        <f>'Mail Merge'!$O2028+'Mail Merge'!$P2028</f>
        <v>108694.06</v>
      </c>
      <c r="R2028" s="199"/>
      <c r="S2028" s="199"/>
      <c r="T2028" s="199"/>
      <c r="U2028" s="199">
        <f>IF(AND('Mail Merge'!$I2028="Did Not Meet",'Mail Merge'!$N2028="Did Not Meet"),MIN(ABS('Mail Merge'!$H2028),ABS('Mail Merge'!$M2028),'Mail Merge'!$Q2028),0)</f>
        <v>0</v>
      </c>
      <c r="V2028" s="199" t="s">
        <v>242</v>
      </c>
    </row>
    <row r="2029" spans="1:22" x14ac:dyDescent="0.35">
      <c r="A2029" s="200" t="s">
        <v>79</v>
      </c>
      <c r="B2029" s="201">
        <v>1930</v>
      </c>
      <c r="C2029" s="201" t="s">
        <v>1534</v>
      </c>
      <c r="D2029" s="201">
        <v>335</v>
      </c>
      <c r="E2029" s="211">
        <v>2999431.7399999993</v>
      </c>
      <c r="F2029" s="211">
        <v>196959</v>
      </c>
      <c r="G2029" s="201">
        <f>'Mail Merge'!$E2029+'Mail Merge'!$F2029</f>
        <v>3196390.7399999993</v>
      </c>
      <c r="H2029" s="201"/>
      <c r="I2029" s="201" t="s">
        <v>241</v>
      </c>
      <c r="J2029" s="204">
        <f>IFERROR('Mail Merge'!$E2029/'Mail Merge'!$D2029,0)</f>
        <v>8953.5275820895495</v>
      </c>
      <c r="K2029" s="201">
        <f>IFERROR('Mail Merge'!$F2029/'Mail Merge'!$D2029,0)</f>
        <v>587.93731343283582</v>
      </c>
      <c r="L2029" s="201">
        <f>IFERROR('Mail Merge'!$G2029/'Mail Merge'!$D2029,0)</f>
        <v>9541.4648955223856</v>
      </c>
      <c r="M2029" s="201"/>
      <c r="N2029" s="212" t="s">
        <v>241</v>
      </c>
      <c r="O2029" s="201">
        <v>556232.58000000007</v>
      </c>
      <c r="P2029" s="201">
        <v>11631.32</v>
      </c>
      <c r="Q2029" s="201">
        <f>'Mail Merge'!$O2029+'Mail Merge'!$P2029</f>
        <v>567863.9</v>
      </c>
      <c r="R2029" s="201"/>
      <c r="S2029" s="201"/>
      <c r="T2029" s="201"/>
      <c r="U2029" s="201">
        <f>IF(AND('Mail Merge'!$I2029="Did Not Meet",'Mail Merge'!$N2029="Did Not Meet"),MIN(ABS('Mail Merge'!$H2029),ABS('Mail Merge'!$M2029),'Mail Merge'!$Q2029),0)</f>
        <v>0</v>
      </c>
      <c r="V2029" s="201" t="s">
        <v>241</v>
      </c>
    </row>
    <row r="2030" spans="1:22" x14ac:dyDescent="0.35">
      <c r="A2030" s="198" t="s">
        <v>80</v>
      </c>
      <c r="B2030" s="199">
        <v>2082</v>
      </c>
      <c r="C2030" s="199" t="s">
        <v>1534</v>
      </c>
      <c r="D2030" s="199">
        <v>2283</v>
      </c>
      <c r="E2030" s="213">
        <v>25740524.879999992</v>
      </c>
      <c r="F2030" s="213">
        <v>3566530</v>
      </c>
      <c r="G2030" s="199">
        <f>'Mail Merge'!$E2030+'Mail Merge'!$F2030</f>
        <v>29307054.879999992</v>
      </c>
      <c r="H2030" s="199"/>
      <c r="I2030" s="199" t="s">
        <v>241</v>
      </c>
      <c r="J2030" s="202">
        <f>IFERROR('Mail Merge'!$E2030/'Mail Merge'!$D2030,0)</f>
        <v>11274.8685413929</v>
      </c>
      <c r="K2030" s="199">
        <f>IFERROR('Mail Merge'!$F2030/'Mail Merge'!$D2030,0)</f>
        <v>1562.2120017520806</v>
      </c>
      <c r="L2030" s="199">
        <f>IFERROR('Mail Merge'!$G2030/'Mail Merge'!$D2030,0)</f>
        <v>12837.080543144981</v>
      </c>
      <c r="M2030" s="199"/>
      <c r="N2030" s="210" t="s">
        <v>241</v>
      </c>
      <c r="O2030" s="199">
        <v>3822231.2900000005</v>
      </c>
      <c r="P2030" s="199">
        <v>114730.05</v>
      </c>
      <c r="Q2030" s="199">
        <f>'Mail Merge'!$O2030+'Mail Merge'!$P2030</f>
        <v>3936961.3400000003</v>
      </c>
      <c r="R2030" s="199"/>
      <c r="S2030" s="199"/>
      <c r="T2030" s="199"/>
      <c r="U2030" s="199">
        <f>IF(AND('Mail Merge'!$I2030="Did Not Meet",'Mail Merge'!$N2030="Did Not Meet"),MIN(ABS('Mail Merge'!$H2030),ABS('Mail Merge'!$M2030),'Mail Merge'!$Q2030),0)</f>
        <v>0</v>
      </c>
      <c r="V2030" s="199" t="s">
        <v>241</v>
      </c>
    </row>
    <row r="2031" spans="1:22" x14ac:dyDescent="0.35">
      <c r="A2031" s="200" t="s">
        <v>81</v>
      </c>
      <c r="B2031" s="201">
        <v>2193</v>
      </c>
      <c r="C2031" s="201" t="s">
        <v>1534</v>
      </c>
      <c r="D2031" s="201">
        <v>34</v>
      </c>
      <c r="E2031" s="211">
        <v>259026.8</v>
      </c>
      <c r="F2031" s="211">
        <v>42278.400000000001</v>
      </c>
      <c r="G2031" s="201">
        <f>'Mail Merge'!$E2031+'Mail Merge'!$F2031</f>
        <v>301305.2</v>
      </c>
      <c r="H2031" s="201"/>
      <c r="I2031" s="201" t="s">
        <v>241</v>
      </c>
      <c r="J2031" s="204">
        <f>IFERROR('Mail Merge'!$E2031/'Mail Merge'!$D2031,0)</f>
        <v>7618.4352941176467</v>
      </c>
      <c r="K2031" s="201">
        <f>IFERROR('Mail Merge'!$F2031/'Mail Merge'!$D2031,0)</f>
        <v>1243.4823529411765</v>
      </c>
      <c r="L2031" s="201">
        <f>IFERROR('Mail Merge'!$G2031/'Mail Merge'!$D2031,0)</f>
        <v>8861.9176470588245</v>
      </c>
      <c r="M2031" s="201"/>
      <c r="N2031" s="212" t="s">
        <v>241</v>
      </c>
      <c r="O2031" s="201">
        <v>56945.73</v>
      </c>
      <c r="P2031" s="201">
        <v>1057.9100000000001</v>
      </c>
      <c r="Q2031" s="201">
        <f>'Mail Merge'!$O2031+'Mail Merge'!$P2031</f>
        <v>58003.640000000007</v>
      </c>
      <c r="R2031" s="201"/>
      <c r="S2031" s="201"/>
      <c r="T2031" s="201"/>
      <c r="U2031" s="201">
        <f>IF(AND('Mail Merge'!$I2031="Did Not Meet",'Mail Merge'!$N2031="Did Not Meet"),MIN(ABS('Mail Merge'!$H2031),ABS('Mail Merge'!$M2031),'Mail Merge'!$Q2031),0)</f>
        <v>0</v>
      </c>
      <c r="V2031" s="201"/>
    </row>
    <row r="2032" spans="1:22" x14ac:dyDescent="0.35">
      <c r="A2032" s="198" t="s">
        <v>82</v>
      </c>
      <c r="B2032" s="199">
        <v>2084</v>
      </c>
      <c r="C2032" s="199" t="s">
        <v>1534</v>
      </c>
      <c r="D2032" s="199">
        <v>249</v>
      </c>
      <c r="E2032" s="213">
        <v>3192921.4899999998</v>
      </c>
      <c r="F2032" s="213">
        <v>222697</v>
      </c>
      <c r="G2032" s="199">
        <f>'Mail Merge'!$E2032+'Mail Merge'!$F2032</f>
        <v>3415618.4899999998</v>
      </c>
      <c r="H2032" s="199"/>
      <c r="I2032" s="199" t="s">
        <v>242</v>
      </c>
      <c r="J2032" s="202">
        <f>IFERROR('Mail Merge'!$E2032/'Mail Merge'!$D2032,0)</f>
        <v>12822.977871485942</v>
      </c>
      <c r="K2032" s="199">
        <f>IFERROR('Mail Merge'!$F2032/'Mail Merge'!$D2032,0)</f>
        <v>894.36546184738961</v>
      </c>
      <c r="L2032" s="199">
        <f>IFERROR('Mail Merge'!$G2032/'Mail Merge'!$D2032,0)</f>
        <v>13717.343333333332</v>
      </c>
      <c r="M2032" s="199"/>
      <c r="N2032" s="210" t="s">
        <v>241</v>
      </c>
      <c r="O2032" s="199">
        <v>396524.42</v>
      </c>
      <c r="P2032" s="199">
        <v>7923.08</v>
      </c>
      <c r="Q2032" s="199">
        <f>'Mail Merge'!$O2032+'Mail Merge'!$P2032</f>
        <v>404447.5</v>
      </c>
      <c r="R2032" s="199"/>
      <c r="S2032" s="199"/>
      <c r="T2032" s="199"/>
      <c r="U2032" s="199">
        <f>IF(AND('Mail Merge'!$I2032="Did Not Meet",'Mail Merge'!$N2032="Did Not Meet"),MIN(ABS('Mail Merge'!$H2032),ABS('Mail Merge'!$M2032),'Mail Merge'!$Q2032),0)</f>
        <v>0</v>
      </c>
      <c r="V2032" s="199" t="s">
        <v>242</v>
      </c>
    </row>
    <row r="2033" spans="1:22" x14ac:dyDescent="0.35">
      <c r="A2033" s="200" t="s">
        <v>83</v>
      </c>
      <c r="B2033" s="201">
        <v>2241</v>
      </c>
      <c r="C2033" s="201" t="s">
        <v>1534</v>
      </c>
      <c r="D2033" s="201">
        <v>858</v>
      </c>
      <c r="E2033" s="211">
        <v>11636765.320000002</v>
      </c>
      <c r="F2033" s="211">
        <v>313198</v>
      </c>
      <c r="G2033" s="201">
        <f>'Mail Merge'!$E2033+'Mail Merge'!$F2033</f>
        <v>11949963.320000002</v>
      </c>
      <c r="H2033" s="201"/>
      <c r="I2033" s="201" t="s">
        <v>242</v>
      </c>
      <c r="J2033" s="204">
        <f>IFERROR('Mail Merge'!$E2033/'Mail Merge'!$D2033,0)</f>
        <v>13562.663543123546</v>
      </c>
      <c r="K2033" s="201">
        <f>IFERROR('Mail Merge'!$F2033/'Mail Merge'!$D2033,0)</f>
        <v>365.03263403263401</v>
      </c>
      <c r="L2033" s="201">
        <f>IFERROR('Mail Merge'!$G2033/'Mail Merge'!$D2033,0)</f>
        <v>13927.69617715618</v>
      </c>
      <c r="M2033" s="201"/>
      <c r="N2033" s="212" t="s">
        <v>241</v>
      </c>
      <c r="O2033" s="201">
        <v>1243395.8599999999</v>
      </c>
      <c r="P2033" s="201">
        <v>23100.43</v>
      </c>
      <c r="Q2033" s="201">
        <f>'Mail Merge'!$O2033+'Mail Merge'!$P2033</f>
        <v>1266496.2899999998</v>
      </c>
      <c r="R2033" s="201"/>
      <c r="S2033" s="201"/>
      <c r="T2033" s="201"/>
      <c r="U2033" s="201">
        <f>IF(AND('Mail Merge'!$I2033="Did Not Meet",'Mail Merge'!$N2033="Did Not Meet"),MIN(ABS('Mail Merge'!$H2033),ABS('Mail Merge'!$M2033),'Mail Merge'!$Q2033),0)</f>
        <v>0</v>
      </c>
      <c r="V2033" s="201" t="s">
        <v>242</v>
      </c>
    </row>
    <row r="2034" spans="1:22" x14ac:dyDescent="0.35">
      <c r="A2034" s="198" t="s">
        <v>84</v>
      </c>
      <c r="B2034" s="199">
        <v>2248</v>
      </c>
      <c r="C2034" s="199" t="s">
        <v>1534</v>
      </c>
      <c r="D2034" s="199">
        <v>96</v>
      </c>
      <c r="E2034" s="213">
        <v>487729.73</v>
      </c>
      <c r="F2034" s="213">
        <v>95006</v>
      </c>
      <c r="G2034" s="199">
        <f>'Mail Merge'!$E2034+'Mail Merge'!$F2034</f>
        <v>582735.73</v>
      </c>
      <c r="H2034" s="199"/>
      <c r="I2034" s="199" t="s">
        <v>241</v>
      </c>
      <c r="J2034" s="202">
        <f>IFERROR('Mail Merge'!$E2034/'Mail Merge'!$D2034,0)</f>
        <v>5080.5180208333331</v>
      </c>
      <c r="K2034" s="199">
        <f>IFERROR('Mail Merge'!$F2034/'Mail Merge'!$D2034,0)</f>
        <v>989.64583333333337</v>
      </c>
      <c r="L2034" s="199">
        <f>IFERROR('Mail Merge'!$G2034/'Mail Merge'!$D2034,0)</f>
        <v>6070.1638541666662</v>
      </c>
      <c r="M2034" s="199"/>
      <c r="N2034" s="210" t="s">
        <v>241</v>
      </c>
      <c r="O2034" s="199">
        <v>95894</v>
      </c>
      <c r="P2034" s="199">
        <v>1050.76</v>
      </c>
      <c r="Q2034" s="199">
        <f>'Mail Merge'!$O2034+'Mail Merge'!$P2034</f>
        <v>96944.76</v>
      </c>
      <c r="R2034" s="199"/>
      <c r="S2034" s="199"/>
      <c r="T2034" s="199"/>
      <c r="U2034" s="199">
        <f>IF(AND('Mail Merge'!$I2034="Did Not Meet",'Mail Merge'!$N2034="Did Not Meet"),MIN(ABS('Mail Merge'!$H2034),ABS('Mail Merge'!$M2034),'Mail Merge'!$Q2034),0)</f>
        <v>0</v>
      </c>
      <c r="V2034" s="199" t="s">
        <v>241</v>
      </c>
    </row>
    <row r="2035" spans="1:22" x14ac:dyDescent="0.35">
      <c r="A2035" s="200" t="s">
        <v>85</v>
      </c>
      <c r="B2035" s="201">
        <v>2020</v>
      </c>
      <c r="C2035" s="201" t="s">
        <v>1534</v>
      </c>
      <c r="D2035" s="201">
        <v>1</v>
      </c>
      <c r="E2035" s="201">
        <v>0</v>
      </c>
      <c r="F2035" s="211">
        <v>21043.65</v>
      </c>
      <c r="G2035" s="201">
        <f>'Mail Merge'!$E2035+'Mail Merge'!$F2035</f>
        <v>21043.65</v>
      </c>
      <c r="H2035" s="201"/>
      <c r="I2035" s="201" t="s">
        <v>241</v>
      </c>
      <c r="J2035" s="204">
        <f>IFERROR('Mail Merge'!$E2035/'Mail Merge'!$D2035,0)</f>
        <v>0</v>
      </c>
      <c r="K2035" s="201">
        <f>IFERROR('Mail Merge'!$F2035/'Mail Merge'!$D2035,0)</f>
        <v>21043.65</v>
      </c>
      <c r="L2035" s="201">
        <f>IFERROR('Mail Merge'!$G2035/'Mail Merge'!$D2035,0)</f>
        <v>21043.65</v>
      </c>
      <c r="M2035" s="201"/>
      <c r="N2035" s="212" t="s">
        <v>241</v>
      </c>
      <c r="O2035" s="201">
        <v>0</v>
      </c>
      <c r="P2035" s="201">
        <v>0</v>
      </c>
      <c r="Q2035" s="201">
        <f>'Mail Merge'!$O2035+'Mail Merge'!$P2035</f>
        <v>0</v>
      </c>
      <c r="R2035" s="201"/>
      <c r="S2035" s="201"/>
      <c r="T2035" s="201"/>
      <c r="U2035" s="201">
        <f>IF(AND('Mail Merge'!$I2035="Did Not Meet",'Mail Merge'!$N2035="Did Not Meet"),MIN(ABS('Mail Merge'!$H2035),ABS('Mail Merge'!$M2035),'Mail Merge'!$Q2035),0)</f>
        <v>0</v>
      </c>
      <c r="V2035" s="201" t="s">
        <v>241</v>
      </c>
    </row>
    <row r="2036" spans="1:22" x14ac:dyDescent="0.35">
      <c r="A2036" s="198" t="s">
        <v>86</v>
      </c>
      <c r="B2036" s="199">
        <v>2245</v>
      </c>
      <c r="C2036" s="199" t="s">
        <v>1534</v>
      </c>
      <c r="D2036" s="199">
        <v>79</v>
      </c>
      <c r="E2036" s="213">
        <v>805692.62</v>
      </c>
      <c r="F2036" s="213">
        <v>276044</v>
      </c>
      <c r="G2036" s="199">
        <f>'Mail Merge'!$E2036+'Mail Merge'!$F2036</f>
        <v>1081736.6200000001</v>
      </c>
      <c r="H2036" s="199"/>
      <c r="I2036" s="199" t="s">
        <v>241</v>
      </c>
      <c r="J2036" s="202">
        <f>IFERROR('Mail Merge'!$E2036/'Mail Merge'!$D2036,0)</f>
        <v>10198.64075949367</v>
      </c>
      <c r="K2036" s="199">
        <f>IFERROR('Mail Merge'!$F2036/'Mail Merge'!$D2036,0)</f>
        <v>3494.2278481012659</v>
      </c>
      <c r="L2036" s="199">
        <f>IFERROR('Mail Merge'!$G2036/'Mail Merge'!$D2036,0)</f>
        <v>13692.868607594939</v>
      </c>
      <c r="M2036" s="199"/>
      <c r="N2036" s="210" t="s">
        <v>241</v>
      </c>
      <c r="O2036" s="199">
        <v>113829.28</v>
      </c>
      <c r="P2036" s="199">
        <v>2587.62</v>
      </c>
      <c r="Q2036" s="199">
        <f>'Mail Merge'!$O2036+'Mail Merge'!$P2036</f>
        <v>116416.9</v>
      </c>
      <c r="R2036" s="199"/>
      <c r="S2036" s="199"/>
      <c r="T2036" s="199"/>
      <c r="U2036" s="199">
        <f>IF(AND('Mail Merge'!$I2036="Did Not Meet",'Mail Merge'!$N2036="Did Not Meet"),MIN(ABS('Mail Merge'!$H2036),ABS('Mail Merge'!$M2036),'Mail Merge'!$Q2036),0)</f>
        <v>0</v>
      </c>
      <c r="V2036" s="199" t="s">
        <v>241</v>
      </c>
    </row>
    <row r="2037" spans="1:22" x14ac:dyDescent="0.35">
      <c r="A2037" s="200" t="s">
        <v>87</v>
      </c>
      <c r="B2037" s="201">
        <v>2137</v>
      </c>
      <c r="C2037" s="201" t="s">
        <v>1534</v>
      </c>
      <c r="D2037" s="201">
        <v>188</v>
      </c>
      <c r="E2037" s="211">
        <v>995093.48999999964</v>
      </c>
      <c r="F2037" s="211">
        <v>301051.5</v>
      </c>
      <c r="G2037" s="201">
        <f>'Mail Merge'!$E2037+'Mail Merge'!$F2037</f>
        <v>1296144.9899999998</v>
      </c>
      <c r="H2037" s="201"/>
      <c r="I2037" s="201" t="s">
        <v>242</v>
      </c>
      <c r="J2037" s="204">
        <f>IFERROR('Mail Merge'!$E2037/'Mail Merge'!$D2037,0)</f>
        <v>5293.0504787234022</v>
      </c>
      <c r="K2037" s="201">
        <f>IFERROR('Mail Merge'!$F2037/'Mail Merge'!$D2037,0)</f>
        <v>1601.3377659574469</v>
      </c>
      <c r="L2037" s="201">
        <f>IFERROR('Mail Merge'!$G2037/'Mail Merge'!$D2037,0)</f>
        <v>6894.3882446808502</v>
      </c>
      <c r="M2037" s="201"/>
      <c r="N2037" s="212" t="s">
        <v>2140</v>
      </c>
      <c r="O2037" s="201">
        <v>288335.5</v>
      </c>
      <c r="P2037" s="201">
        <v>4003.2599999999998</v>
      </c>
      <c r="Q2037" s="201">
        <f>'Mail Merge'!$O2037+'Mail Merge'!$P2037</f>
        <v>292338.76</v>
      </c>
      <c r="R2037" s="201"/>
      <c r="S2037" s="201"/>
      <c r="T2037" s="201"/>
      <c r="U2037" s="201">
        <f>IF(AND('Mail Merge'!$I2037="Did Not Meet",'Mail Merge'!$N2037="Did Not Meet"),MIN(ABS('Mail Merge'!$H2037),ABS('Mail Merge'!$M2037),'Mail Merge'!$Q2037),0)</f>
        <v>0</v>
      </c>
      <c r="V2037" s="201" t="s">
        <v>242</v>
      </c>
    </row>
    <row r="2038" spans="1:22" x14ac:dyDescent="0.35">
      <c r="A2038" s="198" t="s">
        <v>88</v>
      </c>
      <c r="B2038" s="199">
        <v>1931</v>
      </c>
      <c r="C2038" s="199" t="s">
        <v>1534</v>
      </c>
      <c r="D2038" s="199">
        <v>267</v>
      </c>
      <c r="E2038" s="213">
        <v>2768526.55</v>
      </c>
      <c r="F2038" s="213">
        <v>193649</v>
      </c>
      <c r="G2038" s="199">
        <f>'Mail Merge'!$E2038+'Mail Merge'!$F2038</f>
        <v>2962175.55</v>
      </c>
      <c r="H2038" s="199"/>
      <c r="I2038" s="199" t="s">
        <v>242</v>
      </c>
      <c r="J2038" s="202">
        <f>IFERROR('Mail Merge'!$E2038/'Mail Merge'!$D2038,0)</f>
        <v>10369.01329588015</v>
      </c>
      <c r="K2038" s="199">
        <f>IFERROR('Mail Merge'!$F2038/'Mail Merge'!$D2038,0)</f>
        <v>725.27715355805242</v>
      </c>
      <c r="L2038" s="199">
        <f>IFERROR('Mail Merge'!$G2038/'Mail Merge'!$D2038,0)</f>
        <v>11094.290449438202</v>
      </c>
      <c r="M2038" s="199"/>
      <c r="N2038" s="210" t="s">
        <v>242</v>
      </c>
      <c r="O2038" s="199">
        <v>436912.47</v>
      </c>
      <c r="P2038" s="199">
        <v>3587.75</v>
      </c>
      <c r="Q2038" s="199">
        <f>'Mail Merge'!$O2038+'Mail Merge'!$P2038</f>
        <v>440500.22</v>
      </c>
      <c r="R2038" s="199"/>
      <c r="S2038" s="199"/>
      <c r="T2038" s="199"/>
      <c r="U2038" s="199">
        <f>IF(AND('Mail Merge'!$I2038="Did Not Meet",'Mail Merge'!$N2038="Did Not Meet"),MIN(ABS('Mail Merge'!$H2038),ABS('Mail Merge'!$M2038),'Mail Merge'!$Q2038),0)</f>
        <v>0</v>
      </c>
      <c r="V2038" s="199" t="s">
        <v>242</v>
      </c>
    </row>
    <row r="2039" spans="1:22" x14ac:dyDescent="0.35">
      <c r="A2039" s="200" t="s">
        <v>89</v>
      </c>
      <c r="B2039" s="201">
        <v>2000</v>
      </c>
      <c r="C2039" s="201" t="s">
        <v>1534</v>
      </c>
      <c r="D2039" s="201">
        <v>49</v>
      </c>
      <c r="E2039" s="211">
        <v>367638.36000000004</v>
      </c>
      <c r="F2039" s="211">
        <v>135031.64000000001</v>
      </c>
      <c r="G2039" s="201">
        <f>'Mail Merge'!$E2039+'Mail Merge'!$F2039</f>
        <v>502670.00000000006</v>
      </c>
      <c r="H2039" s="201"/>
      <c r="I2039" s="201" t="s">
        <v>242</v>
      </c>
      <c r="J2039" s="204">
        <f>IFERROR('Mail Merge'!$E2039/'Mail Merge'!$D2039,0)</f>
        <v>7502.8236734693883</v>
      </c>
      <c r="K2039" s="201">
        <f>IFERROR('Mail Merge'!$F2039/'Mail Merge'!$D2039,0)</f>
        <v>2755.7477551020411</v>
      </c>
      <c r="L2039" s="201">
        <f>IFERROR('Mail Merge'!$G2039/'Mail Merge'!$D2039,0)</f>
        <v>10258.571428571429</v>
      </c>
      <c r="M2039" s="201"/>
      <c r="N2039" s="212" t="s">
        <v>242</v>
      </c>
      <c r="O2039" s="201">
        <v>69845.16</v>
      </c>
      <c r="P2039" s="201">
        <v>592.09</v>
      </c>
      <c r="Q2039" s="201">
        <f>'Mail Merge'!$O2039+'Mail Merge'!$P2039</f>
        <v>70437.25</v>
      </c>
      <c r="R2039" s="201"/>
      <c r="S2039" s="201"/>
      <c r="T2039" s="201"/>
      <c r="U2039" s="201">
        <f>IF(AND('Mail Merge'!$I2039="Did Not Meet",'Mail Merge'!$N2039="Did Not Meet"),MIN(ABS('Mail Merge'!$H2039),ABS('Mail Merge'!$M2039),'Mail Merge'!$Q2039),0)</f>
        <v>0</v>
      </c>
      <c r="V2039" s="201" t="s">
        <v>242</v>
      </c>
    </row>
    <row r="2040" spans="1:22" x14ac:dyDescent="0.35">
      <c r="A2040" s="198" t="s">
        <v>90</v>
      </c>
      <c r="B2040" s="199">
        <v>1992</v>
      </c>
      <c r="C2040" s="199" t="s">
        <v>1534</v>
      </c>
      <c r="D2040" s="199">
        <v>101</v>
      </c>
      <c r="E2040" s="213">
        <v>857727.2300000001</v>
      </c>
      <c r="F2040" s="213">
        <v>200157.54</v>
      </c>
      <c r="G2040" s="199">
        <f>'Mail Merge'!$E2040+'Mail Merge'!$F2040</f>
        <v>1057884.77</v>
      </c>
      <c r="H2040" s="199"/>
      <c r="I2040" s="199" t="s">
        <v>241</v>
      </c>
      <c r="J2040" s="202">
        <f>IFERROR('Mail Merge'!$E2040/'Mail Merge'!$D2040,0)</f>
        <v>8492.3488118811892</v>
      </c>
      <c r="K2040" s="199">
        <f>IFERROR('Mail Merge'!$F2040/'Mail Merge'!$D2040,0)</f>
        <v>1981.7578217821783</v>
      </c>
      <c r="L2040" s="199">
        <f>IFERROR('Mail Merge'!$G2040/'Mail Merge'!$D2040,0)</f>
        <v>10474.106633663367</v>
      </c>
      <c r="M2040" s="199"/>
      <c r="N2040" s="210" t="s">
        <v>241</v>
      </c>
      <c r="O2040" s="199">
        <v>188165.94999999998</v>
      </c>
      <c r="P2040" s="199">
        <v>4274.92</v>
      </c>
      <c r="Q2040" s="199">
        <f>'Mail Merge'!$O2040+'Mail Merge'!$P2040</f>
        <v>192440.87</v>
      </c>
      <c r="R2040" s="199"/>
      <c r="S2040" s="199"/>
      <c r="T2040" s="199"/>
      <c r="U2040" s="199">
        <f>IF(AND('Mail Merge'!$I2040="Did Not Meet",'Mail Merge'!$N2040="Did Not Meet"),MIN(ABS('Mail Merge'!$H2040),ABS('Mail Merge'!$M2040),'Mail Merge'!$Q2040),0)</f>
        <v>0</v>
      </c>
      <c r="V2040" s="199" t="s">
        <v>241</v>
      </c>
    </row>
    <row r="2041" spans="1:22" x14ac:dyDescent="0.35">
      <c r="A2041" s="200" t="s">
        <v>91</v>
      </c>
      <c r="B2041" s="201">
        <v>2054</v>
      </c>
      <c r="C2041" s="201" t="s">
        <v>1534</v>
      </c>
      <c r="D2041" s="201">
        <v>748</v>
      </c>
      <c r="E2041" s="211">
        <v>7679587.4900000021</v>
      </c>
      <c r="F2041" s="211">
        <v>400328.18</v>
      </c>
      <c r="G2041" s="201">
        <f>'Mail Merge'!$E2041+'Mail Merge'!$F2041</f>
        <v>8079915.6700000018</v>
      </c>
      <c r="H2041" s="201"/>
      <c r="I2041" s="201" t="s">
        <v>242</v>
      </c>
      <c r="J2041" s="204">
        <f>IFERROR('Mail Merge'!$E2041/'Mail Merge'!$D2041,0)</f>
        <v>10266.828195187169</v>
      </c>
      <c r="K2041" s="201">
        <f>IFERROR('Mail Merge'!$F2041/'Mail Merge'!$D2041,0)</f>
        <v>535.19810160427812</v>
      </c>
      <c r="L2041" s="201">
        <f>IFERROR('Mail Merge'!$G2041/'Mail Merge'!$D2041,0)</f>
        <v>10802.026296791446</v>
      </c>
      <c r="M2041" s="201"/>
      <c r="N2041" s="212" t="s">
        <v>241</v>
      </c>
      <c r="O2041" s="201">
        <v>1198902.9600000002</v>
      </c>
      <c r="P2041" s="201">
        <v>31609.18</v>
      </c>
      <c r="Q2041" s="201">
        <f>'Mail Merge'!$O2041+'Mail Merge'!$P2041</f>
        <v>1230512.1400000001</v>
      </c>
      <c r="R2041" s="201"/>
      <c r="S2041" s="201"/>
      <c r="T2041" s="201"/>
      <c r="U2041" s="201">
        <f>IF(AND('Mail Merge'!$I2041="Did Not Meet",'Mail Merge'!$N2041="Did Not Meet"),MIN(ABS('Mail Merge'!$H2041),ABS('Mail Merge'!$M2041),'Mail Merge'!$Q2041),0)</f>
        <v>0</v>
      </c>
      <c r="V2041" s="201" t="s">
        <v>242</v>
      </c>
    </row>
    <row r="2042" spans="1:22" x14ac:dyDescent="0.35">
      <c r="A2042" s="198" t="s">
        <v>92</v>
      </c>
      <c r="B2042" s="199">
        <v>2100</v>
      </c>
      <c r="C2042" s="199" t="s">
        <v>1534</v>
      </c>
      <c r="D2042" s="199">
        <v>1299</v>
      </c>
      <c r="E2042" s="213">
        <v>15488051.599999998</v>
      </c>
      <c r="F2042" s="213">
        <v>1552723</v>
      </c>
      <c r="G2042" s="199">
        <f>'Mail Merge'!$E2042+'Mail Merge'!$F2042</f>
        <v>17040774.599999998</v>
      </c>
      <c r="H2042" s="199"/>
      <c r="I2042" s="199" t="s">
        <v>241</v>
      </c>
      <c r="J2042" s="202">
        <f>IFERROR('Mail Merge'!$E2042/'Mail Merge'!$D2042,0)</f>
        <v>11923.057428791377</v>
      </c>
      <c r="K2042" s="199">
        <f>IFERROR('Mail Merge'!$F2042/'Mail Merge'!$D2042,0)</f>
        <v>1195.3217859892225</v>
      </c>
      <c r="L2042" s="199">
        <f>IFERROR('Mail Merge'!$G2042/'Mail Merge'!$D2042,0)</f>
        <v>13118.379214780598</v>
      </c>
      <c r="M2042" s="199"/>
      <c r="N2042" s="210" t="s">
        <v>241</v>
      </c>
      <c r="O2042" s="199">
        <v>1906289.14</v>
      </c>
      <c r="P2042" s="199">
        <v>51652.47</v>
      </c>
      <c r="Q2042" s="199">
        <f>'Mail Merge'!$O2042+'Mail Merge'!$P2042</f>
        <v>1957941.6099999999</v>
      </c>
      <c r="R2042" s="199"/>
      <c r="S2042" s="199"/>
      <c r="T2042" s="199"/>
      <c r="U2042" s="199">
        <f>IF(AND('Mail Merge'!$I2042="Did Not Meet",'Mail Merge'!$N2042="Did Not Meet"),MIN(ABS('Mail Merge'!$H2042),ABS('Mail Merge'!$M2042),'Mail Merge'!$Q2042),0)</f>
        <v>0</v>
      </c>
      <c r="V2042" s="199" t="s">
        <v>241</v>
      </c>
    </row>
    <row r="2043" spans="1:22" x14ac:dyDescent="0.35">
      <c r="A2043" s="200" t="s">
        <v>93</v>
      </c>
      <c r="B2043" s="201">
        <v>2183</v>
      </c>
      <c r="C2043" s="201" t="s">
        <v>1534</v>
      </c>
      <c r="D2043" s="201">
        <v>1510</v>
      </c>
      <c r="E2043" s="211">
        <v>18236461.250000004</v>
      </c>
      <c r="F2043" s="211">
        <v>1326932.3500000001</v>
      </c>
      <c r="G2043" s="201">
        <f>'Mail Merge'!$E2043+'Mail Merge'!$F2043</f>
        <v>19563393.600000005</v>
      </c>
      <c r="H2043" s="201"/>
      <c r="I2043" s="201" t="s">
        <v>241</v>
      </c>
      <c r="J2043" s="204">
        <f>IFERROR('Mail Merge'!$E2043/'Mail Merge'!$D2043,0)</f>
        <v>12077.126655629141</v>
      </c>
      <c r="K2043" s="201">
        <f>IFERROR('Mail Merge'!$F2043/'Mail Merge'!$D2043,0)</f>
        <v>878.7631456953643</v>
      </c>
      <c r="L2043" s="201">
        <f>IFERROR('Mail Merge'!$G2043/'Mail Merge'!$D2043,0)</f>
        <v>12955.889801324507</v>
      </c>
      <c r="M2043" s="201"/>
      <c r="N2043" s="212" t="s">
        <v>2140</v>
      </c>
      <c r="O2043" s="201">
        <v>2454654.33</v>
      </c>
      <c r="P2043" s="201">
        <v>61279.87</v>
      </c>
      <c r="Q2043" s="201">
        <f>'Mail Merge'!$O2043+'Mail Merge'!$P2043</f>
        <v>2515934.2000000002</v>
      </c>
      <c r="R2043" s="201"/>
      <c r="S2043" s="201"/>
      <c r="T2043" s="201"/>
      <c r="U2043" s="201">
        <f>IF(AND('Mail Merge'!$I2043="Did Not Meet",'Mail Merge'!$N2043="Did Not Meet"),MIN(ABS('Mail Merge'!$H2043),ABS('Mail Merge'!$M2043),'Mail Merge'!$Q2043),0)</f>
        <v>0</v>
      </c>
      <c r="V2043" s="201" t="s">
        <v>241</v>
      </c>
    </row>
    <row r="2044" spans="1:22" x14ac:dyDescent="0.35">
      <c r="A2044" s="198" t="s">
        <v>94</v>
      </c>
      <c r="B2044" s="199">
        <v>2014</v>
      </c>
      <c r="C2044" s="199" t="s">
        <v>1534</v>
      </c>
      <c r="D2044" s="199">
        <v>106</v>
      </c>
      <c r="E2044" s="213">
        <v>1178669.6700000002</v>
      </c>
      <c r="F2044" s="199">
        <v>0</v>
      </c>
      <c r="G2044" s="199">
        <f>'Mail Merge'!$E2044+'Mail Merge'!$F2044</f>
        <v>1178669.6700000002</v>
      </c>
      <c r="H2044" s="199"/>
      <c r="I2044" s="199" t="s">
        <v>2140</v>
      </c>
      <c r="J2044" s="202">
        <f>IFERROR('Mail Merge'!$E2044/'Mail Merge'!$D2044,0)</f>
        <v>11119.525188679247</v>
      </c>
      <c r="K2044" s="199">
        <f>IFERROR('Mail Merge'!$F2044/'Mail Merge'!$D2044,0)</f>
        <v>0</v>
      </c>
      <c r="L2044" s="199">
        <f>IFERROR('Mail Merge'!$G2044/'Mail Merge'!$D2044,0)</f>
        <v>11119.525188679247</v>
      </c>
      <c r="M2044" s="199"/>
      <c r="N2044" s="210" t="s">
        <v>242</v>
      </c>
      <c r="O2044" s="199">
        <v>228840.22000000003</v>
      </c>
      <c r="P2044" s="199">
        <v>8720.26</v>
      </c>
      <c r="Q2044" s="199">
        <f>'Mail Merge'!$O2044+'Mail Merge'!$P2044</f>
        <v>237560.48000000004</v>
      </c>
      <c r="R2044" s="199"/>
      <c r="S2044" s="199"/>
      <c r="T2044" s="199"/>
      <c r="U2044" s="199">
        <f>IF(AND('Mail Merge'!$I2044="Did Not Meet",'Mail Merge'!$N2044="Did Not Meet"),MIN(ABS('Mail Merge'!$H2044),ABS('Mail Merge'!$M2044),'Mail Merge'!$Q2044),0)</f>
        <v>0</v>
      </c>
      <c r="V2044" s="199" t="s">
        <v>2138</v>
      </c>
    </row>
    <row r="2045" spans="1:22" x14ac:dyDescent="0.35">
      <c r="A2045" s="200" t="s">
        <v>95</v>
      </c>
      <c r="B2045" s="201">
        <v>2015</v>
      </c>
      <c r="C2045" s="201" t="s">
        <v>1534</v>
      </c>
      <c r="D2045" s="201">
        <v>67</v>
      </c>
      <c r="E2045" s="211">
        <v>336096.03999999992</v>
      </c>
      <c r="F2045" s="211">
        <v>40652.92</v>
      </c>
      <c r="G2045" s="201">
        <f>'Mail Merge'!$E2045+'Mail Merge'!$F2045</f>
        <v>376748.9599999999</v>
      </c>
      <c r="H2045" s="201"/>
      <c r="I2045" s="201" t="s">
        <v>2140</v>
      </c>
      <c r="J2045" s="204">
        <f>IFERROR('Mail Merge'!$E2045/'Mail Merge'!$D2045,0)</f>
        <v>5016.3588059701478</v>
      </c>
      <c r="K2045" s="201">
        <f>IFERROR('Mail Merge'!$F2045/'Mail Merge'!$D2045,0)</f>
        <v>606.76</v>
      </c>
      <c r="L2045" s="201">
        <f>IFERROR('Mail Merge'!$G2045/'Mail Merge'!$D2045,0)</f>
        <v>5623.1188059701481</v>
      </c>
      <c r="M2045" s="201"/>
      <c r="N2045" s="212" t="s">
        <v>241</v>
      </c>
      <c r="O2045" s="201">
        <v>52889.979999999996</v>
      </c>
      <c r="P2045" s="201">
        <v>0</v>
      </c>
      <c r="Q2045" s="201">
        <f>'Mail Merge'!$O2045+'Mail Merge'!$P2045</f>
        <v>52889.979999999996</v>
      </c>
      <c r="R2045" s="201"/>
      <c r="S2045" s="201"/>
      <c r="T2045" s="201"/>
      <c r="U2045" s="201">
        <f>IF(AND('Mail Merge'!$I2045="Did Not Meet",'Mail Merge'!$N2045="Did Not Meet"),MIN(ABS('Mail Merge'!$H2045),ABS('Mail Merge'!$M2045),'Mail Merge'!$Q2045),0)</f>
        <v>0</v>
      </c>
      <c r="V2045" s="201" t="s">
        <v>2138</v>
      </c>
    </row>
    <row r="2046" spans="1:22" x14ac:dyDescent="0.35">
      <c r="A2046" s="198" t="s">
        <v>96</v>
      </c>
      <c r="B2046" s="199">
        <v>2023</v>
      </c>
      <c r="C2046" s="199" t="s">
        <v>1534</v>
      </c>
      <c r="D2046" s="199">
        <v>77</v>
      </c>
      <c r="E2046" s="213">
        <v>265965.02</v>
      </c>
      <c r="F2046" s="213">
        <v>55923.74</v>
      </c>
      <c r="G2046" s="199">
        <f>'Mail Merge'!$E2046+'Mail Merge'!$F2046</f>
        <v>321888.76</v>
      </c>
      <c r="H2046" s="199"/>
      <c r="I2046" s="199" t="s">
        <v>241</v>
      </c>
      <c r="J2046" s="202">
        <f>IFERROR('Mail Merge'!$E2046/'Mail Merge'!$D2046,0)</f>
        <v>3454.0911688311689</v>
      </c>
      <c r="K2046" s="199">
        <f>IFERROR('Mail Merge'!$F2046/'Mail Merge'!$D2046,0)</f>
        <v>726.28233766233768</v>
      </c>
      <c r="L2046" s="199">
        <f>IFERROR('Mail Merge'!$G2046/'Mail Merge'!$D2046,0)</f>
        <v>4180.3735064935063</v>
      </c>
      <c r="M2046" s="199"/>
      <c r="N2046" s="210" t="s">
        <v>241</v>
      </c>
      <c r="O2046" s="199">
        <v>14161.34</v>
      </c>
      <c r="P2046" s="199">
        <v>0</v>
      </c>
      <c r="Q2046" s="199">
        <f>'Mail Merge'!$O2046+'Mail Merge'!$P2046</f>
        <v>14161.34</v>
      </c>
      <c r="R2046" s="199"/>
      <c r="S2046" s="199"/>
      <c r="T2046" s="199"/>
      <c r="U2046" s="199">
        <f>IF(AND('Mail Merge'!$I2046="Did Not Meet",'Mail Merge'!$N2046="Did Not Meet"),MIN(ABS('Mail Merge'!$H2046),ABS('Mail Merge'!$M2046),'Mail Merge'!$Q2046),0)</f>
        <v>0</v>
      </c>
      <c r="V2046" s="199" t="s">
        <v>241</v>
      </c>
    </row>
    <row r="2047" spans="1:22" x14ac:dyDescent="0.35">
      <c r="A2047" s="200" t="s">
        <v>97</v>
      </c>
      <c r="B2047" s="201">
        <v>2114</v>
      </c>
      <c r="C2047" s="201" t="s">
        <v>1534</v>
      </c>
      <c r="D2047" s="201">
        <v>22</v>
      </c>
      <c r="E2047" s="211">
        <v>81896.790000000008</v>
      </c>
      <c r="F2047" s="211">
        <v>73681.64</v>
      </c>
      <c r="G2047" s="201">
        <f>'Mail Merge'!$E2047+'Mail Merge'!$F2047</f>
        <v>155578.43</v>
      </c>
      <c r="H2047" s="201"/>
      <c r="I2047" s="201" t="s">
        <v>241</v>
      </c>
      <c r="J2047" s="204">
        <f>IFERROR('Mail Merge'!$E2047/'Mail Merge'!$D2047,0)</f>
        <v>3722.5813636363641</v>
      </c>
      <c r="K2047" s="201">
        <f>IFERROR('Mail Merge'!$F2047/'Mail Merge'!$D2047,0)</f>
        <v>3349.1654545454544</v>
      </c>
      <c r="L2047" s="201">
        <f>IFERROR('Mail Merge'!$G2047/'Mail Merge'!$D2047,0)</f>
        <v>7071.7468181818176</v>
      </c>
      <c r="M2047" s="201"/>
      <c r="N2047" s="212" t="s">
        <v>2140</v>
      </c>
      <c r="O2047" s="201">
        <v>22178.39</v>
      </c>
      <c r="P2047" s="201">
        <v>1003.35</v>
      </c>
      <c r="Q2047" s="201">
        <f>'Mail Merge'!$O2047+'Mail Merge'!$P2047</f>
        <v>23181.739999999998</v>
      </c>
      <c r="R2047" s="201"/>
      <c r="S2047" s="201"/>
      <c r="T2047" s="201"/>
      <c r="U2047" s="201">
        <f>IF(AND('Mail Merge'!$I2047="Did Not Meet",'Mail Merge'!$N2047="Did Not Meet"),MIN(ABS('Mail Merge'!$H2047),ABS('Mail Merge'!$M2047),'Mail Merge'!$Q2047),0)</f>
        <v>0</v>
      </c>
      <c r="V2047" s="201" t="s">
        <v>241</v>
      </c>
    </row>
    <row r="2048" spans="1:22" x14ac:dyDescent="0.35">
      <c r="A2048" s="198" t="s">
        <v>98</v>
      </c>
      <c r="B2048" s="199">
        <v>2099</v>
      </c>
      <c r="C2048" s="199" t="s">
        <v>1534</v>
      </c>
      <c r="D2048" s="199">
        <v>107</v>
      </c>
      <c r="E2048" s="213">
        <v>1182113.6300000004</v>
      </c>
      <c r="F2048" s="213">
        <v>128350</v>
      </c>
      <c r="G2048" s="199">
        <f>'Mail Merge'!$E2048+'Mail Merge'!$F2048</f>
        <v>1310463.6300000004</v>
      </c>
      <c r="H2048" s="199"/>
      <c r="I2048" s="199" t="s">
        <v>242</v>
      </c>
      <c r="J2048" s="202">
        <f>IFERROR('Mail Merge'!$E2048/'Mail Merge'!$D2048,0)</f>
        <v>11047.790934579443</v>
      </c>
      <c r="K2048" s="199">
        <f>IFERROR('Mail Merge'!$F2048/'Mail Merge'!$D2048,0)</f>
        <v>1199.5327102803737</v>
      </c>
      <c r="L2048" s="199">
        <f>IFERROR('Mail Merge'!$G2048/'Mail Merge'!$D2048,0)</f>
        <v>12247.323644859816</v>
      </c>
      <c r="M2048" s="199"/>
      <c r="N2048" s="210" t="s">
        <v>241</v>
      </c>
      <c r="O2048" s="199">
        <v>164383.07</v>
      </c>
      <c r="P2048" s="199">
        <v>1746.71</v>
      </c>
      <c r="Q2048" s="199">
        <f>'Mail Merge'!$O2048+'Mail Merge'!$P2048</f>
        <v>166129.78</v>
      </c>
      <c r="R2048" s="199"/>
      <c r="S2048" s="199"/>
      <c r="T2048" s="199"/>
      <c r="U2048" s="199">
        <f>IF(AND('Mail Merge'!$I2048="Did Not Meet",'Mail Merge'!$N2048="Did Not Meet"),MIN(ABS('Mail Merge'!$H2048),ABS('Mail Merge'!$M2048),'Mail Merge'!$Q2048),0)</f>
        <v>0</v>
      </c>
      <c r="V2048" s="199" t="s">
        <v>242</v>
      </c>
    </row>
    <row r="2049" spans="1:22" x14ac:dyDescent="0.35">
      <c r="A2049" s="200" t="s">
        <v>99</v>
      </c>
      <c r="B2049" s="201">
        <v>2201</v>
      </c>
      <c r="C2049" s="201" t="s">
        <v>1534</v>
      </c>
      <c r="D2049" s="201">
        <v>17</v>
      </c>
      <c r="E2049" s="211">
        <v>121162.05</v>
      </c>
      <c r="F2049" s="211">
        <v>39825.380000000005</v>
      </c>
      <c r="G2049" s="201">
        <f>'Mail Merge'!$E2049+'Mail Merge'!$F2049</f>
        <v>160987.43</v>
      </c>
      <c r="H2049" s="201"/>
      <c r="I2049" s="201" t="s">
        <v>241</v>
      </c>
      <c r="J2049" s="204">
        <f>IFERROR('Mail Merge'!$E2049/'Mail Merge'!$D2049,0)</f>
        <v>7127.1794117647059</v>
      </c>
      <c r="K2049" s="201">
        <f>IFERROR('Mail Merge'!$F2049/'Mail Merge'!$D2049,0)</f>
        <v>2342.6694117647062</v>
      </c>
      <c r="L2049" s="201">
        <f>IFERROR('Mail Merge'!$G2049/'Mail Merge'!$D2049,0)</f>
        <v>9469.8488235294117</v>
      </c>
      <c r="M2049" s="201"/>
      <c r="N2049" s="212" t="s">
        <v>241</v>
      </c>
      <c r="O2049" s="201">
        <v>27055.919999999998</v>
      </c>
      <c r="P2049" s="201">
        <v>1020.81</v>
      </c>
      <c r="Q2049" s="201">
        <f>'Mail Merge'!$O2049+'Mail Merge'!$P2049</f>
        <v>28076.73</v>
      </c>
      <c r="R2049" s="201"/>
      <c r="S2049" s="201"/>
      <c r="T2049" s="201"/>
      <c r="U2049" s="201">
        <f>IF(AND('Mail Merge'!$I2049="Did Not Meet",'Mail Merge'!$N2049="Did Not Meet"),MIN(ABS('Mail Merge'!$H2049),ABS('Mail Merge'!$M2049),'Mail Merge'!$Q2049),0)</f>
        <v>0</v>
      </c>
      <c r="V2049" s="201" t="s">
        <v>241</v>
      </c>
    </row>
    <row r="2050" spans="1:22" x14ac:dyDescent="0.35">
      <c r="A2050" s="198" t="s">
        <v>100</v>
      </c>
      <c r="B2050" s="199">
        <v>2206</v>
      </c>
      <c r="C2050" s="199" t="s">
        <v>1534</v>
      </c>
      <c r="D2050" s="199">
        <v>664</v>
      </c>
      <c r="E2050" s="213">
        <v>6080255.8299999973</v>
      </c>
      <c r="F2050" s="199">
        <v>0</v>
      </c>
      <c r="G2050" s="199">
        <f>'Mail Merge'!$E2050+'Mail Merge'!$F2050</f>
        <v>6080255.8299999973</v>
      </c>
      <c r="H2050" s="199"/>
      <c r="I2050" s="199" t="s">
        <v>242</v>
      </c>
      <c r="J2050" s="202">
        <f>IFERROR('Mail Merge'!$E2050/'Mail Merge'!$D2050,0)</f>
        <v>9157.0117921686706</v>
      </c>
      <c r="K2050" s="199">
        <f>IFERROR('Mail Merge'!$F2050/'Mail Merge'!$D2050,0)</f>
        <v>0</v>
      </c>
      <c r="L2050" s="199">
        <f>IFERROR('Mail Merge'!$G2050/'Mail Merge'!$D2050,0)</f>
        <v>9157.0117921686706</v>
      </c>
      <c r="M2050" s="199"/>
      <c r="N2050" s="210" t="s">
        <v>241</v>
      </c>
      <c r="O2050" s="199">
        <v>1087862.01</v>
      </c>
      <c r="P2050" s="199">
        <v>25838.22</v>
      </c>
      <c r="Q2050" s="199">
        <f>'Mail Merge'!$O2050+'Mail Merge'!$P2050</f>
        <v>1113700.23</v>
      </c>
      <c r="R2050" s="199"/>
      <c r="S2050" s="199"/>
      <c r="T2050" s="199"/>
      <c r="U2050" s="199">
        <f>IF(AND('Mail Merge'!$I2050="Did Not Meet",'Mail Merge'!$N2050="Did Not Meet"),MIN(ABS('Mail Merge'!$H2050),ABS('Mail Merge'!$M2050),'Mail Merge'!$Q2050),0)</f>
        <v>0</v>
      </c>
      <c r="V2050" s="199" t="s">
        <v>242</v>
      </c>
    </row>
    <row r="2051" spans="1:22" x14ac:dyDescent="0.35">
      <c r="A2051" s="200" t="s">
        <v>101</v>
      </c>
      <c r="B2051" s="201">
        <v>2239</v>
      </c>
      <c r="C2051" s="201" t="s">
        <v>1534</v>
      </c>
      <c r="D2051" s="201">
        <v>3035</v>
      </c>
      <c r="E2051" s="211">
        <v>36072105.600000031</v>
      </c>
      <c r="F2051" s="211">
        <v>4314218</v>
      </c>
      <c r="G2051" s="201">
        <f>'Mail Merge'!$E2051+'Mail Merge'!$F2051</f>
        <v>40386323.600000031</v>
      </c>
      <c r="H2051" s="201"/>
      <c r="I2051" s="201" t="s">
        <v>242</v>
      </c>
      <c r="J2051" s="204">
        <f>IFERROR('Mail Merge'!$E2051/'Mail Merge'!$D2051,0)</f>
        <v>11885.372520593091</v>
      </c>
      <c r="K2051" s="201">
        <f>IFERROR('Mail Merge'!$F2051/'Mail Merge'!$D2051,0)</f>
        <v>1421.4886326194398</v>
      </c>
      <c r="L2051" s="201">
        <f>IFERROR('Mail Merge'!$G2051/'Mail Merge'!$D2051,0)</f>
        <v>13306.861153212531</v>
      </c>
      <c r="M2051" s="201"/>
      <c r="N2051" s="212" t="s">
        <v>241</v>
      </c>
      <c r="O2051" s="201">
        <v>3889393.7899999996</v>
      </c>
      <c r="P2051" s="201">
        <v>69526.91</v>
      </c>
      <c r="Q2051" s="201">
        <f>'Mail Merge'!$O2051+'Mail Merge'!$P2051</f>
        <v>3958920.6999999997</v>
      </c>
      <c r="R2051" s="201"/>
      <c r="S2051" s="201"/>
      <c r="T2051" s="201"/>
      <c r="U2051" s="201">
        <f>IF(AND('Mail Merge'!$I2051="Did Not Meet",'Mail Merge'!$N2051="Did Not Meet"),MIN(ABS('Mail Merge'!$H2051),ABS('Mail Merge'!$M2051),'Mail Merge'!$Q2051),0)</f>
        <v>0</v>
      </c>
      <c r="V2051" s="201" t="s">
        <v>242</v>
      </c>
    </row>
    <row r="2052" spans="1:22" x14ac:dyDescent="0.35">
      <c r="A2052" s="198" t="s">
        <v>102</v>
      </c>
      <c r="B2052" s="199">
        <v>2024</v>
      </c>
      <c r="C2052" s="199" t="s">
        <v>1534</v>
      </c>
      <c r="D2052" s="199">
        <v>450</v>
      </c>
      <c r="E2052" s="213">
        <v>4967999.2899999954</v>
      </c>
      <c r="F2052" s="199">
        <v>0</v>
      </c>
      <c r="G2052" s="199">
        <f>'Mail Merge'!$E2052+'Mail Merge'!$F2052</f>
        <v>4967999.2899999954</v>
      </c>
      <c r="H2052" s="199"/>
      <c r="I2052" s="199" t="s">
        <v>241</v>
      </c>
      <c r="J2052" s="202">
        <f>IFERROR('Mail Merge'!$E2052/'Mail Merge'!$D2052,0)</f>
        <v>11039.998422222212</v>
      </c>
      <c r="K2052" s="199">
        <f>IFERROR('Mail Merge'!$F2052/'Mail Merge'!$D2052,0)</f>
        <v>0</v>
      </c>
      <c r="L2052" s="199">
        <f>IFERROR('Mail Merge'!$G2052/'Mail Merge'!$D2052,0)</f>
        <v>11039.998422222212</v>
      </c>
      <c r="M2052" s="199"/>
      <c r="N2052" s="210" t="s">
        <v>241</v>
      </c>
      <c r="O2052" s="199">
        <v>802360.21</v>
      </c>
      <c r="P2052" s="199">
        <v>21517.23</v>
      </c>
      <c r="Q2052" s="199">
        <f>'Mail Merge'!$O2052+'Mail Merge'!$P2052</f>
        <v>823877.44</v>
      </c>
      <c r="R2052" s="199"/>
      <c r="S2052" s="199"/>
      <c r="T2052" s="199"/>
      <c r="U2052" s="199">
        <f>IF(AND('Mail Merge'!$I2052="Did Not Meet",'Mail Merge'!$N2052="Did Not Meet"),MIN(ABS('Mail Merge'!$H2052),ABS('Mail Merge'!$M2052),'Mail Merge'!$Q2052),0)</f>
        <v>0</v>
      </c>
      <c r="V2052" s="199" t="s">
        <v>241</v>
      </c>
    </row>
    <row r="2053" spans="1:22" x14ac:dyDescent="0.35">
      <c r="A2053" s="200" t="s">
        <v>103</v>
      </c>
      <c r="B2053" s="201">
        <v>1895</v>
      </c>
      <c r="C2053" s="201" t="s">
        <v>1534</v>
      </c>
      <c r="D2053" s="201">
        <v>4</v>
      </c>
      <c r="E2053" s="211">
        <v>75116.609999999986</v>
      </c>
      <c r="F2053" s="211">
        <v>54354.400000000001</v>
      </c>
      <c r="G2053" s="201">
        <f>'Mail Merge'!$E2053+'Mail Merge'!$F2053</f>
        <v>129471.00999999998</v>
      </c>
      <c r="H2053" s="201"/>
      <c r="I2053" s="201" t="s">
        <v>241</v>
      </c>
      <c r="J2053" s="204">
        <f>IFERROR('Mail Merge'!$E2053/'Mail Merge'!$D2053,0)</f>
        <v>18779.152499999997</v>
      </c>
      <c r="K2053" s="201">
        <f>IFERROR('Mail Merge'!$F2053/'Mail Merge'!$D2053,0)</f>
        <v>13588.6</v>
      </c>
      <c r="L2053" s="201">
        <f>IFERROR('Mail Merge'!$G2053/'Mail Merge'!$D2053,0)</f>
        <v>32367.752499999995</v>
      </c>
      <c r="M2053" s="201"/>
      <c r="N2053" s="212" t="s">
        <v>241</v>
      </c>
      <c r="O2053" s="201">
        <v>20551.61</v>
      </c>
      <c r="P2053" s="201">
        <v>516.5</v>
      </c>
      <c r="Q2053" s="201">
        <f>'Mail Merge'!$O2053+'Mail Merge'!$P2053</f>
        <v>21068.11</v>
      </c>
      <c r="R2053" s="201"/>
      <c r="S2053" s="201"/>
      <c r="T2053" s="201"/>
      <c r="U2053" s="201">
        <f>IF(AND('Mail Merge'!$I2053="Did Not Meet",'Mail Merge'!$N2053="Did Not Meet"),MIN(ABS('Mail Merge'!$H2053),ABS('Mail Merge'!$M2053),'Mail Merge'!$Q2053),0)</f>
        <v>0</v>
      </c>
      <c r="V2053" s="201" t="s">
        <v>241</v>
      </c>
    </row>
    <row r="2054" spans="1:22" x14ac:dyDescent="0.35">
      <c r="A2054" s="198" t="s">
        <v>104</v>
      </c>
      <c r="B2054" s="199">
        <v>2215</v>
      </c>
      <c r="C2054" s="199" t="s">
        <v>1534</v>
      </c>
      <c r="D2054" s="199">
        <v>34</v>
      </c>
      <c r="E2054" s="213">
        <v>179952.71000000002</v>
      </c>
      <c r="F2054" s="213">
        <v>74457.119999999995</v>
      </c>
      <c r="G2054" s="199">
        <f>'Mail Merge'!$E2054+'Mail Merge'!$F2054</f>
        <v>254409.83000000002</v>
      </c>
      <c r="H2054" s="199"/>
      <c r="I2054" s="199" t="s">
        <v>242</v>
      </c>
      <c r="J2054" s="202">
        <f>IFERROR('Mail Merge'!$E2054/'Mail Merge'!$D2054,0)</f>
        <v>5292.7267647058834</v>
      </c>
      <c r="K2054" s="199">
        <f>IFERROR('Mail Merge'!$F2054/'Mail Merge'!$D2054,0)</f>
        <v>2189.9152941176471</v>
      </c>
      <c r="L2054" s="199">
        <f>IFERROR('Mail Merge'!$G2054/'Mail Merge'!$D2054,0)</f>
        <v>7482.6420588235296</v>
      </c>
      <c r="M2054" s="199"/>
      <c r="N2054" s="210" t="s">
        <v>241</v>
      </c>
      <c r="O2054" s="199">
        <v>77933.91</v>
      </c>
      <c r="P2054" s="199">
        <v>583.61999999999989</v>
      </c>
      <c r="Q2054" s="199">
        <f>'Mail Merge'!$O2054+'Mail Merge'!$P2054</f>
        <v>78517.53</v>
      </c>
      <c r="R2054" s="199"/>
      <c r="S2054" s="199"/>
      <c r="T2054" s="199"/>
      <c r="U2054" s="199">
        <f>IF(AND('Mail Merge'!$I2054="Did Not Meet",'Mail Merge'!$N2054="Did Not Meet"),MIN(ABS('Mail Merge'!$H2054),ABS('Mail Merge'!$M2054),'Mail Merge'!$Q2054),0)</f>
        <v>0</v>
      </c>
      <c r="V2054" s="199" t="s">
        <v>242</v>
      </c>
    </row>
    <row r="2055" spans="1:22" x14ac:dyDescent="0.35">
      <c r="A2055" s="200" t="s">
        <v>105</v>
      </c>
      <c r="B2055" s="201">
        <v>3997</v>
      </c>
      <c r="C2055" s="201" t="s">
        <v>1534</v>
      </c>
      <c r="D2055" s="201">
        <v>28</v>
      </c>
      <c r="E2055" s="211">
        <v>188501.08</v>
      </c>
      <c r="F2055" s="211">
        <v>53904.38</v>
      </c>
      <c r="G2055" s="201">
        <f>'Mail Merge'!$E2055+'Mail Merge'!$F2055</f>
        <v>242405.46</v>
      </c>
      <c r="H2055" s="201"/>
      <c r="I2055" s="201" t="s">
        <v>241</v>
      </c>
      <c r="J2055" s="204">
        <f>IFERROR('Mail Merge'!$E2055/'Mail Merge'!$D2055,0)</f>
        <v>6732.1814285714281</v>
      </c>
      <c r="K2055" s="201">
        <f>IFERROR('Mail Merge'!$F2055/'Mail Merge'!$D2055,0)</f>
        <v>1925.1564285714285</v>
      </c>
      <c r="L2055" s="201">
        <f>IFERROR('Mail Merge'!$G2055/'Mail Merge'!$D2055,0)</f>
        <v>8657.3378571428566</v>
      </c>
      <c r="M2055" s="201"/>
      <c r="N2055" s="212" t="s">
        <v>241</v>
      </c>
      <c r="O2055" s="201">
        <v>31549.280000000002</v>
      </c>
      <c r="P2055" s="201">
        <v>561.69000000000005</v>
      </c>
      <c r="Q2055" s="201">
        <f>'Mail Merge'!$O2055+'Mail Merge'!$P2055</f>
        <v>32110.97</v>
      </c>
      <c r="R2055" s="201"/>
      <c r="S2055" s="201"/>
      <c r="T2055" s="201"/>
      <c r="U2055" s="201">
        <f>IF(AND('Mail Merge'!$I2055="Did Not Meet",'Mail Merge'!$N2055="Did Not Meet"),MIN(ABS('Mail Merge'!$H2055),ABS('Mail Merge'!$M2055),'Mail Merge'!$Q2055),0)</f>
        <v>0</v>
      </c>
      <c r="V2055" s="201" t="s">
        <v>241</v>
      </c>
    </row>
    <row r="2056" spans="1:22" x14ac:dyDescent="0.35">
      <c r="A2056" s="198" t="s">
        <v>106</v>
      </c>
      <c r="B2056" s="199">
        <v>2053</v>
      </c>
      <c r="C2056" s="199" t="s">
        <v>1534</v>
      </c>
      <c r="D2056" s="199">
        <v>492</v>
      </c>
      <c r="E2056" s="213">
        <v>4664367</v>
      </c>
      <c r="F2056" s="213">
        <v>1249268.28</v>
      </c>
      <c r="G2056" s="199">
        <f>'Mail Merge'!$E2056+'Mail Merge'!$F2056</f>
        <v>5913635.2800000003</v>
      </c>
      <c r="H2056" s="199"/>
      <c r="I2056" s="199" t="s">
        <v>242</v>
      </c>
      <c r="J2056" s="202">
        <f>IFERROR('Mail Merge'!$E2056/'Mail Merge'!$D2056,0)</f>
        <v>9480.4207317073178</v>
      </c>
      <c r="K2056" s="199">
        <f>IFERROR('Mail Merge'!$F2056/'Mail Merge'!$D2056,0)</f>
        <v>2539.1631707317074</v>
      </c>
      <c r="L2056" s="199">
        <f>IFERROR('Mail Merge'!$G2056/'Mail Merge'!$D2056,0)</f>
        <v>12019.583902439024</v>
      </c>
      <c r="M2056" s="199"/>
      <c r="N2056" s="210" t="s">
        <v>241</v>
      </c>
      <c r="O2056" s="199">
        <v>643499.07999999996</v>
      </c>
      <c r="P2056" s="199">
        <v>38772.93</v>
      </c>
      <c r="Q2056" s="199">
        <f>'Mail Merge'!$O2056+'Mail Merge'!$P2056</f>
        <v>682272.01</v>
      </c>
      <c r="R2056" s="199"/>
      <c r="S2056" s="199"/>
      <c r="T2056" s="199"/>
      <c r="U2056" s="199">
        <f>IF(AND('Mail Merge'!$I2056="Did Not Meet",'Mail Merge'!$N2056="Did Not Meet"),MIN(ABS('Mail Merge'!$H2056),ABS('Mail Merge'!$M2056),'Mail Merge'!$Q2056),0)</f>
        <v>0</v>
      </c>
      <c r="V2056" s="199" t="s">
        <v>242</v>
      </c>
    </row>
    <row r="2057" spans="1:22" x14ac:dyDescent="0.35">
      <c r="A2057" s="200" t="s">
        <v>107</v>
      </c>
      <c r="B2057" s="201">
        <v>2140</v>
      </c>
      <c r="C2057" s="201" t="s">
        <v>1534</v>
      </c>
      <c r="D2057" s="201">
        <v>122</v>
      </c>
      <c r="E2057" s="211">
        <v>1215932.8200000005</v>
      </c>
      <c r="F2057" s="211">
        <v>176718.16</v>
      </c>
      <c r="G2057" s="201">
        <f>'Mail Merge'!$E2057+'Mail Merge'!$F2057</f>
        <v>1392650.9800000004</v>
      </c>
      <c r="H2057" s="201"/>
      <c r="I2057" s="201" t="s">
        <v>241</v>
      </c>
      <c r="J2057" s="204">
        <f>IFERROR('Mail Merge'!$E2057/'Mail Merge'!$D2057,0)</f>
        <v>9966.6624590163974</v>
      </c>
      <c r="K2057" s="201">
        <f>IFERROR('Mail Merge'!$F2057/'Mail Merge'!$D2057,0)</f>
        <v>1448.5095081967213</v>
      </c>
      <c r="L2057" s="201">
        <f>IFERROR('Mail Merge'!$G2057/'Mail Merge'!$D2057,0)</f>
        <v>11415.171967213118</v>
      </c>
      <c r="M2057" s="201"/>
      <c r="N2057" s="212" t="s">
        <v>241</v>
      </c>
      <c r="O2057" s="201">
        <v>176744.28</v>
      </c>
      <c r="P2057" s="201">
        <v>2709.95</v>
      </c>
      <c r="Q2057" s="201">
        <f>'Mail Merge'!$O2057+'Mail Merge'!$P2057</f>
        <v>179454.23</v>
      </c>
      <c r="R2057" s="201"/>
      <c r="S2057" s="201"/>
      <c r="T2057" s="201"/>
      <c r="U2057" s="201">
        <f>IF(AND('Mail Merge'!$I2057="Did Not Meet",'Mail Merge'!$N2057="Did Not Meet"),MIN(ABS('Mail Merge'!$H2057),ABS('Mail Merge'!$M2057),'Mail Merge'!$Q2057),0)</f>
        <v>0</v>
      </c>
      <c r="V2057" s="201" t="s">
        <v>241</v>
      </c>
    </row>
    <row r="2058" spans="1:22" x14ac:dyDescent="0.35">
      <c r="A2058" s="198" t="s">
        <v>108</v>
      </c>
      <c r="B2058" s="199">
        <v>1934</v>
      </c>
      <c r="C2058" s="199" t="s">
        <v>1534</v>
      </c>
      <c r="D2058" s="199">
        <v>21</v>
      </c>
      <c r="E2058" s="213">
        <v>372541.18000000005</v>
      </c>
      <c r="F2058" s="213">
        <v>63591</v>
      </c>
      <c r="G2058" s="199">
        <f>'Mail Merge'!$E2058+'Mail Merge'!$F2058</f>
        <v>436132.18000000005</v>
      </c>
      <c r="H2058" s="199"/>
      <c r="I2058" s="199" t="s">
        <v>241</v>
      </c>
      <c r="J2058" s="202">
        <f>IFERROR('Mail Merge'!$E2058/'Mail Merge'!$D2058,0)</f>
        <v>17740.056190476193</v>
      </c>
      <c r="K2058" s="199">
        <f>IFERROR('Mail Merge'!$F2058/'Mail Merge'!$D2058,0)</f>
        <v>3028.1428571428573</v>
      </c>
      <c r="L2058" s="199">
        <f>IFERROR('Mail Merge'!$G2058/'Mail Merge'!$D2058,0)</f>
        <v>20768.199047619051</v>
      </c>
      <c r="M2058" s="199"/>
      <c r="N2058" s="210" t="s">
        <v>241</v>
      </c>
      <c r="O2058" s="199">
        <v>28676.120000000003</v>
      </c>
      <c r="P2058" s="199">
        <v>1032.8499999999999</v>
      </c>
      <c r="Q2058" s="199">
        <f>'Mail Merge'!$O2058+'Mail Merge'!$P2058</f>
        <v>29708.97</v>
      </c>
      <c r="R2058" s="199"/>
      <c r="S2058" s="199"/>
      <c r="T2058" s="199"/>
      <c r="U2058" s="199">
        <f>IF(AND('Mail Merge'!$I2058="Did Not Meet",'Mail Merge'!$N2058="Did Not Meet"),MIN(ABS('Mail Merge'!$H2058),ABS('Mail Merge'!$M2058),'Mail Merge'!$Q2058),0)</f>
        <v>0</v>
      </c>
      <c r="V2058" s="199" t="s">
        <v>241</v>
      </c>
    </row>
    <row r="2059" spans="1:22" x14ac:dyDescent="0.35">
      <c r="A2059" s="200" t="s">
        <v>109</v>
      </c>
      <c r="B2059" s="201">
        <v>2008</v>
      </c>
      <c r="C2059" s="201" t="s">
        <v>1534</v>
      </c>
      <c r="D2059" s="201">
        <v>89</v>
      </c>
      <c r="E2059" s="211">
        <v>934341.21999999974</v>
      </c>
      <c r="F2059" s="211">
        <v>185535.03</v>
      </c>
      <c r="G2059" s="201">
        <f>'Mail Merge'!$E2059+'Mail Merge'!$F2059</f>
        <v>1119876.2499999998</v>
      </c>
      <c r="H2059" s="201"/>
      <c r="I2059" s="201" t="s">
        <v>241</v>
      </c>
      <c r="J2059" s="204">
        <f>IFERROR('Mail Merge'!$E2059/'Mail Merge'!$D2059,0)</f>
        <v>10498.215955056177</v>
      </c>
      <c r="K2059" s="201">
        <f>IFERROR('Mail Merge'!$F2059/'Mail Merge'!$D2059,0)</f>
        <v>2084.6632584269664</v>
      </c>
      <c r="L2059" s="201">
        <f>IFERROR('Mail Merge'!$G2059/'Mail Merge'!$D2059,0)</f>
        <v>12582.879213483144</v>
      </c>
      <c r="M2059" s="201"/>
      <c r="N2059" s="212" t="s">
        <v>2140</v>
      </c>
      <c r="O2059" s="201">
        <v>172038.63999999998</v>
      </c>
      <c r="P2059" s="201">
        <v>5540.83</v>
      </c>
      <c r="Q2059" s="201">
        <f>'Mail Merge'!$O2059+'Mail Merge'!$P2059</f>
        <v>177579.46999999997</v>
      </c>
      <c r="R2059" s="201"/>
      <c r="S2059" s="201"/>
      <c r="T2059" s="201"/>
      <c r="U2059" s="201">
        <f>IF(AND('Mail Merge'!$I2059="Did Not Meet",'Mail Merge'!$N2059="Did Not Meet"),MIN(ABS('Mail Merge'!$H2059),ABS('Mail Merge'!$M2059),'Mail Merge'!$Q2059),0)</f>
        <v>0</v>
      </c>
      <c r="V2059" s="201" t="s">
        <v>241</v>
      </c>
    </row>
    <row r="2060" spans="1:22" x14ac:dyDescent="0.35">
      <c r="A2060" s="198" t="s">
        <v>110</v>
      </c>
      <c r="B2060" s="199">
        <v>2107</v>
      </c>
      <c r="C2060" s="199" t="s">
        <v>1534</v>
      </c>
      <c r="D2060" s="199">
        <v>4</v>
      </c>
      <c r="E2060" s="213">
        <v>36825.4</v>
      </c>
      <c r="F2060" s="213">
        <v>79504.890000000014</v>
      </c>
      <c r="G2060" s="199">
        <f>'Mail Merge'!$E2060+'Mail Merge'!$F2060</f>
        <v>116330.29000000001</v>
      </c>
      <c r="H2060" s="199"/>
      <c r="I2060" s="199" t="s">
        <v>241</v>
      </c>
      <c r="J2060" s="202">
        <f>IFERROR('Mail Merge'!$E2060/'Mail Merge'!$D2060,0)</f>
        <v>9206.35</v>
      </c>
      <c r="K2060" s="199">
        <f>IFERROR('Mail Merge'!$F2060/'Mail Merge'!$D2060,0)</f>
        <v>19876.222500000003</v>
      </c>
      <c r="L2060" s="199">
        <f>IFERROR('Mail Merge'!$G2060/'Mail Merge'!$D2060,0)</f>
        <v>29082.572500000002</v>
      </c>
      <c r="M2060" s="199"/>
      <c r="N2060" s="210" t="s">
        <v>2140</v>
      </c>
      <c r="O2060" s="199">
        <v>17261.41</v>
      </c>
      <c r="P2060" s="199">
        <v>504.05</v>
      </c>
      <c r="Q2060" s="199">
        <f>'Mail Merge'!$O2060+'Mail Merge'!$P2060</f>
        <v>17765.46</v>
      </c>
      <c r="R2060" s="199"/>
      <c r="S2060" s="199"/>
      <c r="T2060" s="199"/>
      <c r="U2060" s="199">
        <f>IF(AND('Mail Merge'!$I2060="Did Not Meet",'Mail Merge'!$N2060="Did Not Meet"),MIN(ABS('Mail Merge'!$H2060),ABS('Mail Merge'!$M2060),'Mail Merge'!$Q2060),0)</f>
        <v>0</v>
      </c>
      <c r="V2060" s="199" t="s">
        <v>241</v>
      </c>
    </row>
    <row r="2061" spans="1:22" x14ac:dyDescent="0.35">
      <c r="A2061" s="200" t="s">
        <v>111</v>
      </c>
      <c r="B2061" s="201">
        <v>2219</v>
      </c>
      <c r="C2061" s="201" t="s">
        <v>1534</v>
      </c>
      <c r="D2061" s="201">
        <v>31</v>
      </c>
      <c r="E2061" s="211">
        <v>103902.25</v>
      </c>
      <c r="F2061" s="211">
        <v>166173.84</v>
      </c>
      <c r="G2061" s="201">
        <f>'Mail Merge'!$E2061+'Mail Merge'!$F2061</f>
        <v>270076.08999999997</v>
      </c>
      <c r="H2061" s="201"/>
      <c r="I2061" s="201" t="s">
        <v>242</v>
      </c>
      <c r="J2061" s="204">
        <f>IFERROR('Mail Merge'!$E2061/'Mail Merge'!$D2061,0)</f>
        <v>3351.6854838709678</v>
      </c>
      <c r="K2061" s="201">
        <f>IFERROR('Mail Merge'!$F2061/'Mail Merge'!$D2061,0)</f>
        <v>5360.4464516129028</v>
      </c>
      <c r="L2061" s="201">
        <f>IFERROR('Mail Merge'!$G2061/'Mail Merge'!$D2061,0)</f>
        <v>8712.1319354838706</v>
      </c>
      <c r="M2061" s="201"/>
      <c r="N2061" s="212" t="s">
        <v>242</v>
      </c>
      <c r="O2061" s="201">
        <v>69906.590000000011</v>
      </c>
      <c r="P2061" s="201">
        <v>2505.81</v>
      </c>
      <c r="Q2061" s="201">
        <f>'Mail Merge'!$O2061+'Mail Merge'!$P2061</f>
        <v>72412.400000000009</v>
      </c>
      <c r="R2061" s="201"/>
      <c r="S2061" s="201"/>
      <c r="T2061" s="201"/>
      <c r="U2061" s="201">
        <f>IF(AND('Mail Merge'!$I2061="Did Not Meet",'Mail Merge'!$N2061="Did Not Meet"),MIN(ABS('Mail Merge'!$H2061),ABS('Mail Merge'!$M2061),'Mail Merge'!$Q2061),0)</f>
        <v>0</v>
      </c>
      <c r="V2061" s="201" t="s">
        <v>242</v>
      </c>
    </row>
    <row r="2062" spans="1:22" x14ac:dyDescent="0.35">
      <c r="A2062" s="198" t="s">
        <v>112</v>
      </c>
      <c r="B2062" s="199">
        <v>2091</v>
      </c>
      <c r="C2062" s="199" t="s">
        <v>1534</v>
      </c>
      <c r="D2062" s="199">
        <v>246</v>
      </c>
      <c r="E2062" s="213">
        <v>1601513.6899999997</v>
      </c>
      <c r="F2062" s="213">
        <v>600741</v>
      </c>
      <c r="G2062" s="199">
        <f>'Mail Merge'!$E2062+'Mail Merge'!$F2062</f>
        <v>2202254.6899999995</v>
      </c>
      <c r="H2062" s="199"/>
      <c r="I2062" s="199" t="s">
        <v>242</v>
      </c>
      <c r="J2062" s="202">
        <f>IFERROR('Mail Merge'!$E2062/'Mail Merge'!$D2062,0)</f>
        <v>6510.2182520325196</v>
      </c>
      <c r="K2062" s="199">
        <f>IFERROR('Mail Merge'!$F2062/'Mail Merge'!$D2062,0)</f>
        <v>2442.0365853658536</v>
      </c>
      <c r="L2062" s="199">
        <f>IFERROR('Mail Merge'!$G2062/'Mail Merge'!$D2062,0)</f>
        <v>8952.2548373983718</v>
      </c>
      <c r="M2062" s="199"/>
      <c r="N2062" s="210" t="s">
        <v>2140</v>
      </c>
      <c r="O2062" s="199">
        <v>396627.88</v>
      </c>
      <c r="P2062" s="199">
        <v>14252.45</v>
      </c>
      <c r="Q2062" s="199">
        <f>'Mail Merge'!$O2062+'Mail Merge'!$P2062</f>
        <v>410880.33</v>
      </c>
      <c r="R2062" s="199"/>
      <c r="S2062" s="199"/>
      <c r="T2062" s="199"/>
      <c r="U2062" s="199">
        <f>IF(AND('Mail Merge'!$I2062="Did Not Meet",'Mail Merge'!$N2062="Did Not Meet"),MIN(ABS('Mail Merge'!$H2062),ABS('Mail Merge'!$M2062),'Mail Merge'!$Q2062),0)</f>
        <v>0</v>
      </c>
      <c r="V2062" s="199" t="s">
        <v>242</v>
      </c>
    </row>
    <row r="2063" spans="1:22" x14ac:dyDescent="0.35">
      <c r="A2063" s="200" t="s">
        <v>113</v>
      </c>
      <c r="B2063" s="201">
        <v>2109</v>
      </c>
      <c r="C2063" s="201" t="s">
        <v>1534</v>
      </c>
      <c r="D2063" s="201">
        <v>2</v>
      </c>
      <c r="E2063" s="201">
        <v>0</v>
      </c>
      <c r="F2063" s="211">
        <v>10982</v>
      </c>
      <c r="G2063" s="201">
        <f>'Mail Merge'!$E2063+'Mail Merge'!$F2063</f>
        <v>10982</v>
      </c>
      <c r="H2063" s="201"/>
      <c r="I2063" s="201" t="s">
        <v>241</v>
      </c>
      <c r="J2063" s="204">
        <f>IFERROR('Mail Merge'!$E2063/'Mail Merge'!$D2063,0)</f>
        <v>0</v>
      </c>
      <c r="K2063" s="201">
        <f>IFERROR('Mail Merge'!$F2063/'Mail Merge'!$D2063,0)</f>
        <v>5491</v>
      </c>
      <c r="L2063" s="201">
        <f>IFERROR('Mail Merge'!$G2063/'Mail Merge'!$D2063,0)</f>
        <v>5491</v>
      </c>
      <c r="M2063" s="201"/>
      <c r="N2063" s="212" t="s">
        <v>2140</v>
      </c>
      <c r="O2063" s="201">
        <v>1324.65</v>
      </c>
      <c r="P2063" s="201">
        <v>1.04</v>
      </c>
      <c r="Q2063" s="201">
        <f>'Mail Merge'!$O2063+'Mail Merge'!$P2063</f>
        <v>1325.69</v>
      </c>
      <c r="R2063" s="201"/>
      <c r="S2063" s="201"/>
      <c r="T2063" s="201"/>
      <c r="U2063" s="201">
        <f>IF(AND('Mail Merge'!$I2063="Did Not Meet",'Mail Merge'!$N2063="Did Not Meet"),MIN(ABS('Mail Merge'!$H2063),ABS('Mail Merge'!$M2063),'Mail Merge'!$Q2063),0)</f>
        <v>0</v>
      </c>
      <c r="V2063" s="201" t="s">
        <v>241</v>
      </c>
    </row>
    <row r="2064" spans="1:22" x14ac:dyDescent="0.35">
      <c r="A2064" s="198" t="s">
        <v>114</v>
      </c>
      <c r="B2064" s="199">
        <v>2057</v>
      </c>
      <c r="C2064" s="199" t="s">
        <v>1534</v>
      </c>
      <c r="D2064" s="199">
        <v>969</v>
      </c>
      <c r="E2064" s="213">
        <v>8568087.209999999</v>
      </c>
      <c r="F2064" s="213">
        <v>253298.42</v>
      </c>
      <c r="G2064" s="199">
        <f>'Mail Merge'!$E2064+'Mail Merge'!$F2064</f>
        <v>8821385.629999999</v>
      </c>
      <c r="H2064" s="199"/>
      <c r="I2064" s="199" t="s">
        <v>241</v>
      </c>
      <c r="J2064" s="202">
        <f>IFERROR('Mail Merge'!$E2064/'Mail Merge'!$D2064,0)</f>
        <v>8842.1952631578934</v>
      </c>
      <c r="K2064" s="199">
        <f>IFERROR('Mail Merge'!$F2064/'Mail Merge'!$D2064,0)</f>
        <v>261.40187822497421</v>
      </c>
      <c r="L2064" s="199">
        <f>IFERROR('Mail Merge'!$G2064/'Mail Merge'!$D2064,0)</f>
        <v>9103.5971413828684</v>
      </c>
      <c r="M2064" s="199"/>
      <c r="N2064" s="210" t="s">
        <v>241</v>
      </c>
      <c r="O2064" s="199">
        <v>1574418.44</v>
      </c>
      <c r="P2064" s="199">
        <v>35546.97</v>
      </c>
      <c r="Q2064" s="199">
        <f>'Mail Merge'!$O2064+'Mail Merge'!$P2064</f>
        <v>1609965.41</v>
      </c>
      <c r="R2064" s="199"/>
      <c r="S2064" s="199"/>
      <c r="T2064" s="199"/>
      <c r="U2064" s="199">
        <f>IF(AND('Mail Merge'!$I2064="Did Not Meet",'Mail Merge'!$N2064="Did Not Meet"),MIN(ABS('Mail Merge'!$H2064),ABS('Mail Merge'!$M2064),'Mail Merge'!$Q2064),0)</f>
        <v>0</v>
      </c>
      <c r="V2064" s="199" t="s">
        <v>241</v>
      </c>
    </row>
    <row r="2065" spans="1:22" x14ac:dyDescent="0.35">
      <c r="A2065" s="200" t="s">
        <v>115</v>
      </c>
      <c r="B2065" s="201">
        <v>2056</v>
      </c>
      <c r="C2065" s="201" t="s">
        <v>1534</v>
      </c>
      <c r="D2065" s="201">
        <v>445</v>
      </c>
      <c r="E2065" s="211">
        <v>3361796.1</v>
      </c>
      <c r="F2065" s="211">
        <v>232617.83</v>
      </c>
      <c r="G2065" s="201">
        <f>'Mail Merge'!$E2065+'Mail Merge'!$F2065</f>
        <v>3594413.93</v>
      </c>
      <c r="H2065" s="201"/>
      <c r="I2065" s="201" t="s">
        <v>241</v>
      </c>
      <c r="J2065" s="204">
        <f>IFERROR('Mail Merge'!$E2065/'Mail Merge'!$D2065,0)</f>
        <v>7554.5979775280903</v>
      </c>
      <c r="K2065" s="201">
        <f>IFERROR('Mail Merge'!$F2065/'Mail Merge'!$D2065,0)</f>
        <v>522.7366966292135</v>
      </c>
      <c r="L2065" s="201">
        <f>IFERROR('Mail Merge'!$G2065/'Mail Merge'!$D2065,0)</f>
        <v>8077.3346741573041</v>
      </c>
      <c r="M2065" s="201"/>
      <c r="N2065" s="212" t="s">
        <v>241</v>
      </c>
      <c r="O2065" s="201">
        <v>864116.52</v>
      </c>
      <c r="P2065" s="201">
        <v>25265.89</v>
      </c>
      <c r="Q2065" s="201">
        <f>'Mail Merge'!$O2065+'Mail Merge'!$P2065</f>
        <v>889382.41</v>
      </c>
      <c r="R2065" s="201"/>
      <c r="S2065" s="201"/>
      <c r="T2065" s="201"/>
      <c r="U2065" s="201">
        <f>IF(AND('Mail Merge'!$I2065="Did Not Meet",'Mail Merge'!$N2065="Did Not Meet"),MIN(ABS('Mail Merge'!$H2065),ABS('Mail Merge'!$M2065),'Mail Merge'!$Q2065),0)</f>
        <v>0</v>
      </c>
      <c r="V2065" s="201" t="s">
        <v>241</v>
      </c>
    </row>
    <row r="2066" spans="1:22" x14ac:dyDescent="0.35">
      <c r="A2066" s="198" t="s">
        <v>116</v>
      </c>
      <c r="B2066" s="199">
        <v>2262</v>
      </c>
      <c r="C2066" s="199" t="s">
        <v>1534</v>
      </c>
      <c r="D2066" s="199">
        <v>88</v>
      </c>
      <c r="E2066" s="213">
        <v>846464.69</v>
      </c>
      <c r="F2066" s="213">
        <v>69159</v>
      </c>
      <c r="G2066" s="199">
        <f>'Mail Merge'!$E2066+'Mail Merge'!$F2066</f>
        <v>915623.69</v>
      </c>
      <c r="H2066" s="199"/>
      <c r="I2066" s="199" t="s">
        <v>241</v>
      </c>
      <c r="J2066" s="202">
        <f>IFERROR('Mail Merge'!$E2066/'Mail Merge'!$D2066,0)</f>
        <v>9618.9169318181812</v>
      </c>
      <c r="K2066" s="199">
        <f>IFERROR('Mail Merge'!$F2066/'Mail Merge'!$D2066,0)</f>
        <v>785.89772727272725</v>
      </c>
      <c r="L2066" s="199">
        <f>IFERROR('Mail Merge'!$G2066/'Mail Merge'!$D2066,0)</f>
        <v>10404.814659090909</v>
      </c>
      <c r="M2066" s="199"/>
      <c r="N2066" s="210" t="s">
        <v>241</v>
      </c>
      <c r="O2066" s="199">
        <v>97778.950000000012</v>
      </c>
      <c r="P2066" s="199">
        <v>3587.34</v>
      </c>
      <c r="Q2066" s="199">
        <f>'Mail Merge'!$O2066+'Mail Merge'!$P2066</f>
        <v>101366.29000000001</v>
      </c>
      <c r="R2066" s="199"/>
      <c r="S2066" s="199"/>
      <c r="T2066" s="199"/>
      <c r="U2066" s="199">
        <f>IF(AND('Mail Merge'!$I2066="Did Not Meet",'Mail Merge'!$N2066="Did Not Meet"),MIN(ABS('Mail Merge'!$H2066),ABS('Mail Merge'!$M2066),'Mail Merge'!$Q2066),0)</f>
        <v>0</v>
      </c>
      <c r="V2066" s="199" t="s">
        <v>241</v>
      </c>
    </row>
    <row r="2067" spans="1:22" x14ac:dyDescent="0.35">
      <c r="A2067" s="200" t="s">
        <v>117</v>
      </c>
      <c r="B2067" s="201">
        <v>2212</v>
      </c>
      <c r="C2067" s="201" t="s">
        <v>1534</v>
      </c>
      <c r="D2067" s="201">
        <v>382</v>
      </c>
      <c r="E2067" s="211">
        <v>3388490.9500000011</v>
      </c>
      <c r="F2067" s="211">
        <v>727333.47</v>
      </c>
      <c r="G2067" s="201">
        <f>'Mail Merge'!$E2067+'Mail Merge'!$F2067</f>
        <v>4115824.4200000009</v>
      </c>
      <c r="H2067" s="201"/>
      <c r="I2067" s="201" t="s">
        <v>241</v>
      </c>
      <c r="J2067" s="204">
        <f>IFERROR('Mail Merge'!$E2067/'Mail Merge'!$D2067,0)</f>
        <v>8870.3951570680656</v>
      </c>
      <c r="K2067" s="201">
        <f>IFERROR('Mail Merge'!$F2067/'Mail Merge'!$D2067,0)</f>
        <v>1904.0143193717277</v>
      </c>
      <c r="L2067" s="201">
        <f>IFERROR('Mail Merge'!$G2067/'Mail Merge'!$D2067,0)</f>
        <v>10774.409476439792</v>
      </c>
      <c r="M2067" s="201"/>
      <c r="N2067" s="212" t="s">
        <v>241</v>
      </c>
      <c r="O2067" s="201">
        <v>579697.14</v>
      </c>
      <c r="P2067" s="201">
        <v>9605.5999999999985</v>
      </c>
      <c r="Q2067" s="201">
        <f>'Mail Merge'!$O2067+'Mail Merge'!$P2067</f>
        <v>589302.74</v>
      </c>
      <c r="R2067" s="201"/>
      <c r="S2067" s="201"/>
      <c r="T2067" s="201"/>
      <c r="U2067" s="201">
        <f>IF(AND('Mail Merge'!$I2067="Did Not Meet",'Mail Merge'!$N2067="Did Not Meet"),MIN(ABS('Mail Merge'!$H2067),ABS('Mail Merge'!$M2067),'Mail Merge'!$Q2067),0)</f>
        <v>0</v>
      </c>
      <c r="V2067" s="201" t="s">
        <v>241</v>
      </c>
    </row>
    <row r="2068" spans="1:22" x14ac:dyDescent="0.35">
      <c r="A2068" s="198" t="s">
        <v>118</v>
      </c>
      <c r="B2068" s="199">
        <v>2059</v>
      </c>
      <c r="C2068" s="199" t="s">
        <v>1534</v>
      </c>
      <c r="D2068" s="199">
        <v>100</v>
      </c>
      <c r="E2068" s="213">
        <v>774044.34000000043</v>
      </c>
      <c r="F2068" s="213">
        <v>290351.42</v>
      </c>
      <c r="G2068" s="199">
        <f>'Mail Merge'!$E2068+'Mail Merge'!$F2068</f>
        <v>1064395.7600000005</v>
      </c>
      <c r="H2068" s="199"/>
      <c r="I2068" s="199" t="s">
        <v>242</v>
      </c>
      <c r="J2068" s="202">
        <f>IFERROR('Mail Merge'!$E2068/'Mail Merge'!$D2068,0)</f>
        <v>7740.4434000000047</v>
      </c>
      <c r="K2068" s="199">
        <f>IFERROR('Mail Merge'!$F2068/'Mail Merge'!$D2068,0)</f>
        <v>2903.5141999999996</v>
      </c>
      <c r="L2068" s="199">
        <f>IFERROR('Mail Merge'!$G2068/'Mail Merge'!$D2068,0)</f>
        <v>10643.957600000005</v>
      </c>
      <c r="M2068" s="199"/>
      <c r="N2068" s="210" t="s">
        <v>2140</v>
      </c>
      <c r="O2068" s="199">
        <v>160606.07000000004</v>
      </c>
      <c r="P2068" s="199">
        <v>6156.02</v>
      </c>
      <c r="Q2068" s="199">
        <f>'Mail Merge'!$O2068+'Mail Merge'!$P2068</f>
        <v>166762.09000000003</v>
      </c>
      <c r="R2068" s="199"/>
      <c r="S2068" s="199"/>
      <c r="T2068" s="199"/>
      <c r="U2068" s="199">
        <f>IF(AND('Mail Merge'!$I2068="Did Not Meet",'Mail Merge'!$N2068="Did Not Meet"),MIN(ABS('Mail Merge'!$H2068),ABS('Mail Merge'!$M2068),'Mail Merge'!$Q2068),0)</f>
        <v>0</v>
      </c>
      <c r="V2068" s="199" t="s">
        <v>242</v>
      </c>
    </row>
    <row r="2069" spans="1:22" x14ac:dyDescent="0.35">
      <c r="A2069" s="200" t="s">
        <v>119</v>
      </c>
      <c r="B2069" s="201">
        <v>1923</v>
      </c>
      <c r="C2069" s="201" t="s">
        <v>1534</v>
      </c>
      <c r="D2069" s="201">
        <v>692</v>
      </c>
      <c r="E2069" s="211">
        <v>13647680.549999995</v>
      </c>
      <c r="F2069" s="211">
        <v>214028</v>
      </c>
      <c r="G2069" s="201">
        <f>'Mail Merge'!$E2069+'Mail Merge'!$F2069</f>
        <v>13861708.549999995</v>
      </c>
      <c r="H2069" s="201"/>
      <c r="I2069" s="201" t="s">
        <v>242</v>
      </c>
      <c r="J2069" s="204">
        <f>IFERROR('Mail Merge'!$E2069/'Mail Merge'!$D2069,0)</f>
        <v>19722.081719653172</v>
      </c>
      <c r="K2069" s="201">
        <f>IFERROR('Mail Merge'!$F2069/'Mail Merge'!$D2069,0)</f>
        <v>309.28901734104045</v>
      </c>
      <c r="L2069" s="201">
        <f>IFERROR('Mail Merge'!$G2069/'Mail Merge'!$D2069,0)</f>
        <v>20031.370736994213</v>
      </c>
      <c r="M2069" s="201"/>
      <c r="N2069" s="212" t="s">
        <v>242</v>
      </c>
      <c r="O2069" s="201">
        <v>1466023.53</v>
      </c>
      <c r="P2069" s="201">
        <v>17561.919999999998</v>
      </c>
      <c r="Q2069" s="201">
        <f>'Mail Merge'!$O2069+'Mail Merge'!$P2069</f>
        <v>1483585.45</v>
      </c>
      <c r="R2069" s="201"/>
      <c r="S2069" s="201"/>
      <c r="T2069" s="201"/>
      <c r="U2069" s="201">
        <f>IF(AND('Mail Merge'!$I2069="Did Not Meet",'Mail Merge'!$N2069="Did Not Meet"),MIN(ABS('Mail Merge'!$H2069),ABS('Mail Merge'!$M2069),'Mail Merge'!$Q2069),0)</f>
        <v>0</v>
      </c>
      <c r="V2069" s="201" t="s">
        <v>242</v>
      </c>
    </row>
    <row r="2070" spans="1:22" x14ac:dyDescent="0.35">
      <c r="A2070" s="198" t="s">
        <v>120</v>
      </c>
      <c r="B2070" s="199">
        <v>2101</v>
      </c>
      <c r="C2070" s="199" t="s">
        <v>1534</v>
      </c>
      <c r="D2070" s="199">
        <v>591</v>
      </c>
      <c r="E2070" s="213">
        <v>6279791.2799999984</v>
      </c>
      <c r="F2070" s="213">
        <v>824246</v>
      </c>
      <c r="G2070" s="199">
        <f>'Mail Merge'!$E2070+'Mail Merge'!$F2070</f>
        <v>7104037.2799999984</v>
      </c>
      <c r="H2070" s="199"/>
      <c r="I2070" s="199" t="s">
        <v>242</v>
      </c>
      <c r="J2070" s="202">
        <f>IFERROR('Mail Merge'!$E2070/'Mail Merge'!$D2070,0)</f>
        <v>10625.70436548223</v>
      </c>
      <c r="K2070" s="199">
        <f>IFERROR('Mail Merge'!$F2070/'Mail Merge'!$D2070,0)</f>
        <v>1394.6632825719121</v>
      </c>
      <c r="L2070" s="199">
        <f>IFERROR('Mail Merge'!$G2070/'Mail Merge'!$D2070,0)</f>
        <v>12020.367648054144</v>
      </c>
      <c r="M2070" s="199"/>
      <c r="N2070" s="210" t="s">
        <v>241</v>
      </c>
      <c r="O2070" s="199">
        <v>958730.03</v>
      </c>
      <c r="P2070" s="199">
        <v>13558.98</v>
      </c>
      <c r="Q2070" s="199">
        <f>'Mail Merge'!$O2070+'Mail Merge'!$P2070</f>
        <v>972289.01</v>
      </c>
      <c r="R2070" s="199"/>
      <c r="S2070" s="199"/>
      <c r="T2070" s="199"/>
      <c r="U2070" s="199">
        <f>IF(AND('Mail Merge'!$I2070="Did Not Meet",'Mail Merge'!$N2070="Did Not Meet"),MIN(ABS('Mail Merge'!$H2070),ABS('Mail Merge'!$M2070),'Mail Merge'!$Q2070),0)</f>
        <v>0</v>
      </c>
      <c r="V2070" s="199" t="s">
        <v>242</v>
      </c>
    </row>
    <row r="2071" spans="1:22" x14ac:dyDescent="0.35">
      <c r="A2071" s="200" t="s">
        <v>121</v>
      </c>
      <c r="B2071" s="201">
        <v>2097</v>
      </c>
      <c r="C2071" s="201" t="s">
        <v>1534</v>
      </c>
      <c r="D2071" s="201">
        <v>752</v>
      </c>
      <c r="E2071" s="211">
        <v>7711711.2800000031</v>
      </c>
      <c r="F2071" s="211">
        <v>1102723</v>
      </c>
      <c r="G2071" s="201">
        <f>'Mail Merge'!$E2071+'Mail Merge'!$F2071</f>
        <v>8814434.2800000031</v>
      </c>
      <c r="H2071" s="201"/>
      <c r="I2071" s="201" t="s">
        <v>241</v>
      </c>
      <c r="J2071" s="204">
        <f>IFERROR('Mail Merge'!$E2071/'Mail Merge'!$D2071,0)</f>
        <v>10254.935212765962</v>
      </c>
      <c r="K2071" s="201">
        <f>IFERROR('Mail Merge'!$F2071/'Mail Merge'!$D2071,0)</f>
        <v>1466.3869680851064</v>
      </c>
      <c r="L2071" s="201">
        <f>IFERROR('Mail Merge'!$G2071/'Mail Merge'!$D2071,0)</f>
        <v>11721.322180851068</v>
      </c>
      <c r="M2071" s="201"/>
      <c r="N2071" s="212" t="s">
        <v>241</v>
      </c>
      <c r="O2071" s="201">
        <v>1362976.96</v>
      </c>
      <c r="P2071" s="201">
        <v>53491.570000000007</v>
      </c>
      <c r="Q2071" s="201">
        <f>'Mail Merge'!$O2071+'Mail Merge'!$P2071</f>
        <v>1416468.53</v>
      </c>
      <c r="R2071" s="201"/>
      <c r="S2071" s="201"/>
      <c r="T2071" s="201"/>
      <c r="U2071" s="201">
        <f>IF(AND('Mail Merge'!$I2071="Did Not Meet",'Mail Merge'!$N2071="Did Not Meet"),MIN(ABS('Mail Merge'!$H2071),ABS('Mail Merge'!$M2071),'Mail Merge'!$Q2071),0)</f>
        <v>0</v>
      </c>
      <c r="V2071" s="201" t="s">
        <v>241</v>
      </c>
    </row>
    <row r="2072" spans="1:22" x14ac:dyDescent="0.35">
      <c r="A2072" s="198" t="s">
        <v>122</v>
      </c>
      <c r="B2072" s="199">
        <v>2012</v>
      </c>
      <c r="C2072" s="199" t="s">
        <v>1534</v>
      </c>
      <c r="D2072" s="199">
        <v>3</v>
      </c>
      <c r="E2072" s="213">
        <v>11240.8</v>
      </c>
      <c r="F2072" s="213">
        <v>63887.8</v>
      </c>
      <c r="G2072" s="199">
        <f>'Mail Merge'!$E2072+'Mail Merge'!$F2072</f>
        <v>75128.600000000006</v>
      </c>
      <c r="H2072" s="199"/>
      <c r="I2072" s="199" t="s">
        <v>241</v>
      </c>
      <c r="J2072" s="202">
        <f>IFERROR('Mail Merge'!$E2072/'Mail Merge'!$D2072,0)</f>
        <v>3746.9333333333329</v>
      </c>
      <c r="K2072" s="199">
        <f>IFERROR('Mail Merge'!$F2072/'Mail Merge'!$D2072,0)</f>
        <v>21295.933333333334</v>
      </c>
      <c r="L2072" s="199">
        <f>IFERROR('Mail Merge'!$G2072/'Mail Merge'!$D2072,0)</f>
        <v>25042.866666666669</v>
      </c>
      <c r="M2072" s="199"/>
      <c r="N2072" s="210" t="s">
        <v>241</v>
      </c>
      <c r="O2072" s="199">
        <v>9954.93</v>
      </c>
      <c r="P2072" s="199">
        <v>521.91999999999996</v>
      </c>
      <c r="Q2072" s="199">
        <f>'Mail Merge'!$O2072+'Mail Merge'!$P2072</f>
        <v>10476.85</v>
      </c>
      <c r="R2072" s="199"/>
      <c r="S2072" s="199"/>
      <c r="T2072" s="199"/>
      <c r="U2072" s="199">
        <f>IF(AND('Mail Merge'!$I2072="Did Not Meet",'Mail Merge'!$N2072="Did Not Meet"),MIN(ABS('Mail Merge'!$H2072),ABS('Mail Merge'!$M2072),'Mail Merge'!$Q2072),0)</f>
        <v>0</v>
      </c>
      <c r="V2072" s="199" t="s">
        <v>241</v>
      </c>
    </row>
    <row r="2073" spans="1:22" x14ac:dyDescent="0.35">
      <c r="A2073" s="200" t="s">
        <v>123</v>
      </c>
      <c r="B2073" s="201">
        <v>2092</v>
      </c>
      <c r="C2073" s="201" t="s">
        <v>1534</v>
      </c>
      <c r="D2073" s="201">
        <v>130</v>
      </c>
      <c r="E2073" s="211">
        <v>503662.16999999993</v>
      </c>
      <c r="F2073" s="211">
        <v>215100</v>
      </c>
      <c r="G2073" s="201">
        <f>'Mail Merge'!$E2073+'Mail Merge'!$F2073</f>
        <v>718762.16999999993</v>
      </c>
      <c r="H2073" s="201"/>
      <c r="I2073" s="201" t="s">
        <v>242</v>
      </c>
      <c r="J2073" s="204">
        <f>IFERROR('Mail Merge'!$E2073/'Mail Merge'!$D2073,0)</f>
        <v>3874.3243846153841</v>
      </c>
      <c r="K2073" s="201">
        <f>IFERROR('Mail Merge'!$F2073/'Mail Merge'!$D2073,0)</f>
        <v>1654.6153846153845</v>
      </c>
      <c r="L2073" s="201">
        <f>IFERROR('Mail Merge'!$G2073/'Mail Merge'!$D2073,0)</f>
        <v>5528.9397692307684</v>
      </c>
      <c r="M2073" s="201"/>
      <c r="N2073" s="212" t="s">
        <v>2140</v>
      </c>
      <c r="O2073" s="201">
        <v>144981.44</v>
      </c>
      <c r="P2073" s="201">
        <v>1748.49</v>
      </c>
      <c r="Q2073" s="201">
        <f>'Mail Merge'!$O2073+'Mail Merge'!$P2073</f>
        <v>146729.93</v>
      </c>
      <c r="R2073" s="201"/>
      <c r="S2073" s="201"/>
      <c r="T2073" s="201"/>
      <c r="U2073" s="201">
        <f>IF(AND('Mail Merge'!$I2073="Did Not Meet",'Mail Merge'!$N2073="Did Not Meet"),MIN(ABS('Mail Merge'!$H2073),ABS('Mail Merge'!$M2073),'Mail Merge'!$Q2073),0)</f>
        <v>0</v>
      </c>
      <c r="V2073" s="201" t="s">
        <v>242</v>
      </c>
    </row>
    <row r="2074" spans="1:22" x14ac:dyDescent="0.35">
      <c r="A2074" s="198" t="s">
        <v>124</v>
      </c>
      <c r="B2074" s="199">
        <v>2112</v>
      </c>
      <c r="C2074" s="199" t="s">
        <v>1534</v>
      </c>
      <c r="D2074" s="199">
        <v>0</v>
      </c>
      <c r="E2074" s="199">
        <v>0</v>
      </c>
      <c r="F2074" s="199">
        <v>936.01</v>
      </c>
      <c r="G2074" s="199">
        <f>'Mail Merge'!$E2074+'Mail Merge'!$F2074</f>
        <v>936.01</v>
      </c>
      <c r="H2074" s="199"/>
      <c r="I2074" s="199" t="s">
        <v>241</v>
      </c>
      <c r="J2074" s="202">
        <f>IFERROR('Mail Merge'!$E2074/'Mail Merge'!$D2074,0)</f>
        <v>0</v>
      </c>
      <c r="K2074" s="199">
        <f>IFERROR('Mail Merge'!$F2074/'Mail Merge'!$D2074,0)</f>
        <v>0</v>
      </c>
      <c r="L2074" s="199">
        <f>IFERROR('Mail Merge'!$G2074/'Mail Merge'!$D2074,0)</f>
        <v>0</v>
      </c>
      <c r="M2074" s="199"/>
      <c r="N2074" s="210" t="s">
        <v>241</v>
      </c>
      <c r="O2074" s="199">
        <v>490.16</v>
      </c>
      <c r="P2074" s="199">
        <v>1.2</v>
      </c>
      <c r="Q2074" s="199">
        <f>'Mail Merge'!$O2074+'Mail Merge'!$P2074</f>
        <v>491.36</v>
      </c>
      <c r="R2074" s="199"/>
      <c r="S2074" s="199"/>
      <c r="T2074" s="199"/>
      <c r="U2074" s="199">
        <f>IF(AND('Mail Merge'!$I2074="Did Not Meet",'Mail Merge'!$N2074="Did Not Meet"),MIN(ABS('Mail Merge'!$H2074),ABS('Mail Merge'!$M2074),'Mail Merge'!$Q2074),0)</f>
        <v>0</v>
      </c>
      <c r="V2074" s="199" t="s">
        <v>241</v>
      </c>
    </row>
    <row r="2075" spans="1:22" x14ac:dyDescent="0.35">
      <c r="A2075" s="200" t="s">
        <v>125</v>
      </c>
      <c r="B2075" s="201">
        <v>2085</v>
      </c>
      <c r="C2075" s="201" t="s">
        <v>1534</v>
      </c>
      <c r="D2075" s="201">
        <v>26</v>
      </c>
      <c r="E2075" s="211">
        <v>263412.2</v>
      </c>
      <c r="F2075" s="211">
        <v>46587</v>
      </c>
      <c r="G2075" s="201">
        <f>'Mail Merge'!$E2075+'Mail Merge'!$F2075</f>
        <v>309999.2</v>
      </c>
      <c r="H2075" s="201"/>
      <c r="I2075" s="201" t="s">
        <v>241</v>
      </c>
      <c r="J2075" s="204">
        <f>IFERROR('Mail Merge'!$E2075/'Mail Merge'!$D2075,0)</f>
        <v>10131.238461538462</v>
      </c>
      <c r="K2075" s="201">
        <f>IFERROR('Mail Merge'!$F2075/'Mail Merge'!$D2075,0)</f>
        <v>1791.8076923076924</v>
      </c>
      <c r="L2075" s="201">
        <f>IFERROR('Mail Merge'!$G2075/'Mail Merge'!$D2075,0)</f>
        <v>11923.046153846155</v>
      </c>
      <c r="M2075" s="201"/>
      <c r="N2075" s="212" t="s">
        <v>241</v>
      </c>
      <c r="O2075" s="201">
        <v>59540.04</v>
      </c>
      <c r="P2075" s="201">
        <v>1503.61</v>
      </c>
      <c r="Q2075" s="201">
        <f>'Mail Merge'!$O2075+'Mail Merge'!$P2075</f>
        <v>61043.65</v>
      </c>
      <c r="R2075" s="201"/>
      <c r="S2075" s="201"/>
      <c r="T2075" s="201"/>
      <c r="U2075" s="201">
        <f>IF(AND('Mail Merge'!$I2075="Did Not Meet",'Mail Merge'!$N2075="Did Not Meet"),MIN(ABS('Mail Merge'!$H2075),ABS('Mail Merge'!$M2075),'Mail Merge'!$Q2075),0)</f>
        <v>0</v>
      </c>
      <c r="V2075" s="201" t="s">
        <v>241</v>
      </c>
    </row>
    <row r="2076" spans="1:22" x14ac:dyDescent="0.35">
      <c r="A2076" s="198" t="s">
        <v>126</v>
      </c>
      <c r="B2076" s="199">
        <v>2094</v>
      </c>
      <c r="C2076" s="199" t="s">
        <v>1534</v>
      </c>
      <c r="D2076" s="199">
        <v>70</v>
      </c>
      <c r="E2076" s="213">
        <v>479919.23999999993</v>
      </c>
      <c r="F2076" s="213">
        <v>180488</v>
      </c>
      <c r="G2076" s="199">
        <f>'Mail Merge'!$E2076+'Mail Merge'!$F2076</f>
        <v>660407.24</v>
      </c>
      <c r="H2076" s="199"/>
      <c r="I2076" s="199" t="s">
        <v>241</v>
      </c>
      <c r="J2076" s="202">
        <f>IFERROR('Mail Merge'!$E2076/'Mail Merge'!$D2076,0)</f>
        <v>6855.9891428571418</v>
      </c>
      <c r="K2076" s="199">
        <f>IFERROR('Mail Merge'!$F2076/'Mail Merge'!$D2076,0)</f>
        <v>2578.4</v>
      </c>
      <c r="L2076" s="199">
        <f>IFERROR('Mail Merge'!$G2076/'Mail Merge'!$D2076,0)</f>
        <v>9434.3891428571424</v>
      </c>
      <c r="M2076" s="199"/>
      <c r="N2076" s="210" t="s">
        <v>2140</v>
      </c>
      <c r="O2076" s="199">
        <v>94588.689999999988</v>
      </c>
      <c r="P2076" s="199">
        <v>1151.52</v>
      </c>
      <c r="Q2076" s="199">
        <f>'Mail Merge'!$O2076+'Mail Merge'!$P2076</f>
        <v>95740.209999999992</v>
      </c>
      <c r="R2076" s="199"/>
      <c r="S2076" s="199"/>
      <c r="T2076" s="199"/>
      <c r="U2076" s="199">
        <f>IF(AND('Mail Merge'!$I2076="Did Not Meet",'Mail Merge'!$N2076="Did Not Meet"),MIN(ABS('Mail Merge'!$H2076),ABS('Mail Merge'!$M2076),'Mail Merge'!$Q2076),0)</f>
        <v>0</v>
      </c>
      <c r="V2076" s="199" t="s">
        <v>241</v>
      </c>
    </row>
    <row r="2077" spans="1:22" x14ac:dyDescent="0.35">
      <c r="A2077" s="200" t="s">
        <v>127</v>
      </c>
      <c r="B2077" s="201">
        <v>2090</v>
      </c>
      <c r="C2077" s="201" t="s">
        <v>1534</v>
      </c>
      <c r="D2077" s="201">
        <v>34</v>
      </c>
      <c r="E2077" s="211">
        <v>422573.44</v>
      </c>
      <c r="F2077" s="211">
        <v>84331</v>
      </c>
      <c r="G2077" s="201">
        <f>'Mail Merge'!$E2077+'Mail Merge'!$F2077</f>
        <v>506904.44</v>
      </c>
      <c r="H2077" s="201"/>
      <c r="I2077" s="201" t="s">
        <v>242</v>
      </c>
      <c r="J2077" s="204">
        <f>IFERROR('Mail Merge'!$E2077/'Mail Merge'!$D2077,0)</f>
        <v>12428.630588235294</v>
      </c>
      <c r="K2077" s="201">
        <f>IFERROR('Mail Merge'!$F2077/'Mail Merge'!$D2077,0)</f>
        <v>2480.3235294117649</v>
      </c>
      <c r="L2077" s="201">
        <f>IFERROR('Mail Merge'!$G2077/'Mail Merge'!$D2077,0)</f>
        <v>14908.954117647059</v>
      </c>
      <c r="M2077" s="201"/>
      <c r="N2077" s="212" t="s">
        <v>242</v>
      </c>
      <c r="O2077" s="201">
        <v>55430.579999999994</v>
      </c>
      <c r="P2077" s="201">
        <v>559.75</v>
      </c>
      <c r="Q2077" s="201">
        <f>'Mail Merge'!$O2077+'Mail Merge'!$P2077</f>
        <v>55990.329999999994</v>
      </c>
      <c r="R2077" s="201"/>
      <c r="S2077" s="201"/>
      <c r="T2077" s="201"/>
      <c r="U2077" s="201">
        <f>IF(AND('Mail Merge'!$I2077="Did Not Meet",'Mail Merge'!$N2077="Did Not Meet"),MIN(ABS('Mail Merge'!$H2077),ABS('Mail Merge'!$M2077),'Mail Merge'!$Q2077),0)</f>
        <v>0</v>
      </c>
      <c r="V2077" s="201" t="s">
        <v>242</v>
      </c>
    </row>
    <row r="2078" spans="1:22" x14ac:dyDescent="0.35">
      <c r="A2078" s="198" t="s">
        <v>128</v>
      </c>
      <c r="B2078" s="199">
        <v>2256</v>
      </c>
      <c r="C2078" s="199" t="s">
        <v>1534</v>
      </c>
      <c r="D2078" s="199">
        <v>848</v>
      </c>
      <c r="E2078" s="213">
        <v>8017492.3299999973</v>
      </c>
      <c r="F2078" s="213">
        <v>475524.6</v>
      </c>
      <c r="G2078" s="199">
        <f>'Mail Merge'!$E2078+'Mail Merge'!$F2078</f>
        <v>8493016.9299999978</v>
      </c>
      <c r="H2078" s="199"/>
      <c r="I2078" s="199" t="s">
        <v>241</v>
      </c>
      <c r="J2078" s="202">
        <f>IFERROR('Mail Merge'!$E2078/'Mail Merge'!$D2078,0)</f>
        <v>9454.5900117924502</v>
      </c>
      <c r="K2078" s="199">
        <f>IFERROR('Mail Merge'!$F2078/'Mail Merge'!$D2078,0)</f>
        <v>560.76014150943388</v>
      </c>
      <c r="L2078" s="199">
        <f>IFERROR('Mail Merge'!$G2078/'Mail Merge'!$D2078,0)</f>
        <v>10015.350153301884</v>
      </c>
      <c r="M2078" s="199"/>
      <c r="N2078" s="210" t="s">
        <v>241</v>
      </c>
      <c r="O2078" s="199">
        <v>1259166.8400000001</v>
      </c>
      <c r="P2078" s="199">
        <v>37617.46</v>
      </c>
      <c r="Q2078" s="199">
        <f>'Mail Merge'!$O2078+'Mail Merge'!$P2078</f>
        <v>1296784.3</v>
      </c>
      <c r="R2078" s="199"/>
      <c r="S2078" s="199"/>
      <c r="T2078" s="199"/>
      <c r="U2078" s="199">
        <f>IF(AND('Mail Merge'!$I2078="Did Not Meet",'Mail Merge'!$N2078="Did Not Meet"),MIN(ABS('Mail Merge'!$H2078),ABS('Mail Merge'!$M2078),'Mail Merge'!$Q2078),0)</f>
        <v>0</v>
      </c>
      <c r="V2078" s="199" t="s">
        <v>241</v>
      </c>
    </row>
    <row r="2079" spans="1:22" x14ac:dyDescent="0.35">
      <c r="A2079" s="200" t="s">
        <v>129</v>
      </c>
      <c r="B2079" s="201">
        <v>2048</v>
      </c>
      <c r="C2079" s="201" t="s">
        <v>1534</v>
      </c>
      <c r="D2079" s="201">
        <v>2116</v>
      </c>
      <c r="E2079" s="211">
        <v>18166878.530000001</v>
      </c>
      <c r="F2079" s="211">
        <v>1470041.33</v>
      </c>
      <c r="G2079" s="201">
        <f>'Mail Merge'!$E2079+'Mail Merge'!$F2079</f>
        <v>19636919.859999999</v>
      </c>
      <c r="H2079" s="201"/>
      <c r="I2079" s="201" t="s">
        <v>241</v>
      </c>
      <c r="J2079" s="204">
        <f>IFERROR('Mail Merge'!$E2079/'Mail Merge'!$D2079,0)</f>
        <v>8585.4813468809079</v>
      </c>
      <c r="K2079" s="201">
        <f>IFERROR('Mail Merge'!$F2079/'Mail Merge'!$D2079,0)</f>
        <v>694.72652646502843</v>
      </c>
      <c r="L2079" s="201">
        <f>IFERROR('Mail Merge'!$G2079/'Mail Merge'!$D2079,0)</f>
        <v>9280.2078733459348</v>
      </c>
      <c r="M2079" s="201"/>
      <c r="N2079" s="212" t="s">
        <v>241</v>
      </c>
      <c r="O2079" s="201">
        <v>2991709.25</v>
      </c>
      <c r="P2079" s="201">
        <v>89744.27</v>
      </c>
      <c r="Q2079" s="201">
        <f>'Mail Merge'!$O2079+'Mail Merge'!$P2079</f>
        <v>3081453.52</v>
      </c>
      <c r="R2079" s="201"/>
      <c r="S2079" s="201"/>
      <c r="T2079" s="201"/>
      <c r="U2079" s="201">
        <f>IF(AND('Mail Merge'!$I2079="Did Not Meet",'Mail Merge'!$N2079="Did Not Meet"),MIN(ABS('Mail Merge'!$H2079),ABS('Mail Merge'!$M2079),'Mail Merge'!$Q2079),0)</f>
        <v>0</v>
      </c>
      <c r="V2079" s="201" t="s">
        <v>241</v>
      </c>
    </row>
    <row r="2080" spans="1:22" x14ac:dyDescent="0.35">
      <c r="A2080" s="198" t="s">
        <v>130</v>
      </c>
      <c r="B2080" s="199">
        <v>2205</v>
      </c>
      <c r="C2080" s="199" t="s">
        <v>1534</v>
      </c>
      <c r="D2080" s="199">
        <v>217</v>
      </c>
      <c r="E2080" s="213">
        <v>2081749.8500000003</v>
      </c>
      <c r="F2080" s="213">
        <v>417418.35</v>
      </c>
      <c r="G2080" s="199">
        <f>'Mail Merge'!$E2080+'Mail Merge'!$F2080</f>
        <v>2499168.2000000002</v>
      </c>
      <c r="H2080" s="199"/>
      <c r="I2080" s="199" t="s">
        <v>241</v>
      </c>
      <c r="J2080" s="202">
        <f>IFERROR('Mail Merge'!$E2080/'Mail Merge'!$D2080,0)</f>
        <v>9593.3172811059922</v>
      </c>
      <c r="K2080" s="199">
        <f>IFERROR('Mail Merge'!$F2080/'Mail Merge'!$D2080,0)</f>
        <v>1923.586866359447</v>
      </c>
      <c r="L2080" s="199">
        <f>IFERROR('Mail Merge'!$G2080/'Mail Merge'!$D2080,0)</f>
        <v>11516.904147465439</v>
      </c>
      <c r="M2080" s="199"/>
      <c r="N2080" s="210" t="s">
        <v>241</v>
      </c>
      <c r="O2080" s="199">
        <v>362149.27</v>
      </c>
      <c r="P2080" s="199">
        <v>14298.099999999999</v>
      </c>
      <c r="Q2080" s="199">
        <f>'Mail Merge'!$O2080+'Mail Merge'!$P2080</f>
        <v>376447.37</v>
      </c>
      <c r="R2080" s="199"/>
      <c r="S2080" s="199"/>
      <c r="T2080" s="199"/>
      <c r="U2080" s="199">
        <f>IF(AND('Mail Merge'!$I2080="Did Not Meet",'Mail Merge'!$N2080="Did Not Meet"),MIN(ABS('Mail Merge'!$H2080),ABS('Mail Merge'!$M2080),'Mail Merge'!$Q2080),0)</f>
        <v>0</v>
      </c>
      <c r="V2080" s="199" t="s">
        <v>241</v>
      </c>
    </row>
    <row r="2081" spans="1:22" x14ac:dyDescent="0.35">
      <c r="A2081" s="200" t="s">
        <v>131</v>
      </c>
      <c r="B2081" s="201">
        <v>2249</v>
      </c>
      <c r="C2081" s="201" t="s">
        <v>1534</v>
      </c>
      <c r="D2081" s="201">
        <v>208</v>
      </c>
      <c r="E2081" s="211">
        <v>42366.46</v>
      </c>
      <c r="F2081" s="211">
        <v>52022</v>
      </c>
      <c r="G2081" s="201">
        <f>'Mail Merge'!$E2081+'Mail Merge'!$F2081</f>
        <v>94388.459999999992</v>
      </c>
      <c r="H2081" s="201"/>
      <c r="I2081" s="201" t="s">
        <v>241</v>
      </c>
      <c r="J2081" s="204">
        <f>IFERROR('Mail Merge'!$E2081/'Mail Merge'!$D2081,0)</f>
        <v>203.68490384615384</v>
      </c>
      <c r="K2081" s="201">
        <f>IFERROR('Mail Merge'!$F2081/'Mail Merge'!$D2081,0)</f>
        <v>250.10576923076923</v>
      </c>
      <c r="L2081" s="201">
        <f>IFERROR('Mail Merge'!$G2081/'Mail Merge'!$D2081,0)</f>
        <v>453.79067307692304</v>
      </c>
      <c r="M2081" s="201"/>
      <c r="N2081" s="212" t="s">
        <v>2140</v>
      </c>
      <c r="O2081" s="201">
        <v>72532.17</v>
      </c>
      <c r="P2081" s="201">
        <v>447.48</v>
      </c>
      <c r="Q2081" s="201">
        <f>'Mail Merge'!$O2081+'Mail Merge'!$P2081</f>
        <v>72979.649999999994</v>
      </c>
      <c r="R2081" s="201"/>
      <c r="S2081" s="201"/>
      <c r="T2081" s="201"/>
      <c r="U2081" s="201">
        <f>IF(AND('Mail Merge'!$I2081="Did Not Meet",'Mail Merge'!$N2081="Did Not Meet"),MIN(ABS('Mail Merge'!$H2081),ABS('Mail Merge'!$M2081),'Mail Merge'!$Q2081),0)</f>
        <v>0</v>
      </c>
      <c r="V2081" s="201" t="s">
        <v>241</v>
      </c>
    </row>
    <row r="2082" spans="1:22" x14ac:dyDescent="0.35">
      <c r="A2082" s="198" t="s">
        <v>132</v>
      </c>
      <c r="B2082" s="199">
        <v>1925</v>
      </c>
      <c r="C2082" s="199" t="s">
        <v>1534</v>
      </c>
      <c r="D2082" s="199">
        <v>387</v>
      </c>
      <c r="E2082" s="213">
        <v>3946221.2400000007</v>
      </c>
      <c r="F2082" s="213">
        <v>387748</v>
      </c>
      <c r="G2082" s="199">
        <f>'Mail Merge'!$E2082+'Mail Merge'!$F2082</f>
        <v>4333969.24</v>
      </c>
      <c r="H2082" s="199"/>
      <c r="I2082" s="199" t="s">
        <v>242</v>
      </c>
      <c r="J2082" s="202">
        <f>IFERROR('Mail Merge'!$E2082/'Mail Merge'!$D2082,0)</f>
        <v>10196.954108527134</v>
      </c>
      <c r="K2082" s="199">
        <f>IFERROR('Mail Merge'!$F2082/'Mail Merge'!$D2082,0)</f>
        <v>1001.9328165374677</v>
      </c>
      <c r="L2082" s="199">
        <f>IFERROR('Mail Merge'!$G2082/'Mail Merge'!$D2082,0)</f>
        <v>11198.8869250646</v>
      </c>
      <c r="M2082" s="199"/>
      <c r="N2082" s="210" t="s">
        <v>241</v>
      </c>
      <c r="O2082" s="199">
        <v>568538.18000000005</v>
      </c>
      <c r="P2082" s="199">
        <v>13631.72</v>
      </c>
      <c r="Q2082" s="199">
        <f>'Mail Merge'!$O2082+'Mail Merge'!$P2082</f>
        <v>582169.9</v>
      </c>
      <c r="R2082" s="199"/>
      <c r="S2082" s="199"/>
      <c r="T2082" s="199"/>
      <c r="U2082" s="199">
        <f>IF(AND('Mail Merge'!$I2082="Did Not Meet",'Mail Merge'!$N2082="Did Not Meet"),MIN(ABS('Mail Merge'!$H2082),ABS('Mail Merge'!$M2082),'Mail Merge'!$Q2082),0)</f>
        <v>0</v>
      </c>
      <c r="V2082" s="199" t="s">
        <v>242</v>
      </c>
    </row>
    <row r="2083" spans="1:22" x14ac:dyDescent="0.35">
      <c r="A2083" s="200" t="s">
        <v>133</v>
      </c>
      <c r="B2083" s="201">
        <v>1898</v>
      </c>
      <c r="C2083" s="201" t="s">
        <v>1534</v>
      </c>
      <c r="D2083" s="201">
        <v>47</v>
      </c>
      <c r="E2083" s="211">
        <v>547479.36</v>
      </c>
      <c r="F2083" s="211">
        <v>66984</v>
      </c>
      <c r="G2083" s="201">
        <f>'Mail Merge'!$E2083+'Mail Merge'!$F2083</f>
        <v>614463.36</v>
      </c>
      <c r="H2083" s="201"/>
      <c r="I2083" s="201" t="s">
        <v>242</v>
      </c>
      <c r="J2083" s="204">
        <f>IFERROR('Mail Merge'!$E2083/'Mail Merge'!$D2083,0)</f>
        <v>11648.497021276595</v>
      </c>
      <c r="K2083" s="201">
        <f>IFERROR('Mail Merge'!$F2083/'Mail Merge'!$D2083,0)</f>
        <v>1425.1914893617022</v>
      </c>
      <c r="L2083" s="201">
        <f>IFERROR('Mail Merge'!$G2083/'Mail Merge'!$D2083,0)</f>
        <v>13073.688510638298</v>
      </c>
      <c r="M2083" s="201"/>
      <c r="N2083" s="212" t="s">
        <v>242</v>
      </c>
      <c r="O2083" s="201">
        <v>86098.7</v>
      </c>
      <c r="P2083" s="201">
        <v>1566.76</v>
      </c>
      <c r="Q2083" s="201">
        <f>'Mail Merge'!$O2083+'Mail Merge'!$P2083</f>
        <v>87665.459999999992</v>
      </c>
      <c r="R2083" s="201"/>
      <c r="S2083" s="201"/>
      <c r="T2083" s="201"/>
      <c r="U2083" s="201">
        <f>IF(AND('Mail Merge'!$I2083="Did Not Meet",'Mail Merge'!$N2083="Did Not Meet"),MIN(ABS('Mail Merge'!$H2083),ABS('Mail Merge'!$M2083),'Mail Merge'!$Q2083),0)</f>
        <v>0</v>
      </c>
      <c r="V2083" s="201" t="s">
        <v>242</v>
      </c>
    </row>
    <row r="2084" spans="1:22" x14ac:dyDescent="0.35">
      <c r="A2084" s="198" t="s">
        <v>134</v>
      </c>
      <c r="B2084" s="199">
        <v>2010</v>
      </c>
      <c r="C2084" s="199" t="s">
        <v>1534</v>
      </c>
      <c r="D2084" s="199">
        <v>7</v>
      </c>
      <c r="E2084" s="199">
        <v>0</v>
      </c>
      <c r="F2084" s="213">
        <v>64390.759999999995</v>
      </c>
      <c r="G2084" s="199">
        <f>'Mail Merge'!$E2084+'Mail Merge'!$F2084</f>
        <v>64390.759999999995</v>
      </c>
      <c r="H2084" s="199"/>
      <c r="I2084" s="199" t="s">
        <v>241</v>
      </c>
      <c r="J2084" s="202">
        <f>IFERROR('Mail Merge'!$E2084/'Mail Merge'!$D2084,0)</f>
        <v>0</v>
      </c>
      <c r="K2084" s="199">
        <f>IFERROR('Mail Merge'!$F2084/'Mail Merge'!$D2084,0)</f>
        <v>9198.6799999999985</v>
      </c>
      <c r="L2084" s="199">
        <f>IFERROR('Mail Merge'!$G2084/'Mail Merge'!$D2084,0)</f>
        <v>9198.6799999999985</v>
      </c>
      <c r="M2084" s="199"/>
      <c r="N2084" s="210" t="s">
        <v>241</v>
      </c>
      <c r="O2084" s="199">
        <v>12622.02</v>
      </c>
      <c r="P2084" s="199">
        <v>1469.31</v>
      </c>
      <c r="Q2084" s="199">
        <f>'Mail Merge'!$O2084+'Mail Merge'!$P2084</f>
        <v>14091.33</v>
      </c>
      <c r="R2084" s="199"/>
      <c r="S2084" s="199"/>
      <c r="T2084" s="199"/>
      <c r="U2084" s="199">
        <f>IF(AND('Mail Merge'!$I2084="Did Not Meet",'Mail Merge'!$N2084="Did Not Meet"),MIN(ABS('Mail Merge'!$H2084),ABS('Mail Merge'!$M2084),'Mail Merge'!$Q2084),0)</f>
        <v>0</v>
      </c>
      <c r="V2084" s="199" t="s">
        <v>241</v>
      </c>
    </row>
    <row r="2085" spans="1:22" x14ac:dyDescent="0.35">
      <c r="A2085" s="200" t="s">
        <v>135</v>
      </c>
      <c r="B2085" s="201">
        <v>2147</v>
      </c>
      <c r="C2085" s="201" t="s">
        <v>1534</v>
      </c>
      <c r="D2085" s="201">
        <v>345</v>
      </c>
      <c r="E2085" s="211">
        <v>1808507.0700000005</v>
      </c>
      <c r="F2085" s="211">
        <v>642857.5</v>
      </c>
      <c r="G2085" s="201">
        <f>'Mail Merge'!$E2085+'Mail Merge'!$F2085</f>
        <v>2451364.5700000003</v>
      </c>
      <c r="H2085" s="201"/>
      <c r="I2085" s="201" t="s">
        <v>242</v>
      </c>
      <c r="J2085" s="204">
        <f>IFERROR('Mail Merge'!$E2085/'Mail Merge'!$D2085,0)</f>
        <v>5242.0494782608712</v>
      </c>
      <c r="K2085" s="201">
        <f>IFERROR('Mail Merge'!$F2085/'Mail Merge'!$D2085,0)</f>
        <v>1863.355072463768</v>
      </c>
      <c r="L2085" s="201">
        <f>IFERROR('Mail Merge'!$G2085/'Mail Merge'!$D2085,0)</f>
        <v>7105.4045507246383</v>
      </c>
      <c r="M2085" s="201"/>
      <c r="N2085" s="212" t="s">
        <v>2140</v>
      </c>
      <c r="O2085" s="201">
        <v>435821</v>
      </c>
      <c r="P2085" s="201">
        <v>6164.5599999999995</v>
      </c>
      <c r="Q2085" s="201">
        <f>'Mail Merge'!$O2085+'Mail Merge'!$P2085</f>
        <v>441985.56</v>
      </c>
      <c r="R2085" s="201"/>
      <c r="S2085" s="201"/>
      <c r="T2085" s="201"/>
      <c r="U2085" s="201">
        <f>IF(AND('Mail Merge'!$I2085="Did Not Meet",'Mail Merge'!$N2085="Did Not Meet"),MIN(ABS('Mail Merge'!$H2085),ABS('Mail Merge'!$M2085),'Mail Merge'!$Q2085),0)</f>
        <v>0</v>
      </c>
      <c r="V2085" s="201" t="s">
        <v>242</v>
      </c>
    </row>
    <row r="2086" spans="1:22" x14ac:dyDescent="0.35">
      <c r="A2086" s="198" t="s">
        <v>136</v>
      </c>
      <c r="B2086" s="199">
        <v>2145</v>
      </c>
      <c r="C2086" s="199" t="s">
        <v>1534</v>
      </c>
      <c r="D2086" s="199">
        <v>98</v>
      </c>
      <c r="E2086" s="213">
        <v>516488.62000000005</v>
      </c>
      <c r="F2086" s="213">
        <v>132234.79</v>
      </c>
      <c r="G2086" s="199">
        <f>'Mail Merge'!$E2086+'Mail Merge'!$F2086</f>
        <v>648723.41</v>
      </c>
      <c r="H2086" s="199"/>
      <c r="I2086" s="199" t="s">
        <v>241</v>
      </c>
      <c r="J2086" s="202">
        <f>IFERROR('Mail Merge'!$E2086/'Mail Merge'!$D2086,0)</f>
        <v>5270.2920408163272</v>
      </c>
      <c r="K2086" s="199">
        <f>IFERROR('Mail Merge'!$F2086/'Mail Merge'!$D2086,0)</f>
        <v>1349.3345918367347</v>
      </c>
      <c r="L2086" s="199">
        <f>IFERROR('Mail Merge'!$G2086/'Mail Merge'!$D2086,0)</f>
        <v>6619.6266326530613</v>
      </c>
      <c r="M2086" s="199"/>
      <c r="N2086" s="210" t="s">
        <v>2140</v>
      </c>
      <c r="O2086" s="199">
        <v>157097.68</v>
      </c>
      <c r="P2086" s="199">
        <v>3683.11</v>
      </c>
      <c r="Q2086" s="199">
        <f>'Mail Merge'!$O2086+'Mail Merge'!$P2086</f>
        <v>160780.78999999998</v>
      </c>
      <c r="R2086" s="199"/>
      <c r="S2086" s="199"/>
      <c r="T2086" s="199"/>
      <c r="U2086" s="199">
        <f>IF(AND('Mail Merge'!$I2086="Did Not Meet",'Mail Merge'!$N2086="Did Not Meet"),MIN(ABS('Mail Merge'!$H2086),ABS('Mail Merge'!$M2086),'Mail Merge'!$Q2086),0)</f>
        <v>0</v>
      </c>
      <c r="V2086" s="199" t="s">
        <v>241</v>
      </c>
    </row>
    <row r="2087" spans="1:22" x14ac:dyDescent="0.35">
      <c r="A2087" s="200" t="s">
        <v>137</v>
      </c>
      <c r="B2087" s="201">
        <v>1968</v>
      </c>
      <c r="C2087" s="201" t="s">
        <v>1534</v>
      </c>
      <c r="D2087" s="201">
        <v>71</v>
      </c>
      <c r="E2087" s="211">
        <v>536516.1399999999</v>
      </c>
      <c r="F2087" s="211">
        <v>218923.17000000004</v>
      </c>
      <c r="G2087" s="201">
        <f>'Mail Merge'!$E2087+'Mail Merge'!$F2087</f>
        <v>755439.30999999994</v>
      </c>
      <c r="H2087" s="201"/>
      <c r="I2087" s="201" t="s">
        <v>241</v>
      </c>
      <c r="J2087" s="204">
        <f>IFERROR('Mail Merge'!$E2087/'Mail Merge'!$D2087,0)</f>
        <v>7556.5653521126742</v>
      </c>
      <c r="K2087" s="201">
        <f>IFERROR('Mail Merge'!$F2087/'Mail Merge'!$D2087,0)</f>
        <v>3083.4249295774653</v>
      </c>
      <c r="L2087" s="201">
        <f>IFERROR('Mail Merge'!$G2087/'Mail Merge'!$D2087,0)</f>
        <v>10639.990281690139</v>
      </c>
      <c r="M2087" s="201"/>
      <c r="N2087" s="212" t="s">
        <v>241</v>
      </c>
      <c r="O2087" s="201">
        <v>158028.42000000001</v>
      </c>
      <c r="P2087" s="201">
        <v>5994.64</v>
      </c>
      <c r="Q2087" s="201">
        <f>'Mail Merge'!$O2087+'Mail Merge'!$P2087</f>
        <v>164023.06000000003</v>
      </c>
      <c r="R2087" s="201"/>
      <c r="S2087" s="201"/>
      <c r="T2087" s="201"/>
      <c r="U2087" s="201">
        <f>IF(AND('Mail Merge'!$I2087="Did Not Meet",'Mail Merge'!$N2087="Did Not Meet"),MIN(ABS('Mail Merge'!$H2087),ABS('Mail Merge'!$M2087),'Mail Merge'!$Q2087),0)</f>
        <v>0</v>
      </c>
      <c r="V2087" s="201" t="s">
        <v>241</v>
      </c>
    </row>
    <row r="2088" spans="1:22" x14ac:dyDescent="0.35">
      <c r="A2088" s="198" t="s">
        <v>138</v>
      </c>
      <c r="B2088" s="199">
        <v>2198</v>
      </c>
      <c r="C2088" s="199" t="s">
        <v>1534</v>
      </c>
      <c r="D2088" s="199">
        <v>102</v>
      </c>
      <c r="E2088" s="213">
        <v>1779992.2600000005</v>
      </c>
      <c r="F2088" s="213">
        <v>313377</v>
      </c>
      <c r="G2088" s="199">
        <f>'Mail Merge'!$E2088+'Mail Merge'!$F2088</f>
        <v>2093369.2600000005</v>
      </c>
      <c r="H2088" s="199"/>
      <c r="I2088" s="199" t="s">
        <v>242</v>
      </c>
      <c r="J2088" s="202">
        <f>IFERROR('Mail Merge'!$E2088/'Mail Merge'!$D2088,0)</f>
        <v>17450.904509803928</v>
      </c>
      <c r="K2088" s="199">
        <f>IFERROR('Mail Merge'!$F2088/'Mail Merge'!$D2088,0)</f>
        <v>3072.3235294117649</v>
      </c>
      <c r="L2088" s="199">
        <f>IFERROR('Mail Merge'!$G2088/'Mail Merge'!$D2088,0)</f>
        <v>20523.22803921569</v>
      </c>
      <c r="M2088" s="199"/>
      <c r="N2088" s="210" t="s">
        <v>241</v>
      </c>
      <c r="O2088" s="199">
        <v>167960.48</v>
      </c>
      <c r="P2088" s="199">
        <v>6198.2800000000007</v>
      </c>
      <c r="Q2088" s="199">
        <f>'Mail Merge'!$O2088+'Mail Merge'!$P2088</f>
        <v>174158.76</v>
      </c>
      <c r="R2088" s="199"/>
      <c r="S2088" s="199"/>
      <c r="T2088" s="199"/>
      <c r="U2088" s="199">
        <f>IF(AND('Mail Merge'!$I2088="Did Not Meet",'Mail Merge'!$N2088="Did Not Meet"),MIN(ABS('Mail Merge'!$H2088),ABS('Mail Merge'!$M2088),'Mail Merge'!$Q2088),0)</f>
        <v>0</v>
      </c>
      <c r="V2088" s="199" t="s">
        <v>242</v>
      </c>
    </row>
    <row r="2089" spans="1:22" x14ac:dyDescent="0.35">
      <c r="A2089" s="200" t="s">
        <v>139</v>
      </c>
      <c r="B2089" s="201">
        <v>2199</v>
      </c>
      <c r="C2089" s="201" t="s">
        <v>1534</v>
      </c>
      <c r="D2089" s="201">
        <v>84</v>
      </c>
      <c r="E2089" s="211">
        <v>837100.92</v>
      </c>
      <c r="F2089" s="211">
        <v>198813</v>
      </c>
      <c r="G2089" s="201">
        <f>'Mail Merge'!$E2089+'Mail Merge'!$F2089</f>
        <v>1035913.92</v>
      </c>
      <c r="H2089" s="201"/>
      <c r="I2089" s="201" t="s">
        <v>241</v>
      </c>
      <c r="J2089" s="204">
        <f>IFERROR('Mail Merge'!$E2089/'Mail Merge'!$D2089,0)</f>
        <v>9965.4871428571441</v>
      </c>
      <c r="K2089" s="201">
        <f>IFERROR('Mail Merge'!$F2089/'Mail Merge'!$D2089,0)</f>
        <v>2366.8214285714284</v>
      </c>
      <c r="L2089" s="201">
        <f>IFERROR('Mail Merge'!$G2089/'Mail Merge'!$D2089,0)</f>
        <v>12332.308571428572</v>
      </c>
      <c r="M2089" s="201"/>
      <c r="N2089" s="212" t="s">
        <v>2140</v>
      </c>
      <c r="O2089" s="201">
        <v>133618.23999999999</v>
      </c>
      <c r="P2089" s="201">
        <v>4133.3999999999996</v>
      </c>
      <c r="Q2089" s="201">
        <f>'Mail Merge'!$O2089+'Mail Merge'!$P2089</f>
        <v>137751.63999999998</v>
      </c>
      <c r="R2089" s="201"/>
      <c r="S2089" s="201"/>
      <c r="T2089" s="201"/>
      <c r="U2089" s="201">
        <f>IF(AND('Mail Merge'!$I2089="Did Not Meet",'Mail Merge'!$N2089="Did Not Meet"),MIN(ABS('Mail Merge'!$H2089),ABS('Mail Merge'!$M2089),'Mail Merge'!$Q2089),0)</f>
        <v>0</v>
      </c>
      <c r="V2089" s="201" t="s">
        <v>241</v>
      </c>
    </row>
    <row r="2090" spans="1:22" x14ac:dyDescent="0.35">
      <c r="A2090" s="198" t="s">
        <v>140</v>
      </c>
      <c r="B2090" s="199">
        <v>2254</v>
      </c>
      <c r="C2090" s="199" t="s">
        <v>1534</v>
      </c>
      <c r="D2090" s="199">
        <v>652</v>
      </c>
      <c r="E2090" s="213">
        <v>7784024.3800000018</v>
      </c>
      <c r="F2090" s="213">
        <v>194055</v>
      </c>
      <c r="G2090" s="199">
        <f>'Mail Merge'!$E2090+'Mail Merge'!$F2090</f>
        <v>7978079.3800000018</v>
      </c>
      <c r="H2090" s="199"/>
      <c r="I2090" s="199" t="s">
        <v>242</v>
      </c>
      <c r="J2090" s="202">
        <f>IFERROR('Mail Merge'!$E2090/'Mail Merge'!$D2090,0)</f>
        <v>11938.687699386506</v>
      </c>
      <c r="K2090" s="199">
        <f>IFERROR('Mail Merge'!$F2090/'Mail Merge'!$D2090,0)</f>
        <v>297.63036809815952</v>
      </c>
      <c r="L2090" s="199">
        <f>IFERROR('Mail Merge'!$G2090/'Mail Merge'!$D2090,0)</f>
        <v>12236.318067484664</v>
      </c>
      <c r="M2090" s="199"/>
      <c r="N2090" s="210" t="s">
        <v>241</v>
      </c>
      <c r="O2090" s="199">
        <v>1018594.87</v>
      </c>
      <c r="P2090" s="199">
        <v>23659.61</v>
      </c>
      <c r="Q2090" s="199">
        <f>'Mail Merge'!$O2090+'Mail Merge'!$P2090</f>
        <v>1042254.48</v>
      </c>
      <c r="R2090" s="199"/>
      <c r="S2090" s="199"/>
      <c r="T2090" s="199"/>
      <c r="U2090" s="199">
        <f>IF(AND('Mail Merge'!$I2090="Did Not Meet",'Mail Merge'!$N2090="Did Not Meet"),MIN(ABS('Mail Merge'!$H2090),ABS('Mail Merge'!$M2090),'Mail Merge'!$Q2090),0)</f>
        <v>0</v>
      </c>
      <c r="V2090" s="199" t="s">
        <v>242</v>
      </c>
    </row>
    <row r="2091" spans="1:22" x14ac:dyDescent="0.35">
      <c r="A2091" s="200" t="s">
        <v>141</v>
      </c>
      <c r="B2091" s="201">
        <v>1966</v>
      </c>
      <c r="C2091" s="201" t="s">
        <v>1534</v>
      </c>
      <c r="D2091" s="201">
        <v>700</v>
      </c>
      <c r="E2091" s="211">
        <v>3874358.9100000006</v>
      </c>
      <c r="F2091" s="211">
        <v>939828.32</v>
      </c>
      <c r="G2091" s="201">
        <f>'Mail Merge'!$E2091+'Mail Merge'!$F2091</f>
        <v>4814187.2300000004</v>
      </c>
      <c r="H2091" s="201"/>
      <c r="I2091" s="201" t="s">
        <v>2140</v>
      </c>
      <c r="J2091" s="204">
        <f>IFERROR('Mail Merge'!$E2091/'Mail Merge'!$D2091,0)</f>
        <v>5534.7984428571435</v>
      </c>
      <c r="K2091" s="201">
        <f>IFERROR('Mail Merge'!$F2091/'Mail Merge'!$D2091,0)</f>
        <v>1342.6118857142856</v>
      </c>
      <c r="L2091" s="201">
        <f>IFERROR('Mail Merge'!$G2091/'Mail Merge'!$D2091,0)</f>
        <v>6877.4103285714291</v>
      </c>
      <c r="M2091" s="201"/>
      <c r="N2091" s="212" t="s">
        <v>2140</v>
      </c>
      <c r="O2091" s="201">
        <v>783974.47000000009</v>
      </c>
      <c r="P2091" s="201">
        <v>16998.120000000003</v>
      </c>
      <c r="Q2091" s="201">
        <f>'Mail Merge'!$O2091+'Mail Merge'!$P2091</f>
        <v>800972.59000000008</v>
      </c>
      <c r="R2091" s="201"/>
      <c r="S2091" s="201"/>
      <c r="T2091" s="201"/>
      <c r="U2091" s="201">
        <f>IF(AND('Mail Merge'!$I2091="Did Not Meet",'Mail Merge'!$N2091="Did Not Meet"),MIN(ABS('Mail Merge'!$H2091),ABS('Mail Merge'!$M2091),'Mail Merge'!$Q2091),0)</f>
        <v>0</v>
      </c>
      <c r="V2091" s="201" t="s">
        <v>2138</v>
      </c>
    </row>
    <row r="2092" spans="1:22" x14ac:dyDescent="0.35">
      <c r="A2092" s="198" t="s">
        <v>142</v>
      </c>
      <c r="B2092" s="199">
        <v>1924</v>
      </c>
      <c r="C2092" s="199" t="s">
        <v>1534</v>
      </c>
      <c r="D2092" s="199">
        <v>2699</v>
      </c>
      <c r="E2092" s="213">
        <v>26508893.330000013</v>
      </c>
      <c r="F2092" s="213">
        <v>2336734</v>
      </c>
      <c r="G2092" s="199">
        <f>'Mail Merge'!$E2092+'Mail Merge'!$F2092</f>
        <v>28845627.330000013</v>
      </c>
      <c r="H2092" s="199"/>
      <c r="I2092" s="199" t="s">
        <v>2140</v>
      </c>
      <c r="J2092" s="202">
        <f>IFERROR('Mail Merge'!$E2092/'Mail Merge'!$D2092,0)</f>
        <v>9821.7463245646577</v>
      </c>
      <c r="K2092" s="199">
        <f>IFERROR('Mail Merge'!$F2092/'Mail Merge'!$D2092,0)</f>
        <v>865.77769544275657</v>
      </c>
      <c r="L2092" s="199">
        <f>IFERROR('Mail Merge'!$G2092/'Mail Merge'!$D2092,0)</f>
        <v>10687.524020007415</v>
      </c>
      <c r="M2092" s="199"/>
      <c r="N2092" s="210" t="s">
        <v>242</v>
      </c>
      <c r="O2092" s="199">
        <v>3284968.9200000004</v>
      </c>
      <c r="P2092" s="199">
        <v>69854.8</v>
      </c>
      <c r="Q2092" s="199">
        <f>'Mail Merge'!$O2092+'Mail Merge'!$P2092</f>
        <v>3354823.72</v>
      </c>
      <c r="R2092" s="199"/>
      <c r="S2092" s="199"/>
      <c r="T2092" s="199"/>
      <c r="U2092" s="199">
        <f>IF(AND('Mail Merge'!$I2092="Did Not Meet",'Mail Merge'!$N2092="Did Not Meet"),MIN(ABS('Mail Merge'!$H2092),ABS('Mail Merge'!$M2092),'Mail Merge'!$Q2092),0)</f>
        <v>0</v>
      </c>
      <c r="V2092" s="199" t="s">
        <v>2140</v>
      </c>
    </row>
    <row r="2093" spans="1:22" x14ac:dyDescent="0.35">
      <c r="A2093" s="200" t="s">
        <v>143</v>
      </c>
      <c r="B2093" s="201">
        <v>1996</v>
      </c>
      <c r="C2093" s="201" t="s">
        <v>1534</v>
      </c>
      <c r="D2093" s="201">
        <v>39</v>
      </c>
      <c r="E2093" s="211">
        <v>394576.95999999996</v>
      </c>
      <c r="F2093" s="211">
        <v>58301.760000000002</v>
      </c>
      <c r="G2093" s="201">
        <f>'Mail Merge'!$E2093+'Mail Merge'!$F2093</f>
        <v>452878.72</v>
      </c>
      <c r="H2093" s="201"/>
      <c r="I2093" s="201" t="s">
        <v>2140</v>
      </c>
      <c r="J2093" s="204">
        <f>IFERROR('Mail Merge'!$E2093/'Mail Merge'!$D2093,0)</f>
        <v>10117.357948717949</v>
      </c>
      <c r="K2093" s="201">
        <f>IFERROR('Mail Merge'!$F2093/'Mail Merge'!$D2093,0)</f>
        <v>1494.9169230769232</v>
      </c>
      <c r="L2093" s="201">
        <f>IFERROR('Mail Merge'!$G2093/'Mail Merge'!$D2093,0)</f>
        <v>11612.274871794871</v>
      </c>
      <c r="M2093" s="201"/>
      <c r="N2093" s="212" t="s">
        <v>242</v>
      </c>
      <c r="O2093" s="201">
        <v>66172.709999999992</v>
      </c>
      <c r="P2093" s="201">
        <v>1077.94</v>
      </c>
      <c r="Q2093" s="201">
        <f>'Mail Merge'!$O2093+'Mail Merge'!$P2093</f>
        <v>67250.649999999994</v>
      </c>
      <c r="R2093" s="201"/>
      <c r="S2093" s="201"/>
      <c r="T2093" s="201"/>
      <c r="U2093" s="201">
        <f>IF(AND('Mail Merge'!$I2093="Did Not Meet",'Mail Merge'!$N2093="Did Not Meet"),MIN(ABS('Mail Merge'!$H2093),ABS('Mail Merge'!$M2093),'Mail Merge'!$Q2093),0)</f>
        <v>0</v>
      </c>
      <c r="V2093" s="201" t="s">
        <v>2138</v>
      </c>
    </row>
    <row r="2094" spans="1:22" x14ac:dyDescent="0.35">
      <c r="A2094" s="198" t="s">
        <v>144</v>
      </c>
      <c r="B2094" s="199">
        <v>2061</v>
      </c>
      <c r="C2094" s="199" t="s">
        <v>1534</v>
      </c>
      <c r="D2094" s="199">
        <v>53</v>
      </c>
      <c r="E2094" s="213">
        <v>284731.45000000007</v>
      </c>
      <c r="F2094" s="213">
        <v>130610.31999999999</v>
      </c>
      <c r="G2094" s="199">
        <f>'Mail Merge'!$E2094+'Mail Merge'!$F2094</f>
        <v>415341.77000000008</v>
      </c>
      <c r="H2094" s="199"/>
      <c r="I2094" s="199" t="s">
        <v>241</v>
      </c>
      <c r="J2094" s="202">
        <f>IFERROR('Mail Merge'!$E2094/'Mail Merge'!$D2094,0)</f>
        <v>5372.2915094339633</v>
      </c>
      <c r="K2094" s="199">
        <f>IFERROR('Mail Merge'!$F2094/'Mail Merge'!$D2094,0)</f>
        <v>2464.3456603773584</v>
      </c>
      <c r="L2094" s="199">
        <f>IFERROR('Mail Merge'!$G2094/'Mail Merge'!$D2094,0)</f>
        <v>7836.6371698113226</v>
      </c>
      <c r="M2094" s="199"/>
      <c r="N2094" s="210" t="s">
        <v>241</v>
      </c>
      <c r="O2094" s="199">
        <v>57079.23</v>
      </c>
      <c r="P2094" s="199">
        <v>2548.6</v>
      </c>
      <c r="Q2094" s="199">
        <f>'Mail Merge'!$O2094+'Mail Merge'!$P2094</f>
        <v>59627.83</v>
      </c>
      <c r="R2094" s="199"/>
      <c r="S2094" s="199"/>
      <c r="T2094" s="199"/>
      <c r="U2094" s="199">
        <f>IF(AND('Mail Merge'!$I2094="Did Not Meet",'Mail Merge'!$N2094="Did Not Meet"),MIN(ABS('Mail Merge'!$H2094),ABS('Mail Merge'!$M2094),'Mail Merge'!$Q2094),0)</f>
        <v>0</v>
      </c>
      <c r="V2094" s="199" t="s">
        <v>241</v>
      </c>
    </row>
    <row r="2095" spans="1:22" x14ac:dyDescent="0.35">
      <c r="A2095" s="200" t="s">
        <v>145</v>
      </c>
      <c r="B2095" s="201">
        <v>2141</v>
      </c>
      <c r="C2095" s="201" t="s">
        <v>1534</v>
      </c>
      <c r="D2095" s="201">
        <v>289</v>
      </c>
      <c r="E2095" s="211">
        <v>2806249.3300000005</v>
      </c>
      <c r="F2095" s="211">
        <v>504839.51</v>
      </c>
      <c r="G2095" s="201">
        <f>'Mail Merge'!$E2095+'Mail Merge'!$F2095</f>
        <v>3311088.8400000008</v>
      </c>
      <c r="H2095" s="201"/>
      <c r="I2095" s="201" t="s">
        <v>241</v>
      </c>
      <c r="J2095" s="204">
        <f>IFERROR('Mail Merge'!$E2095/'Mail Merge'!$D2095,0)</f>
        <v>9710.2052941176498</v>
      </c>
      <c r="K2095" s="201">
        <f>IFERROR('Mail Merge'!$F2095/'Mail Merge'!$D2095,0)</f>
        <v>1746.8495155709343</v>
      </c>
      <c r="L2095" s="201">
        <f>IFERROR('Mail Merge'!$G2095/'Mail Merge'!$D2095,0)</f>
        <v>11457.054809688583</v>
      </c>
      <c r="M2095" s="201"/>
      <c r="N2095" s="212" t="s">
        <v>241</v>
      </c>
      <c r="O2095" s="201">
        <v>350336.44</v>
      </c>
      <c r="P2095" s="201">
        <v>8392.2799999999988</v>
      </c>
      <c r="Q2095" s="201">
        <f>'Mail Merge'!$O2095+'Mail Merge'!$P2095</f>
        <v>358728.72</v>
      </c>
      <c r="R2095" s="201"/>
      <c r="S2095" s="201"/>
      <c r="T2095" s="201"/>
      <c r="U2095" s="201">
        <f>IF(AND('Mail Merge'!$I2095="Did Not Meet",'Mail Merge'!$N2095="Did Not Meet"),MIN(ABS('Mail Merge'!$H2095),ABS('Mail Merge'!$M2095),'Mail Merge'!$Q2095),0)</f>
        <v>0</v>
      </c>
      <c r="V2095" s="201" t="s">
        <v>241</v>
      </c>
    </row>
    <row r="2096" spans="1:22" x14ac:dyDescent="0.35">
      <c r="A2096" s="198" t="s">
        <v>146</v>
      </c>
      <c r="B2096" s="199">
        <v>2214</v>
      </c>
      <c r="C2096" s="199" t="s">
        <v>1534</v>
      </c>
      <c r="D2096" s="199">
        <v>32</v>
      </c>
      <c r="E2096" s="213">
        <v>182901.96999999997</v>
      </c>
      <c r="F2096" s="213">
        <v>78655.33</v>
      </c>
      <c r="G2096" s="199">
        <f>'Mail Merge'!$E2096+'Mail Merge'!$F2096</f>
        <v>261557.3</v>
      </c>
      <c r="H2096" s="199"/>
      <c r="I2096" s="199" t="s">
        <v>242</v>
      </c>
      <c r="J2096" s="202">
        <f>IFERROR('Mail Merge'!$E2096/'Mail Merge'!$D2096,0)</f>
        <v>5715.6865624999991</v>
      </c>
      <c r="K2096" s="199">
        <f>IFERROR('Mail Merge'!$F2096/'Mail Merge'!$D2096,0)</f>
        <v>2457.9790625000001</v>
      </c>
      <c r="L2096" s="199">
        <f>IFERROR('Mail Merge'!$G2096/'Mail Merge'!$D2096,0)</f>
        <v>8173.6656249999996</v>
      </c>
      <c r="M2096" s="199"/>
      <c r="N2096" s="210" t="s">
        <v>241</v>
      </c>
      <c r="O2096" s="199">
        <v>59807</v>
      </c>
      <c r="P2096" s="199">
        <v>581.02</v>
      </c>
      <c r="Q2096" s="199">
        <f>'Mail Merge'!$O2096+'Mail Merge'!$P2096</f>
        <v>60388.02</v>
      </c>
      <c r="R2096" s="199"/>
      <c r="S2096" s="199"/>
      <c r="T2096" s="199"/>
      <c r="U2096" s="199">
        <f>IF(AND('Mail Merge'!$I2096="Did Not Meet",'Mail Merge'!$N2096="Did Not Meet"),MIN(ABS('Mail Merge'!$H2096),ABS('Mail Merge'!$M2096),'Mail Merge'!$Q2096),0)</f>
        <v>0</v>
      </c>
      <c r="V2096" s="199" t="s">
        <v>242</v>
      </c>
    </row>
    <row r="2097" spans="1:22" x14ac:dyDescent="0.35">
      <c r="A2097" s="200" t="s">
        <v>147</v>
      </c>
      <c r="B2097" s="201">
        <v>2143</v>
      </c>
      <c r="C2097" s="201" t="s">
        <v>1534</v>
      </c>
      <c r="D2097" s="201">
        <v>342</v>
      </c>
      <c r="E2097" s="211">
        <v>2911033.6399999992</v>
      </c>
      <c r="F2097" s="211">
        <v>164295.79999999999</v>
      </c>
      <c r="G2097" s="201">
        <f>'Mail Merge'!$E2097+'Mail Merge'!$F2097</f>
        <v>3075329.439999999</v>
      </c>
      <c r="H2097" s="201"/>
      <c r="I2097" s="201" t="s">
        <v>242</v>
      </c>
      <c r="J2097" s="204">
        <f>IFERROR('Mail Merge'!$E2097/'Mail Merge'!$D2097,0)</f>
        <v>8511.7942690058462</v>
      </c>
      <c r="K2097" s="201">
        <f>IFERROR('Mail Merge'!$F2097/'Mail Merge'!$D2097,0)</f>
        <v>480.39707602339178</v>
      </c>
      <c r="L2097" s="201">
        <f>IFERROR('Mail Merge'!$G2097/'Mail Merge'!$D2097,0)</f>
        <v>8992.1913450292377</v>
      </c>
      <c r="M2097" s="201"/>
      <c r="N2097" s="212" t="s">
        <v>241</v>
      </c>
      <c r="O2097" s="201">
        <v>558028.71000000008</v>
      </c>
      <c r="P2097" s="201">
        <v>8363.1200000000008</v>
      </c>
      <c r="Q2097" s="201">
        <f>'Mail Merge'!$O2097+'Mail Merge'!$P2097</f>
        <v>566391.83000000007</v>
      </c>
      <c r="R2097" s="201"/>
      <c r="S2097" s="201"/>
      <c r="T2097" s="201"/>
      <c r="U2097" s="201">
        <f>IF(AND('Mail Merge'!$I2097="Did Not Meet",'Mail Merge'!$N2097="Did Not Meet"),MIN(ABS('Mail Merge'!$H2097),ABS('Mail Merge'!$M2097),'Mail Merge'!$Q2097),0)</f>
        <v>0</v>
      </c>
      <c r="V2097" s="201" t="s">
        <v>242</v>
      </c>
    </row>
    <row r="2098" spans="1:22" x14ac:dyDescent="0.35">
      <c r="A2098" s="198" t="s">
        <v>148</v>
      </c>
      <c r="B2098" s="199">
        <v>4131</v>
      </c>
      <c r="C2098" s="199" t="s">
        <v>1534</v>
      </c>
      <c r="D2098" s="199">
        <v>449</v>
      </c>
      <c r="E2098" s="213">
        <v>4760602.5799999991</v>
      </c>
      <c r="F2098" s="199">
        <v>0</v>
      </c>
      <c r="G2098" s="199">
        <f>'Mail Merge'!$E2098+'Mail Merge'!$F2098</f>
        <v>4760602.5799999991</v>
      </c>
      <c r="H2098" s="199"/>
      <c r="I2098" s="199" t="s">
        <v>2140</v>
      </c>
      <c r="J2098" s="202">
        <f>IFERROR('Mail Merge'!$E2098/'Mail Merge'!$D2098,0)</f>
        <v>10602.678351893093</v>
      </c>
      <c r="K2098" s="199">
        <f>IFERROR('Mail Merge'!$F2098/'Mail Merge'!$D2098,0)</f>
        <v>0</v>
      </c>
      <c r="L2098" s="199">
        <f>IFERROR('Mail Merge'!$G2098/'Mail Merge'!$D2098,0)</f>
        <v>10602.678351893093</v>
      </c>
      <c r="M2098" s="199"/>
      <c r="N2098" s="210" t="s">
        <v>242</v>
      </c>
      <c r="O2098" s="199">
        <v>708145.71000000008</v>
      </c>
      <c r="P2098" s="199">
        <v>26670.02</v>
      </c>
      <c r="Q2098" s="199">
        <f>'Mail Merge'!$O2098+'Mail Merge'!$P2098</f>
        <v>734815.7300000001</v>
      </c>
      <c r="R2098" s="199"/>
      <c r="S2098" s="199"/>
      <c r="T2098" s="199"/>
      <c r="U2098" s="199">
        <f>IF(AND('Mail Merge'!$I2098="Did Not Meet",'Mail Merge'!$N2098="Did Not Meet"),MIN(ABS('Mail Merge'!$H2098),ABS('Mail Merge'!$M2098),'Mail Merge'!$Q2098),0)</f>
        <v>0</v>
      </c>
      <c r="V2098" s="199" t="s">
        <v>2138</v>
      </c>
    </row>
    <row r="2099" spans="1:22" x14ac:dyDescent="0.35">
      <c r="A2099" s="200" t="s">
        <v>149</v>
      </c>
      <c r="B2099" s="201">
        <v>2110</v>
      </c>
      <c r="C2099" s="201" t="s">
        <v>1534</v>
      </c>
      <c r="D2099" s="201">
        <v>158</v>
      </c>
      <c r="E2099" s="211">
        <v>979818.39999999991</v>
      </c>
      <c r="F2099" s="211">
        <v>427172.16000000003</v>
      </c>
      <c r="G2099" s="201">
        <f>'Mail Merge'!$E2099+'Mail Merge'!$F2099</f>
        <v>1406990.56</v>
      </c>
      <c r="H2099" s="201"/>
      <c r="I2099" s="201" t="s">
        <v>241</v>
      </c>
      <c r="J2099" s="204">
        <f>IFERROR('Mail Merge'!$E2099/'Mail Merge'!$D2099,0)</f>
        <v>6201.3822784810118</v>
      </c>
      <c r="K2099" s="201">
        <f>IFERROR('Mail Merge'!$F2099/'Mail Merge'!$D2099,0)</f>
        <v>2703.6212658227851</v>
      </c>
      <c r="L2099" s="201">
        <f>IFERROR('Mail Merge'!$G2099/'Mail Merge'!$D2099,0)</f>
        <v>8905.0035443037978</v>
      </c>
      <c r="M2099" s="201"/>
      <c r="N2099" s="212" t="s">
        <v>241</v>
      </c>
      <c r="O2099" s="201">
        <v>272781.33999999997</v>
      </c>
      <c r="P2099" s="201">
        <v>4818.18</v>
      </c>
      <c r="Q2099" s="201">
        <f>'Mail Merge'!$O2099+'Mail Merge'!$P2099</f>
        <v>277599.51999999996</v>
      </c>
      <c r="R2099" s="201"/>
      <c r="S2099" s="201"/>
      <c r="T2099" s="201"/>
      <c r="U2099" s="201">
        <f>IF(AND('Mail Merge'!$I2099="Did Not Meet",'Mail Merge'!$N2099="Did Not Meet"),MIN(ABS('Mail Merge'!$H2099),ABS('Mail Merge'!$M2099),'Mail Merge'!$Q2099),0)</f>
        <v>0</v>
      </c>
      <c r="V2099" s="201" t="s">
        <v>241</v>
      </c>
    </row>
    <row r="2100" spans="1:22" x14ac:dyDescent="0.35">
      <c r="A2100" s="198" t="s">
        <v>150</v>
      </c>
      <c r="B2100" s="199">
        <v>1990</v>
      </c>
      <c r="C2100" s="199" t="s">
        <v>1534</v>
      </c>
      <c r="D2100" s="199">
        <v>76</v>
      </c>
      <c r="E2100" s="213">
        <v>418752.07</v>
      </c>
      <c r="F2100" s="213">
        <v>99083.04</v>
      </c>
      <c r="G2100" s="199">
        <f>'Mail Merge'!$E2100+'Mail Merge'!$F2100</f>
        <v>517835.11</v>
      </c>
      <c r="H2100" s="199"/>
      <c r="I2100" s="199" t="s">
        <v>242</v>
      </c>
      <c r="J2100" s="202">
        <f>IFERROR('Mail Merge'!$E2100/'Mail Merge'!$D2100,0)</f>
        <v>5509.8956578947373</v>
      </c>
      <c r="K2100" s="199">
        <f>IFERROR('Mail Merge'!$F2100/'Mail Merge'!$D2100,0)</f>
        <v>1303.7242105263158</v>
      </c>
      <c r="L2100" s="199">
        <f>IFERROR('Mail Merge'!$G2100/'Mail Merge'!$D2100,0)</f>
        <v>6813.6198684210522</v>
      </c>
      <c r="M2100" s="199"/>
      <c r="N2100" s="210" t="s">
        <v>241</v>
      </c>
      <c r="O2100" s="199">
        <v>127963.84999999999</v>
      </c>
      <c r="P2100" s="199">
        <v>4659.84</v>
      </c>
      <c r="Q2100" s="199">
        <f>'Mail Merge'!$O2100+'Mail Merge'!$P2100</f>
        <v>132623.69</v>
      </c>
      <c r="R2100" s="199"/>
      <c r="S2100" s="199"/>
      <c r="T2100" s="199"/>
      <c r="U2100" s="199">
        <f>IF(AND('Mail Merge'!$I2100="Did Not Meet",'Mail Merge'!$N2100="Did Not Meet"),MIN(ABS('Mail Merge'!$H2100),ABS('Mail Merge'!$M2100),'Mail Merge'!$Q2100),0)</f>
        <v>0</v>
      </c>
      <c r="V2100" s="199" t="s">
        <v>242</v>
      </c>
    </row>
    <row r="2101" spans="1:22" x14ac:dyDescent="0.35">
      <c r="A2101" s="200" t="s">
        <v>151</v>
      </c>
      <c r="B2101" s="201">
        <v>2093</v>
      </c>
      <c r="C2101" s="201" t="s">
        <v>1534</v>
      </c>
      <c r="D2101" s="201">
        <v>103</v>
      </c>
      <c r="E2101" s="211">
        <v>371214.71999999991</v>
      </c>
      <c r="F2101" s="211">
        <v>249404</v>
      </c>
      <c r="G2101" s="201">
        <f>'Mail Merge'!$E2101+'Mail Merge'!$F2101</f>
        <v>620618.72</v>
      </c>
      <c r="H2101" s="201"/>
      <c r="I2101" s="201" t="s">
        <v>241</v>
      </c>
      <c r="J2101" s="204">
        <f>IFERROR('Mail Merge'!$E2101/'Mail Merge'!$D2101,0)</f>
        <v>3604.0264077669895</v>
      </c>
      <c r="K2101" s="201">
        <f>IFERROR('Mail Merge'!$F2101/'Mail Merge'!$D2101,0)</f>
        <v>2421.3980582524273</v>
      </c>
      <c r="L2101" s="201">
        <f>IFERROR('Mail Merge'!$G2101/'Mail Merge'!$D2101,0)</f>
        <v>6025.4244660194172</v>
      </c>
      <c r="M2101" s="201"/>
      <c r="N2101" s="212" t="s">
        <v>241</v>
      </c>
      <c r="O2101" s="201">
        <v>194588.87</v>
      </c>
      <c r="P2101" s="201">
        <v>10575.44</v>
      </c>
      <c r="Q2101" s="201">
        <f>'Mail Merge'!$O2101+'Mail Merge'!$P2101</f>
        <v>205164.31</v>
      </c>
      <c r="R2101" s="201"/>
      <c r="S2101" s="201"/>
      <c r="T2101" s="201"/>
      <c r="U2101" s="201">
        <f>IF(AND('Mail Merge'!$I2101="Did Not Meet",'Mail Merge'!$N2101="Did Not Meet"),MIN(ABS('Mail Merge'!$H2101),ABS('Mail Merge'!$M2101),'Mail Merge'!$Q2101),0)</f>
        <v>0</v>
      </c>
      <c r="V2101" s="201" t="s">
        <v>241</v>
      </c>
    </row>
    <row r="2102" spans="1:22" x14ac:dyDescent="0.35">
      <c r="A2102" s="198" t="s">
        <v>152</v>
      </c>
      <c r="B2102" s="199">
        <v>2108</v>
      </c>
      <c r="C2102" s="199" t="s">
        <v>1534</v>
      </c>
      <c r="D2102" s="199">
        <v>313</v>
      </c>
      <c r="E2102" s="213">
        <v>3600748.3699999987</v>
      </c>
      <c r="F2102" s="213">
        <v>71328.899999999994</v>
      </c>
      <c r="G2102" s="199">
        <f>'Mail Merge'!$E2102+'Mail Merge'!$F2102</f>
        <v>3672077.2699999986</v>
      </c>
      <c r="H2102" s="199"/>
      <c r="I2102" s="199" t="s">
        <v>241</v>
      </c>
      <c r="J2102" s="202">
        <f>IFERROR('Mail Merge'!$E2102/'Mail Merge'!$D2102,0)</f>
        <v>11503.988402555906</v>
      </c>
      <c r="K2102" s="199">
        <f>IFERROR('Mail Merge'!$F2102/'Mail Merge'!$D2102,0)</f>
        <v>227.88785942492012</v>
      </c>
      <c r="L2102" s="199">
        <f>IFERROR('Mail Merge'!$G2102/'Mail Merge'!$D2102,0)</f>
        <v>11731.876261980826</v>
      </c>
      <c r="M2102" s="199"/>
      <c r="N2102" s="210" t="s">
        <v>241</v>
      </c>
      <c r="O2102" s="199">
        <v>606810.66</v>
      </c>
      <c r="P2102" s="199">
        <v>14475.779999999999</v>
      </c>
      <c r="Q2102" s="199">
        <f>'Mail Merge'!$O2102+'Mail Merge'!$P2102</f>
        <v>621286.44000000006</v>
      </c>
      <c r="R2102" s="199"/>
      <c r="S2102" s="199"/>
      <c r="T2102" s="199"/>
      <c r="U2102" s="199">
        <f>IF(AND('Mail Merge'!$I2102="Did Not Meet",'Mail Merge'!$N2102="Did Not Meet"),MIN(ABS('Mail Merge'!$H2102),ABS('Mail Merge'!$M2102),'Mail Merge'!$Q2102),0)</f>
        <v>0</v>
      </c>
      <c r="V2102" s="199" t="s">
        <v>241</v>
      </c>
    </row>
    <row r="2103" spans="1:22" x14ac:dyDescent="0.35">
      <c r="A2103" s="200" t="s">
        <v>153</v>
      </c>
      <c r="B2103" s="201">
        <v>1928</v>
      </c>
      <c r="C2103" s="201" t="s">
        <v>1534</v>
      </c>
      <c r="D2103" s="201">
        <v>1180</v>
      </c>
      <c r="E2103" s="211">
        <v>16477011.539999994</v>
      </c>
      <c r="F2103" s="211">
        <v>1392969</v>
      </c>
      <c r="G2103" s="201">
        <f>'Mail Merge'!$E2103+'Mail Merge'!$F2103</f>
        <v>17869980.539999992</v>
      </c>
      <c r="H2103" s="201"/>
      <c r="I2103" s="201" t="s">
        <v>242</v>
      </c>
      <c r="J2103" s="204">
        <f>IFERROR('Mail Merge'!$E2103/'Mail Merge'!$D2103,0)</f>
        <v>13963.569101694909</v>
      </c>
      <c r="K2103" s="201">
        <f>IFERROR('Mail Merge'!$F2103/'Mail Merge'!$D2103,0)</f>
        <v>1180.4822033898306</v>
      </c>
      <c r="L2103" s="201">
        <f>IFERROR('Mail Merge'!$G2103/'Mail Merge'!$D2103,0)</f>
        <v>15144.051305084738</v>
      </c>
      <c r="M2103" s="201"/>
      <c r="N2103" s="212" t="s">
        <v>241</v>
      </c>
      <c r="O2103" s="201">
        <v>1638636.46</v>
      </c>
      <c r="P2103" s="201">
        <v>43743.69</v>
      </c>
      <c r="Q2103" s="201">
        <f>'Mail Merge'!$O2103+'Mail Merge'!$P2103</f>
        <v>1682380.15</v>
      </c>
      <c r="R2103" s="201"/>
      <c r="S2103" s="201"/>
      <c r="T2103" s="201"/>
      <c r="U2103" s="201">
        <f>IF(AND('Mail Merge'!$I2103="Did Not Meet",'Mail Merge'!$N2103="Did Not Meet"),MIN(ABS('Mail Merge'!$H2103),ABS('Mail Merge'!$M2103),'Mail Merge'!$Q2103),0)</f>
        <v>0</v>
      </c>
      <c r="V2103" s="201" t="s">
        <v>242</v>
      </c>
    </row>
    <row r="2104" spans="1:22" x14ac:dyDescent="0.35">
      <c r="A2104" s="198" t="s">
        <v>154</v>
      </c>
      <c r="B2104" s="199">
        <v>1926</v>
      </c>
      <c r="C2104" s="199" t="s">
        <v>1534</v>
      </c>
      <c r="D2104" s="199">
        <v>591</v>
      </c>
      <c r="E2104" s="213">
        <v>6365430.3600000013</v>
      </c>
      <c r="F2104" s="213">
        <v>708226</v>
      </c>
      <c r="G2104" s="199">
        <f>'Mail Merge'!$E2104+'Mail Merge'!$F2104</f>
        <v>7073656.3600000013</v>
      </c>
      <c r="H2104" s="199"/>
      <c r="I2104" s="199" t="s">
        <v>242</v>
      </c>
      <c r="J2104" s="202">
        <f>IFERROR('Mail Merge'!$E2104/'Mail Merge'!$D2104,0)</f>
        <v>10770.609746192895</v>
      </c>
      <c r="K2104" s="199">
        <f>IFERROR('Mail Merge'!$F2104/'Mail Merge'!$D2104,0)</f>
        <v>1198.351945854484</v>
      </c>
      <c r="L2104" s="199">
        <f>IFERROR('Mail Merge'!$G2104/'Mail Merge'!$D2104,0)</f>
        <v>11968.96169204738</v>
      </c>
      <c r="M2104" s="199"/>
      <c r="N2104" s="210" t="s">
        <v>2140</v>
      </c>
      <c r="O2104" s="199">
        <v>866842.20000000007</v>
      </c>
      <c r="P2104" s="199">
        <v>23001.809999999998</v>
      </c>
      <c r="Q2104" s="199">
        <f>'Mail Merge'!$O2104+'Mail Merge'!$P2104</f>
        <v>889844.01</v>
      </c>
      <c r="R2104" s="199"/>
      <c r="S2104" s="199"/>
      <c r="T2104" s="199"/>
      <c r="U2104" s="199">
        <f>IF(AND('Mail Merge'!$I2104="Did Not Meet",'Mail Merge'!$N2104="Did Not Meet"),MIN(ABS('Mail Merge'!$H2104),ABS('Mail Merge'!$M2104),'Mail Merge'!$Q2104),0)</f>
        <v>0</v>
      </c>
      <c r="V2104" s="199" t="s">
        <v>242</v>
      </c>
    </row>
    <row r="2105" spans="1:22" x14ac:dyDescent="0.35">
      <c r="A2105" s="200" t="s">
        <v>155</v>
      </c>
      <c r="B2105" s="201">
        <v>2060</v>
      </c>
      <c r="C2105" s="201" t="s">
        <v>1534</v>
      </c>
      <c r="D2105" s="201">
        <v>28</v>
      </c>
      <c r="E2105" s="211">
        <v>199670.5</v>
      </c>
      <c r="F2105" s="211">
        <v>101832.86</v>
      </c>
      <c r="G2105" s="201">
        <f>'Mail Merge'!$E2105+'Mail Merge'!$F2105</f>
        <v>301503.35999999999</v>
      </c>
      <c r="H2105" s="201"/>
      <c r="I2105" s="201" t="s">
        <v>242</v>
      </c>
      <c r="J2105" s="204">
        <f>IFERROR('Mail Merge'!$E2105/'Mail Merge'!$D2105,0)</f>
        <v>7131.0892857142853</v>
      </c>
      <c r="K2105" s="201">
        <f>IFERROR('Mail Merge'!$F2105/'Mail Merge'!$D2105,0)</f>
        <v>3636.8878571428572</v>
      </c>
      <c r="L2105" s="201">
        <f>IFERROR('Mail Merge'!$G2105/'Mail Merge'!$D2105,0)</f>
        <v>10767.977142857142</v>
      </c>
      <c r="M2105" s="201"/>
      <c r="N2105" s="212" t="s">
        <v>242</v>
      </c>
      <c r="O2105" s="201">
        <v>34993.980000000003</v>
      </c>
      <c r="P2105" s="201">
        <v>556.28</v>
      </c>
      <c r="Q2105" s="201">
        <f>'Mail Merge'!$O2105+'Mail Merge'!$P2105</f>
        <v>35550.26</v>
      </c>
      <c r="R2105" s="201"/>
      <c r="S2105" s="201"/>
      <c r="T2105" s="201"/>
      <c r="U2105" s="201">
        <f>IF(AND('Mail Merge'!$I2105="Did Not Meet",'Mail Merge'!$N2105="Did Not Meet"),MIN(ABS('Mail Merge'!$H2105),ABS('Mail Merge'!$M2105),'Mail Merge'!$Q2105),0)</f>
        <v>0</v>
      </c>
      <c r="V2105" s="201" t="s">
        <v>242</v>
      </c>
    </row>
    <row r="2106" spans="1:22" x14ac:dyDescent="0.35">
      <c r="A2106" s="198" t="s">
        <v>156</v>
      </c>
      <c r="B2106" s="199">
        <v>2181</v>
      </c>
      <c r="C2106" s="199" t="s">
        <v>1534</v>
      </c>
      <c r="D2106" s="199">
        <v>491</v>
      </c>
      <c r="E2106" s="213">
        <v>6202906.9100000029</v>
      </c>
      <c r="F2106" s="213">
        <v>734598.05</v>
      </c>
      <c r="G2106" s="199">
        <f>'Mail Merge'!$E2106+'Mail Merge'!$F2106</f>
        <v>6937504.9600000028</v>
      </c>
      <c r="H2106" s="199"/>
      <c r="I2106" s="199" t="s">
        <v>2140</v>
      </c>
      <c r="J2106" s="202">
        <f>IFERROR('Mail Merge'!$E2106/'Mail Merge'!$D2106,0)</f>
        <v>12633.211629327909</v>
      </c>
      <c r="K2106" s="199">
        <f>IFERROR('Mail Merge'!$F2106/'Mail Merge'!$D2106,0)</f>
        <v>1496.1263747454177</v>
      </c>
      <c r="L2106" s="199">
        <f>IFERROR('Mail Merge'!$G2106/'Mail Merge'!$D2106,0)</f>
        <v>14129.338004073325</v>
      </c>
      <c r="M2106" s="199"/>
      <c r="N2106" s="210" t="s">
        <v>2140</v>
      </c>
      <c r="O2106" s="199">
        <v>699598.31</v>
      </c>
      <c r="P2106" s="199">
        <v>14824.5</v>
      </c>
      <c r="Q2106" s="199">
        <f>'Mail Merge'!$O2106+'Mail Merge'!$P2106</f>
        <v>714422.81</v>
      </c>
      <c r="R2106" s="199"/>
      <c r="S2106" s="199"/>
      <c r="T2106" s="199"/>
      <c r="U2106" s="199">
        <f>IF(AND('Mail Merge'!$I2106="Did Not Meet",'Mail Merge'!$N2106="Did Not Meet"),MIN(ABS('Mail Merge'!$H2106),ABS('Mail Merge'!$M2106),'Mail Merge'!$Q2106),0)</f>
        <v>0</v>
      </c>
      <c r="V2106" s="199" t="s">
        <v>2138</v>
      </c>
    </row>
    <row r="2107" spans="1:22" x14ac:dyDescent="0.35">
      <c r="A2107" s="200" t="s">
        <v>157</v>
      </c>
      <c r="B2107" s="201">
        <v>2207</v>
      </c>
      <c r="C2107" s="201" t="s">
        <v>1534</v>
      </c>
      <c r="D2107" s="201">
        <v>461</v>
      </c>
      <c r="E2107" s="211">
        <v>4914968.7500000019</v>
      </c>
      <c r="F2107" s="211">
        <v>878447.62</v>
      </c>
      <c r="G2107" s="201">
        <f>'Mail Merge'!$E2107+'Mail Merge'!$F2107</f>
        <v>5793416.370000002</v>
      </c>
      <c r="H2107" s="201"/>
      <c r="I2107" s="201" t="s">
        <v>241</v>
      </c>
      <c r="J2107" s="204">
        <f>IFERROR('Mail Merge'!$E2107/'Mail Merge'!$D2107,0)</f>
        <v>10661.537418655102</v>
      </c>
      <c r="K2107" s="201">
        <f>IFERROR('Mail Merge'!$F2107/'Mail Merge'!$D2107,0)</f>
        <v>1905.5262906724513</v>
      </c>
      <c r="L2107" s="201">
        <f>IFERROR('Mail Merge'!$G2107/'Mail Merge'!$D2107,0)</f>
        <v>12567.063709327553</v>
      </c>
      <c r="M2107" s="201"/>
      <c r="N2107" s="212" t="s">
        <v>241</v>
      </c>
      <c r="O2107" s="201">
        <v>739047.18</v>
      </c>
      <c r="P2107" s="201">
        <v>23095.8</v>
      </c>
      <c r="Q2107" s="201">
        <f>'Mail Merge'!$O2107+'Mail Merge'!$P2107</f>
        <v>762142.9800000001</v>
      </c>
      <c r="R2107" s="201"/>
      <c r="S2107" s="201"/>
      <c r="T2107" s="201"/>
      <c r="U2107" s="201">
        <f>IF(AND('Mail Merge'!$I2107="Did Not Meet",'Mail Merge'!$N2107="Did Not Meet"),MIN(ABS('Mail Merge'!$H2107),ABS('Mail Merge'!$M2107),'Mail Merge'!$Q2107),0)</f>
        <v>0</v>
      </c>
      <c r="V2107" s="201" t="s">
        <v>241</v>
      </c>
    </row>
    <row r="2108" spans="1:22" x14ac:dyDescent="0.35">
      <c r="A2108" s="198" t="s">
        <v>158</v>
      </c>
      <c r="B2108" s="199">
        <v>2192</v>
      </c>
      <c r="C2108" s="199" t="s">
        <v>1534</v>
      </c>
      <c r="D2108" s="199">
        <v>35</v>
      </c>
      <c r="E2108" s="213">
        <v>475720.73</v>
      </c>
      <c r="F2108" s="213">
        <v>68342.2</v>
      </c>
      <c r="G2108" s="199">
        <f>'Mail Merge'!$E2108+'Mail Merge'!$F2108</f>
        <v>544062.92999999993</v>
      </c>
      <c r="H2108" s="199"/>
      <c r="I2108" s="199" t="s">
        <v>242</v>
      </c>
      <c r="J2108" s="202">
        <f>IFERROR('Mail Merge'!$E2108/'Mail Merge'!$D2108,0)</f>
        <v>13592.020857142857</v>
      </c>
      <c r="K2108" s="199">
        <f>IFERROR('Mail Merge'!$F2108/'Mail Merge'!$D2108,0)</f>
        <v>1952.6342857142856</v>
      </c>
      <c r="L2108" s="199">
        <f>IFERROR('Mail Merge'!$G2108/'Mail Merge'!$D2108,0)</f>
        <v>15544.65514285714</v>
      </c>
      <c r="M2108" s="199"/>
      <c r="N2108" s="210" t="s">
        <v>241</v>
      </c>
      <c r="O2108" s="199">
        <v>44882.2</v>
      </c>
      <c r="P2108" s="199">
        <v>1054.96</v>
      </c>
      <c r="Q2108" s="199">
        <f>'Mail Merge'!$O2108+'Mail Merge'!$P2108</f>
        <v>45937.159999999996</v>
      </c>
      <c r="R2108" s="199"/>
      <c r="S2108" s="199"/>
      <c r="T2108" s="199"/>
      <c r="U2108" s="199">
        <f>IF(AND('Mail Merge'!$I2108="Did Not Meet",'Mail Merge'!$N2108="Did Not Meet"),MIN(ABS('Mail Merge'!$H2108),ABS('Mail Merge'!$M2108),'Mail Merge'!$Q2108),0)</f>
        <v>0</v>
      </c>
      <c r="V2108" s="199" t="s">
        <v>242</v>
      </c>
    </row>
    <row r="2109" spans="1:22" x14ac:dyDescent="0.35">
      <c r="A2109" s="200" t="s">
        <v>160</v>
      </c>
      <c r="B2109" s="201">
        <v>1900</v>
      </c>
      <c r="C2109" s="201" t="s">
        <v>1534</v>
      </c>
      <c r="D2109" s="201">
        <v>149</v>
      </c>
      <c r="E2109" s="211">
        <v>2220158.4999999991</v>
      </c>
      <c r="F2109" s="211">
        <v>179979</v>
      </c>
      <c r="G2109" s="201">
        <f>'Mail Merge'!$E2109+'Mail Merge'!$F2109</f>
        <v>2400137.4999999991</v>
      </c>
      <c r="H2109" s="201"/>
      <c r="I2109" s="201" t="s">
        <v>242</v>
      </c>
      <c r="J2109" s="204">
        <f>IFERROR('Mail Merge'!$E2109/'Mail Merge'!$D2109,0)</f>
        <v>14900.392617449657</v>
      </c>
      <c r="K2109" s="201">
        <f>IFERROR('Mail Merge'!$F2109/'Mail Merge'!$D2109,0)</f>
        <v>1207.9127516778524</v>
      </c>
      <c r="L2109" s="201">
        <f>IFERROR('Mail Merge'!$G2109/'Mail Merge'!$D2109,0)</f>
        <v>16108.305369127511</v>
      </c>
      <c r="M2109" s="201"/>
      <c r="N2109" s="212" t="s">
        <v>241</v>
      </c>
      <c r="O2109" s="201">
        <v>315468.52999999997</v>
      </c>
      <c r="P2109" s="201">
        <v>13305.14</v>
      </c>
      <c r="Q2109" s="201">
        <f>'Mail Merge'!$O2109+'Mail Merge'!$P2109</f>
        <v>328773.67</v>
      </c>
      <c r="R2109" s="201"/>
      <c r="S2109" s="201"/>
      <c r="T2109" s="201"/>
      <c r="U2109" s="201">
        <f>IF(AND('Mail Merge'!$I2109="Did Not Meet",'Mail Merge'!$N2109="Did Not Meet"),MIN(ABS('Mail Merge'!$H2109),ABS('Mail Merge'!$M2109),'Mail Merge'!$Q2109),0)</f>
        <v>0</v>
      </c>
      <c r="V2109" s="201" t="s">
        <v>242</v>
      </c>
    </row>
    <row r="2110" spans="1:22" x14ac:dyDescent="0.35">
      <c r="A2110" s="198" t="s">
        <v>161</v>
      </c>
      <c r="B2110" s="199">
        <v>2039</v>
      </c>
      <c r="C2110" s="199" t="s">
        <v>1534</v>
      </c>
      <c r="D2110" s="199">
        <v>369</v>
      </c>
      <c r="E2110" s="213">
        <v>3902661.0099999988</v>
      </c>
      <c r="F2110" s="213">
        <v>416685.1</v>
      </c>
      <c r="G2110" s="199">
        <f>'Mail Merge'!$E2110+'Mail Merge'!$F2110</f>
        <v>4319346.1099999985</v>
      </c>
      <c r="H2110" s="199"/>
      <c r="I2110" s="199" t="s">
        <v>242</v>
      </c>
      <c r="J2110" s="202">
        <f>IFERROR('Mail Merge'!$E2110/'Mail Merge'!$D2110,0)</f>
        <v>10576.317100270999</v>
      </c>
      <c r="K2110" s="199">
        <f>IFERROR('Mail Merge'!$F2110/'Mail Merge'!$D2110,0)</f>
        <v>1129.2279132791327</v>
      </c>
      <c r="L2110" s="199">
        <f>IFERROR('Mail Merge'!$G2110/'Mail Merge'!$D2110,0)</f>
        <v>11705.545013550131</v>
      </c>
      <c r="M2110" s="199"/>
      <c r="N2110" s="210" t="s">
        <v>241</v>
      </c>
      <c r="O2110" s="199">
        <v>632751</v>
      </c>
      <c r="P2110" s="199">
        <v>22292.02</v>
      </c>
      <c r="Q2110" s="199">
        <f>'Mail Merge'!$O2110+'Mail Merge'!$P2110</f>
        <v>655043.02</v>
      </c>
      <c r="R2110" s="199"/>
      <c r="S2110" s="199"/>
      <c r="T2110" s="199"/>
      <c r="U2110" s="199">
        <f>IF(AND('Mail Merge'!$I2110="Did Not Meet",'Mail Merge'!$N2110="Did Not Meet"),MIN(ABS('Mail Merge'!$H2110),ABS('Mail Merge'!$M2110),'Mail Merge'!$Q2110),0)</f>
        <v>0</v>
      </c>
      <c r="V2110" s="199" t="s">
        <v>242</v>
      </c>
    </row>
    <row r="2111" spans="1:22" x14ac:dyDescent="0.35">
      <c r="A2111" s="200" t="s">
        <v>162</v>
      </c>
      <c r="B2111" s="201">
        <v>2202</v>
      </c>
      <c r="C2111" s="201" t="s">
        <v>1534</v>
      </c>
      <c r="D2111" s="201">
        <v>34</v>
      </c>
      <c r="E2111" s="211">
        <v>333045.57000000007</v>
      </c>
      <c r="F2111" s="211">
        <v>66751.28</v>
      </c>
      <c r="G2111" s="201">
        <f>'Mail Merge'!$E2111+'Mail Merge'!$F2111</f>
        <v>399796.85000000009</v>
      </c>
      <c r="H2111" s="201"/>
      <c r="I2111" s="201" t="s">
        <v>241</v>
      </c>
      <c r="J2111" s="204">
        <f>IFERROR('Mail Merge'!$E2111/'Mail Merge'!$D2111,0)</f>
        <v>9795.4579411764716</v>
      </c>
      <c r="K2111" s="201">
        <f>IFERROR('Mail Merge'!$F2111/'Mail Merge'!$D2111,0)</f>
        <v>1963.2729411764706</v>
      </c>
      <c r="L2111" s="201">
        <f>IFERROR('Mail Merge'!$G2111/'Mail Merge'!$D2111,0)</f>
        <v>11758.730882352944</v>
      </c>
      <c r="M2111" s="201"/>
      <c r="N2111" s="212" t="s">
        <v>241</v>
      </c>
      <c r="O2111" s="201">
        <v>81372.490000000005</v>
      </c>
      <c r="P2111" s="201">
        <v>1567.56</v>
      </c>
      <c r="Q2111" s="201">
        <f>'Mail Merge'!$O2111+'Mail Merge'!$P2111</f>
        <v>82940.05</v>
      </c>
      <c r="R2111" s="201"/>
      <c r="S2111" s="201"/>
      <c r="T2111" s="201"/>
      <c r="U2111" s="201">
        <f>IF(AND('Mail Merge'!$I2111="Did Not Meet",'Mail Merge'!$N2111="Did Not Meet"),MIN(ABS('Mail Merge'!$H2111),ABS('Mail Merge'!$M2111),'Mail Merge'!$Q2111),0)</f>
        <v>0</v>
      </c>
      <c r="V2111" s="201" t="s">
        <v>241</v>
      </c>
    </row>
    <row r="2112" spans="1:22" x14ac:dyDescent="0.35">
      <c r="A2112" s="198" t="s">
        <v>163</v>
      </c>
      <c r="B2112" s="199">
        <v>2016</v>
      </c>
      <c r="C2112" s="199" t="s">
        <v>1534</v>
      </c>
      <c r="D2112" s="199">
        <v>0</v>
      </c>
      <c r="E2112" s="199">
        <v>0</v>
      </c>
      <c r="F2112" s="213">
        <v>17096.25</v>
      </c>
      <c r="G2112" s="199">
        <f>'Mail Merge'!$E2112+'Mail Merge'!$F2112</f>
        <v>17096.25</v>
      </c>
      <c r="H2112" s="199"/>
      <c r="I2112" s="199" t="s">
        <v>241</v>
      </c>
      <c r="J2112" s="202">
        <f>IFERROR('Mail Merge'!$E2112/'Mail Merge'!$D2112,0)</f>
        <v>0</v>
      </c>
      <c r="K2112" s="199">
        <f>IFERROR('Mail Merge'!$F2112/'Mail Merge'!$D2112,0)</f>
        <v>0</v>
      </c>
      <c r="L2112" s="199">
        <f>IFERROR('Mail Merge'!$G2112/'Mail Merge'!$D2112,0)</f>
        <v>0</v>
      </c>
      <c r="M2112" s="199"/>
      <c r="N2112" s="210" t="s">
        <v>241</v>
      </c>
      <c r="O2112" s="199">
        <v>0</v>
      </c>
      <c r="P2112" s="199">
        <v>0</v>
      </c>
      <c r="Q2112" s="199">
        <f>'Mail Merge'!$O2112+'Mail Merge'!$P2112</f>
        <v>0</v>
      </c>
      <c r="R2112" s="199"/>
      <c r="S2112" s="199"/>
      <c r="T2112" s="199"/>
      <c r="U2112" s="199">
        <f>IF(AND('Mail Merge'!$I2112="Did Not Meet",'Mail Merge'!$N2112="Did Not Meet"),MIN(ABS('Mail Merge'!$H2112),ABS('Mail Merge'!$M2112),'Mail Merge'!$Q2112),0)</f>
        <v>0</v>
      </c>
      <c r="V2112" s="199" t="s">
        <v>241</v>
      </c>
    </row>
    <row r="2113" spans="1:22" x14ac:dyDescent="0.35">
      <c r="A2113" s="200" t="s">
        <v>164</v>
      </c>
      <c r="B2113" s="201">
        <v>1897</v>
      </c>
      <c r="C2113" s="201" t="s">
        <v>1534</v>
      </c>
      <c r="D2113" s="201">
        <v>27</v>
      </c>
      <c r="E2113" s="211">
        <v>252270.99</v>
      </c>
      <c r="F2113" s="201">
        <v>0</v>
      </c>
      <c r="G2113" s="201">
        <f>'Mail Merge'!$E2113+'Mail Merge'!$F2113</f>
        <v>252270.99</v>
      </c>
      <c r="H2113" s="201"/>
      <c r="I2113" s="201" t="s">
        <v>241</v>
      </c>
      <c r="J2113" s="204">
        <f>IFERROR('Mail Merge'!$E2113/'Mail Merge'!$D2113,0)</f>
        <v>9343.369999999999</v>
      </c>
      <c r="K2113" s="201">
        <f>IFERROR('Mail Merge'!$F2113/'Mail Merge'!$D2113,0)</f>
        <v>0</v>
      </c>
      <c r="L2113" s="201">
        <f>IFERROR('Mail Merge'!$G2113/'Mail Merge'!$D2113,0)</f>
        <v>9343.369999999999</v>
      </c>
      <c r="M2113" s="201"/>
      <c r="N2113" s="212" t="s">
        <v>241</v>
      </c>
      <c r="O2113" s="201">
        <v>44148.649999999994</v>
      </c>
      <c r="P2113" s="201">
        <v>204.67</v>
      </c>
      <c r="Q2113" s="201">
        <f>'Mail Merge'!$O2113+'Mail Merge'!$P2113</f>
        <v>44353.319999999992</v>
      </c>
      <c r="R2113" s="201"/>
      <c r="S2113" s="201"/>
      <c r="T2113" s="201"/>
      <c r="U2113" s="201">
        <f>IF(AND('Mail Merge'!$I2113="Did Not Meet",'Mail Merge'!$N2113="Did Not Meet"),MIN(ABS('Mail Merge'!$H2113),ABS('Mail Merge'!$M2113),'Mail Merge'!$Q2113),0)</f>
        <v>0</v>
      </c>
      <c r="V2113" s="201" t="s">
        <v>241</v>
      </c>
    </row>
    <row r="2114" spans="1:22" x14ac:dyDescent="0.35">
      <c r="A2114" s="198" t="s">
        <v>165</v>
      </c>
      <c r="B2114" s="199">
        <v>2047</v>
      </c>
      <c r="C2114" s="199" t="s">
        <v>1534</v>
      </c>
      <c r="D2114" s="199">
        <v>6</v>
      </c>
      <c r="E2114" s="213">
        <v>13806</v>
      </c>
      <c r="F2114" s="213">
        <v>10098.870000000001</v>
      </c>
      <c r="G2114" s="199">
        <f>'Mail Merge'!$E2114+'Mail Merge'!$F2114</f>
        <v>23904.870000000003</v>
      </c>
      <c r="H2114" s="199"/>
      <c r="I2114" s="199" t="s">
        <v>241</v>
      </c>
      <c r="J2114" s="202">
        <f>IFERROR('Mail Merge'!$E2114/'Mail Merge'!$D2114,0)</f>
        <v>2301</v>
      </c>
      <c r="K2114" s="199">
        <f>IFERROR('Mail Merge'!$F2114/'Mail Merge'!$D2114,0)</f>
        <v>1683.1450000000002</v>
      </c>
      <c r="L2114" s="199">
        <f>IFERROR('Mail Merge'!$G2114/'Mail Merge'!$D2114,0)</f>
        <v>3984.1450000000004</v>
      </c>
      <c r="M2114" s="199"/>
      <c r="N2114" s="210" t="s">
        <v>242</v>
      </c>
      <c r="O2114" s="199">
        <v>6969.85</v>
      </c>
      <c r="P2114" s="199">
        <v>1023.1</v>
      </c>
      <c r="Q2114" s="199">
        <f>'Mail Merge'!$O2114+'Mail Merge'!$P2114</f>
        <v>7992.9500000000007</v>
      </c>
      <c r="R2114" s="199"/>
      <c r="S2114" s="199"/>
      <c r="T2114" s="199"/>
      <c r="U2114" s="199">
        <f>IF(AND('Mail Merge'!$I2114="Did Not Meet",'Mail Merge'!$N2114="Did Not Meet"),MIN(ABS('Mail Merge'!$H2114),ABS('Mail Merge'!$M2114),'Mail Merge'!$Q2114),0)</f>
        <v>0</v>
      </c>
      <c r="V2114" s="199" t="s">
        <v>241</v>
      </c>
    </row>
    <row r="2115" spans="1:22" x14ac:dyDescent="0.35">
      <c r="A2115" s="200" t="s">
        <v>166</v>
      </c>
      <c r="B2115" s="201">
        <v>2081</v>
      </c>
      <c r="C2115" s="201" t="s">
        <v>1534</v>
      </c>
      <c r="D2115" s="201">
        <v>155</v>
      </c>
      <c r="E2115" s="211">
        <v>1412536.3399999999</v>
      </c>
      <c r="F2115" s="211">
        <v>222620</v>
      </c>
      <c r="G2115" s="201">
        <f>'Mail Merge'!$E2115+'Mail Merge'!$F2115</f>
        <v>1635156.3399999999</v>
      </c>
      <c r="H2115" s="201"/>
      <c r="I2115" s="201" t="s">
        <v>2139</v>
      </c>
      <c r="J2115" s="204">
        <f>IFERROR('Mail Merge'!$E2115/'Mail Merge'!$D2115,0)</f>
        <v>9113.1376774193541</v>
      </c>
      <c r="K2115" s="201">
        <f>IFERROR('Mail Merge'!$F2115/'Mail Merge'!$D2115,0)</f>
        <v>1436.258064516129</v>
      </c>
      <c r="L2115" s="201">
        <f>IFERROR('Mail Merge'!$G2115/'Mail Merge'!$D2115,0)</f>
        <v>10549.395741935483</v>
      </c>
      <c r="M2115" s="201"/>
      <c r="N2115" s="212" t="s">
        <v>241</v>
      </c>
      <c r="O2115" s="201">
        <v>232434.34</v>
      </c>
      <c r="P2115" s="201">
        <v>3305.48</v>
      </c>
      <c r="Q2115" s="201">
        <f>'Mail Merge'!$O2115+'Mail Merge'!$P2115</f>
        <v>235739.82</v>
      </c>
      <c r="R2115" s="201"/>
      <c r="S2115" s="201"/>
      <c r="T2115" s="201"/>
      <c r="U2115" s="201">
        <f>IF(AND('Mail Merge'!$I2115="Did Not Meet",'Mail Merge'!$N2115="Did Not Meet"),MIN(ABS('Mail Merge'!$H2115),ABS('Mail Merge'!$M2115),'Mail Merge'!$Q2115),0)</f>
        <v>0</v>
      </c>
      <c r="V2115" s="201" t="s">
        <v>2139</v>
      </c>
    </row>
    <row r="2116" spans="1:22" x14ac:dyDescent="0.35">
      <c r="A2116" s="198" t="s">
        <v>167</v>
      </c>
      <c r="B2116" s="199">
        <v>2062</v>
      </c>
      <c r="C2116" s="199" t="s">
        <v>1534</v>
      </c>
      <c r="D2116" s="199">
        <v>4</v>
      </c>
      <c r="E2116" s="199">
        <v>0</v>
      </c>
      <c r="F2116" s="213">
        <v>30885.46</v>
      </c>
      <c r="G2116" s="199">
        <f>'Mail Merge'!$E2116+'Mail Merge'!$F2116</f>
        <v>30885.46</v>
      </c>
      <c r="H2116" s="199"/>
      <c r="I2116" s="199" t="s">
        <v>241</v>
      </c>
      <c r="J2116" s="202">
        <f>IFERROR('Mail Merge'!$E2116/'Mail Merge'!$D2116,0)</f>
        <v>0</v>
      </c>
      <c r="K2116" s="199">
        <f>IFERROR('Mail Merge'!$F2116/'Mail Merge'!$D2116,0)</f>
        <v>7721.3649999999998</v>
      </c>
      <c r="L2116" s="199">
        <f>IFERROR('Mail Merge'!$G2116/'Mail Merge'!$D2116,0)</f>
        <v>7721.3649999999998</v>
      </c>
      <c r="M2116" s="199"/>
      <c r="N2116" s="210" t="s">
        <v>241</v>
      </c>
      <c r="O2116" s="199">
        <v>3523.14</v>
      </c>
      <c r="P2116" s="199">
        <v>0</v>
      </c>
      <c r="Q2116" s="199">
        <f>'Mail Merge'!$O2116+'Mail Merge'!$P2116</f>
        <v>3523.14</v>
      </c>
      <c r="R2116" s="199"/>
      <c r="S2116" s="199"/>
      <c r="T2116" s="199"/>
      <c r="U2116" s="199">
        <f>IF(AND('Mail Merge'!$I2116="Did Not Meet",'Mail Merge'!$N2116="Did Not Meet"),MIN(ABS('Mail Merge'!$H2116),ABS('Mail Merge'!$M2116),'Mail Merge'!$Q2116),0)</f>
        <v>0</v>
      </c>
      <c r="V2116" s="199" t="s">
        <v>241</v>
      </c>
    </row>
    <row r="2117" spans="1:22" x14ac:dyDescent="0.35">
      <c r="A2117" s="200" t="s">
        <v>168</v>
      </c>
      <c r="B2117" s="201">
        <v>1973</v>
      </c>
      <c r="C2117" s="201" t="s">
        <v>1534</v>
      </c>
      <c r="D2117" s="201">
        <v>21</v>
      </c>
      <c r="E2117" s="211">
        <v>182820.76</v>
      </c>
      <c r="F2117" s="211">
        <v>135496.74</v>
      </c>
      <c r="G2117" s="201">
        <f>'Mail Merge'!$E2117+'Mail Merge'!$F2117</f>
        <v>318317.5</v>
      </c>
      <c r="H2117" s="201"/>
      <c r="I2117" s="201" t="s">
        <v>241</v>
      </c>
      <c r="J2117" s="204">
        <f>IFERROR('Mail Merge'!$E2117/'Mail Merge'!$D2117,0)</f>
        <v>8705.7504761904765</v>
      </c>
      <c r="K2117" s="201">
        <f>IFERROR('Mail Merge'!$F2117/'Mail Merge'!$D2117,0)</f>
        <v>6452.2257142857143</v>
      </c>
      <c r="L2117" s="201">
        <f>IFERROR('Mail Merge'!$G2117/'Mail Merge'!$D2117,0)</f>
        <v>15157.976190476191</v>
      </c>
      <c r="M2117" s="201"/>
      <c r="N2117" s="212" t="s">
        <v>241</v>
      </c>
      <c r="O2117" s="201">
        <v>78150.899999999994</v>
      </c>
      <c r="P2117" s="201">
        <v>2543.6099999999997</v>
      </c>
      <c r="Q2117" s="201">
        <f>'Mail Merge'!$O2117+'Mail Merge'!$P2117</f>
        <v>80694.509999999995</v>
      </c>
      <c r="R2117" s="201"/>
      <c r="S2117" s="201"/>
      <c r="T2117" s="201"/>
      <c r="U2117" s="201">
        <f>IF(AND('Mail Merge'!$I2117="Did Not Meet",'Mail Merge'!$N2117="Did Not Meet"),MIN(ABS('Mail Merge'!$H2117),ABS('Mail Merge'!$M2117),'Mail Merge'!$Q2117),0)</f>
        <v>0</v>
      </c>
      <c r="V2117" s="201" t="s">
        <v>241</v>
      </c>
    </row>
    <row r="2118" spans="1:22" x14ac:dyDescent="0.35">
      <c r="A2118" s="198" t="s">
        <v>169</v>
      </c>
      <c r="B2118" s="199">
        <v>2180</v>
      </c>
      <c r="C2118" s="199" t="s">
        <v>1534</v>
      </c>
      <c r="D2118" s="199">
        <v>7004</v>
      </c>
      <c r="E2118" s="213">
        <v>105415082.29999994</v>
      </c>
      <c r="F2118" s="213">
        <v>3420079.63</v>
      </c>
      <c r="G2118" s="199">
        <f>'Mail Merge'!$E2118+'Mail Merge'!$F2118</f>
        <v>108835161.92999993</v>
      </c>
      <c r="H2118" s="199"/>
      <c r="I2118" s="199" t="s">
        <v>241</v>
      </c>
      <c r="J2118" s="202">
        <f>IFERROR('Mail Merge'!$E2118/'Mail Merge'!$D2118,0)</f>
        <v>15050.697073101077</v>
      </c>
      <c r="K2118" s="199">
        <f>IFERROR('Mail Merge'!$F2118/'Mail Merge'!$D2118,0)</f>
        <v>488.30377355796685</v>
      </c>
      <c r="L2118" s="199">
        <f>IFERROR('Mail Merge'!$G2118/'Mail Merge'!$D2118,0)</f>
        <v>15539.000846659043</v>
      </c>
      <c r="M2118" s="199"/>
      <c r="N2118" s="210" t="s">
        <v>241</v>
      </c>
      <c r="O2118" s="199">
        <v>10640548.979999997</v>
      </c>
      <c r="P2118" s="199">
        <v>347406.25</v>
      </c>
      <c r="Q2118" s="199">
        <f>'Mail Merge'!$O2118+'Mail Merge'!$P2118</f>
        <v>10987955.229999997</v>
      </c>
      <c r="R2118" s="199"/>
      <c r="S2118" s="199"/>
      <c r="T2118" s="199"/>
      <c r="U2118" s="199">
        <f>IF(AND('Mail Merge'!$I2118="Did Not Meet",'Mail Merge'!$N2118="Did Not Meet"),MIN(ABS('Mail Merge'!$H2118),ABS('Mail Merge'!$M2118),'Mail Merge'!$Q2118),0)</f>
        <v>0</v>
      </c>
      <c r="V2118" s="199" t="s">
        <v>241</v>
      </c>
    </row>
    <row r="2119" spans="1:22" x14ac:dyDescent="0.35">
      <c r="A2119" s="200" t="s">
        <v>170</v>
      </c>
      <c r="B2119" s="201">
        <v>1967</v>
      </c>
      <c r="C2119" s="201" t="s">
        <v>1534</v>
      </c>
      <c r="D2119" s="201">
        <v>21</v>
      </c>
      <c r="E2119" s="211">
        <v>66329.81</v>
      </c>
      <c r="F2119" s="211">
        <v>35611.4</v>
      </c>
      <c r="G2119" s="201">
        <f>'Mail Merge'!$E2119+'Mail Merge'!$F2119</f>
        <v>101941.20999999999</v>
      </c>
      <c r="H2119" s="201"/>
      <c r="I2119" s="201" t="s">
        <v>241</v>
      </c>
      <c r="J2119" s="204">
        <f>IFERROR('Mail Merge'!$E2119/'Mail Merge'!$D2119,0)</f>
        <v>3158.5623809523809</v>
      </c>
      <c r="K2119" s="201">
        <f>IFERROR('Mail Merge'!$F2119/'Mail Merge'!$D2119,0)</f>
        <v>1695.7809523809524</v>
      </c>
      <c r="L2119" s="201">
        <f>IFERROR('Mail Merge'!$G2119/'Mail Merge'!$D2119,0)</f>
        <v>4854.3433333333332</v>
      </c>
      <c r="M2119" s="201"/>
      <c r="N2119" s="212" t="s">
        <v>241</v>
      </c>
      <c r="O2119" s="201">
        <v>27827.1</v>
      </c>
      <c r="P2119" s="201">
        <v>183.28</v>
      </c>
      <c r="Q2119" s="201">
        <f>'Mail Merge'!$O2119+'Mail Merge'!$P2119</f>
        <v>28010.379999999997</v>
      </c>
      <c r="R2119" s="201"/>
      <c r="S2119" s="201"/>
      <c r="T2119" s="201"/>
      <c r="U2119" s="201">
        <f>IF(AND('Mail Merge'!$I2119="Did Not Meet",'Mail Merge'!$N2119="Did Not Meet"),MIN(ABS('Mail Merge'!$H2119),ABS('Mail Merge'!$M2119),'Mail Merge'!$Q2119),0)</f>
        <v>0</v>
      </c>
      <c r="V2119" s="201" t="s">
        <v>241</v>
      </c>
    </row>
    <row r="2120" spans="1:22" x14ac:dyDescent="0.35">
      <c r="A2120" s="198" t="s">
        <v>171</v>
      </c>
      <c r="B2120" s="199">
        <v>2009</v>
      </c>
      <c r="C2120" s="199" t="s">
        <v>1534</v>
      </c>
      <c r="D2120" s="199">
        <v>31</v>
      </c>
      <c r="E2120" s="213">
        <v>164810.21</v>
      </c>
      <c r="F2120" s="213">
        <v>74188.239999999991</v>
      </c>
      <c r="G2120" s="199">
        <f>'Mail Merge'!$E2120+'Mail Merge'!$F2120</f>
        <v>238998.44999999998</v>
      </c>
      <c r="H2120" s="199"/>
      <c r="I2120" s="199" t="s">
        <v>242</v>
      </c>
      <c r="J2120" s="202">
        <f>IFERROR('Mail Merge'!$E2120/'Mail Merge'!$D2120,0)</f>
        <v>5316.4583870967735</v>
      </c>
      <c r="K2120" s="199">
        <f>IFERROR('Mail Merge'!$F2120/'Mail Merge'!$D2120,0)</f>
        <v>2393.1690322580644</v>
      </c>
      <c r="L2120" s="199">
        <f>IFERROR('Mail Merge'!$G2120/'Mail Merge'!$D2120,0)</f>
        <v>7709.6274193548379</v>
      </c>
      <c r="M2120" s="199"/>
      <c r="N2120" s="210" t="s">
        <v>2140</v>
      </c>
      <c r="O2120" s="199">
        <v>35899.189999999995</v>
      </c>
      <c r="P2120" s="199">
        <v>2022.19</v>
      </c>
      <c r="Q2120" s="199">
        <f>'Mail Merge'!$O2120+'Mail Merge'!$P2120</f>
        <v>37921.379999999997</v>
      </c>
      <c r="R2120" s="199"/>
      <c r="S2120" s="199"/>
      <c r="T2120" s="199"/>
      <c r="U2120" s="199">
        <f>IF(AND('Mail Merge'!$I2120="Did Not Meet",'Mail Merge'!$N2120="Did Not Meet"),MIN(ABS('Mail Merge'!$H2120),ABS('Mail Merge'!$M2120),'Mail Merge'!$Q2120),0)</f>
        <v>0</v>
      </c>
      <c r="V2120" s="199" t="s">
        <v>242</v>
      </c>
    </row>
    <row r="2121" spans="1:22" x14ac:dyDescent="0.35">
      <c r="A2121" s="200" t="s">
        <v>172</v>
      </c>
      <c r="B2121" s="201">
        <v>2045</v>
      </c>
      <c r="C2121" s="201" t="s">
        <v>1534</v>
      </c>
      <c r="D2121" s="201">
        <v>29</v>
      </c>
      <c r="E2121" s="211">
        <v>170609.75999999998</v>
      </c>
      <c r="F2121" s="211">
        <v>88642.639999999985</v>
      </c>
      <c r="G2121" s="201">
        <f>'Mail Merge'!$E2121+'Mail Merge'!$F2121</f>
        <v>259252.39999999997</v>
      </c>
      <c r="H2121" s="201"/>
      <c r="I2121" s="201" t="s">
        <v>242</v>
      </c>
      <c r="J2121" s="204">
        <f>IFERROR('Mail Merge'!$E2121/'Mail Merge'!$D2121,0)</f>
        <v>5883.0951724137922</v>
      </c>
      <c r="K2121" s="201">
        <f>IFERROR('Mail Merge'!$F2121/'Mail Merge'!$D2121,0)</f>
        <v>3056.6427586206892</v>
      </c>
      <c r="L2121" s="201">
        <f>IFERROR('Mail Merge'!$G2121/'Mail Merge'!$D2121,0)</f>
        <v>8939.7379310344822</v>
      </c>
      <c r="M2121" s="201"/>
      <c r="N2121" s="212" t="s">
        <v>242</v>
      </c>
      <c r="O2121" s="201">
        <v>38489.61</v>
      </c>
      <c r="P2121" s="201">
        <v>1087.26</v>
      </c>
      <c r="Q2121" s="201">
        <f>'Mail Merge'!$O2121+'Mail Merge'!$P2121</f>
        <v>39576.870000000003</v>
      </c>
      <c r="R2121" s="201"/>
      <c r="S2121" s="201"/>
      <c r="T2121" s="201"/>
      <c r="U2121" s="201">
        <f>IF(AND('Mail Merge'!$I2121="Did Not Meet",'Mail Merge'!$N2121="Did Not Meet"),MIN(ABS('Mail Merge'!$H2121),ABS('Mail Merge'!$M2121),'Mail Merge'!$Q2121),0)</f>
        <v>0</v>
      </c>
      <c r="V2121" s="201" t="s">
        <v>242</v>
      </c>
    </row>
    <row r="2122" spans="1:22" x14ac:dyDescent="0.35">
      <c r="A2122" s="198" t="s">
        <v>173</v>
      </c>
      <c r="B2122" s="199">
        <v>1946</v>
      </c>
      <c r="C2122" s="199" t="s">
        <v>1534</v>
      </c>
      <c r="D2122" s="199">
        <v>143</v>
      </c>
      <c r="E2122" s="213">
        <v>1601449.2299999997</v>
      </c>
      <c r="F2122" s="213">
        <v>136644</v>
      </c>
      <c r="G2122" s="199">
        <f>'Mail Merge'!$E2122+'Mail Merge'!$F2122</f>
        <v>1738093.2299999997</v>
      </c>
      <c r="H2122" s="199"/>
      <c r="I2122" s="199" t="s">
        <v>241</v>
      </c>
      <c r="J2122" s="202">
        <f>IFERROR('Mail Merge'!$E2122/'Mail Merge'!$D2122,0)</f>
        <v>11198.945664335663</v>
      </c>
      <c r="K2122" s="199">
        <f>IFERROR('Mail Merge'!$F2122/'Mail Merge'!$D2122,0)</f>
        <v>955.55244755244757</v>
      </c>
      <c r="L2122" s="199">
        <f>IFERROR('Mail Merge'!$G2122/'Mail Merge'!$D2122,0)</f>
        <v>12154.49811188811</v>
      </c>
      <c r="M2122" s="199"/>
      <c r="N2122" s="210" t="s">
        <v>241</v>
      </c>
      <c r="O2122" s="199">
        <v>223377.47000000003</v>
      </c>
      <c r="P2122" s="199">
        <v>5216.91</v>
      </c>
      <c r="Q2122" s="199">
        <f>'Mail Merge'!$O2122+'Mail Merge'!$P2122</f>
        <v>228594.38000000003</v>
      </c>
      <c r="R2122" s="199"/>
      <c r="S2122" s="199"/>
      <c r="T2122" s="199"/>
      <c r="U2122" s="199">
        <f>IF(AND('Mail Merge'!$I2122="Did Not Meet",'Mail Merge'!$N2122="Did Not Meet"),MIN(ABS('Mail Merge'!$H2122),ABS('Mail Merge'!$M2122),'Mail Merge'!$Q2122),0)</f>
        <v>0</v>
      </c>
      <c r="V2122" s="199" t="s">
        <v>241</v>
      </c>
    </row>
    <row r="2123" spans="1:22" x14ac:dyDescent="0.35">
      <c r="A2123" s="200" t="s">
        <v>174</v>
      </c>
      <c r="B2123" s="201">
        <v>1977</v>
      </c>
      <c r="C2123" s="201" t="s">
        <v>1534</v>
      </c>
      <c r="D2123" s="201">
        <v>897</v>
      </c>
      <c r="E2123" s="211">
        <v>11162510.069999991</v>
      </c>
      <c r="F2123" s="211">
        <v>1288446.8899999999</v>
      </c>
      <c r="G2123" s="201">
        <f>'Mail Merge'!$E2123+'Mail Merge'!$F2123</f>
        <v>12450956.959999992</v>
      </c>
      <c r="H2123" s="201"/>
      <c r="I2123" s="201" t="s">
        <v>2140</v>
      </c>
      <c r="J2123" s="204">
        <f>IFERROR('Mail Merge'!$E2123/'Mail Merge'!$D2123,0)</f>
        <v>12444.269866220726</v>
      </c>
      <c r="K2123" s="201">
        <f>IFERROR('Mail Merge'!$F2123/'Mail Merge'!$D2123,0)</f>
        <v>1436.395641025641</v>
      </c>
      <c r="L2123" s="201">
        <f>IFERROR('Mail Merge'!$G2123/'Mail Merge'!$D2123,0)</f>
        <v>13880.665507246367</v>
      </c>
      <c r="M2123" s="201"/>
      <c r="N2123" s="212" t="s">
        <v>2140</v>
      </c>
      <c r="O2123" s="201">
        <v>1346516.8699999999</v>
      </c>
      <c r="P2123" s="201">
        <v>22528.3</v>
      </c>
      <c r="Q2123" s="201">
        <f>'Mail Merge'!$O2123+'Mail Merge'!$P2123</f>
        <v>1369045.17</v>
      </c>
      <c r="R2123" s="201"/>
      <c r="S2123" s="201"/>
      <c r="T2123" s="201"/>
      <c r="U2123" s="201">
        <f>IF(AND('Mail Merge'!$I2123="Did Not Meet",'Mail Merge'!$N2123="Did Not Meet"),MIN(ABS('Mail Merge'!$H2123),ABS('Mail Merge'!$M2123),'Mail Merge'!$Q2123),0)</f>
        <v>0</v>
      </c>
      <c r="V2123" s="201" t="s">
        <v>2138</v>
      </c>
    </row>
    <row r="2124" spans="1:22" x14ac:dyDescent="0.35">
      <c r="A2124" s="198" t="s">
        <v>175</v>
      </c>
      <c r="B2124" s="199">
        <v>2001</v>
      </c>
      <c r="C2124" s="199" t="s">
        <v>1534</v>
      </c>
      <c r="D2124" s="199">
        <v>103</v>
      </c>
      <c r="E2124" s="213">
        <v>1641713.1800000002</v>
      </c>
      <c r="F2124" s="213">
        <v>216710.56</v>
      </c>
      <c r="G2124" s="199">
        <f>'Mail Merge'!$E2124+'Mail Merge'!$F2124</f>
        <v>1858423.7400000002</v>
      </c>
      <c r="H2124" s="199"/>
      <c r="I2124" s="199" t="s">
        <v>242</v>
      </c>
      <c r="J2124" s="202">
        <f>IFERROR('Mail Merge'!$E2124/'Mail Merge'!$D2124,0)</f>
        <v>15938.96291262136</v>
      </c>
      <c r="K2124" s="199">
        <f>IFERROR('Mail Merge'!$F2124/'Mail Merge'!$D2124,0)</f>
        <v>2103.9860194174757</v>
      </c>
      <c r="L2124" s="199">
        <f>IFERROR('Mail Merge'!$G2124/'Mail Merge'!$D2124,0)</f>
        <v>18042.948932038838</v>
      </c>
      <c r="M2124" s="199"/>
      <c r="N2124" s="210" t="s">
        <v>241</v>
      </c>
      <c r="O2124" s="199">
        <v>171781.86</v>
      </c>
      <c r="P2124" s="199">
        <v>7337.83</v>
      </c>
      <c r="Q2124" s="199">
        <f>'Mail Merge'!$O2124+'Mail Merge'!$P2124</f>
        <v>179119.68999999997</v>
      </c>
      <c r="R2124" s="199"/>
      <c r="S2124" s="199"/>
      <c r="T2124" s="199"/>
      <c r="U2124" s="199">
        <f>IF(AND('Mail Merge'!$I2124="Did Not Meet",'Mail Merge'!$N2124="Did Not Meet"),MIN(ABS('Mail Merge'!$H2124),ABS('Mail Merge'!$M2124),'Mail Merge'!$Q2124),0)</f>
        <v>0</v>
      </c>
      <c r="V2124" s="199" t="s">
        <v>242</v>
      </c>
    </row>
    <row r="2125" spans="1:22" x14ac:dyDescent="0.35">
      <c r="A2125" s="200" t="s">
        <v>176</v>
      </c>
      <c r="B2125" s="201">
        <v>2182</v>
      </c>
      <c r="C2125" s="201" t="s">
        <v>1534</v>
      </c>
      <c r="D2125" s="201">
        <v>1579</v>
      </c>
      <c r="E2125" s="211">
        <v>21590093.610000007</v>
      </c>
      <c r="F2125" s="211">
        <v>2518733.0099999998</v>
      </c>
      <c r="G2125" s="201">
        <f>'Mail Merge'!$E2125+'Mail Merge'!$F2125</f>
        <v>24108826.620000005</v>
      </c>
      <c r="H2125" s="201"/>
      <c r="I2125" s="201" t="s">
        <v>241</v>
      </c>
      <c r="J2125" s="204">
        <f>IFERROR('Mail Merge'!$E2125/'Mail Merge'!$D2125,0)</f>
        <v>13673.270177327428</v>
      </c>
      <c r="K2125" s="201">
        <f>IFERROR('Mail Merge'!$F2125/'Mail Merge'!$D2125,0)</f>
        <v>1595.1444015199493</v>
      </c>
      <c r="L2125" s="201">
        <f>IFERROR('Mail Merge'!$G2125/'Mail Merge'!$D2125,0)</f>
        <v>15268.414578847374</v>
      </c>
      <c r="M2125" s="201"/>
      <c r="N2125" s="212" t="s">
        <v>241</v>
      </c>
      <c r="O2125" s="201">
        <v>2186103.38</v>
      </c>
      <c r="P2125" s="201">
        <v>44838.85</v>
      </c>
      <c r="Q2125" s="201">
        <f>'Mail Merge'!$O2125+'Mail Merge'!$P2125</f>
        <v>2230942.23</v>
      </c>
      <c r="R2125" s="201"/>
      <c r="S2125" s="201"/>
      <c r="T2125" s="201"/>
      <c r="U2125" s="201">
        <f>IF(AND('Mail Merge'!$I2125="Did Not Meet",'Mail Merge'!$N2125="Did Not Meet"),MIN(ABS('Mail Merge'!$H2125),ABS('Mail Merge'!$M2125),'Mail Merge'!$Q2125),0)</f>
        <v>0</v>
      </c>
      <c r="V2125" s="201" t="s">
        <v>241</v>
      </c>
    </row>
    <row r="2126" spans="1:22" x14ac:dyDescent="0.35">
      <c r="A2126" s="198" t="s">
        <v>177</v>
      </c>
      <c r="B2126" s="199">
        <v>1999</v>
      </c>
      <c r="C2126" s="199" t="s">
        <v>1534</v>
      </c>
      <c r="D2126" s="199">
        <v>71</v>
      </c>
      <c r="E2126" s="213">
        <v>480478.08000000007</v>
      </c>
      <c r="F2126" s="213">
        <v>141308.65</v>
      </c>
      <c r="G2126" s="199">
        <f>'Mail Merge'!$E2126+'Mail Merge'!$F2126</f>
        <v>621786.7300000001</v>
      </c>
      <c r="H2126" s="199"/>
      <c r="I2126" s="199" t="s">
        <v>241</v>
      </c>
      <c r="J2126" s="202">
        <f>IFERROR('Mail Merge'!$E2126/'Mail Merge'!$D2126,0)</f>
        <v>6767.296901408452</v>
      </c>
      <c r="K2126" s="199">
        <f>IFERROR('Mail Merge'!$F2126/'Mail Merge'!$D2126,0)</f>
        <v>1990.262676056338</v>
      </c>
      <c r="L2126" s="199">
        <f>IFERROR('Mail Merge'!$G2126/'Mail Merge'!$D2126,0)</f>
        <v>8757.55957746479</v>
      </c>
      <c r="M2126" s="199"/>
      <c r="N2126" s="210" t="s">
        <v>2140</v>
      </c>
      <c r="O2126" s="199">
        <v>90102.030000000013</v>
      </c>
      <c r="P2126" s="199">
        <v>631.34999999999991</v>
      </c>
      <c r="Q2126" s="199">
        <f>'Mail Merge'!$O2126+'Mail Merge'!$P2126</f>
        <v>90733.380000000019</v>
      </c>
      <c r="R2126" s="199"/>
      <c r="S2126" s="199"/>
      <c r="T2126" s="199"/>
      <c r="U2126" s="199">
        <f>IF(AND('Mail Merge'!$I2126="Did Not Meet",'Mail Merge'!$N2126="Did Not Meet"),MIN(ABS('Mail Merge'!$H2126),ABS('Mail Merge'!$M2126),'Mail Merge'!$Q2126),0)</f>
        <v>0</v>
      </c>
      <c r="V2126" s="199" t="s">
        <v>241</v>
      </c>
    </row>
    <row r="2127" spans="1:22" x14ac:dyDescent="0.35">
      <c r="A2127" s="200" t="s">
        <v>178</v>
      </c>
      <c r="B2127" s="201">
        <v>2188</v>
      </c>
      <c r="C2127" s="201" t="s">
        <v>1534</v>
      </c>
      <c r="D2127" s="201">
        <v>57</v>
      </c>
      <c r="E2127" s="211">
        <v>460402.98000000004</v>
      </c>
      <c r="F2127" s="211">
        <v>309729</v>
      </c>
      <c r="G2127" s="201">
        <f>'Mail Merge'!$E2127+'Mail Merge'!$F2127</f>
        <v>770131.98</v>
      </c>
      <c r="H2127" s="201"/>
      <c r="I2127" s="201" t="s">
        <v>241</v>
      </c>
      <c r="J2127" s="204">
        <f>IFERROR('Mail Merge'!$E2127/'Mail Merge'!$D2127,0)</f>
        <v>8077.2452631578954</v>
      </c>
      <c r="K2127" s="201">
        <f>IFERROR('Mail Merge'!$F2127/'Mail Merge'!$D2127,0)</f>
        <v>5433.8421052631575</v>
      </c>
      <c r="L2127" s="201">
        <f>IFERROR('Mail Merge'!$G2127/'Mail Merge'!$D2127,0)</f>
        <v>13511.087368421053</v>
      </c>
      <c r="M2127" s="201"/>
      <c r="N2127" s="212" t="s">
        <v>2140</v>
      </c>
      <c r="O2127" s="201">
        <v>88074.97</v>
      </c>
      <c r="P2127" s="201">
        <v>641.9</v>
      </c>
      <c r="Q2127" s="201">
        <f>'Mail Merge'!$O2127+'Mail Merge'!$P2127</f>
        <v>88716.87</v>
      </c>
      <c r="R2127" s="201"/>
      <c r="S2127" s="201"/>
      <c r="T2127" s="201"/>
      <c r="U2127" s="201">
        <f>IF(AND('Mail Merge'!$I2127="Did Not Meet",'Mail Merge'!$N2127="Did Not Meet"),MIN(ABS('Mail Merge'!$H2127),ABS('Mail Merge'!$M2127),'Mail Merge'!$Q2127),0)</f>
        <v>0</v>
      </c>
      <c r="V2127" s="201" t="s">
        <v>241</v>
      </c>
    </row>
    <row r="2128" spans="1:22" x14ac:dyDescent="0.35">
      <c r="A2128" s="198" t="s">
        <v>179</v>
      </c>
      <c r="B2128" s="199">
        <v>2044</v>
      </c>
      <c r="C2128" s="199" t="s">
        <v>1534</v>
      </c>
      <c r="D2128" s="199">
        <v>153</v>
      </c>
      <c r="E2128" s="213">
        <v>1214031.0399999998</v>
      </c>
      <c r="F2128" s="213">
        <v>379065.87999999995</v>
      </c>
      <c r="G2128" s="199">
        <f>'Mail Merge'!$E2128+'Mail Merge'!$F2128</f>
        <v>1593096.9199999997</v>
      </c>
      <c r="H2128" s="199"/>
      <c r="I2128" s="199" t="s">
        <v>242</v>
      </c>
      <c r="J2128" s="202">
        <f>IFERROR('Mail Merge'!$E2128/'Mail Merge'!$D2128,0)</f>
        <v>7934.8433986928094</v>
      </c>
      <c r="K2128" s="199">
        <f>IFERROR('Mail Merge'!$F2128/'Mail Merge'!$D2128,0)</f>
        <v>2477.5547712418297</v>
      </c>
      <c r="L2128" s="199">
        <f>IFERROR('Mail Merge'!$G2128/'Mail Merge'!$D2128,0)</f>
        <v>10412.398169934639</v>
      </c>
      <c r="M2128" s="199"/>
      <c r="N2128" s="210" t="s">
        <v>241</v>
      </c>
      <c r="O2128" s="199">
        <v>228060.79999999999</v>
      </c>
      <c r="P2128" s="199">
        <v>5061.38</v>
      </c>
      <c r="Q2128" s="199">
        <f>'Mail Merge'!$O2128+'Mail Merge'!$P2128</f>
        <v>233122.18</v>
      </c>
      <c r="R2128" s="199"/>
      <c r="S2128" s="199"/>
      <c r="T2128" s="199"/>
      <c r="U2128" s="199">
        <f>IF(AND('Mail Merge'!$I2128="Did Not Meet",'Mail Merge'!$N2128="Did Not Meet"),MIN(ABS('Mail Merge'!$H2128),ABS('Mail Merge'!$M2128),'Mail Merge'!$Q2128),0)</f>
        <v>0</v>
      </c>
      <c r="V2128" s="199" t="s">
        <v>242</v>
      </c>
    </row>
    <row r="2129" spans="1:22" x14ac:dyDescent="0.35">
      <c r="A2129" s="200" t="s">
        <v>180</v>
      </c>
      <c r="B2129" s="201">
        <v>2142</v>
      </c>
      <c r="C2129" s="201" t="s">
        <v>1534</v>
      </c>
      <c r="D2129" s="201">
        <v>6609</v>
      </c>
      <c r="E2129" s="211">
        <v>88924096.170000032</v>
      </c>
      <c r="F2129" s="201">
        <v>0</v>
      </c>
      <c r="G2129" s="201">
        <f>'Mail Merge'!$E2129+'Mail Merge'!$F2129</f>
        <v>88924096.170000032</v>
      </c>
      <c r="H2129" s="201"/>
      <c r="I2129" s="201" t="s">
        <v>241</v>
      </c>
      <c r="J2129" s="204">
        <f>IFERROR('Mail Merge'!$E2129/'Mail Merge'!$D2129,0)</f>
        <v>13455.000177031327</v>
      </c>
      <c r="K2129" s="201">
        <f>IFERROR('Mail Merge'!$F2129/'Mail Merge'!$D2129,0)</f>
        <v>0</v>
      </c>
      <c r="L2129" s="201">
        <f>IFERROR('Mail Merge'!$G2129/'Mail Merge'!$D2129,0)</f>
        <v>13455.000177031327</v>
      </c>
      <c r="M2129" s="201"/>
      <c r="N2129" s="212" t="s">
        <v>241</v>
      </c>
      <c r="O2129" s="201">
        <v>8213594.3500000015</v>
      </c>
      <c r="P2129" s="201">
        <v>153801.79999999999</v>
      </c>
      <c r="Q2129" s="201">
        <f>'Mail Merge'!$O2129+'Mail Merge'!$P2129</f>
        <v>8367396.1500000013</v>
      </c>
      <c r="R2129" s="201"/>
      <c r="S2129" s="201"/>
      <c r="T2129" s="201"/>
      <c r="U2129" s="201">
        <f>IF(AND('Mail Merge'!$I2129="Did Not Meet",'Mail Merge'!$N2129="Did Not Meet"),MIN(ABS('Mail Merge'!$H2129),ABS('Mail Merge'!$M2129),'Mail Merge'!$Q2129),0)</f>
        <v>0</v>
      </c>
      <c r="V2129" s="201" t="s">
        <v>241</v>
      </c>
    </row>
    <row r="2130" spans="1:22" x14ac:dyDescent="0.35">
      <c r="A2130" s="198" t="s">
        <v>181</v>
      </c>
      <c r="B2130" s="199">
        <v>2104</v>
      </c>
      <c r="C2130" s="199" t="s">
        <v>1534</v>
      </c>
      <c r="D2130" s="199">
        <v>741</v>
      </c>
      <c r="E2130" s="213">
        <v>5019500.5700000012</v>
      </c>
      <c r="F2130" s="213">
        <v>904965</v>
      </c>
      <c r="G2130" s="199">
        <f>'Mail Merge'!$E2130+'Mail Merge'!$F2130</f>
        <v>5924465.5700000012</v>
      </c>
      <c r="H2130" s="199"/>
      <c r="I2130" s="199" t="s">
        <v>241</v>
      </c>
      <c r="J2130" s="202">
        <f>IFERROR('Mail Merge'!$E2130/'Mail Merge'!$D2130,0)</f>
        <v>6773.9548852901498</v>
      </c>
      <c r="K2130" s="199">
        <f>IFERROR('Mail Merge'!$F2130/'Mail Merge'!$D2130,0)</f>
        <v>1221.2753036437248</v>
      </c>
      <c r="L2130" s="199">
        <f>IFERROR('Mail Merge'!$G2130/'Mail Merge'!$D2130,0)</f>
        <v>7995.2301889338751</v>
      </c>
      <c r="M2130" s="199"/>
      <c r="N2130" s="210" t="s">
        <v>2140</v>
      </c>
      <c r="O2130" s="199">
        <v>643580.76</v>
      </c>
      <c r="P2130" s="199">
        <v>3789.8500000000004</v>
      </c>
      <c r="Q2130" s="199">
        <f>'Mail Merge'!$O2130+'Mail Merge'!$P2130</f>
        <v>647370.61</v>
      </c>
      <c r="R2130" s="199"/>
      <c r="S2130" s="199"/>
      <c r="T2130" s="199"/>
      <c r="U2130" s="199">
        <f>IF(AND('Mail Merge'!$I2130="Did Not Meet",'Mail Merge'!$N2130="Did Not Meet"),MIN(ABS('Mail Merge'!$H2130),ABS('Mail Merge'!$M2130),'Mail Merge'!$Q2130),0)</f>
        <v>0</v>
      </c>
      <c r="V2130" s="199" t="s">
        <v>241</v>
      </c>
    </row>
    <row r="2131" spans="1:22" x14ac:dyDescent="0.35">
      <c r="A2131" s="200" t="s">
        <v>182</v>
      </c>
      <c r="B2131" s="201">
        <v>1944</v>
      </c>
      <c r="C2131" s="201" t="s">
        <v>1534</v>
      </c>
      <c r="D2131" s="201">
        <v>307</v>
      </c>
      <c r="E2131" s="211">
        <v>2871007.9500000007</v>
      </c>
      <c r="F2131" s="211">
        <v>901437</v>
      </c>
      <c r="G2131" s="201">
        <f>'Mail Merge'!$E2131+'Mail Merge'!$F2131</f>
        <v>3772444.9500000007</v>
      </c>
      <c r="H2131" s="201"/>
      <c r="I2131" s="201" t="s">
        <v>242</v>
      </c>
      <c r="J2131" s="204">
        <f>IFERROR('Mail Merge'!$E2131/'Mail Merge'!$D2131,0)</f>
        <v>9351.8174267101003</v>
      </c>
      <c r="K2131" s="201">
        <f>IFERROR('Mail Merge'!$F2131/'Mail Merge'!$D2131,0)</f>
        <v>2936.2768729641693</v>
      </c>
      <c r="L2131" s="201">
        <f>IFERROR('Mail Merge'!$G2131/'Mail Merge'!$D2131,0)</f>
        <v>12288.094299674269</v>
      </c>
      <c r="M2131" s="201"/>
      <c r="N2131" s="212" t="s">
        <v>242</v>
      </c>
      <c r="O2131" s="201">
        <v>440185.45999999996</v>
      </c>
      <c r="P2131" s="201">
        <v>7153.5</v>
      </c>
      <c r="Q2131" s="201">
        <f>'Mail Merge'!$O2131+'Mail Merge'!$P2131</f>
        <v>447338.95999999996</v>
      </c>
      <c r="R2131" s="201"/>
      <c r="S2131" s="201"/>
      <c r="T2131" s="201"/>
      <c r="U2131" s="201">
        <f>IF(AND('Mail Merge'!$I2131="Did Not Meet",'Mail Merge'!$N2131="Did Not Meet"),MIN(ABS('Mail Merge'!$H2131),ABS('Mail Merge'!$M2131),'Mail Merge'!$Q2131),0)</f>
        <v>0</v>
      </c>
      <c r="V2131" s="201" t="s">
        <v>242</v>
      </c>
    </row>
    <row r="2132" spans="1:22" x14ac:dyDescent="0.35">
      <c r="A2132" s="198" t="s">
        <v>183</v>
      </c>
      <c r="B2132" s="199">
        <v>2103</v>
      </c>
      <c r="C2132" s="199" t="s">
        <v>1534</v>
      </c>
      <c r="D2132" s="199">
        <v>267</v>
      </c>
      <c r="E2132" s="213">
        <v>1659072</v>
      </c>
      <c r="F2132" s="213">
        <v>292129</v>
      </c>
      <c r="G2132" s="199">
        <f>'Mail Merge'!$E2132+'Mail Merge'!$F2132</f>
        <v>1951201</v>
      </c>
      <c r="H2132" s="199"/>
      <c r="I2132" s="199" t="s">
        <v>241</v>
      </c>
      <c r="J2132" s="202">
        <f>IFERROR('Mail Merge'!$E2132/'Mail Merge'!$D2132,0)</f>
        <v>6213.7528089887637</v>
      </c>
      <c r="K2132" s="199">
        <f>IFERROR('Mail Merge'!$F2132/'Mail Merge'!$D2132,0)</f>
        <v>1094.1161048689139</v>
      </c>
      <c r="L2132" s="199">
        <f>IFERROR('Mail Merge'!$G2132/'Mail Merge'!$D2132,0)</f>
        <v>7307.8689138576783</v>
      </c>
      <c r="M2132" s="199"/>
      <c r="N2132" s="210" t="s">
        <v>241</v>
      </c>
      <c r="O2132" s="199">
        <v>146596.72</v>
      </c>
      <c r="P2132" s="199">
        <v>2195.71</v>
      </c>
      <c r="Q2132" s="199">
        <f>'Mail Merge'!$O2132+'Mail Merge'!$P2132</f>
        <v>148792.43</v>
      </c>
      <c r="R2132" s="199"/>
      <c r="S2132" s="199"/>
      <c r="T2132" s="199"/>
      <c r="U2132" s="199">
        <f>IF(AND('Mail Merge'!$I2132="Did Not Meet",'Mail Merge'!$N2132="Did Not Meet"),MIN(ABS('Mail Merge'!$H2132),ABS('Mail Merge'!$M2132),'Mail Merge'!$Q2132),0)</f>
        <v>0</v>
      </c>
      <c r="V2132" s="199" t="s">
        <v>241</v>
      </c>
    </row>
    <row r="2133" spans="1:22" x14ac:dyDescent="0.35">
      <c r="A2133" s="200" t="s">
        <v>184</v>
      </c>
      <c r="B2133" s="201">
        <v>1935</v>
      </c>
      <c r="C2133" s="201" t="s">
        <v>1534</v>
      </c>
      <c r="D2133" s="201">
        <v>234</v>
      </c>
      <c r="E2133" s="211">
        <v>2727533.25</v>
      </c>
      <c r="F2133" s="211">
        <v>506509</v>
      </c>
      <c r="G2133" s="201">
        <f>'Mail Merge'!$E2133+'Mail Merge'!$F2133</f>
        <v>3234042.25</v>
      </c>
      <c r="H2133" s="201"/>
      <c r="I2133" s="201" t="s">
        <v>241</v>
      </c>
      <c r="J2133" s="204">
        <f>IFERROR('Mail Merge'!$E2133/'Mail Merge'!$D2133,0)</f>
        <v>11656.125</v>
      </c>
      <c r="K2133" s="201">
        <f>IFERROR('Mail Merge'!$F2133/'Mail Merge'!$D2133,0)</f>
        <v>2164.568376068376</v>
      </c>
      <c r="L2133" s="201">
        <f>IFERROR('Mail Merge'!$G2133/'Mail Merge'!$D2133,0)</f>
        <v>13820.693376068377</v>
      </c>
      <c r="M2133" s="201"/>
      <c r="N2133" s="212" t="s">
        <v>241</v>
      </c>
      <c r="O2133" s="201">
        <v>340415.97000000003</v>
      </c>
      <c r="P2133" s="201">
        <v>10351.880000000001</v>
      </c>
      <c r="Q2133" s="201">
        <f>'Mail Merge'!$O2133+'Mail Merge'!$P2133</f>
        <v>350767.85000000003</v>
      </c>
      <c r="R2133" s="201"/>
      <c r="S2133" s="201"/>
      <c r="T2133" s="201"/>
      <c r="U2133" s="201">
        <f>IF(AND('Mail Merge'!$I2133="Did Not Meet",'Mail Merge'!$N2133="Did Not Meet"),MIN(ABS('Mail Merge'!$H2133),ABS('Mail Merge'!$M2133),'Mail Merge'!$Q2133),0)</f>
        <v>0</v>
      </c>
      <c r="V2133" s="201" t="s">
        <v>241</v>
      </c>
    </row>
    <row r="2134" spans="1:22" x14ac:dyDescent="0.35">
      <c r="A2134" s="198" t="s">
        <v>185</v>
      </c>
      <c r="B2134" s="199">
        <v>2257</v>
      </c>
      <c r="C2134" s="199" t="s">
        <v>1534</v>
      </c>
      <c r="D2134" s="199">
        <v>128</v>
      </c>
      <c r="E2134" s="213">
        <v>941460.19000000018</v>
      </c>
      <c r="F2134" s="213">
        <v>198087.05</v>
      </c>
      <c r="G2134" s="199">
        <f>'Mail Merge'!$E2134+'Mail Merge'!$F2134</f>
        <v>1139547.2400000002</v>
      </c>
      <c r="H2134" s="199"/>
      <c r="I2134" s="199" t="s">
        <v>241</v>
      </c>
      <c r="J2134" s="202">
        <f>IFERROR('Mail Merge'!$E2134/'Mail Merge'!$D2134,0)</f>
        <v>7355.1577343750014</v>
      </c>
      <c r="K2134" s="199">
        <f>IFERROR('Mail Merge'!$F2134/'Mail Merge'!$D2134,0)</f>
        <v>1547.5550781249999</v>
      </c>
      <c r="L2134" s="199">
        <f>IFERROR('Mail Merge'!$G2134/'Mail Merge'!$D2134,0)</f>
        <v>8902.7128125000017</v>
      </c>
      <c r="M2134" s="199"/>
      <c r="N2134" s="210" t="s">
        <v>2140</v>
      </c>
      <c r="O2134" s="199">
        <v>199973.92</v>
      </c>
      <c r="P2134" s="199">
        <v>5474.54</v>
      </c>
      <c r="Q2134" s="199">
        <f>'Mail Merge'!$O2134+'Mail Merge'!$P2134</f>
        <v>205448.46000000002</v>
      </c>
      <c r="R2134" s="199"/>
      <c r="S2134" s="199"/>
      <c r="T2134" s="199"/>
      <c r="U2134" s="199">
        <f>IF(AND('Mail Merge'!$I2134="Did Not Meet",'Mail Merge'!$N2134="Did Not Meet"),MIN(ABS('Mail Merge'!$H2134),ABS('Mail Merge'!$M2134),'Mail Merge'!$Q2134),0)</f>
        <v>0</v>
      </c>
      <c r="V2134" s="199" t="s">
        <v>241</v>
      </c>
    </row>
    <row r="2135" spans="1:22" x14ac:dyDescent="0.35">
      <c r="A2135" s="200" t="s">
        <v>186</v>
      </c>
      <c r="B2135" s="201">
        <v>2195</v>
      </c>
      <c r="C2135" s="201" t="s">
        <v>1534</v>
      </c>
      <c r="D2135" s="201">
        <v>42</v>
      </c>
      <c r="E2135" s="211">
        <v>80688.059999999983</v>
      </c>
      <c r="F2135" s="211">
        <v>218242</v>
      </c>
      <c r="G2135" s="201">
        <f>'Mail Merge'!$E2135+'Mail Merge'!$F2135</f>
        <v>298930.06</v>
      </c>
      <c r="H2135" s="201"/>
      <c r="I2135" s="201" t="s">
        <v>241</v>
      </c>
      <c r="J2135" s="204">
        <f>IFERROR('Mail Merge'!$E2135/'Mail Merge'!$D2135,0)</f>
        <v>1921.1442857142854</v>
      </c>
      <c r="K2135" s="201">
        <f>IFERROR('Mail Merge'!$F2135/'Mail Merge'!$D2135,0)</f>
        <v>5196.2380952380954</v>
      </c>
      <c r="L2135" s="201">
        <f>IFERROR('Mail Merge'!$G2135/'Mail Merge'!$D2135,0)</f>
        <v>7117.382380952381</v>
      </c>
      <c r="M2135" s="201"/>
      <c r="N2135" s="212" t="s">
        <v>2140</v>
      </c>
      <c r="O2135" s="201">
        <v>61989.710000000006</v>
      </c>
      <c r="P2135" s="201">
        <v>575.44000000000005</v>
      </c>
      <c r="Q2135" s="201">
        <f>'Mail Merge'!$O2135+'Mail Merge'!$P2135</f>
        <v>62565.150000000009</v>
      </c>
      <c r="R2135" s="201"/>
      <c r="S2135" s="201"/>
      <c r="T2135" s="201"/>
      <c r="U2135" s="201">
        <f>IF(AND('Mail Merge'!$I2135="Did Not Meet",'Mail Merge'!$N2135="Did Not Meet"),MIN(ABS('Mail Merge'!$H2135),ABS('Mail Merge'!$M2135),'Mail Merge'!$Q2135),0)</f>
        <v>0</v>
      </c>
      <c r="V2135" s="201" t="s">
        <v>241</v>
      </c>
    </row>
    <row r="2136" spans="1:22" x14ac:dyDescent="0.35">
      <c r="A2136" s="198" t="s">
        <v>187</v>
      </c>
      <c r="B2136" s="199">
        <v>2244</v>
      </c>
      <c r="C2136" s="199" t="s">
        <v>1534</v>
      </c>
      <c r="D2136" s="199">
        <v>513</v>
      </c>
      <c r="E2136" s="213">
        <v>6172288.8899999997</v>
      </c>
      <c r="F2136" s="213">
        <v>1280190</v>
      </c>
      <c r="G2136" s="199">
        <f>'Mail Merge'!$E2136+'Mail Merge'!$F2136</f>
        <v>7452478.8899999997</v>
      </c>
      <c r="H2136" s="199"/>
      <c r="I2136" s="199" t="s">
        <v>241</v>
      </c>
      <c r="J2136" s="202">
        <f>IFERROR('Mail Merge'!$E2136/'Mail Merge'!$D2136,0)</f>
        <v>12031.752222222221</v>
      </c>
      <c r="K2136" s="199">
        <f>IFERROR('Mail Merge'!$F2136/'Mail Merge'!$D2136,0)</f>
        <v>2495.4970760233919</v>
      </c>
      <c r="L2136" s="199">
        <f>IFERROR('Mail Merge'!$G2136/'Mail Merge'!$D2136,0)</f>
        <v>14527.249298245613</v>
      </c>
      <c r="M2136" s="199"/>
      <c r="N2136" s="210" t="s">
        <v>241</v>
      </c>
      <c r="O2136" s="199">
        <v>832466.29999999993</v>
      </c>
      <c r="P2136" s="199">
        <v>9492.4</v>
      </c>
      <c r="Q2136" s="199">
        <f>'Mail Merge'!$O2136+'Mail Merge'!$P2136</f>
        <v>841958.7</v>
      </c>
      <c r="R2136" s="199"/>
      <c r="S2136" s="199"/>
      <c r="T2136" s="199"/>
      <c r="U2136" s="199">
        <f>IF(AND('Mail Merge'!$I2136="Did Not Meet",'Mail Merge'!$N2136="Did Not Meet"),MIN(ABS('Mail Merge'!$H2136),ABS('Mail Merge'!$M2136),'Mail Merge'!$Q2136),0)</f>
        <v>0</v>
      </c>
      <c r="V2136" s="199" t="s">
        <v>241</v>
      </c>
    </row>
    <row r="2137" spans="1:22" x14ac:dyDescent="0.35">
      <c r="A2137" s="200" t="s">
        <v>188</v>
      </c>
      <c r="B2137" s="201">
        <v>2138</v>
      </c>
      <c r="C2137" s="201" t="s">
        <v>1534</v>
      </c>
      <c r="D2137" s="201">
        <v>474</v>
      </c>
      <c r="E2137" s="211">
        <v>6537476.0499999933</v>
      </c>
      <c r="F2137" s="211">
        <v>358075.4</v>
      </c>
      <c r="G2137" s="201">
        <f>'Mail Merge'!$E2137+'Mail Merge'!$F2137</f>
        <v>6895551.4499999937</v>
      </c>
      <c r="H2137" s="201"/>
      <c r="I2137" s="201" t="s">
        <v>241</v>
      </c>
      <c r="J2137" s="204">
        <f>IFERROR('Mail Merge'!$E2137/'Mail Merge'!$D2137,0)</f>
        <v>13792.143565400829</v>
      </c>
      <c r="K2137" s="201">
        <f>IFERROR('Mail Merge'!$F2137/'Mail Merge'!$D2137,0)</f>
        <v>755.43333333333339</v>
      </c>
      <c r="L2137" s="201">
        <f>IFERROR('Mail Merge'!$G2137/'Mail Merge'!$D2137,0)</f>
        <v>14547.576898734163</v>
      </c>
      <c r="M2137" s="201"/>
      <c r="N2137" s="212" t="s">
        <v>241</v>
      </c>
      <c r="O2137" s="201">
        <v>700839.04</v>
      </c>
      <c r="P2137" s="201">
        <v>14026.529999999999</v>
      </c>
      <c r="Q2137" s="201">
        <f>'Mail Merge'!$O2137+'Mail Merge'!$P2137</f>
        <v>714865.57000000007</v>
      </c>
      <c r="R2137" s="201"/>
      <c r="S2137" s="201"/>
      <c r="T2137" s="201"/>
      <c r="U2137" s="201">
        <f>IF(AND('Mail Merge'!$I2137="Did Not Meet",'Mail Merge'!$N2137="Did Not Meet"),MIN(ABS('Mail Merge'!$H2137),ABS('Mail Merge'!$M2137),'Mail Merge'!$Q2137),0)</f>
        <v>0</v>
      </c>
      <c r="V2137" s="201" t="s">
        <v>241</v>
      </c>
    </row>
    <row r="2138" spans="1:22" x14ac:dyDescent="0.35">
      <c r="A2138" s="198" t="s">
        <v>189</v>
      </c>
      <c r="B2138" s="199">
        <v>1978</v>
      </c>
      <c r="C2138" s="199" t="s">
        <v>1534</v>
      </c>
      <c r="D2138" s="199">
        <v>115</v>
      </c>
      <c r="E2138" s="213">
        <v>1028447.7299999999</v>
      </c>
      <c r="F2138" s="213">
        <v>158621.6</v>
      </c>
      <c r="G2138" s="199">
        <f>'Mail Merge'!$E2138+'Mail Merge'!$F2138</f>
        <v>1187069.3299999998</v>
      </c>
      <c r="H2138" s="199"/>
      <c r="I2138" s="199" t="s">
        <v>241</v>
      </c>
      <c r="J2138" s="202">
        <f>IFERROR('Mail Merge'!$E2138/'Mail Merge'!$D2138,0)</f>
        <v>8943.0237391304345</v>
      </c>
      <c r="K2138" s="199">
        <f>IFERROR('Mail Merge'!$F2138/'Mail Merge'!$D2138,0)</f>
        <v>1379.3182608695652</v>
      </c>
      <c r="L2138" s="199">
        <f>IFERROR('Mail Merge'!$G2138/'Mail Merge'!$D2138,0)</f>
        <v>10322.341999999999</v>
      </c>
      <c r="M2138" s="199"/>
      <c r="N2138" s="210" t="s">
        <v>241</v>
      </c>
      <c r="O2138" s="199">
        <v>201780.70999999996</v>
      </c>
      <c r="P2138" s="199">
        <v>2786.67</v>
      </c>
      <c r="Q2138" s="199">
        <f>'Mail Merge'!$O2138+'Mail Merge'!$P2138</f>
        <v>204567.37999999998</v>
      </c>
      <c r="R2138" s="199"/>
      <c r="S2138" s="199"/>
      <c r="T2138" s="199"/>
      <c r="U2138" s="199">
        <f>IF(AND('Mail Merge'!$I2138="Did Not Meet",'Mail Merge'!$N2138="Did Not Meet"),MIN(ABS('Mail Merge'!$H2138),ABS('Mail Merge'!$M2138),'Mail Merge'!$Q2138),0)</f>
        <v>0</v>
      </c>
      <c r="V2138" s="199" t="s">
        <v>241</v>
      </c>
    </row>
    <row r="2139" spans="1:22" x14ac:dyDescent="0.35">
      <c r="A2139" s="200" t="s">
        <v>190</v>
      </c>
      <c r="B2139" s="201">
        <v>2096</v>
      </c>
      <c r="C2139" s="201" t="s">
        <v>1534</v>
      </c>
      <c r="D2139" s="201">
        <v>187</v>
      </c>
      <c r="E2139" s="211">
        <v>1775955.0099999995</v>
      </c>
      <c r="F2139" s="211">
        <v>215842</v>
      </c>
      <c r="G2139" s="201">
        <f>'Mail Merge'!$E2139+'Mail Merge'!$F2139</f>
        <v>1991797.0099999995</v>
      </c>
      <c r="H2139" s="201"/>
      <c r="I2139" s="201" t="s">
        <v>242</v>
      </c>
      <c r="J2139" s="204">
        <f>IFERROR('Mail Merge'!$E2139/'Mail Merge'!$D2139,0)</f>
        <v>9497.085614973259</v>
      </c>
      <c r="K2139" s="201">
        <f>IFERROR('Mail Merge'!$F2139/'Mail Merge'!$D2139,0)</f>
        <v>1154.2352941176471</v>
      </c>
      <c r="L2139" s="201">
        <f>IFERROR('Mail Merge'!$G2139/'Mail Merge'!$D2139,0)</f>
        <v>10651.320909090906</v>
      </c>
      <c r="M2139" s="201"/>
      <c r="N2139" s="212" t="s">
        <v>242</v>
      </c>
      <c r="O2139" s="201">
        <v>313750.59999999998</v>
      </c>
      <c r="P2139" s="201">
        <v>11070</v>
      </c>
      <c r="Q2139" s="201">
        <f>'Mail Merge'!$O2139+'Mail Merge'!$P2139</f>
        <v>324820.59999999998</v>
      </c>
      <c r="R2139" s="201"/>
      <c r="S2139" s="201"/>
      <c r="T2139" s="201"/>
      <c r="U2139" s="201">
        <f>IF(AND('Mail Merge'!$I2139="Did Not Meet",'Mail Merge'!$N2139="Did Not Meet"),MIN(ABS('Mail Merge'!$H2139),ABS('Mail Merge'!$M2139),'Mail Merge'!$Q2139),0)</f>
        <v>0</v>
      </c>
      <c r="V2139" s="201" t="s">
        <v>242</v>
      </c>
    </row>
    <row r="2140" spans="1:22" x14ac:dyDescent="0.35">
      <c r="A2140" s="198" t="s">
        <v>191</v>
      </c>
      <c r="B2140" s="199">
        <v>2022</v>
      </c>
      <c r="C2140" s="199" t="s">
        <v>1534</v>
      </c>
      <c r="D2140" s="199">
        <v>3</v>
      </c>
      <c r="E2140" s="199">
        <v>0</v>
      </c>
      <c r="F2140" s="213">
        <v>23713.200000000001</v>
      </c>
      <c r="G2140" s="199">
        <f>'Mail Merge'!$E2140+'Mail Merge'!$F2140</f>
        <v>23713.200000000001</v>
      </c>
      <c r="H2140" s="199"/>
      <c r="I2140" s="199" t="s">
        <v>241</v>
      </c>
      <c r="J2140" s="202">
        <f>IFERROR('Mail Merge'!$E2140/'Mail Merge'!$D2140,0)</f>
        <v>0</v>
      </c>
      <c r="K2140" s="199">
        <f>IFERROR('Mail Merge'!$F2140/'Mail Merge'!$D2140,0)</f>
        <v>7904.4000000000005</v>
      </c>
      <c r="L2140" s="199">
        <f>IFERROR('Mail Merge'!$G2140/'Mail Merge'!$D2140,0)</f>
        <v>7904.4000000000005</v>
      </c>
      <c r="M2140" s="199"/>
      <c r="N2140" s="210" t="s">
        <v>241</v>
      </c>
      <c r="O2140" s="199">
        <v>0</v>
      </c>
      <c r="P2140" s="199">
        <v>0</v>
      </c>
      <c r="Q2140" s="199">
        <f>'Mail Merge'!$O2140+'Mail Merge'!$P2140</f>
        <v>0</v>
      </c>
      <c r="R2140" s="199"/>
      <c r="S2140" s="199"/>
      <c r="T2140" s="199"/>
      <c r="U2140" s="199">
        <f>IF(AND('Mail Merge'!$I2140="Did Not Meet",'Mail Merge'!$N2140="Did Not Meet"),MIN(ABS('Mail Merge'!$H2140),ABS('Mail Merge'!$M2140),'Mail Merge'!$Q2140),0)</f>
        <v>0</v>
      </c>
      <c r="V2140" s="199" t="s">
        <v>241</v>
      </c>
    </row>
    <row r="2141" spans="1:22" x14ac:dyDescent="0.35">
      <c r="A2141" s="200" t="s">
        <v>192</v>
      </c>
      <c r="B2141" s="201">
        <v>2087</v>
      </c>
      <c r="C2141" s="201" t="s">
        <v>1534</v>
      </c>
      <c r="D2141" s="201">
        <v>500</v>
      </c>
      <c r="E2141" s="211">
        <v>4723265.8</v>
      </c>
      <c r="F2141" s="211">
        <v>1079189</v>
      </c>
      <c r="G2141" s="201">
        <f>'Mail Merge'!$E2141+'Mail Merge'!$F2141</f>
        <v>5802454.7999999998</v>
      </c>
      <c r="H2141" s="201"/>
      <c r="I2141" s="201" t="s">
        <v>242</v>
      </c>
      <c r="J2141" s="204">
        <f>IFERROR('Mail Merge'!$E2141/'Mail Merge'!$D2141,0)</f>
        <v>9446.5316000000003</v>
      </c>
      <c r="K2141" s="201">
        <f>IFERROR('Mail Merge'!$F2141/'Mail Merge'!$D2141,0)</f>
        <v>2158.3780000000002</v>
      </c>
      <c r="L2141" s="201">
        <f>IFERROR('Mail Merge'!$G2141/'Mail Merge'!$D2141,0)</f>
        <v>11604.909599999999</v>
      </c>
      <c r="M2141" s="201"/>
      <c r="N2141" s="212" t="s">
        <v>242</v>
      </c>
      <c r="O2141" s="201">
        <v>642031.23</v>
      </c>
      <c r="P2141" s="201">
        <v>16688.8</v>
      </c>
      <c r="Q2141" s="201">
        <f>'Mail Merge'!$O2141+'Mail Merge'!$P2141</f>
        <v>658720.03</v>
      </c>
      <c r="R2141" s="201"/>
      <c r="S2141" s="201"/>
      <c r="T2141" s="201"/>
      <c r="U2141" s="201">
        <f>IF(AND('Mail Merge'!$I2141="Did Not Meet",'Mail Merge'!$N2141="Did Not Meet"),MIN(ABS('Mail Merge'!$H2141),ABS('Mail Merge'!$M2141),'Mail Merge'!$Q2141),0)</f>
        <v>0</v>
      </c>
      <c r="V2141" s="201" t="s">
        <v>242</v>
      </c>
    </row>
    <row r="2142" spans="1:22" x14ac:dyDescent="0.35">
      <c r="A2142" s="198" t="s">
        <v>193</v>
      </c>
      <c r="B2142" s="199">
        <v>1994</v>
      </c>
      <c r="C2142" s="199" t="s">
        <v>1534</v>
      </c>
      <c r="D2142" s="199">
        <v>252</v>
      </c>
      <c r="E2142" s="213">
        <v>1954014.19</v>
      </c>
      <c r="F2142" s="213">
        <v>376074.51</v>
      </c>
      <c r="G2142" s="199">
        <f>'Mail Merge'!$E2142+'Mail Merge'!$F2142</f>
        <v>2330088.7000000002</v>
      </c>
      <c r="H2142" s="199"/>
      <c r="I2142" s="199" t="s">
        <v>242</v>
      </c>
      <c r="J2142" s="202">
        <f>IFERROR('Mail Merge'!$E2142/'Mail Merge'!$D2142,0)</f>
        <v>7754.024563492063</v>
      </c>
      <c r="K2142" s="199">
        <f>IFERROR('Mail Merge'!$F2142/'Mail Merge'!$D2142,0)</f>
        <v>1492.3591666666666</v>
      </c>
      <c r="L2142" s="199">
        <f>IFERROR('Mail Merge'!$G2142/'Mail Merge'!$D2142,0)</f>
        <v>9246.38373015873</v>
      </c>
      <c r="M2142" s="199"/>
      <c r="N2142" s="210" t="s">
        <v>241</v>
      </c>
      <c r="O2142" s="199">
        <v>387131.87</v>
      </c>
      <c r="P2142" s="199">
        <v>10798.240000000002</v>
      </c>
      <c r="Q2142" s="199">
        <f>'Mail Merge'!$O2142+'Mail Merge'!$P2142</f>
        <v>397930.11</v>
      </c>
      <c r="R2142" s="199"/>
      <c r="S2142" s="199"/>
      <c r="T2142" s="199"/>
      <c r="U2142" s="199">
        <f>IF(AND('Mail Merge'!$I2142="Did Not Meet",'Mail Merge'!$N2142="Did Not Meet"),MIN(ABS('Mail Merge'!$H2142),ABS('Mail Merge'!$M2142),'Mail Merge'!$Q2142),0)</f>
        <v>0</v>
      </c>
      <c r="V2142" s="199" t="s">
        <v>242</v>
      </c>
    </row>
    <row r="2143" spans="1:22" x14ac:dyDescent="0.35">
      <c r="A2143" s="200" t="s">
        <v>194</v>
      </c>
      <c r="B2143" s="201">
        <v>2225</v>
      </c>
      <c r="C2143" s="201" t="s">
        <v>1534</v>
      </c>
      <c r="D2143" s="201">
        <v>38</v>
      </c>
      <c r="E2143" s="211">
        <v>232040.06999999998</v>
      </c>
      <c r="F2143" s="201">
        <v>0</v>
      </c>
      <c r="G2143" s="201">
        <f>'Mail Merge'!$E2143+'Mail Merge'!$F2143</f>
        <v>232040.06999999998</v>
      </c>
      <c r="H2143" s="201"/>
      <c r="I2143" s="201" t="s">
        <v>242</v>
      </c>
      <c r="J2143" s="204">
        <f>IFERROR('Mail Merge'!$E2143/'Mail Merge'!$D2143,0)</f>
        <v>6106.3176315789469</v>
      </c>
      <c r="K2143" s="201">
        <f>IFERROR('Mail Merge'!$F2143/'Mail Merge'!$D2143,0)</f>
        <v>0</v>
      </c>
      <c r="L2143" s="201">
        <f>IFERROR('Mail Merge'!$G2143/'Mail Merge'!$D2143,0)</f>
        <v>6106.3176315789469</v>
      </c>
      <c r="M2143" s="201"/>
      <c r="N2143" s="212" t="s">
        <v>2140</v>
      </c>
      <c r="O2143" s="201">
        <v>64248.590000000004</v>
      </c>
      <c r="P2143" s="201">
        <v>4581.4000000000005</v>
      </c>
      <c r="Q2143" s="201">
        <f>'Mail Merge'!$O2143+'Mail Merge'!$P2143</f>
        <v>68829.990000000005</v>
      </c>
      <c r="R2143" s="201"/>
      <c r="S2143" s="201"/>
      <c r="T2143" s="201"/>
      <c r="U2143" s="201">
        <f>IF(AND('Mail Merge'!$I2143="Did Not Meet",'Mail Merge'!$N2143="Did Not Meet"),MIN(ABS('Mail Merge'!$H2143),ABS('Mail Merge'!$M2143),'Mail Merge'!$Q2143),0)</f>
        <v>0</v>
      </c>
      <c r="V2143" s="201" t="s">
        <v>242</v>
      </c>
    </row>
    <row r="2144" spans="1:22" x14ac:dyDescent="0.35">
      <c r="A2144" s="198" t="s">
        <v>195</v>
      </c>
      <c r="B2144" s="199">
        <v>2247</v>
      </c>
      <c r="C2144" s="199" t="s">
        <v>1534</v>
      </c>
      <c r="D2144" s="199">
        <v>6</v>
      </c>
      <c r="E2144" s="213">
        <v>19888.77</v>
      </c>
      <c r="F2144" s="213">
        <v>49806</v>
      </c>
      <c r="G2144" s="199">
        <f>'Mail Merge'!$E2144+'Mail Merge'!$F2144</f>
        <v>69694.77</v>
      </c>
      <c r="H2144" s="199"/>
      <c r="I2144" s="199" t="s">
        <v>241</v>
      </c>
      <c r="J2144" s="202">
        <f>IFERROR('Mail Merge'!$E2144/'Mail Merge'!$D2144,0)</f>
        <v>3314.7950000000001</v>
      </c>
      <c r="K2144" s="199">
        <f>IFERROR('Mail Merge'!$F2144/'Mail Merge'!$D2144,0)</f>
        <v>8301</v>
      </c>
      <c r="L2144" s="199">
        <f>IFERROR('Mail Merge'!$G2144/'Mail Merge'!$D2144,0)</f>
        <v>11615.795</v>
      </c>
      <c r="M2144" s="199"/>
      <c r="N2144" s="210" t="s">
        <v>2140</v>
      </c>
      <c r="O2144" s="199">
        <v>11141.05</v>
      </c>
      <c r="P2144" s="199">
        <v>592.54</v>
      </c>
      <c r="Q2144" s="199">
        <f>'Mail Merge'!$O2144+'Mail Merge'!$P2144</f>
        <v>11733.59</v>
      </c>
      <c r="R2144" s="199"/>
      <c r="S2144" s="199"/>
      <c r="T2144" s="199"/>
      <c r="U2144" s="199">
        <f>IF(AND('Mail Merge'!$I2144="Did Not Meet",'Mail Merge'!$N2144="Did Not Meet"),MIN(ABS('Mail Merge'!$H2144),ABS('Mail Merge'!$M2144),'Mail Merge'!$Q2144),0)</f>
        <v>0</v>
      </c>
      <c r="V2144" s="199" t="s">
        <v>241</v>
      </c>
    </row>
    <row r="2145" spans="1:22" x14ac:dyDescent="0.35">
      <c r="A2145" s="200" t="s">
        <v>196</v>
      </c>
      <c r="B2145" s="201">
        <v>2083</v>
      </c>
      <c r="C2145" s="201" t="s">
        <v>1534</v>
      </c>
      <c r="D2145" s="201">
        <v>1630</v>
      </c>
      <c r="E2145" s="211">
        <v>19139621.330000013</v>
      </c>
      <c r="F2145" s="211">
        <v>2069326</v>
      </c>
      <c r="G2145" s="201">
        <f>'Mail Merge'!$E2145+'Mail Merge'!$F2145</f>
        <v>21208947.330000013</v>
      </c>
      <c r="H2145" s="201"/>
      <c r="I2145" s="201" t="s">
        <v>2140</v>
      </c>
      <c r="J2145" s="204">
        <f>IFERROR('Mail Merge'!$E2145/'Mail Merge'!$D2145,0)</f>
        <v>11742.098975460131</v>
      </c>
      <c r="K2145" s="201">
        <f>IFERROR('Mail Merge'!$F2145/'Mail Merge'!$D2145,0)</f>
        <v>1269.5251533742332</v>
      </c>
      <c r="L2145" s="201">
        <f>IFERROR('Mail Merge'!$G2145/'Mail Merge'!$D2145,0)</f>
        <v>13011.624128834364</v>
      </c>
      <c r="M2145" s="201"/>
      <c r="N2145" s="212" t="s">
        <v>242</v>
      </c>
      <c r="O2145" s="201">
        <v>2418334.38</v>
      </c>
      <c r="P2145" s="201">
        <v>86951.790000000008</v>
      </c>
      <c r="Q2145" s="201">
        <f>'Mail Merge'!$O2145+'Mail Merge'!$P2145</f>
        <v>2505286.17</v>
      </c>
      <c r="R2145" s="201"/>
      <c r="S2145" s="201"/>
      <c r="T2145" s="201"/>
      <c r="U2145" s="201">
        <f>IF(AND('Mail Merge'!$I2145="Did Not Meet",'Mail Merge'!$N2145="Did Not Meet"),MIN(ABS('Mail Merge'!$H2145),ABS('Mail Merge'!$M2145),'Mail Merge'!$Q2145),0)</f>
        <v>0</v>
      </c>
      <c r="V2145" s="201" t="s">
        <v>2138</v>
      </c>
    </row>
    <row r="2146" spans="1:22" x14ac:dyDescent="0.35">
      <c r="A2146" s="198" t="s">
        <v>197</v>
      </c>
      <c r="B2146" s="199">
        <v>1948</v>
      </c>
      <c r="C2146" s="199" t="s">
        <v>1534</v>
      </c>
      <c r="D2146" s="199">
        <v>431</v>
      </c>
      <c r="E2146" s="213">
        <v>4213940.57</v>
      </c>
      <c r="F2146" s="213">
        <v>961783</v>
      </c>
      <c r="G2146" s="199">
        <f>'Mail Merge'!$E2146+'Mail Merge'!$F2146</f>
        <v>5175723.57</v>
      </c>
      <c r="H2146" s="199"/>
      <c r="I2146" s="199" t="s">
        <v>242</v>
      </c>
      <c r="J2146" s="202">
        <f>IFERROR('Mail Merge'!$E2146/'Mail Merge'!$D2146,0)</f>
        <v>9777.1242923433874</v>
      </c>
      <c r="K2146" s="199">
        <f>IFERROR('Mail Merge'!$F2146/'Mail Merge'!$D2146,0)</f>
        <v>2231.5150812064967</v>
      </c>
      <c r="L2146" s="199">
        <f>IFERROR('Mail Merge'!$G2146/'Mail Merge'!$D2146,0)</f>
        <v>12008.639373549884</v>
      </c>
      <c r="M2146" s="199"/>
      <c r="N2146" s="210" t="s">
        <v>242</v>
      </c>
      <c r="O2146" s="199">
        <v>657473.19000000006</v>
      </c>
      <c r="P2146" s="199">
        <v>21999.71</v>
      </c>
      <c r="Q2146" s="199">
        <f>'Mail Merge'!$O2146+'Mail Merge'!$P2146</f>
        <v>679472.9</v>
      </c>
      <c r="R2146" s="199"/>
      <c r="S2146" s="199"/>
      <c r="T2146" s="199"/>
      <c r="U2146" s="199">
        <f>IF(AND('Mail Merge'!$I2146="Did Not Meet",'Mail Merge'!$N2146="Did Not Meet"),MIN(ABS('Mail Merge'!$H2146),ABS('Mail Merge'!$M2146),'Mail Merge'!$Q2146),0)</f>
        <v>0</v>
      </c>
      <c r="V2146" s="199" t="s">
        <v>242</v>
      </c>
    </row>
    <row r="2147" spans="1:22" x14ac:dyDescent="0.35">
      <c r="A2147" s="200" t="s">
        <v>198</v>
      </c>
      <c r="B2147" s="201">
        <v>2144</v>
      </c>
      <c r="C2147" s="201" t="s">
        <v>1534</v>
      </c>
      <c r="D2147" s="201">
        <v>14</v>
      </c>
      <c r="E2147" s="211">
        <v>229413.69</v>
      </c>
      <c r="F2147" s="211">
        <v>24489.899999999998</v>
      </c>
      <c r="G2147" s="201">
        <f>'Mail Merge'!$E2147+'Mail Merge'!$F2147</f>
        <v>253903.59</v>
      </c>
      <c r="H2147" s="201"/>
      <c r="I2147" s="201" t="s">
        <v>241</v>
      </c>
      <c r="J2147" s="204">
        <f>IFERROR('Mail Merge'!$E2147/'Mail Merge'!$D2147,0)</f>
        <v>16386.692142857144</v>
      </c>
      <c r="K2147" s="201">
        <f>IFERROR('Mail Merge'!$F2147/'Mail Merge'!$D2147,0)</f>
        <v>1749.2785714285712</v>
      </c>
      <c r="L2147" s="201">
        <f>IFERROR('Mail Merge'!$G2147/'Mail Merge'!$D2147,0)</f>
        <v>18135.970714285715</v>
      </c>
      <c r="M2147" s="201"/>
      <c r="N2147" s="212" t="s">
        <v>241</v>
      </c>
      <c r="O2147" s="201">
        <v>52410.61</v>
      </c>
      <c r="P2147" s="201">
        <v>1593.04</v>
      </c>
      <c r="Q2147" s="201">
        <f>'Mail Merge'!$O2147+'Mail Merge'!$P2147</f>
        <v>54003.65</v>
      </c>
      <c r="R2147" s="201"/>
      <c r="S2147" s="201"/>
      <c r="T2147" s="201"/>
      <c r="U2147" s="201">
        <f>IF(AND('Mail Merge'!$I2147="Did Not Meet",'Mail Merge'!$N2147="Did Not Meet"),MIN(ABS('Mail Merge'!$H2147),ABS('Mail Merge'!$M2147),'Mail Merge'!$Q2147),0)</f>
        <v>0</v>
      </c>
      <c r="V2147" s="201" t="s">
        <v>241</v>
      </c>
    </row>
    <row r="2148" spans="1:22" x14ac:dyDescent="0.35">
      <c r="A2148" s="198" t="s">
        <v>199</v>
      </c>
      <c r="B2148" s="199">
        <v>2209</v>
      </c>
      <c r="C2148" s="199" t="s">
        <v>1534</v>
      </c>
      <c r="D2148" s="199">
        <v>71</v>
      </c>
      <c r="E2148" s="213">
        <v>410376.25</v>
      </c>
      <c r="F2148" s="213">
        <v>136673.37</v>
      </c>
      <c r="G2148" s="199">
        <f>'Mail Merge'!$E2148+'Mail Merge'!$F2148</f>
        <v>547049.62</v>
      </c>
      <c r="H2148" s="199"/>
      <c r="I2148" s="199" t="s">
        <v>242</v>
      </c>
      <c r="J2148" s="202">
        <f>IFERROR('Mail Merge'!$E2148/'Mail Merge'!$D2148,0)</f>
        <v>5779.9471830985913</v>
      </c>
      <c r="K2148" s="199">
        <f>IFERROR('Mail Merge'!$F2148/'Mail Merge'!$D2148,0)</f>
        <v>1924.9770422535209</v>
      </c>
      <c r="L2148" s="199">
        <f>IFERROR('Mail Merge'!$G2148/'Mail Merge'!$D2148,0)</f>
        <v>7704.9242253521124</v>
      </c>
      <c r="M2148" s="199"/>
      <c r="N2148" s="210" t="s">
        <v>242</v>
      </c>
      <c r="O2148" s="199">
        <v>102522.98</v>
      </c>
      <c r="P2148" s="199">
        <v>3070.4</v>
      </c>
      <c r="Q2148" s="199">
        <f>'Mail Merge'!$O2148+'Mail Merge'!$P2148</f>
        <v>105593.37999999999</v>
      </c>
      <c r="R2148" s="199"/>
      <c r="S2148" s="199"/>
      <c r="T2148" s="199"/>
      <c r="U2148" s="199">
        <f>IF(AND('Mail Merge'!$I2148="Did Not Meet",'Mail Merge'!$N2148="Did Not Meet"),MIN(ABS('Mail Merge'!$H2148),ABS('Mail Merge'!$M2148),'Mail Merge'!$Q2148),0)</f>
        <v>0</v>
      </c>
      <c r="V2148" s="199" t="s">
        <v>242</v>
      </c>
    </row>
    <row r="2149" spans="1:22" x14ac:dyDescent="0.35">
      <c r="A2149" s="200" t="s">
        <v>200</v>
      </c>
      <c r="B2149" s="201">
        <v>2018</v>
      </c>
      <c r="C2149" s="201" t="s">
        <v>1534</v>
      </c>
      <c r="D2149" s="201">
        <v>1</v>
      </c>
      <c r="E2149" s="201">
        <v>0</v>
      </c>
      <c r="F2149" s="211">
        <v>16863.350000000002</v>
      </c>
      <c r="G2149" s="201">
        <f>'Mail Merge'!$E2149+'Mail Merge'!$F2149</f>
        <v>16863.350000000002</v>
      </c>
      <c r="H2149" s="201"/>
      <c r="I2149" s="201" t="s">
        <v>2140</v>
      </c>
      <c r="J2149" s="204">
        <f>IFERROR('Mail Merge'!$E2149/'Mail Merge'!$D2149,0)</f>
        <v>0</v>
      </c>
      <c r="K2149" s="201">
        <f>IFERROR('Mail Merge'!$F2149/'Mail Merge'!$D2149,0)</f>
        <v>16863.350000000002</v>
      </c>
      <c r="L2149" s="201">
        <f>IFERROR('Mail Merge'!$G2149/'Mail Merge'!$D2149,0)</f>
        <v>16863.350000000002</v>
      </c>
      <c r="M2149" s="201"/>
      <c r="N2149" s="212" t="s">
        <v>2140</v>
      </c>
      <c r="O2149" s="201">
        <v>0</v>
      </c>
      <c r="P2149" s="201">
        <v>0</v>
      </c>
      <c r="Q2149" s="201">
        <f>'Mail Merge'!$O2149+'Mail Merge'!$P2149</f>
        <v>0</v>
      </c>
      <c r="R2149" s="201"/>
      <c r="S2149" s="201"/>
      <c r="T2149" s="201"/>
      <c r="U2149" s="214">
        <v>862.23</v>
      </c>
      <c r="V2149" s="201" t="s">
        <v>2140</v>
      </c>
    </row>
    <row r="2150" spans="1:22" x14ac:dyDescent="0.35">
      <c r="A2150" s="198" t="s">
        <v>201</v>
      </c>
      <c r="B2150" s="199">
        <v>2003</v>
      </c>
      <c r="C2150" s="199" t="s">
        <v>1534</v>
      </c>
      <c r="D2150" s="199">
        <v>179</v>
      </c>
      <c r="E2150" s="213">
        <v>1264007</v>
      </c>
      <c r="F2150" s="213">
        <v>314791.50000000006</v>
      </c>
      <c r="G2150" s="199">
        <f>'Mail Merge'!$E2150+'Mail Merge'!$F2150</f>
        <v>1578798.5</v>
      </c>
      <c r="H2150" s="199"/>
      <c r="I2150" s="199" t="s">
        <v>242</v>
      </c>
      <c r="J2150" s="202">
        <f>IFERROR('Mail Merge'!$E2150/'Mail Merge'!$D2150,0)</f>
        <v>7061.4916201117321</v>
      </c>
      <c r="K2150" s="199">
        <f>IFERROR('Mail Merge'!$F2150/'Mail Merge'!$D2150,0)</f>
        <v>1758.6117318435759</v>
      </c>
      <c r="L2150" s="199">
        <f>IFERROR('Mail Merge'!$G2150/'Mail Merge'!$D2150,0)</f>
        <v>8820.1033519553075</v>
      </c>
      <c r="M2150" s="199"/>
      <c r="N2150" s="210" t="s">
        <v>241</v>
      </c>
      <c r="O2150" s="199">
        <v>285302.89</v>
      </c>
      <c r="P2150" s="199">
        <v>8375.119999999999</v>
      </c>
      <c r="Q2150" s="199">
        <f>'Mail Merge'!$O2150+'Mail Merge'!$P2150</f>
        <v>293678.01</v>
      </c>
      <c r="R2150" s="199"/>
      <c r="S2150" s="199"/>
      <c r="T2150" s="199"/>
      <c r="U2150" s="199">
        <f>IF(AND('Mail Merge'!$I2150="Did Not Meet",'Mail Merge'!$N2150="Did Not Meet"),MIN(ABS('Mail Merge'!$H2150),ABS('Mail Merge'!$M2150),'Mail Merge'!$Q2150),0)</f>
        <v>0</v>
      </c>
      <c r="V2150" s="199" t="s">
        <v>242</v>
      </c>
    </row>
    <row r="2151" spans="1:22" x14ac:dyDescent="0.35">
      <c r="A2151" s="200" t="s">
        <v>202</v>
      </c>
      <c r="B2151" s="201">
        <v>2102</v>
      </c>
      <c r="C2151" s="201" t="s">
        <v>1534</v>
      </c>
      <c r="D2151" s="201">
        <v>384</v>
      </c>
      <c r="E2151" s="211">
        <v>3104789.1900000013</v>
      </c>
      <c r="F2151" s="211">
        <v>499489</v>
      </c>
      <c r="G2151" s="201">
        <f>'Mail Merge'!$E2151+'Mail Merge'!$F2151</f>
        <v>3604278.1900000013</v>
      </c>
      <c r="H2151" s="201"/>
      <c r="I2151" s="201" t="s">
        <v>242</v>
      </c>
      <c r="J2151" s="204">
        <f>IFERROR('Mail Merge'!$E2151/'Mail Merge'!$D2151,0)</f>
        <v>8085.3885156250035</v>
      </c>
      <c r="K2151" s="201">
        <f>IFERROR('Mail Merge'!$F2151/'Mail Merge'!$D2151,0)</f>
        <v>1300.7526041666667</v>
      </c>
      <c r="L2151" s="201">
        <f>IFERROR('Mail Merge'!$G2151/'Mail Merge'!$D2151,0)</f>
        <v>9386.1411197916696</v>
      </c>
      <c r="M2151" s="201"/>
      <c r="N2151" s="212" t="s">
        <v>241</v>
      </c>
      <c r="O2151" s="201">
        <v>545184.18000000005</v>
      </c>
      <c r="P2151" s="201">
        <v>12054.61</v>
      </c>
      <c r="Q2151" s="201">
        <f>'Mail Merge'!$O2151+'Mail Merge'!$P2151</f>
        <v>557238.79</v>
      </c>
      <c r="R2151" s="201"/>
      <c r="S2151" s="201"/>
      <c r="T2151" s="201"/>
      <c r="U2151" s="201">
        <f>IF(AND('Mail Merge'!$I2151="Did Not Meet",'Mail Merge'!$N2151="Did Not Meet"),MIN(ABS('Mail Merge'!$H2151),ABS('Mail Merge'!$M2151),'Mail Merge'!$Q2151),0)</f>
        <v>0</v>
      </c>
      <c r="V2151" s="201" t="s">
        <v>242</v>
      </c>
    </row>
    <row r="2152" spans="1:22" x14ac:dyDescent="0.35">
      <c r="A2152" s="198" t="s">
        <v>203</v>
      </c>
      <c r="B2152" s="199">
        <v>2055</v>
      </c>
      <c r="C2152" s="199" t="s">
        <v>1534</v>
      </c>
      <c r="D2152" s="199">
        <v>539</v>
      </c>
      <c r="E2152" s="213">
        <v>8167346.480000006</v>
      </c>
      <c r="F2152" s="213">
        <v>147178.18</v>
      </c>
      <c r="G2152" s="199">
        <f>'Mail Merge'!$E2152+'Mail Merge'!$F2152</f>
        <v>8314524.6600000057</v>
      </c>
      <c r="H2152" s="199"/>
      <c r="I2152" s="199" t="s">
        <v>242</v>
      </c>
      <c r="J2152" s="202">
        <f>IFERROR('Mail Merge'!$E2152/'Mail Merge'!$D2152,0)</f>
        <v>15152.776400742126</v>
      </c>
      <c r="K2152" s="199">
        <f>IFERROR('Mail Merge'!$F2152/'Mail Merge'!$D2152,0)</f>
        <v>273.05784786641931</v>
      </c>
      <c r="L2152" s="199">
        <f>IFERROR('Mail Merge'!$G2152/'Mail Merge'!$D2152,0)</f>
        <v>15425.834248608546</v>
      </c>
      <c r="M2152" s="199"/>
      <c r="N2152" s="210" t="s">
        <v>241</v>
      </c>
      <c r="O2152" s="199">
        <v>1178801.4700000002</v>
      </c>
      <c r="P2152" s="199">
        <v>35532.520000000004</v>
      </c>
      <c r="Q2152" s="199">
        <f>'Mail Merge'!$O2152+'Mail Merge'!$P2152</f>
        <v>1214333.9900000002</v>
      </c>
      <c r="R2152" s="199"/>
      <c r="S2152" s="199"/>
      <c r="T2152" s="199"/>
      <c r="U2152" s="199">
        <f>IF(AND('Mail Merge'!$I2152="Did Not Meet",'Mail Merge'!$N2152="Did Not Meet"),MIN(ABS('Mail Merge'!$H2152),ABS('Mail Merge'!$M2152),'Mail Merge'!$Q2152),0)</f>
        <v>0</v>
      </c>
      <c r="V2152" s="199" t="s">
        <v>242</v>
      </c>
    </row>
    <row r="2153" spans="1:22" x14ac:dyDescent="0.35">
      <c r="A2153" s="200" t="s">
        <v>204</v>
      </c>
      <c r="B2153" s="201">
        <v>2242</v>
      </c>
      <c r="C2153" s="201" t="s">
        <v>1534</v>
      </c>
      <c r="D2153" s="201">
        <v>1407</v>
      </c>
      <c r="E2153" s="211">
        <v>12913076.150000002</v>
      </c>
      <c r="F2153" s="211">
        <v>3349744</v>
      </c>
      <c r="G2153" s="201">
        <f>'Mail Merge'!$E2153+'Mail Merge'!$F2153</f>
        <v>16262820.150000002</v>
      </c>
      <c r="H2153" s="201"/>
      <c r="I2153" s="201" t="s">
        <v>242</v>
      </c>
      <c r="J2153" s="204">
        <f>IFERROR('Mail Merge'!$E2153/'Mail Merge'!$D2153,0)</f>
        <v>9177.7371357498232</v>
      </c>
      <c r="K2153" s="201">
        <f>IFERROR('Mail Merge'!$F2153/'Mail Merge'!$D2153,0)</f>
        <v>2380.7704335465528</v>
      </c>
      <c r="L2153" s="201">
        <f>IFERROR('Mail Merge'!$G2153/'Mail Merge'!$D2153,0)</f>
        <v>11558.507569296376</v>
      </c>
      <c r="M2153" s="201"/>
      <c r="N2153" s="212" t="s">
        <v>242</v>
      </c>
      <c r="O2153" s="201">
        <v>2431514.46</v>
      </c>
      <c r="P2153" s="201">
        <v>48319.61</v>
      </c>
      <c r="Q2153" s="201">
        <f>'Mail Merge'!$O2153+'Mail Merge'!$P2153</f>
        <v>2479834.0699999998</v>
      </c>
      <c r="R2153" s="201"/>
      <c r="S2153" s="201"/>
      <c r="T2153" s="201"/>
      <c r="U2153" s="201">
        <f>IF(AND('Mail Merge'!$I2153="Did Not Meet",'Mail Merge'!$N2153="Did Not Meet"),MIN(ABS('Mail Merge'!$H2153),ABS('Mail Merge'!$M2153),'Mail Merge'!$Q2153),0)</f>
        <v>0</v>
      </c>
      <c r="V2153" s="201" t="s">
        <v>242</v>
      </c>
    </row>
    <row r="2154" spans="1:22" x14ac:dyDescent="0.35">
      <c r="A2154" s="198" t="s">
        <v>205</v>
      </c>
      <c r="B2154" s="199">
        <v>2197</v>
      </c>
      <c r="C2154" s="199" t="s">
        <v>1534</v>
      </c>
      <c r="D2154" s="199">
        <v>345</v>
      </c>
      <c r="E2154" s="213">
        <v>3798625.44</v>
      </c>
      <c r="F2154" s="213">
        <v>635192</v>
      </c>
      <c r="G2154" s="199">
        <f>'Mail Merge'!$E2154+'Mail Merge'!$F2154</f>
        <v>4433817.4399999995</v>
      </c>
      <c r="H2154" s="199"/>
      <c r="I2154" s="199" t="s">
        <v>241</v>
      </c>
      <c r="J2154" s="202">
        <f>IFERROR('Mail Merge'!$E2154/'Mail Merge'!$D2154,0)</f>
        <v>11010.50852173913</v>
      </c>
      <c r="K2154" s="199">
        <f>IFERROR('Mail Merge'!$F2154/'Mail Merge'!$D2154,0)</f>
        <v>1841.1362318840579</v>
      </c>
      <c r="L2154" s="199">
        <f>IFERROR('Mail Merge'!$G2154/'Mail Merge'!$D2154,0)</f>
        <v>12851.644753623186</v>
      </c>
      <c r="M2154" s="199"/>
      <c r="N2154" s="210" t="s">
        <v>241</v>
      </c>
      <c r="O2154" s="199">
        <v>507863.95</v>
      </c>
      <c r="P2154" s="199">
        <v>11573.84</v>
      </c>
      <c r="Q2154" s="199">
        <f>'Mail Merge'!$O2154+'Mail Merge'!$P2154</f>
        <v>519437.79000000004</v>
      </c>
      <c r="R2154" s="199"/>
      <c r="S2154" s="199"/>
      <c r="T2154" s="199"/>
      <c r="U2154" s="199">
        <f>IF(AND('Mail Merge'!$I2154="Did Not Meet",'Mail Merge'!$N2154="Did Not Meet"),MIN(ABS('Mail Merge'!$H2154),ABS('Mail Merge'!$M2154),'Mail Merge'!$Q2154),0)</f>
        <v>0</v>
      </c>
      <c r="V2154" s="199" t="s">
        <v>241</v>
      </c>
    </row>
    <row r="2155" spans="1:22" x14ac:dyDescent="0.35">
      <c r="A2155" s="200" t="s">
        <v>206</v>
      </c>
      <c r="B2155" s="201">
        <v>2222</v>
      </c>
      <c r="C2155" s="201" t="s">
        <v>1534</v>
      </c>
      <c r="D2155" s="201">
        <v>0</v>
      </c>
      <c r="E2155" s="201">
        <v>0</v>
      </c>
      <c r="F2155" s="211">
        <v>3700</v>
      </c>
      <c r="G2155" s="201">
        <f>'Mail Merge'!$E2155+'Mail Merge'!$F2155</f>
        <v>3700</v>
      </c>
      <c r="H2155" s="201"/>
      <c r="I2155" s="201" t="s">
        <v>241</v>
      </c>
      <c r="J2155" s="204">
        <f>IFERROR('Mail Merge'!$E2155/'Mail Merge'!$D2155,0)</f>
        <v>0</v>
      </c>
      <c r="K2155" s="201">
        <f>IFERROR('Mail Merge'!$F2155/'Mail Merge'!$D2155,0)</f>
        <v>0</v>
      </c>
      <c r="L2155" s="201">
        <f>IFERROR('Mail Merge'!$G2155/'Mail Merge'!$D2155,0)</f>
        <v>0</v>
      </c>
      <c r="M2155" s="201"/>
      <c r="N2155" s="212" t="s">
        <v>2140</v>
      </c>
      <c r="O2155" s="201">
        <v>2301.09</v>
      </c>
      <c r="P2155" s="201">
        <v>0</v>
      </c>
      <c r="Q2155" s="201">
        <f>'Mail Merge'!$O2155+'Mail Merge'!$P2155</f>
        <v>2301.09</v>
      </c>
      <c r="R2155" s="201"/>
      <c r="S2155" s="201"/>
      <c r="T2155" s="201"/>
      <c r="U2155" s="201">
        <f>IF(AND('Mail Merge'!$I2155="Did Not Meet",'Mail Merge'!$N2155="Did Not Meet"),MIN(ABS('Mail Merge'!$H2155),ABS('Mail Merge'!$M2155),'Mail Merge'!$Q2155),0)</f>
        <v>0</v>
      </c>
      <c r="V2155" s="201" t="s">
        <v>241</v>
      </c>
    </row>
    <row r="2156" spans="1:22" x14ac:dyDescent="0.35">
      <c r="A2156" s="198" t="s">
        <v>207</v>
      </c>
      <c r="B2156" s="199">
        <v>2210</v>
      </c>
      <c r="C2156" s="199" t="s">
        <v>1534</v>
      </c>
      <c r="D2156" s="199">
        <v>5</v>
      </c>
      <c r="E2156" s="213">
        <v>5642.24</v>
      </c>
      <c r="F2156" s="213">
        <v>7897.66</v>
      </c>
      <c r="G2156" s="199">
        <f>'Mail Merge'!$E2156+'Mail Merge'!$F2156</f>
        <v>13539.9</v>
      </c>
      <c r="H2156" s="199"/>
      <c r="I2156" s="199" t="s">
        <v>241</v>
      </c>
      <c r="J2156" s="202">
        <f>IFERROR('Mail Merge'!$E2156/'Mail Merge'!$D2156,0)</f>
        <v>1128.4479999999999</v>
      </c>
      <c r="K2156" s="199">
        <f>IFERROR('Mail Merge'!$F2156/'Mail Merge'!$D2156,0)</f>
        <v>1579.5319999999999</v>
      </c>
      <c r="L2156" s="199">
        <f>IFERROR('Mail Merge'!$G2156/'Mail Merge'!$D2156,0)</f>
        <v>2707.98</v>
      </c>
      <c r="M2156" s="199"/>
      <c r="N2156" s="210" t="s">
        <v>2140</v>
      </c>
      <c r="O2156" s="199">
        <v>7498.7</v>
      </c>
      <c r="P2156" s="199">
        <v>10.68</v>
      </c>
      <c r="Q2156" s="199">
        <f>'Mail Merge'!$O2156+'Mail Merge'!$P2156</f>
        <v>7509.38</v>
      </c>
      <c r="R2156" s="199"/>
      <c r="S2156" s="199"/>
      <c r="T2156" s="199"/>
      <c r="U2156" s="199">
        <f>IF(AND('Mail Merge'!$I2156="Did Not Meet",'Mail Merge'!$N2156="Did Not Meet"),MIN(ABS('Mail Merge'!$H2156),ABS('Mail Merge'!$M2156),'Mail Merge'!$Q2156),0)</f>
        <v>0</v>
      </c>
      <c r="V2156" s="199" t="s">
        <v>241</v>
      </c>
    </row>
    <row r="2157" spans="1:22" x14ac:dyDescent="0.35">
      <c r="A2157" s="200" t="s">
        <v>208</v>
      </c>
      <c r="B2157" s="201">
        <v>2204</v>
      </c>
      <c r="C2157" s="201" t="s">
        <v>1534</v>
      </c>
      <c r="D2157" s="201">
        <v>133</v>
      </c>
      <c r="E2157" s="211">
        <v>1523356.0999999994</v>
      </c>
      <c r="F2157" s="211">
        <v>255901.25999999998</v>
      </c>
      <c r="G2157" s="201">
        <f>'Mail Merge'!$E2157+'Mail Merge'!$F2157</f>
        <v>1779257.3599999994</v>
      </c>
      <c r="H2157" s="201"/>
      <c r="I2157" s="201" t="s">
        <v>242</v>
      </c>
      <c r="J2157" s="204">
        <f>IFERROR('Mail Merge'!$E2157/'Mail Merge'!$D2157,0)</f>
        <v>11453.80526315789</v>
      </c>
      <c r="K2157" s="201">
        <f>IFERROR('Mail Merge'!$F2157/'Mail Merge'!$D2157,0)</f>
        <v>1924.0696240601503</v>
      </c>
      <c r="L2157" s="201">
        <f>IFERROR('Mail Merge'!$G2157/'Mail Merge'!$D2157,0)</f>
        <v>13377.87488721804</v>
      </c>
      <c r="M2157" s="201"/>
      <c r="N2157" s="212" t="s">
        <v>241</v>
      </c>
      <c r="O2157" s="201">
        <v>264513.28000000003</v>
      </c>
      <c r="P2157" s="201">
        <v>6332.49</v>
      </c>
      <c r="Q2157" s="201">
        <f>'Mail Merge'!$O2157+'Mail Merge'!$P2157</f>
        <v>270845.77</v>
      </c>
      <c r="R2157" s="201"/>
      <c r="S2157" s="201"/>
      <c r="T2157" s="201"/>
      <c r="U2157" s="201">
        <f>IF(AND('Mail Merge'!$I2157="Did Not Meet",'Mail Merge'!$N2157="Did Not Meet"),MIN(ABS('Mail Merge'!$H2157),ABS('Mail Merge'!$M2157),'Mail Merge'!$Q2157),0)</f>
        <v>0</v>
      </c>
      <c r="V2157" s="201" t="s">
        <v>242</v>
      </c>
    </row>
    <row r="2158" spans="1:22" x14ac:dyDescent="0.35">
      <c r="A2158" s="198" t="s">
        <v>209</v>
      </c>
      <c r="B2158" s="199">
        <v>2213</v>
      </c>
      <c r="C2158" s="199" t="s">
        <v>1534</v>
      </c>
      <c r="D2158" s="199">
        <v>44</v>
      </c>
      <c r="E2158" s="213">
        <v>397252.07</v>
      </c>
      <c r="F2158" s="213">
        <v>75987.650000000009</v>
      </c>
      <c r="G2158" s="199">
        <f>'Mail Merge'!$E2158+'Mail Merge'!$F2158</f>
        <v>473239.72000000003</v>
      </c>
      <c r="H2158" s="199"/>
      <c r="I2158" s="199" t="s">
        <v>241</v>
      </c>
      <c r="J2158" s="202">
        <f>IFERROR('Mail Merge'!$E2158/'Mail Merge'!$D2158,0)</f>
        <v>9028.4561363636367</v>
      </c>
      <c r="K2158" s="199">
        <f>IFERROR('Mail Merge'!$F2158/'Mail Merge'!$D2158,0)</f>
        <v>1726.9920454545456</v>
      </c>
      <c r="L2158" s="199">
        <f>IFERROR('Mail Merge'!$G2158/'Mail Merge'!$D2158,0)</f>
        <v>10755.448181818183</v>
      </c>
      <c r="M2158" s="199"/>
      <c r="N2158" s="210" t="s">
        <v>2140</v>
      </c>
      <c r="O2158" s="199">
        <v>75943.97</v>
      </c>
      <c r="P2158" s="199">
        <v>591.04999999999995</v>
      </c>
      <c r="Q2158" s="199">
        <f>'Mail Merge'!$O2158+'Mail Merge'!$P2158</f>
        <v>76535.02</v>
      </c>
      <c r="R2158" s="199"/>
      <c r="S2158" s="199"/>
      <c r="T2158" s="199"/>
      <c r="U2158" s="199">
        <f>IF(AND('Mail Merge'!$I2158="Did Not Meet",'Mail Merge'!$N2158="Did Not Meet"),MIN(ABS('Mail Merge'!$H2158),ABS('Mail Merge'!$M2158),'Mail Merge'!$Q2158),0)</f>
        <v>0</v>
      </c>
      <c r="V2158" s="199" t="s">
        <v>241</v>
      </c>
    </row>
    <row r="2159" spans="1:22" x14ac:dyDescent="0.35">
      <c r="A2159" s="200" t="s">
        <v>210</v>
      </c>
      <c r="B2159" s="201">
        <v>2116</v>
      </c>
      <c r="C2159" s="201" t="s">
        <v>1534</v>
      </c>
      <c r="D2159" s="201">
        <v>105</v>
      </c>
      <c r="E2159" s="211">
        <v>814101.42</v>
      </c>
      <c r="F2159" s="211">
        <v>389715.73</v>
      </c>
      <c r="G2159" s="201">
        <f>'Mail Merge'!$E2159+'Mail Merge'!$F2159</f>
        <v>1203817.1499999999</v>
      </c>
      <c r="H2159" s="201"/>
      <c r="I2159" s="201" t="s">
        <v>242</v>
      </c>
      <c r="J2159" s="204">
        <f>IFERROR('Mail Merge'!$E2159/'Mail Merge'!$D2159,0)</f>
        <v>7753.3468571428575</v>
      </c>
      <c r="K2159" s="201">
        <f>IFERROR('Mail Merge'!$F2159/'Mail Merge'!$D2159,0)</f>
        <v>3711.5783809523809</v>
      </c>
      <c r="L2159" s="201">
        <f>IFERROR('Mail Merge'!$G2159/'Mail Merge'!$D2159,0)</f>
        <v>11464.925238095237</v>
      </c>
      <c r="M2159" s="201"/>
      <c r="N2159" s="212" t="s">
        <v>241</v>
      </c>
      <c r="O2159" s="201">
        <v>202878.9</v>
      </c>
      <c r="P2159" s="201">
        <v>2297.37</v>
      </c>
      <c r="Q2159" s="201">
        <f>'Mail Merge'!$O2159+'Mail Merge'!$P2159</f>
        <v>205176.27</v>
      </c>
      <c r="R2159" s="201"/>
      <c r="S2159" s="201"/>
      <c r="T2159" s="201"/>
      <c r="U2159" s="201">
        <f>IF(AND('Mail Merge'!$I2159="Did Not Meet",'Mail Merge'!$N2159="Did Not Meet"),MIN(ABS('Mail Merge'!$H2159),ABS('Mail Merge'!$M2159),'Mail Merge'!$Q2159),0)</f>
        <v>0</v>
      </c>
      <c r="V2159" s="201" t="s">
        <v>242</v>
      </c>
    </row>
    <row r="2160" spans="1:22" x14ac:dyDescent="0.35">
      <c r="A2160" s="198" t="s">
        <v>211</v>
      </c>
      <c r="B2160" s="199">
        <v>1947</v>
      </c>
      <c r="C2160" s="199" t="s">
        <v>1534</v>
      </c>
      <c r="D2160" s="199">
        <v>82</v>
      </c>
      <c r="E2160" s="213">
        <v>1112683.48</v>
      </c>
      <c r="F2160" s="213">
        <v>196640</v>
      </c>
      <c r="G2160" s="199">
        <f>'Mail Merge'!$E2160+'Mail Merge'!$F2160</f>
        <v>1309323.48</v>
      </c>
      <c r="H2160" s="199"/>
      <c r="I2160" s="199" t="s">
        <v>241</v>
      </c>
      <c r="J2160" s="202">
        <f>IFERROR('Mail Merge'!$E2160/'Mail Merge'!$D2160,0)</f>
        <v>13569.310731707317</v>
      </c>
      <c r="K2160" s="199">
        <f>IFERROR('Mail Merge'!$F2160/'Mail Merge'!$D2160,0)</f>
        <v>2398.0487804878048</v>
      </c>
      <c r="L2160" s="199">
        <f>IFERROR('Mail Merge'!$G2160/'Mail Merge'!$D2160,0)</f>
        <v>15967.359512195122</v>
      </c>
      <c r="M2160" s="199"/>
      <c r="N2160" s="210" t="s">
        <v>241</v>
      </c>
      <c r="O2160" s="199">
        <v>131963.14000000001</v>
      </c>
      <c r="P2160" s="199">
        <v>5569.34</v>
      </c>
      <c r="Q2160" s="199">
        <f>'Mail Merge'!$O2160+'Mail Merge'!$P2160</f>
        <v>137532.48000000001</v>
      </c>
      <c r="R2160" s="199"/>
      <c r="S2160" s="199"/>
      <c r="T2160" s="199"/>
      <c r="U2160" s="199">
        <f>IF(AND('Mail Merge'!$I2160="Did Not Meet",'Mail Merge'!$N2160="Did Not Meet"),MIN(ABS('Mail Merge'!$H2160),ABS('Mail Merge'!$M2160),'Mail Merge'!$Q2160),0)</f>
        <v>0</v>
      </c>
      <c r="V2160" s="199" t="s">
        <v>241</v>
      </c>
    </row>
    <row r="2161" spans="1:22" x14ac:dyDescent="0.35">
      <c r="A2161" s="200" t="s">
        <v>212</v>
      </c>
      <c r="B2161" s="201">
        <v>2220</v>
      </c>
      <c r="C2161" s="201" t="s">
        <v>1534</v>
      </c>
      <c r="D2161" s="201">
        <v>29</v>
      </c>
      <c r="E2161" s="211">
        <v>160416.35999999999</v>
      </c>
      <c r="F2161" s="211">
        <v>158170.59000000003</v>
      </c>
      <c r="G2161" s="201">
        <f>'Mail Merge'!$E2161+'Mail Merge'!$F2161</f>
        <v>318586.95</v>
      </c>
      <c r="H2161" s="201"/>
      <c r="I2161" s="201" t="s">
        <v>242</v>
      </c>
      <c r="J2161" s="204">
        <f>IFERROR('Mail Merge'!$E2161/'Mail Merge'!$D2161,0)</f>
        <v>5531.598620689655</v>
      </c>
      <c r="K2161" s="201">
        <f>IFERROR('Mail Merge'!$F2161/'Mail Merge'!$D2161,0)</f>
        <v>5454.1582758620698</v>
      </c>
      <c r="L2161" s="201">
        <f>IFERROR('Mail Merge'!$G2161/'Mail Merge'!$D2161,0)</f>
        <v>10985.756896551724</v>
      </c>
      <c r="M2161" s="201"/>
      <c r="N2161" s="212" t="s">
        <v>241</v>
      </c>
      <c r="O2161" s="201">
        <v>60052.4</v>
      </c>
      <c r="P2161" s="201">
        <v>2096.67</v>
      </c>
      <c r="Q2161" s="201">
        <f>'Mail Merge'!$O2161+'Mail Merge'!$P2161</f>
        <v>62149.07</v>
      </c>
      <c r="R2161" s="201"/>
      <c r="S2161" s="201"/>
      <c r="T2161" s="201"/>
      <c r="U2161" s="201">
        <f>IF(AND('Mail Merge'!$I2161="Did Not Meet",'Mail Merge'!$N2161="Did Not Meet"),MIN(ABS('Mail Merge'!$H2161),ABS('Mail Merge'!$M2161),'Mail Merge'!$Q2161),0)</f>
        <v>0</v>
      </c>
      <c r="V2161" s="201" t="s">
        <v>242</v>
      </c>
    </row>
    <row r="2162" spans="1:22" x14ac:dyDescent="0.35">
      <c r="A2162" s="198" t="s">
        <v>213</v>
      </c>
      <c r="B2162" s="199">
        <v>1936</v>
      </c>
      <c r="C2162" s="199" t="s">
        <v>1534</v>
      </c>
      <c r="D2162" s="199">
        <v>142</v>
      </c>
      <c r="E2162" s="213">
        <v>1589956.4399999995</v>
      </c>
      <c r="F2162" s="213">
        <v>304213</v>
      </c>
      <c r="G2162" s="199">
        <f>'Mail Merge'!$E2162+'Mail Merge'!$F2162</f>
        <v>1894169.4399999995</v>
      </c>
      <c r="H2162" s="199"/>
      <c r="I2162" s="199" t="s">
        <v>241</v>
      </c>
      <c r="J2162" s="202">
        <f>IFERROR('Mail Merge'!$E2162/'Mail Merge'!$D2162,0)</f>
        <v>11196.876338028165</v>
      </c>
      <c r="K2162" s="199">
        <f>IFERROR('Mail Merge'!$F2162/'Mail Merge'!$D2162,0)</f>
        <v>2142.3450704225352</v>
      </c>
      <c r="L2162" s="199">
        <f>IFERROR('Mail Merge'!$G2162/'Mail Merge'!$D2162,0)</f>
        <v>13339.221408450701</v>
      </c>
      <c r="M2162" s="199"/>
      <c r="N2162" s="210" t="s">
        <v>241</v>
      </c>
      <c r="O2162" s="199">
        <v>213874.99</v>
      </c>
      <c r="P2162" s="199">
        <v>5257.98</v>
      </c>
      <c r="Q2162" s="199">
        <f>'Mail Merge'!$O2162+'Mail Merge'!$P2162</f>
        <v>219132.97</v>
      </c>
      <c r="R2162" s="199"/>
      <c r="S2162" s="199"/>
      <c r="T2162" s="199"/>
      <c r="U2162" s="199">
        <f>IF(AND('Mail Merge'!$I2162="Did Not Meet",'Mail Merge'!$N2162="Did Not Meet"),MIN(ABS('Mail Merge'!$H2162),ABS('Mail Merge'!$M2162),'Mail Merge'!$Q2162),0)</f>
        <v>0</v>
      </c>
      <c r="V2162" s="199" t="s">
        <v>241</v>
      </c>
    </row>
    <row r="2163" spans="1:22" x14ac:dyDescent="0.35">
      <c r="A2163" s="200" t="s">
        <v>214</v>
      </c>
      <c r="B2163" s="201">
        <v>1922</v>
      </c>
      <c r="C2163" s="201" t="s">
        <v>1534</v>
      </c>
      <c r="D2163" s="201">
        <v>1044</v>
      </c>
      <c r="E2163" s="211">
        <v>11716165.240000002</v>
      </c>
      <c r="F2163" s="201">
        <v>0</v>
      </c>
      <c r="G2163" s="201">
        <f>'Mail Merge'!$E2163+'Mail Merge'!$F2163</f>
        <v>11716165.240000002</v>
      </c>
      <c r="H2163" s="201"/>
      <c r="I2163" s="201" t="s">
        <v>2140</v>
      </c>
      <c r="J2163" s="204">
        <f>IFERROR('Mail Merge'!$E2163/'Mail Merge'!$D2163,0)</f>
        <v>11222.380498084292</v>
      </c>
      <c r="K2163" s="201">
        <f>IFERROR('Mail Merge'!$F2163/'Mail Merge'!$D2163,0)</f>
        <v>0</v>
      </c>
      <c r="L2163" s="201">
        <f>IFERROR('Mail Merge'!$G2163/'Mail Merge'!$D2163,0)</f>
        <v>11222.380498084292</v>
      </c>
      <c r="M2163" s="201"/>
      <c r="N2163" s="212" t="s">
        <v>242</v>
      </c>
      <c r="O2163" s="201">
        <v>1692591.46</v>
      </c>
      <c r="P2163" s="201">
        <v>30384.269999999997</v>
      </c>
      <c r="Q2163" s="201">
        <f>'Mail Merge'!$O2163+'Mail Merge'!$P2163</f>
        <v>1722975.73</v>
      </c>
      <c r="R2163" s="201"/>
      <c r="S2163" s="201"/>
      <c r="T2163" s="201"/>
      <c r="U2163" s="201">
        <f>IF(AND('Mail Merge'!$I2163="Did Not Meet",'Mail Merge'!$N2163="Did Not Meet"),MIN(ABS('Mail Merge'!$H2163),ABS('Mail Merge'!$M2163),'Mail Merge'!$Q2163),0)</f>
        <v>0</v>
      </c>
      <c r="V2163" s="201" t="s">
        <v>2138</v>
      </c>
    </row>
    <row r="2164" spans="1:22" x14ac:dyDescent="0.35">
      <c r="A2164" s="198" t="s">
        <v>215</v>
      </c>
      <c r="B2164" s="199">
        <v>2255</v>
      </c>
      <c r="C2164" s="199" t="s">
        <v>1534</v>
      </c>
      <c r="D2164" s="199">
        <v>139</v>
      </c>
      <c r="E2164" s="213">
        <v>1022403.36</v>
      </c>
      <c r="F2164" s="213">
        <v>42494.100000000006</v>
      </c>
      <c r="G2164" s="199">
        <f>'Mail Merge'!$E2164+'Mail Merge'!$F2164</f>
        <v>1064897.46</v>
      </c>
      <c r="H2164" s="199"/>
      <c r="I2164" s="199" t="s">
        <v>242</v>
      </c>
      <c r="J2164" s="202">
        <f>IFERROR('Mail Merge'!$E2164/'Mail Merge'!$D2164,0)</f>
        <v>7355.4198561151079</v>
      </c>
      <c r="K2164" s="199">
        <f>IFERROR('Mail Merge'!$F2164/'Mail Merge'!$D2164,0)</f>
        <v>305.71294964028783</v>
      </c>
      <c r="L2164" s="199">
        <f>IFERROR('Mail Merge'!$G2164/'Mail Merge'!$D2164,0)</f>
        <v>7661.1328057553956</v>
      </c>
      <c r="M2164" s="199"/>
      <c r="N2164" s="210" t="s">
        <v>242</v>
      </c>
      <c r="O2164" s="199">
        <v>231161.44</v>
      </c>
      <c r="P2164" s="199">
        <v>8661.92</v>
      </c>
      <c r="Q2164" s="199">
        <f>'Mail Merge'!$O2164+'Mail Merge'!$P2164</f>
        <v>239823.36000000002</v>
      </c>
      <c r="R2164" s="199"/>
      <c r="S2164" s="199"/>
      <c r="T2164" s="199"/>
      <c r="U2164" s="199">
        <f>IF(AND('Mail Merge'!$I2164="Did Not Meet",'Mail Merge'!$N2164="Did Not Meet"),MIN(ABS('Mail Merge'!$H2164),ABS('Mail Merge'!$M2164),'Mail Merge'!$Q2164),0)</f>
        <v>0</v>
      </c>
      <c r="V2164" s="199" t="s">
        <v>242</v>
      </c>
    </row>
    <row r="2165" spans="1:22" x14ac:dyDescent="0.35">
      <c r="A2165" s="200" t="s">
        <v>216</v>
      </c>
      <c r="B2165" s="201">
        <v>2002</v>
      </c>
      <c r="C2165" s="201" t="s">
        <v>1534</v>
      </c>
      <c r="D2165" s="201">
        <v>192</v>
      </c>
      <c r="E2165" s="211">
        <v>1732393.5099999993</v>
      </c>
      <c r="F2165" s="211">
        <v>375789.32000000007</v>
      </c>
      <c r="G2165" s="201">
        <f>'Mail Merge'!$E2165+'Mail Merge'!$F2165</f>
        <v>2108182.8299999991</v>
      </c>
      <c r="H2165" s="201"/>
      <c r="I2165" s="201" t="s">
        <v>241</v>
      </c>
      <c r="J2165" s="204">
        <f>IFERROR('Mail Merge'!$E2165/'Mail Merge'!$D2165,0)</f>
        <v>9022.8828645833291</v>
      </c>
      <c r="K2165" s="201">
        <f>IFERROR('Mail Merge'!$F2165/'Mail Merge'!$D2165,0)</f>
        <v>1957.236041666667</v>
      </c>
      <c r="L2165" s="201">
        <f>IFERROR('Mail Merge'!$G2165/'Mail Merge'!$D2165,0)</f>
        <v>10980.118906249996</v>
      </c>
      <c r="M2165" s="201"/>
      <c r="N2165" s="212" t="s">
        <v>241</v>
      </c>
      <c r="O2165" s="201">
        <v>331948.98</v>
      </c>
      <c r="P2165" s="201">
        <v>11224.300000000001</v>
      </c>
      <c r="Q2165" s="201">
        <f>'Mail Merge'!$O2165+'Mail Merge'!$P2165</f>
        <v>343173.27999999997</v>
      </c>
      <c r="R2165" s="201"/>
      <c r="S2165" s="201"/>
      <c r="T2165" s="201"/>
      <c r="U2165" s="201">
        <f>IF(AND('Mail Merge'!$I2165="Did Not Meet",'Mail Merge'!$N2165="Did Not Meet"),MIN(ABS('Mail Merge'!$H2165),ABS('Mail Merge'!$M2165),'Mail Merge'!$Q2165),0)</f>
        <v>0</v>
      </c>
      <c r="V2165" s="201" t="s">
        <v>241</v>
      </c>
    </row>
    <row r="2166" spans="1:22" x14ac:dyDescent="0.35">
      <c r="A2166" s="198" t="s">
        <v>217</v>
      </c>
      <c r="B2166" s="199">
        <v>2146</v>
      </c>
      <c r="C2166" s="199" t="s">
        <v>1534</v>
      </c>
      <c r="D2166" s="199">
        <v>805</v>
      </c>
      <c r="E2166" s="213">
        <v>8587536.9899999965</v>
      </c>
      <c r="F2166" s="213">
        <v>516912.33</v>
      </c>
      <c r="G2166" s="199">
        <f>'Mail Merge'!$E2166+'Mail Merge'!$F2166</f>
        <v>9104449.3199999966</v>
      </c>
      <c r="H2166" s="199"/>
      <c r="I2166" s="199" t="s">
        <v>242</v>
      </c>
      <c r="J2166" s="202">
        <f>IFERROR('Mail Merge'!$E2166/'Mail Merge'!$D2166,0)</f>
        <v>10667.747813664591</v>
      </c>
      <c r="K2166" s="199">
        <f>IFERROR('Mail Merge'!$F2166/'Mail Merge'!$D2166,0)</f>
        <v>642.12711801242233</v>
      </c>
      <c r="L2166" s="199">
        <f>IFERROR('Mail Merge'!$G2166/'Mail Merge'!$D2166,0)</f>
        <v>11309.874931677014</v>
      </c>
      <c r="M2166" s="199"/>
      <c r="N2166" s="210" t="s">
        <v>241</v>
      </c>
      <c r="O2166" s="199">
        <v>1047524.1200000001</v>
      </c>
      <c r="P2166" s="199">
        <v>15433.560000000001</v>
      </c>
      <c r="Q2166" s="199">
        <f>'Mail Merge'!$O2166+'Mail Merge'!$P2166</f>
        <v>1062957.6800000002</v>
      </c>
      <c r="R2166" s="199"/>
      <c r="S2166" s="199"/>
      <c r="T2166" s="199"/>
      <c r="U2166" s="199">
        <f>IF(AND('Mail Merge'!$I2166="Did Not Meet",'Mail Merge'!$N2166="Did Not Meet"),MIN(ABS('Mail Merge'!$H2166),ABS('Mail Merge'!$M2166),'Mail Merge'!$Q2166),0)</f>
        <v>0</v>
      </c>
      <c r="V2166" s="199" t="s">
        <v>242</v>
      </c>
    </row>
    <row r="2167" spans="1:22" x14ac:dyDescent="0.35">
      <c r="A2167" s="200" t="s">
        <v>218</v>
      </c>
      <c r="B2167" s="201">
        <v>2251</v>
      </c>
      <c r="C2167" s="201" t="s">
        <v>1534</v>
      </c>
      <c r="D2167" s="201">
        <v>114</v>
      </c>
      <c r="E2167" s="211">
        <v>1500089.6800000002</v>
      </c>
      <c r="F2167" s="211">
        <v>222049.84</v>
      </c>
      <c r="G2167" s="201">
        <f>'Mail Merge'!$E2167+'Mail Merge'!$F2167</f>
        <v>1722139.5200000003</v>
      </c>
      <c r="H2167" s="201"/>
      <c r="I2167" s="201" t="s">
        <v>241</v>
      </c>
      <c r="J2167" s="204">
        <f>IFERROR('Mail Merge'!$E2167/'Mail Merge'!$D2167,0)</f>
        <v>13158.681403508774</v>
      </c>
      <c r="K2167" s="201">
        <f>IFERROR('Mail Merge'!$F2167/'Mail Merge'!$D2167,0)</f>
        <v>1947.8056140350877</v>
      </c>
      <c r="L2167" s="201">
        <f>IFERROR('Mail Merge'!$G2167/'Mail Merge'!$D2167,0)</f>
        <v>15106.487017543863</v>
      </c>
      <c r="M2167" s="201"/>
      <c r="N2167" s="212" t="s">
        <v>241</v>
      </c>
      <c r="O2167" s="201">
        <v>230821.65</v>
      </c>
      <c r="P2167" s="201">
        <v>6187.06</v>
      </c>
      <c r="Q2167" s="201">
        <f>'Mail Merge'!$O2167+'Mail Merge'!$P2167</f>
        <v>237008.71</v>
      </c>
      <c r="R2167" s="201"/>
      <c r="S2167" s="201"/>
      <c r="T2167" s="201"/>
      <c r="U2167" s="201">
        <f>IF(AND('Mail Merge'!$I2167="Did Not Meet",'Mail Merge'!$N2167="Did Not Meet"),MIN(ABS('Mail Merge'!$H2167),ABS('Mail Merge'!$M2167),'Mail Merge'!$Q2167),0)</f>
        <v>0</v>
      </c>
      <c r="V2167" s="201" t="s">
        <v>241</v>
      </c>
    </row>
    <row r="2168" spans="1:22" x14ac:dyDescent="0.35">
      <c r="A2168" s="198" t="s">
        <v>219</v>
      </c>
      <c r="B2168" s="199">
        <v>1997</v>
      </c>
      <c r="C2168" s="199" t="s">
        <v>1534</v>
      </c>
      <c r="D2168" s="199">
        <v>35</v>
      </c>
      <c r="E2168" s="213">
        <v>280412.93</v>
      </c>
      <c r="F2168" s="213">
        <v>74260.97</v>
      </c>
      <c r="G2168" s="199">
        <f>'Mail Merge'!$E2168+'Mail Merge'!$F2168</f>
        <v>354673.9</v>
      </c>
      <c r="H2168" s="199"/>
      <c r="I2168" s="199" t="s">
        <v>242</v>
      </c>
      <c r="J2168" s="202">
        <f>IFERROR('Mail Merge'!$E2168/'Mail Merge'!$D2168,0)</f>
        <v>8011.7979999999998</v>
      </c>
      <c r="K2168" s="199">
        <f>IFERROR('Mail Merge'!$F2168/'Mail Merge'!$D2168,0)</f>
        <v>2121.7420000000002</v>
      </c>
      <c r="L2168" s="199">
        <f>IFERROR('Mail Merge'!$G2168/'Mail Merge'!$D2168,0)</f>
        <v>10133.540000000001</v>
      </c>
      <c r="M2168" s="199"/>
      <c r="N2168" s="210" t="s">
        <v>241</v>
      </c>
      <c r="O2168" s="199">
        <v>62161.399999999994</v>
      </c>
      <c r="P2168" s="199">
        <v>2046.98</v>
      </c>
      <c r="Q2168" s="199">
        <f>'Mail Merge'!$O2168+'Mail Merge'!$P2168</f>
        <v>64208.38</v>
      </c>
      <c r="R2168" s="199"/>
      <c r="S2168" s="199"/>
      <c r="T2168" s="199"/>
      <c r="U2168" s="199">
        <f>IF(AND('Mail Merge'!$I2168="Did Not Meet",'Mail Merge'!$N2168="Did Not Meet"),MIN(ABS('Mail Merge'!$H2168),ABS('Mail Merge'!$M2168),'Mail Merge'!$Q2168),0)</f>
        <v>0</v>
      </c>
      <c r="V2168" s="199" t="s">
        <v>242</v>
      </c>
    </row>
    <row r="2169" spans="1:22" s="104" customFormat="1" x14ac:dyDescent="0.35">
      <c r="A2169" s="206" t="s">
        <v>14</v>
      </c>
      <c r="B2169" s="207">
        <v>2063</v>
      </c>
      <c r="C2169" s="207" t="s">
        <v>1777</v>
      </c>
      <c r="D2169" s="201">
        <v>5</v>
      </c>
      <c r="E2169" s="207">
        <v>4692.63</v>
      </c>
      <c r="F2169" s="207">
        <v>42748.200000000004</v>
      </c>
      <c r="G2169" s="207">
        <f>'Mail Merge'!$E2169+'Mail Merge'!$F2169</f>
        <v>47440.83</v>
      </c>
      <c r="H2169" s="207"/>
      <c r="I2169" s="207" t="s">
        <v>241</v>
      </c>
      <c r="J2169" s="209">
        <f>IFERROR('Mail Merge'!$E2169/'Mail Merge'!$D2169,0)</f>
        <v>938.52600000000007</v>
      </c>
      <c r="K2169" s="207">
        <v>0</v>
      </c>
      <c r="L2169" s="207">
        <f>IFERROR('Mail Merge'!$G2169/'Mail Merge'!$D2169,0)</f>
        <v>9488.1660000000011</v>
      </c>
      <c r="M2169" s="207"/>
      <c r="N2169" s="207" t="str">
        <f>IF(L2169&gt;=L1972,"Met","Did Not Meet")</f>
        <v>Did Not Meet</v>
      </c>
      <c r="O2169" s="207">
        <v>2871</v>
      </c>
      <c r="P2169" s="207">
        <v>491</v>
      </c>
      <c r="Q2169" s="207">
        <f>'Mail Merge'!$O2169+'Mail Merge'!$P2169</f>
        <v>3362</v>
      </c>
      <c r="R2169" s="207"/>
      <c r="S2169" s="207"/>
      <c r="T2169" s="207"/>
      <c r="U2169" s="207">
        <f>IF(AND('Mail Merge'!$I2169="Did Not Meet",'Mail Merge'!$N2169="Did Not Meet"),MIN(ABS('Mail Merge'!$H2169),ABS('Mail Merge'!$M2169),'Mail Merge'!$Q2169),0)</f>
        <v>0</v>
      </c>
      <c r="V2169" s="207" t="str">
        <f>IF(OR(IFERROR(SEARCH("Met",'Mail Merge'!$N2169),0)&gt;0,IFERROR(SEARCH("Met",'Mail Merge'!$I2169),0)&gt;0),"Met","Not Met")</f>
        <v>Met</v>
      </c>
    </row>
    <row r="2170" spans="1:22" x14ac:dyDescent="0.35">
      <c r="A2170" s="198" t="s">
        <v>17</v>
      </c>
      <c r="B2170" s="199">
        <v>2113</v>
      </c>
      <c r="C2170" s="199" t="s">
        <v>1777</v>
      </c>
      <c r="D2170" s="199">
        <v>39</v>
      </c>
      <c r="E2170" s="199">
        <v>253169.40999999997</v>
      </c>
      <c r="F2170" s="199">
        <v>121488.03</v>
      </c>
      <c r="G2170" s="199">
        <f>'Mail Merge'!$E2170+'Mail Merge'!$F2170</f>
        <v>374657.43999999994</v>
      </c>
      <c r="H2170" s="199"/>
      <c r="I2170" s="199" t="s">
        <v>241</v>
      </c>
      <c r="J2170" s="202">
        <f>IFERROR('Mail Merge'!$E2170/'Mail Merge'!$D2170,0)</f>
        <v>6491.5233333333326</v>
      </c>
      <c r="K2170" s="199">
        <f>IFERROR('Mail Merge'!$F2170/'Mail Merge'!$D2170,0)</f>
        <v>3115.0776923076924</v>
      </c>
      <c r="L2170" s="199">
        <f>IFERROR('Mail Merge'!$G2170/'Mail Merge'!$D2170,0)</f>
        <v>9606.6010256410245</v>
      </c>
      <c r="M2170" s="199"/>
      <c r="N2170" s="199" t="str">
        <f t="shared" ref="N2170:N2233" si="0">IF(L2170&gt;=L1973,"Met","Did Not Meet")</f>
        <v>Met</v>
      </c>
      <c r="O2170" s="199">
        <v>62934</v>
      </c>
      <c r="P2170" s="199">
        <v>442</v>
      </c>
      <c r="Q2170" s="199">
        <f>'Mail Merge'!$O2170+'Mail Merge'!$P2170</f>
        <v>63376</v>
      </c>
      <c r="R2170" s="199"/>
      <c r="S2170" s="199"/>
      <c r="T2170" s="199"/>
      <c r="U2170" s="199">
        <f>IF(AND('Mail Merge'!$I2170="Did Not Meet",'Mail Merge'!$N2170="Did Not Meet"),MIN(ABS('Mail Merge'!$H2170),ABS('Mail Merge'!$M2170),'Mail Merge'!$Q2170),0)</f>
        <v>0</v>
      </c>
      <c r="V2170" s="199" t="str">
        <f>IF(OR(IFERROR(SEARCH("Met",'Mail Merge'!$N2170),0)&gt;0,IFERROR(SEARCH("Met",'Mail Merge'!$I2170),0)&gt;0),"Met","Not Met")</f>
        <v>Met</v>
      </c>
    </row>
    <row r="2171" spans="1:22" x14ac:dyDescent="0.35">
      <c r="A2171" s="200" t="s">
        <v>20</v>
      </c>
      <c r="B2171" s="201">
        <v>1899</v>
      </c>
      <c r="C2171" s="201" t="s">
        <v>1777</v>
      </c>
      <c r="D2171" s="201">
        <v>114</v>
      </c>
      <c r="E2171" s="201">
        <v>1501403.65</v>
      </c>
      <c r="F2171" s="201">
        <v>138452</v>
      </c>
      <c r="G2171" s="201">
        <f>'Mail Merge'!$E2171+'Mail Merge'!$F2171</f>
        <v>1639855.65</v>
      </c>
      <c r="H2171" s="201"/>
      <c r="I2171" s="201" t="s">
        <v>2979</v>
      </c>
      <c r="J2171" s="204">
        <f>IFERROR('Mail Merge'!$E2171/'Mail Merge'!$D2171,0)</f>
        <v>13170.20745614035</v>
      </c>
      <c r="K2171" s="201">
        <f>IFERROR('Mail Merge'!$F2171/'Mail Merge'!$D2171,0)</f>
        <v>1214.4912280701753</v>
      </c>
      <c r="L2171" s="201">
        <f>IFERROR('Mail Merge'!$G2171/'Mail Merge'!$D2171,0)</f>
        <v>14384.698684210525</v>
      </c>
      <c r="M2171" s="201"/>
      <c r="N2171" s="201" t="str">
        <f t="shared" si="0"/>
        <v>Met</v>
      </c>
      <c r="O2171" s="201">
        <v>49962</v>
      </c>
      <c r="P2171" s="201">
        <v>1593</v>
      </c>
      <c r="Q2171" s="201">
        <f>'Mail Merge'!$O2171+'Mail Merge'!$P2171</f>
        <v>51555</v>
      </c>
      <c r="R2171" s="201"/>
      <c r="S2171" s="201"/>
      <c r="T2171" s="201"/>
      <c r="U2171" s="201">
        <f>IF(AND('Mail Merge'!$I2171="Did Not Meet",'Mail Merge'!$N2171="Did Not Meet"),MIN(ABS('Mail Merge'!$H2171),ABS('Mail Merge'!$M2171),'Mail Merge'!$Q2171),0)</f>
        <v>0</v>
      </c>
      <c r="V2171" s="201" t="str">
        <f>IF(OR(IFERROR(SEARCH("Met",'Mail Merge'!$N2171),0)&gt;0,IFERROR(SEARCH("Met",'Mail Merge'!$I2171),0)&gt;0),"Met","Not Met")</f>
        <v>Met</v>
      </c>
    </row>
    <row r="2172" spans="1:22" x14ac:dyDescent="0.35">
      <c r="A2172" s="198" t="s">
        <v>21</v>
      </c>
      <c r="B2172" s="199">
        <v>2252</v>
      </c>
      <c r="C2172" s="199" t="s">
        <v>1777</v>
      </c>
      <c r="D2172" s="199">
        <v>122</v>
      </c>
      <c r="E2172" s="199">
        <v>667452.79</v>
      </c>
      <c r="F2172" s="199">
        <v>147629.78999999998</v>
      </c>
      <c r="G2172" s="199">
        <f>'Mail Merge'!$E2172+'Mail Merge'!$F2172</f>
        <v>815082.58000000007</v>
      </c>
      <c r="H2172" s="199"/>
      <c r="I2172" s="199" t="s">
        <v>241</v>
      </c>
      <c r="J2172" s="202">
        <f>IFERROR('Mail Merge'!$E2172/'Mail Merge'!$D2172,0)</f>
        <v>5470.9245081967219</v>
      </c>
      <c r="K2172" s="199">
        <f>IFERROR('Mail Merge'!$F2172/'Mail Merge'!$D2172,0)</f>
        <v>1210.0802459016393</v>
      </c>
      <c r="L2172" s="199">
        <f>IFERROR('Mail Merge'!$G2172/'Mail Merge'!$D2172,0)</f>
        <v>6681.0047540983614</v>
      </c>
      <c r="M2172" s="199"/>
      <c r="N2172" s="199" t="str">
        <f t="shared" si="0"/>
        <v>Met</v>
      </c>
      <c r="O2172" s="199">
        <v>193019</v>
      </c>
      <c r="P2172" s="199">
        <v>8212</v>
      </c>
      <c r="Q2172" s="199">
        <f>'Mail Merge'!$O2172+'Mail Merge'!$P2172</f>
        <v>201231</v>
      </c>
      <c r="R2172" s="199"/>
      <c r="S2172" s="199"/>
      <c r="T2172" s="199"/>
      <c r="U2172" s="199">
        <f>IF(AND('Mail Merge'!$I2172="Did Not Meet",'Mail Merge'!$N2172="Did Not Meet"),MIN(ABS('Mail Merge'!$H2172),ABS('Mail Merge'!$M2172),'Mail Merge'!$Q2172),0)</f>
        <v>0</v>
      </c>
      <c r="V2172" s="199" t="str">
        <f>IF(OR(IFERROR(SEARCH("Met",'Mail Merge'!$N2172),0)&gt;0,IFERROR(SEARCH("Met",'Mail Merge'!$I2172),0)&gt;0),"Met","Not Met")</f>
        <v>Met</v>
      </c>
    </row>
    <row r="2173" spans="1:22" x14ac:dyDescent="0.35">
      <c r="A2173" s="200" t="s">
        <v>23</v>
      </c>
      <c r="B2173" s="201">
        <v>2111</v>
      </c>
      <c r="C2173" s="201" t="s">
        <v>1777</v>
      </c>
      <c r="D2173" s="201">
        <v>6</v>
      </c>
      <c r="E2173" s="201">
        <v>0</v>
      </c>
      <c r="F2173" s="201">
        <v>44052.680000000008</v>
      </c>
      <c r="G2173" s="201">
        <f>'Mail Merge'!$E2173+'Mail Merge'!$F2173</f>
        <v>44052.680000000008</v>
      </c>
      <c r="H2173" s="201"/>
      <c r="I2173" s="201" t="s">
        <v>241</v>
      </c>
      <c r="J2173" s="204">
        <f>IFERROR('Mail Merge'!$E2173/'Mail Merge'!$D2173,0)</f>
        <v>0</v>
      </c>
      <c r="K2173" s="201">
        <f>IFERROR('Mail Merge'!$F2173/'Mail Merge'!$D2173,0)</f>
        <v>7342.1133333333346</v>
      </c>
      <c r="L2173" s="201">
        <f>IFERROR('Mail Merge'!$G2173/'Mail Merge'!$D2173,0)</f>
        <v>7342.1133333333346</v>
      </c>
      <c r="M2173" s="201"/>
      <c r="N2173" s="201" t="str">
        <f t="shared" si="0"/>
        <v>Did Not Meet</v>
      </c>
      <c r="O2173" s="201">
        <v>23938</v>
      </c>
      <c r="P2173" s="201">
        <v>828</v>
      </c>
      <c r="Q2173" s="201">
        <f>'Mail Merge'!$O2173+'Mail Merge'!$P2173</f>
        <v>24766</v>
      </c>
      <c r="R2173" s="201"/>
      <c r="S2173" s="201"/>
      <c r="T2173" s="201"/>
      <c r="U2173" s="201">
        <f>IF(AND('Mail Merge'!$I2173="Did Not Meet",'Mail Merge'!$N2173="Did Not Meet"),MIN(ABS('Mail Merge'!$H2173),ABS('Mail Merge'!$M2173),'Mail Merge'!$Q2173),0)</f>
        <v>0</v>
      </c>
      <c r="V2173" s="201" t="str">
        <f>IF(OR(IFERROR(SEARCH("Met",'Mail Merge'!$N2173),0)&gt;0,IFERROR(SEARCH("Met",'Mail Merge'!$I2173),0)&gt;0),"Met","Not Met")</f>
        <v>Met</v>
      </c>
    </row>
    <row r="2174" spans="1:22" x14ac:dyDescent="0.35">
      <c r="A2174" s="198" t="s">
        <v>24</v>
      </c>
      <c r="B2174" s="199">
        <v>2005</v>
      </c>
      <c r="C2174" s="199" t="s">
        <v>1777</v>
      </c>
      <c r="D2174" s="199">
        <v>21</v>
      </c>
      <c r="E2174" s="199">
        <v>18459.73</v>
      </c>
      <c r="F2174" s="199">
        <v>168310</v>
      </c>
      <c r="G2174" s="199">
        <f>'Mail Merge'!$E2174+'Mail Merge'!$F2174</f>
        <v>186769.73</v>
      </c>
      <c r="H2174" s="199"/>
      <c r="I2174" s="199" t="s">
        <v>241</v>
      </c>
      <c r="J2174" s="202">
        <f>IFERROR('Mail Merge'!$E2174/'Mail Merge'!$D2174,0)</f>
        <v>879.03476190476192</v>
      </c>
      <c r="K2174" s="199">
        <f>IFERROR('Mail Merge'!$F2174/'Mail Merge'!$D2174,0)</f>
        <v>8014.7619047619046</v>
      </c>
      <c r="L2174" s="199">
        <f>IFERROR('Mail Merge'!$G2174/'Mail Merge'!$D2174,0)</f>
        <v>8893.7966666666671</v>
      </c>
      <c r="M2174" s="199"/>
      <c r="N2174" s="199" t="str">
        <f t="shared" si="0"/>
        <v>Met</v>
      </c>
      <c r="O2174" s="199">
        <v>36464</v>
      </c>
      <c r="P2174" s="199">
        <v>643</v>
      </c>
      <c r="Q2174" s="199">
        <f>'Mail Merge'!$O2174+'Mail Merge'!$P2174</f>
        <v>37107</v>
      </c>
      <c r="R2174" s="199"/>
      <c r="S2174" s="199"/>
      <c r="T2174" s="199"/>
      <c r="U2174" s="199">
        <f>IF(AND('Mail Merge'!$I2174="Did Not Meet",'Mail Merge'!$N2174="Did Not Meet"),MIN(ABS('Mail Merge'!$H2174),ABS('Mail Merge'!$M2174),'Mail Merge'!$Q2174),0)</f>
        <v>0</v>
      </c>
      <c r="V2174" s="199" t="str">
        <f>IF(OR(IFERROR(SEARCH("Met",'Mail Merge'!$N2174),0)&gt;0,IFERROR(SEARCH("Met",'Mail Merge'!$I2174),0)&gt;0),"Met","Not Met")</f>
        <v>Met</v>
      </c>
    </row>
    <row r="2175" spans="1:22" x14ac:dyDescent="0.35">
      <c r="A2175" s="200" t="s">
        <v>25</v>
      </c>
      <c r="B2175" s="201">
        <v>2115</v>
      </c>
      <c r="C2175" s="201" t="s">
        <v>1777</v>
      </c>
      <c r="D2175" s="201">
        <v>0</v>
      </c>
      <c r="E2175" s="201">
        <v>0</v>
      </c>
      <c r="F2175" s="201">
        <v>13107.18</v>
      </c>
      <c r="G2175" s="201">
        <f>'Mail Merge'!$E2175+'Mail Merge'!$F2175</f>
        <v>13107.18</v>
      </c>
      <c r="H2175" s="201"/>
      <c r="I2175" s="201" t="s">
        <v>2979</v>
      </c>
      <c r="J2175" s="204">
        <f>IFERROR('Mail Merge'!$E2175/'Mail Merge'!$D2175,0)</f>
        <v>0</v>
      </c>
      <c r="K2175" s="201">
        <f>IFERROR('Mail Merge'!$F2175/'Mail Merge'!$D2175,0)</f>
        <v>0</v>
      </c>
      <c r="L2175" s="201">
        <f>IFERROR('Mail Merge'!$G2175/'Mail Merge'!$D2175,0)</f>
        <v>0</v>
      </c>
      <c r="M2175" s="201"/>
      <c r="N2175" s="201" t="str">
        <f t="shared" si="0"/>
        <v>Did Not Meet</v>
      </c>
      <c r="O2175" s="201">
        <v>4558</v>
      </c>
      <c r="P2175" s="201">
        <v>12</v>
      </c>
      <c r="Q2175" s="201">
        <f>'Mail Merge'!$O2175+'Mail Merge'!$P2175</f>
        <v>4570</v>
      </c>
      <c r="R2175" s="201"/>
      <c r="S2175" s="201"/>
      <c r="T2175" s="201"/>
      <c r="U2175" s="201">
        <f>IF(AND('Mail Merge'!$I2175="Did Not Meet",'Mail Merge'!$N2175="Did Not Meet"),MIN(ABS('Mail Merge'!$H2175),ABS('Mail Merge'!$M2175),'Mail Merge'!$Q2175),0)</f>
        <v>0</v>
      </c>
      <c r="V2175" s="201" t="str">
        <f>IF(OR(IFERROR(SEARCH("Met",'Mail Merge'!$N2175),0)&gt;0,IFERROR(SEARCH("Met",'Mail Merge'!$I2175),0)&gt;0),"Met","Not Met")</f>
        <v>Met</v>
      </c>
    </row>
    <row r="2176" spans="1:22" x14ac:dyDescent="0.35">
      <c r="A2176" s="198" t="s">
        <v>26</v>
      </c>
      <c r="B2176" s="199">
        <v>2041</v>
      </c>
      <c r="C2176" s="199" t="s">
        <v>1777</v>
      </c>
      <c r="D2176" s="199">
        <v>320</v>
      </c>
      <c r="E2176" s="199">
        <v>3285248.7000000007</v>
      </c>
      <c r="F2176" s="199">
        <v>532575.49</v>
      </c>
      <c r="G2176" s="199">
        <f>'Mail Merge'!$E2176+'Mail Merge'!$F2176</f>
        <v>3817824.1900000004</v>
      </c>
      <c r="H2176" s="199"/>
      <c r="I2176" s="199" t="s">
        <v>241</v>
      </c>
      <c r="J2176" s="202">
        <f>IFERROR('Mail Merge'!$E2176/'Mail Merge'!$D2176,0)</f>
        <v>10266.402187500002</v>
      </c>
      <c r="K2176" s="199">
        <f>IFERROR('Mail Merge'!$F2176/'Mail Merge'!$D2176,0)</f>
        <v>1664.29840625</v>
      </c>
      <c r="L2176" s="199">
        <f>IFERROR('Mail Merge'!$G2176/'Mail Merge'!$D2176,0)</f>
        <v>11930.700593750002</v>
      </c>
      <c r="M2176" s="199"/>
      <c r="N2176" s="199" t="str">
        <f t="shared" si="0"/>
        <v>Did Not Meet</v>
      </c>
      <c r="O2176" s="199">
        <v>665061</v>
      </c>
      <c r="P2176" s="199">
        <v>16339</v>
      </c>
      <c r="Q2176" s="199">
        <f>'Mail Merge'!$O2176+'Mail Merge'!$P2176</f>
        <v>681400</v>
      </c>
      <c r="R2176" s="199"/>
      <c r="S2176" s="199"/>
      <c r="T2176" s="199"/>
      <c r="U2176" s="199">
        <f>IF(AND('Mail Merge'!$I2176="Did Not Meet",'Mail Merge'!$N2176="Did Not Meet"),MIN(ABS('Mail Merge'!$H2176),ABS('Mail Merge'!$M2176),'Mail Merge'!$Q2176),0)</f>
        <v>0</v>
      </c>
      <c r="V2176" s="199" t="str">
        <f>IF(OR(IFERROR(SEARCH("Met",'Mail Merge'!$N2176),0)&gt;0,IFERROR(SEARCH("Met",'Mail Merge'!$I2176),0)&gt;0),"Met","Not Met")</f>
        <v>Met</v>
      </c>
    </row>
    <row r="2177" spans="1:22" x14ac:dyDescent="0.35">
      <c r="A2177" s="200" t="s">
        <v>27</v>
      </c>
      <c r="B2177" s="201">
        <v>2051</v>
      </c>
      <c r="C2177" s="201" t="s">
        <v>1777</v>
      </c>
      <c r="D2177" s="201">
        <v>0</v>
      </c>
      <c r="E2177" s="201">
        <v>0</v>
      </c>
      <c r="F2177" s="201">
        <v>10583.51</v>
      </c>
      <c r="G2177" s="201">
        <f>'Mail Merge'!$E2177+'Mail Merge'!$F2177</f>
        <v>10583.51</v>
      </c>
      <c r="H2177" s="201"/>
      <c r="I2177" s="201" t="s">
        <v>241</v>
      </c>
      <c r="J2177" s="204">
        <f>IFERROR('Mail Merge'!$E2177/'Mail Merge'!$D2177,0)</f>
        <v>0</v>
      </c>
      <c r="K2177" s="201">
        <f>IFERROR('Mail Merge'!$F2177/'Mail Merge'!$D2177,0)</f>
        <v>0</v>
      </c>
      <c r="L2177" s="201">
        <f>IFERROR('Mail Merge'!$G2177/'Mail Merge'!$D2177,0)</f>
        <v>0</v>
      </c>
      <c r="M2177" s="201"/>
      <c r="N2177" s="201" t="str">
        <f t="shared" si="0"/>
        <v>Met</v>
      </c>
      <c r="O2177" s="201">
        <v>1235</v>
      </c>
      <c r="P2177" s="201">
        <v>5</v>
      </c>
      <c r="Q2177" s="201">
        <f>'Mail Merge'!$O2177+'Mail Merge'!$P2177</f>
        <v>1240</v>
      </c>
      <c r="R2177" s="201"/>
      <c r="S2177" s="201"/>
      <c r="T2177" s="201"/>
      <c r="U2177" s="201">
        <f>IF(AND('Mail Merge'!$I2177="Did Not Meet",'Mail Merge'!$N2177="Did Not Meet"),MIN(ABS('Mail Merge'!$H2177),ABS('Mail Merge'!$M2177),'Mail Merge'!$Q2177),0)</f>
        <v>0</v>
      </c>
      <c r="V2177" s="201" t="str">
        <f>IF(OR(IFERROR(SEARCH("Met",'Mail Merge'!$N2177),0)&gt;0,IFERROR(SEARCH("Met",'Mail Merge'!$I2177),0)&gt;0),"Met","Not Met")</f>
        <v>Met</v>
      </c>
    </row>
    <row r="2178" spans="1:22" x14ac:dyDescent="0.35">
      <c r="A2178" s="198" t="s">
        <v>28</v>
      </c>
      <c r="B2178" s="199">
        <v>1933</v>
      </c>
      <c r="C2178" s="199" t="s">
        <v>1777</v>
      </c>
      <c r="D2178" s="199">
        <v>247</v>
      </c>
      <c r="E2178" s="199">
        <v>3397221.1100000003</v>
      </c>
      <c r="F2178" s="199">
        <v>583074</v>
      </c>
      <c r="G2178" s="199">
        <f>'Mail Merge'!$E2178+'Mail Merge'!$F2178</f>
        <v>3980295.1100000003</v>
      </c>
      <c r="H2178" s="199"/>
      <c r="I2178" s="199" t="s">
        <v>241</v>
      </c>
      <c r="J2178" s="202">
        <f>IFERROR('Mail Merge'!$E2178/'Mail Merge'!$D2178,0)</f>
        <v>13753.9316194332</v>
      </c>
      <c r="K2178" s="199">
        <f>IFERROR('Mail Merge'!$F2178/'Mail Merge'!$D2178,0)</f>
        <v>2360.6234817813765</v>
      </c>
      <c r="L2178" s="199">
        <f>IFERROR('Mail Merge'!$G2178/'Mail Merge'!$D2178,0)</f>
        <v>16114.555101214577</v>
      </c>
      <c r="M2178" s="199"/>
      <c r="N2178" s="199" t="str">
        <f t="shared" si="0"/>
        <v>Met</v>
      </c>
      <c r="O2178" s="199">
        <v>409519</v>
      </c>
      <c r="P2178" s="199">
        <v>8821</v>
      </c>
      <c r="Q2178" s="199">
        <f>'Mail Merge'!$O2178+'Mail Merge'!$P2178</f>
        <v>418340</v>
      </c>
      <c r="R2178" s="199"/>
      <c r="S2178" s="199"/>
      <c r="T2178" s="199"/>
      <c r="U2178" s="199">
        <f>IF(AND('Mail Merge'!$I2178="Did Not Meet",'Mail Merge'!$N2178="Did Not Meet"),MIN(ABS('Mail Merge'!$H2178),ABS('Mail Merge'!$M2178),'Mail Merge'!$Q2178),0)</f>
        <v>0</v>
      </c>
      <c r="V2178" s="199" t="str">
        <f>IF(OR(IFERROR(SEARCH("Met",'Mail Merge'!$N2178),0)&gt;0,IFERROR(SEARCH("Met",'Mail Merge'!$I2178),0)&gt;0),"Met","Not Met")</f>
        <v>Met</v>
      </c>
    </row>
    <row r="2179" spans="1:22" x14ac:dyDescent="0.35">
      <c r="A2179" s="200" t="s">
        <v>29</v>
      </c>
      <c r="B2179" s="201">
        <v>2208</v>
      </c>
      <c r="C2179" s="201" t="s">
        <v>1777</v>
      </c>
      <c r="D2179" s="201">
        <v>86</v>
      </c>
      <c r="E2179" s="201">
        <v>602083.82999999996</v>
      </c>
      <c r="F2179" s="201">
        <v>164385.64000000001</v>
      </c>
      <c r="G2179" s="201">
        <f>'Mail Merge'!$E2179+'Mail Merge'!$F2179</f>
        <v>766469.47</v>
      </c>
      <c r="H2179" s="201"/>
      <c r="I2179" s="201" t="s">
        <v>2979</v>
      </c>
      <c r="J2179" s="204">
        <f>IFERROR('Mail Merge'!$E2179/'Mail Merge'!$D2179,0)</f>
        <v>7000.9747674418604</v>
      </c>
      <c r="K2179" s="201">
        <f>IFERROR('Mail Merge'!$F2179/'Mail Merge'!$D2179,0)</f>
        <v>1911.4609302325582</v>
      </c>
      <c r="L2179" s="201">
        <f>IFERROR('Mail Merge'!$G2179/'Mail Merge'!$D2179,0)</f>
        <v>8912.4356976744184</v>
      </c>
      <c r="M2179" s="201"/>
      <c r="N2179" s="201" t="str">
        <f t="shared" si="0"/>
        <v>Met</v>
      </c>
      <c r="O2179" s="201">
        <v>117845</v>
      </c>
      <c r="P2179" s="201">
        <v>5151</v>
      </c>
      <c r="Q2179" s="201">
        <f>'Mail Merge'!$O2179+'Mail Merge'!$P2179</f>
        <v>122996</v>
      </c>
      <c r="R2179" s="201"/>
      <c r="S2179" s="201"/>
      <c r="T2179" s="201"/>
      <c r="U2179" s="201">
        <f>IF(AND('Mail Merge'!$I2179="Did Not Meet",'Mail Merge'!$N2179="Did Not Meet"),MIN(ABS('Mail Merge'!$H2179),ABS('Mail Merge'!$M2179),'Mail Merge'!$Q2179),0)</f>
        <v>0</v>
      </c>
      <c r="V2179" s="201" t="str">
        <f>IF(OR(IFERROR(SEARCH("Met",'Mail Merge'!$N2179),0)&gt;0,IFERROR(SEARCH("Met",'Mail Merge'!$I2179),0)&gt;0),"Met","Not Met")</f>
        <v>Met</v>
      </c>
    </row>
    <row r="2180" spans="1:22" x14ac:dyDescent="0.35">
      <c r="A2180" s="198" t="s">
        <v>30</v>
      </c>
      <c r="B2180" s="199">
        <v>1894</v>
      </c>
      <c r="C2180" s="199" t="s">
        <v>1777</v>
      </c>
      <c r="D2180" s="199">
        <v>539</v>
      </c>
      <c r="E2180" s="199">
        <v>2990927.8500000006</v>
      </c>
      <c r="F2180" s="199">
        <v>0</v>
      </c>
      <c r="G2180" s="199">
        <f>'Mail Merge'!$E2180+'Mail Merge'!$F2180</f>
        <v>2990927.8500000006</v>
      </c>
      <c r="H2180" s="199"/>
      <c r="I2180" s="199" t="s">
        <v>2979</v>
      </c>
      <c r="J2180" s="202">
        <f>IFERROR('Mail Merge'!$E2180/'Mail Merge'!$D2180,0)</f>
        <v>5549.0312615955481</v>
      </c>
      <c r="K2180" s="199">
        <f>IFERROR('Mail Merge'!$F2180/'Mail Merge'!$D2180,0)</f>
        <v>0</v>
      </c>
      <c r="L2180" s="199">
        <f>IFERROR('Mail Merge'!$G2180/'Mail Merge'!$D2180,0)</f>
        <v>5549.0312615955481</v>
      </c>
      <c r="M2180" s="199"/>
      <c r="N2180" s="199" t="str">
        <f t="shared" si="0"/>
        <v>Did Not Meet</v>
      </c>
      <c r="O2180" s="199">
        <v>756162</v>
      </c>
      <c r="P2180" s="199">
        <v>16359</v>
      </c>
      <c r="Q2180" s="199">
        <f>'Mail Merge'!$O2180+'Mail Merge'!$P2180</f>
        <v>772521</v>
      </c>
      <c r="R2180" s="199"/>
      <c r="S2180" s="199"/>
      <c r="T2180" s="199"/>
      <c r="U2180" s="199">
        <f>IF(AND('Mail Merge'!$I2180="Did Not Meet",'Mail Merge'!$N2180="Did Not Meet"),MIN(ABS('Mail Merge'!$H2180),ABS('Mail Merge'!$M2180),'Mail Merge'!$Q2180),0)</f>
        <v>0</v>
      </c>
      <c r="V2180" s="199" t="str">
        <f>IF(OR(IFERROR(SEARCH("Met",'Mail Merge'!$N2180),0)&gt;0,IFERROR(SEARCH("Met",'Mail Merge'!$I2180),0)&gt;0),"Met","Not Met")</f>
        <v>Met</v>
      </c>
    </row>
    <row r="2181" spans="1:22" x14ac:dyDescent="0.35">
      <c r="A2181" s="200" t="s">
        <v>32</v>
      </c>
      <c r="B2181" s="201">
        <v>1969</v>
      </c>
      <c r="C2181" s="201" t="s">
        <v>1777</v>
      </c>
      <c r="D2181" s="201">
        <v>88</v>
      </c>
      <c r="E2181" s="201">
        <v>881777.90000000014</v>
      </c>
      <c r="F2181" s="201">
        <v>327150</v>
      </c>
      <c r="G2181" s="201">
        <f>'Mail Merge'!$E2181+'Mail Merge'!$F2181</f>
        <v>1208927.9000000001</v>
      </c>
      <c r="H2181" s="201"/>
      <c r="I2181" s="201" t="s">
        <v>241</v>
      </c>
      <c r="J2181" s="204">
        <f>IFERROR('Mail Merge'!$E2181/'Mail Merge'!$D2181,0)</f>
        <v>10020.203409090911</v>
      </c>
      <c r="K2181" s="201">
        <f>IFERROR('Mail Merge'!$F2181/'Mail Merge'!$D2181,0)</f>
        <v>3717.6136363636365</v>
      </c>
      <c r="L2181" s="201">
        <f>IFERROR('Mail Merge'!$G2181/'Mail Merge'!$D2181,0)</f>
        <v>13737.817045454547</v>
      </c>
      <c r="M2181" s="201"/>
      <c r="N2181" s="201" t="str">
        <f t="shared" si="0"/>
        <v>Did Not Meet</v>
      </c>
      <c r="O2181" s="201">
        <v>166963</v>
      </c>
      <c r="P2181" s="201">
        <v>5719</v>
      </c>
      <c r="Q2181" s="201">
        <f>'Mail Merge'!$O2181+'Mail Merge'!$P2181</f>
        <v>172682</v>
      </c>
      <c r="R2181" s="201"/>
      <c r="S2181" s="201"/>
      <c r="T2181" s="201"/>
      <c r="U2181" s="201">
        <f>IF(AND('Mail Merge'!$I2181="Did Not Meet",'Mail Merge'!$N2181="Did Not Meet"),MIN(ABS('Mail Merge'!$H2181),ABS('Mail Merge'!$M2181),'Mail Merge'!$Q2181),0)</f>
        <v>0</v>
      </c>
      <c r="V2181" s="201" t="str">
        <f>IF(OR(IFERROR(SEARCH("Met",'Mail Merge'!$N2181),0)&gt;0,IFERROR(SEARCH("Met",'Mail Merge'!$I2181),0)&gt;0),"Met","Not Met")</f>
        <v>Met</v>
      </c>
    </row>
    <row r="2182" spans="1:22" x14ac:dyDescent="0.35">
      <c r="A2182" s="198" t="s">
        <v>33</v>
      </c>
      <c r="B2182" s="199">
        <v>2240</v>
      </c>
      <c r="C2182" s="199" t="s">
        <v>1777</v>
      </c>
      <c r="D2182" s="199">
        <v>140</v>
      </c>
      <c r="E2182" s="199">
        <v>1732949.4700000007</v>
      </c>
      <c r="F2182" s="199">
        <v>254082</v>
      </c>
      <c r="G2182" s="199">
        <f>'Mail Merge'!$E2182+'Mail Merge'!$F2182</f>
        <v>1987031.4700000007</v>
      </c>
      <c r="H2182" s="199"/>
      <c r="I2182" s="199" t="s">
        <v>241</v>
      </c>
      <c r="J2182" s="202">
        <f>IFERROR('Mail Merge'!$E2182/'Mail Merge'!$D2182,0)</f>
        <v>12378.210500000005</v>
      </c>
      <c r="K2182" s="199">
        <f>IFERROR('Mail Merge'!$F2182/'Mail Merge'!$D2182,0)</f>
        <v>1814.8714285714286</v>
      </c>
      <c r="L2182" s="199">
        <f>IFERROR('Mail Merge'!$G2182/'Mail Merge'!$D2182,0)</f>
        <v>14193.081928571433</v>
      </c>
      <c r="M2182" s="199"/>
      <c r="N2182" s="199" t="str">
        <f t="shared" si="0"/>
        <v>Met</v>
      </c>
      <c r="O2182" s="199">
        <v>231662</v>
      </c>
      <c r="P2182" s="199">
        <v>2097</v>
      </c>
      <c r="Q2182" s="199">
        <f>'Mail Merge'!$O2182+'Mail Merge'!$P2182</f>
        <v>233759</v>
      </c>
      <c r="R2182" s="199"/>
      <c r="S2182" s="199"/>
      <c r="T2182" s="199"/>
      <c r="U2182" s="199">
        <f>IF(AND('Mail Merge'!$I2182="Did Not Meet",'Mail Merge'!$N2182="Did Not Meet"),MIN(ABS('Mail Merge'!$H2182),ABS('Mail Merge'!$M2182),'Mail Merge'!$Q2182),0)</f>
        <v>0</v>
      </c>
      <c r="V2182" s="199" t="str">
        <f>IF(OR(IFERROR(SEARCH("Met",'Mail Merge'!$N2182),0)&gt;0,IFERROR(SEARCH("Met",'Mail Merge'!$I2182),0)&gt;0),"Met","Not Met")</f>
        <v>Met</v>
      </c>
    </row>
    <row r="2183" spans="1:22" x14ac:dyDescent="0.35">
      <c r="A2183" s="200" t="s">
        <v>34</v>
      </c>
      <c r="B2183" s="201">
        <v>2243</v>
      </c>
      <c r="C2183" s="201" t="s">
        <v>1777</v>
      </c>
      <c r="D2183" s="201">
        <v>4642</v>
      </c>
      <c r="E2183" s="201">
        <v>59537929.719999984</v>
      </c>
      <c r="F2183" s="201">
        <v>5727911</v>
      </c>
      <c r="G2183" s="201">
        <f>'Mail Merge'!$E2183+'Mail Merge'!$F2183</f>
        <v>65265840.719999984</v>
      </c>
      <c r="H2183" s="201"/>
      <c r="I2183" s="201" t="s">
        <v>241</v>
      </c>
      <c r="J2183" s="204">
        <f>IFERROR('Mail Merge'!$E2183/'Mail Merge'!$D2183,0)</f>
        <v>12825.921956053422</v>
      </c>
      <c r="K2183" s="201">
        <f>IFERROR('Mail Merge'!$F2183/'Mail Merge'!$D2183,0)</f>
        <v>1233.9317104696252</v>
      </c>
      <c r="L2183" s="201">
        <f>IFERROR('Mail Merge'!$G2183/'Mail Merge'!$D2183,0)</f>
        <v>14059.853666523048</v>
      </c>
      <c r="M2183" s="201"/>
      <c r="N2183" s="201" t="str">
        <f t="shared" si="0"/>
        <v>Met</v>
      </c>
      <c r="O2183" s="201">
        <v>8519993</v>
      </c>
      <c r="P2183" s="201">
        <v>134572</v>
      </c>
      <c r="Q2183" s="201">
        <f>'Mail Merge'!$O2183+'Mail Merge'!$P2183</f>
        <v>8654565</v>
      </c>
      <c r="R2183" s="201"/>
      <c r="S2183" s="201"/>
      <c r="T2183" s="201"/>
      <c r="U2183" s="201">
        <f>IF(AND('Mail Merge'!$I2183="Did Not Meet",'Mail Merge'!$N2183="Did Not Meet"),MIN(ABS('Mail Merge'!$H2183),ABS('Mail Merge'!$M2183),'Mail Merge'!$Q2183),0)</f>
        <v>0</v>
      </c>
      <c r="V2183" s="201" t="str">
        <f>IF(OR(IFERROR(SEARCH("Met",'Mail Merge'!$N2183),0)&gt;0,IFERROR(SEARCH("Met",'Mail Merge'!$I2183),0)&gt;0),"Met","Not Met")</f>
        <v>Met</v>
      </c>
    </row>
    <row r="2184" spans="1:22" x14ac:dyDescent="0.35">
      <c r="A2184" s="198" t="s">
        <v>35</v>
      </c>
      <c r="B2184" s="199">
        <v>1976</v>
      </c>
      <c r="C2184" s="199" t="s">
        <v>1777</v>
      </c>
      <c r="D2184" s="199">
        <v>1740</v>
      </c>
      <c r="E2184" s="199">
        <v>22588976.860000014</v>
      </c>
      <c r="F2184" s="199">
        <v>3192709.3400000003</v>
      </c>
      <c r="G2184" s="199">
        <f>'Mail Merge'!$E2184+'Mail Merge'!$F2184</f>
        <v>25781686.200000014</v>
      </c>
      <c r="H2184" s="199"/>
      <c r="I2184" s="199" t="s">
        <v>241</v>
      </c>
      <c r="J2184" s="202">
        <f>IFERROR('Mail Merge'!$E2184/'Mail Merge'!$D2184,0)</f>
        <v>12982.170609195411</v>
      </c>
      <c r="K2184" s="199">
        <f>IFERROR('Mail Merge'!$F2184/'Mail Merge'!$D2184,0)</f>
        <v>1834.8904252873565</v>
      </c>
      <c r="L2184" s="199">
        <f>IFERROR('Mail Merge'!$G2184/'Mail Merge'!$D2184,0)</f>
        <v>14817.061034482767</v>
      </c>
      <c r="M2184" s="199"/>
      <c r="N2184" s="199" t="str">
        <f t="shared" si="0"/>
        <v>Met</v>
      </c>
      <c r="O2184" s="199">
        <v>3760082</v>
      </c>
      <c r="P2184" s="199">
        <v>71221</v>
      </c>
      <c r="Q2184" s="199">
        <f>'Mail Merge'!$O2184+'Mail Merge'!$P2184</f>
        <v>3831303</v>
      </c>
      <c r="R2184" s="199"/>
      <c r="S2184" s="199"/>
      <c r="T2184" s="199"/>
      <c r="U2184" s="199">
        <f>IF(AND('Mail Merge'!$I2184="Did Not Meet",'Mail Merge'!$N2184="Did Not Meet"),MIN(ABS('Mail Merge'!$H2184),ABS('Mail Merge'!$M2184),'Mail Merge'!$Q2184),0)</f>
        <v>0</v>
      </c>
      <c r="V2184" s="199" t="str">
        <f>IF(OR(IFERROR(SEARCH("Met",'Mail Merge'!$N2184),0)&gt;0,IFERROR(SEARCH("Met",'Mail Merge'!$I2184),0)&gt;0),"Met","Not Met")</f>
        <v>Met</v>
      </c>
    </row>
    <row r="2185" spans="1:22" x14ac:dyDescent="0.35">
      <c r="A2185" s="200" t="s">
        <v>36</v>
      </c>
      <c r="B2185" s="201">
        <v>2088</v>
      </c>
      <c r="C2185" s="201" t="s">
        <v>1777</v>
      </c>
      <c r="D2185" s="201">
        <v>969</v>
      </c>
      <c r="E2185" s="201">
        <v>12538138.499999985</v>
      </c>
      <c r="F2185" s="201">
        <v>656015</v>
      </c>
      <c r="G2185" s="201">
        <f>'Mail Merge'!$E2185+'Mail Merge'!$F2185</f>
        <v>13194153.499999985</v>
      </c>
      <c r="H2185" s="201"/>
      <c r="I2185" s="201" t="s">
        <v>2979</v>
      </c>
      <c r="J2185" s="204">
        <f>IFERROR('Mail Merge'!$E2185/'Mail Merge'!$D2185,0)</f>
        <v>12939.255417956641</v>
      </c>
      <c r="K2185" s="201">
        <f>IFERROR('Mail Merge'!$F2185/'Mail Merge'!$D2185,0)</f>
        <v>677.00206398348814</v>
      </c>
      <c r="L2185" s="201">
        <f>IFERROR('Mail Merge'!$G2185/'Mail Merge'!$D2185,0)</f>
        <v>13616.257481940129</v>
      </c>
      <c r="M2185" s="201"/>
      <c r="N2185" s="201" t="str">
        <f t="shared" si="0"/>
        <v>Met</v>
      </c>
      <c r="O2185" s="201">
        <v>1214039</v>
      </c>
      <c r="P2185" s="201">
        <v>29772</v>
      </c>
      <c r="Q2185" s="201">
        <f>'Mail Merge'!$O2185+'Mail Merge'!$P2185</f>
        <v>1243811</v>
      </c>
      <c r="R2185" s="201"/>
      <c r="S2185" s="201"/>
      <c r="T2185" s="201"/>
      <c r="U2185" s="201">
        <f>IF(AND('Mail Merge'!$I2185="Did Not Meet",'Mail Merge'!$N2185="Did Not Meet"),MIN(ABS('Mail Merge'!$H2185),ABS('Mail Merge'!$M2185),'Mail Merge'!$Q2185),0)</f>
        <v>0</v>
      </c>
      <c r="V2185" s="201" t="str">
        <f>IF(OR(IFERROR(SEARCH("Met",'Mail Merge'!$N2185),0)&gt;0,IFERROR(SEARCH("Met",'Mail Merge'!$I2185),0)&gt;0),"Met","Not Met")</f>
        <v>Met</v>
      </c>
    </row>
    <row r="2186" spans="1:22" x14ac:dyDescent="0.35">
      <c r="A2186" s="198" t="s">
        <v>37</v>
      </c>
      <c r="B2186" s="199">
        <v>2095</v>
      </c>
      <c r="C2186" s="199" t="s">
        <v>1777</v>
      </c>
      <c r="D2186" s="199">
        <v>35</v>
      </c>
      <c r="E2186" s="199">
        <v>345253.88999999996</v>
      </c>
      <c r="F2186" s="199">
        <v>43908</v>
      </c>
      <c r="G2186" s="199">
        <f>'Mail Merge'!$E2186+'Mail Merge'!$F2186</f>
        <v>389161.88999999996</v>
      </c>
      <c r="H2186" s="199"/>
      <c r="I2186" s="199" t="s">
        <v>2979</v>
      </c>
      <c r="J2186" s="202">
        <f>IFERROR('Mail Merge'!$E2186/'Mail Merge'!$D2186,0)</f>
        <v>9864.3968571428559</v>
      </c>
      <c r="K2186" s="199">
        <f>IFERROR('Mail Merge'!$F2186/'Mail Merge'!$D2186,0)</f>
        <v>1254.5142857142857</v>
      </c>
      <c r="L2186" s="199">
        <f>IFERROR('Mail Merge'!$G2186/'Mail Merge'!$D2186,0)</f>
        <v>11118.911142857141</v>
      </c>
      <c r="M2186" s="199"/>
      <c r="N2186" s="199" t="str">
        <f t="shared" si="0"/>
        <v>Met</v>
      </c>
      <c r="O2186" s="199">
        <v>55929</v>
      </c>
      <c r="P2186" s="199">
        <v>604</v>
      </c>
      <c r="Q2186" s="199">
        <f>'Mail Merge'!$O2186+'Mail Merge'!$P2186</f>
        <v>56533</v>
      </c>
      <c r="R2186" s="199"/>
      <c r="S2186" s="199"/>
      <c r="T2186" s="199"/>
      <c r="U2186" s="199">
        <f>IF(AND('Mail Merge'!$I2186="Did Not Meet",'Mail Merge'!$N2186="Did Not Meet"),MIN(ABS('Mail Merge'!$H2186),ABS('Mail Merge'!$M2186),'Mail Merge'!$Q2186),0)</f>
        <v>0</v>
      </c>
      <c r="V2186" s="199" t="str">
        <f>IF(OR(IFERROR(SEARCH("Met",'Mail Merge'!$N2186),0)&gt;0,IFERROR(SEARCH("Met",'Mail Merge'!$I2186),0)&gt;0),"Met","Not Met")</f>
        <v>Met</v>
      </c>
    </row>
    <row r="2187" spans="1:22" x14ac:dyDescent="0.35">
      <c r="A2187" s="200" t="s">
        <v>38</v>
      </c>
      <c r="B2187" s="201">
        <v>2052</v>
      </c>
      <c r="C2187" s="201" t="s">
        <v>1777</v>
      </c>
      <c r="D2187" s="201">
        <v>1</v>
      </c>
      <c r="E2187" s="201">
        <v>0</v>
      </c>
      <c r="F2187" s="201">
        <v>16122.65</v>
      </c>
      <c r="G2187" s="201">
        <f>'Mail Merge'!$E2187+'Mail Merge'!$F2187</f>
        <v>16122.65</v>
      </c>
      <c r="H2187" s="201"/>
      <c r="I2187" s="201" t="s">
        <v>2979</v>
      </c>
      <c r="J2187" s="204">
        <f>IFERROR('Mail Merge'!$E2187/'Mail Merge'!$D2187,0)</f>
        <v>0</v>
      </c>
      <c r="K2187" s="201">
        <f>IFERROR('Mail Merge'!$F2187/'Mail Merge'!$D2187,0)</f>
        <v>16122.65</v>
      </c>
      <c r="L2187" s="201">
        <f>IFERROR('Mail Merge'!$G2187/'Mail Merge'!$D2187,0)</f>
        <v>16122.65</v>
      </c>
      <c r="M2187" s="201"/>
      <c r="N2187" s="201" t="str">
        <f t="shared" si="0"/>
        <v>Met</v>
      </c>
      <c r="O2187" s="201">
        <v>4010</v>
      </c>
      <c r="P2187" s="201">
        <v>14</v>
      </c>
      <c r="Q2187" s="201">
        <f>'Mail Merge'!$O2187+'Mail Merge'!$P2187</f>
        <v>4024</v>
      </c>
      <c r="R2187" s="201"/>
      <c r="S2187" s="201"/>
      <c r="T2187" s="201"/>
      <c r="U2187" s="201">
        <f>IF(AND('Mail Merge'!$I2187="Did Not Meet",'Mail Merge'!$N2187="Did Not Meet"),MIN(ABS('Mail Merge'!$H2187),ABS('Mail Merge'!$M2187),'Mail Merge'!$Q2187),0)</f>
        <v>0</v>
      </c>
      <c r="V2187" s="201" t="str">
        <f>IF(OR(IFERROR(SEARCH("Met",'Mail Merge'!$N2187),0)&gt;0,IFERROR(SEARCH("Met",'Mail Merge'!$I2187),0)&gt;0),"Met","Not Met")</f>
        <v>Met</v>
      </c>
    </row>
    <row r="2188" spans="1:22" x14ac:dyDescent="0.35">
      <c r="A2188" s="198" t="s">
        <v>39</v>
      </c>
      <c r="B2188" s="199">
        <v>1974</v>
      </c>
      <c r="C2188" s="199" t="s">
        <v>1777</v>
      </c>
      <c r="D2188" s="199">
        <v>215</v>
      </c>
      <c r="E2188" s="199">
        <v>2324257.899999999</v>
      </c>
      <c r="F2188" s="199">
        <v>15924</v>
      </c>
      <c r="G2188" s="199">
        <f>'Mail Merge'!$E2188+'Mail Merge'!$F2188</f>
        <v>2340181.899999999</v>
      </c>
      <c r="H2188" s="199"/>
      <c r="I2188" s="199" t="s">
        <v>2140</v>
      </c>
      <c r="J2188" s="202">
        <f>IFERROR('Mail Merge'!$E2188/'Mail Merge'!$D2188,0)</f>
        <v>10810.501860465112</v>
      </c>
      <c r="K2188" s="199">
        <f>IFERROR('Mail Merge'!$F2188/'Mail Merge'!$D2188,0)</f>
        <v>74.06511627906977</v>
      </c>
      <c r="L2188" s="199">
        <f>IFERROR('Mail Merge'!$G2188/'Mail Merge'!$D2188,0)</f>
        <v>10884.566976744181</v>
      </c>
      <c r="M2188" s="199"/>
      <c r="N2188" s="199" t="str">
        <f t="shared" si="0"/>
        <v>Met</v>
      </c>
      <c r="O2188" s="199">
        <v>366112</v>
      </c>
      <c r="P2188" s="199">
        <v>15036</v>
      </c>
      <c r="Q2188" s="199">
        <f>'Mail Merge'!$O2188+'Mail Merge'!$P2188</f>
        <v>381148</v>
      </c>
      <c r="R2188" s="199"/>
      <c r="S2188" s="199"/>
      <c r="T2188" s="199"/>
      <c r="U2188" s="199">
        <f>IF(AND('Mail Merge'!$I2188="Did Not Meet",'Mail Merge'!$N2188="Did Not Meet"),MIN(ABS('Mail Merge'!$H2188),ABS('Mail Merge'!$M2188),'Mail Merge'!$Q2188),0)</f>
        <v>0</v>
      </c>
      <c r="V2188" s="199" t="str">
        <f>IF(OR(IFERROR(SEARCH("Met",'Mail Merge'!$N2188),0)&gt;0,IFERROR(SEARCH("Met",'Mail Merge'!$I2188),0)&gt;0),"Met","Not Met")</f>
        <v>Met</v>
      </c>
    </row>
    <row r="2189" spans="1:22" x14ac:dyDescent="0.35">
      <c r="A2189" s="200" t="s">
        <v>40</v>
      </c>
      <c r="B2189" s="201">
        <v>1896</v>
      </c>
      <c r="C2189" s="201" t="s">
        <v>1777</v>
      </c>
      <c r="D2189" s="201">
        <v>5</v>
      </c>
      <c r="E2189" s="201">
        <v>60182</v>
      </c>
      <c r="F2189" s="201">
        <v>18701.620000000003</v>
      </c>
      <c r="G2189" s="201">
        <f>'Mail Merge'!$E2189+'Mail Merge'!$F2189</f>
        <v>78883.62</v>
      </c>
      <c r="H2189" s="201"/>
      <c r="I2189" s="201" t="s">
        <v>241</v>
      </c>
      <c r="J2189" s="204">
        <f>IFERROR('Mail Merge'!$E2189/'Mail Merge'!$D2189,0)</f>
        <v>12036.4</v>
      </c>
      <c r="K2189" s="201">
        <f>IFERROR('Mail Merge'!$F2189/'Mail Merge'!$D2189,0)</f>
        <v>3740.3240000000005</v>
      </c>
      <c r="L2189" s="201">
        <f>IFERROR('Mail Merge'!$G2189/'Mail Merge'!$D2189,0)</f>
        <v>15776.723999999998</v>
      </c>
      <c r="M2189" s="201"/>
      <c r="N2189" s="201" t="str">
        <f t="shared" si="0"/>
        <v>Did Not Meet</v>
      </c>
      <c r="O2189" s="201">
        <v>15630</v>
      </c>
      <c r="P2189" s="201">
        <v>293</v>
      </c>
      <c r="Q2189" s="201">
        <f>'Mail Merge'!$O2189+'Mail Merge'!$P2189</f>
        <v>15923</v>
      </c>
      <c r="R2189" s="201"/>
      <c r="S2189" s="201"/>
      <c r="T2189" s="201"/>
      <c r="U2189" s="201">
        <f>IF(AND('Mail Merge'!$I2189="Did Not Meet",'Mail Merge'!$N2189="Did Not Meet"),MIN(ABS('Mail Merge'!$H2189),ABS('Mail Merge'!$M2189),'Mail Merge'!$Q2189),0)</f>
        <v>0</v>
      </c>
      <c r="V2189" s="201" t="str">
        <f>IF(OR(IFERROR(SEARCH("Met",'Mail Merge'!$N2189),0)&gt;0,IFERROR(SEARCH("Met",'Mail Merge'!$I2189),0)&gt;0),"Met","Not Met")</f>
        <v>Met</v>
      </c>
    </row>
    <row r="2190" spans="1:22" x14ac:dyDescent="0.35">
      <c r="A2190" s="198" t="s">
        <v>42</v>
      </c>
      <c r="B2190" s="199">
        <v>2046</v>
      </c>
      <c r="C2190" s="199" t="s">
        <v>1777</v>
      </c>
      <c r="D2190" s="199">
        <v>38</v>
      </c>
      <c r="E2190" s="199">
        <v>263704.3</v>
      </c>
      <c r="F2190" s="199">
        <v>143181.67000000001</v>
      </c>
      <c r="G2190" s="199">
        <f>'Mail Merge'!$E2190+'Mail Merge'!$F2190</f>
        <v>406885.97</v>
      </c>
      <c r="H2190" s="199"/>
      <c r="I2190" s="199" t="s">
        <v>241</v>
      </c>
      <c r="J2190" s="202">
        <f>IFERROR('Mail Merge'!$E2190/'Mail Merge'!$D2190,0)</f>
        <v>6939.5868421052628</v>
      </c>
      <c r="K2190" s="199">
        <f>IFERROR('Mail Merge'!$F2190/'Mail Merge'!$D2190,0)</f>
        <v>3767.9386842105268</v>
      </c>
      <c r="L2190" s="199">
        <f>IFERROR('Mail Merge'!$G2190/'Mail Merge'!$D2190,0)</f>
        <v>10707.525526315789</v>
      </c>
      <c r="M2190" s="199"/>
      <c r="N2190" s="199" t="str">
        <f t="shared" si="0"/>
        <v>Met</v>
      </c>
      <c r="O2190" s="199">
        <v>43604</v>
      </c>
      <c r="P2190" s="199">
        <v>613</v>
      </c>
      <c r="Q2190" s="199">
        <f>'Mail Merge'!$O2190+'Mail Merge'!$P2190</f>
        <v>44217</v>
      </c>
      <c r="R2190" s="199"/>
      <c r="S2190" s="199"/>
      <c r="T2190" s="199"/>
      <c r="U2190" s="199">
        <f>IF(AND('Mail Merge'!$I2190="Did Not Meet",'Mail Merge'!$N2190="Did Not Meet"),MIN(ABS('Mail Merge'!$H2190),ABS('Mail Merge'!$M2190),'Mail Merge'!$Q2190),0)</f>
        <v>0</v>
      </c>
      <c r="V2190" s="199" t="str">
        <f>IF(OR(IFERROR(SEARCH("Met",'Mail Merge'!$N2190),0)&gt;0,IFERROR(SEARCH("Met",'Mail Merge'!$I2190),0)&gt;0),"Met","Not Met")</f>
        <v>Met</v>
      </c>
    </row>
    <row r="2191" spans="1:22" x14ac:dyDescent="0.35">
      <c r="A2191" s="200" t="s">
        <v>43</v>
      </c>
      <c r="B2191" s="201">
        <v>1995</v>
      </c>
      <c r="C2191" s="201" t="s">
        <v>1777</v>
      </c>
      <c r="D2191" s="201">
        <v>38</v>
      </c>
      <c r="E2191" s="201">
        <v>294956.69</v>
      </c>
      <c r="F2191" s="201">
        <v>54403.13</v>
      </c>
      <c r="G2191" s="201">
        <f>'Mail Merge'!$E2191+'Mail Merge'!$F2191</f>
        <v>349359.82</v>
      </c>
      <c r="H2191" s="201"/>
      <c r="I2191" s="201" t="s">
        <v>241</v>
      </c>
      <c r="J2191" s="204">
        <f>IFERROR('Mail Merge'!$E2191/'Mail Merge'!$D2191,0)</f>
        <v>7762.0181578947368</v>
      </c>
      <c r="K2191" s="201">
        <f>IFERROR('Mail Merge'!$F2191/'Mail Merge'!$D2191,0)</f>
        <v>1431.6613157894735</v>
      </c>
      <c r="L2191" s="201">
        <f>IFERROR('Mail Merge'!$G2191/'Mail Merge'!$D2191,0)</f>
        <v>9193.6794736842112</v>
      </c>
      <c r="M2191" s="201"/>
      <c r="N2191" s="201" t="str">
        <f t="shared" si="0"/>
        <v>Met</v>
      </c>
      <c r="O2191" s="201">
        <v>52690</v>
      </c>
      <c r="P2191" s="201">
        <v>386</v>
      </c>
      <c r="Q2191" s="201">
        <f>'Mail Merge'!$O2191+'Mail Merge'!$P2191</f>
        <v>53076</v>
      </c>
      <c r="R2191" s="201"/>
      <c r="S2191" s="201"/>
      <c r="T2191" s="201"/>
      <c r="U2191" s="201">
        <f>IF(AND('Mail Merge'!$I2191="Did Not Meet",'Mail Merge'!$N2191="Did Not Meet"),MIN(ABS('Mail Merge'!$H2191),ABS('Mail Merge'!$M2191),'Mail Merge'!$Q2191),0)</f>
        <v>0</v>
      </c>
      <c r="V2191" s="201" t="str">
        <f>IF(OR(IFERROR(SEARCH("Met",'Mail Merge'!$N2191),0)&gt;0,IFERROR(SEARCH("Met",'Mail Merge'!$I2191),0)&gt;0),"Met","Not Met")</f>
        <v>Met</v>
      </c>
    </row>
    <row r="2192" spans="1:22" x14ac:dyDescent="0.35">
      <c r="A2192" s="198" t="s">
        <v>44</v>
      </c>
      <c r="B2192" s="199">
        <v>1929</v>
      </c>
      <c r="C2192" s="199" t="s">
        <v>1777</v>
      </c>
      <c r="D2192" s="199">
        <v>575</v>
      </c>
      <c r="E2192" s="199">
        <v>7457547.1100000031</v>
      </c>
      <c r="F2192" s="199">
        <v>990580</v>
      </c>
      <c r="G2192" s="199">
        <f>'Mail Merge'!$E2192+'Mail Merge'!$F2192</f>
        <v>8448127.1100000031</v>
      </c>
      <c r="H2192" s="199"/>
      <c r="I2192" s="199" t="s">
        <v>241</v>
      </c>
      <c r="J2192" s="202">
        <f>IFERROR('Mail Merge'!$E2192/'Mail Merge'!$D2192,0)</f>
        <v>12969.647147826092</v>
      </c>
      <c r="K2192" s="199">
        <f>IFERROR('Mail Merge'!$F2192/'Mail Merge'!$D2192,0)</f>
        <v>1722.7478260869566</v>
      </c>
      <c r="L2192" s="199">
        <f>IFERROR('Mail Merge'!$G2192/'Mail Merge'!$D2192,0)</f>
        <v>14692.394973913049</v>
      </c>
      <c r="M2192" s="199"/>
      <c r="N2192" s="199" t="str">
        <f t="shared" si="0"/>
        <v>Met</v>
      </c>
      <c r="O2192" s="199">
        <v>1024187</v>
      </c>
      <c r="P2192" s="199">
        <v>17247</v>
      </c>
      <c r="Q2192" s="199">
        <f>'Mail Merge'!$O2192+'Mail Merge'!$P2192</f>
        <v>1041434</v>
      </c>
      <c r="R2192" s="199"/>
      <c r="S2192" s="199"/>
      <c r="T2192" s="199"/>
      <c r="U2192" s="199">
        <f>IF(AND('Mail Merge'!$I2192="Did Not Meet",'Mail Merge'!$N2192="Did Not Meet"),MIN(ABS('Mail Merge'!$H2192),ABS('Mail Merge'!$M2192),'Mail Merge'!$Q2192),0)</f>
        <v>0</v>
      </c>
      <c r="V2192" s="199" t="str">
        <f>IF(OR(IFERROR(SEARCH("Met",'Mail Merge'!$N2192),0)&gt;0,IFERROR(SEARCH("Met",'Mail Merge'!$I2192),0)&gt;0),"Met","Not Met")</f>
        <v>Met</v>
      </c>
    </row>
    <row r="2193" spans="1:22" x14ac:dyDescent="0.35">
      <c r="A2193" s="200" t="s">
        <v>45</v>
      </c>
      <c r="B2193" s="201">
        <v>2139</v>
      </c>
      <c r="C2193" s="201" t="s">
        <v>1777</v>
      </c>
      <c r="D2193" s="201">
        <v>366</v>
      </c>
      <c r="E2193" s="201">
        <v>4151153.5800000015</v>
      </c>
      <c r="F2193" s="201">
        <v>318555.43999999994</v>
      </c>
      <c r="G2193" s="201">
        <f>'Mail Merge'!$E2193+'Mail Merge'!$F2193</f>
        <v>4469709.0200000014</v>
      </c>
      <c r="H2193" s="201"/>
      <c r="I2193" s="201" t="s">
        <v>2979</v>
      </c>
      <c r="J2193" s="204">
        <f>IFERROR('Mail Merge'!$E2193/'Mail Merge'!$D2193,0)</f>
        <v>11341.949672131152</v>
      </c>
      <c r="K2193" s="201">
        <f>IFERROR('Mail Merge'!$F2193/'Mail Merge'!$D2193,0)</f>
        <v>870.37005464480865</v>
      </c>
      <c r="L2193" s="201">
        <f>IFERROR('Mail Merge'!$G2193/'Mail Merge'!$D2193,0)</f>
        <v>12212.319726775961</v>
      </c>
      <c r="M2193" s="201"/>
      <c r="N2193" s="201" t="str">
        <f t="shared" si="0"/>
        <v>Met</v>
      </c>
      <c r="O2193" s="201">
        <v>591595</v>
      </c>
      <c r="P2193" s="201">
        <v>13283</v>
      </c>
      <c r="Q2193" s="201">
        <f>'Mail Merge'!$O2193+'Mail Merge'!$P2193</f>
        <v>604878</v>
      </c>
      <c r="R2193" s="201"/>
      <c r="S2193" s="201"/>
      <c r="T2193" s="201"/>
      <c r="U2193" s="201">
        <f>IF(AND('Mail Merge'!$I2193="Did Not Meet",'Mail Merge'!$N2193="Did Not Meet"),MIN(ABS('Mail Merge'!$H2193),ABS('Mail Merge'!$M2193),'Mail Merge'!$Q2193),0)</f>
        <v>0</v>
      </c>
      <c r="V2193" s="201" t="str">
        <f>IF(OR(IFERROR(SEARCH("Met",'Mail Merge'!$N2193),0)&gt;0,IFERROR(SEARCH("Met",'Mail Merge'!$I2193),0)&gt;0),"Met","Not Met")</f>
        <v>Met</v>
      </c>
    </row>
    <row r="2194" spans="1:22" x14ac:dyDescent="0.35">
      <c r="A2194" s="198" t="s">
        <v>46</v>
      </c>
      <c r="B2194" s="199">
        <v>2185</v>
      </c>
      <c r="C2194" s="199" t="s">
        <v>1777</v>
      </c>
      <c r="D2194" s="199">
        <v>773</v>
      </c>
      <c r="E2194" s="199">
        <v>10342478.089999998</v>
      </c>
      <c r="F2194" s="199">
        <v>2012927.4500000002</v>
      </c>
      <c r="G2194" s="199">
        <f>'Mail Merge'!$E2194+'Mail Merge'!$F2194</f>
        <v>12355405.539999999</v>
      </c>
      <c r="H2194" s="199"/>
      <c r="I2194" s="199" t="s">
        <v>241</v>
      </c>
      <c r="J2194" s="202">
        <f>IFERROR('Mail Merge'!$E2194/'Mail Merge'!$D2194,0)</f>
        <v>13379.661177231563</v>
      </c>
      <c r="K2194" s="199">
        <f>IFERROR('Mail Merge'!$F2194/'Mail Merge'!$D2194,0)</f>
        <v>2604.0458602846056</v>
      </c>
      <c r="L2194" s="199">
        <f>IFERROR('Mail Merge'!$G2194/'Mail Merge'!$D2194,0)</f>
        <v>15983.707037516169</v>
      </c>
      <c r="M2194" s="199"/>
      <c r="N2194" s="199" t="str">
        <f t="shared" si="0"/>
        <v>Met</v>
      </c>
      <c r="O2194" s="199">
        <v>1415716</v>
      </c>
      <c r="P2194" s="199">
        <v>35444</v>
      </c>
      <c r="Q2194" s="199">
        <f>'Mail Merge'!$O2194+'Mail Merge'!$P2194</f>
        <v>1451160</v>
      </c>
      <c r="R2194" s="199"/>
      <c r="S2194" s="199"/>
      <c r="T2194" s="199"/>
      <c r="U2194" s="199">
        <f>IF(AND('Mail Merge'!$I2194="Did Not Meet",'Mail Merge'!$N2194="Did Not Meet"),MIN(ABS('Mail Merge'!$H2194),ABS('Mail Merge'!$M2194),'Mail Merge'!$Q2194),0)</f>
        <v>0</v>
      </c>
      <c r="V2194" s="199" t="str">
        <f>IF(OR(IFERROR(SEARCH("Met",'Mail Merge'!$N2194),0)&gt;0,IFERROR(SEARCH("Met",'Mail Merge'!$I2194),0)&gt;0),"Met","Not Met")</f>
        <v>Met</v>
      </c>
    </row>
    <row r="2195" spans="1:22" x14ac:dyDescent="0.35">
      <c r="A2195" s="200" t="s">
        <v>47</v>
      </c>
      <c r="B2195" s="201">
        <v>1972</v>
      </c>
      <c r="C2195" s="201" t="s">
        <v>1777</v>
      </c>
      <c r="D2195" s="201">
        <v>54</v>
      </c>
      <c r="E2195" s="201">
        <v>293378.09000000008</v>
      </c>
      <c r="F2195" s="201">
        <v>224279</v>
      </c>
      <c r="G2195" s="201">
        <f>'Mail Merge'!$E2195+'Mail Merge'!$F2195</f>
        <v>517657.09000000008</v>
      </c>
      <c r="H2195" s="201"/>
      <c r="I2195" s="201" t="s">
        <v>2979</v>
      </c>
      <c r="J2195" s="204">
        <f>IFERROR('Mail Merge'!$E2195/'Mail Merge'!$D2195,0)</f>
        <v>5432.927592592594</v>
      </c>
      <c r="K2195" s="201">
        <f>IFERROR('Mail Merge'!$F2195/'Mail Merge'!$D2195,0)</f>
        <v>4153.3148148148148</v>
      </c>
      <c r="L2195" s="201">
        <f>IFERROR('Mail Merge'!$G2195/'Mail Merge'!$D2195,0)</f>
        <v>9586.2424074074097</v>
      </c>
      <c r="M2195" s="201"/>
      <c r="N2195" s="201" t="str">
        <f t="shared" si="0"/>
        <v>Met</v>
      </c>
      <c r="O2195" s="201">
        <v>132645</v>
      </c>
      <c r="P2195" s="201">
        <v>4141</v>
      </c>
      <c r="Q2195" s="201">
        <f>'Mail Merge'!$O2195+'Mail Merge'!$P2195</f>
        <v>136786</v>
      </c>
      <c r="R2195" s="201"/>
      <c r="S2195" s="201"/>
      <c r="T2195" s="201"/>
      <c r="U2195" s="201">
        <f>IF(AND('Mail Merge'!$I2195="Did Not Meet",'Mail Merge'!$N2195="Did Not Meet"),MIN(ABS('Mail Merge'!$H2195),ABS('Mail Merge'!$M2195),'Mail Merge'!$Q2195),0)</f>
        <v>0</v>
      </c>
      <c r="V2195" s="201" t="str">
        <f>IF(OR(IFERROR(SEARCH("Met",'Mail Merge'!$N2195),0)&gt;0,IFERROR(SEARCH("Met",'Mail Merge'!$I2195),0)&gt;0),"Met","Not Met")</f>
        <v>Met</v>
      </c>
    </row>
    <row r="2196" spans="1:22" x14ac:dyDescent="0.35">
      <c r="A2196" s="198" t="s">
        <v>48</v>
      </c>
      <c r="B2196" s="199">
        <v>2105</v>
      </c>
      <c r="C2196" s="199" t="s">
        <v>1777</v>
      </c>
      <c r="D2196" s="199">
        <v>93</v>
      </c>
      <c r="E2196" s="199">
        <v>706035.70000000019</v>
      </c>
      <c r="F2196" s="199">
        <v>178263</v>
      </c>
      <c r="G2196" s="199">
        <f>'Mail Merge'!$E2196+'Mail Merge'!$F2196</f>
        <v>884298.70000000019</v>
      </c>
      <c r="H2196" s="199"/>
      <c r="I2196" s="199" t="s">
        <v>241</v>
      </c>
      <c r="J2196" s="202">
        <f>IFERROR('Mail Merge'!$E2196/'Mail Merge'!$D2196,0)</f>
        <v>7591.7817204301091</v>
      </c>
      <c r="K2196" s="199">
        <f>IFERROR('Mail Merge'!$F2196/'Mail Merge'!$D2196,0)</f>
        <v>1916.8064516129032</v>
      </c>
      <c r="L2196" s="199">
        <f>IFERROR('Mail Merge'!$G2196/'Mail Merge'!$D2196,0)</f>
        <v>9508.5881720430134</v>
      </c>
      <c r="M2196" s="199"/>
      <c r="N2196" s="199" t="str">
        <f t="shared" si="0"/>
        <v>Met</v>
      </c>
      <c r="O2196" s="199">
        <v>152513</v>
      </c>
      <c r="P2196" s="199">
        <v>4310</v>
      </c>
      <c r="Q2196" s="199">
        <f>'Mail Merge'!$O2196+'Mail Merge'!$P2196</f>
        <v>156823</v>
      </c>
      <c r="R2196" s="199"/>
      <c r="S2196" s="199"/>
      <c r="T2196" s="199"/>
      <c r="U2196" s="199">
        <f>IF(AND('Mail Merge'!$I2196="Did Not Meet",'Mail Merge'!$N2196="Did Not Meet"),MIN(ABS('Mail Merge'!$H2196),ABS('Mail Merge'!$M2196),'Mail Merge'!$Q2196),0)</f>
        <v>0</v>
      </c>
      <c r="V2196" s="199" t="str">
        <f>IF(OR(IFERROR(SEARCH("Met",'Mail Merge'!$N2196),0)&gt;0,IFERROR(SEARCH("Met",'Mail Merge'!$I2196),0)&gt;0),"Met","Not Met")</f>
        <v>Met</v>
      </c>
    </row>
    <row r="2197" spans="1:22" x14ac:dyDescent="0.35">
      <c r="A2197" s="200" t="s">
        <v>49</v>
      </c>
      <c r="B2197" s="201">
        <v>2042</v>
      </c>
      <c r="C2197" s="201" t="s">
        <v>1777</v>
      </c>
      <c r="D2197" s="201">
        <v>616</v>
      </c>
      <c r="E2197" s="201">
        <v>3419061.6300000018</v>
      </c>
      <c r="F2197" s="201">
        <v>1084629.78</v>
      </c>
      <c r="G2197" s="201">
        <f>'Mail Merge'!$E2197+'Mail Merge'!$F2197</f>
        <v>4503691.410000002</v>
      </c>
      <c r="H2197" s="201"/>
      <c r="I2197" s="201" t="s">
        <v>241</v>
      </c>
      <c r="J2197" s="204">
        <f>IFERROR('Mail Merge'!$E2197/'Mail Merge'!$D2197,0)</f>
        <v>5550.4247240259765</v>
      </c>
      <c r="K2197" s="201">
        <f>IFERROR('Mail Merge'!$F2197/'Mail Merge'!$D2197,0)</f>
        <v>1760.76262987013</v>
      </c>
      <c r="L2197" s="201">
        <f>IFERROR('Mail Merge'!$G2197/'Mail Merge'!$D2197,0)</f>
        <v>7311.1873538961072</v>
      </c>
      <c r="M2197" s="201"/>
      <c r="N2197" s="201" t="str">
        <f t="shared" si="0"/>
        <v>Met</v>
      </c>
      <c r="O2197" s="201">
        <v>988997</v>
      </c>
      <c r="P2197" s="201">
        <v>32872</v>
      </c>
      <c r="Q2197" s="201">
        <f>'Mail Merge'!$O2197+'Mail Merge'!$P2197</f>
        <v>1021869</v>
      </c>
      <c r="R2197" s="201"/>
      <c r="S2197" s="201"/>
      <c r="T2197" s="201"/>
      <c r="U2197" s="201">
        <f>IF(AND('Mail Merge'!$I2197="Did Not Meet",'Mail Merge'!$N2197="Did Not Meet"),MIN(ABS('Mail Merge'!$H2197),ABS('Mail Merge'!$M2197),'Mail Merge'!$Q2197),0)</f>
        <v>0</v>
      </c>
      <c r="V2197" s="201" t="str">
        <f>IF(OR(IFERROR(SEARCH("Met",'Mail Merge'!$N2197),0)&gt;0,IFERROR(SEARCH("Met",'Mail Merge'!$I2197),0)&gt;0),"Met","Not Met")</f>
        <v>Met</v>
      </c>
    </row>
    <row r="2198" spans="1:22" x14ac:dyDescent="0.35">
      <c r="A2198" s="198" t="s">
        <v>50</v>
      </c>
      <c r="B2198" s="199">
        <v>2191</v>
      </c>
      <c r="C2198" s="199" t="s">
        <v>1777</v>
      </c>
      <c r="D2198" s="199">
        <v>379</v>
      </c>
      <c r="E2198" s="199">
        <v>6646785.1799999997</v>
      </c>
      <c r="F2198" s="199">
        <v>193706.7</v>
      </c>
      <c r="G2198" s="199">
        <f>'Mail Merge'!$E2198+'Mail Merge'!$F2198</f>
        <v>6840491.8799999999</v>
      </c>
      <c r="H2198" s="199"/>
      <c r="I2198" s="199" t="s">
        <v>2979</v>
      </c>
      <c r="J2198" s="202">
        <f>IFERROR('Mail Merge'!$E2198/'Mail Merge'!$D2198,0)</f>
        <v>17537.691767810025</v>
      </c>
      <c r="K2198" s="199">
        <f>IFERROR('Mail Merge'!$F2198/'Mail Merge'!$D2198,0)</f>
        <v>511.09947229551454</v>
      </c>
      <c r="L2198" s="199">
        <f>IFERROR('Mail Merge'!$G2198/'Mail Merge'!$D2198,0)</f>
        <v>18048.79124010554</v>
      </c>
      <c r="M2198" s="199"/>
      <c r="N2198" s="199" t="str">
        <f t="shared" si="0"/>
        <v>Did Not Meet</v>
      </c>
      <c r="O2198" s="199">
        <v>677337</v>
      </c>
      <c r="P2198" s="199">
        <v>16414</v>
      </c>
      <c r="Q2198" s="199">
        <f>'Mail Merge'!$O2198+'Mail Merge'!$P2198</f>
        <v>693751</v>
      </c>
      <c r="R2198" s="199"/>
      <c r="S2198" s="199"/>
      <c r="T2198" s="199"/>
      <c r="U2198" s="199">
        <f>IF(AND('Mail Merge'!$I2198="Did Not Meet",'Mail Merge'!$N2198="Did Not Meet"),MIN(ABS('Mail Merge'!$H2198),ABS('Mail Merge'!$M2198),'Mail Merge'!$Q2198),0)</f>
        <v>0</v>
      </c>
      <c r="V2198" s="199" t="str">
        <f>IF(OR(IFERROR(SEARCH("Met",'Mail Merge'!$N2198),0)&gt;0,IFERROR(SEARCH("Met",'Mail Merge'!$I2198),0)&gt;0),"Met","Not Met")</f>
        <v>Met</v>
      </c>
    </row>
    <row r="2199" spans="1:22" x14ac:dyDescent="0.35">
      <c r="A2199" s="200" t="s">
        <v>51</v>
      </c>
      <c r="B2199" s="201">
        <v>1945</v>
      </c>
      <c r="C2199" s="201" t="s">
        <v>1777</v>
      </c>
      <c r="D2199" s="201">
        <v>116</v>
      </c>
      <c r="E2199" s="201">
        <v>1964913.9799999997</v>
      </c>
      <c r="F2199" s="201">
        <v>80689</v>
      </c>
      <c r="G2199" s="201">
        <f>'Mail Merge'!$E2199+'Mail Merge'!$F2199</f>
        <v>2045602.9799999997</v>
      </c>
      <c r="H2199" s="201"/>
      <c r="I2199" s="201" t="s">
        <v>2979</v>
      </c>
      <c r="J2199" s="204">
        <f>IFERROR('Mail Merge'!$E2199/'Mail Merge'!$D2199,0)</f>
        <v>16938.913620689655</v>
      </c>
      <c r="K2199" s="201">
        <f>IFERROR('Mail Merge'!$F2199/'Mail Merge'!$D2199,0)</f>
        <v>695.59482758620686</v>
      </c>
      <c r="L2199" s="201">
        <f>IFERROR('Mail Merge'!$G2199/'Mail Merge'!$D2199,0)</f>
        <v>17634.508448275861</v>
      </c>
      <c r="M2199" s="201"/>
      <c r="N2199" s="201" t="str">
        <f t="shared" si="0"/>
        <v>Met</v>
      </c>
      <c r="O2199" s="201">
        <v>174864</v>
      </c>
      <c r="P2199" s="201">
        <v>8176</v>
      </c>
      <c r="Q2199" s="201">
        <f>'Mail Merge'!$O2199+'Mail Merge'!$P2199</f>
        <v>183040</v>
      </c>
      <c r="R2199" s="201"/>
      <c r="S2199" s="201"/>
      <c r="T2199" s="201"/>
      <c r="U2199" s="201">
        <f>IF(AND('Mail Merge'!$I2199="Did Not Meet",'Mail Merge'!$N2199="Did Not Meet"),MIN(ABS('Mail Merge'!$H2199),ABS('Mail Merge'!$M2199),'Mail Merge'!$Q2199),0)</f>
        <v>0</v>
      </c>
      <c r="V2199" s="201" t="str">
        <f>IF(OR(IFERROR(SEARCH("Met",'Mail Merge'!$N2199),0)&gt;0,IFERROR(SEARCH("Met",'Mail Merge'!$I2199),0)&gt;0),"Met","Not Met")</f>
        <v>Met</v>
      </c>
    </row>
    <row r="2200" spans="1:22" x14ac:dyDescent="0.35">
      <c r="A2200" s="198" t="s">
        <v>52</v>
      </c>
      <c r="B2200" s="199">
        <v>1927</v>
      </c>
      <c r="C2200" s="199" t="s">
        <v>1777</v>
      </c>
      <c r="D2200" s="199">
        <v>69</v>
      </c>
      <c r="E2200" s="199">
        <v>762552.61</v>
      </c>
      <c r="F2200" s="199">
        <v>16200</v>
      </c>
      <c r="G2200" s="199">
        <f>'Mail Merge'!$E2200+'Mail Merge'!$F2200</f>
        <v>778752.61</v>
      </c>
      <c r="H2200" s="199"/>
      <c r="I2200" s="199" t="s">
        <v>2979</v>
      </c>
      <c r="J2200" s="202">
        <f>IFERROR('Mail Merge'!$E2200/'Mail Merge'!$D2200,0)</f>
        <v>11051.487101449275</v>
      </c>
      <c r="K2200" s="199">
        <f>IFERROR('Mail Merge'!$F2200/'Mail Merge'!$D2200,0)</f>
        <v>234.78260869565219</v>
      </c>
      <c r="L2200" s="199">
        <f>IFERROR('Mail Merge'!$G2200/'Mail Merge'!$D2200,0)</f>
        <v>11286.269710144927</v>
      </c>
      <c r="M2200" s="199"/>
      <c r="N2200" s="199" t="str">
        <f t="shared" si="0"/>
        <v>Met</v>
      </c>
      <c r="O2200" s="199">
        <v>149752</v>
      </c>
      <c r="P2200" s="199">
        <v>5632</v>
      </c>
      <c r="Q2200" s="199">
        <f>'Mail Merge'!$O2200+'Mail Merge'!$P2200</f>
        <v>155384</v>
      </c>
      <c r="R2200" s="199"/>
      <c r="S2200" s="199"/>
      <c r="T2200" s="199"/>
      <c r="U2200" s="199">
        <f>IF(AND('Mail Merge'!$I2200="Did Not Meet",'Mail Merge'!$N2200="Did Not Meet"),MIN(ABS('Mail Merge'!$H2200),ABS('Mail Merge'!$M2200),'Mail Merge'!$Q2200),0)</f>
        <v>0</v>
      </c>
      <c r="V2200" s="199" t="str">
        <f>IF(OR(IFERROR(SEARCH("Met",'Mail Merge'!$N2200),0)&gt;0,IFERROR(SEARCH("Met",'Mail Merge'!$I2200),0)&gt;0),"Met","Not Met")</f>
        <v>Met</v>
      </c>
    </row>
    <row r="2201" spans="1:22" x14ac:dyDescent="0.35">
      <c r="A2201" s="200" t="s">
        <v>53</v>
      </c>
      <c r="B2201" s="201">
        <v>2006</v>
      </c>
      <c r="C2201" s="201" t="s">
        <v>1777</v>
      </c>
      <c r="D2201" s="201">
        <v>8</v>
      </c>
      <c r="E2201" s="201">
        <v>8538.94</v>
      </c>
      <c r="F2201" s="201">
        <v>145884</v>
      </c>
      <c r="G2201" s="201">
        <f>'Mail Merge'!$E2201+'Mail Merge'!$F2201</f>
        <v>154422.94</v>
      </c>
      <c r="H2201" s="201"/>
      <c r="I2201" s="201" t="s">
        <v>2140</v>
      </c>
      <c r="J2201" s="204">
        <f>IFERROR('Mail Merge'!$E2201/'Mail Merge'!$D2201,0)</f>
        <v>1067.3675000000001</v>
      </c>
      <c r="K2201" s="201">
        <f>IFERROR('Mail Merge'!$F2201/'Mail Merge'!$D2201,0)</f>
        <v>18235.5</v>
      </c>
      <c r="L2201" s="201">
        <f>IFERROR('Mail Merge'!$G2201/'Mail Merge'!$D2201,0)</f>
        <v>19302.8675</v>
      </c>
      <c r="M2201" s="201"/>
      <c r="N2201" s="201" t="str">
        <f t="shared" si="0"/>
        <v>Met</v>
      </c>
      <c r="O2201" s="201">
        <v>30967</v>
      </c>
      <c r="P2201" s="201">
        <v>894</v>
      </c>
      <c r="Q2201" s="201">
        <f>'Mail Merge'!$O2201+'Mail Merge'!$P2201</f>
        <v>31861</v>
      </c>
      <c r="R2201" s="201"/>
      <c r="S2201" s="201"/>
      <c r="T2201" s="201"/>
      <c r="U2201" s="201">
        <f>IF(AND('Mail Merge'!$I2201="Did Not Meet",'Mail Merge'!$N2201="Did Not Meet"),MIN(ABS('Mail Merge'!$H2201),ABS('Mail Merge'!$M2201),'Mail Merge'!$Q2201),0)</f>
        <v>0</v>
      </c>
      <c r="V2201" s="201" t="str">
        <f>IF(OR(IFERROR(SEARCH("Met",'Mail Merge'!$N2201),0)&gt;0,IFERROR(SEARCH("Met",'Mail Merge'!$I2201),0)&gt;0),"Met","Not Met")</f>
        <v>Met</v>
      </c>
    </row>
    <row r="2202" spans="1:22" x14ac:dyDescent="0.35">
      <c r="A2202" s="198" t="s">
        <v>54</v>
      </c>
      <c r="B2202" s="199">
        <v>1965</v>
      </c>
      <c r="C2202" s="199" t="s">
        <v>1777</v>
      </c>
      <c r="D2202" s="199">
        <v>464</v>
      </c>
      <c r="E2202" s="199">
        <v>4818649.5800000029</v>
      </c>
      <c r="F2202" s="199">
        <v>1509274</v>
      </c>
      <c r="G2202" s="199">
        <f>'Mail Merge'!$E2202+'Mail Merge'!$F2202</f>
        <v>6327923.5800000029</v>
      </c>
      <c r="H2202" s="199"/>
      <c r="I2202" s="199" t="s">
        <v>2979</v>
      </c>
      <c r="J2202" s="202">
        <f>IFERROR('Mail Merge'!$E2202/'Mail Merge'!$D2202,0)</f>
        <v>10385.020646551729</v>
      </c>
      <c r="K2202" s="199">
        <f>IFERROR('Mail Merge'!$F2202/'Mail Merge'!$D2202,0)</f>
        <v>3252.7456896551726</v>
      </c>
      <c r="L2202" s="199">
        <f>IFERROR('Mail Merge'!$G2202/'Mail Merge'!$D2202,0)</f>
        <v>13637.766336206903</v>
      </c>
      <c r="M2202" s="199"/>
      <c r="N2202" s="199" t="str">
        <f t="shared" si="0"/>
        <v>Did Not Meet</v>
      </c>
      <c r="O2202" s="199">
        <v>909095</v>
      </c>
      <c r="P2202" s="199">
        <v>28876</v>
      </c>
      <c r="Q2202" s="199">
        <f>'Mail Merge'!$O2202+'Mail Merge'!$P2202</f>
        <v>937971</v>
      </c>
      <c r="R2202" s="199"/>
      <c r="S2202" s="199"/>
      <c r="T2202" s="199"/>
      <c r="U2202" s="199">
        <f>IF(AND('Mail Merge'!$I2202="Did Not Meet",'Mail Merge'!$N2202="Did Not Meet"),MIN(ABS('Mail Merge'!$H2202),ABS('Mail Merge'!$M2202),'Mail Merge'!$Q2202),0)</f>
        <v>0</v>
      </c>
      <c r="V2202" s="199" t="str">
        <f>IF(OR(IFERROR(SEARCH("Met",'Mail Merge'!$N2202),0)&gt;0,IFERROR(SEARCH("Met",'Mail Merge'!$I2202),0)&gt;0),"Met","Not Met")</f>
        <v>Met</v>
      </c>
    </row>
    <row r="2203" spans="1:22" x14ac:dyDescent="0.35">
      <c r="A2203" s="200" t="s">
        <v>55</v>
      </c>
      <c r="B2203" s="201">
        <v>1964</v>
      </c>
      <c r="C2203" s="201" t="s">
        <v>1777</v>
      </c>
      <c r="D2203" s="201">
        <v>183</v>
      </c>
      <c r="E2203" s="201">
        <v>1166268.3599999999</v>
      </c>
      <c r="F2203" s="201">
        <v>255876</v>
      </c>
      <c r="G2203" s="201">
        <f>'Mail Merge'!$E2203+'Mail Merge'!$F2203</f>
        <v>1422144.3599999999</v>
      </c>
      <c r="H2203" s="201"/>
      <c r="I2203" s="201" t="s">
        <v>241</v>
      </c>
      <c r="J2203" s="204">
        <f>IFERROR('Mail Merge'!$E2203/'Mail Merge'!$D2203,0)</f>
        <v>6373.051147540983</v>
      </c>
      <c r="K2203" s="201">
        <f>IFERROR('Mail Merge'!$F2203/'Mail Merge'!$D2203,0)</f>
        <v>1398.2295081967213</v>
      </c>
      <c r="L2203" s="201">
        <f>IFERROR('Mail Merge'!$G2203/'Mail Merge'!$D2203,0)</f>
        <v>7771.2806557377044</v>
      </c>
      <c r="M2203" s="201"/>
      <c r="N2203" s="201" t="str">
        <f t="shared" si="0"/>
        <v>Met</v>
      </c>
      <c r="O2203" s="201">
        <v>268104</v>
      </c>
      <c r="P2203" s="201">
        <v>9448</v>
      </c>
      <c r="Q2203" s="201">
        <f>'Mail Merge'!$O2203+'Mail Merge'!$P2203</f>
        <v>277552</v>
      </c>
      <c r="R2203" s="201"/>
      <c r="S2203" s="201"/>
      <c r="T2203" s="201"/>
      <c r="U2203" s="201">
        <f>IF(AND('Mail Merge'!$I2203="Did Not Meet",'Mail Merge'!$N2203="Did Not Meet"),MIN(ABS('Mail Merge'!$H2203),ABS('Mail Merge'!$M2203),'Mail Merge'!$Q2203),0)</f>
        <v>0</v>
      </c>
      <c r="V2203" s="201" t="str">
        <f>IF(OR(IFERROR(SEARCH("Met",'Mail Merge'!$N2203),0)&gt;0,IFERROR(SEARCH("Met",'Mail Merge'!$I2203),0)&gt;0),"Met","Not Met")</f>
        <v>Met</v>
      </c>
    </row>
    <row r="2204" spans="1:22" x14ac:dyDescent="0.35">
      <c r="A2204" s="198" t="s">
        <v>56</v>
      </c>
      <c r="B2204" s="199">
        <v>2186</v>
      </c>
      <c r="C2204" s="199" t="s">
        <v>1777</v>
      </c>
      <c r="D2204" s="199">
        <v>150</v>
      </c>
      <c r="E2204" s="199">
        <v>1727806.0200000003</v>
      </c>
      <c r="F2204" s="199">
        <v>153805.58000000002</v>
      </c>
      <c r="G2204" s="199">
        <f>'Mail Merge'!$E2204+'Mail Merge'!$F2204</f>
        <v>1881611.6000000003</v>
      </c>
      <c r="H2204" s="199"/>
      <c r="I2204" s="199" t="s">
        <v>241</v>
      </c>
      <c r="J2204" s="202">
        <f>IFERROR('Mail Merge'!$E2204/'Mail Merge'!$D2204,0)</f>
        <v>11518.706800000002</v>
      </c>
      <c r="K2204" s="199">
        <f>IFERROR('Mail Merge'!$F2204/'Mail Merge'!$D2204,0)</f>
        <v>1025.3705333333335</v>
      </c>
      <c r="L2204" s="199">
        <f>IFERROR('Mail Merge'!$G2204/'Mail Merge'!$D2204,0)</f>
        <v>12544.077333333336</v>
      </c>
      <c r="M2204" s="199"/>
      <c r="N2204" s="199" t="str">
        <f t="shared" si="0"/>
        <v>Met</v>
      </c>
      <c r="O2204" s="199">
        <v>198246</v>
      </c>
      <c r="P2204" s="199">
        <v>3981</v>
      </c>
      <c r="Q2204" s="199">
        <f>'Mail Merge'!$O2204+'Mail Merge'!$P2204</f>
        <v>202227</v>
      </c>
      <c r="R2204" s="199"/>
      <c r="S2204" s="199"/>
      <c r="T2204" s="199"/>
      <c r="U2204" s="199">
        <f>IF(AND('Mail Merge'!$I2204="Did Not Meet",'Mail Merge'!$N2204="Did Not Meet"),MIN(ABS('Mail Merge'!$H2204),ABS('Mail Merge'!$M2204),'Mail Merge'!$Q2204),0)</f>
        <v>0</v>
      </c>
      <c r="V2204" s="199" t="str">
        <f>IF(OR(IFERROR(SEARCH("Met",'Mail Merge'!$N2204),0)&gt;0,IFERROR(SEARCH("Met",'Mail Merge'!$I2204),0)&gt;0),"Met","Not Met")</f>
        <v>Met</v>
      </c>
    </row>
    <row r="2205" spans="1:22" x14ac:dyDescent="0.35">
      <c r="A2205" s="200" t="s">
        <v>58</v>
      </c>
      <c r="B2205" s="201">
        <v>1901</v>
      </c>
      <c r="C2205" s="201" t="s">
        <v>1777</v>
      </c>
      <c r="D2205" s="201">
        <v>710</v>
      </c>
      <c r="E2205" s="201">
        <v>10832005.649999993</v>
      </c>
      <c r="F2205" s="201">
        <v>934001</v>
      </c>
      <c r="G2205" s="201">
        <f>'Mail Merge'!$E2205+'Mail Merge'!$F2205</f>
        <v>11766006.649999993</v>
      </c>
      <c r="H2205" s="201"/>
      <c r="I2205" s="201" t="s">
        <v>241</v>
      </c>
      <c r="J2205" s="204">
        <f>IFERROR('Mail Merge'!$E2205/'Mail Merge'!$D2205,0)</f>
        <v>15256.345985915483</v>
      </c>
      <c r="K2205" s="201">
        <f>IFERROR('Mail Merge'!$F2205/'Mail Merge'!$D2205,0)</f>
        <v>1315.4943661971831</v>
      </c>
      <c r="L2205" s="201">
        <f>IFERROR('Mail Merge'!$G2205/'Mail Merge'!$D2205,0)</f>
        <v>16571.840352112667</v>
      </c>
      <c r="M2205" s="201"/>
      <c r="N2205" s="201" t="str">
        <f t="shared" si="0"/>
        <v>Met</v>
      </c>
      <c r="O2205" s="201">
        <v>1597731</v>
      </c>
      <c r="P2205" s="201">
        <v>40126</v>
      </c>
      <c r="Q2205" s="201">
        <f>'Mail Merge'!$O2205+'Mail Merge'!$P2205</f>
        <v>1637857</v>
      </c>
      <c r="R2205" s="201"/>
      <c r="S2205" s="201"/>
      <c r="T2205" s="201"/>
      <c r="U2205" s="201">
        <f>IF(AND('Mail Merge'!$I2205="Did Not Meet",'Mail Merge'!$N2205="Did Not Meet"),MIN(ABS('Mail Merge'!$H2205),ABS('Mail Merge'!$M2205),'Mail Merge'!$Q2205),0)</f>
        <v>0</v>
      </c>
      <c r="V2205" s="201" t="str">
        <f>IF(OR(IFERROR(SEARCH("Met",'Mail Merge'!$N2205),0)&gt;0,IFERROR(SEARCH("Met",'Mail Merge'!$I2205),0)&gt;0),"Met","Not Met")</f>
        <v>Met</v>
      </c>
    </row>
    <row r="2206" spans="1:22" x14ac:dyDescent="0.35">
      <c r="A2206" s="198" t="s">
        <v>59</v>
      </c>
      <c r="B2206" s="199">
        <v>2216</v>
      </c>
      <c r="C2206" s="199" t="s">
        <v>1777</v>
      </c>
      <c r="D2206" s="199">
        <v>39</v>
      </c>
      <c r="E2206" s="199">
        <v>157121.70000000001</v>
      </c>
      <c r="F2206" s="199">
        <v>76319.23000000001</v>
      </c>
      <c r="G2206" s="199">
        <f>'Mail Merge'!$E2206+'Mail Merge'!$F2206</f>
        <v>233440.93000000002</v>
      </c>
      <c r="H2206" s="199"/>
      <c r="I2206" s="199" t="s">
        <v>241</v>
      </c>
      <c r="J2206" s="202">
        <f>IFERROR('Mail Merge'!$E2206/'Mail Merge'!$D2206,0)</f>
        <v>4028.7615384615387</v>
      </c>
      <c r="K2206" s="199">
        <f>IFERROR('Mail Merge'!$F2206/'Mail Merge'!$D2206,0)</f>
        <v>1956.9033333333336</v>
      </c>
      <c r="L2206" s="199">
        <f>IFERROR('Mail Merge'!$G2206/'Mail Merge'!$D2206,0)</f>
        <v>5985.6648717948719</v>
      </c>
      <c r="M2206" s="199"/>
      <c r="N2206" s="199" t="str">
        <f t="shared" si="0"/>
        <v>Did Not Meet</v>
      </c>
      <c r="O2206" s="199">
        <v>61681</v>
      </c>
      <c r="P2206" s="199">
        <v>1620</v>
      </c>
      <c r="Q2206" s="199">
        <f>'Mail Merge'!$O2206+'Mail Merge'!$P2206</f>
        <v>63301</v>
      </c>
      <c r="R2206" s="199"/>
      <c r="S2206" s="199"/>
      <c r="T2206" s="199"/>
      <c r="U2206" s="199">
        <f>IF(AND('Mail Merge'!$I2206="Did Not Meet",'Mail Merge'!$N2206="Did Not Meet"),MIN(ABS('Mail Merge'!$H2206),ABS('Mail Merge'!$M2206),'Mail Merge'!$Q2206),0)</f>
        <v>0</v>
      </c>
      <c r="V2206" s="199" t="str">
        <f>IF(OR(IFERROR(SEARCH("Met",'Mail Merge'!$N2206),0)&gt;0,IFERROR(SEARCH("Met",'Mail Merge'!$I2206),0)&gt;0),"Met","Not Met")</f>
        <v>Met</v>
      </c>
    </row>
    <row r="2207" spans="1:22" x14ac:dyDescent="0.35">
      <c r="A2207" s="200" t="s">
        <v>60</v>
      </c>
      <c r="B2207" s="201">
        <v>2086</v>
      </c>
      <c r="C2207" s="201" t="s">
        <v>1777</v>
      </c>
      <c r="D2207" s="201">
        <v>164</v>
      </c>
      <c r="E2207" s="201">
        <v>2633830.7899999996</v>
      </c>
      <c r="F2207" s="201">
        <v>511873</v>
      </c>
      <c r="G2207" s="201">
        <f>'Mail Merge'!$E2207+'Mail Merge'!$F2207</f>
        <v>3145703.7899999996</v>
      </c>
      <c r="H2207" s="201"/>
      <c r="I2207" s="201" t="s">
        <v>241</v>
      </c>
      <c r="J2207" s="204">
        <f>IFERROR('Mail Merge'!$E2207/'Mail Merge'!$D2207,0)</f>
        <v>16059.943841463411</v>
      </c>
      <c r="K2207" s="201">
        <f>IFERROR('Mail Merge'!$F2207/'Mail Merge'!$D2207,0)</f>
        <v>3121.1768292682927</v>
      </c>
      <c r="L2207" s="201">
        <f>IFERROR('Mail Merge'!$G2207/'Mail Merge'!$D2207,0)</f>
        <v>19181.120670731703</v>
      </c>
      <c r="M2207" s="201"/>
      <c r="N2207" s="201" t="str">
        <f t="shared" si="0"/>
        <v>Met</v>
      </c>
      <c r="O2207" s="201">
        <v>315001</v>
      </c>
      <c r="P2207" s="201">
        <v>8988</v>
      </c>
      <c r="Q2207" s="201">
        <f>'Mail Merge'!$O2207+'Mail Merge'!$P2207</f>
        <v>323989</v>
      </c>
      <c r="R2207" s="201"/>
      <c r="S2207" s="201"/>
      <c r="T2207" s="201"/>
      <c r="U2207" s="201">
        <f>IF(AND('Mail Merge'!$I2207="Did Not Meet",'Mail Merge'!$N2207="Did Not Meet"),MIN(ABS('Mail Merge'!$H2207),ABS('Mail Merge'!$M2207),'Mail Merge'!$Q2207),0)</f>
        <v>0</v>
      </c>
      <c r="V2207" s="201" t="str">
        <f>IF(OR(IFERROR(SEARCH("Met",'Mail Merge'!$N2207),0)&gt;0,IFERROR(SEARCH("Met",'Mail Merge'!$I2207),0)&gt;0),"Met","Not Met")</f>
        <v>Met</v>
      </c>
    </row>
    <row r="2208" spans="1:22" x14ac:dyDescent="0.35">
      <c r="A2208" s="198" t="s">
        <v>61</v>
      </c>
      <c r="B2208" s="199">
        <v>1970</v>
      </c>
      <c r="C2208" s="199" t="s">
        <v>1777</v>
      </c>
      <c r="D2208" s="199">
        <v>441</v>
      </c>
      <c r="E2208" s="199">
        <v>4168007.2700000005</v>
      </c>
      <c r="F2208" s="199">
        <v>333643.40999999997</v>
      </c>
      <c r="G2208" s="199">
        <f>'Mail Merge'!$E2208+'Mail Merge'!$F2208</f>
        <v>4501650.6800000006</v>
      </c>
      <c r="H2208" s="199"/>
      <c r="I2208" s="199" t="s">
        <v>241</v>
      </c>
      <c r="J2208" s="202">
        <f>IFERROR('Mail Merge'!$E2208/'Mail Merge'!$D2208,0)</f>
        <v>9451.2636507936513</v>
      </c>
      <c r="K2208" s="199">
        <f>IFERROR('Mail Merge'!$F2208/'Mail Merge'!$D2208,0)</f>
        <v>756.56102040816324</v>
      </c>
      <c r="L2208" s="199">
        <f>IFERROR('Mail Merge'!$G2208/'Mail Merge'!$D2208,0)</f>
        <v>10207.824671201815</v>
      </c>
      <c r="M2208" s="199"/>
      <c r="N2208" s="199" t="str">
        <f t="shared" si="0"/>
        <v>Met</v>
      </c>
      <c r="O2208" s="199">
        <v>701791</v>
      </c>
      <c r="P2208" s="199">
        <v>25575</v>
      </c>
      <c r="Q2208" s="199">
        <f>'Mail Merge'!$O2208+'Mail Merge'!$P2208</f>
        <v>727366</v>
      </c>
      <c r="R2208" s="199"/>
      <c r="S2208" s="199"/>
      <c r="T2208" s="199"/>
      <c r="U2208" s="199">
        <f>IF(AND('Mail Merge'!$I2208="Did Not Meet",'Mail Merge'!$N2208="Did Not Meet"),MIN(ABS('Mail Merge'!$H2208),ABS('Mail Merge'!$M2208),'Mail Merge'!$Q2208),0)</f>
        <v>0</v>
      </c>
      <c r="V2208" s="199" t="str">
        <f>IF(OR(IFERROR(SEARCH("Met",'Mail Merge'!$N2208),0)&gt;0,IFERROR(SEARCH("Met",'Mail Merge'!$I2208),0)&gt;0),"Met","Not Met")</f>
        <v>Met</v>
      </c>
    </row>
    <row r="2209" spans="1:22" x14ac:dyDescent="0.35">
      <c r="A2209" s="200" t="s">
        <v>62</v>
      </c>
      <c r="B2209" s="201">
        <v>2089</v>
      </c>
      <c r="C2209" s="201" t="s">
        <v>1777</v>
      </c>
      <c r="D2209" s="201">
        <v>35</v>
      </c>
      <c r="E2209" s="201">
        <v>299828.59999999992</v>
      </c>
      <c r="F2209" s="201">
        <v>162150</v>
      </c>
      <c r="G2209" s="201">
        <f>'Mail Merge'!$E2209+'Mail Merge'!$F2209</f>
        <v>461978.59999999992</v>
      </c>
      <c r="H2209" s="201"/>
      <c r="I2209" s="201" t="s">
        <v>241</v>
      </c>
      <c r="J2209" s="204">
        <f>IFERROR('Mail Merge'!$E2209/'Mail Merge'!$D2209,0)</f>
        <v>8566.5314285714267</v>
      </c>
      <c r="K2209" s="201">
        <f>IFERROR('Mail Merge'!$F2209/'Mail Merge'!$D2209,0)</f>
        <v>4632.8571428571431</v>
      </c>
      <c r="L2209" s="201">
        <f>IFERROR('Mail Merge'!$G2209/'Mail Merge'!$D2209,0)</f>
        <v>13199.38857142857</v>
      </c>
      <c r="M2209" s="201"/>
      <c r="N2209" s="201" t="str">
        <f t="shared" si="0"/>
        <v>Met</v>
      </c>
      <c r="O2209" s="201">
        <v>73132</v>
      </c>
      <c r="P2209" s="201">
        <v>1589</v>
      </c>
      <c r="Q2209" s="201">
        <f>'Mail Merge'!$O2209+'Mail Merge'!$P2209</f>
        <v>74721</v>
      </c>
      <c r="R2209" s="201"/>
      <c r="S2209" s="201"/>
      <c r="T2209" s="201"/>
      <c r="U2209" s="201">
        <f>IF(AND('Mail Merge'!$I2209="Did Not Meet",'Mail Merge'!$N2209="Did Not Meet"),MIN(ABS('Mail Merge'!$H2209),ABS('Mail Merge'!$M2209),'Mail Merge'!$Q2209),0)</f>
        <v>0</v>
      </c>
      <c r="V2209" s="201" t="str">
        <f>IF(OR(IFERROR(SEARCH("Met",'Mail Merge'!$N2209),0)&gt;0,IFERROR(SEARCH("Met",'Mail Merge'!$I2209),0)&gt;0),"Met","Not Met")</f>
        <v>Met</v>
      </c>
    </row>
    <row r="2210" spans="1:22" x14ac:dyDescent="0.35">
      <c r="A2210" s="198" t="s">
        <v>63</v>
      </c>
      <c r="B2210" s="199">
        <v>2050</v>
      </c>
      <c r="C2210" s="199" t="s">
        <v>1777</v>
      </c>
      <c r="D2210" s="199">
        <v>114</v>
      </c>
      <c r="E2210" s="199">
        <v>649722.43000000005</v>
      </c>
      <c r="F2210" s="199">
        <v>250510.43</v>
      </c>
      <c r="G2210" s="199">
        <f>'Mail Merge'!$E2210+'Mail Merge'!$F2210</f>
        <v>900232.8600000001</v>
      </c>
      <c r="H2210" s="199"/>
      <c r="I2210" s="199" t="s">
        <v>241</v>
      </c>
      <c r="J2210" s="202">
        <f>IFERROR('Mail Merge'!$E2210/'Mail Merge'!$D2210,0)</f>
        <v>5699.3195614035094</v>
      </c>
      <c r="K2210" s="199">
        <f>IFERROR('Mail Merge'!$F2210/'Mail Merge'!$D2210,0)</f>
        <v>2197.4599122807017</v>
      </c>
      <c r="L2210" s="199">
        <f>IFERROR('Mail Merge'!$G2210/'Mail Merge'!$D2210,0)</f>
        <v>7896.7794736842116</v>
      </c>
      <c r="M2210" s="199"/>
      <c r="N2210" s="199" t="str">
        <f t="shared" si="0"/>
        <v>Did Not Meet</v>
      </c>
      <c r="O2210" s="199">
        <v>144759</v>
      </c>
      <c r="P2210" s="199">
        <v>4282</v>
      </c>
      <c r="Q2210" s="199">
        <f>'Mail Merge'!$O2210+'Mail Merge'!$P2210</f>
        <v>149041</v>
      </c>
      <c r="R2210" s="199"/>
      <c r="S2210" s="199"/>
      <c r="T2210" s="199"/>
      <c r="U2210" s="199">
        <f>IF(AND('Mail Merge'!$I2210="Did Not Meet",'Mail Merge'!$N2210="Did Not Meet"),MIN(ABS('Mail Merge'!$H2210),ABS('Mail Merge'!$M2210),'Mail Merge'!$Q2210),0)</f>
        <v>0</v>
      </c>
      <c r="V2210" s="199" t="str">
        <f>IF(OR(IFERROR(SEARCH("Met",'Mail Merge'!$N2210),0)&gt;0,IFERROR(SEARCH("Met",'Mail Merge'!$I2210),0)&gt;0),"Met","Not Met")</f>
        <v>Met</v>
      </c>
    </row>
    <row r="2211" spans="1:22" x14ac:dyDescent="0.35">
      <c r="A2211" s="200" t="s">
        <v>64</v>
      </c>
      <c r="B2211" s="201">
        <v>2190</v>
      </c>
      <c r="C2211" s="201" t="s">
        <v>1777</v>
      </c>
      <c r="D2211" s="201">
        <v>503</v>
      </c>
      <c r="E2211" s="201">
        <v>6297161.4900000002</v>
      </c>
      <c r="F2211" s="201">
        <v>471996.1</v>
      </c>
      <c r="G2211" s="201">
        <f>'Mail Merge'!$E2211+'Mail Merge'!$F2211</f>
        <v>6769157.5899999999</v>
      </c>
      <c r="H2211" s="201"/>
      <c r="I2211" s="201" t="s">
        <v>241</v>
      </c>
      <c r="J2211" s="204">
        <f>IFERROR('Mail Merge'!$E2211/'Mail Merge'!$D2211,0)</f>
        <v>12519.20773359841</v>
      </c>
      <c r="K2211" s="201">
        <f>IFERROR('Mail Merge'!$F2211/'Mail Merge'!$D2211,0)</f>
        <v>938.36202783300189</v>
      </c>
      <c r="L2211" s="201">
        <f>IFERROR('Mail Merge'!$G2211/'Mail Merge'!$D2211,0)</f>
        <v>13457.56976143141</v>
      </c>
      <c r="M2211" s="201"/>
      <c r="N2211" s="201" t="str">
        <f t="shared" si="0"/>
        <v>Met</v>
      </c>
      <c r="O2211" s="201">
        <v>736434</v>
      </c>
      <c r="P2211" s="201">
        <v>25128</v>
      </c>
      <c r="Q2211" s="201">
        <f>'Mail Merge'!$O2211+'Mail Merge'!$P2211</f>
        <v>761562</v>
      </c>
      <c r="R2211" s="201"/>
      <c r="S2211" s="201"/>
      <c r="T2211" s="201"/>
      <c r="U2211" s="201">
        <f>IF(AND('Mail Merge'!$I2211="Did Not Meet",'Mail Merge'!$N2211="Did Not Meet"),MIN(ABS('Mail Merge'!$H2211),ABS('Mail Merge'!$M2211),'Mail Merge'!$Q2211),0)</f>
        <v>0</v>
      </c>
      <c r="V2211" s="201" t="str">
        <f>IF(OR(IFERROR(SEARCH("Met",'Mail Merge'!$N2211),0)&gt;0,IFERROR(SEARCH("Met",'Mail Merge'!$I2211),0)&gt;0),"Met","Not Met")</f>
        <v>Met</v>
      </c>
    </row>
    <row r="2212" spans="1:22" x14ac:dyDescent="0.35">
      <c r="A2212" s="198" t="s">
        <v>65</v>
      </c>
      <c r="B2212" s="199">
        <v>2187</v>
      </c>
      <c r="C2212" s="199" t="s">
        <v>1777</v>
      </c>
      <c r="D2212" s="199">
        <v>1114</v>
      </c>
      <c r="E2212" s="199">
        <v>14503402.149999995</v>
      </c>
      <c r="F2212" s="199">
        <v>1824268.5099999998</v>
      </c>
      <c r="G2212" s="199">
        <f>'Mail Merge'!$E2212+'Mail Merge'!$F2212</f>
        <v>16327670.659999995</v>
      </c>
      <c r="H2212" s="199"/>
      <c r="I2212" s="199" t="s">
        <v>2140</v>
      </c>
      <c r="J2212" s="202">
        <f>IFERROR('Mail Merge'!$E2212/'Mail Merge'!$D2212,0)</f>
        <v>13019.211983842006</v>
      </c>
      <c r="K2212" s="199">
        <f>IFERROR('Mail Merge'!$F2212/'Mail Merge'!$D2212,0)</f>
        <v>1637.5839407540393</v>
      </c>
      <c r="L2212" s="199">
        <f>IFERROR('Mail Merge'!$G2212/'Mail Merge'!$D2212,0)</f>
        <v>14656.795924596045</v>
      </c>
      <c r="M2212" s="199"/>
      <c r="N2212" s="199" t="str">
        <f t="shared" si="0"/>
        <v>Met</v>
      </c>
      <c r="O2212" s="199">
        <v>2134429</v>
      </c>
      <c r="P2212" s="199">
        <v>51883</v>
      </c>
      <c r="Q2212" s="199">
        <f>'Mail Merge'!$O2212+'Mail Merge'!$P2212</f>
        <v>2186312</v>
      </c>
      <c r="R2212" s="199"/>
      <c r="S2212" s="199"/>
      <c r="T2212" s="199"/>
      <c r="U2212" s="199">
        <f>IF(AND('Mail Merge'!$I2212="Did Not Meet",'Mail Merge'!$N2212="Did Not Meet"),MIN(ABS('Mail Merge'!$H2212),ABS('Mail Merge'!$M2212),'Mail Merge'!$Q2212),0)</f>
        <v>0</v>
      </c>
      <c r="V2212" s="199" t="str">
        <f>IF(OR(IFERROR(SEARCH("Met",'Mail Merge'!$N2212),0)&gt;0,IFERROR(SEARCH("Met",'Mail Merge'!$I2212),0)&gt;0),"Met","Not Met")</f>
        <v>Met</v>
      </c>
    </row>
    <row r="2213" spans="1:22" x14ac:dyDescent="0.35">
      <c r="A2213" s="200" t="s">
        <v>66</v>
      </c>
      <c r="B2213" s="201">
        <v>2253</v>
      </c>
      <c r="C2213" s="201" t="s">
        <v>1777</v>
      </c>
      <c r="D2213" s="201">
        <v>106</v>
      </c>
      <c r="E2213" s="201">
        <v>398229.41999999993</v>
      </c>
      <c r="F2213" s="201">
        <v>126596.65</v>
      </c>
      <c r="G2213" s="201">
        <f>'Mail Merge'!$E2213+'Mail Merge'!$F2213</f>
        <v>524826.06999999995</v>
      </c>
      <c r="H2213" s="201"/>
      <c r="I2213" s="201" t="s">
        <v>241</v>
      </c>
      <c r="J2213" s="204">
        <f>IFERROR('Mail Merge'!$E2213/'Mail Merge'!$D2213,0)</f>
        <v>3756.8813207547164</v>
      </c>
      <c r="K2213" s="201">
        <f>IFERROR('Mail Merge'!$F2213/'Mail Merge'!$D2213,0)</f>
        <v>1194.3080188679244</v>
      </c>
      <c r="L2213" s="201">
        <f>IFERROR('Mail Merge'!$G2213/'Mail Merge'!$D2213,0)</f>
        <v>4951.1893396226415</v>
      </c>
      <c r="M2213" s="201"/>
      <c r="N2213" s="201" t="str">
        <f t="shared" si="0"/>
        <v>Did Not Meet</v>
      </c>
      <c r="O2213" s="201">
        <v>208737</v>
      </c>
      <c r="P2213" s="201">
        <v>4890</v>
      </c>
      <c r="Q2213" s="201">
        <f>'Mail Merge'!$O2213+'Mail Merge'!$P2213</f>
        <v>213627</v>
      </c>
      <c r="R2213" s="201"/>
      <c r="S2213" s="201"/>
      <c r="T2213" s="201"/>
      <c r="U2213" s="201">
        <f>IF(AND('Mail Merge'!$I2213="Did Not Meet",'Mail Merge'!$N2213="Did Not Meet"),MIN(ABS('Mail Merge'!$H2213),ABS('Mail Merge'!$M2213),'Mail Merge'!$Q2213),0)</f>
        <v>0</v>
      </c>
      <c r="V2213" s="201" t="str">
        <f>IF(OR(IFERROR(SEARCH("Met",'Mail Merge'!$N2213),0)&gt;0,IFERROR(SEARCH("Met",'Mail Merge'!$I2213),0)&gt;0),"Met","Not Met")</f>
        <v>Met</v>
      </c>
    </row>
    <row r="2214" spans="1:22" x14ac:dyDescent="0.35">
      <c r="A2214" s="198" t="s">
        <v>67</v>
      </c>
      <c r="B2214" s="199">
        <v>2011</v>
      </c>
      <c r="C2214" s="199" t="s">
        <v>1777</v>
      </c>
      <c r="D2214" s="199">
        <v>7</v>
      </c>
      <c r="E2214" s="199">
        <v>56552.450000000004</v>
      </c>
      <c r="F2214" s="199">
        <v>78229.34</v>
      </c>
      <c r="G2214" s="199">
        <f>'Mail Merge'!$E2214+'Mail Merge'!$F2214</f>
        <v>134781.79</v>
      </c>
      <c r="H2214" s="199"/>
      <c r="I2214" s="199" t="s">
        <v>241</v>
      </c>
      <c r="J2214" s="202">
        <f>IFERROR('Mail Merge'!$E2214/'Mail Merge'!$D2214,0)</f>
        <v>8078.9214285714288</v>
      </c>
      <c r="K2214" s="199">
        <f>IFERROR('Mail Merge'!$F2214/'Mail Merge'!$D2214,0)</f>
        <v>11175.619999999999</v>
      </c>
      <c r="L2214" s="199">
        <f>IFERROR('Mail Merge'!$G2214/'Mail Merge'!$D2214,0)</f>
        <v>19254.541428571429</v>
      </c>
      <c r="M2214" s="199"/>
      <c r="N2214" s="199" t="str">
        <f t="shared" si="0"/>
        <v>Met</v>
      </c>
      <c r="O2214" s="199">
        <v>11495</v>
      </c>
      <c r="P2214" s="199">
        <v>1970</v>
      </c>
      <c r="Q2214" s="199">
        <f>'Mail Merge'!$O2214+'Mail Merge'!$P2214</f>
        <v>13465</v>
      </c>
      <c r="R2214" s="199"/>
      <c r="S2214" s="199"/>
      <c r="T2214" s="199"/>
      <c r="U2214" s="199">
        <f>IF(AND('Mail Merge'!$I2214="Did Not Meet",'Mail Merge'!$N2214="Did Not Meet"),MIN(ABS('Mail Merge'!$H2214),ABS('Mail Merge'!$M2214),'Mail Merge'!$Q2214),0)</f>
        <v>0</v>
      </c>
      <c r="V2214" s="199" t="str">
        <f>IF(OR(IFERROR(SEARCH("Met",'Mail Merge'!$N2214),0)&gt;0,IFERROR(SEARCH("Met",'Mail Merge'!$I2214),0)&gt;0),"Met","Not Met")</f>
        <v>Met</v>
      </c>
    </row>
    <row r="2215" spans="1:22" x14ac:dyDescent="0.35">
      <c r="A2215" s="200" t="s">
        <v>68</v>
      </c>
      <c r="B2215" s="201">
        <v>2017</v>
      </c>
      <c r="C2215" s="201" t="s">
        <v>1777</v>
      </c>
      <c r="D2215" s="201">
        <v>2</v>
      </c>
      <c r="E2215" s="201">
        <v>0</v>
      </c>
      <c r="F2215" s="201">
        <v>18432.37</v>
      </c>
      <c r="G2215" s="201">
        <f>'Mail Merge'!$E2215+'Mail Merge'!$F2215</f>
        <v>18432.37</v>
      </c>
      <c r="H2215" s="201"/>
      <c r="I2215" s="201" t="s">
        <v>2140</v>
      </c>
      <c r="J2215" s="204">
        <f>IFERROR('Mail Merge'!$E2215/'Mail Merge'!$D2215,0)</f>
        <v>0</v>
      </c>
      <c r="K2215" s="201">
        <f>IFERROR('Mail Merge'!$F2215/'Mail Merge'!$D2215,0)</f>
        <v>9216.1849999999995</v>
      </c>
      <c r="L2215" s="201">
        <f>IFERROR('Mail Merge'!$G2215/'Mail Merge'!$D2215,0)</f>
        <v>9216.1849999999995</v>
      </c>
      <c r="M2215" s="201"/>
      <c r="N2215" s="201" t="str">
        <f t="shared" si="0"/>
        <v>Met</v>
      </c>
      <c r="O2215" s="201">
        <v>1927</v>
      </c>
      <c r="P2215" s="201">
        <v>266</v>
      </c>
      <c r="Q2215" s="201">
        <f>'Mail Merge'!$O2215+'Mail Merge'!$P2215</f>
        <v>2193</v>
      </c>
      <c r="R2215" s="201"/>
      <c r="S2215" s="201"/>
      <c r="T2215" s="201"/>
      <c r="U2215" s="201">
        <f>IF(AND('Mail Merge'!$I2215="Did Not Meet",'Mail Merge'!$N2215="Did Not Meet"),MIN(ABS('Mail Merge'!$H2215),ABS('Mail Merge'!$M2215),'Mail Merge'!$Q2215),0)</f>
        <v>0</v>
      </c>
      <c r="V2215" s="201" t="str">
        <f>IF(OR(IFERROR(SEARCH("Met",'Mail Merge'!$N2215),0)&gt;0,IFERROR(SEARCH("Met",'Mail Merge'!$I2215),0)&gt;0),"Met","Not Met")</f>
        <v>Met</v>
      </c>
    </row>
    <row r="2216" spans="1:22" x14ac:dyDescent="0.35">
      <c r="A2216" s="198" t="s">
        <v>69</v>
      </c>
      <c r="B2216" s="199">
        <v>2021</v>
      </c>
      <c r="C2216" s="199" t="s">
        <v>1777</v>
      </c>
      <c r="D2216" s="199">
        <v>1</v>
      </c>
      <c r="E2216" s="199">
        <v>0</v>
      </c>
      <c r="F2216" s="199">
        <v>17095.600000000002</v>
      </c>
      <c r="G2216" s="199">
        <f>'Mail Merge'!$E2216+'Mail Merge'!$F2216</f>
        <v>17095.600000000002</v>
      </c>
      <c r="H2216" s="199"/>
      <c r="I2216" s="199" t="s">
        <v>241</v>
      </c>
      <c r="J2216" s="202">
        <f>IFERROR('Mail Merge'!$E2216/'Mail Merge'!$D2216,0)</f>
        <v>0</v>
      </c>
      <c r="K2216" s="199">
        <f>IFERROR('Mail Merge'!$F2216/'Mail Merge'!$D2216,0)</f>
        <v>17095.600000000002</v>
      </c>
      <c r="L2216" s="199">
        <f>IFERROR('Mail Merge'!$G2216/'Mail Merge'!$D2216,0)</f>
        <v>17095.600000000002</v>
      </c>
      <c r="M2216" s="199"/>
      <c r="N2216" s="199" t="str">
        <f t="shared" si="0"/>
        <v>Did Not Meet</v>
      </c>
      <c r="O2216" s="199">
        <v>1553</v>
      </c>
      <c r="P2216" s="199">
        <v>226</v>
      </c>
      <c r="Q2216" s="199">
        <f>'Mail Merge'!$O2216+'Mail Merge'!$P2216</f>
        <v>1779</v>
      </c>
      <c r="R2216" s="199"/>
      <c r="S2216" s="199"/>
      <c r="T2216" s="199"/>
      <c r="U2216" s="199">
        <f>IF(AND('Mail Merge'!$I2216="Did Not Meet",'Mail Merge'!$N2216="Did Not Meet"),MIN(ABS('Mail Merge'!$H2216),ABS('Mail Merge'!$M2216),'Mail Merge'!$Q2216),0)</f>
        <v>0</v>
      </c>
      <c r="V2216" s="199" t="str">
        <f>IF(OR(IFERROR(SEARCH("Met",'Mail Merge'!$N2216),0)&gt;0,IFERROR(SEARCH("Met",'Mail Merge'!$I2216),0)&gt;0),"Met","Not Met")</f>
        <v>Met</v>
      </c>
    </row>
    <row r="2217" spans="1:22" x14ac:dyDescent="0.35">
      <c r="A2217" s="200" t="s">
        <v>70</v>
      </c>
      <c r="B2217" s="201">
        <v>1993</v>
      </c>
      <c r="C2217" s="201" t="s">
        <v>1777</v>
      </c>
      <c r="D2217" s="201">
        <v>40</v>
      </c>
      <c r="E2217" s="201">
        <v>159095.34000000003</v>
      </c>
      <c r="F2217" s="201">
        <v>63640.319999999992</v>
      </c>
      <c r="G2217" s="201">
        <f>'Mail Merge'!$E2217+'Mail Merge'!$F2217</f>
        <v>222735.66000000003</v>
      </c>
      <c r="H2217" s="201"/>
      <c r="I2217" s="201" t="s">
        <v>241</v>
      </c>
      <c r="J2217" s="204">
        <f>IFERROR('Mail Merge'!$E2217/'Mail Merge'!$D2217,0)</f>
        <v>3977.3835000000008</v>
      </c>
      <c r="K2217" s="201">
        <f>IFERROR('Mail Merge'!$F2217/'Mail Merge'!$D2217,0)</f>
        <v>1591.0079999999998</v>
      </c>
      <c r="L2217" s="201">
        <f>IFERROR('Mail Merge'!$G2217/'Mail Merge'!$D2217,0)</f>
        <v>5568.3915000000006</v>
      </c>
      <c r="M2217" s="201"/>
      <c r="N2217" s="201" t="str">
        <f t="shared" si="0"/>
        <v>Met</v>
      </c>
      <c r="O2217" s="201">
        <v>64411</v>
      </c>
      <c r="P2217" s="201">
        <v>1623</v>
      </c>
      <c r="Q2217" s="201">
        <f>'Mail Merge'!$O2217+'Mail Merge'!$P2217</f>
        <v>66034</v>
      </c>
      <c r="R2217" s="201"/>
      <c r="S2217" s="201"/>
      <c r="T2217" s="201"/>
      <c r="U2217" s="201">
        <f>IF(AND('Mail Merge'!$I2217="Did Not Meet",'Mail Merge'!$N2217="Did Not Meet"),MIN(ABS('Mail Merge'!$H2217),ABS('Mail Merge'!$M2217),'Mail Merge'!$Q2217),0)</f>
        <v>0</v>
      </c>
      <c r="V2217" s="201" t="str">
        <f>IF(OR(IFERROR(SEARCH("Met",'Mail Merge'!$N2217),0)&gt;0,IFERROR(SEARCH("Met",'Mail Merge'!$I2217),0)&gt;0),"Met","Not Met")</f>
        <v>Met</v>
      </c>
    </row>
    <row r="2218" spans="1:22" x14ac:dyDescent="0.35">
      <c r="A2218" s="198" t="s">
        <v>71</v>
      </c>
      <c r="B2218" s="199">
        <v>1991</v>
      </c>
      <c r="C2218" s="199" t="s">
        <v>1777</v>
      </c>
      <c r="D2218" s="199">
        <v>698</v>
      </c>
      <c r="E2218" s="199">
        <v>7016856.7800000012</v>
      </c>
      <c r="F2218" s="199">
        <v>2009996.6099999999</v>
      </c>
      <c r="G2218" s="199">
        <f>'Mail Merge'!$E2218+'Mail Merge'!$F2218</f>
        <v>9026853.3900000006</v>
      </c>
      <c r="H2218" s="199"/>
      <c r="I2218" s="199" t="s">
        <v>241</v>
      </c>
      <c r="J2218" s="202">
        <f>IFERROR('Mail Merge'!$E2218/'Mail Merge'!$D2218,0)</f>
        <v>10052.803409742122</v>
      </c>
      <c r="K2218" s="199">
        <f>IFERROR('Mail Merge'!$F2218/'Mail Merge'!$D2218,0)</f>
        <v>2879.6513037249283</v>
      </c>
      <c r="L2218" s="199">
        <f>IFERROR('Mail Merge'!$G2218/'Mail Merge'!$D2218,0)</f>
        <v>12932.45471346705</v>
      </c>
      <c r="M2218" s="199"/>
      <c r="N2218" s="199" t="str">
        <f t="shared" si="0"/>
        <v>Met</v>
      </c>
      <c r="O2218" s="199">
        <v>1363422</v>
      </c>
      <c r="P2218" s="199">
        <v>44215</v>
      </c>
      <c r="Q2218" s="199">
        <f>'Mail Merge'!$O2218+'Mail Merge'!$P2218</f>
        <v>1407637</v>
      </c>
      <c r="R2218" s="199"/>
      <c r="S2218" s="199"/>
      <c r="T2218" s="199"/>
      <c r="U2218" s="199">
        <f>IF(AND('Mail Merge'!$I2218="Did Not Meet",'Mail Merge'!$N2218="Did Not Meet"),MIN(ABS('Mail Merge'!$H2218),ABS('Mail Merge'!$M2218),'Mail Merge'!$Q2218),0)</f>
        <v>0</v>
      </c>
      <c r="V2218" s="199" t="str">
        <f>IF(OR(IFERROR(SEARCH("Met",'Mail Merge'!$N2218),0)&gt;0,IFERROR(SEARCH("Met",'Mail Merge'!$I2218),0)&gt;0),"Met","Not Met")</f>
        <v>Met</v>
      </c>
    </row>
    <row r="2219" spans="1:22" x14ac:dyDescent="0.35">
      <c r="A2219" s="200" t="s">
        <v>72</v>
      </c>
      <c r="B2219" s="201">
        <v>2019</v>
      </c>
      <c r="C2219" s="201" t="s">
        <v>1777</v>
      </c>
      <c r="D2219" s="201">
        <v>2</v>
      </c>
      <c r="E2219" s="201">
        <v>0</v>
      </c>
      <c r="F2219" s="201">
        <v>22563.800000000003</v>
      </c>
      <c r="G2219" s="201">
        <f>'Mail Merge'!$E2219+'Mail Merge'!$F2219</f>
        <v>22563.800000000003</v>
      </c>
      <c r="H2219" s="201"/>
      <c r="I2219" s="201" t="s">
        <v>241</v>
      </c>
      <c r="J2219" s="204">
        <f>IFERROR('Mail Merge'!$E2219/'Mail Merge'!$D2219,0)</f>
        <v>0</v>
      </c>
      <c r="K2219" s="201">
        <f>IFERROR('Mail Merge'!$F2219/'Mail Merge'!$D2219,0)</f>
        <v>11281.900000000001</v>
      </c>
      <c r="L2219" s="201">
        <f>IFERROR('Mail Merge'!$G2219/'Mail Merge'!$D2219,0)</f>
        <v>11281.900000000001</v>
      </c>
      <c r="M2219" s="201"/>
      <c r="N2219" s="201" t="str">
        <f t="shared" si="0"/>
        <v>Did Not Meet</v>
      </c>
      <c r="O2219" s="201">
        <v>1445</v>
      </c>
      <c r="P2219" s="201">
        <v>3</v>
      </c>
      <c r="Q2219" s="201">
        <f>'Mail Merge'!$O2219+'Mail Merge'!$P2219</f>
        <v>1448</v>
      </c>
      <c r="R2219" s="201"/>
      <c r="S2219" s="201"/>
      <c r="T2219" s="201"/>
      <c r="U2219" s="201">
        <f>IF(AND('Mail Merge'!$I2219="Did Not Meet",'Mail Merge'!$N2219="Did Not Meet"),MIN(ABS('Mail Merge'!$H2219),ABS('Mail Merge'!$M2219),'Mail Merge'!$Q2219),0)</f>
        <v>0</v>
      </c>
      <c r="V2219" s="201" t="str">
        <f>IF(OR(IFERROR(SEARCH("Met",'Mail Merge'!$N2219),0)&gt;0,IFERROR(SEARCH("Met",'Mail Merge'!$I2219),0)&gt;0),"Met","Not Met")</f>
        <v>Met</v>
      </c>
    </row>
    <row r="2220" spans="1:22" x14ac:dyDescent="0.35">
      <c r="A2220" s="198" t="s">
        <v>73</v>
      </c>
      <c r="B2220" s="199">
        <v>2229</v>
      </c>
      <c r="C2220" s="199" t="s">
        <v>1777</v>
      </c>
      <c r="D2220" s="199">
        <v>62</v>
      </c>
      <c r="E2220" s="199">
        <v>333767.46000000002</v>
      </c>
      <c r="F2220" s="199">
        <v>0</v>
      </c>
      <c r="G2220" s="199">
        <f>'Mail Merge'!$E2220+'Mail Merge'!$F2220</f>
        <v>333767.46000000002</v>
      </c>
      <c r="H2220" s="199"/>
      <c r="I2220" s="199" t="s">
        <v>241</v>
      </c>
      <c r="J2220" s="202">
        <f>IFERROR('Mail Merge'!$E2220/'Mail Merge'!$D2220,0)</f>
        <v>5383.3461290322584</v>
      </c>
      <c r="K2220" s="199">
        <f>IFERROR('Mail Merge'!$F2220/'Mail Merge'!$D2220,0)</f>
        <v>0</v>
      </c>
      <c r="L2220" s="199">
        <f>IFERROR('Mail Merge'!$G2220/'Mail Merge'!$D2220,0)</f>
        <v>5383.3461290322584</v>
      </c>
      <c r="M2220" s="199"/>
      <c r="N2220" s="199" t="str">
        <f t="shared" si="0"/>
        <v>Met</v>
      </c>
      <c r="O2220" s="199">
        <v>62160</v>
      </c>
      <c r="P2220" s="199">
        <v>1647</v>
      </c>
      <c r="Q2220" s="199">
        <f>'Mail Merge'!$O2220+'Mail Merge'!$P2220</f>
        <v>63807</v>
      </c>
      <c r="R2220" s="199"/>
      <c r="S2220" s="199"/>
      <c r="T2220" s="199"/>
      <c r="U2220" s="199">
        <f>IF(AND('Mail Merge'!$I2220="Did Not Meet",'Mail Merge'!$N2220="Did Not Meet"),MIN(ABS('Mail Merge'!$H2220),ABS('Mail Merge'!$M2220),'Mail Merge'!$Q2220),0)</f>
        <v>0</v>
      </c>
      <c r="V2220" s="199" t="str">
        <f>IF(OR(IFERROR(SEARCH("Met",'Mail Merge'!$N2220),0)&gt;0,IFERROR(SEARCH("Met",'Mail Merge'!$I2220),0)&gt;0),"Met","Not Met")</f>
        <v>Met</v>
      </c>
    </row>
    <row r="2221" spans="1:22" x14ac:dyDescent="0.35">
      <c r="A2221" s="200" t="s">
        <v>74</v>
      </c>
      <c r="B2221" s="201">
        <v>2043</v>
      </c>
      <c r="C2221" s="201" t="s">
        <v>1777</v>
      </c>
      <c r="D2221" s="201">
        <v>603</v>
      </c>
      <c r="E2221" s="201">
        <v>4161786.9499999988</v>
      </c>
      <c r="F2221" s="201">
        <v>444098.89</v>
      </c>
      <c r="G2221" s="201">
        <f>'Mail Merge'!$E2221+'Mail Merge'!$F2221</f>
        <v>4605885.8399999989</v>
      </c>
      <c r="H2221" s="201"/>
      <c r="I2221" s="201" t="s">
        <v>2979</v>
      </c>
      <c r="J2221" s="204">
        <f>IFERROR('Mail Merge'!$E2221/'Mail Merge'!$D2221,0)</f>
        <v>6901.802570480927</v>
      </c>
      <c r="K2221" s="201">
        <f>IFERROR('Mail Merge'!$F2221/'Mail Merge'!$D2221,0)</f>
        <v>736.4824046434494</v>
      </c>
      <c r="L2221" s="201">
        <f>IFERROR('Mail Merge'!$G2221/'Mail Merge'!$D2221,0)</f>
        <v>7638.2849751243766</v>
      </c>
      <c r="M2221" s="201"/>
      <c r="N2221" s="201" t="str">
        <f t="shared" si="0"/>
        <v>Did Not Meet</v>
      </c>
      <c r="O2221" s="201">
        <v>941610</v>
      </c>
      <c r="P2221" s="201">
        <v>21827</v>
      </c>
      <c r="Q2221" s="201">
        <f>'Mail Merge'!$O2221+'Mail Merge'!$P2221</f>
        <v>963437</v>
      </c>
      <c r="R2221" s="201"/>
      <c r="S2221" s="201"/>
      <c r="T2221" s="201"/>
      <c r="U2221" s="201">
        <f>IF(AND('Mail Merge'!$I2221="Did Not Meet",'Mail Merge'!$N2221="Did Not Meet"),MIN(ABS('Mail Merge'!$H2221),ABS('Mail Merge'!$M2221),'Mail Merge'!$Q2221),0)</f>
        <v>0</v>
      </c>
      <c r="V2221" s="201" t="str">
        <f>IF(OR(IFERROR(SEARCH("Met",'Mail Merge'!$N2221),0)&gt;0,IFERROR(SEARCH("Met",'Mail Merge'!$I2221),0)&gt;0),"Met","Not Met")</f>
        <v>Met</v>
      </c>
    </row>
    <row r="2222" spans="1:22" x14ac:dyDescent="0.35">
      <c r="A2222" s="198" t="s">
        <v>75</v>
      </c>
      <c r="B2222" s="199">
        <v>2203</v>
      </c>
      <c r="C2222" s="199" t="s">
        <v>1777</v>
      </c>
      <c r="D2222" s="199">
        <v>38</v>
      </c>
      <c r="E2222" s="199">
        <v>177568.49999999997</v>
      </c>
      <c r="F2222" s="199">
        <v>83504.420000000013</v>
      </c>
      <c r="G2222" s="199">
        <f>'Mail Merge'!$E2222+'Mail Merge'!$F2222</f>
        <v>261072.91999999998</v>
      </c>
      <c r="H2222" s="199"/>
      <c r="I2222" s="199" t="s">
        <v>241</v>
      </c>
      <c r="J2222" s="202">
        <f>IFERROR('Mail Merge'!$E2222/'Mail Merge'!$D2222,0)</f>
        <v>4672.8552631578941</v>
      </c>
      <c r="K2222" s="199">
        <f>IFERROR('Mail Merge'!$F2222/'Mail Merge'!$D2222,0)</f>
        <v>2197.4847368421056</v>
      </c>
      <c r="L2222" s="199">
        <f>IFERROR('Mail Merge'!$G2222/'Mail Merge'!$D2222,0)</f>
        <v>6870.3399999999992</v>
      </c>
      <c r="M2222" s="199"/>
      <c r="N2222" s="199" t="str">
        <f t="shared" si="0"/>
        <v>Did Not Meet</v>
      </c>
      <c r="O2222" s="199">
        <v>50755</v>
      </c>
      <c r="P2222" s="199">
        <v>631</v>
      </c>
      <c r="Q2222" s="199">
        <f>'Mail Merge'!$O2222+'Mail Merge'!$P2222</f>
        <v>51386</v>
      </c>
      <c r="R2222" s="199"/>
      <c r="S2222" s="199"/>
      <c r="T2222" s="199"/>
      <c r="U2222" s="199">
        <f>IF(AND('Mail Merge'!$I2222="Did Not Meet",'Mail Merge'!$N2222="Did Not Meet"),MIN(ABS('Mail Merge'!$H2222),ABS('Mail Merge'!$M2222),'Mail Merge'!$Q2222),0)</f>
        <v>0</v>
      </c>
      <c r="V2222" s="199" t="str">
        <f>IF(OR(IFERROR(SEARCH("Met",'Mail Merge'!$N2222),0)&gt;0,IFERROR(SEARCH("Met",'Mail Merge'!$I2222),0)&gt;0),"Met","Not Met")</f>
        <v>Met</v>
      </c>
    </row>
    <row r="2223" spans="1:22" x14ac:dyDescent="0.35">
      <c r="A2223" s="200" t="s">
        <v>76</v>
      </c>
      <c r="B2223" s="201">
        <v>2217</v>
      </c>
      <c r="C2223" s="201" t="s">
        <v>1777</v>
      </c>
      <c r="D2223" s="201">
        <v>56</v>
      </c>
      <c r="E2223" s="201">
        <v>321395</v>
      </c>
      <c r="F2223" s="201">
        <v>103143.94</v>
      </c>
      <c r="G2223" s="201">
        <f>'Mail Merge'!$E2223+'Mail Merge'!$F2223</f>
        <v>424538.94</v>
      </c>
      <c r="H2223" s="201"/>
      <c r="I2223" s="201" t="s">
        <v>241</v>
      </c>
      <c r="J2223" s="204">
        <f>IFERROR('Mail Merge'!$E2223/'Mail Merge'!$D2223,0)</f>
        <v>5739.1964285714284</v>
      </c>
      <c r="K2223" s="201">
        <f>IFERROR('Mail Merge'!$F2223/'Mail Merge'!$D2223,0)</f>
        <v>1841.8560714285716</v>
      </c>
      <c r="L2223" s="201">
        <f>IFERROR('Mail Merge'!$G2223/'Mail Merge'!$D2223,0)</f>
        <v>7581.0524999999998</v>
      </c>
      <c r="M2223" s="201"/>
      <c r="N2223" s="201" t="str">
        <f t="shared" si="0"/>
        <v>Did Not Meet</v>
      </c>
      <c r="O2223" s="201">
        <v>96239</v>
      </c>
      <c r="P2223" s="201">
        <v>724</v>
      </c>
      <c r="Q2223" s="201">
        <f>'Mail Merge'!$O2223+'Mail Merge'!$P2223</f>
        <v>96963</v>
      </c>
      <c r="R2223" s="201"/>
      <c r="S2223" s="201"/>
      <c r="T2223" s="201"/>
      <c r="U2223" s="201">
        <f>IF(AND('Mail Merge'!$I2223="Did Not Meet",'Mail Merge'!$N2223="Did Not Meet"),MIN(ABS('Mail Merge'!$H2223),ABS('Mail Merge'!$M2223),'Mail Merge'!$Q2223),0)</f>
        <v>0</v>
      </c>
      <c r="V2223" s="201" t="str">
        <f>IF(OR(IFERROR(SEARCH("Met",'Mail Merge'!$N2223),0)&gt;0,IFERROR(SEARCH("Met",'Mail Merge'!$I2223),0)&gt;0),"Met","Not Met")</f>
        <v>Met</v>
      </c>
    </row>
    <row r="2224" spans="1:22" x14ac:dyDescent="0.35">
      <c r="A2224" s="198" t="s">
        <v>77</v>
      </c>
      <c r="B2224" s="199">
        <v>1998</v>
      </c>
      <c r="C2224" s="199" t="s">
        <v>1777</v>
      </c>
      <c r="D2224" s="199">
        <v>26</v>
      </c>
      <c r="E2224" s="199">
        <v>286456.86999999994</v>
      </c>
      <c r="F2224" s="199">
        <v>49241.340000000004</v>
      </c>
      <c r="G2224" s="199">
        <f>'Mail Merge'!$E2224+'Mail Merge'!$F2224</f>
        <v>335698.20999999996</v>
      </c>
      <c r="H2224" s="199"/>
      <c r="I2224" s="199" t="s">
        <v>241</v>
      </c>
      <c r="J2224" s="202">
        <f>IFERROR('Mail Merge'!$E2224/'Mail Merge'!$D2224,0)</f>
        <v>11017.571923076921</v>
      </c>
      <c r="K2224" s="199">
        <f>IFERROR('Mail Merge'!$F2224/'Mail Merge'!$D2224,0)</f>
        <v>1893.8976923076925</v>
      </c>
      <c r="L2224" s="199">
        <f>IFERROR('Mail Merge'!$G2224/'Mail Merge'!$D2224,0)</f>
        <v>12911.469615384614</v>
      </c>
      <c r="M2224" s="199"/>
      <c r="N2224" s="199" t="str">
        <f t="shared" si="0"/>
        <v>Did Not Meet</v>
      </c>
      <c r="O2224" s="199">
        <v>49843</v>
      </c>
      <c r="P2224" s="199">
        <v>612</v>
      </c>
      <c r="Q2224" s="199">
        <f>'Mail Merge'!$O2224+'Mail Merge'!$P2224</f>
        <v>50455</v>
      </c>
      <c r="R2224" s="199"/>
      <c r="S2224" s="199"/>
      <c r="T2224" s="199"/>
      <c r="U2224" s="199">
        <f>IF(AND('Mail Merge'!$I2224="Did Not Meet",'Mail Merge'!$N2224="Did Not Meet"),MIN(ABS('Mail Merge'!$H2224),ABS('Mail Merge'!$M2224),'Mail Merge'!$Q2224),0)</f>
        <v>0</v>
      </c>
      <c r="V2224" s="199" t="str">
        <f>IF(OR(IFERROR(SEARCH("Met",'Mail Merge'!$N2224),0)&gt;0,IFERROR(SEARCH("Met",'Mail Merge'!$I2224),0)&gt;0),"Met","Not Met")</f>
        <v>Met</v>
      </c>
    </row>
    <row r="2225" spans="1:22" x14ac:dyDescent="0.35">
      <c r="A2225" s="200" t="s">
        <v>78</v>
      </c>
      <c r="B2225" s="201">
        <v>2221</v>
      </c>
      <c r="C2225" s="201" t="s">
        <v>1777</v>
      </c>
      <c r="D2225" s="201">
        <v>63</v>
      </c>
      <c r="E2225" s="201">
        <v>210184.06000000006</v>
      </c>
      <c r="F2225" s="201">
        <v>356738.27</v>
      </c>
      <c r="G2225" s="201">
        <f>'Mail Merge'!$E2225+'Mail Merge'!$F2225</f>
        <v>566922.33000000007</v>
      </c>
      <c r="H2225" s="201"/>
      <c r="I2225" s="201" t="s">
        <v>241</v>
      </c>
      <c r="J2225" s="204">
        <f>IFERROR('Mail Merge'!$E2225/'Mail Merge'!$D2225,0)</f>
        <v>3336.2549206349217</v>
      </c>
      <c r="K2225" s="201">
        <f>IFERROR('Mail Merge'!$F2225/'Mail Merge'!$D2225,0)</f>
        <v>5662.5122222222226</v>
      </c>
      <c r="L2225" s="201">
        <f>IFERROR('Mail Merge'!$G2225/'Mail Merge'!$D2225,0)</f>
        <v>8998.7671428571448</v>
      </c>
      <c r="M2225" s="201"/>
      <c r="N2225" s="201" t="str">
        <f t="shared" si="0"/>
        <v>Did Not Meet</v>
      </c>
      <c r="O2225" s="201">
        <v>108829</v>
      </c>
      <c r="P2225" s="201">
        <v>2671</v>
      </c>
      <c r="Q2225" s="201">
        <f>'Mail Merge'!$O2225+'Mail Merge'!$P2225</f>
        <v>111500</v>
      </c>
      <c r="R2225" s="201"/>
      <c r="S2225" s="201"/>
      <c r="T2225" s="201"/>
      <c r="U2225" s="201">
        <f>IF(AND('Mail Merge'!$I2225="Did Not Meet",'Mail Merge'!$N2225="Did Not Meet"),MIN(ABS('Mail Merge'!$H2225),ABS('Mail Merge'!$M2225),'Mail Merge'!$Q2225),0)</f>
        <v>0</v>
      </c>
      <c r="V2225" s="201" t="str">
        <f>IF(OR(IFERROR(SEARCH("Met",'Mail Merge'!$N2225),0)&gt;0,IFERROR(SEARCH("Met",'Mail Merge'!$I2225),0)&gt;0),"Met","Not Met")</f>
        <v>Met</v>
      </c>
    </row>
    <row r="2226" spans="1:22" x14ac:dyDescent="0.35">
      <c r="A2226" s="198" t="s">
        <v>79</v>
      </c>
      <c r="B2226" s="199">
        <v>1930</v>
      </c>
      <c r="C2226" s="199" t="s">
        <v>1777</v>
      </c>
      <c r="D2226" s="199">
        <v>354</v>
      </c>
      <c r="E2226" s="199">
        <v>3088117.9600000004</v>
      </c>
      <c r="F2226" s="199">
        <v>185816</v>
      </c>
      <c r="G2226" s="199">
        <f>'Mail Merge'!$E2226+'Mail Merge'!$F2226</f>
        <v>3273933.9600000004</v>
      </c>
      <c r="H2226" s="199"/>
      <c r="I2226" s="199" t="s">
        <v>241</v>
      </c>
      <c r="J2226" s="202">
        <f>IFERROR('Mail Merge'!$E2226/'Mail Merge'!$D2226,0)</f>
        <v>8723.4970621468947</v>
      </c>
      <c r="K2226" s="199">
        <f>IFERROR('Mail Merge'!$F2226/'Mail Merge'!$D2226,0)</f>
        <v>524.90395480225993</v>
      </c>
      <c r="L2226" s="199">
        <f>IFERROR('Mail Merge'!$G2226/'Mail Merge'!$D2226,0)</f>
        <v>9248.4010169491539</v>
      </c>
      <c r="M2226" s="199"/>
      <c r="N2226" s="199" t="str">
        <f t="shared" si="0"/>
        <v>Did Not Meet</v>
      </c>
      <c r="O2226" s="199">
        <v>581937</v>
      </c>
      <c r="P2226" s="199">
        <v>12162</v>
      </c>
      <c r="Q2226" s="199">
        <f>'Mail Merge'!$O2226+'Mail Merge'!$P2226</f>
        <v>594099</v>
      </c>
      <c r="R2226" s="199"/>
      <c r="S2226" s="199"/>
      <c r="T2226" s="199"/>
      <c r="U2226" s="199">
        <f>IF(AND('Mail Merge'!$I2226="Did Not Meet",'Mail Merge'!$N2226="Did Not Meet"),MIN(ABS('Mail Merge'!$H2226),ABS('Mail Merge'!$M2226),'Mail Merge'!$Q2226),0)</f>
        <v>0</v>
      </c>
      <c r="V2226" s="199" t="str">
        <f>IF(OR(IFERROR(SEARCH("Met",'Mail Merge'!$N2226),0)&gt;0,IFERROR(SEARCH("Met",'Mail Merge'!$I2226),0)&gt;0),"Met","Not Met")</f>
        <v>Met</v>
      </c>
    </row>
    <row r="2227" spans="1:22" x14ac:dyDescent="0.35">
      <c r="A2227" s="200" t="s">
        <v>80</v>
      </c>
      <c r="B2227" s="201">
        <v>2082</v>
      </c>
      <c r="C2227" s="201" t="s">
        <v>1777</v>
      </c>
      <c r="D2227" s="201">
        <v>2168</v>
      </c>
      <c r="E2227" s="201">
        <v>26392061.439999998</v>
      </c>
      <c r="F2227" s="201">
        <v>3960405</v>
      </c>
      <c r="G2227" s="201">
        <f>'Mail Merge'!$E2227+'Mail Merge'!$F2227</f>
        <v>30352466.439999998</v>
      </c>
      <c r="H2227" s="201"/>
      <c r="I2227" s="201" t="s">
        <v>241</v>
      </c>
      <c r="J2227" s="204">
        <f>IFERROR('Mail Merge'!$E2227/'Mail Merge'!$D2227,0)</f>
        <v>12173.460073800738</v>
      </c>
      <c r="K2227" s="201">
        <f>IFERROR('Mail Merge'!$F2227/'Mail Merge'!$D2227,0)</f>
        <v>1826.755073800738</v>
      </c>
      <c r="L2227" s="201">
        <f>IFERROR('Mail Merge'!$G2227/'Mail Merge'!$D2227,0)</f>
        <v>14000.215147601475</v>
      </c>
      <c r="M2227" s="201"/>
      <c r="N2227" s="201" t="str">
        <f t="shared" si="0"/>
        <v>Met</v>
      </c>
      <c r="O2227" s="201">
        <v>3885023</v>
      </c>
      <c r="P2227" s="201">
        <v>117719</v>
      </c>
      <c r="Q2227" s="201">
        <f>'Mail Merge'!$O2227+'Mail Merge'!$P2227</f>
        <v>4002742</v>
      </c>
      <c r="R2227" s="201"/>
      <c r="S2227" s="201"/>
      <c r="T2227" s="201"/>
      <c r="U2227" s="201">
        <f>IF(AND('Mail Merge'!$I2227="Did Not Meet",'Mail Merge'!$N2227="Did Not Meet"),MIN(ABS('Mail Merge'!$H2227),ABS('Mail Merge'!$M2227),'Mail Merge'!$Q2227),0)</f>
        <v>0</v>
      </c>
      <c r="V2227" s="201" t="str">
        <f>IF(OR(IFERROR(SEARCH("Met",'Mail Merge'!$N2227),0)&gt;0,IFERROR(SEARCH("Met",'Mail Merge'!$I2227),0)&gt;0),"Met","Not Met")</f>
        <v>Met</v>
      </c>
    </row>
    <row r="2228" spans="1:22" x14ac:dyDescent="0.35">
      <c r="A2228" s="198" t="s">
        <v>81</v>
      </c>
      <c r="B2228" s="199">
        <v>2193</v>
      </c>
      <c r="C2228" s="199" t="s">
        <v>1777</v>
      </c>
      <c r="D2228" s="199">
        <v>33</v>
      </c>
      <c r="E2228" s="199">
        <v>264590.80000000005</v>
      </c>
      <c r="F2228" s="199">
        <v>42381.45</v>
      </c>
      <c r="G2228" s="199">
        <f>'Mail Merge'!$E2228+'Mail Merge'!$F2228</f>
        <v>306972.25000000006</v>
      </c>
      <c r="H2228" s="199"/>
      <c r="I2228" s="199" t="s">
        <v>2979</v>
      </c>
      <c r="J2228" s="202">
        <f>IFERROR('Mail Merge'!$E2228/'Mail Merge'!$D2228,0)</f>
        <v>8017.9030303030313</v>
      </c>
      <c r="K2228" s="199">
        <f>IFERROR('Mail Merge'!$F2228/'Mail Merge'!$D2228,0)</f>
        <v>1284.2863636363636</v>
      </c>
      <c r="L2228" s="199">
        <f>IFERROR('Mail Merge'!$G2228/'Mail Merge'!$D2228,0)</f>
        <v>9302.1893939393958</v>
      </c>
      <c r="M2228" s="199"/>
      <c r="N2228" s="199" t="str">
        <f t="shared" si="0"/>
        <v>Met</v>
      </c>
      <c r="O2228" s="199">
        <v>58718</v>
      </c>
      <c r="P2228" s="199">
        <v>1097</v>
      </c>
      <c r="Q2228" s="199">
        <f>'Mail Merge'!$O2228+'Mail Merge'!$P2228</f>
        <v>59815</v>
      </c>
      <c r="R2228" s="199"/>
      <c r="S2228" s="199"/>
      <c r="T2228" s="199"/>
      <c r="U2228" s="199">
        <f>IF(AND('Mail Merge'!$I2228="Did Not Meet",'Mail Merge'!$N2228="Did Not Meet"),MIN(ABS('Mail Merge'!$H2228),ABS('Mail Merge'!$M2228),'Mail Merge'!$Q2228),0)</f>
        <v>0</v>
      </c>
      <c r="V2228" s="199" t="str">
        <f>IF(OR(IFERROR(SEARCH("Met",'Mail Merge'!$N2228),0)&gt;0,IFERROR(SEARCH("Met",'Mail Merge'!$I2228),0)&gt;0),"Met","Not Met")</f>
        <v>Met</v>
      </c>
    </row>
    <row r="2229" spans="1:22" x14ac:dyDescent="0.35">
      <c r="A2229" s="200" t="s">
        <v>82</v>
      </c>
      <c r="B2229" s="201">
        <v>2084</v>
      </c>
      <c r="C2229" s="201" t="s">
        <v>1777</v>
      </c>
      <c r="D2229" s="201">
        <v>234</v>
      </c>
      <c r="E2229" s="201">
        <v>3046712.0199999996</v>
      </c>
      <c r="F2229" s="201">
        <v>213963</v>
      </c>
      <c r="G2229" s="201">
        <f>'Mail Merge'!$E2229+'Mail Merge'!$F2229</f>
        <v>3260675.0199999996</v>
      </c>
      <c r="H2229" s="201"/>
      <c r="I2229" s="201" t="s">
        <v>2979</v>
      </c>
      <c r="J2229" s="204">
        <f>IFERROR('Mail Merge'!$E2229/'Mail Merge'!$D2229,0)</f>
        <v>13020.136837606835</v>
      </c>
      <c r="K2229" s="201">
        <f>IFERROR('Mail Merge'!$F2229/'Mail Merge'!$D2229,0)</f>
        <v>914.37179487179492</v>
      </c>
      <c r="L2229" s="201">
        <f>IFERROR('Mail Merge'!$G2229/'Mail Merge'!$D2229,0)</f>
        <v>13934.50863247863</v>
      </c>
      <c r="M2229" s="201"/>
      <c r="N2229" s="201" t="str">
        <f t="shared" si="0"/>
        <v>Met</v>
      </c>
      <c r="O2229" s="201">
        <v>396152</v>
      </c>
      <c r="P2229" s="201">
        <v>8158</v>
      </c>
      <c r="Q2229" s="201">
        <f>'Mail Merge'!$O2229+'Mail Merge'!$P2229</f>
        <v>404310</v>
      </c>
      <c r="R2229" s="201"/>
      <c r="S2229" s="201"/>
      <c r="T2229" s="201"/>
      <c r="U2229" s="201">
        <f>IF(AND('Mail Merge'!$I2229="Did Not Meet",'Mail Merge'!$N2229="Did Not Meet"),MIN(ABS('Mail Merge'!$H2229),ABS('Mail Merge'!$M2229),'Mail Merge'!$Q2229),0)</f>
        <v>0</v>
      </c>
      <c r="V2229" s="201" t="str">
        <f>IF(OR(IFERROR(SEARCH("Met",'Mail Merge'!$N2229),0)&gt;0,IFERROR(SEARCH("Met",'Mail Merge'!$I2229),0)&gt;0),"Met","Not Met")</f>
        <v>Met</v>
      </c>
    </row>
    <row r="2230" spans="1:22" x14ac:dyDescent="0.35">
      <c r="A2230" s="198" t="s">
        <v>83</v>
      </c>
      <c r="B2230" s="199">
        <v>2241</v>
      </c>
      <c r="C2230" s="199" t="s">
        <v>1777</v>
      </c>
      <c r="D2230" s="199">
        <v>816</v>
      </c>
      <c r="E2230" s="199">
        <v>11134916.589999996</v>
      </c>
      <c r="F2230" s="199">
        <v>293035</v>
      </c>
      <c r="G2230" s="199">
        <f>'Mail Merge'!$E2230+'Mail Merge'!$F2230</f>
        <v>11427951.589999996</v>
      </c>
      <c r="H2230" s="199"/>
      <c r="I2230" s="199" t="s">
        <v>241</v>
      </c>
      <c r="J2230" s="202">
        <f>IFERROR('Mail Merge'!$E2230/'Mail Merge'!$D2230,0)</f>
        <v>13645.731115196073</v>
      </c>
      <c r="K2230" s="199">
        <f>IFERROR('Mail Merge'!$F2230/'Mail Merge'!$D2230,0)</f>
        <v>359.11151960784315</v>
      </c>
      <c r="L2230" s="199">
        <f>IFERROR('Mail Merge'!$G2230/'Mail Merge'!$D2230,0)</f>
        <v>14004.842634803917</v>
      </c>
      <c r="M2230" s="199"/>
      <c r="N2230" s="199" t="str">
        <f t="shared" si="0"/>
        <v>Met</v>
      </c>
      <c r="O2230" s="199">
        <v>1297047</v>
      </c>
      <c r="P2230" s="199">
        <v>24414</v>
      </c>
      <c r="Q2230" s="199">
        <f>'Mail Merge'!$O2230+'Mail Merge'!$P2230</f>
        <v>1321461</v>
      </c>
      <c r="R2230" s="199"/>
      <c r="S2230" s="199"/>
      <c r="T2230" s="199"/>
      <c r="U2230" s="199">
        <f>IF(AND('Mail Merge'!$I2230="Did Not Meet",'Mail Merge'!$N2230="Did Not Meet"),MIN(ABS('Mail Merge'!$H2230),ABS('Mail Merge'!$M2230),'Mail Merge'!$Q2230),0)</f>
        <v>0</v>
      </c>
      <c r="V2230" s="199" t="str">
        <f>IF(OR(IFERROR(SEARCH("Met",'Mail Merge'!$N2230),0)&gt;0,IFERROR(SEARCH("Met",'Mail Merge'!$I2230),0)&gt;0),"Met","Not Met")</f>
        <v>Met</v>
      </c>
    </row>
    <row r="2231" spans="1:22" x14ac:dyDescent="0.35">
      <c r="A2231" s="200" t="s">
        <v>84</v>
      </c>
      <c r="B2231" s="201">
        <v>2248</v>
      </c>
      <c r="C2231" s="201" t="s">
        <v>1777</v>
      </c>
      <c r="D2231" s="201">
        <v>110</v>
      </c>
      <c r="E2231" s="201">
        <v>754673.89</v>
      </c>
      <c r="F2231" s="201">
        <v>95544</v>
      </c>
      <c r="G2231" s="201">
        <f>'Mail Merge'!$E2231+'Mail Merge'!$F2231</f>
        <v>850217.89</v>
      </c>
      <c r="H2231" s="201"/>
      <c r="I2231" s="201" t="s">
        <v>2140</v>
      </c>
      <c r="J2231" s="204">
        <f>IFERROR('Mail Merge'!$E2231/'Mail Merge'!$D2231,0)</f>
        <v>6860.6717272727274</v>
      </c>
      <c r="K2231" s="201">
        <f>IFERROR('Mail Merge'!$F2231/'Mail Merge'!$D2231,0)</f>
        <v>868.58181818181822</v>
      </c>
      <c r="L2231" s="201">
        <f>IFERROR('Mail Merge'!$G2231/'Mail Merge'!$D2231,0)</f>
        <v>7729.2535454545459</v>
      </c>
      <c r="M2231" s="201"/>
      <c r="N2231" s="201" t="str">
        <f t="shared" si="0"/>
        <v>Met</v>
      </c>
      <c r="O2231" s="201">
        <v>135919</v>
      </c>
      <c r="P2231" s="201">
        <v>1315</v>
      </c>
      <c r="Q2231" s="201">
        <f>'Mail Merge'!$O2231+'Mail Merge'!$P2231</f>
        <v>137234</v>
      </c>
      <c r="R2231" s="201"/>
      <c r="S2231" s="201"/>
      <c r="T2231" s="201"/>
      <c r="U2231" s="201">
        <f>IF(AND('Mail Merge'!$I2231="Did Not Meet",'Mail Merge'!$N2231="Did Not Meet"),MIN(ABS('Mail Merge'!$H2231),ABS('Mail Merge'!$M2231),'Mail Merge'!$Q2231),0)</f>
        <v>0</v>
      </c>
      <c r="V2231" s="201" t="str">
        <f>IF(OR(IFERROR(SEARCH("Met",'Mail Merge'!$N2231),0)&gt;0,IFERROR(SEARCH("Met",'Mail Merge'!$I2231),0)&gt;0),"Met","Not Met")</f>
        <v>Met</v>
      </c>
    </row>
    <row r="2232" spans="1:22" x14ac:dyDescent="0.35">
      <c r="A2232" s="198" t="s">
        <v>85</v>
      </c>
      <c r="B2232" s="199">
        <v>2020</v>
      </c>
      <c r="C2232" s="199" t="s">
        <v>1777</v>
      </c>
      <c r="D2232" s="199">
        <v>1</v>
      </c>
      <c r="E2232" s="199">
        <v>0</v>
      </c>
      <c r="F2232" s="199">
        <v>19769.169999999998</v>
      </c>
      <c r="G2232" s="199">
        <f>'Mail Merge'!$E2232+'Mail Merge'!$F2232</f>
        <v>19769.169999999998</v>
      </c>
      <c r="H2232" s="199"/>
      <c r="I2232" s="199" t="s">
        <v>2979</v>
      </c>
      <c r="J2232" s="202">
        <f>IFERROR('Mail Merge'!$E2232/'Mail Merge'!$D2232,0)</f>
        <v>0</v>
      </c>
      <c r="K2232" s="199">
        <f>IFERROR('Mail Merge'!$F2232/'Mail Merge'!$D2232,0)</f>
        <v>19769.169999999998</v>
      </c>
      <c r="L2232" s="199">
        <f>IFERROR('Mail Merge'!$G2232/'Mail Merge'!$D2232,0)</f>
        <v>19769.169999999998</v>
      </c>
      <c r="M2232" s="199"/>
      <c r="N2232" s="199" t="str">
        <f t="shared" si="0"/>
        <v>Did Not Meet</v>
      </c>
      <c r="O2232" s="199">
        <v>1554</v>
      </c>
      <c r="P2232" s="199">
        <v>272</v>
      </c>
      <c r="Q2232" s="199">
        <f>'Mail Merge'!$O2232+'Mail Merge'!$P2232</f>
        <v>1826</v>
      </c>
      <c r="R2232" s="199"/>
      <c r="S2232" s="199"/>
      <c r="T2232" s="199"/>
      <c r="U2232" s="199">
        <f>IF(AND('Mail Merge'!$I2232="Did Not Meet",'Mail Merge'!$N2232="Did Not Meet"),MIN(ABS('Mail Merge'!$H2232),ABS('Mail Merge'!$M2232),'Mail Merge'!$Q2232),0)</f>
        <v>0</v>
      </c>
      <c r="V2232" s="199" t="str">
        <f>IF(OR(IFERROR(SEARCH("Met",'Mail Merge'!$N2232),0)&gt;0,IFERROR(SEARCH("Met",'Mail Merge'!$I2232),0)&gt;0),"Met","Not Met")</f>
        <v>Met</v>
      </c>
    </row>
    <row r="2233" spans="1:22" x14ac:dyDescent="0.35">
      <c r="A2233" s="200" t="s">
        <v>86</v>
      </c>
      <c r="B2233" s="201">
        <v>2245</v>
      </c>
      <c r="C2233" s="201" t="s">
        <v>1777</v>
      </c>
      <c r="D2233" s="201">
        <v>83</v>
      </c>
      <c r="E2233" s="201">
        <v>915202.45</v>
      </c>
      <c r="F2233" s="201">
        <v>254606</v>
      </c>
      <c r="G2233" s="201">
        <f>'Mail Merge'!$E2233+'Mail Merge'!$F2233</f>
        <v>1169808.45</v>
      </c>
      <c r="H2233" s="201"/>
      <c r="I2233" s="201" t="s">
        <v>241</v>
      </c>
      <c r="J2233" s="204">
        <f>IFERROR('Mail Merge'!$E2233/'Mail Merge'!$D2233,0)</f>
        <v>11026.535542168675</v>
      </c>
      <c r="K2233" s="201">
        <f>IFERROR('Mail Merge'!$F2233/'Mail Merge'!$D2233,0)</f>
        <v>3067.5421686746986</v>
      </c>
      <c r="L2233" s="201">
        <f>IFERROR('Mail Merge'!$G2233/'Mail Merge'!$D2233,0)</f>
        <v>14094.077710843372</v>
      </c>
      <c r="M2233" s="201"/>
      <c r="N2233" s="201" t="str">
        <f t="shared" si="0"/>
        <v>Met</v>
      </c>
      <c r="O2233" s="201">
        <v>117700</v>
      </c>
      <c r="P2233" s="201">
        <v>2714</v>
      </c>
      <c r="Q2233" s="201">
        <f>'Mail Merge'!$O2233+'Mail Merge'!$P2233</f>
        <v>120414</v>
      </c>
      <c r="R2233" s="201"/>
      <c r="S2233" s="201"/>
      <c r="T2233" s="201"/>
      <c r="U2233" s="201">
        <f>IF(AND('Mail Merge'!$I2233="Did Not Meet",'Mail Merge'!$N2233="Did Not Meet"),MIN(ABS('Mail Merge'!$H2233),ABS('Mail Merge'!$M2233),'Mail Merge'!$Q2233),0)</f>
        <v>0</v>
      </c>
      <c r="V2233" s="201" t="str">
        <f>IF(OR(IFERROR(SEARCH("Met",'Mail Merge'!$N2233),0)&gt;0,IFERROR(SEARCH("Met",'Mail Merge'!$I2233),0)&gt;0),"Met","Not Met")</f>
        <v>Met</v>
      </c>
    </row>
    <row r="2234" spans="1:22" x14ac:dyDescent="0.35">
      <c r="A2234" s="198" t="s">
        <v>87</v>
      </c>
      <c r="B2234" s="199">
        <v>2137</v>
      </c>
      <c r="C2234" s="199" t="s">
        <v>1777</v>
      </c>
      <c r="D2234" s="199">
        <v>184</v>
      </c>
      <c r="E2234" s="199">
        <v>1401220.6199999996</v>
      </c>
      <c r="F2234" s="199">
        <v>383900.63999999996</v>
      </c>
      <c r="G2234" s="199">
        <f>'Mail Merge'!$E2234+'Mail Merge'!$F2234</f>
        <v>1785121.2599999995</v>
      </c>
      <c r="H2234" s="199"/>
      <c r="I2234" s="199" t="s">
        <v>241</v>
      </c>
      <c r="J2234" s="202">
        <f>IFERROR('Mail Merge'!$E2234/'Mail Merge'!$D2234,0)</f>
        <v>7615.3294565217375</v>
      </c>
      <c r="K2234" s="199">
        <f>IFERROR('Mail Merge'!$F2234/'Mail Merge'!$D2234,0)</f>
        <v>2086.4165217391301</v>
      </c>
      <c r="L2234" s="199">
        <f>IFERROR('Mail Merge'!$G2234/'Mail Merge'!$D2234,0)</f>
        <v>9701.7459782608676</v>
      </c>
      <c r="M2234" s="199"/>
      <c r="N2234" s="199" t="str">
        <f t="shared" ref="N2234:N2297" si="1">IF(L2234&gt;=L2037,"Met","Did Not Meet")</f>
        <v>Met</v>
      </c>
      <c r="O2234" s="199">
        <v>301693</v>
      </c>
      <c r="P2234" s="199">
        <v>4284</v>
      </c>
      <c r="Q2234" s="199">
        <f>'Mail Merge'!$O2234+'Mail Merge'!$P2234</f>
        <v>305977</v>
      </c>
      <c r="R2234" s="199"/>
      <c r="S2234" s="199"/>
      <c r="T2234" s="199"/>
      <c r="U2234" s="199">
        <f>IF(AND('Mail Merge'!$I2234="Did Not Meet",'Mail Merge'!$N2234="Did Not Meet"),MIN(ABS('Mail Merge'!$H2234),ABS('Mail Merge'!$M2234),'Mail Merge'!$Q2234),0)</f>
        <v>0</v>
      </c>
      <c r="V2234" s="199" t="str">
        <f>IF(OR(IFERROR(SEARCH("Met",'Mail Merge'!$N2234),0)&gt;0,IFERROR(SEARCH("Met",'Mail Merge'!$I2234),0)&gt;0),"Met","Not Met")</f>
        <v>Met</v>
      </c>
    </row>
    <row r="2235" spans="1:22" x14ac:dyDescent="0.35">
      <c r="A2235" s="200" t="s">
        <v>88</v>
      </c>
      <c r="B2235" s="201">
        <v>1931</v>
      </c>
      <c r="C2235" s="201" t="s">
        <v>1777</v>
      </c>
      <c r="D2235" s="201">
        <v>275</v>
      </c>
      <c r="E2235" s="201">
        <v>3203486.6600000011</v>
      </c>
      <c r="F2235" s="201">
        <v>293505</v>
      </c>
      <c r="G2235" s="201">
        <f>'Mail Merge'!$E2235+'Mail Merge'!$F2235</f>
        <v>3496991.6600000011</v>
      </c>
      <c r="H2235" s="201"/>
      <c r="I2235" s="201" t="s">
        <v>2140</v>
      </c>
      <c r="J2235" s="204">
        <f>IFERROR('Mail Merge'!$E2235/'Mail Merge'!$D2235,0)</f>
        <v>11649.042400000004</v>
      </c>
      <c r="K2235" s="201">
        <f>IFERROR('Mail Merge'!$F2235/'Mail Merge'!$D2235,0)</f>
        <v>1067.2909090909091</v>
      </c>
      <c r="L2235" s="201">
        <f>IFERROR('Mail Merge'!$G2235/'Mail Merge'!$D2235,0)</f>
        <v>12716.333309090913</v>
      </c>
      <c r="M2235" s="201"/>
      <c r="N2235" s="201" t="str">
        <f t="shared" si="1"/>
        <v>Met</v>
      </c>
      <c r="O2235" s="201">
        <v>440167</v>
      </c>
      <c r="P2235" s="201">
        <v>5484</v>
      </c>
      <c r="Q2235" s="201">
        <f>'Mail Merge'!$O2235+'Mail Merge'!$P2235</f>
        <v>445651</v>
      </c>
      <c r="R2235" s="201"/>
      <c r="S2235" s="201"/>
      <c r="T2235" s="201"/>
      <c r="U2235" s="201">
        <f>IF(AND('Mail Merge'!$I2235="Did Not Meet",'Mail Merge'!$N2235="Did Not Meet"),MIN(ABS('Mail Merge'!$H2235),ABS('Mail Merge'!$M2235),'Mail Merge'!$Q2235),0)</f>
        <v>0</v>
      </c>
      <c r="V2235" s="201" t="str">
        <f>IF(OR(IFERROR(SEARCH("Met",'Mail Merge'!$N2235),0)&gt;0,IFERROR(SEARCH("Met",'Mail Merge'!$I2235),0)&gt;0),"Met","Not Met")</f>
        <v>Met</v>
      </c>
    </row>
    <row r="2236" spans="1:22" x14ac:dyDescent="0.35">
      <c r="A2236" s="198" t="s">
        <v>89</v>
      </c>
      <c r="B2236" s="199">
        <v>2000</v>
      </c>
      <c r="C2236" s="199" t="s">
        <v>1777</v>
      </c>
      <c r="D2236" s="199">
        <v>51</v>
      </c>
      <c r="E2236" s="199">
        <v>0</v>
      </c>
      <c r="F2236" s="199">
        <v>130568.07999999999</v>
      </c>
      <c r="G2236" s="199">
        <f>'Mail Merge'!$E2236+'Mail Merge'!$F2236</f>
        <v>130568.07999999999</v>
      </c>
      <c r="H2236" s="199"/>
      <c r="I2236" s="199" t="s">
        <v>241</v>
      </c>
      <c r="J2236" s="202">
        <f>IFERROR('Mail Merge'!$E2236/'Mail Merge'!$D2236,0)</f>
        <v>0</v>
      </c>
      <c r="K2236" s="199">
        <f>IFERROR('Mail Merge'!$F2236/'Mail Merge'!$D2236,0)</f>
        <v>2560.1584313725489</v>
      </c>
      <c r="L2236" s="199">
        <f>IFERROR('Mail Merge'!$G2236/'Mail Merge'!$D2236,0)</f>
        <v>2560.1584313725489</v>
      </c>
      <c r="M2236" s="199"/>
      <c r="N2236" s="199" t="str">
        <f t="shared" si="1"/>
        <v>Did Not Meet</v>
      </c>
      <c r="O2236" s="199">
        <v>75925</v>
      </c>
      <c r="P2236" s="199">
        <v>667</v>
      </c>
      <c r="Q2236" s="199">
        <f>'Mail Merge'!$O2236+'Mail Merge'!$P2236</f>
        <v>76592</v>
      </c>
      <c r="R2236" s="199"/>
      <c r="S2236" s="199"/>
      <c r="T2236" s="199"/>
      <c r="U2236" s="199">
        <f>IF(AND('Mail Merge'!$I2236="Did Not Meet",'Mail Merge'!$N2236="Did Not Meet"),MIN(ABS('Mail Merge'!$H2236),ABS('Mail Merge'!$M2236),'Mail Merge'!$Q2236),0)</f>
        <v>0</v>
      </c>
      <c r="V2236" s="199" t="str">
        <f>IF(OR(IFERROR(SEARCH("Met",'Mail Merge'!$N2236),0)&gt;0,IFERROR(SEARCH("Met",'Mail Merge'!$I2236),0)&gt;0),"Met","Not Met")</f>
        <v>Met</v>
      </c>
    </row>
    <row r="2237" spans="1:22" x14ac:dyDescent="0.35">
      <c r="A2237" s="200" t="s">
        <v>90</v>
      </c>
      <c r="B2237" s="201">
        <v>1992</v>
      </c>
      <c r="C2237" s="201" t="s">
        <v>1777</v>
      </c>
      <c r="D2237" s="201">
        <v>98</v>
      </c>
      <c r="E2237" s="201">
        <v>973885.85</v>
      </c>
      <c r="F2237" s="201">
        <v>173523.00000000003</v>
      </c>
      <c r="G2237" s="201">
        <f>'Mail Merge'!$E2237+'Mail Merge'!$F2237</f>
        <v>1147408.8500000001</v>
      </c>
      <c r="H2237" s="201"/>
      <c r="I2237" s="201" t="s">
        <v>2979</v>
      </c>
      <c r="J2237" s="204">
        <f>IFERROR('Mail Merge'!$E2237/'Mail Merge'!$D2237,0)</f>
        <v>9937.6107142857145</v>
      </c>
      <c r="K2237" s="201">
        <f>IFERROR('Mail Merge'!$F2237/'Mail Merge'!$D2237,0)</f>
        <v>1770.6428571428573</v>
      </c>
      <c r="L2237" s="201">
        <f>IFERROR('Mail Merge'!$G2237/'Mail Merge'!$D2237,0)</f>
        <v>11708.253571428573</v>
      </c>
      <c r="M2237" s="201"/>
      <c r="N2237" s="201" t="str">
        <f t="shared" si="1"/>
        <v>Met</v>
      </c>
      <c r="O2237" s="201">
        <v>198725</v>
      </c>
      <c r="P2237" s="201">
        <v>4408</v>
      </c>
      <c r="Q2237" s="201">
        <f>'Mail Merge'!$O2237+'Mail Merge'!$P2237</f>
        <v>203133</v>
      </c>
      <c r="R2237" s="201"/>
      <c r="S2237" s="201"/>
      <c r="T2237" s="201"/>
      <c r="U2237" s="201">
        <f>IF(AND('Mail Merge'!$I2237="Did Not Meet",'Mail Merge'!$N2237="Did Not Meet"),MIN(ABS('Mail Merge'!$H2237),ABS('Mail Merge'!$M2237),'Mail Merge'!$Q2237),0)</f>
        <v>0</v>
      </c>
      <c r="V2237" s="201" t="str">
        <f>IF(OR(IFERROR(SEARCH("Met",'Mail Merge'!$N2237),0)&gt;0,IFERROR(SEARCH("Met",'Mail Merge'!$I2237),0)&gt;0),"Met","Not Met")</f>
        <v>Met</v>
      </c>
    </row>
    <row r="2238" spans="1:22" x14ac:dyDescent="0.35">
      <c r="A2238" s="198" t="s">
        <v>91</v>
      </c>
      <c r="B2238" s="199">
        <v>2054</v>
      </c>
      <c r="C2238" s="199" t="s">
        <v>1777</v>
      </c>
      <c r="D2238" s="199">
        <v>733</v>
      </c>
      <c r="E2238" s="199">
        <v>7563410.4800000004</v>
      </c>
      <c r="F2238" s="199">
        <v>430901.52</v>
      </c>
      <c r="G2238" s="199">
        <f>'Mail Merge'!$E2238+'Mail Merge'!$F2238</f>
        <v>7994312</v>
      </c>
      <c r="H2238" s="199"/>
      <c r="I2238" s="199" t="s">
        <v>241</v>
      </c>
      <c r="J2238" s="202">
        <f>IFERROR('Mail Merge'!$E2238/'Mail Merge'!$D2238,0)</f>
        <v>10318.43175989086</v>
      </c>
      <c r="K2238" s="199">
        <f>IFERROR('Mail Merge'!$F2238/'Mail Merge'!$D2238,0)</f>
        <v>587.86019099590726</v>
      </c>
      <c r="L2238" s="199">
        <f>IFERROR('Mail Merge'!$G2238/'Mail Merge'!$D2238,0)</f>
        <v>10906.291950886767</v>
      </c>
      <c r="M2238" s="199"/>
      <c r="N2238" s="199" t="str">
        <f t="shared" si="1"/>
        <v>Met</v>
      </c>
      <c r="O2238" s="199">
        <v>1262122</v>
      </c>
      <c r="P2238" s="199">
        <v>33020</v>
      </c>
      <c r="Q2238" s="199">
        <f>'Mail Merge'!$O2238+'Mail Merge'!$P2238</f>
        <v>1295142</v>
      </c>
      <c r="R2238" s="199"/>
      <c r="S2238" s="199"/>
      <c r="T2238" s="199"/>
      <c r="U2238" s="199">
        <f>IF(AND('Mail Merge'!$I2238="Did Not Meet",'Mail Merge'!$N2238="Did Not Meet"),MIN(ABS('Mail Merge'!$H2238),ABS('Mail Merge'!$M2238),'Mail Merge'!$Q2238),0)</f>
        <v>0</v>
      </c>
      <c r="V2238" s="199" t="str">
        <f>IF(OR(IFERROR(SEARCH("Met",'Mail Merge'!$N2238),0)&gt;0,IFERROR(SEARCH("Met",'Mail Merge'!$I2238),0)&gt;0),"Met","Not Met")</f>
        <v>Met</v>
      </c>
    </row>
    <row r="2239" spans="1:22" x14ac:dyDescent="0.35">
      <c r="A2239" s="200" t="s">
        <v>92</v>
      </c>
      <c r="B2239" s="201">
        <v>2100</v>
      </c>
      <c r="C2239" s="201" t="s">
        <v>1777</v>
      </c>
      <c r="D2239" s="201">
        <v>1323</v>
      </c>
      <c r="E2239" s="201">
        <v>15758386.590000005</v>
      </c>
      <c r="F2239" s="201">
        <v>1565041</v>
      </c>
      <c r="G2239" s="201">
        <f>'Mail Merge'!$E2239+'Mail Merge'!$F2239</f>
        <v>17323427.590000004</v>
      </c>
      <c r="H2239" s="201"/>
      <c r="I2239" s="201" t="s">
        <v>241</v>
      </c>
      <c r="J2239" s="204">
        <f>IFERROR('Mail Merge'!$E2239/'Mail Merge'!$D2239,0)</f>
        <v>11911.100975056694</v>
      </c>
      <c r="K2239" s="201">
        <f>IFERROR('Mail Merge'!$F2239/'Mail Merge'!$D2239,0)</f>
        <v>1182.9486016628873</v>
      </c>
      <c r="L2239" s="201">
        <f>IFERROR('Mail Merge'!$G2239/'Mail Merge'!$D2239,0)</f>
        <v>13094.049576719579</v>
      </c>
      <c r="M2239" s="201"/>
      <c r="N2239" s="201" t="str">
        <f t="shared" si="1"/>
        <v>Did Not Meet</v>
      </c>
      <c r="O2239" s="201">
        <v>2024455</v>
      </c>
      <c r="P2239" s="201">
        <v>53449</v>
      </c>
      <c r="Q2239" s="201">
        <f>'Mail Merge'!$O2239+'Mail Merge'!$P2239</f>
        <v>2077904</v>
      </c>
      <c r="R2239" s="201"/>
      <c r="S2239" s="201"/>
      <c r="T2239" s="201"/>
      <c r="U2239" s="201">
        <f>IF(AND('Mail Merge'!$I2239="Did Not Meet",'Mail Merge'!$N2239="Did Not Meet"),MIN(ABS('Mail Merge'!$H2239),ABS('Mail Merge'!$M2239),'Mail Merge'!$Q2239),0)</f>
        <v>0</v>
      </c>
      <c r="V2239" s="201" t="str">
        <f>IF(OR(IFERROR(SEARCH("Met",'Mail Merge'!$N2239),0)&gt;0,IFERROR(SEARCH("Met",'Mail Merge'!$I2239),0)&gt;0),"Met","Not Met")</f>
        <v>Met</v>
      </c>
    </row>
    <row r="2240" spans="1:22" x14ac:dyDescent="0.35">
      <c r="A2240" s="198" t="s">
        <v>93</v>
      </c>
      <c r="B2240" s="199">
        <v>2183</v>
      </c>
      <c r="C2240" s="199" t="s">
        <v>1777</v>
      </c>
      <c r="D2240" s="199">
        <v>1550</v>
      </c>
      <c r="E2240" s="199">
        <v>18700454.680000015</v>
      </c>
      <c r="F2240" s="199">
        <v>1533868.4800000002</v>
      </c>
      <c r="G2240" s="199">
        <f>'Mail Merge'!$E2240+'Mail Merge'!$F2240</f>
        <v>20234323.160000015</v>
      </c>
      <c r="H2240" s="199"/>
      <c r="I2240" s="199" t="s">
        <v>2979</v>
      </c>
      <c r="J2240" s="202">
        <f>IFERROR('Mail Merge'!$E2240/'Mail Merge'!$D2240,0)</f>
        <v>12064.809470967752</v>
      </c>
      <c r="K2240" s="199">
        <f>IFERROR('Mail Merge'!$F2240/'Mail Merge'!$D2240,0)</f>
        <v>989.59256774193557</v>
      </c>
      <c r="L2240" s="199">
        <f>IFERROR('Mail Merge'!$G2240/'Mail Merge'!$D2240,0)</f>
        <v>13054.402038709688</v>
      </c>
      <c r="M2240" s="199"/>
      <c r="N2240" s="199" t="str">
        <f t="shared" si="1"/>
        <v>Met</v>
      </c>
      <c r="O2240" s="199">
        <v>2513028</v>
      </c>
      <c r="P2240" s="199">
        <v>63610</v>
      </c>
      <c r="Q2240" s="199">
        <f>'Mail Merge'!$O2240+'Mail Merge'!$P2240</f>
        <v>2576638</v>
      </c>
      <c r="R2240" s="199"/>
      <c r="S2240" s="199"/>
      <c r="T2240" s="199"/>
      <c r="U2240" s="199">
        <f>IF(AND('Mail Merge'!$I2240="Did Not Meet",'Mail Merge'!$N2240="Did Not Meet"),MIN(ABS('Mail Merge'!$H2240),ABS('Mail Merge'!$M2240),'Mail Merge'!$Q2240),0)</f>
        <v>0</v>
      </c>
      <c r="V2240" s="199" t="str">
        <f>IF(OR(IFERROR(SEARCH("Met",'Mail Merge'!$N2240),0)&gt;0,IFERROR(SEARCH("Met",'Mail Merge'!$I2240),0)&gt;0),"Met","Not Met")</f>
        <v>Met</v>
      </c>
    </row>
    <row r="2241" spans="1:22" x14ac:dyDescent="0.35">
      <c r="A2241" s="200" t="s">
        <v>94</v>
      </c>
      <c r="B2241" s="201">
        <v>2014</v>
      </c>
      <c r="C2241" s="201" t="s">
        <v>1777</v>
      </c>
      <c r="D2241" s="201">
        <v>109</v>
      </c>
      <c r="E2241" s="201">
        <v>1171283.8300000003</v>
      </c>
      <c r="F2241" s="201">
        <v>0</v>
      </c>
      <c r="G2241" s="201">
        <f>'Mail Merge'!$E2241+'Mail Merge'!$F2241</f>
        <v>1171283.8300000003</v>
      </c>
      <c r="H2241" s="201"/>
      <c r="I2241" s="201" t="s">
        <v>241</v>
      </c>
      <c r="J2241" s="204">
        <f>IFERROR('Mail Merge'!$E2241/'Mail Merge'!$D2241,0)</f>
        <v>10745.723211009177</v>
      </c>
      <c r="K2241" s="201">
        <f>IFERROR('Mail Merge'!$F2241/'Mail Merge'!$D2241,0)</f>
        <v>0</v>
      </c>
      <c r="L2241" s="201">
        <f>IFERROR('Mail Merge'!$G2241/'Mail Merge'!$D2241,0)</f>
        <v>10745.723211009177</v>
      </c>
      <c r="M2241" s="201"/>
      <c r="N2241" s="201" t="str">
        <f t="shared" si="1"/>
        <v>Did Not Meet</v>
      </c>
      <c r="O2241" s="201">
        <v>228215</v>
      </c>
      <c r="P2241" s="201">
        <v>9681</v>
      </c>
      <c r="Q2241" s="201">
        <f>'Mail Merge'!$O2241+'Mail Merge'!$P2241</f>
        <v>237896</v>
      </c>
      <c r="R2241" s="201"/>
      <c r="S2241" s="201"/>
      <c r="T2241" s="201"/>
      <c r="U2241" s="201">
        <f>IF(AND('Mail Merge'!$I2241="Did Not Meet",'Mail Merge'!$N2241="Did Not Meet"),MIN(ABS('Mail Merge'!$H2241),ABS('Mail Merge'!$M2241),'Mail Merge'!$Q2241),0)</f>
        <v>0</v>
      </c>
      <c r="V2241" s="201" t="str">
        <f>IF(OR(IFERROR(SEARCH("Met",'Mail Merge'!$N2241),0)&gt;0,IFERROR(SEARCH("Met",'Mail Merge'!$I2241),0)&gt;0),"Met","Not Met")</f>
        <v>Met</v>
      </c>
    </row>
    <row r="2242" spans="1:22" x14ac:dyDescent="0.35">
      <c r="A2242" s="198" t="s">
        <v>95</v>
      </c>
      <c r="B2242" s="199">
        <v>2015</v>
      </c>
      <c r="C2242" s="199" t="s">
        <v>1777</v>
      </c>
      <c r="D2242" s="199">
        <v>98</v>
      </c>
      <c r="E2242" s="199">
        <v>360618.35</v>
      </c>
      <c r="F2242" s="199">
        <v>176646.02</v>
      </c>
      <c r="G2242" s="199">
        <f>'Mail Merge'!$E2242+'Mail Merge'!$F2242</f>
        <v>537264.37</v>
      </c>
      <c r="H2242" s="199"/>
      <c r="I2242" s="199" t="s">
        <v>241</v>
      </c>
      <c r="J2242" s="202">
        <f>IFERROR('Mail Merge'!$E2242/'Mail Merge'!$D2242,0)</f>
        <v>3679.7790816326528</v>
      </c>
      <c r="K2242" s="199">
        <f>IFERROR('Mail Merge'!$F2242/'Mail Merge'!$D2242,0)</f>
        <v>1802.5104081632653</v>
      </c>
      <c r="L2242" s="199">
        <f>IFERROR('Mail Merge'!$G2242/'Mail Merge'!$D2242,0)</f>
        <v>5482.2894897959186</v>
      </c>
      <c r="M2242" s="199"/>
      <c r="N2242" s="199" t="str">
        <f t="shared" si="1"/>
        <v>Did Not Meet</v>
      </c>
      <c r="O2242" s="199">
        <v>84857</v>
      </c>
      <c r="P2242" s="199">
        <v>574</v>
      </c>
      <c r="Q2242" s="199">
        <f>'Mail Merge'!$O2242+'Mail Merge'!$P2242</f>
        <v>85431</v>
      </c>
      <c r="R2242" s="199"/>
      <c r="S2242" s="199"/>
      <c r="T2242" s="199"/>
      <c r="U2242" s="199">
        <f>IF(AND('Mail Merge'!$I2242="Did Not Meet",'Mail Merge'!$N2242="Did Not Meet"),MIN(ABS('Mail Merge'!$H2242),ABS('Mail Merge'!$M2242),'Mail Merge'!$Q2242),0)</f>
        <v>0</v>
      </c>
      <c r="V2242" s="199" t="str">
        <f>IF(OR(IFERROR(SEARCH("Met",'Mail Merge'!$N2242),0)&gt;0,IFERROR(SEARCH("Met",'Mail Merge'!$I2242),0)&gt;0),"Met","Not Met")</f>
        <v>Met</v>
      </c>
    </row>
    <row r="2243" spans="1:22" x14ac:dyDescent="0.35">
      <c r="A2243" s="200" t="s">
        <v>96</v>
      </c>
      <c r="B2243" s="201">
        <v>2023</v>
      </c>
      <c r="C2243" s="201" t="s">
        <v>1777</v>
      </c>
      <c r="D2243" s="201">
        <v>83</v>
      </c>
      <c r="E2243" s="201">
        <v>563980.02</v>
      </c>
      <c r="F2243" s="201">
        <v>179809.81</v>
      </c>
      <c r="G2243" s="201">
        <f>'Mail Merge'!$E2243+'Mail Merge'!$F2243</f>
        <v>743789.83000000007</v>
      </c>
      <c r="H2243" s="201"/>
      <c r="I2243" s="201" t="s">
        <v>241</v>
      </c>
      <c r="J2243" s="204">
        <f>IFERROR('Mail Merge'!$E2243/'Mail Merge'!$D2243,0)</f>
        <v>6794.9400000000005</v>
      </c>
      <c r="K2243" s="201">
        <f>IFERROR('Mail Merge'!$F2243/'Mail Merge'!$D2243,0)</f>
        <v>2166.383253012048</v>
      </c>
      <c r="L2243" s="201">
        <f>IFERROR('Mail Merge'!$G2243/'Mail Merge'!$D2243,0)</f>
        <v>8961.3232530120495</v>
      </c>
      <c r="M2243" s="201"/>
      <c r="N2243" s="201" t="str">
        <f t="shared" si="1"/>
        <v>Met</v>
      </c>
      <c r="O2243" s="201">
        <v>90243</v>
      </c>
      <c r="P2243" s="201">
        <v>0</v>
      </c>
      <c r="Q2243" s="201">
        <f>'Mail Merge'!$O2243+'Mail Merge'!$P2243</f>
        <v>90243</v>
      </c>
      <c r="R2243" s="201"/>
      <c r="S2243" s="201"/>
      <c r="T2243" s="201"/>
      <c r="U2243" s="201">
        <f>IF(AND('Mail Merge'!$I2243="Did Not Meet",'Mail Merge'!$N2243="Did Not Meet"),MIN(ABS('Mail Merge'!$H2243),ABS('Mail Merge'!$M2243),'Mail Merge'!$Q2243),0)</f>
        <v>0</v>
      </c>
      <c r="V2243" s="201" t="str">
        <f>IF(OR(IFERROR(SEARCH("Met",'Mail Merge'!$N2243),0)&gt;0,IFERROR(SEARCH("Met",'Mail Merge'!$I2243),0)&gt;0),"Met","Not Met")</f>
        <v>Met</v>
      </c>
    </row>
    <row r="2244" spans="1:22" x14ac:dyDescent="0.35">
      <c r="A2244" s="198" t="s">
        <v>97</v>
      </c>
      <c r="B2244" s="199">
        <v>2114</v>
      </c>
      <c r="C2244" s="199" t="s">
        <v>1777</v>
      </c>
      <c r="D2244" s="199">
        <v>26</v>
      </c>
      <c r="E2244" s="199">
        <v>109022.51999999999</v>
      </c>
      <c r="F2244" s="199">
        <v>57143.35</v>
      </c>
      <c r="G2244" s="199">
        <f>'Mail Merge'!$E2244+'Mail Merge'!$F2244</f>
        <v>166165.87</v>
      </c>
      <c r="H2244" s="199"/>
      <c r="I2244" s="199" t="s">
        <v>241</v>
      </c>
      <c r="J2244" s="202">
        <f>IFERROR('Mail Merge'!$E2244/'Mail Merge'!$D2244,0)</f>
        <v>4193.1738461538462</v>
      </c>
      <c r="K2244" s="199">
        <f>IFERROR('Mail Merge'!$F2244/'Mail Merge'!$D2244,0)</f>
        <v>2197.8211538461537</v>
      </c>
      <c r="L2244" s="199">
        <f>IFERROR('Mail Merge'!$G2244/'Mail Merge'!$D2244,0)</f>
        <v>6390.9949999999999</v>
      </c>
      <c r="M2244" s="199"/>
      <c r="N2244" s="199" t="str">
        <f t="shared" si="1"/>
        <v>Did Not Meet</v>
      </c>
      <c r="O2244" s="199">
        <v>24501</v>
      </c>
      <c r="P2244" s="199">
        <v>1036</v>
      </c>
      <c r="Q2244" s="199">
        <f>'Mail Merge'!$O2244+'Mail Merge'!$P2244</f>
        <v>25537</v>
      </c>
      <c r="R2244" s="199"/>
      <c r="S2244" s="199"/>
      <c r="T2244" s="199"/>
      <c r="U2244" s="199">
        <f>IF(AND('Mail Merge'!$I2244="Did Not Meet",'Mail Merge'!$N2244="Did Not Meet"),MIN(ABS('Mail Merge'!$H2244),ABS('Mail Merge'!$M2244),'Mail Merge'!$Q2244),0)</f>
        <v>0</v>
      </c>
      <c r="V2244" s="199" t="str">
        <f>IF(OR(IFERROR(SEARCH("Met",'Mail Merge'!$N2244),0)&gt;0,IFERROR(SEARCH("Met",'Mail Merge'!$I2244),0)&gt;0),"Met","Not Met")</f>
        <v>Met</v>
      </c>
    </row>
    <row r="2245" spans="1:22" x14ac:dyDescent="0.35">
      <c r="A2245" s="200" t="s">
        <v>98</v>
      </c>
      <c r="B2245" s="201">
        <v>2099</v>
      </c>
      <c r="C2245" s="201" t="s">
        <v>1777</v>
      </c>
      <c r="D2245" s="201">
        <v>101</v>
      </c>
      <c r="E2245" s="201">
        <v>1169314</v>
      </c>
      <c r="F2245" s="201">
        <v>156897</v>
      </c>
      <c r="G2245" s="201">
        <f>'Mail Merge'!$E2245+'Mail Merge'!$F2245</f>
        <v>1326211</v>
      </c>
      <c r="H2245" s="201"/>
      <c r="I2245" s="201" t="s">
        <v>241</v>
      </c>
      <c r="J2245" s="204">
        <f>IFERROR('Mail Merge'!$E2245/'Mail Merge'!$D2245,0)</f>
        <v>11577.366336633664</v>
      </c>
      <c r="K2245" s="201">
        <f>IFERROR('Mail Merge'!$F2245/'Mail Merge'!$D2245,0)</f>
        <v>1553.4356435643565</v>
      </c>
      <c r="L2245" s="201">
        <f>IFERROR('Mail Merge'!$G2245/'Mail Merge'!$D2245,0)</f>
        <v>13130.801980198019</v>
      </c>
      <c r="M2245" s="201"/>
      <c r="N2245" s="201" t="str">
        <f t="shared" si="1"/>
        <v>Met</v>
      </c>
      <c r="O2245" s="201">
        <v>175334</v>
      </c>
      <c r="P2245" s="201">
        <v>1974</v>
      </c>
      <c r="Q2245" s="201">
        <f>'Mail Merge'!$O2245+'Mail Merge'!$P2245</f>
        <v>177308</v>
      </c>
      <c r="R2245" s="201"/>
      <c r="S2245" s="201"/>
      <c r="T2245" s="201"/>
      <c r="U2245" s="201">
        <f>IF(AND('Mail Merge'!$I2245="Did Not Meet",'Mail Merge'!$N2245="Did Not Meet"),MIN(ABS('Mail Merge'!$H2245),ABS('Mail Merge'!$M2245),'Mail Merge'!$Q2245),0)</f>
        <v>0</v>
      </c>
      <c r="V2245" s="201" t="str">
        <f>IF(OR(IFERROR(SEARCH("Met",'Mail Merge'!$N2245),0)&gt;0,IFERROR(SEARCH("Met",'Mail Merge'!$I2245),0)&gt;0),"Met","Not Met")</f>
        <v>Met</v>
      </c>
    </row>
    <row r="2246" spans="1:22" x14ac:dyDescent="0.35">
      <c r="A2246" s="198" t="s">
        <v>99</v>
      </c>
      <c r="B2246" s="199">
        <v>2201</v>
      </c>
      <c r="C2246" s="199" t="s">
        <v>1777</v>
      </c>
      <c r="D2246" s="199">
        <v>18</v>
      </c>
      <c r="E2246" s="199">
        <v>129816.32000000001</v>
      </c>
      <c r="F2246" s="199">
        <v>40398.93</v>
      </c>
      <c r="G2246" s="199">
        <f>'Mail Merge'!$E2246+'Mail Merge'!$F2246</f>
        <v>170215.25</v>
      </c>
      <c r="H2246" s="199"/>
      <c r="I2246" s="199" t="s">
        <v>241</v>
      </c>
      <c r="J2246" s="202">
        <f>IFERROR('Mail Merge'!$E2246/'Mail Merge'!$D2246,0)</f>
        <v>7212.0177777777781</v>
      </c>
      <c r="K2246" s="199">
        <f>IFERROR('Mail Merge'!$F2246/'Mail Merge'!$D2246,0)</f>
        <v>2244.3850000000002</v>
      </c>
      <c r="L2246" s="199">
        <f>IFERROR('Mail Merge'!$G2246/'Mail Merge'!$D2246,0)</f>
        <v>9456.4027777777774</v>
      </c>
      <c r="M2246" s="199"/>
      <c r="N2246" s="199" t="str">
        <f t="shared" si="1"/>
        <v>Did Not Meet</v>
      </c>
      <c r="O2246" s="199">
        <v>28562</v>
      </c>
      <c r="P2246" s="199">
        <v>1062</v>
      </c>
      <c r="Q2246" s="199">
        <f>'Mail Merge'!$O2246+'Mail Merge'!$P2246</f>
        <v>29624</v>
      </c>
      <c r="R2246" s="199"/>
      <c r="S2246" s="199"/>
      <c r="T2246" s="199"/>
      <c r="U2246" s="199">
        <f>IF(AND('Mail Merge'!$I2246="Did Not Meet",'Mail Merge'!$N2246="Did Not Meet"),MIN(ABS('Mail Merge'!$H2246),ABS('Mail Merge'!$M2246),'Mail Merge'!$Q2246),0)</f>
        <v>0</v>
      </c>
      <c r="V2246" s="199" t="str">
        <f>IF(OR(IFERROR(SEARCH("Met",'Mail Merge'!$N2246),0)&gt;0,IFERROR(SEARCH("Met",'Mail Merge'!$I2246),0)&gt;0),"Met","Not Met")</f>
        <v>Met</v>
      </c>
    </row>
    <row r="2247" spans="1:22" x14ac:dyDescent="0.35">
      <c r="A2247" s="200" t="s">
        <v>100</v>
      </c>
      <c r="B2247" s="201">
        <v>2206</v>
      </c>
      <c r="C2247" s="201" t="s">
        <v>1777</v>
      </c>
      <c r="D2247" s="201">
        <v>677</v>
      </c>
      <c r="E2247" s="201">
        <v>7237056.0799999991</v>
      </c>
      <c r="F2247" s="201">
        <v>0</v>
      </c>
      <c r="G2247" s="201">
        <f>'Mail Merge'!$E2247+'Mail Merge'!$F2247</f>
        <v>7237056.0799999991</v>
      </c>
      <c r="H2247" s="201"/>
      <c r="I2247" s="201" t="s">
        <v>241</v>
      </c>
      <c r="J2247" s="204">
        <f>IFERROR('Mail Merge'!$E2247/'Mail Merge'!$D2247,0)</f>
        <v>10689.890812407679</v>
      </c>
      <c r="K2247" s="201">
        <f>IFERROR('Mail Merge'!$F2247/'Mail Merge'!$D2247,0)</f>
        <v>0</v>
      </c>
      <c r="L2247" s="201">
        <f>IFERROR('Mail Merge'!$G2247/'Mail Merge'!$D2247,0)</f>
        <v>10689.890812407679</v>
      </c>
      <c r="M2247" s="201"/>
      <c r="N2247" s="201" t="str">
        <f t="shared" si="1"/>
        <v>Met</v>
      </c>
      <c r="O2247" s="201">
        <v>1120530</v>
      </c>
      <c r="P2247" s="201">
        <v>27073</v>
      </c>
      <c r="Q2247" s="201">
        <f>'Mail Merge'!$O2247+'Mail Merge'!$P2247</f>
        <v>1147603</v>
      </c>
      <c r="R2247" s="201"/>
      <c r="S2247" s="201"/>
      <c r="T2247" s="201"/>
      <c r="U2247" s="201">
        <f>IF(AND('Mail Merge'!$I2247="Did Not Meet",'Mail Merge'!$N2247="Did Not Meet"),MIN(ABS('Mail Merge'!$H2247),ABS('Mail Merge'!$M2247),'Mail Merge'!$Q2247),0)</f>
        <v>0</v>
      </c>
      <c r="V2247" s="201" t="str">
        <f>IF(OR(IFERROR(SEARCH("Met",'Mail Merge'!$N2247),0)&gt;0,IFERROR(SEARCH("Met",'Mail Merge'!$I2247),0)&gt;0),"Met","Not Met")</f>
        <v>Met</v>
      </c>
    </row>
    <row r="2248" spans="1:22" x14ac:dyDescent="0.35">
      <c r="A2248" s="198" t="s">
        <v>101</v>
      </c>
      <c r="B2248" s="199">
        <v>2239</v>
      </c>
      <c r="C2248" s="199" t="s">
        <v>1777</v>
      </c>
      <c r="D2248" s="199">
        <v>2871</v>
      </c>
      <c r="E2248" s="199">
        <v>36913977.699999966</v>
      </c>
      <c r="F2248" s="199">
        <v>4379732</v>
      </c>
      <c r="G2248" s="199">
        <f>'Mail Merge'!$E2248+'Mail Merge'!$F2248</f>
        <v>41293709.699999966</v>
      </c>
      <c r="H2248" s="199"/>
      <c r="I2248" s="199" t="s">
        <v>2979</v>
      </c>
      <c r="J2248" s="202">
        <f>IFERROR('Mail Merge'!$E2248/'Mail Merge'!$D2248,0)</f>
        <v>12857.533159177974</v>
      </c>
      <c r="K2248" s="199">
        <f>IFERROR('Mail Merge'!$F2248/'Mail Merge'!$D2248,0)</f>
        <v>1525.5074886799025</v>
      </c>
      <c r="L2248" s="199">
        <f>IFERROR('Mail Merge'!$G2248/'Mail Merge'!$D2248,0)</f>
        <v>14383.040647857877</v>
      </c>
      <c r="M2248" s="199"/>
      <c r="N2248" s="199" t="str">
        <f t="shared" si="1"/>
        <v>Met</v>
      </c>
      <c r="O2248" s="199">
        <v>3994637</v>
      </c>
      <c r="P2248" s="199">
        <v>73467</v>
      </c>
      <c r="Q2248" s="199">
        <f>'Mail Merge'!$O2248+'Mail Merge'!$P2248</f>
        <v>4068104</v>
      </c>
      <c r="R2248" s="199"/>
      <c r="S2248" s="199"/>
      <c r="T2248" s="199"/>
      <c r="U2248" s="199">
        <f>IF(AND('Mail Merge'!$I2248="Did Not Meet",'Mail Merge'!$N2248="Did Not Meet"),MIN(ABS('Mail Merge'!$H2248),ABS('Mail Merge'!$M2248),'Mail Merge'!$Q2248),0)</f>
        <v>0</v>
      </c>
      <c r="V2248" s="199" t="str">
        <f>IF(OR(IFERROR(SEARCH("Met",'Mail Merge'!$N2248),0)&gt;0,IFERROR(SEARCH("Met",'Mail Merge'!$I2248),0)&gt;0),"Met","Not Met")</f>
        <v>Met</v>
      </c>
    </row>
    <row r="2249" spans="1:22" x14ac:dyDescent="0.35">
      <c r="A2249" s="200" t="s">
        <v>102</v>
      </c>
      <c r="B2249" s="201">
        <v>2024</v>
      </c>
      <c r="C2249" s="201" t="s">
        <v>1777</v>
      </c>
      <c r="D2249" s="201">
        <v>499</v>
      </c>
      <c r="E2249" s="201">
        <v>4954275.5100000016</v>
      </c>
      <c r="F2249" s="201">
        <v>0</v>
      </c>
      <c r="G2249" s="201">
        <f>'Mail Merge'!$E2249+'Mail Merge'!$F2249</f>
        <v>4954275.5100000016</v>
      </c>
      <c r="H2249" s="201"/>
      <c r="I2249" s="201" t="s">
        <v>241</v>
      </c>
      <c r="J2249" s="204">
        <f>IFERROR('Mail Merge'!$E2249/'Mail Merge'!$D2249,0)</f>
        <v>9928.4078356713453</v>
      </c>
      <c r="K2249" s="201">
        <f>IFERROR('Mail Merge'!$F2249/'Mail Merge'!$D2249,0)</f>
        <v>0</v>
      </c>
      <c r="L2249" s="201">
        <f>IFERROR('Mail Merge'!$G2249/'Mail Merge'!$D2249,0)</f>
        <v>9928.4078356713453</v>
      </c>
      <c r="M2249" s="201"/>
      <c r="N2249" s="201" t="str">
        <f t="shared" si="1"/>
        <v>Did Not Meet</v>
      </c>
      <c r="O2249" s="201">
        <v>839439</v>
      </c>
      <c r="P2249" s="201">
        <v>22212</v>
      </c>
      <c r="Q2249" s="201">
        <f>'Mail Merge'!$O2249+'Mail Merge'!$P2249</f>
        <v>861651</v>
      </c>
      <c r="R2249" s="201"/>
      <c r="S2249" s="201"/>
      <c r="T2249" s="201"/>
      <c r="U2249" s="201">
        <f>IF(AND('Mail Merge'!$I2249="Did Not Meet",'Mail Merge'!$N2249="Did Not Meet"),MIN(ABS('Mail Merge'!$H2249),ABS('Mail Merge'!$M2249),'Mail Merge'!$Q2249),0)</f>
        <v>0</v>
      </c>
      <c r="V2249" s="201" t="str">
        <f>IF(OR(IFERROR(SEARCH("Met",'Mail Merge'!$N2249),0)&gt;0,IFERROR(SEARCH("Met",'Mail Merge'!$I2249),0)&gt;0),"Met","Not Met")</f>
        <v>Met</v>
      </c>
    </row>
    <row r="2250" spans="1:22" x14ac:dyDescent="0.35">
      <c r="A2250" s="198" t="s">
        <v>103</v>
      </c>
      <c r="B2250" s="199">
        <v>1895</v>
      </c>
      <c r="C2250" s="199" t="s">
        <v>1777</v>
      </c>
      <c r="D2250" s="199">
        <v>10</v>
      </c>
      <c r="E2250" s="199">
        <v>82006.350000000006</v>
      </c>
      <c r="F2250" s="199">
        <v>51900.090000000004</v>
      </c>
      <c r="G2250" s="199">
        <f>'Mail Merge'!$E2250+'Mail Merge'!$F2250</f>
        <v>133906.44</v>
      </c>
      <c r="H2250" s="199"/>
      <c r="I2250" s="199" t="s">
        <v>241</v>
      </c>
      <c r="J2250" s="202">
        <f>IFERROR('Mail Merge'!$E2250/'Mail Merge'!$D2250,0)</f>
        <v>8200.6350000000002</v>
      </c>
      <c r="K2250" s="199">
        <f>IFERROR('Mail Merge'!$F2250/'Mail Merge'!$D2250,0)</f>
        <v>5190.009</v>
      </c>
      <c r="L2250" s="199">
        <f>IFERROR('Mail Merge'!$G2250/'Mail Merge'!$D2250,0)</f>
        <v>13390.644</v>
      </c>
      <c r="M2250" s="199"/>
      <c r="N2250" s="199" t="str">
        <f t="shared" si="1"/>
        <v>Did Not Meet</v>
      </c>
      <c r="O2250" s="199">
        <v>21085</v>
      </c>
      <c r="P2250" s="199">
        <v>540</v>
      </c>
      <c r="Q2250" s="199">
        <f>'Mail Merge'!$O2250+'Mail Merge'!$P2250</f>
        <v>21625</v>
      </c>
      <c r="R2250" s="199"/>
      <c r="S2250" s="199"/>
      <c r="T2250" s="199"/>
      <c r="U2250" s="199">
        <f>IF(AND('Mail Merge'!$I2250="Did Not Meet",'Mail Merge'!$N2250="Did Not Meet"),MIN(ABS('Mail Merge'!$H2250),ABS('Mail Merge'!$M2250),'Mail Merge'!$Q2250),0)</f>
        <v>0</v>
      </c>
      <c r="V2250" s="199" t="str">
        <f>IF(OR(IFERROR(SEARCH("Met",'Mail Merge'!$N2250),0)&gt;0,IFERROR(SEARCH("Met",'Mail Merge'!$I2250),0)&gt;0),"Met","Not Met")</f>
        <v>Met</v>
      </c>
    </row>
    <row r="2251" spans="1:22" x14ac:dyDescent="0.35">
      <c r="A2251" s="200" t="s">
        <v>104</v>
      </c>
      <c r="B2251" s="201">
        <v>2215</v>
      </c>
      <c r="C2251" s="201" t="s">
        <v>1777</v>
      </c>
      <c r="D2251" s="201">
        <v>29</v>
      </c>
      <c r="E2251" s="201">
        <v>142881.78</v>
      </c>
      <c r="F2251" s="201">
        <v>74622.61</v>
      </c>
      <c r="G2251" s="201">
        <f>'Mail Merge'!$E2251+'Mail Merge'!$F2251</f>
        <v>217504.39</v>
      </c>
      <c r="H2251" s="201"/>
      <c r="I2251" s="201" t="s">
        <v>241</v>
      </c>
      <c r="J2251" s="204">
        <f>IFERROR('Mail Merge'!$E2251/'Mail Merge'!$D2251,0)</f>
        <v>4926.9579310344825</v>
      </c>
      <c r="K2251" s="201">
        <f>IFERROR('Mail Merge'!$F2251/'Mail Merge'!$D2251,0)</f>
        <v>2573.193448275862</v>
      </c>
      <c r="L2251" s="201">
        <f>IFERROR('Mail Merge'!$G2251/'Mail Merge'!$D2251,0)</f>
        <v>7500.151379310345</v>
      </c>
      <c r="M2251" s="201"/>
      <c r="N2251" s="201" t="str">
        <f t="shared" si="1"/>
        <v>Met</v>
      </c>
      <c r="O2251" s="201">
        <v>79316</v>
      </c>
      <c r="P2251" s="201">
        <v>632</v>
      </c>
      <c r="Q2251" s="201">
        <f>'Mail Merge'!$O2251+'Mail Merge'!$P2251</f>
        <v>79948</v>
      </c>
      <c r="R2251" s="201"/>
      <c r="S2251" s="201"/>
      <c r="T2251" s="201"/>
      <c r="U2251" s="201">
        <f>IF(AND('Mail Merge'!$I2251="Did Not Meet",'Mail Merge'!$N2251="Did Not Meet"),MIN(ABS('Mail Merge'!$H2251),ABS('Mail Merge'!$M2251),'Mail Merge'!$Q2251),0)</f>
        <v>0</v>
      </c>
      <c r="V2251" s="201" t="str">
        <f>IF(OR(IFERROR(SEARCH("Met",'Mail Merge'!$N2251),0)&gt;0,IFERROR(SEARCH("Met",'Mail Merge'!$I2251),0)&gt;0),"Met","Not Met")</f>
        <v>Met</v>
      </c>
    </row>
    <row r="2252" spans="1:22" x14ac:dyDescent="0.35">
      <c r="A2252" s="198" t="s">
        <v>105</v>
      </c>
      <c r="B2252" s="199">
        <v>3997</v>
      </c>
      <c r="C2252" s="199" t="s">
        <v>1777</v>
      </c>
      <c r="D2252" s="199">
        <v>22</v>
      </c>
      <c r="E2252" s="199">
        <v>203695.97000000003</v>
      </c>
      <c r="F2252" s="199">
        <v>54158.95</v>
      </c>
      <c r="G2252" s="199">
        <f>'Mail Merge'!$E2252+'Mail Merge'!$F2252</f>
        <v>257854.92000000004</v>
      </c>
      <c r="H2252" s="199"/>
      <c r="I2252" s="199" t="s">
        <v>241</v>
      </c>
      <c r="J2252" s="202">
        <f>IFERROR('Mail Merge'!$E2252/'Mail Merge'!$D2252,0)</f>
        <v>9258.9077272727282</v>
      </c>
      <c r="K2252" s="199">
        <f>IFERROR('Mail Merge'!$F2252/'Mail Merge'!$D2252,0)</f>
        <v>2461.7704545454544</v>
      </c>
      <c r="L2252" s="199">
        <f>IFERROR('Mail Merge'!$G2252/'Mail Merge'!$D2252,0)</f>
        <v>11720.678181818184</v>
      </c>
      <c r="M2252" s="199"/>
      <c r="N2252" s="199" t="str">
        <f t="shared" si="1"/>
        <v>Met</v>
      </c>
      <c r="O2252" s="199">
        <v>32924</v>
      </c>
      <c r="P2252" s="199">
        <v>576</v>
      </c>
      <c r="Q2252" s="199">
        <f>'Mail Merge'!$O2252+'Mail Merge'!$P2252</f>
        <v>33500</v>
      </c>
      <c r="R2252" s="199"/>
      <c r="S2252" s="199"/>
      <c r="T2252" s="199"/>
      <c r="U2252" s="199">
        <f>IF(AND('Mail Merge'!$I2252="Did Not Meet",'Mail Merge'!$N2252="Did Not Meet"),MIN(ABS('Mail Merge'!$H2252),ABS('Mail Merge'!$M2252),'Mail Merge'!$Q2252),0)</f>
        <v>0</v>
      </c>
      <c r="V2252" s="199" t="str">
        <f>IF(OR(IFERROR(SEARCH("Met",'Mail Merge'!$N2252),0)&gt;0,IFERROR(SEARCH("Met",'Mail Merge'!$I2252),0)&gt;0),"Met","Not Met")</f>
        <v>Met</v>
      </c>
    </row>
    <row r="2253" spans="1:22" x14ac:dyDescent="0.35">
      <c r="A2253" s="200" t="s">
        <v>106</v>
      </c>
      <c r="B2253" s="201">
        <v>2053</v>
      </c>
      <c r="C2253" s="201" t="s">
        <v>1777</v>
      </c>
      <c r="D2253" s="201">
        <v>499</v>
      </c>
      <c r="E2253" s="201">
        <v>4946689.6099999994</v>
      </c>
      <c r="F2253" s="201">
        <v>1000126.17</v>
      </c>
      <c r="G2253" s="201">
        <f>'Mail Merge'!$E2253+'Mail Merge'!$F2253</f>
        <v>5946815.7799999993</v>
      </c>
      <c r="H2253" s="201"/>
      <c r="I2253" s="201" t="s">
        <v>241</v>
      </c>
      <c r="J2253" s="204">
        <f>IFERROR('Mail Merge'!$E2253/'Mail Merge'!$D2253,0)</f>
        <v>9913.2056312625245</v>
      </c>
      <c r="K2253" s="201">
        <f>IFERROR('Mail Merge'!$F2253/'Mail Merge'!$D2253,0)</f>
        <v>2004.2608617234471</v>
      </c>
      <c r="L2253" s="201">
        <f>IFERROR('Mail Merge'!$G2253/'Mail Merge'!$D2253,0)</f>
        <v>11917.46649298597</v>
      </c>
      <c r="M2253" s="201"/>
      <c r="N2253" s="201" t="str">
        <f t="shared" si="1"/>
        <v>Did Not Meet</v>
      </c>
      <c r="O2253" s="201">
        <v>684629</v>
      </c>
      <c r="P2253" s="201">
        <v>39106</v>
      </c>
      <c r="Q2253" s="201">
        <f>'Mail Merge'!$O2253+'Mail Merge'!$P2253</f>
        <v>723735</v>
      </c>
      <c r="R2253" s="201"/>
      <c r="S2253" s="201"/>
      <c r="T2253" s="201"/>
      <c r="U2253" s="201">
        <f>IF(AND('Mail Merge'!$I2253="Did Not Meet",'Mail Merge'!$N2253="Did Not Meet"),MIN(ABS('Mail Merge'!$H2253),ABS('Mail Merge'!$M2253),'Mail Merge'!$Q2253),0)</f>
        <v>0</v>
      </c>
      <c r="V2253" s="201" t="str">
        <f>IF(OR(IFERROR(SEARCH("Met",'Mail Merge'!$N2253),0)&gt;0,IFERROR(SEARCH("Met",'Mail Merge'!$I2253),0)&gt;0),"Met","Not Met")</f>
        <v>Met</v>
      </c>
    </row>
    <row r="2254" spans="1:22" x14ac:dyDescent="0.35">
      <c r="A2254" s="198" t="s">
        <v>107</v>
      </c>
      <c r="B2254" s="199">
        <v>2140</v>
      </c>
      <c r="C2254" s="199" t="s">
        <v>1777</v>
      </c>
      <c r="D2254" s="199">
        <v>108</v>
      </c>
      <c r="E2254" s="199">
        <v>1263781.5699999998</v>
      </c>
      <c r="F2254" s="199">
        <v>216521.44</v>
      </c>
      <c r="G2254" s="199">
        <f>'Mail Merge'!$E2254+'Mail Merge'!$F2254</f>
        <v>1480303.0099999998</v>
      </c>
      <c r="H2254" s="199"/>
      <c r="I2254" s="199" t="s">
        <v>241</v>
      </c>
      <c r="J2254" s="202">
        <f>IFERROR('Mail Merge'!$E2254/'Mail Merge'!$D2254,0)</f>
        <v>11701.681203703702</v>
      </c>
      <c r="K2254" s="199">
        <f>IFERROR('Mail Merge'!$F2254/'Mail Merge'!$D2254,0)</f>
        <v>2004.8281481481481</v>
      </c>
      <c r="L2254" s="199">
        <f>IFERROR('Mail Merge'!$G2254/'Mail Merge'!$D2254,0)</f>
        <v>13706.50935185185</v>
      </c>
      <c r="M2254" s="199"/>
      <c r="N2254" s="199" t="str">
        <f t="shared" si="1"/>
        <v>Met</v>
      </c>
      <c r="O2254" s="199">
        <v>178128</v>
      </c>
      <c r="P2254" s="199">
        <v>2855</v>
      </c>
      <c r="Q2254" s="199">
        <f>'Mail Merge'!$O2254+'Mail Merge'!$P2254</f>
        <v>180983</v>
      </c>
      <c r="R2254" s="199"/>
      <c r="S2254" s="199"/>
      <c r="T2254" s="199"/>
      <c r="U2254" s="199">
        <f>IF(AND('Mail Merge'!$I2254="Did Not Meet",'Mail Merge'!$N2254="Did Not Meet"),MIN(ABS('Mail Merge'!$H2254),ABS('Mail Merge'!$M2254),'Mail Merge'!$Q2254),0)</f>
        <v>0</v>
      </c>
      <c r="V2254" s="199" t="str">
        <f>IF(OR(IFERROR(SEARCH("Met",'Mail Merge'!$N2254),0)&gt;0,IFERROR(SEARCH("Met",'Mail Merge'!$I2254),0)&gt;0),"Met","Not Met")</f>
        <v>Met</v>
      </c>
    </row>
    <row r="2255" spans="1:22" x14ac:dyDescent="0.35">
      <c r="A2255" s="200" t="s">
        <v>108</v>
      </c>
      <c r="B2255" s="201">
        <v>1934</v>
      </c>
      <c r="C2255" s="201" t="s">
        <v>1777</v>
      </c>
      <c r="D2255" s="201">
        <v>25</v>
      </c>
      <c r="E2255" s="201">
        <v>368678.34000000008</v>
      </c>
      <c r="F2255" s="201">
        <v>69643</v>
      </c>
      <c r="G2255" s="201">
        <f>'Mail Merge'!$E2255+'Mail Merge'!$F2255</f>
        <v>438321.34000000008</v>
      </c>
      <c r="H2255" s="201"/>
      <c r="I2255" s="201" t="s">
        <v>241</v>
      </c>
      <c r="J2255" s="204">
        <f>IFERROR('Mail Merge'!$E2255/'Mail Merge'!$D2255,0)</f>
        <v>14747.133600000003</v>
      </c>
      <c r="K2255" s="201">
        <f>IFERROR('Mail Merge'!$F2255/'Mail Merge'!$D2255,0)</f>
        <v>2785.72</v>
      </c>
      <c r="L2255" s="201">
        <f>IFERROR('Mail Merge'!$G2255/'Mail Merge'!$D2255,0)</f>
        <v>17532.853600000002</v>
      </c>
      <c r="M2255" s="201"/>
      <c r="N2255" s="201" t="str">
        <f t="shared" si="1"/>
        <v>Did Not Meet</v>
      </c>
      <c r="O2255" s="201">
        <v>33152</v>
      </c>
      <c r="P2255" s="201">
        <v>1070</v>
      </c>
      <c r="Q2255" s="201">
        <f>'Mail Merge'!$O2255+'Mail Merge'!$P2255</f>
        <v>34222</v>
      </c>
      <c r="R2255" s="201"/>
      <c r="S2255" s="201"/>
      <c r="T2255" s="201"/>
      <c r="U2255" s="201">
        <f>IF(AND('Mail Merge'!$I2255="Did Not Meet",'Mail Merge'!$N2255="Did Not Meet"),MIN(ABS('Mail Merge'!$H2255),ABS('Mail Merge'!$M2255),'Mail Merge'!$Q2255),0)</f>
        <v>0</v>
      </c>
      <c r="V2255" s="201" t="str">
        <f>IF(OR(IFERROR(SEARCH("Met",'Mail Merge'!$N2255),0)&gt;0,IFERROR(SEARCH("Met",'Mail Merge'!$I2255),0)&gt;0),"Met","Not Met")</f>
        <v>Met</v>
      </c>
    </row>
    <row r="2256" spans="1:22" x14ac:dyDescent="0.35">
      <c r="A2256" s="198" t="s">
        <v>109</v>
      </c>
      <c r="B2256" s="199">
        <v>2008</v>
      </c>
      <c r="C2256" s="199" t="s">
        <v>1777</v>
      </c>
      <c r="D2256" s="199">
        <v>83</v>
      </c>
      <c r="E2256" s="199">
        <v>990441.18999999971</v>
      </c>
      <c r="F2256" s="199">
        <v>214826.5</v>
      </c>
      <c r="G2256" s="199">
        <f>'Mail Merge'!$E2256+'Mail Merge'!$F2256</f>
        <v>1205267.6899999997</v>
      </c>
      <c r="H2256" s="199"/>
      <c r="I2256" s="199" t="s">
        <v>241</v>
      </c>
      <c r="J2256" s="202">
        <f>IFERROR('Mail Merge'!$E2256/'Mail Merge'!$D2256,0)</f>
        <v>11933.026385542165</v>
      </c>
      <c r="K2256" s="199">
        <f>IFERROR('Mail Merge'!$F2256/'Mail Merge'!$D2256,0)</f>
        <v>2588.2710843373493</v>
      </c>
      <c r="L2256" s="199">
        <f>IFERROR('Mail Merge'!$G2256/'Mail Merge'!$D2256,0)</f>
        <v>14521.297469879515</v>
      </c>
      <c r="M2256" s="199"/>
      <c r="N2256" s="199" t="str">
        <f t="shared" si="1"/>
        <v>Met</v>
      </c>
      <c r="O2256" s="199">
        <v>179606</v>
      </c>
      <c r="P2256" s="199">
        <v>5690</v>
      </c>
      <c r="Q2256" s="199">
        <f>'Mail Merge'!$O2256+'Mail Merge'!$P2256</f>
        <v>185296</v>
      </c>
      <c r="R2256" s="199"/>
      <c r="S2256" s="199"/>
      <c r="T2256" s="199"/>
      <c r="U2256" s="199">
        <f>IF(AND('Mail Merge'!$I2256="Did Not Meet",'Mail Merge'!$N2256="Did Not Meet"),MIN(ABS('Mail Merge'!$H2256),ABS('Mail Merge'!$M2256),'Mail Merge'!$Q2256),0)</f>
        <v>0</v>
      </c>
      <c r="V2256" s="199" t="str">
        <f>IF(OR(IFERROR(SEARCH("Met",'Mail Merge'!$N2256),0)&gt;0,IFERROR(SEARCH("Met",'Mail Merge'!$I2256),0)&gt;0),"Met","Not Met")</f>
        <v>Met</v>
      </c>
    </row>
    <row r="2257" spans="1:22" x14ac:dyDescent="0.35">
      <c r="A2257" s="200" t="s">
        <v>110</v>
      </c>
      <c r="B2257" s="201">
        <v>2107</v>
      </c>
      <c r="C2257" s="201" t="s">
        <v>1777</v>
      </c>
      <c r="D2257" s="201">
        <v>4</v>
      </c>
      <c r="E2257" s="201">
        <v>39772.729999999996</v>
      </c>
      <c r="F2257" s="201">
        <v>76608.13</v>
      </c>
      <c r="G2257" s="201">
        <f>'Mail Merge'!$E2257+'Mail Merge'!$F2257</f>
        <v>116380.86</v>
      </c>
      <c r="H2257" s="201"/>
      <c r="I2257" s="201" t="s">
        <v>241</v>
      </c>
      <c r="J2257" s="204">
        <f>IFERROR('Mail Merge'!$E2257/'Mail Merge'!$D2257,0)</f>
        <v>9943.182499999999</v>
      </c>
      <c r="K2257" s="201">
        <f>IFERROR('Mail Merge'!$F2257/'Mail Merge'!$D2257,0)</f>
        <v>19152.032500000001</v>
      </c>
      <c r="L2257" s="201">
        <f>IFERROR('Mail Merge'!$G2257/'Mail Merge'!$D2257,0)</f>
        <v>29095.215</v>
      </c>
      <c r="M2257" s="201"/>
      <c r="N2257" s="201" t="str">
        <f t="shared" si="1"/>
        <v>Met</v>
      </c>
      <c r="O2257" s="201">
        <v>17808</v>
      </c>
      <c r="P2257" s="201">
        <v>519</v>
      </c>
      <c r="Q2257" s="201">
        <f>'Mail Merge'!$O2257+'Mail Merge'!$P2257</f>
        <v>18327</v>
      </c>
      <c r="R2257" s="201"/>
      <c r="S2257" s="201"/>
      <c r="T2257" s="201"/>
      <c r="U2257" s="201">
        <f>IF(AND('Mail Merge'!$I2257="Did Not Meet",'Mail Merge'!$N2257="Did Not Meet"),MIN(ABS('Mail Merge'!$H2257),ABS('Mail Merge'!$M2257),'Mail Merge'!$Q2257),0)</f>
        <v>0</v>
      </c>
      <c r="V2257" s="201" t="str">
        <f>IF(OR(IFERROR(SEARCH("Met",'Mail Merge'!$N2257),0)&gt;0,IFERROR(SEARCH("Met",'Mail Merge'!$I2257),0)&gt;0),"Met","Not Met")</f>
        <v>Met</v>
      </c>
    </row>
    <row r="2258" spans="1:22" x14ac:dyDescent="0.35">
      <c r="A2258" s="198" t="s">
        <v>111</v>
      </c>
      <c r="B2258" s="199">
        <v>2219</v>
      </c>
      <c r="C2258" s="199" t="s">
        <v>1777</v>
      </c>
      <c r="D2258" s="199">
        <v>35</v>
      </c>
      <c r="E2258" s="199">
        <v>104585.54000000001</v>
      </c>
      <c r="F2258" s="199">
        <v>199142.52</v>
      </c>
      <c r="G2258" s="199">
        <f>'Mail Merge'!$E2258+'Mail Merge'!$F2258</f>
        <v>303728.06</v>
      </c>
      <c r="H2258" s="199"/>
      <c r="I2258" s="199" t="s">
        <v>241</v>
      </c>
      <c r="J2258" s="202">
        <f>IFERROR('Mail Merge'!$E2258/'Mail Merge'!$D2258,0)</f>
        <v>2988.1582857142857</v>
      </c>
      <c r="K2258" s="199">
        <f>IFERROR('Mail Merge'!$F2258/'Mail Merge'!$D2258,0)</f>
        <v>5689.7862857142854</v>
      </c>
      <c r="L2258" s="199">
        <f>IFERROR('Mail Merge'!$G2258/'Mail Merge'!$D2258,0)</f>
        <v>8677.9445714285721</v>
      </c>
      <c r="M2258" s="199"/>
      <c r="N2258" s="199" t="str">
        <f t="shared" si="1"/>
        <v>Did Not Meet</v>
      </c>
      <c r="O2258" s="199">
        <v>69882</v>
      </c>
      <c r="P2258" s="199">
        <v>2562</v>
      </c>
      <c r="Q2258" s="199">
        <f>'Mail Merge'!$O2258+'Mail Merge'!$P2258</f>
        <v>72444</v>
      </c>
      <c r="R2258" s="199"/>
      <c r="S2258" s="199"/>
      <c r="T2258" s="199"/>
      <c r="U2258" s="199">
        <f>IF(AND('Mail Merge'!$I2258="Did Not Meet",'Mail Merge'!$N2258="Did Not Meet"),MIN(ABS('Mail Merge'!$H2258),ABS('Mail Merge'!$M2258),'Mail Merge'!$Q2258),0)</f>
        <v>0</v>
      </c>
      <c r="V2258" s="199" t="str">
        <f>IF(OR(IFERROR(SEARCH("Met",'Mail Merge'!$N2258),0)&gt;0,IFERROR(SEARCH("Met",'Mail Merge'!$I2258),0)&gt;0),"Met","Not Met")</f>
        <v>Met</v>
      </c>
    </row>
    <row r="2259" spans="1:22" x14ac:dyDescent="0.35">
      <c r="A2259" s="200" t="s">
        <v>112</v>
      </c>
      <c r="B2259" s="201">
        <v>2091</v>
      </c>
      <c r="C2259" s="201" t="s">
        <v>1777</v>
      </c>
      <c r="D2259" s="201">
        <v>246</v>
      </c>
      <c r="E2259" s="201">
        <v>2015267.5699999998</v>
      </c>
      <c r="F2259" s="201">
        <v>645153</v>
      </c>
      <c r="G2259" s="201">
        <f>'Mail Merge'!$E2259+'Mail Merge'!$F2259</f>
        <v>2660420.5699999998</v>
      </c>
      <c r="H2259" s="201"/>
      <c r="I2259" s="201" t="s">
        <v>241</v>
      </c>
      <c r="J2259" s="204">
        <f>IFERROR('Mail Merge'!$E2259/'Mail Merge'!$D2259,0)</f>
        <v>8192.1445934959338</v>
      </c>
      <c r="K2259" s="201">
        <f>IFERROR('Mail Merge'!$F2259/'Mail Merge'!$D2259,0)</f>
        <v>2622.5731707317073</v>
      </c>
      <c r="L2259" s="201">
        <f>IFERROR('Mail Merge'!$G2259/'Mail Merge'!$D2259,0)</f>
        <v>10814.717764227642</v>
      </c>
      <c r="M2259" s="201"/>
      <c r="N2259" s="201" t="str">
        <f t="shared" si="1"/>
        <v>Met</v>
      </c>
      <c r="O2259" s="201">
        <v>408789</v>
      </c>
      <c r="P2259" s="201">
        <v>14525</v>
      </c>
      <c r="Q2259" s="201">
        <f>'Mail Merge'!$O2259+'Mail Merge'!$P2259</f>
        <v>423314</v>
      </c>
      <c r="R2259" s="201"/>
      <c r="S2259" s="201"/>
      <c r="T2259" s="201"/>
      <c r="U2259" s="201">
        <f>IF(AND('Mail Merge'!$I2259="Did Not Meet",'Mail Merge'!$N2259="Did Not Meet"),MIN(ABS('Mail Merge'!$H2259),ABS('Mail Merge'!$M2259),'Mail Merge'!$Q2259),0)</f>
        <v>0</v>
      </c>
      <c r="V2259" s="201" t="str">
        <f>IF(OR(IFERROR(SEARCH("Met",'Mail Merge'!$N2259),0)&gt;0,IFERROR(SEARCH("Met",'Mail Merge'!$I2259),0)&gt;0),"Met","Not Met")</f>
        <v>Met</v>
      </c>
    </row>
    <row r="2260" spans="1:22" x14ac:dyDescent="0.35">
      <c r="A2260" s="198" t="s">
        <v>113</v>
      </c>
      <c r="B2260" s="199">
        <v>2109</v>
      </c>
      <c r="C2260" s="199" t="s">
        <v>1777</v>
      </c>
      <c r="D2260" s="199">
        <v>0</v>
      </c>
      <c r="E2260" s="199">
        <v>0</v>
      </c>
      <c r="F2260" s="199">
        <v>11002.85</v>
      </c>
      <c r="G2260" s="199">
        <f>'Mail Merge'!$E2260+'Mail Merge'!$F2260</f>
        <v>11002.85</v>
      </c>
      <c r="H2260" s="199"/>
      <c r="I2260" s="199" t="s">
        <v>241</v>
      </c>
      <c r="J2260" s="202">
        <f>IFERROR('Mail Merge'!$E2260/'Mail Merge'!$D2260,0)</f>
        <v>0</v>
      </c>
      <c r="K2260" s="199">
        <f>IFERROR('Mail Merge'!$F2260/'Mail Merge'!$D2260,0)</f>
        <v>0</v>
      </c>
      <c r="L2260" s="199">
        <f>IFERROR('Mail Merge'!$G2260/'Mail Merge'!$D2260,0)</f>
        <v>0</v>
      </c>
      <c r="M2260" s="199"/>
      <c r="N2260" s="199" t="str">
        <f t="shared" si="1"/>
        <v>Did Not Meet</v>
      </c>
      <c r="O2260" s="199">
        <v>1211</v>
      </c>
      <c r="P2260" s="199">
        <v>1</v>
      </c>
      <c r="Q2260" s="199">
        <f>'Mail Merge'!$O2260+'Mail Merge'!$P2260</f>
        <v>1212</v>
      </c>
      <c r="R2260" s="199"/>
      <c r="S2260" s="199"/>
      <c r="T2260" s="199"/>
      <c r="U2260" s="199">
        <f>IF(AND('Mail Merge'!$I2260="Did Not Meet",'Mail Merge'!$N2260="Did Not Meet"),MIN(ABS('Mail Merge'!$H2260),ABS('Mail Merge'!$M2260),'Mail Merge'!$Q2260),0)</f>
        <v>0</v>
      </c>
      <c r="V2260" s="199" t="str">
        <f>IF(OR(IFERROR(SEARCH("Met",'Mail Merge'!$N2260),0)&gt;0,IFERROR(SEARCH("Met",'Mail Merge'!$I2260),0)&gt;0),"Met","Not Met")</f>
        <v>Met</v>
      </c>
    </row>
    <row r="2261" spans="1:22" x14ac:dyDescent="0.35">
      <c r="A2261" s="200" t="s">
        <v>114</v>
      </c>
      <c r="B2261" s="201">
        <v>2057</v>
      </c>
      <c r="C2261" s="201" t="s">
        <v>1777</v>
      </c>
      <c r="D2261" s="201">
        <v>1071</v>
      </c>
      <c r="E2261" s="201">
        <v>8516572.8100000042</v>
      </c>
      <c r="F2261" s="201">
        <v>424592.41</v>
      </c>
      <c r="G2261" s="201">
        <f>'Mail Merge'!$E2261+'Mail Merge'!$F2261</f>
        <v>8941165.2200000044</v>
      </c>
      <c r="H2261" s="201"/>
      <c r="I2261" s="201" t="s">
        <v>241</v>
      </c>
      <c r="J2261" s="204">
        <f>IFERROR('Mail Merge'!$E2261/'Mail Merge'!$D2261,0)</f>
        <v>7951.9820821662033</v>
      </c>
      <c r="K2261" s="201">
        <f>IFERROR('Mail Merge'!$F2261/'Mail Merge'!$D2261,0)</f>
        <v>396.444827264239</v>
      </c>
      <c r="L2261" s="201">
        <f>IFERROR('Mail Merge'!$G2261/'Mail Merge'!$D2261,0)</f>
        <v>8348.4269094304436</v>
      </c>
      <c r="M2261" s="201"/>
      <c r="N2261" s="201" t="str">
        <f t="shared" si="1"/>
        <v>Did Not Meet</v>
      </c>
      <c r="O2261" s="201">
        <v>1675397</v>
      </c>
      <c r="P2261" s="201">
        <v>36973</v>
      </c>
      <c r="Q2261" s="201">
        <f>'Mail Merge'!$O2261+'Mail Merge'!$P2261</f>
        <v>1712370</v>
      </c>
      <c r="R2261" s="201"/>
      <c r="S2261" s="201"/>
      <c r="T2261" s="201"/>
      <c r="U2261" s="201">
        <f>IF(AND('Mail Merge'!$I2261="Did Not Meet",'Mail Merge'!$N2261="Did Not Meet"),MIN(ABS('Mail Merge'!$H2261),ABS('Mail Merge'!$M2261),'Mail Merge'!$Q2261),0)</f>
        <v>0</v>
      </c>
      <c r="V2261" s="201" t="str">
        <f>IF(OR(IFERROR(SEARCH("Met",'Mail Merge'!$N2261),0)&gt;0,IFERROR(SEARCH("Met",'Mail Merge'!$I2261),0)&gt;0),"Met","Not Met")</f>
        <v>Met</v>
      </c>
    </row>
    <row r="2262" spans="1:22" x14ac:dyDescent="0.35">
      <c r="A2262" s="198" t="s">
        <v>115</v>
      </c>
      <c r="B2262" s="199">
        <v>2056</v>
      </c>
      <c r="C2262" s="199" t="s">
        <v>1777</v>
      </c>
      <c r="D2262" s="199">
        <v>427</v>
      </c>
      <c r="E2262" s="199">
        <v>3575910.8000000007</v>
      </c>
      <c r="F2262" s="199">
        <v>244829.65000000002</v>
      </c>
      <c r="G2262" s="199">
        <f>'Mail Merge'!$E2262+'Mail Merge'!$F2262</f>
        <v>3820740.4500000007</v>
      </c>
      <c r="H2262" s="199"/>
      <c r="I2262" s="199" t="s">
        <v>241</v>
      </c>
      <c r="J2262" s="202">
        <f>IFERROR('Mail Merge'!$E2262/'Mail Merge'!$D2262,0)</f>
        <v>8374.4983606557398</v>
      </c>
      <c r="K2262" s="199">
        <f>IFERROR('Mail Merge'!$F2262/'Mail Merge'!$D2262,0)</f>
        <v>573.37154566744732</v>
      </c>
      <c r="L2262" s="199">
        <f>IFERROR('Mail Merge'!$G2262/'Mail Merge'!$D2262,0)</f>
        <v>8947.869906323187</v>
      </c>
      <c r="M2262" s="199"/>
      <c r="N2262" s="199" t="str">
        <f t="shared" si="1"/>
        <v>Met</v>
      </c>
      <c r="O2262" s="199">
        <v>864447</v>
      </c>
      <c r="P2262" s="199">
        <v>25734</v>
      </c>
      <c r="Q2262" s="199">
        <f>'Mail Merge'!$O2262+'Mail Merge'!$P2262</f>
        <v>890181</v>
      </c>
      <c r="R2262" s="199"/>
      <c r="S2262" s="199"/>
      <c r="T2262" s="199"/>
      <c r="U2262" s="199">
        <f>IF(AND('Mail Merge'!$I2262="Did Not Meet",'Mail Merge'!$N2262="Did Not Meet"),MIN(ABS('Mail Merge'!$H2262),ABS('Mail Merge'!$M2262),'Mail Merge'!$Q2262),0)</f>
        <v>0</v>
      </c>
      <c r="V2262" s="199" t="str">
        <f>IF(OR(IFERROR(SEARCH("Met",'Mail Merge'!$N2262),0)&gt;0,IFERROR(SEARCH("Met",'Mail Merge'!$I2262),0)&gt;0),"Met","Not Met")</f>
        <v>Met</v>
      </c>
    </row>
    <row r="2263" spans="1:22" x14ac:dyDescent="0.35">
      <c r="A2263" s="200" t="s">
        <v>116</v>
      </c>
      <c r="B2263" s="201">
        <v>2262</v>
      </c>
      <c r="C2263" s="201" t="s">
        <v>1777</v>
      </c>
      <c r="D2263" s="201">
        <v>101</v>
      </c>
      <c r="E2263" s="201">
        <v>1043011.9900000002</v>
      </c>
      <c r="F2263" s="201">
        <v>58658</v>
      </c>
      <c r="G2263" s="201">
        <f>'Mail Merge'!$E2263+'Mail Merge'!$F2263</f>
        <v>1101669.9900000002</v>
      </c>
      <c r="H2263" s="201"/>
      <c r="I2263" s="201" t="s">
        <v>241</v>
      </c>
      <c r="J2263" s="204">
        <f>IFERROR('Mail Merge'!$E2263/'Mail Merge'!$D2263,0)</f>
        <v>10326.851386138616</v>
      </c>
      <c r="K2263" s="201">
        <f>IFERROR('Mail Merge'!$F2263/'Mail Merge'!$D2263,0)</f>
        <v>580.77227722772273</v>
      </c>
      <c r="L2263" s="201">
        <f>IFERROR('Mail Merge'!$G2263/'Mail Merge'!$D2263,0)</f>
        <v>10907.623663366339</v>
      </c>
      <c r="M2263" s="201"/>
      <c r="N2263" s="201" t="str">
        <f t="shared" si="1"/>
        <v>Met</v>
      </c>
      <c r="O2263" s="201">
        <v>101216</v>
      </c>
      <c r="P2263" s="201">
        <v>3657</v>
      </c>
      <c r="Q2263" s="201">
        <f>'Mail Merge'!$O2263+'Mail Merge'!$P2263</f>
        <v>104873</v>
      </c>
      <c r="R2263" s="201"/>
      <c r="S2263" s="201"/>
      <c r="T2263" s="201"/>
      <c r="U2263" s="201">
        <f>IF(AND('Mail Merge'!$I2263="Did Not Meet",'Mail Merge'!$N2263="Did Not Meet"),MIN(ABS('Mail Merge'!$H2263),ABS('Mail Merge'!$M2263),'Mail Merge'!$Q2263),0)</f>
        <v>0</v>
      </c>
      <c r="V2263" s="201" t="str">
        <f>IF(OR(IFERROR(SEARCH("Met",'Mail Merge'!$N2263),0)&gt;0,IFERROR(SEARCH("Met",'Mail Merge'!$I2263),0)&gt;0),"Met","Not Met")</f>
        <v>Met</v>
      </c>
    </row>
    <row r="2264" spans="1:22" x14ac:dyDescent="0.35">
      <c r="A2264" s="198" t="s">
        <v>117</v>
      </c>
      <c r="B2264" s="199">
        <v>2212</v>
      </c>
      <c r="C2264" s="199" t="s">
        <v>1777</v>
      </c>
      <c r="D2264" s="199">
        <v>373</v>
      </c>
      <c r="E2264" s="199">
        <v>3459589.85</v>
      </c>
      <c r="F2264" s="199">
        <v>734880.44000000006</v>
      </c>
      <c r="G2264" s="199">
        <f>'Mail Merge'!$E2264+'Mail Merge'!$F2264</f>
        <v>4194470.29</v>
      </c>
      <c r="H2264" s="199"/>
      <c r="I2264" s="199" t="s">
        <v>241</v>
      </c>
      <c r="J2264" s="202">
        <f>IFERROR('Mail Merge'!$E2264/'Mail Merge'!$D2264,0)</f>
        <v>9275.0398123324394</v>
      </c>
      <c r="K2264" s="199">
        <f>IFERROR('Mail Merge'!$F2264/'Mail Merge'!$D2264,0)</f>
        <v>1970.1888471849868</v>
      </c>
      <c r="L2264" s="199">
        <f>IFERROR('Mail Merge'!$G2264/'Mail Merge'!$D2264,0)</f>
        <v>11245.228659517426</v>
      </c>
      <c r="M2264" s="199"/>
      <c r="N2264" s="199" t="str">
        <f t="shared" si="1"/>
        <v>Met</v>
      </c>
      <c r="O2264" s="199">
        <v>603843</v>
      </c>
      <c r="P2264" s="199">
        <v>14621</v>
      </c>
      <c r="Q2264" s="199">
        <f>'Mail Merge'!$O2264+'Mail Merge'!$P2264</f>
        <v>618464</v>
      </c>
      <c r="R2264" s="199"/>
      <c r="S2264" s="199"/>
      <c r="T2264" s="199"/>
      <c r="U2264" s="199">
        <f>IF(AND('Mail Merge'!$I2264="Did Not Meet",'Mail Merge'!$N2264="Did Not Meet"),MIN(ABS('Mail Merge'!$H2264),ABS('Mail Merge'!$M2264),'Mail Merge'!$Q2264),0)</f>
        <v>0</v>
      </c>
      <c r="V2264" s="199" t="str">
        <f>IF(OR(IFERROR(SEARCH("Met",'Mail Merge'!$N2264),0)&gt;0,IFERROR(SEARCH("Met",'Mail Merge'!$I2264),0)&gt;0),"Met","Not Met")</f>
        <v>Met</v>
      </c>
    </row>
    <row r="2265" spans="1:22" x14ac:dyDescent="0.35">
      <c r="A2265" s="200" t="s">
        <v>118</v>
      </c>
      <c r="B2265" s="201">
        <v>2059</v>
      </c>
      <c r="C2265" s="201" t="s">
        <v>1777</v>
      </c>
      <c r="D2265" s="201">
        <v>106</v>
      </c>
      <c r="E2265" s="201">
        <v>774504.05</v>
      </c>
      <c r="F2265" s="201">
        <v>313545.45999999996</v>
      </c>
      <c r="G2265" s="201">
        <f>'Mail Merge'!$E2265+'Mail Merge'!$F2265</f>
        <v>1088049.51</v>
      </c>
      <c r="H2265" s="201"/>
      <c r="I2265" s="201" t="s">
        <v>241</v>
      </c>
      <c r="J2265" s="204">
        <f>IFERROR('Mail Merge'!$E2265/'Mail Merge'!$D2265,0)</f>
        <v>7306.6419811320757</v>
      </c>
      <c r="K2265" s="201">
        <f>IFERROR('Mail Merge'!$F2265/'Mail Merge'!$D2265,0)</f>
        <v>2957.9760377358489</v>
      </c>
      <c r="L2265" s="201">
        <f>IFERROR('Mail Merge'!$G2265/'Mail Merge'!$D2265,0)</f>
        <v>10264.618018867925</v>
      </c>
      <c r="M2265" s="201"/>
      <c r="N2265" s="201" t="str">
        <f t="shared" si="1"/>
        <v>Did Not Meet</v>
      </c>
      <c r="O2265" s="201">
        <v>175814</v>
      </c>
      <c r="P2265" s="201">
        <v>6282</v>
      </c>
      <c r="Q2265" s="201">
        <f>'Mail Merge'!$O2265+'Mail Merge'!$P2265</f>
        <v>182096</v>
      </c>
      <c r="R2265" s="201"/>
      <c r="S2265" s="201"/>
      <c r="T2265" s="201"/>
      <c r="U2265" s="201">
        <f>IF(AND('Mail Merge'!$I2265="Did Not Meet",'Mail Merge'!$N2265="Did Not Meet"),MIN(ABS('Mail Merge'!$H2265),ABS('Mail Merge'!$M2265),'Mail Merge'!$Q2265),0)</f>
        <v>0</v>
      </c>
      <c r="V2265" s="201" t="str">
        <f>IF(OR(IFERROR(SEARCH("Met",'Mail Merge'!$N2265),0)&gt;0,IFERROR(SEARCH("Met",'Mail Merge'!$I2265),0)&gt;0),"Met","Not Met")</f>
        <v>Met</v>
      </c>
    </row>
    <row r="2266" spans="1:22" x14ac:dyDescent="0.35">
      <c r="A2266" s="198" t="s">
        <v>119</v>
      </c>
      <c r="B2266" s="199">
        <v>1923</v>
      </c>
      <c r="C2266" s="199" t="s">
        <v>1777</v>
      </c>
      <c r="D2266" s="199">
        <v>722</v>
      </c>
      <c r="E2266" s="199">
        <v>16226602.989999998</v>
      </c>
      <c r="F2266" s="199">
        <v>265837</v>
      </c>
      <c r="G2266" s="199">
        <f>'Mail Merge'!$E2266+'Mail Merge'!$F2266</f>
        <v>16492439.989999998</v>
      </c>
      <c r="H2266" s="199"/>
      <c r="I2266" s="199" t="s">
        <v>241</v>
      </c>
      <c r="J2266" s="202">
        <f>IFERROR('Mail Merge'!$E2266/'Mail Merge'!$D2266,0)</f>
        <v>22474.519376731299</v>
      </c>
      <c r="K2266" s="199">
        <f>IFERROR('Mail Merge'!$F2266/'Mail Merge'!$D2266,0)</f>
        <v>368.19529085872574</v>
      </c>
      <c r="L2266" s="199">
        <f>IFERROR('Mail Merge'!$G2266/'Mail Merge'!$D2266,0)</f>
        <v>22842.714667590026</v>
      </c>
      <c r="M2266" s="199"/>
      <c r="N2266" s="199" t="str">
        <f t="shared" si="1"/>
        <v>Met</v>
      </c>
      <c r="O2266" s="199">
        <v>1514828</v>
      </c>
      <c r="P2266" s="199">
        <v>19200</v>
      </c>
      <c r="Q2266" s="199">
        <f>'Mail Merge'!$O2266+'Mail Merge'!$P2266</f>
        <v>1534028</v>
      </c>
      <c r="R2266" s="199"/>
      <c r="S2266" s="199"/>
      <c r="T2266" s="199"/>
      <c r="U2266" s="199">
        <f>IF(AND('Mail Merge'!$I2266="Did Not Meet",'Mail Merge'!$N2266="Did Not Meet"),MIN(ABS('Mail Merge'!$H2266),ABS('Mail Merge'!$M2266),'Mail Merge'!$Q2266),0)</f>
        <v>0</v>
      </c>
      <c r="V2266" s="199" t="str">
        <f>IF(OR(IFERROR(SEARCH("Met",'Mail Merge'!$N2266),0)&gt;0,IFERROR(SEARCH("Met",'Mail Merge'!$I2266),0)&gt;0),"Met","Not Met")</f>
        <v>Met</v>
      </c>
    </row>
    <row r="2267" spans="1:22" x14ac:dyDescent="0.35">
      <c r="A2267" s="200" t="s">
        <v>120</v>
      </c>
      <c r="B2267" s="201">
        <v>2101</v>
      </c>
      <c r="C2267" s="201" t="s">
        <v>1777</v>
      </c>
      <c r="D2267" s="201">
        <v>650</v>
      </c>
      <c r="E2267" s="201">
        <v>6506926.0199999968</v>
      </c>
      <c r="F2267" s="201">
        <v>789485</v>
      </c>
      <c r="G2267" s="201">
        <f>'Mail Merge'!$E2267+'Mail Merge'!$F2267</f>
        <v>7296411.0199999968</v>
      </c>
      <c r="H2267" s="201"/>
      <c r="I2267" s="201" t="s">
        <v>241</v>
      </c>
      <c r="J2267" s="204">
        <f>IFERROR('Mail Merge'!$E2267/'Mail Merge'!$D2267,0)</f>
        <v>10010.65541538461</v>
      </c>
      <c r="K2267" s="201">
        <f>IFERROR('Mail Merge'!$F2267/'Mail Merge'!$D2267,0)</f>
        <v>1214.5923076923077</v>
      </c>
      <c r="L2267" s="201">
        <f>IFERROR('Mail Merge'!$G2267/'Mail Merge'!$D2267,0)</f>
        <v>11225.247723076918</v>
      </c>
      <c r="M2267" s="201"/>
      <c r="N2267" s="201" t="str">
        <f t="shared" si="1"/>
        <v>Did Not Meet</v>
      </c>
      <c r="O2267" s="201">
        <v>1010091</v>
      </c>
      <c r="P2267" s="201">
        <v>23474</v>
      </c>
      <c r="Q2267" s="201">
        <f>'Mail Merge'!$O2267+'Mail Merge'!$P2267</f>
        <v>1033565</v>
      </c>
      <c r="R2267" s="201"/>
      <c r="S2267" s="201"/>
      <c r="T2267" s="201"/>
      <c r="U2267" s="201">
        <f>IF(AND('Mail Merge'!$I2267="Did Not Meet",'Mail Merge'!$N2267="Did Not Meet"),MIN(ABS('Mail Merge'!$H2267),ABS('Mail Merge'!$M2267),'Mail Merge'!$Q2267),0)</f>
        <v>0</v>
      </c>
      <c r="V2267" s="201" t="str">
        <f>IF(OR(IFERROR(SEARCH("Met",'Mail Merge'!$N2267),0)&gt;0,IFERROR(SEARCH("Met",'Mail Merge'!$I2267),0)&gt;0),"Met","Not Met")</f>
        <v>Met</v>
      </c>
    </row>
    <row r="2268" spans="1:22" x14ac:dyDescent="0.35">
      <c r="A2268" s="198" t="s">
        <v>121</v>
      </c>
      <c r="B2268" s="199">
        <v>2097</v>
      </c>
      <c r="C2268" s="199" t="s">
        <v>1777</v>
      </c>
      <c r="D2268" s="199">
        <v>732</v>
      </c>
      <c r="E2268" s="199">
        <v>8046538.1499999994</v>
      </c>
      <c r="F2268" s="199">
        <v>1095975</v>
      </c>
      <c r="G2268" s="199">
        <f>'Mail Merge'!$E2268+'Mail Merge'!$F2268</f>
        <v>9142513.1499999985</v>
      </c>
      <c r="H2268" s="199"/>
      <c r="I2268" s="199" t="s">
        <v>241</v>
      </c>
      <c r="J2268" s="202">
        <f>IFERROR('Mail Merge'!$E2268/'Mail Merge'!$D2268,0)</f>
        <v>10992.538456284152</v>
      </c>
      <c r="K2268" s="199">
        <f>IFERROR('Mail Merge'!$F2268/'Mail Merge'!$D2268,0)</f>
        <v>1497.233606557377</v>
      </c>
      <c r="L2268" s="199">
        <f>IFERROR('Mail Merge'!$G2268/'Mail Merge'!$D2268,0)</f>
        <v>12489.772062841528</v>
      </c>
      <c r="M2268" s="199"/>
      <c r="N2268" s="199" t="str">
        <f t="shared" si="1"/>
        <v>Met</v>
      </c>
      <c r="O2268" s="199">
        <v>1436728</v>
      </c>
      <c r="P2268" s="199">
        <v>54368</v>
      </c>
      <c r="Q2268" s="199">
        <f>'Mail Merge'!$O2268+'Mail Merge'!$P2268</f>
        <v>1491096</v>
      </c>
      <c r="R2268" s="199"/>
      <c r="S2268" s="199"/>
      <c r="T2268" s="199"/>
      <c r="U2268" s="199">
        <f>IF(AND('Mail Merge'!$I2268="Did Not Meet",'Mail Merge'!$N2268="Did Not Meet"),MIN(ABS('Mail Merge'!$H2268),ABS('Mail Merge'!$M2268),'Mail Merge'!$Q2268),0)</f>
        <v>0</v>
      </c>
      <c r="V2268" s="199" t="str">
        <f>IF(OR(IFERROR(SEARCH("Met",'Mail Merge'!$N2268),0)&gt;0,IFERROR(SEARCH("Met",'Mail Merge'!$I2268),0)&gt;0),"Met","Not Met")</f>
        <v>Met</v>
      </c>
    </row>
    <row r="2269" spans="1:22" x14ac:dyDescent="0.35">
      <c r="A2269" s="200" t="s">
        <v>122</v>
      </c>
      <c r="B2269" s="201">
        <v>2012</v>
      </c>
      <c r="C2269" s="201" t="s">
        <v>1777</v>
      </c>
      <c r="D2269" s="201">
        <v>1</v>
      </c>
      <c r="E2269" s="201">
        <v>10596.440000000002</v>
      </c>
      <c r="F2269" s="201">
        <v>65773.399999999994</v>
      </c>
      <c r="G2269" s="201">
        <f>'Mail Merge'!$E2269+'Mail Merge'!$F2269</f>
        <v>76369.84</v>
      </c>
      <c r="H2269" s="201"/>
      <c r="I2269" s="201" t="s">
        <v>241</v>
      </c>
      <c r="J2269" s="204">
        <f>IFERROR('Mail Merge'!$E2269/'Mail Merge'!$D2269,0)</f>
        <v>10596.440000000002</v>
      </c>
      <c r="K2269" s="201">
        <f>IFERROR('Mail Merge'!$F2269/'Mail Merge'!$D2269,0)</f>
        <v>65773.399999999994</v>
      </c>
      <c r="L2269" s="201">
        <f>IFERROR('Mail Merge'!$G2269/'Mail Merge'!$D2269,0)</f>
        <v>76369.84</v>
      </c>
      <c r="M2269" s="201"/>
      <c r="N2269" s="201" t="str">
        <f t="shared" si="1"/>
        <v>Met</v>
      </c>
      <c r="O2269" s="201">
        <v>11112</v>
      </c>
      <c r="P2269" s="201">
        <v>512</v>
      </c>
      <c r="Q2269" s="201">
        <f>'Mail Merge'!$O2269+'Mail Merge'!$P2269</f>
        <v>11624</v>
      </c>
      <c r="R2269" s="201"/>
      <c r="S2269" s="201"/>
      <c r="T2269" s="201"/>
      <c r="U2269" s="201">
        <f>IF(AND('Mail Merge'!$I2269="Did Not Meet",'Mail Merge'!$N2269="Did Not Meet"),MIN(ABS('Mail Merge'!$H2269),ABS('Mail Merge'!$M2269),'Mail Merge'!$Q2269),0)</f>
        <v>0</v>
      </c>
      <c r="V2269" s="201" t="str">
        <f>IF(OR(IFERROR(SEARCH("Met",'Mail Merge'!$N2269),0)&gt;0,IFERROR(SEARCH("Met",'Mail Merge'!$I2269),0)&gt;0),"Met","Not Met")</f>
        <v>Met</v>
      </c>
    </row>
    <row r="2270" spans="1:22" x14ac:dyDescent="0.35">
      <c r="A2270" s="198" t="s">
        <v>123</v>
      </c>
      <c r="B2270" s="199">
        <v>2092</v>
      </c>
      <c r="C2270" s="199" t="s">
        <v>1777</v>
      </c>
      <c r="D2270" s="199">
        <v>124</v>
      </c>
      <c r="E2270" s="199">
        <v>417742.66000000009</v>
      </c>
      <c r="F2270" s="199">
        <v>304314</v>
      </c>
      <c r="G2270" s="199">
        <f>'Mail Merge'!$E2270+'Mail Merge'!$F2270</f>
        <v>722056.66000000015</v>
      </c>
      <c r="H2270" s="199"/>
      <c r="I2270" s="199" t="s">
        <v>241</v>
      </c>
      <c r="J2270" s="202">
        <f>IFERROR('Mail Merge'!$E2270/'Mail Merge'!$D2270,0)</f>
        <v>3368.8924193548396</v>
      </c>
      <c r="K2270" s="199">
        <f>IFERROR('Mail Merge'!$F2270/'Mail Merge'!$D2270,0)</f>
        <v>2454.1451612903224</v>
      </c>
      <c r="L2270" s="199">
        <f>IFERROR('Mail Merge'!$G2270/'Mail Merge'!$D2270,0)</f>
        <v>5823.0375806451621</v>
      </c>
      <c r="M2270" s="199"/>
      <c r="N2270" s="199" t="str">
        <f t="shared" si="1"/>
        <v>Met</v>
      </c>
      <c r="O2270" s="199">
        <v>166508</v>
      </c>
      <c r="P2270" s="199">
        <v>1965</v>
      </c>
      <c r="Q2270" s="199">
        <f>'Mail Merge'!$O2270+'Mail Merge'!$P2270</f>
        <v>168473</v>
      </c>
      <c r="R2270" s="199"/>
      <c r="S2270" s="199"/>
      <c r="T2270" s="199"/>
      <c r="U2270" s="199">
        <f>IF(AND('Mail Merge'!$I2270="Did Not Meet",'Mail Merge'!$N2270="Did Not Meet"),MIN(ABS('Mail Merge'!$H2270),ABS('Mail Merge'!$M2270),'Mail Merge'!$Q2270),0)</f>
        <v>0</v>
      </c>
      <c r="V2270" s="199" t="str">
        <f>IF(OR(IFERROR(SEARCH("Met",'Mail Merge'!$N2270),0)&gt;0,IFERROR(SEARCH("Met",'Mail Merge'!$I2270),0)&gt;0),"Met","Not Met")</f>
        <v>Met</v>
      </c>
    </row>
    <row r="2271" spans="1:22" x14ac:dyDescent="0.35">
      <c r="A2271" s="200" t="s">
        <v>124</v>
      </c>
      <c r="B2271" s="201">
        <v>2112</v>
      </c>
      <c r="C2271" s="201" t="s">
        <v>1777</v>
      </c>
      <c r="D2271" s="201">
        <v>0</v>
      </c>
      <c r="E2271" s="201">
        <v>0</v>
      </c>
      <c r="F2271" s="201">
        <v>942.93999999999994</v>
      </c>
      <c r="G2271" s="201">
        <f>'Mail Merge'!$E2271+'Mail Merge'!$F2271</f>
        <v>942.93999999999994</v>
      </c>
      <c r="H2271" s="201"/>
      <c r="I2271" s="201" t="s">
        <v>241</v>
      </c>
      <c r="J2271" s="204">
        <f>IFERROR('Mail Merge'!$E2271/'Mail Merge'!$D2271,0)</f>
        <v>0</v>
      </c>
      <c r="K2271" s="201">
        <f>IFERROR('Mail Merge'!$F2271/'Mail Merge'!$D2271,0)</f>
        <v>0</v>
      </c>
      <c r="L2271" s="201">
        <f>IFERROR('Mail Merge'!$G2271/'Mail Merge'!$D2271,0)</f>
        <v>0</v>
      </c>
      <c r="M2271" s="201"/>
      <c r="N2271" s="201" t="str">
        <f t="shared" si="1"/>
        <v>Met</v>
      </c>
      <c r="O2271" s="201">
        <v>502</v>
      </c>
      <c r="P2271" s="201">
        <v>2</v>
      </c>
      <c r="Q2271" s="201">
        <f>'Mail Merge'!$O2271+'Mail Merge'!$P2271</f>
        <v>504</v>
      </c>
      <c r="R2271" s="201"/>
      <c r="S2271" s="201"/>
      <c r="T2271" s="201"/>
      <c r="U2271" s="201">
        <f>IF(AND('Mail Merge'!$I2271="Did Not Meet",'Mail Merge'!$N2271="Did Not Meet"),MIN(ABS('Mail Merge'!$H2271),ABS('Mail Merge'!$M2271),'Mail Merge'!$Q2271),0)</f>
        <v>0</v>
      </c>
      <c r="V2271" s="201" t="str">
        <f>IF(OR(IFERROR(SEARCH("Met",'Mail Merge'!$N2271),0)&gt;0,IFERROR(SEARCH("Met",'Mail Merge'!$I2271),0)&gt;0),"Met","Not Met")</f>
        <v>Met</v>
      </c>
    </row>
    <row r="2272" spans="1:22" x14ac:dyDescent="0.35">
      <c r="A2272" s="198" t="s">
        <v>125</v>
      </c>
      <c r="B2272" s="199">
        <v>2085</v>
      </c>
      <c r="C2272" s="199" t="s">
        <v>1777</v>
      </c>
      <c r="D2272" s="199">
        <v>18</v>
      </c>
      <c r="E2272" s="199">
        <v>272329.63000000006</v>
      </c>
      <c r="F2272" s="199">
        <v>45393</v>
      </c>
      <c r="G2272" s="199">
        <f>'Mail Merge'!$E2272+'Mail Merge'!$F2272</f>
        <v>317722.63000000006</v>
      </c>
      <c r="H2272" s="199"/>
      <c r="I2272" s="199" t="s">
        <v>241</v>
      </c>
      <c r="J2272" s="202">
        <f>IFERROR('Mail Merge'!$E2272/'Mail Merge'!$D2272,0)</f>
        <v>15129.423888888892</v>
      </c>
      <c r="K2272" s="199">
        <f>IFERROR('Mail Merge'!$F2272/'Mail Merge'!$D2272,0)</f>
        <v>2521.8333333333335</v>
      </c>
      <c r="L2272" s="199">
        <f>IFERROR('Mail Merge'!$G2272/'Mail Merge'!$D2272,0)</f>
        <v>17651.257222222226</v>
      </c>
      <c r="M2272" s="199"/>
      <c r="N2272" s="199" t="str">
        <f t="shared" si="1"/>
        <v>Met</v>
      </c>
      <c r="O2272" s="199">
        <v>60724</v>
      </c>
      <c r="P2272" s="199">
        <v>1542</v>
      </c>
      <c r="Q2272" s="199">
        <f>'Mail Merge'!$O2272+'Mail Merge'!$P2272</f>
        <v>62266</v>
      </c>
      <c r="R2272" s="199"/>
      <c r="S2272" s="199"/>
      <c r="T2272" s="199"/>
      <c r="U2272" s="199">
        <f>IF(AND('Mail Merge'!$I2272="Did Not Meet",'Mail Merge'!$N2272="Did Not Meet"),MIN(ABS('Mail Merge'!$H2272),ABS('Mail Merge'!$M2272),'Mail Merge'!$Q2272),0)</f>
        <v>0</v>
      </c>
      <c r="V2272" s="199" t="str">
        <f>IF(OR(IFERROR(SEARCH("Met",'Mail Merge'!$N2272),0)&gt;0,IFERROR(SEARCH("Met",'Mail Merge'!$I2272),0)&gt;0),"Met","Not Met")</f>
        <v>Met</v>
      </c>
    </row>
    <row r="2273" spans="1:22" x14ac:dyDescent="0.35">
      <c r="A2273" s="200" t="s">
        <v>126</v>
      </c>
      <c r="B2273" s="201">
        <v>2094</v>
      </c>
      <c r="C2273" s="201" t="s">
        <v>1777</v>
      </c>
      <c r="D2273" s="201">
        <v>81</v>
      </c>
      <c r="E2273" s="201">
        <v>475516.04999999993</v>
      </c>
      <c r="F2273" s="201">
        <v>185101</v>
      </c>
      <c r="G2273" s="201">
        <f>'Mail Merge'!$E2273+'Mail Merge'!$F2273</f>
        <v>660617.04999999993</v>
      </c>
      <c r="H2273" s="201"/>
      <c r="I2273" s="201" t="s">
        <v>2979</v>
      </c>
      <c r="J2273" s="204">
        <f>IFERROR('Mail Merge'!$E2273/'Mail Merge'!$D2273,0)</f>
        <v>5870.5685185185175</v>
      </c>
      <c r="K2273" s="201">
        <f>IFERROR('Mail Merge'!$F2273/'Mail Merge'!$D2273,0)</f>
        <v>2285.1975308641977</v>
      </c>
      <c r="L2273" s="201">
        <f>IFERROR('Mail Merge'!$G2273/'Mail Merge'!$D2273,0)</f>
        <v>8155.7660493827152</v>
      </c>
      <c r="M2273" s="201"/>
      <c r="N2273" s="201" t="str">
        <f t="shared" si="1"/>
        <v>Did Not Meet</v>
      </c>
      <c r="O2273" s="201">
        <v>108041</v>
      </c>
      <c r="P2273" s="201">
        <v>1290</v>
      </c>
      <c r="Q2273" s="201">
        <f>'Mail Merge'!$O2273+'Mail Merge'!$P2273</f>
        <v>109331</v>
      </c>
      <c r="R2273" s="201"/>
      <c r="S2273" s="201"/>
      <c r="T2273" s="201"/>
      <c r="U2273" s="201">
        <f>IF(AND('Mail Merge'!$I2273="Did Not Meet",'Mail Merge'!$N2273="Did Not Meet"),MIN(ABS('Mail Merge'!$H2273),ABS('Mail Merge'!$M2273),'Mail Merge'!$Q2273),0)</f>
        <v>0</v>
      </c>
      <c r="V2273" s="201" t="str">
        <f>IF(OR(IFERROR(SEARCH("Met",'Mail Merge'!$N2273),0)&gt;0,IFERROR(SEARCH("Met",'Mail Merge'!$I2273),0)&gt;0),"Met","Not Met")</f>
        <v>Met</v>
      </c>
    </row>
    <row r="2274" spans="1:22" x14ac:dyDescent="0.35">
      <c r="A2274" s="198" t="s">
        <v>127</v>
      </c>
      <c r="B2274" s="199">
        <v>2090</v>
      </c>
      <c r="C2274" s="199" t="s">
        <v>1777</v>
      </c>
      <c r="D2274" s="199">
        <v>26</v>
      </c>
      <c r="E2274" s="199">
        <v>440737.58999999991</v>
      </c>
      <c r="F2274" s="199">
        <v>50708</v>
      </c>
      <c r="G2274" s="199">
        <f>'Mail Merge'!$E2274+'Mail Merge'!$F2274</f>
        <v>491445.58999999991</v>
      </c>
      <c r="H2274" s="199"/>
      <c r="I2274" s="199" t="s">
        <v>241</v>
      </c>
      <c r="J2274" s="202">
        <f>IFERROR('Mail Merge'!$E2274/'Mail Merge'!$D2274,0)</f>
        <v>16951.445769230766</v>
      </c>
      <c r="K2274" s="199">
        <f>IFERROR('Mail Merge'!$F2274/'Mail Merge'!$D2274,0)</f>
        <v>1950.3076923076924</v>
      </c>
      <c r="L2274" s="199">
        <f>IFERROR('Mail Merge'!$G2274/'Mail Merge'!$D2274,0)</f>
        <v>18901.753461538457</v>
      </c>
      <c r="M2274" s="199"/>
      <c r="N2274" s="199" t="str">
        <f t="shared" si="1"/>
        <v>Met</v>
      </c>
      <c r="O2274" s="199">
        <v>58428</v>
      </c>
      <c r="P2274" s="199">
        <v>611</v>
      </c>
      <c r="Q2274" s="199">
        <f>'Mail Merge'!$O2274+'Mail Merge'!$P2274</f>
        <v>59039</v>
      </c>
      <c r="R2274" s="199"/>
      <c r="S2274" s="199"/>
      <c r="T2274" s="199"/>
      <c r="U2274" s="199">
        <f>IF(AND('Mail Merge'!$I2274="Did Not Meet",'Mail Merge'!$N2274="Did Not Meet"),MIN(ABS('Mail Merge'!$H2274),ABS('Mail Merge'!$M2274),'Mail Merge'!$Q2274),0)</f>
        <v>0</v>
      </c>
      <c r="V2274" s="199" t="str">
        <f>IF(OR(IFERROR(SEARCH("Met",'Mail Merge'!$N2274),0)&gt;0,IFERROR(SEARCH("Met",'Mail Merge'!$I2274),0)&gt;0),"Met","Not Met")</f>
        <v>Met</v>
      </c>
    </row>
    <row r="2275" spans="1:22" x14ac:dyDescent="0.35">
      <c r="A2275" s="200" t="s">
        <v>128</v>
      </c>
      <c r="B2275" s="201">
        <v>2256</v>
      </c>
      <c r="C2275" s="201" t="s">
        <v>1777</v>
      </c>
      <c r="D2275" s="201">
        <v>868</v>
      </c>
      <c r="E2275" s="201">
        <v>8461902.2799999975</v>
      </c>
      <c r="F2275" s="201">
        <v>486311.97</v>
      </c>
      <c r="G2275" s="201">
        <f>'Mail Merge'!$E2275+'Mail Merge'!$F2275</f>
        <v>8948214.2499999981</v>
      </c>
      <c r="H2275" s="201"/>
      <c r="I2275" s="201" t="s">
        <v>241</v>
      </c>
      <c r="J2275" s="204">
        <f>IFERROR('Mail Merge'!$E2275/'Mail Merge'!$D2275,0)</f>
        <v>9748.7353456221172</v>
      </c>
      <c r="K2275" s="201">
        <f>IFERROR('Mail Merge'!$F2275/'Mail Merge'!$D2275,0)</f>
        <v>560.26724654377881</v>
      </c>
      <c r="L2275" s="201">
        <f>IFERROR('Mail Merge'!$G2275/'Mail Merge'!$D2275,0)</f>
        <v>10309.002592165896</v>
      </c>
      <c r="M2275" s="201"/>
      <c r="N2275" s="201" t="str">
        <f t="shared" si="1"/>
        <v>Met</v>
      </c>
      <c r="O2275" s="201">
        <v>1305072</v>
      </c>
      <c r="P2275" s="201">
        <v>38589</v>
      </c>
      <c r="Q2275" s="201">
        <f>'Mail Merge'!$O2275+'Mail Merge'!$P2275</f>
        <v>1343661</v>
      </c>
      <c r="R2275" s="201"/>
      <c r="S2275" s="201"/>
      <c r="T2275" s="201"/>
      <c r="U2275" s="201">
        <f>IF(AND('Mail Merge'!$I2275="Did Not Meet",'Mail Merge'!$N2275="Did Not Meet"),MIN(ABS('Mail Merge'!$H2275),ABS('Mail Merge'!$M2275),'Mail Merge'!$Q2275),0)</f>
        <v>0</v>
      </c>
      <c r="V2275" s="201" t="str">
        <f>IF(OR(IFERROR(SEARCH("Met",'Mail Merge'!$N2275),0)&gt;0,IFERROR(SEARCH("Met",'Mail Merge'!$I2275),0)&gt;0),"Met","Not Met")</f>
        <v>Met</v>
      </c>
    </row>
    <row r="2276" spans="1:22" x14ac:dyDescent="0.35">
      <c r="A2276" s="198" t="s">
        <v>129</v>
      </c>
      <c r="B2276" s="199">
        <v>2048</v>
      </c>
      <c r="C2276" s="199" t="s">
        <v>1777</v>
      </c>
      <c r="D2276" s="199">
        <v>2147</v>
      </c>
      <c r="E2276" s="199">
        <v>20239174.839999996</v>
      </c>
      <c r="F2276" s="199">
        <v>1612809.17</v>
      </c>
      <c r="G2276" s="199">
        <f>'Mail Merge'!$E2276+'Mail Merge'!$F2276</f>
        <v>21851984.009999998</v>
      </c>
      <c r="H2276" s="199"/>
      <c r="I2276" s="199" t="s">
        <v>241</v>
      </c>
      <c r="J2276" s="202">
        <f>IFERROR('Mail Merge'!$E2276/'Mail Merge'!$D2276,0)</f>
        <v>9426.7232603632965</v>
      </c>
      <c r="K2276" s="199">
        <f>IFERROR('Mail Merge'!$F2276/'Mail Merge'!$D2276,0)</f>
        <v>751.19197484862593</v>
      </c>
      <c r="L2276" s="199">
        <f>IFERROR('Mail Merge'!$G2276/'Mail Merge'!$D2276,0)</f>
        <v>10177.915235211922</v>
      </c>
      <c r="M2276" s="199"/>
      <c r="N2276" s="199" t="str">
        <f t="shared" si="1"/>
        <v>Met</v>
      </c>
      <c r="O2276" s="199">
        <v>3122028</v>
      </c>
      <c r="P2276" s="199">
        <v>92480</v>
      </c>
      <c r="Q2276" s="199">
        <f>'Mail Merge'!$O2276+'Mail Merge'!$P2276</f>
        <v>3214508</v>
      </c>
      <c r="R2276" s="199"/>
      <c r="S2276" s="199"/>
      <c r="T2276" s="199"/>
      <c r="U2276" s="199">
        <f>IF(AND('Mail Merge'!$I2276="Did Not Meet",'Mail Merge'!$N2276="Did Not Meet"),MIN(ABS('Mail Merge'!$H2276),ABS('Mail Merge'!$M2276),'Mail Merge'!$Q2276),0)</f>
        <v>0</v>
      </c>
      <c r="V2276" s="199" t="str">
        <f>IF(OR(IFERROR(SEARCH("Met",'Mail Merge'!$N2276),0)&gt;0,IFERROR(SEARCH("Met",'Mail Merge'!$I2276),0)&gt;0),"Met","Not Met")</f>
        <v>Met</v>
      </c>
    </row>
    <row r="2277" spans="1:22" x14ac:dyDescent="0.35">
      <c r="A2277" s="200" t="s">
        <v>130</v>
      </c>
      <c r="B2277" s="201">
        <v>2205</v>
      </c>
      <c r="C2277" s="201" t="s">
        <v>1777</v>
      </c>
      <c r="D2277" s="201">
        <v>233</v>
      </c>
      <c r="E2277" s="201">
        <v>2066849.2799999998</v>
      </c>
      <c r="F2277" s="201">
        <v>429900.69</v>
      </c>
      <c r="G2277" s="201">
        <f>'Mail Merge'!$E2277+'Mail Merge'!$F2277</f>
        <v>2496749.9699999997</v>
      </c>
      <c r="H2277" s="201"/>
      <c r="I2277" s="201" t="s">
        <v>241</v>
      </c>
      <c r="J2277" s="204">
        <f>IFERROR('Mail Merge'!$E2277/'Mail Merge'!$D2277,0)</f>
        <v>8870.5977682403427</v>
      </c>
      <c r="K2277" s="201">
        <f>IFERROR('Mail Merge'!$F2277/'Mail Merge'!$D2277,0)</f>
        <v>1845.067339055794</v>
      </c>
      <c r="L2277" s="201">
        <f>IFERROR('Mail Merge'!$G2277/'Mail Merge'!$D2277,0)</f>
        <v>10715.665107296136</v>
      </c>
      <c r="M2277" s="201"/>
      <c r="N2277" s="201" t="str">
        <f t="shared" si="1"/>
        <v>Did Not Meet</v>
      </c>
      <c r="O2277" s="201">
        <v>365197</v>
      </c>
      <c r="P2277" s="201">
        <v>14579</v>
      </c>
      <c r="Q2277" s="201">
        <f>'Mail Merge'!$O2277+'Mail Merge'!$P2277</f>
        <v>379776</v>
      </c>
      <c r="R2277" s="201"/>
      <c r="S2277" s="201"/>
      <c r="T2277" s="201"/>
      <c r="U2277" s="201">
        <f>IF(AND('Mail Merge'!$I2277="Did Not Meet",'Mail Merge'!$N2277="Did Not Meet"),MIN(ABS('Mail Merge'!$H2277),ABS('Mail Merge'!$M2277),'Mail Merge'!$Q2277),0)</f>
        <v>0</v>
      </c>
      <c r="V2277" s="201" t="str">
        <f>IF(OR(IFERROR(SEARCH("Met",'Mail Merge'!$N2277),0)&gt;0,IFERROR(SEARCH("Met",'Mail Merge'!$I2277),0)&gt;0),"Met","Not Met")</f>
        <v>Met</v>
      </c>
    </row>
    <row r="2278" spans="1:22" x14ac:dyDescent="0.35">
      <c r="A2278" s="198" t="s">
        <v>131</v>
      </c>
      <c r="B2278" s="199">
        <v>2249</v>
      </c>
      <c r="C2278" s="199" t="s">
        <v>1777</v>
      </c>
      <c r="D2278" s="199">
        <v>175</v>
      </c>
      <c r="E2278" s="199">
        <v>23641.35</v>
      </c>
      <c r="F2278" s="199">
        <v>71067</v>
      </c>
      <c r="G2278" s="199">
        <f>'Mail Merge'!$E2278+'Mail Merge'!$F2278</f>
        <v>94708.35</v>
      </c>
      <c r="H2278" s="199"/>
      <c r="I2278" s="199" t="s">
        <v>241</v>
      </c>
      <c r="J2278" s="202">
        <f>IFERROR('Mail Merge'!$E2278/'Mail Merge'!$D2278,0)</f>
        <v>135.09342857142857</v>
      </c>
      <c r="K2278" s="199">
        <f>IFERROR('Mail Merge'!$F2278/'Mail Merge'!$D2278,0)</f>
        <v>406.09714285714284</v>
      </c>
      <c r="L2278" s="199">
        <f>IFERROR('Mail Merge'!$G2278/'Mail Merge'!$D2278,0)</f>
        <v>541.1905714285715</v>
      </c>
      <c r="M2278" s="199"/>
      <c r="N2278" s="199" t="str">
        <f t="shared" si="1"/>
        <v>Met</v>
      </c>
      <c r="O2278" s="199">
        <v>71518</v>
      </c>
      <c r="P2278" s="199">
        <v>528</v>
      </c>
      <c r="Q2278" s="199">
        <f>'Mail Merge'!$O2278+'Mail Merge'!$P2278</f>
        <v>72046</v>
      </c>
      <c r="R2278" s="199"/>
      <c r="S2278" s="199"/>
      <c r="T2278" s="199"/>
      <c r="U2278" s="199">
        <f>IF(AND('Mail Merge'!$I2278="Did Not Meet",'Mail Merge'!$N2278="Did Not Meet"),MIN(ABS('Mail Merge'!$H2278),ABS('Mail Merge'!$M2278),'Mail Merge'!$Q2278),0)</f>
        <v>0</v>
      </c>
      <c r="V2278" s="199" t="str">
        <f>IF(OR(IFERROR(SEARCH("Met",'Mail Merge'!$N2278),0)&gt;0,IFERROR(SEARCH("Met",'Mail Merge'!$I2278),0)&gt;0),"Met","Not Met")</f>
        <v>Met</v>
      </c>
    </row>
    <row r="2279" spans="1:22" x14ac:dyDescent="0.35">
      <c r="A2279" s="200" t="s">
        <v>132</v>
      </c>
      <c r="B2279" s="201">
        <v>1925</v>
      </c>
      <c r="C2279" s="201" t="s">
        <v>1777</v>
      </c>
      <c r="D2279" s="201">
        <v>400</v>
      </c>
      <c r="E2279" s="201">
        <v>4745928</v>
      </c>
      <c r="F2279" s="201">
        <v>503132</v>
      </c>
      <c r="G2279" s="201">
        <f>'Mail Merge'!$E2279+'Mail Merge'!$F2279</f>
        <v>5249060</v>
      </c>
      <c r="H2279" s="201"/>
      <c r="I2279" s="201" t="s">
        <v>241</v>
      </c>
      <c r="J2279" s="204">
        <f>IFERROR('Mail Merge'!$E2279/'Mail Merge'!$D2279,0)</f>
        <v>11864.82</v>
      </c>
      <c r="K2279" s="201">
        <f>IFERROR('Mail Merge'!$F2279/'Mail Merge'!$D2279,0)</f>
        <v>1257.83</v>
      </c>
      <c r="L2279" s="201">
        <f>IFERROR('Mail Merge'!$G2279/'Mail Merge'!$D2279,0)</f>
        <v>13122.65</v>
      </c>
      <c r="M2279" s="201"/>
      <c r="N2279" s="201" t="str">
        <f t="shared" si="1"/>
        <v>Met</v>
      </c>
      <c r="O2279" s="201">
        <v>604674</v>
      </c>
      <c r="P2279" s="201">
        <v>14208</v>
      </c>
      <c r="Q2279" s="201">
        <f>'Mail Merge'!$O2279+'Mail Merge'!$P2279</f>
        <v>618882</v>
      </c>
      <c r="R2279" s="201"/>
      <c r="S2279" s="201"/>
      <c r="T2279" s="201"/>
      <c r="U2279" s="201">
        <f>IF(AND('Mail Merge'!$I2279="Did Not Meet",'Mail Merge'!$N2279="Did Not Meet"),MIN(ABS('Mail Merge'!$H2279),ABS('Mail Merge'!$M2279),'Mail Merge'!$Q2279),0)</f>
        <v>0</v>
      </c>
      <c r="V2279" s="201" t="str">
        <f>IF(OR(IFERROR(SEARCH("Met",'Mail Merge'!$N2279),0)&gt;0,IFERROR(SEARCH("Met",'Mail Merge'!$I2279),0)&gt;0),"Met","Not Met")</f>
        <v>Met</v>
      </c>
    </row>
    <row r="2280" spans="1:22" x14ac:dyDescent="0.35">
      <c r="A2280" s="198" t="s">
        <v>133</v>
      </c>
      <c r="B2280" s="199">
        <v>1898</v>
      </c>
      <c r="C2280" s="199" t="s">
        <v>1777</v>
      </c>
      <c r="D2280" s="199">
        <v>41</v>
      </c>
      <c r="E2280" s="199">
        <v>592865.2999999997</v>
      </c>
      <c r="F2280" s="199">
        <v>58422</v>
      </c>
      <c r="G2280" s="199">
        <f>'Mail Merge'!$E2280+'Mail Merge'!$F2280</f>
        <v>651287.2999999997</v>
      </c>
      <c r="H2280" s="199"/>
      <c r="I2280" s="199" t="s">
        <v>241</v>
      </c>
      <c r="J2280" s="202">
        <f>IFERROR('Mail Merge'!$E2280/'Mail Merge'!$D2280,0)</f>
        <v>14460.129268292676</v>
      </c>
      <c r="K2280" s="199">
        <f>IFERROR('Mail Merge'!$F2280/'Mail Merge'!$D2280,0)</f>
        <v>1424.9268292682927</v>
      </c>
      <c r="L2280" s="199">
        <f>IFERROR('Mail Merge'!$G2280/'Mail Merge'!$D2280,0)</f>
        <v>15885.056097560968</v>
      </c>
      <c r="M2280" s="199"/>
      <c r="N2280" s="199" t="str">
        <f t="shared" si="1"/>
        <v>Met</v>
      </c>
      <c r="O2280" s="199">
        <v>93299</v>
      </c>
      <c r="P2280" s="199">
        <v>1671</v>
      </c>
      <c r="Q2280" s="199">
        <f>'Mail Merge'!$O2280+'Mail Merge'!$P2280</f>
        <v>94970</v>
      </c>
      <c r="R2280" s="199"/>
      <c r="S2280" s="199"/>
      <c r="T2280" s="199"/>
      <c r="U2280" s="199">
        <f>IF(AND('Mail Merge'!$I2280="Did Not Meet",'Mail Merge'!$N2280="Did Not Meet"),MIN(ABS('Mail Merge'!$H2280),ABS('Mail Merge'!$M2280),'Mail Merge'!$Q2280),0)</f>
        <v>0</v>
      </c>
      <c r="V2280" s="199" t="str">
        <f>IF(OR(IFERROR(SEARCH("Met",'Mail Merge'!$N2280),0)&gt;0,IFERROR(SEARCH("Met",'Mail Merge'!$I2280),0)&gt;0),"Met","Not Met")</f>
        <v>Met</v>
      </c>
    </row>
    <row r="2281" spans="1:22" x14ac:dyDescent="0.35">
      <c r="A2281" s="200" t="s">
        <v>134</v>
      </c>
      <c r="B2281" s="201">
        <v>2010</v>
      </c>
      <c r="C2281" s="201" t="s">
        <v>1777</v>
      </c>
      <c r="D2281" s="201">
        <v>9</v>
      </c>
      <c r="E2281" s="201">
        <v>850</v>
      </c>
      <c r="F2281" s="201">
        <v>66840.399999999994</v>
      </c>
      <c r="G2281" s="201">
        <f>'Mail Merge'!$E2281+'Mail Merge'!$F2281</f>
        <v>67690.399999999994</v>
      </c>
      <c r="H2281" s="201"/>
      <c r="I2281" s="201" t="s">
        <v>2979</v>
      </c>
      <c r="J2281" s="204">
        <f>IFERROR('Mail Merge'!$E2281/'Mail Merge'!$D2281,0)</f>
        <v>94.444444444444443</v>
      </c>
      <c r="K2281" s="201">
        <f>IFERROR('Mail Merge'!$F2281/'Mail Merge'!$D2281,0)</f>
        <v>7426.7111111111108</v>
      </c>
      <c r="L2281" s="201">
        <f>IFERROR('Mail Merge'!$G2281/'Mail Merge'!$D2281,0)</f>
        <v>7521.1555555555551</v>
      </c>
      <c r="M2281" s="201"/>
      <c r="N2281" s="201" t="str">
        <f t="shared" si="1"/>
        <v>Did Not Meet</v>
      </c>
      <c r="O2281" s="201">
        <v>13209</v>
      </c>
      <c r="P2281" s="201">
        <v>1482</v>
      </c>
      <c r="Q2281" s="201">
        <f>'Mail Merge'!$O2281+'Mail Merge'!$P2281</f>
        <v>14691</v>
      </c>
      <c r="R2281" s="201"/>
      <c r="S2281" s="201"/>
      <c r="T2281" s="201"/>
      <c r="U2281" s="201">
        <f>IF(AND('Mail Merge'!$I2281="Did Not Meet",'Mail Merge'!$N2281="Did Not Meet"),MIN(ABS('Mail Merge'!$H2281),ABS('Mail Merge'!$M2281),'Mail Merge'!$Q2281),0)</f>
        <v>0</v>
      </c>
      <c r="V2281" s="201" t="str">
        <f>IF(OR(IFERROR(SEARCH("Met",'Mail Merge'!$N2281),0)&gt;0,IFERROR(SEARCH("Met",'Mail Merge'!$I2281),0)&gt;0),"Met","Not Met")</f>
        <v>Met</v>
      </c>
    </row>
    <row r="2282" spans="1:22" x14ac:dyDescent="0.35">
      <c r="A2282" s="198" t="s">
        <v>135</v>
      </c>
      <c r="B2282" s="199">
        <v>2147</v>
      </c>
      <c r="C2282" s="199" t="s">
        <v>1777</v>
      </c>
      <c r="D2282" s="199">
        <v>358</v>
      </c>
      <c r="E2282" s="199">
        <v>1753609.8199999996</v>
      </c>
      <c r="F2282" s="199">
        <v>668837.49</v>
      </c>
      <c r="G2282" s="199">
        <f>'Mail Merge'!$E2282+'Mail Merge'!$F2282</f>
        <v>2422447.3099999996</v>
      </c>
      <c r="H2282" s="199"/>
      <c r="I2282" s="199" t="s">
        <v>241</v>
      </c>
      <c r="J2282" s="202">
        <f>IFERROR('Mail Merge'!$E2282/'Mail Merge'!$D2282,0)</f>
        <v>4898.3514525139653</v>
      </c>
      <c r="K2282" s="199">
        <f>IFERROR('Mail Merge'!$F2282/'Mail Merge'!$D2282,0)</f>
        <v>1868.2611452513966</v>
      </c>
      <c r="L2282" s="199">
        <f>IFERROR('Mail Merge'!$G2282/'Mail Merge'!$D2282,0)</f>
        <v>6766.6125977653619</v>
      </c>
      <c r="M2282" s="199"/>
      <c r="N2282" s="199" t="str">
        <f t="shared" si="1"/>
        <v>Did Not Meet</v>
      </c>
      <c r="O2282" s="199">
        <v>448246</v>
      </c>
      <c r="P2282" s="199">
        <v>6627</v>
      </c>
      <c r="Q2282" s="199">
        <f>'Mail Merge'!$O2282+'Mail Merge'!$P2282</f>
        <v>454873</v>
      </c>
      <c r="R2282" s="199"/>
      <c r="S2282" s="199"/>
      <c r="T2282" s="199"/>
      <c r="U2282" s="199">
        <f>IF(AND('Mail Merge'!$I2282="Did Not Meet",'Mail Merge'!$N2282="Did Not Meet"),MIN(ABS('Mail Merge'!$H2282),ABS('Mail Merge'!$M2282),'Mail Merge'!$Q2282),0)</f>
        <v>0</v>
      </c>
      <c r="V2282" s="199" t="str">
        <f>IF(OR(IFERROR(SEARCH("Met",'Mail Merge'!$N2282),0)&gt;0,IFERROR(SEARCH("Met",'Mail Merge'!$I2282),0)&gt;0),"Met","Not Met")</f>
        <v>Met</v>
      </c>
    </row>
    <row r="2283" spans="1:22" x14ac:dyDescent="0.35">
      <c r="A2283" s="200" t="s">
        <v>136</v>
      </c>
      <c r="B2283" s="201">
        <v>2145</v>
      </c>
      <c r="C2283" s="201" t="s">
        <v>1777</v>
      </c>
      <c r="D2283" s="201">
        <v>82</v>
      </c>
      <c r="E2283" s="201">
        <v>524206.08000000013</v>
      </c>
      <c r="F2283" s="201">
        <v>159506.88</v>
      </c>
      <c r="G2283" s="201">
        <f>'Mail Merge'!$E2283+'Mail Merge'!$F2283</f>
        <v>683712.9600000002</v>
      </c>
      <c r="H2283" s="201"/>
      <c r="I2283" s="201" t="s">
        <v>241</v>
      </c>
      <c r="J2283" s="204">
        <f>IFERROR('Mail Merge'!$E2283/'Mail Merge'!$D2283,0)</f>
        <v>6392.7570731707337</v>
      </c>
      <c r="K2283" s="201">
        <f>IFERROR('Mail Merge'!$F2283/'Mail Merge'!$D2283,0)</f>
        <v>1945.2058536585366</v>
      </c>
      <c r="L2283" s="201">
        <f>IFERROR('Mail Merge'!$G2283/'Mail Merge'!$D2283,0)</f>
        <v>8337.9629268292701</v>
      </c>
      <c r="M2283" s="201"/>
      <c r="N2283" s="201" t="str">
        <f t="shared" si="1"/>
        <v>Met</v>
      </c>
      <c r="O2283" s="201">
        <v>158013</v>
      </c>
      <c r="P2283" s="201">
        <v>3765</v>
      </c>
      <c r="Q2283" s="201">
        <f>'Mail Merge'!$O2283+'Mail Merge'!$P2283</f>
        <v>161778</v>
      </c>
      <c r="R2283" s="201"/>
      <c r="S2283" s="201"/>
      <c r="T2283" s="201"/>
      <c r="U2283" s="201">
        <f>IF(AND('Mail Merge'!$I2283="Did Not Meet",'Mail Merge'!$N2283="Did Not Meet"),MIN(ABS('Mail Merge'!$H2283),ABS('Mail Merge'!$M2283),'Mail Merge'!$Q2283),0)</f>
        <v>0</v>
      </c>
      <c r="V2283" s="201" t="str">
        <f>IF(OR(IFERROR(SEARCH("Met",'Mail Merge'!$N2283),0)&gt;0,IFERROR(SEARCH("Met",'Mail Merge'!$I2283),0)&gt;0),"Met","Not Met")</f>
        <v>Met</v>
      </c>
    </row>
    <row r="2284" spans="1:22" x14ac:dyDescent="0.35">
      <c r="A2284" s="198" t="s">
        <v>137</v>
      </c>
      <c r="B2284" s="199">
        <v>1968</v>
      </c>
      <c r="C2284" s="199" t="s">
        <v>1777</v>
      </c>
      <c r="D2284" s="199">
        <v>69</v>
      </c>
      <c r="E2284" s="199">
        <v>570197.77</v>
      </c>
      <c r="F2284" s="199">
        <v>196917</v>
      </c>
      <c r="G2284" s="199">
        <f>'Mail Merge'!$E2284+'Mail Merge'!$F2284</f>
        <v>767114.77</v>
      </c>
      <c r="H2284" s="199"/>
      <c r="I2284" s="199" t="s">
        <v>2979</v>
      </c>
      <c r="J2284" s="202">
        <f>IFERROR('Mail Merge'!$E2284/'Mail Merge'!$D2284,0)</f>
        <v>8263.7357971014499</v>
      </c>
      <c r="K2284" s="199">
        <f>IFERROR('Mail Merge'!$F2284/'Mail Merge'!$D2284,0)</f>
        <v>2853.8695652173915</v>
      </c>
      <c r="L2284" s="199">
        <f>IFERROR('Mail Merge'!$G2284/'Mail Merge'!$D2284,0)</f>
        <v>11117.60536231884</v>
      </c>
      <c r="M2284" s="199"/>
      <c r="N2284" s="199" t="str">
        <f t="shared" si="1"/>
        <v>Met</v>
      </c>
      <c r="O2284" s="199">
        <v>157799</v>
      </c>
      <c r="P2284" s="199">
        <v>6116</v>
      </c>
      <c r="Q2284" s="199">
        <f>'Mail Merge'!$O2284+'Mail Merge'!$P2284</f>
        <v>163915</v>
      </c>
      <c r="R2284" s="199"/>
      <c r="S2284" s="199"/>
      <c r="T2284" s="199"/>
      <c r="U2284" s="199">
        <f>IF(AND('Mail Merge'!$I2284="Did Not Meet",'Mail Merge'!$N2284="Did Not Meet"),MIN(ABS('Mail Merge'!$H2284),ABS('Mail Merge'!$M2284),'Mail Merge'!$Q2284),0)</f>
        <v>0</v>
      </c>
      <c r="V2284" s="199" t="str">
        <f>IF(OR(IFERROR(SEARCH("Met",'Mail Merge'!$N2284),0)&gt;0,IFERROR(SEARCH("Met",'Mail Merge'!$I2284),0)&gt;0),"Met","Not Met")</f>
        <v>Met</v>
      </c>
    </row>
    <row r="2285" spans="1:22" x14ac:dyDescent="0.35">
      <c r="A2285" s="200" t="s">
        <v>138</v>
      </c>
      <c r="B2285" s="201">
        <v>2198</v>
      </c>
      <c r="C2285" s="201" t="s">
        <v>1777</v>
      </c>
      <c r="D2285" s="201">
        <v>100</v>
      </c>
      <c r="E2285" s="201">
        <v>1789189</v>
      </c>
      <c r="F2285" s="201">
        <v>279020</v>
      </c>
      <c r="G2285" s="201">
        <f>'Mail Merge'!$E2285+'Mail Merge'!$F2285</f>
        <v>2068209</v>
      </c>
      <c r="H2285" s="201"/>
      <c r="I2285" s="201" t="s">
        <v>241</v>
      </c>
      <c r="J2285" s="204">
        <f>IFERROR('Mail Merge'!$E2285/'Mail Merge'!$D2285,0)</f>
        <v>17891.89</v>
      </c>
      <c r="K2285" s="201">
        <f>IFERROR('Mail Merge'!$F2285/'Mail Merge'!$D2285,0)</f>
        <v>2790.2</v>
      </c>
      <c r="L2285" s="201">
        <f>IFERROR('Mail Merge'!$G2285/'Mail Merge'!$D2285,0)</f>
        <v>20682.09</v>
      </c>
      <c r="M2285" s="201"/>
      <c r="N2285" s="201" t="str">
        <f t="shared" si="1"/>
        <v>Met</v>
      </c>
      <c r="O2285" s="201">
        <v>178313</v>
      </c>
      <c r="P2285" s="201">
        <v>6273</v>
      </c>
      <c r="Q2285" s="201">
        <f>'Mail Merge'!$O2285+'Mail Merge'!$P2285</f>
        <v>184586</v>
      </c>
      <c r="R2285" s="201"/>
      <c r="S2285" s="201"/>
      <c r="T2285" s="201"/>
      <c r="U2285" s="201">
        <f>IF(AND('Mail Merge'!$I2285="Did Not Meet",'Mail Merge'!$N2285="Did Not Meet"),MIN(ABS('Mail Merge'!$H2285),ABS('Mail Merge'!$M2285),'Mail Merge'!$Q2285),0)</f>
        <v>0</v>
      </c>
      <c r="V2285" s="201" t="str">
        <f>IF(OR(IFERROR(SEARCH("Met",'Mail Merge'!$N2285),0)&gt;0,IFERROR(SEARCH("Met",'Mail Merge'!$I2285),0)&gt;0),"Met","Not Met")</f>
        <v>Met</v>
      </c>
    </row>
    <row r="2286" spans="1:22" x14ac:dyDescent="0.35">
      <c r="A2286" s="198" t="s">
        <v>139</v>
      </c>
      <c r="B2286" s="199">
        <v>2199</v>
      </c>
      <c r="C2286" s="199" t="s">
        <v>1777</v>
      </c>
      <c r="D2286" s="199">
        <v>70</v>
      </c>
      <c r="E2286" s="199">
        <v>858134.88000000012</v>
      </c>
      <c r="F2286" s="199">
        <v>178051</v>
      </c>
      <c r="G2286" s="199">
        <f>'Mail Merge'!$E2286+'Mail Merge'!$F2286</f>
        <v>1036185.8800000001</v>
      </c>
      <c r="H2286" s="199"/>
      <c r="I2286" s="199" t="s">
        <v>241</v>
      </c>
      <c r="J2286" s="202">
        <f>IFERROR('Mail Merge'!$E2286/'Mail Merge'!$D2286,0)</f>
        <v>12259.069714285715</v>
      </c>
      <c r="K2286" s="199">
        <f>IFERROR('Mail Merge'!$F2286/'Mail Merge'!$D2286,0)</f>
        <v>2543.5857142857144</v>
      </c>
      <c r="L2286" s="199">
        <f>IFERROR('Mail Merge'!$G2286/'Mail Merge'!$D2286,0)</f>
        <v>14802.65542857143</v>
      </c>
      <c r="M2286" s="199"/>
      <c r="N2286" s="199" t="str">
        <f t="shared" si="1"/>
        <v>Met</v>
      </c>
      <c r="O2286" s="199">
        <v>130588</v>
      </c>
      <c r="P2286" s="199">
        <v>4158</v>
      </c>
      <c r="Q2286" s="199">
        <f>'Mail Merge'!$O2286+'Mail Merge'!$P2286</f>
        <v>134746</v>
      </c>
      <c r="R2286" s="199"/>
      <c r="S2286" s="199"/>
      <c r="T2286" s="199"/>
      <c r="U2286" s="199">
        <f>IF(AND('Mail Merge'!$I2286="Did Not Meet",'Mail Merge'!$N2286="Did Not Meet"),MIN(ABS('Mail Merge'!$H2286),ABS('Mail Merge'!$M2286),'Mail Merge'!$Q2286),0)</f>
        <v>0</v>
      </c>
      <c r="V2286" s="199" t="str">
        <f>IF(OR(IFERROR(SEARCH("Met",'Mail Merge'!$N2286),0)&gt;0,IFERROR(SEARCH("Met",'Mail Merge'!$I2286),0)&gt;0),"Met","Not Met")</f>
        <v>Met</v>
      </c>
    </row>
    <row r="2287" spans="1:22" x14ac:dyDescent="0.35">
      <c r="A2287" s="200" t="s">
        <v>140</v>
      </c>
      <c r="B2287" s="201">
        <v>2254</v>
      </c>
      <c r="C2287" s="201" t="s">
        <v>1777</v>
      </c>
      <c r="D2287" s="201">
        <v>649</v>
      </c>
      <c r="E2287" s="201">
        <v>8016907.2999999961</v>
      </c>
      <c r="F2287" s="201">
        <v>0</v>
      </c>
      <c r="G2287" s="201">
        <f>'Mail Merge'!$E2287+'Mail Merge'!$F2287</f>
        <v>8016907.2999999961</v>
      </c>
      <c r="H2287" s="201"/>
      <c r="I2287" s="201" t="s">
        <v>241</v>
      </c>
      <c r="J2287" s="204">
        <f>IFERROR('Mail Merge'!$E2287/'Mail Merge'!$D2287,0)</f>
        <v>12352.707704160241</v>
      </c>
      <c r="K2287" s="201">
        <f>IFERROR('Mail Merge'!$F2287/'Mail Merge'!$D2287,0)</f>
        <v>0</v>
      </c>
      <c r="L2287" s="201">
        <f>IFERROR('Mail Merge'!$G2287/'Mail Merge'!$D2287,0)</f>
        <v>12352.707704160241</v>
      </c>
      <c r="M2287" s="201"/>
      <c r="N2287" s="201" t="str">
        <f t="shared" si="1"/>
        <v>Met</v>
      </c>
      <c r="O2287" s="201">
        <v>1060936</v>
      </c>
      <c r="P2287" s="201">
        <v>24618</v>
      </c>
      <c r="Q2287" s="201">
        <f>'Mail Merge'!$O2287+'Mail Merge'!$P2287</f>
        <v>1085554</v>
      </c>
      <c r="R2287" s="201"/>
      <c r="S2287" s="201"/>
      <c r="T2287" s="201"/>
      <c r="U2287" s="201">
        <f>IF(AND('Mail Merge'!$I2287="Did Not Meet",'Mail Merge'!$N2287="Did Not Meet"),MIN(ABS('Mail Merge'!$H2287),ABS('Mail Merge'!$M2287),'Mail Merge'!$Q2287),0)</f>
        <v>0</v>
      </c>
      <c r="V2287" s="201" t="str">
        <f>IF(OR(IFERROR(SEARCH("Met",'Mail Merge'!$N2287),0)&gt;0,IFERROR(SEARCH("Met",'Mail Merge'!$I2287),0)&gt;0),"Met","Not Met")</f>
        <v>Met</v>
      </c>
    </row>
    <row r="2288" spans="1:22" x14ac:dyDescent="0.35">
      <c r="A2288" s="198" t="s">
        <v>141</v>
      </c>
      <c r="B2288" s="199">
        <v>1966</v>
      </c>
      <c r="C2288" s="199" t="s">
        <v>1777</v>
      </c>
      <c r="D2288" s="199">
        <v>591</v>
      </c>
      <c r="E2288" s="199">
        <v>5179425.1799999988</v>
      </c>
      <c r="F2288" s="199">
        <v>1077933</v>
      </c>
      <c r="G2288" s="199">
        <f>'Mail Merge'!$E2288+'Mail Merge'!$F2288</f>
        <v>6257358.1799999988</v>
      </c>
      <c r="H2288" s="199"/>
      <c r="I2288" s="199" t="s">
        <v>241</v>
      </c>
      <c r="J2288" s="202">
        <f>IFERROR('Mail Merge'!$E2288/'Mail Merge'!$D2288,0)</f>
        <v>8763.8327918781706</v>
      </c>
      <c r="K2288" s="199">
        <f>IFERROR('Mail Merge'!$F2288/'Mail Merge'!$D2288,0)</f>
        <v>1823.9137055837564</v>
      </c>
      <c r="L2288" s="199">
        <f>IFERROR('Mail Merge'!$G2288/'Mail Merge'!$D2288,0)</f>
        <v>10587.746497461927</v>
      </c>
      <c r="M2288" s="199"/>
      <c r="N2288" s="199" t="str">
        <f t="shared" si="1"/>
        <v>Met</v>
      </c>
      <c r="O2288" s="199">
        <v>816435</v>
      </c>
      <c r="P2288" s="199">
        <v>17771</v>
      </c>
      <c r="Q2288" s="199">
        <f>'Mail Merge'!$O2288+'Mail Merge'!$P2288</f>
        <v>834206</v>
      </c>
      <c r="R2288" s="199"/>
      <c r="S2288" s="199"/>
      <c r="T2288" s="199"/>
      <c r="U2288" s="199">
        <f>IF(AND('Mail Merge'!$I2288="Did Not Meet",'Mail Merge'!$N2288="Did Not Meet"),MIN(ABS('Mail Merge'!$H2288),ABS('Mail Merge'!$M2288),'Mail Merge'!$Q2288),0)</f>
        <v>0</v>
      </c>
      <c r="V2288" s="199" t="str">
        <f>IF(OR(IFERROR(SEARCH("Met",'Mail Merge'!$N2288),0)&gt;0,IFERROR(SEARCH("Met",'Mail Merge'!$I2288),0)&gt;0),"Met","Not Met")</f>
        <v>Met</v>
      </c>
    </row>
    <row r="2289" spans="1:22" x14ac:dyDescent="0.35">
      <c r="A2289" s="200" t="s">
        <v>142</v>
      </c>
      <c r="B2289" s="201">
        <v>1924</v>
      </c>
      <c r="C2289" s="201" t="s">
        <v>1777</v>
      </c>
      <c r="D2289" s="201">
        <v>2582</v>
      </c>
      <c r="E2289" s="201">
        <v>32392394.170000013</v>
      </c>
      <c r="F2289" s="201">
        <v>2634358</v>
      </c>
      <c r="G2289" s="201">
        <f>'Mail Merge'!$E2289+'Mail Merge'!$F2289</f>
        <v>35026752.170000017</v>
      </c>
      <c r="H2289" s="201"/>
      <c r="I2289" s="201" t="s">
        <v>241</v>
      </c>
      <c r="J2289" s="204">
        <f>IFERROR('Mail Merge'!$E2289/'Mail Merge'!$D2289,0)</f>
        <v>12545.466371030214</v>
      </c>
      <c r="K2289" s="201">
        <f>IFERROR('Mail Merge'!$F2289/'Mail Merge'!$D2289,0)</f>
        <v>1020.2780790085205</v>
      </c>
      <c r="L2289" s="201">
        <f>IFERROR('Mail Merge'!$G2289/'Mail Merge'!$D2289,0)</f>
        <v>13565.744450038736</v>
      </c>
      <c r="M2289" s="201"/>
      <c r="N2289" s="201" t="str">
        <f t="shared" si="1"/>
        <v>Met</v>
      </c>
      <c r="O2289" s="201">
        <v>3416990</v>
      </c>
      <c r="P2289" s="201">
        <v>73316</v>
      </c>
      <c r="Q2289" s="201">
        <f>'Mail Merge'!$O2289+'Mail Merge'!$P2289</f>
        <v>3490306</v>
      </c>
      <c r="R2289" s="201"/>
      <c r="S2289" s="201"/>
      <c r="T2289" s="201"/>
      <c r="U2289" s="201">
        <f>IF(AND('Mail Merge'!$I2289="Did Not Meet",'Mail Merge'!$N2289="Did Not Meet"),MIN(ABS('Mail Merge'!$H2289),ABS('Mail Merge'!$M2289),'Mail Merge'!$Q2289),0)</f>
        <v>0</v>
      </c>
      <c r="V2289" s="201" t="str">
        <f>IF(OR(IFERROR(SEARCH("Met",'Mail Merge'!$N2289),0)&gt;0,IFERROR(SEARCH("Met",'Mail Merge'!$I2289),0)&gt;0),"Met","Not Met")</f>
        <v>Met</v>
      </c>
    </row>
    <row r="2290" spans="1:22" x14ac:dyDescent="0.35">
      <c r="A2290" s="198" t="s">
        <v>143</v>
      </c>
      <c r="B2290" s="199">
        <v>1996</v>
      </c>
      <c r="C2290" s="199" t="s">
        <v>1777</v>
      </c>
      <c r="D2290" s="199">
        <v>55</v>
      </c>
      <c r="E2290" s="199">
        <v>434423.78</v>
      </c>
      <c r="F2290" s="199">
        <v>74504.209999999992</v>
      </c>
      <c r="G2290" s="199">
        <f>'Mail Merge'!$E2290+'Mail Merge'!$F2290</f>
        <v>508927.99</v>
      </c>
      <c r="H2290" s="199"/>
      <c r="I2290" s="199" t="s">
        <v>241</v>
      </c>
      <c r="J2290" s="202">
        <f>IFERROR('Mail Merge'!$E2290/'Mail Merge'!$D2290,0)</f>
        <v>7898.6141818181823</v>
      </c>
      <c r="K2290" s="199">
        <f>IFERROR('Mail Merge'!$F2290/'Mail Merge'!$D2290,0)</f>
        <v>1354.6219999999998</v>
      </c>
      <c r="L2290" s="199">
        <f>IFERROR('Mail Merge'!$G2290/'Mail Merge'!$D2290,0)</f>
        <v>9253.2361818181816</v>
      </c>
      <c r="M2290" s="199"/>
      <c r="N2290" s="199" t="str">
        <f t="shared" si="1"/>
        <v>Did Not Meet</v>
      </c>
      <c r="O2290" s="199">
        <v>66855</v>
      </c>
      <c r="P2290" s="199">
        <v>1142</v>
      </c>
      <c r="Q2290" s="199">
        <f>'Mail Merge'!$O2290+'Mail Merge'!$P2290</f>
        <v>67997</v>
      </c>
      <c r="R2290" s="199"/>
      <c r="S2290" s="199"/>
      <c r="T2290" s="199"/>
      <c r="U2290" s="199">
        <f>IF(AND('Mail Merge'!$I2290="Did Not Meet",'Mail Merge'!$N2290="Did Not Meet"),MIN(ABS('Mail Merge'!$H2290),ABS('Mail Merge'!$M2290),'Mail Merge'!$Q2290),0)</f>
        <v>0</v>
      </c>
      <c r="V2290" s="199" t="str">
        <f>IF(OR(IFERROR(SEARCH("Met",'Mail Merge'!$N2290),0)&gt;0,IFERROR(SEARCH("Met",'Mail Merge'!$I2290),0)&gt;0),"Met","Not Met")</f>
        <v>Met</v>
      </c>
    </row>
    <row r="2291" spans="1:22" x14ac:dyDescent="0.35">
      <c r="A2291" s="200" t="s">
        <v>144</v>
      </c>
      <c r="B2291" s="201">
        <v>2061</v>
      </c>
      <c r="C2291" s="201" t="s">
        <v>1777</v>
      </c>
      <c r="D2291" s="201">
        <v>64</v>
      </c>
      <c r="E2291" s="201">
        <v>341622.70999999996</v>
      </c>
      <c r="F2291" s="201">
        <v>230618.86</v>
      </c>
      <c r="G2291" s="201">
        <f>'Mail Merge'!$E2291+'Mail Merge'!$F2291</f>
        <v>572241.56999999995</v>
      </c>
      <c r="H2291" s="201"/>
      <c r="I2291" s="201" t="s">
        <v>241</v>
      </c>
      <c r="J2291" s="204">
        <f>IFERROR('Mail Merge'!$E2291/'Mail Merge'!$D2291,0)</f>
        <v>5337.8548437499994</v>
      </c>
      <c r="K2291" s="201">
        <f>IFERROR('Mail Merge'!$F2291/'Mail Merge'!$D2291,0)</f>
        <v>3603.4196874999998</v>
      </c>
      <c r="L2291" s="201">
        <f>IFERROR('Mail Merge'!$G2291/'Mail Merge'!$D2291,0)</f>
        <v>8941.2745312499992</v>
      </c>
      <c r="M2291" s="201"/>
      <c r="N2291" s="201" t="str">
        <f t="shared" si="1"/>
        <v>Met</v>
      </c>
      <c r="O2291" s="201">
        <v>57328</v>
      </c>
      <c r="P2291" s="201">
        <v>2567</v>
      </c>
      <c r="Q2291" s="201">
        <f>'Mail Merge'!$O2291+'Mail Merge'!$P2291</f>
        <v>59895</v>
      </c>
      <c r="R2291" s="201"/>
      <c r="S2291" s="201"/>
      <c r="T2291" s="201"/>
      <c r="U2291" s="201">
        <f>IF(AND('Mail Merge'!$I2291="Did Not Meet",'Mail Merge'!$N2291="Did Not Meet"),MIN(ABS('Mail Merge'!$H2291),ABS('Mail Merge'!$M2291),'Mail Merge'!$Q2291),0)</f>
        <v>0</v>
      </c>
      <c r="V2291" s="201" t="str">
        <f>IF(OR(IFERROR(SEARCH("Met",'Mail Merge'!$N2291),0)&gt;0,IFERROR(SEARCH("Met",'Mail Merge'!$I2291),0)&gt;0),"Met","Not Met")</f>
        <v>Met</v>
      </c>
    </row>
    <row r="2292" spans="1:22" x14ac:dyDescent="0.35">
      <c r="A2292" s="198" t="s">
        <v>145</v>
      </c>
      <c r="B2292" s="199">
        <v>2141</v>
      </c>
      <c r="C2292" s="199" t="s">
        <v>1777</v>
      </c>
      <c r="D2292" s="199">
        <v>304</v>
      </c>
      <c r="E2292" s="199">
        <v>2823001.7800000003</v>
      </c>
      <c r="F2292" s="199">
        <v>564413.5</v>
      </c>
      <c r="G2292" s="199">
        <f>'Mail Merge'!$E2292+'Mail Merge'!$F2292</f>
        <v>3387415.2800000003</v>
      </c>
      <c r="H2292" s="199"/>
      <c r="I2292" s="199" t="s">
        <v>241</v>
      </c>
      <c r="J2292" s="202">
        <f>IFERROR('Mail Merge'!$E2292/'Mail Merge'!$D2292,0)</f>
        <v>9286.1900657894748</v>
      </c>
      <c r="K2292" s="199">
        <f>IFERROR('Mail Merge'!$F2292/'Mail Merge'!$D2292,0)</f>
        <v>1856.6233552631579</v>
      </c>
      <c r="L2292" s="199">
        <f>IFERROR('Mail Merge'!$G2292/'Mail Merge'!$D2292,0)</f>
        <v>11142.813421052633</v>
      </c>
      <c r="M2292" s="199"/>
      <c r="N2292" s="199" t="str">
        <f t="shared" si="1"/>
        <v>Did Not Meet</v>
      </c>
      <c r="O2292" s="199">
        <v>359130</v>
      </c>
      <c r="P2292" s="199">
        <v>8746</v>
      </c>
      <c r="Q2292" s="199">
        <f>'Mail Merge'!$O2292+'Mail Merge'!$P2292</f>
        <v>367876</v>
      </c>
      <c r="R2292" s="199"/>
      <c r="S2292" s="199"/>
      <c r="T2292" s="199"/>
      <c r="U2292" s="199">
        <f>IF(AND('Mail Merge'!$I2292="Did Not Meet",'Mail Merge'!$N2292="Did Not Meet"),MIN(ABS('Mail Merge'!$H2292),ABS('Mail Merge'!$M2292),'Mail Merge'!$Q2292),0)</f>
        <v>0</v>
      </c>
      <c r="V2292" s="199" t="str">
        <f>IF(OR(IFERROR(SEARCH("Met",'Mail Merge'!$N2292),0)&gt;0,IFERROR(SEARCH("Met",'Mail Merge'!$I2292),0)&gt;0),"Met","Not Met")</f>
        <v>Met</v>
      </c>
    </row>
    <row r="2293" spans="1:22" x14ac:dyDescent="0.35">
      <c r="A2293" s="200" t="s">
        <v>146</v>
      </c>
      <c r="B2293" s="201">
        <v>2214</v>
      </c>
      <c r="C2293" s="201" t="s">
        <v>1777</v>
      </c>
      <c r="D2293" s="201">
        <v>36</v>
      </c>
      <c r="E2293" s="201">
        <v>284705.89</v>
      </c>
      <c r="F2293" s="201">
        <v>78969.58</v>
      </c>
      <c r="G2293" s="201">
        <f>'Mail Merge'!$E2293+'Mail Merge'!$F2293</f>
        <v>363675.47000000003</v>
      </c>
      <c r="H2293" s="201"/>
      <c r="I2293" s="201" t="s">
        <v>241</v>
      </c>
      <c r="J2293" s="204">
        <f>IFERROR('Mail Merge'!$E2293/'Mail Merge'!$D2293,0)</f>
        <v>7908.496944444445</v>
      </c>
      <c r="K2293" s="201">
        <f>IFERROR('Mail Merge'!$F2293/'Mail Merge'!$D2293,0)</f>
        <v>2193.5994444444445</v>
      </c>
      <c r="L2293" s="201">
        <f>IFERROR('Mail Merge'!$G2293/'Mail Merge'!$D2293,0)</f>
        <v>10102.096388888889</v>
      </c>
      <c r="M2293" s="201"/>
      <c r="N2293" s="201" t="str">
        <f t="shared" si="1"/>
        <v>Met</v>
      </c>
      <c r="O2293" s="201">
        <v>63470</v>
      </c>
      <c r="P2293" s="201">
        <v>645</v>
      </c>
      <c r="Q2293" s="201">
        <f>'Mail Merge'!$O2293+'Mail Merge'!$P2293</f>
        <v>64115</v>
      </c>
      <c r="R2293" s="201"/>
      <c r="S2293" s="201"/>
      <c r="T2293" s="201"/>
      <c r="U2293" s="201">
        <f>IF(AND('Mail Merge'!$I2293="Did Not Meet",'Mail Merge'!$N2293="Did Not Meet"),MIN(ABS('Mail Merge'!$H2293),ABS('Mail Merge'!$M2293),'Mail Merge'!$Q2293),0)</f>
        <v>0</v>
      </c>
      <c r="V2293" s="201" t="str">
        <f>IF(OR(IFERROR(SEARCH("Met",'Mail Merge'!$N2293),0)&gt;0,IFERROR(SEARCH("Met",'Mail Merge'!$I2293),0)&gt;0),"Met","Not Met")</f>
        <v>Met</v>
      </c>
    </row>
    <row r="2294" spans="1:22" x14ac:dyDescent="0.35">
      <c r="A2294" s="198" t="s">
        <v>147</v>
      </c>
      <c r="B2294" s="199">
        <v>2143</v>
      </c>
      <c r="C2294" s="199" t="s">
        <v>1777</v>
      </c>
      <c r="D2294" s="199">
        <v>330</v>
      </c>
      <c r="E2294" s="199">
        <v>2922543.9499999997</v>
      </c>
      <c r="F2294" s="199">
        <v>188290.30000000002</v>
      </c>
      <c r="G2294" s="199">
        <f>'Mail Merge'!$E2294+'Mail Merge'!$F2294</f>
        <v>3110834.2499999995</v>
      </c>
      <c r="H2294" s="199"/>
      <c r="I2294" s="199" t="s">
        <v>2979</v>
      </c>
      <c r="J2294" s="202">
        <f>IFERROR('Mail Merge'!$E2294/'Mail Merge'!$D2294,0)</f>
        <v>8856.1937878787867</v>
      </c>
      <c r="K2294" s="199">
        <f>IFERROR('Mail Merge'!$F2294/'Mail Merge'!$D2294,0)</f>
        <v>570.57666666666671</v>
      </c>
      <c r="L2294" s="199">
        <f>IFERROR('Mail Merge'!$G2294/'Mail Merge'!$D2294,0)</f>
        <v>9426.7704545454526</v>
      </c>
      <c r="M2294" s="199"/>
      <c r="N2294" s="199" t="str">
        <f t="shared" si="1"/>
        <v>Met</v>
      </c>
      <c r="O2294" s="199">
        <v>582225</v>
      </c>
      <c r="P2294" s="199">
        <v>8767</v>
      </c>
      <c r="Q2294" s="199">
        <f>'Mail Merge'!$O2294+'Mail Merge'!$P2294</f>
        <v>590992</v>
      </c>
      <c r="R2294" s="199"/>
      <c r="S2294" s="199"/>
      <c r="T2294" s="199"/>
      <c r="U2294" s="199">
        <f>IF(AND('Mail Merge'!$I2294="Did Not Meet",'Mail Merge'!$N2294="Did Not Meet"),MIN(ABS('Mail Merge'!$H2294),ABS('Mail Merge'!$M2294),'Mail Merge'!$Q2294),0)</f>
        <v>0</v>
      </c>
      <c r="V2294" s="199" t="str">
        <f>IF(OR(IFERROR(SEARCH("Met",'Mail Merge'!$N2294),0)&gt;0,IFERROR(SEARCH("Met",'Mail Merge'!$I2294),0)&gt;0),"Met","Not Met")</f>
        <v>Met</v>
      </c>
    </row>
    <row r="2295" spans="1:22" x14ac:dyDescent="0.35">
      <c r="A2295" s="200" t="s">
        <v>148</v>
      </c>
      <c r="B2295" s="201">
        <v>4131</v>
      </c>
      <c r="C2295" s="201" t="s">
        <v>1777</v>
      </c>
      <c r="D2295" s="201">
        <v>420</v>
      </c>
      <c r="E2295" s="201">
        <v>4739845.6999999993</v>
      </c>
      <c r="F2295" s="201">
        <v>0</v>
      </c>
      <c r="G2295" s="201">
        <f>'Mail Merge'!$E2295+'Mail Merge'!$F2295</f>
        <v>4739845.6999999993</v>
      </c>
      <c r="H2295" s="201"/>
      <c r="I2295" s="201" t="s">
        <v>241</v>
      </c>
      <c r="J2295" s="204">
        <f>IFERROR('Mail Merge'!$E2295/'Mail Merge'!$D2295,0)</f>
        <v>11285.346904761904</v>
      </c>
      <c r="K2295" s="201">
        <f>IFERROR('Mail Merge'!$F2295/'Mail Merge'!$D2295,0)</f>
        <v>0</v>
      </c>
      <c r="L2295" s="201">
        <f>IFERROR('Mail Merge'!$G2295/'Mail Merge'!$D2295,0)</f>
        <v>11285.346904761904</v>
      </c>
      <c r="M2295" s="201"/>
      <c r="N2295" s="201" t="str">
        <f t="shared" si="1"/>
        <v>Met</v>
      </c>
      <c r="O2295" s="201">
        <v>720230</v>
      </c>
      <c r="P2295" s="201">
        <v>27030</v>
      </c>
      <c r="Q2295" s="201">
        <f>'Mail Merge'!$O2295+'Mail Merge'!$P2295</f>
        <v>747260</v>
      </c>
      <c r="R2295" s="201"/>
      <c r="S2295" s="201"/>
      <c r="T2295" s="201"/>
      <c r="U2295" s="201">
        <f>IF(AND('Mail Merge'!$I2295="Did Not Meet",'Mail Merge'!$N2295="Did Not Meet"),MIN(ABS('Mail Merge'!$H2295),ABS('Mail Merge'!$M2295),'Mail Merge'!$Q2295),0)</f>
        <v>0</v>
      </c>
      <c r="V2295" s="201" t="str">
        <f>IF(OR(IFERROR(SEARCH("Met",'Mail Merge'!$N2295),0)&gt;0,IFERROR(SEARCH("Met",'Mail Merge'!$I2295),0)&gt;0),"Met","Not Met")</f>
        <v>Met</v>
      </c>
    </row>
    <row r="2296" spans="1:22" x14ac:dyDescent="0.35">
      <c r="A2296" s="198" t="s">
        <v>149</v>
      </c>
      <c r="B2296" s="199">
        <v>2110</v>
      </c>
      <c r="C2296" s="199" t="s">
        <v>1777</v>
      </c>
      <c r="D2296" s="199">
        <v>148</v>
      </c>
      <c r="E2296" s="199">
        <v>1019557.23</v>
      </c>
      <c r="F2296" s="199">
        <v>452780.38</v>
      </c>
      <c r="G2296" s="199">
        <f>'Mail Merge'!$E2296+'Mail Merge'!$F2296</f>
        <v>1472337.6099999999</v>
      </c>
      <c r="H2296" s="199"/>
      <c r="I2296" s="199" t="s">
        <v>241</v>
      </c>
      <c r="J2296" s="202">
        <f>IFERROR('Mail Merge'!$E2296/'Mail Merge'!$D2296,0)</f>
        <v>6888.9002027027027</v>
      </c>
      <c r="K2296" s="199">
        <f>IFERROR('Mail Merge'!$F2296/'Mail Merge'!$D2296,0)</f>
        <v>3059.326891891892</v>
      </c>
      <c r="L2296" s="199">
        <f>IFERROR('Mail Merge'!$G2296/'Mail Merge'!$D2296,0)</f>
        <v>9948.2270945945929</v>
      </c>
      <c r="M2296" s="199"/>
      <c r="N2296" s="199" t="str">
        <f t="shared" si="1"/>
        <v>Met</v>
      </c>
      <c r="O2296" s="199">
        <v>286104</v>
      </c>
      <c r="P2296" s="199">
        <v>5106</v>
      </c>
      <c r="Q2296" s="199">
        <f>'Mail Merge'!$O2296+'Mail Merge'!$P2296</f>
        <v>291210</v>
      </c>
      <c r="R2296" s="199"/>
      <c r="S2296" s="199"/>
      <c r="T2296" s="199"/>
      <c r="U2296" s="199">
        <f>IF(AND('Mail Merge'!$I2296="Did Not Meet",'Mail Merge'!$N2296="Did Not Meet"),MIN(ABS('Mail Merge'!$H2296),ABS('Mail Merge'!$M2296),'Mail Merge'!$Q2296),0)</f>
        <v>0</v>
      </c>
      <c r="V2296" s="199" t="str">
        <f>IF(OR(IFERROR(SEARCH("Met",'Mail Merge'!$N2296),0)&gt;0,IFERROR(SEARCH("Met",'Mail Merge'!$I2296),0)&gt;0),"Met","Not Met")</f>
        <v>Met</v>
      </c>
    </row>
    <row r="2297" spans="1:22" x14ac:dyDescent="0.35">
      <c r="A2297" s="200" t="s">
        <v>150</v>
      </c>
      <c r="B2297" s="201">
        <v>1990</v>
      </c>
      <c r="C2297" s="201" t="s">
        <v>1777</v>
      </c>
      <c r="D2297" s="201">
        <v>94</v>
      </c>
      <c r="E2297" s="201">
        <v>460300.24000000005</v>
      </c>
      <c r="F2297" s="201">
        <v>113363.98</v>
      </c>
      <c r="G2297" s="201">
        <f>'Mail Merge'!$E2297+'Mail Merge'!$F2297</f>
        <v>573664.22000000009</v>
      </c>
      <c r="H2297" s="201"/>
      <c r="I2297" s="201" t="s">
        <v>241</v>
      </c>
      <c r="J2297" s="204">
        <f>IFERROR('Mail Merge'!$E2297/'Mail Merge'!$D2297,0)</f>
        <v>4896.8110638297876</v>
      </c>
      <c r="K2297" s="201">
        <f>IFERROR('Mail Merge'!$F2297/'Mail Merge'!$D2297,0)</f>
        <v>1205.9997872340425</v>
      </c>
      <c r="L2297" s="201">
        <f>IFERROR('Mail Merge'!$G2297/'Mail Merge'!$D2297,0)</f>
        <v>6102.8108510638303</v>
      </c>
      <c r="M2297" s="201"/>
      <c r="N2297" s="201" t="str">
        <f t="shared" si="1"/>
        <v>Did Not Meet</v>
      </c>
      <c r="O2297" s="201">
        <v>134403</v>
      </c>
      <c r="P2297" s="201">
        <v>4722</v>
      </c>
      <c r="Q2297" s="201">
        <f>'Mail Merge'!$O2297+'Mail Merge'!$P2297</f>
        <v>139125</v>
      </c>
      <c r="R2297" s="201"/>
      <c r="S2297" s="201"/>
      <c r="T2297" s="201"/>
      <c r="U2297" s="201">
        <f>IF(AND('Mail Merge'!$I2297="Did Not Meet",'Mail Merge'!$N2297="Did Not Meet"),MIN(ABS('Mail Merge'!$H2297),ABS('Mail Merge'!$M2297),'Mail Merge'!$Q2297),0)</f>
        <v>0</v>
      </c>
      <c r="V2297" s="201" t="str">
        <f>IF(OR(IFERROR(SEARCH("Met",'Mail Merge'!$N2297),0)&gt;0,IFERROR(SEARCH("Met",'Mail Merge'!$I2297),0)&gt;0),"Met","Not Met")</f>
        <v>Met</v>
      </c>
    </row>
    <row r="2298" spans="1:22" x14ac:dyDescent="0.35">
      <c r="A2298" s="198" t="s">
        <v>151</v>
      </c>
      <c r="B2298" s="199">
        <v>2093</v>
      </c>
      <c r="C2298" s="199" t="s">
        <v>1777</v>
      </c>
      <c r="D2298" s="199">
        <v>93</v>
      </c>
      <c r="E2298" s="199">
        <v>367122.00000000017</v>
      </c>
      <c r="F2298" s="199">
        <v>253908</v>
      </c>
      <c r="G2298" s="199">
        <f>'Mail Merge'!$E2298+'Mail Merge'!$F2298</f>
        <v>621030.00000000023</v>
      </c>
      <c r="H2298" s="199"/>
      <c r="I2298" s="199" t="s">
        <v>241</v>
      </c>
      <c r="J2298" s="202">
        <f>IFERROR('Mail Merge'!$E2298/'Mail Merge'!$D2298,0)</f>
        <v>3947.548387096776</v>
      </c>
      <c r="K2298" s="199">
        <f>IFERROR('Mail Merge'!$F2298/'Mail Merge'!$D2298,0)</f>
        <v>2730.1935483870966</v>
      </c>
      <c r="L2298" s="199">
        <f>IFERROR('Mail Merge'!$G2298/'Mail Merge'!$D2298,0)</f>
        <v>6677.741935483873</v>
      </c>
      <c r="M2298" s="199"/>
      <c r="N2298" s="199" t="str">
        <f t="shared" ref="N2298:N2361" si="2">IF(L2298&gt;=L2101,"Met","Did Not Meet")</f>
        <v>Met</v>
      </c>
      <c r="O2298" s="199">
        <v>185619</v>
      </c>
      <c r="P2298" s="199">
        <v>10575</v>
      </c>
      <c r="Q2298" s="199">
        <f>'Mail Merge'!$O2298+'Mail Merge'!$P2298</f>
        <v>196194</v>
      </c>
      <c r="R2298" s="199"/>
      <c r="S2298" s="199"/>
      <c r="T2298" s="199"/>
      <c r="U2298" s="199">
        <f>IF(AND('Mail Merge'!$I2298="Did Not Meet",'Mail Merge'!$N2298="Did Not Meet"),MIN(ABS('Mail Merge'!$H2298),ABS('Mail Merge'!$M2298),'Mail Merge'!$Q2298),0)</f>
        <v>0</v>
      </c>
      <c r="V2298" s="199" t="str">
        <f>IF(OR(IFERROR(SEARCH("Met",'Mail Merge'!$N2298),0)&gt;0,IFERROR(SEARCH("Met",'Mail Merge'!$I2298),0)&gt;0),"Met","Not Met")</f>
        <v>Met</v>
      </c>
    </row>
    <row r="2299" spans="1:22" x14ac:dyDescent="0.35">
      <c r="A2299" s="200" t="s">
        <v>152</v>
      </c>
      <c r="B2299" s="201">
        <v>2108</v>
      </c>
      <c r="C2299" s="201" t="s">
        <v>1777</v>
      </c>
      <c r="D2299" s="201">
        <v>317</v>
      </c>
      <c r="E2299" s="201">
        <v>3702780.0799999996</v>
      </c>
      <c r="F2299" s="201">
        <v>70061.919999999998</v>
      </c>
      <c r="G2299" s="201">
        <f>'Mail Merge'!$E2299+'Mail Merge'!$F2299</f>
        <v>3772841.9999999995</v>
      </c>
      <c r="H2299" s="201"/>
      <c r="I2299" s="201" t="s">
        <v>2979</v>
      </c>
      <c r="J2299" s="204">
        <f>IFERROR('Mail Merge'!$E2299/'Mail Merge'!$D2299,0)</f>
        <v>11680.694258675077</v>
      </c>
      <c r="K2299" s="201">
        <f>IFERROR('Mail Merge'!$F2299/'Mail Merge'!$D2299,0)</f>
        <v>221.01552050473185</v>
      </c>
      <c r="L2299" s="201">
        <f>IFERROR('Mail Merge'!$G2299/'Mail Merge'!$D2299,0)</f>
        <v>11901.70977917981</v>
      </c>
      <c r="M2299" s="201"/>
      <c r="N2299" s="201" t="str">
        <f t="shared" si="2"/>
        <v>Met</v>
      </c>
      <c r="O2299" s="201">
        <v>625820</v>
      </c>
      <c r="P2299" s="201">
        <v>15065</v>
      </c>
      <c r="Q2299" s="201">
        <f>'Mail Merge'!$O2299+'Mail Merge'!$P2299</f>
        <v>640885</v>
      </c>
      <c r="R2299" s="201"/>
      <c r="S2299" s="201"/>
      <c r="T2299" s="201"/>
      <c r="U2299" s="201">
        <f>IF(AND('Mail Merge'!$I2299="Did Not Meet",'Mail Merge'!$N2299="Did Not Meet"),MIN(ABS('Mail Merge'!$H2299),ABS('Mail Merge'!$M2299),'Mail Merge'!$Q2299),0)</f>
        <v>0</v>
      </c>
      <c r="V2299" s="201" t="str">
        <f>IF(OR(IFERROR(SEARCH("Met",'Mail Merge'!$N2299),0)&gt;0,IFERROR(SEARCH("Met",'Mail Merge'!$I2299),0)&gt;0),"Met","Not Met")</f>
        <v>Met</v>
      </c>
    </row>
    <row r="2300" spans="1:22" x14ac:dyDescent="0.35">
      <c r="A2300" s="198" t="s">
        <v>153</v>
      </c>
      <c r="B2300" s="199">
        <v>1928</v>
      </c>
      <c r="C2300" s="199" t="s">
        <v>1777</v>
      </c>
      <c r="D2300" s="199">
        <v>1094</v>
      </c>
      <c r="E2300" s="199">
        <v>15751445.369999997</v>
      </c>
      <c r="F2300" s="199">
        <v>1425395</v>
      </c>
      <c r="G2300" s="199">
        <f>'Mail Merge'!$E2300+'Mail Merge'!$F2300</f>
        <v>17176840.369999997</v>
      </c>
      <c r="H2300" s="199"/>
      <c r="I2300" s="199" t="s">
        <v>241</v>
      </c>
      <c r="J2300" s="202">
        <f>IFERROR('Mail Merge'!$E2300/'Mail Merge'!$D2300,0)</f>
        <v>14398.030502742227</v>
      </c>
      <c r="K2300" s="199">
        <f>IFERROR('Mail Merge'!$F2300/'Mail Merge'!$D2300,0)</f>
        <v>1302.9204753199269</v>
      </c>
      <c r="L2300" s="199">
        <f>IFERROR('Mail Merge'!$G2300/'Mail Merge'!$D2300,0)</f>
        <v>15700.950978062156</v>
      </c>
      <c r="M2300" s="199"/>
      <c r="N2300" s="199" t="str">
        <f t="shared" si="2"/>
        <v>Met</v>
      </c>
      <c r="O2300" s="199">
        <v>1701410</v>
      </c>
      <c r="P2300" s="199">
        <v>45146</v>
      </c>
      <c r="Q2300" s="199">
        <f>'Mail Merge'!$O2300+'Mail Merge'!$P2300</f>
        <v>1746556</v>
      </c>
      <c r="R2300" s="199"/>
      <c r="S2300" s="199"/>
      <c r="T2300" s="199"/>
      <c r="U2300" s="199">
        <f>IF(AND('Mail Merge'!$I2300="Did Not Meet",'Mail Merge'!$N2300="Did Not Meet"),MIN(ABS('Mail Merge'!$H2300),ABS('Mail Merge'!$M2300),'Mail Merge'!$Q2300),0)</f>
        <v>0</v>
      </c>
      <c r="V2300" s="199" t="str">
        <f>IF(OR(IFERROR(SEARCH("Met",'Mail Merge'!$N2300),0)&gt;0,IFERROR(SEARCH("Met",'Mail Merge'!$I2300),0)&gt;0),"Met","Not Met")</f>
        <v>Met</v>
      </c>
    </row>
    <row r="2301" spans="1:22" x14ac:dyDescent="0.35">
      <c r="A2301" s="200" t="s">
        <v>154</v>
      </c>
      <c r="B2301" s="201">
        <v>1926</v>
      </c>
      <c r="C2301" s="201" t="s">
        <v>1777</v>
      </c>
      <c r="D2301" s="201">
        <v>567</v>
      </c>
      <c r="E2301" s="201">
        <v>7579961.7400000012</v>
      </c>
      <c r="F2301" s="201">
        <v>922577</v>
      </c>
      <c r="G2301" s="201">
        <f>'Mail Merge'!$E2301+'Mail Merge'!$F2301</f>
        <v>8502538.7400000021</v>
      </c>
      <c r="H2301" s="201"/>
      <c r="I2301" s="201" t="s">
        <v>241</v>
      </c>
      <c r="J2301" s="204">
        <f>IFERROR('Mail Merge'!$E2301/'Mail Merge'!$D2301,0)</f>
        <v>13368.539223985892</v>
      </c>
      <c r="K2301" s="201">
        <f>IFERROR('Mail Merge'!$F2301/'Mail Merge'!$D2301,0)</f>
        <v>1627.1199294532628</v>
      </c>
      <c r="L2301" s="201">
        <f>IFERROR('Mail Merge'!$G2301/'Mail Merge'!$D2301,0)</f>
        <v>14995.659153439157</v>
      </c>
      <c r="M2301" s="201"/>
      <c r="N2301" s="201" t="str">
        <f t="shared" si="2"/>
        <v>Met</v>
      </c>
      <c r="O2301" s="201">
        <v>900863</v>
      </c>
      <c r="P2301" s="201">
        <v>23738</v>
      </c>
      <c r="Q2301" s="201">
        <f>'Mail Merge'!$O2301+'Mail Merge'!$P2301</f>
        <v>924601</v>
      </c>
      <c r="R2301" s="201"/>
      <c r="S2301" s="201"/>
      <c r="T2301" s="201"/>
      <c r="U2301" s="201">
        <f>IF(AND('Mail Merge'!$I2301="Did Not Meet",'Mail Merge'!$N2301="Did Not Meet"),MIN(ABS('Mail Merge'!$H2301),ABS('Mail Merge'!$M2301),'Mail Merge'!$Q2301),0)</f>
        <v>0</v>
      </c>
      <c r="V2301" s="201" t="str">
        <f>IF(OR(IFERROR(SEARCH("Met",'Mail Merge'!$N2301),0)&gt;0,IFERROR(SEARCH("Met",'Mail Merge'!$I2301),0)&gt;0),"Met","Not Met")</f>
        <v>Met</v>
      </c>
    </row>
    <row r="2302" spans="1:22" x14ac:dyDescent="0.35">
      <c r="A2302" s="198" t="s">
        <v>155</v>
      </c>
      <c r="B2302" s="199">
        <v>2060</v>
      </c>
      <c r="C2302" s="199" t="s">
        <v>1777</v>
      </c>
      <c r="D2302" s="199">
        <v>35</v>
      </c>
      <c r="E2302" s="199">
        <v>246418.9</v>
      </c>
      <c r="F2302" s="199">
        <v>56750.6</v>
      </c>
      <c r="G2302" s="199">
        <f>'Mail Merge'!$E2302+'Mail Merge'!$F2302</f>
        <v>303169.5</v>
      </c>
      <c r="H2302" s="199"/>
      <c r="I2302" s="199" t="s">
        <v>241</v>
      </c>
      <c r="J2302" s="202">
        <f>IFERROR('Mail Merge'!$E2302/'Mail Merge'!$D2302,0)</f>
        <v>7040.54</v>
      </c>
      <c r="K2302" s="199">
        <f>IFERROR('Mail Merge'!$F2302/'Mail Merge'!$D2302,0)</f>
        <v>1621.4457142857143</v>
      </c>
      <c r="L2302" s="199">
        <f>IFERROR('Mail Merge'!$G2302/'Mail Merge'!$D2302,0)</f>
        <v>8661.9857142857145</v>
      </c>
      <c r="M2302" s="199"/>
      <c r="N2302" s="199" t="str">
        <f t="shared" si="2"/>
        <v>Did Not Meet</v>
      </c>
      <c r="O2302" s="199">
        <v>36732</v>
      </c>
      <c r="P2302" s="199">
        <v>589</v>
      </c>
      <c r="Q2302" s="199">
        <f>'Mail Merge'!$O2302+'Mail Merge'!$P2302</f>
        <v>37321</v>
      </c>
      <c r="R2302" s="199"/>
      <c r="S2302" s="199"/>
      <c r="T2302" s="199"/>
      <c r="U2302" s="199">
        <f>IF(AND('Mail Merge'!$I2302="Did Not Meet",'Mail Merge'!$N2302="Did Not Meet"),MIN(ABS('Mail Merge'!$H2302),ABS('Mail Merge'!$M2302),'Mail Merge'!$Q2302),0)</f>
        <v>0</v>
      </c>
      <c r="V2302" s="199" t="str">
        <f>IF(OR(IFERROR(SEARCH("Met",'Mail Merge'!$N2302),0)&gt;0,IFERROR(SEARCH("Met",'Mail Merge'!$I2302),0)&gt;0),"Met","Not Met")</f>
        <v>Met</v>
      </c>
    </row>
    <row r="2303" spans="1:22" x14ac:dyDescent="0.35">
      <c r="A2303" s="200" t="s">
        <v>156</v>
      </c>
      <c r="B2303" s="201">
        <v>2181</v>
      </c>
      <c r="C2303" s="201" t="s">
        <v>1777</v>
      </c>
      <c r="D2303" s="201">
        <v>432</v>
      </c>
      <c r="E2303" s="201">
        <v>6200352.71</v>
      </c>
      <c r="F2303" s="201">
        <v>811033.98</v>
      </c>
      <c r="G2303" s="201">
        <f>'Mail Merge'!$E2303+'Mail Merge'!$F2303</f>
        <v>7011386.6899999995</v>
      </c>
      <c r="H2303" s="201"/>
      <c r="I2303" s="201" t="s">
        <v>241</v>
      </c>
      <c r="J2303" s="204">
        <f>IFERROR('Mail Merge'!$E2303/'Mail Merge'!$D2303,0)</f>
        <v>14352.668310185185</v>
      </c>
      <c r="K2303" s="201">
        <f>IFERROR('Mail Merge'!$F2303/'Mail Merge'!$D2303,0)</f>
        <v>1877.3934722222223</v>
      </c>
      <c r="L2303" s="201">
        <f>IFERROR('Mail Merge'!$G2303/'Mail Merge'!$D2303,0)</f>
        <v>16230.061782407407</v>
      </c>
      <c r="M2303" s="201"/>
      <c r="N2303" s="201" t="str">
        <f t="shared" si="2"/>
        <v>Met</v>
      </c>
      <c r="O2303" s="201">
        <v>732467</v>
      </c>
      <c r="P2303" s="201">
        <v>15571</v>
      </c>
      <c r="Q2303" s="201">
        <f>'Mail Merge'!$O2303+'Mail Merge'!$P2303</f>
        <v>748038</v>
      </c>
      <c r="R2303" s="201"/>
      <c r="S2303" s="201"/>
      <c r="T2303" s="201"/>
      <c r="U2303" s="201">
        <f>IF(AND('Mail Merge'!$I2303="Did Not Meet",'Mail Merge'!$N2303="Did Not Meet"),MIN(ABS('Mail Merge'!$H2303),ABS('Mail Merge'!$M2303),'Mail Merge'!$Q2303),0)</f>
        <v>0</v>
      </c>
      <c r="V2303" s="201" t="str">
        <f>IF(OR(IFERROR(SEARCH("Met",'Mail Merge'!$N2303),0)&gt;0,IFERROR(SEARCH("Met",'Mail Merge'!$I2303),0)&gt;0),"Met","Not Met")</f>
        <v>Met</v>
      </c>
    </row>
    <row r="2304" spans="1:22" x14ac:dyDescent="0.35">
      <c r="A2304" s="198" t="s">
        <v>157</v>
      </c>
      <c r="B2304" s="199">
        <v>2207</v>
      </c>
      <c r="C2304" s="199" t="s">
        <v>1777</v>
      </c>
      <c r="D2304" s="199">
        <v>467</v>
      </c>
      <c r="E2304" s="199">
        <v>5449765.7700000005</v>
      </c>
      <c r="F2304" s="199">
        <v>906538.49</v>
      </c>
      <c r="G2304" s="199">
        <f>'Mail Merge'!$E2304+'Mail Merge'!$F2304</f>
        <v>6356304.2600000007</v>
      </c>
      <c r="H2304" s="199"/>
      <c r="I2304" s="199" t="s">
        <v>241</v>
      </c>
      <c r="J2304" s="202">
        <f>IFERROR('Mail Merge'!$E2304/'Mail Merge'!$D2304,0)</f>
        <v>11669.73398286938</v>
      </c>
      <c r="K2304" s="199">
        <f>IFERROR('Mail Merge'!$F2304/'Mail Merge'!$D2304,0)</f>
        <v>1941.1959100642398</v>
      </c>
      <c r="L2304" s="199">
        <f>IFERROR('Mail Merge'!$G2304/'Mail Merge'!$D2304,0)</f>
        <v>13610.92989293362</v>
      </c>
      <c r="M2304" s="199"/>
      <c r="N2304" s="199" t="str">
        <f t="shared" si="2"/>
        <v>Met</v>
      </c>
      <c r="O2304" s="199">
        <v>753022</v>
      </c>
      <c r="P2304" s="199">
        <v>23618</v>
      </c>
      <c r="Q2304" s="199">
        <f>'Mail Merge'!$O2304+'Mail Merge'!$P2304</f>
        <v>776640</v>
      </c>
      <c r="R2304" s="199"/>
      <c r="S2304" s="199"/>
      <c r="T2304" s="199"/>
      <c r="U2304" s="199">
        <f>IF(AND('Mail Merge'!$I2304="Did Not Meet",'Mail Merge'!$N2304="Did Not Meet"),MIN(ABS('Mail Merge'!$H2304),ABS('Mail Merge'!$M2304),'Mail Merge'!$Q2304),0)</f>
        <v>0</v>
      </c>
      <c r="V2304" s="199" t="str">
        <f>IF(OR(IFERROR(SEARCH("Met",'Mail Merge'!$N2304),0)&gt;0,IFERROR(SEARCH("Met",'Mail Merge'!$I2304),0)&gt;0),"Met","Not Met")</f>
        <v>Met</v>
      </c>
    </row>
    <row r="2305" spans="1:22" x14ac:dyDescent="0.35">
      <c r="A2305" s="200" t="s">
        <v>158</v>
      </c>
      <c r="B2305" s="201">
        <v>2192</v>
      </c>
      <c r="C2305" s="201" t="s">
        <v>1777</v>
      </c>
      <c r="D2305" s="201">
        <v>25</v>
      </c>
      <c r="E2305" s="201">
        <v>524933.7300000001</v>
      </c>
      <c r="F2305" s="201">
        <v>69431.5</v>
      </c>
      <c r="G2305" s="201">
        <f>'Mail Merge'!$E2305+'Mail Merge'!$F2305</f>
        <v>594365.2300000001</v>
      </c>
      <c r="H2305" s="201"/>
      <c r="I2305" s="201" t="s">
        <v>2979</v>
      </c>
      <c r="J2305" s="204">
        <f>IFERROR('Mail Merge'!$E2305/'Mail Merge'!$D2305,0)</f>
        <v>20997.349200000004</v>
      </c>
      <c r="K2305" s="201">
        <f>IFERROR('Mail Merge'!$F2305/'Mail Merge'!$D2305,0)</f>
        <v>2777.26</v>
      </c>
      <c r="L2305" s="201">
        <f>IFERROR('Mail Merge'!$G2305/'Mail Merge'!$D2305,0)</f>
        <v>23774.609200000003</v>
      </c>
      <c r="M2305" s="201"/>
      <c r="N2305" s="201" t="str">
        <f t="shared" si="2"/>
        <v>Met</v>
      </c>
      <c r="O2305" s="201">
        <v>49652</v>
      </c>
      <c r="P2305" s="201">
        <v>1132</v>
      </c>
      <c r="Q2305" s="201">
        <f>'Mail Merge'!$O2305+'Mail Merge'!$P2305</f>
        <v>50784</v>
      </c>
      <c r="R2305" s="201"/>
      <c r="S2305" s="201"/>
      <c r="T2305" s="201"/>
      <c r="U2305" s="201">
        <f>IF(AND('Mail Merge'!$I2305="Did Not Meet",'Mail Merge'!$N2305="Did Not Meet"),MIN(ABS('Mail Merge'!$H2305),ABS('Mail Merge'!$M2305),'Mail Merge'!$Q2305),0)</f>
        <v>0</v>
      </c>
      <c r="V2305" s="201" t="str">
        <f>IF(OR(IFERROR(SEARCH("Met",'Mail Merge'!$N2305),0)&gt;0,IFERROR(SEARCH("Met",'Mail Merge'!$I2305),0)&gt;0),"Met","Not Met")</f>
        <v>Met</v>
      </c>
    </row>
    <row r="2306" spans="1:22" x14ac:dyDescent="0.35">
      <c r="A2306" s="198" t="s">
        <v>160</v>
      </c>
      <c r="B2306" s="199">
        <v>1900</v>
      </c>
      <c r="C2306" s="199" t="s">
        <v>1777</v>
      </c>
      <c r="D2306" s="199">
        <v>157</v>
      </c>
      <c r="E2306" s="199">
        <v>2084857.86</v>
      </c>
      <c r="F2306" s="199">
        <v>172453</v>
      </c>
      <c r="G2306" s="199">
        <f>'Mail Merge'!$E2306+'Mail Merge'!$F2306</f>
        <v>2257310.8600000003</v>
      </c>
      <c r="H2306" s="199"/>
      <c r="I2306" s="199" t="s">
        <v>241</v>
      </c>
      <c r="J2306" s="202">
        <f>IFERROR('Mail Merge'!$E2306/'Mail Merge'!$D2306,0)</f>
        <v>13279.349426751593</v>
      </c>
      <c r="K2306" s="199">
        <f>IFERROR('Mail Merge'!$F2306/'Mail Merge'!$D2306,0)</f>
        <v>1098.4267515923566</v>
      </c>
      <c r="L2306" s="199">
        <f>IFERROR('Mail Merge'!$G2306/'Mail Merge'!$D2306,0)</f>
        <v>14377.776178343951</v>
      </c>
      <c r="M2306" s="199"/>
      <c r="N2306" s="199" t="str">
        <f t="shared" si="2"/>
        <v>Did Not Meet</v>
      </c>
      <c r="O2306" s="199">
        <v>333887</v>
      </c>
      <c r="P2306" s="199">
        <v>13471</v>
      </c>
      <c r="Q2306" s="199">
        <f>'Mail Merge'!$O2306+'Mail Merge'!$P2306</f>
        <v>347358</v>
      </c>
      <c r="R2306" s="199"/>
      <c r="S2306" s="199"/>
      <c r="T2306" s="199"/>
      <c r="U2306" s="199">
        <f>IF(AND('Mail Merge'!$I2306="Did Not Meet",'Mail Merge'!$N2306="Did Not Meet"),MIN(ABS('Mail Merge'!$H2306),ABS('Mail Merge'!$M2306),'Mail Merge'!$Q2306),0)</f>
        <v>0</v>
      </c>
      <c r="V2306" s="199" t="str">
        <f>IF(OR(IFERROR(SEARCH("Met",'Mail Merge'!$N2306),0)&gt;0,IFERROR(SEARCH("Met",'Mail Merge'!$I2306),0)&gt;0),"Met","Not Met")</f>
        <v>Met</v>
      </c>
    </row>
    <row r="2307" spans="1:22" x14ac:dyDescent="0.35">
      <c r="A2307" s="200" t="s">
        <v>161</v>
      </c>
      <c r="B2307" s="201">
        <v>2039</v>
      </c>
      <c r="C2307" s="201" t="s">
        <v>1777</v>
      </c>
      <c r="D2307" s="201">
        <v>374</v>
      </c>
      <c r="E2307" s="201">
        <v>4090767.3599999994</v>
      </c>
      <c r="F2307" s="201">
        <v>380845.62</v>
      </c>
      <c r="G2307" s="201">
        <f>'Mail Merge'!$E2307+'Mail Merge'!$F2307</f>
        <v>4471612.9799999995</v>
      </c>
      <c r="H2307" s="201"/>
      <c r="I2307" s="201" t="s">
        <v>241</v>
      </c>
      <c r="J2307" s="204">
        <f>IFERROR('Mail Merge'!$E2307/'Mail Merge'!$D2307,0)</f>
        <v>10937.880641711228</v>
      </c>
      <c r="K2307" s="201">
        <f>IFERROR('Mail Merge'!$F2307/'Mail Merge'!$D2307,0)</f>
        <v>1018.3037967914438</v>
      </c>
      <c r="L2307" s="201">
        <f>IFERROR('Mail Merge'!$G2307/'Mail Merge'!$D2307,0)</f>
        <v>11956.184438502672</v>
      </c>
      <c r="M2307" s="201"/>
      <c r="N2307" s="201" t="str">
        <f t="shared" si="2"/>
        <v>Met</v>
      </c>
      <c r="O2307" s="201">
        <v>646905</v>
      </c>
      <c r="P2307" s="201">
        <v>22698</v>
      </c>
      <c r="Q2307" s="201">
        <f>'Mail Merge'!$O2307+'Mail Merge'!$P2307</f>
        <v>669603</v>
      </c>
      <c r="R2307" s="201"/>
      <c r="S2307" s="201"/>
      <c r="T2307" s="201"/>
      <c r="U2307" s="201">
        <f>IF(AND('Mail Merge'!$I2307="Did Not Meet",'Mail Merge'!$N2307="Did Not Meet"),MIN(ABS('Mail Merge'!$H2307),ABS('Mail Merge'!$M2307),'Mail Merge'!$Q2307),0)</f>
        <v>0</v>
      </c>
      <c r="V2307" s="201" t="str">
        <f>IF(OR(IFERROR(SEARCH("Met",'Mail Merge'!$N2307),0)&gt;0,IFERROR(SEARCH("Met",'Mail Merge'!$I2307),0)&gt;0),"Met","Not Met")</f>
        <v>Met</v>
      </c>
    </row>
    <row r="2308" spans="1:22" x14ac:dyDescent="0.35">
      <c r="A2308" s="198" t="s">
        <v>162</v>
      </c>
      <c r="B2308" s="199">
        <v>2202</v>
      </c>
      <c r="C2308" s="199" t="s">
        <v>1777</v>
      </c>
      <c r="D2308" s="199">
        <v>42</v>
      </c>
      <c r="E2308" s="199">
        <v>379568.76000000007</v>
      </c>
      <c r="F2308" s="199">
        <v>80345.11</v>
      </c>
      <c r="G2308" s="199">
        <f>'Mail Merge'!$E2308+'Mail Merge'!$F2308</f>
        <v>459913.87000000005</v>
      </c>
      <c r="H2308" s="199"/>
      <c r="I2308" s="199" t="s">
        <v>241</v>
      </c>
      <c r="J2308" s="202">
        <f>IFERROR('Mail Merge'!$E2308/'Mail Merge'!$D2308,0)</f>
        <v>9037.35142857143</v>
      </c>
      <c r="K2308" s="199">
        <f>IFERROR('Mail Merge'!$F2308/'Mail Merge'!$D2308,0)</f>
        <v>1912.9788095238096</v>
      </c>
      <c r="L2308" s="199">
        <f>IFERROR('Mail Merge'!$G2308/'Mail Merge'!$D2308,0)</f>
        <v>10950.330238095239</v>
      </c>
      <c r="M2308" s="199"/>
      <c r="N2308" s="199" t="str">
        <f t="shared" si="2"/>
        <v>Did Not Meet</v>
      </c>
      <c r="O2308" s="199">
        <v>81440</v>
      </c>
      <c r="P2308" s="199">
        <v>1617</v>
      </c>
      <c r="Q2308" s="199">
        <f>'Mail Merge'!$O2308+'Mail Merge'!$P2308</f>
        <v>83057</v>
      </c>
      <c r="R2308" s="199"/>
      <c r="S2308" s="199"/>
      <c r="T2308" s="199"/>
      <c r="U2308" s="199">
        <f>IF(AND('Mail Merge'!$I2308="Did Not Meet",'Mail Merge'!$N2308="Did Not Meet"),MIN(ABS('Mail Merge'!$H2308),ABS('Mail Merge'!$M2308),'Mail Merge'!$Q2308),0)</f>
        <v>0</v>
      </c>
      <c r="V2308" s="199" t="str">
        <f>IF(OR(IFERROR(SEARCH("Met",'Mail Merge'!$N2308),0)&gt;0,IFERROR(SEARCH("Met",'Mail Merge'!$I2308),0)&gt;0),"Met","Not Met")</f>
        <v>Met</v>
      </c>
    </row>
    <row r="2309" spans="1:22" x14ac:dyDescent="0.35">
      <c r="A2309" s="200" t="s">
        <v>163</v>
      </c>
      <c r="B2309" s="201">
        <v>2016</v>
      </c>
      <c r="C2309" s="201" t="s">
        <v>1777</v>
      </c>
      <c r="D2309" s="201">
        <v>0</v>
      </c>
      <c r="E2309" s="201">
        <v>0</v>
      </c>
      <c r="F2309" s="201">
        <v>16313.730000000001</v>
      </c>
      <c r="G2309" s="201">
        <f>'Mail Merge'!$E2309+'Mail Merge'!$F2309</f>
        <v>16313.730000000001</v>
      </c>
      <c r="H2309" s="201"/>
      <c r="I2309" s="201" t="s">
        <v>241</v>
      </c>
      <c r="J2309" s="204">
        <f>IFERROR('Mail Merge'!$E2309/'Mail Merge'!$D2309,0)</f>
        <v>0</v>
      </c>
      <c r="K2309" s="201">
        <f>IFERROR('Mail Merge'!$F2309/'Mail Merge'!$D2309,0)</f>
        <v>0</v>
      </c>
      <c r="L2309" s="201">
        <f>IFERROR('Mail Merge'!$G2309/'Mail Merge'!$D2309,0)</f>
        <v>0</v>
      </c>
      <c r="M2309" s="201"/>
      <c r="N2309" s="201" t="str">
        <f t="shared" si="2"/>
        <v>Met</v>
      </c>
      <c r="O2309" s="201">
        <v>1937</v>
      </c>
      <c r="P2309" s="201">
        <v>275</v>
      </c>
      <c r="Q2309" s="201">
        <f>'Mail Merge'!$O2309+'Mail Merge'!$P2309</f>
        <v>2212</v>
      </c>
      <c r="R2309" s="201"/>
      <c r="S2309" s="201"/>
      <c r="T2309" s="201"/>
      <c r="U2309" s="201">
        <f>IF(AND('Mail Merge'!$I2309="Did Not Meet",'Mail Merge'!$N2309="Did Not Meet"),MIN(ABS('Mail Merge'!$H2309),ABS('Mail Merge'!$M2309),'Mail Merge'!$Q2309),0)</f>
        <v>0</v>
      </c>
      <c r="V2309" s="201" t="str">
        <f>IF(OR(IFERROR(SEARCH("Met",'Mail Merge'!$N2309),0)&gt;0,IFERROR(SEARCH("Met",'Mail Merge'!$I2309),0)&gt;0),"Met","Not Met")</f>
        <v>Met</v>
      </c>
    </row>
    <row r="2310" spans="1:22" x14ac:dyDescent="0.35">
      <c r="A2310" s="198" t="s">
        <v>164</v>
      </c>
      <c r="B2310" s="199">
        <v>1897</v>
      </c>
      <c r="C2310" s="199" t="s">
        <v>1777</v>
      </c>
      <c r="D2310" s="199">
        <v>35</v>
      </c>
      <c r="E2310" s="199">
        <v>253000.58</v>
      </c>
      <c r="F2310" s="199">
        <v>0</v>
      </c>
      <c r="G2310" s="199">
        <f>'Mail Merge'!$E2310+'Mail Merge'!$F2310</f>
        <v>253000.58</v>
      </c>
      <c r="H2310" s="199"/>
      <c r="I2310" s="199" t="s">
        <v>241</v>
      </c>
      <c r="J2310" s="202">
        <f>IFERROR('Mail Merge'!$E2310/'Mail Merge'!$D2310,0)</f>
        <v>7228.5879999999997</v>
      </c>
      <c r="K2310" s="199">
        <f>IFERROR('Mail Merge'!$F2310/'Mail Merge'!$D2310,0)</f>
        <v>0</v>
      </c>
      <c r="L2310" s="199">
        <f>IFERROR('Mail Merge'!$G2310/'Mail Merge'!$D2310,0)</f>
        <v>7228.5879999999997</v>
      </c>
      <c r="M2310" s="199"/>
      <c r="N2310" s="199" t="str">
        <f t="shared" si="2"/>
        <v>Did Not Meet</v>
      </c>
      <c r="O2310" s="199">
        <v>48753</v>
      </c>
      <c r="P2310" s="199">
        <v>679</v>
      </c>
      <c r="Q2310" s="199">
        <f>'Mail Merge'!$O2310+'Mail Merge'!$P2310</f>
        <v>49432</v>
      </c>
      <c r="R2310" s="199"/>
      <c r="S2310" s="199"/>
      <c r="T2310" s="199"/>
      <c r="U2310" s="199">
        <f>IF(AND('Mail Merge'!$I2310="Did Not Meet",'Mail Merge'!$N2310="Did Not Meet"),MIN(ABS('Mail Merge'!$H2310),ABS('Mail Merge'!$M2310),'Mail Merge'!$Q2310),0)</f>
        <v>0</v>
      </c>
      <c r="V2310" s="199" t="str">
        <f>IF(OR(IFERROR(SEARCH("Met",'Mail Merge'!$N2310),0)&gt;0,IFERROR(SEARCH("Met",'Mail Merge'!$I2310),0)&gt;0),"Met","Not Met")</f>
        <v>Met</v>
      </c>
    </row>
    <row r="2311" spans="1:22" x14ac:dyDescent="0.35">
      <c r="A2311" s="200" t="s">
        <v>165</v>
      </c>
      <c r="B2311" s="201">
        <v>2047</v>
      </c>
      <c r="C2311" s="201" t="s">
        <v>1777</v>
      </c>
      <c r="D2311" s="201">
        <v>3</v>
      </c>
      <c r="E2311" s="201">
        <v>20125</v>
      </c>
      <c r="F2311" s="201">
        <v>4079.8700000000003</v>
      </c>
      <c r="G2311" s="201">
        <f>'Mail Merge'!$E2311+'Mail Merge'!$F2311</f>
        <v>24204.87</v>
      </c>
      <c r="H2311" s="201"/>
      <c r="I2311" s="201" t="s">
        <v>2979</v>
      </c>
      <c r="J2311" s="204">
        <f>IFERROR('Mail Merge'!$E2311/'Mail Merge'!$D2311,0)</f>
        <v>6708.333333333333</v>
      </c>
      <c r="K2311" s="201">
        <f>IFERROR('Mail Merge'!$F2311/'Mail Merge'!$D2311,0)</f>
        <v>1359.9566666666667</v>
      </c>
      <c r="L2311" s="201">
        <f>IFERROR('Mail Merge'!$G2311/'Mail Merge'!$D2311,0)</f>
        <v>8068.29</v>
      </c>
      <c r="M2311" s="201"/>
      <c r="N2311" s="201" t="str">
        <f t="shared" si="2"/>
        <v>Met</v>
      </c>
      <c r="O2311" s="201">
        <v>6348</v>
      </c>
      <c r="P2311" s="201">
        <v>977</v>
      </c>
      <c r="Q2311" s="201">
        <f>'Mail Merge'!$O2311+'Mail Merge'!$P2311</f>
        <v>7325</v>
      </c>
      <c r="R2311" s="201"/>
      <c r="S2311" s="201"/>
      <c r="T2311" s="201"/>
      <c r="U2311" s="201">
        <f>IF(AND('Mail Merge'!$I2311="Did Not Meet",'Mail Merge'!$N2311="Did Not Meet"),MIN(ABS('Mail Merge'!$H2311),ABS('Mail Merge'!$M2311),'Mail Merge'!$Q2311),0)</f>
        <v>0</v>
      </c>
      <c r="V2311" s="201" t="str">
        <f>IF(OR(IFERROR(SEARCH("Met",'Mail Merge'!$N2311),0)&gt;0,IFERROR(SEARCH("Met",'Mail Merge'!$I2311),0)&gt;0),"Met","Not Met")</f>
        <v>Met</v>
      </c>
    </row>
    <row r="2312" spans="1:22" x14ac:dyDescent="0.35">
      <c r="A2312" s="198" t="s">
        <v>166</v>
      </c>
      <c r="B2312" s="199">
        <v>2081</v>
      </c>
      <c r="C2312" s="199" t="s">
        <v>1777</v>
      </c>
      <c r="D2312" s="199">
        <v>139</v>
      </c>
      <c r="E2312" s="199">
        <v>1092190.68</v>
      </c>
      <c r="F2312" s="199">
        <v>269087</v>
      </c>
      <c r="G2312" s="199">
        <f>'Mail Merge'!$E2312+'Mail Merge'!$F2312</f>
        <v>1361277.68</v>
      </c>
      <c r="H2312" s="199"/>
      <c r="I2312" s="199" t="s">
        <v>2140</v>
      </c>
      <c r="J2312" s="202">
        <f>IFERROR('Mail Merge'!$E2312/'Mail Merge'!$D2312,0)</f>
        <v>7857.48690647482</v>
      </c>
      <c r="K2312" s="199">
        <f>IFERROR('Mail Merge'!$F2312/'Mail Merge'!$D2312,0)</f>
        <v>1935.8776978417266</v>
      </c>
      <c r="L2312" s="199">
        <f>IFERROR('Mail Merge'!$G2312/'Mail Merge'!$D2312,0)</f>
        <v>9793.3646043165463</v>
      </c>
      <c r="M2312" s="199"/>
      <c r="N2312" s="199" t="str">
        <f t="shared" si="2"/>
        <v>Did Not Meet</v>
      </c>
      <c r="O2312" s="199">
        <v>232122</v>
      </c>
      <c r="P2312" s="199">
        <v>3507</v>
      </c>
      <c r="Q2312" s="199">
        <f>'Mail Merge'!$O2312+'Mail Merge'!$P2312</f>
        <v>235629</v>
      </c>
      <c r="R2312" s="199"/>
      <c r="S2312" s="199"/>
      <c r="T2312" s="199"/>
      <c r="U2312" s="199">
        <f>IF(AND('Mail Merge'!$I2312="Did Not Meet",'Mail Merge'!$N2312="Did Not Meet"),MIN(ABS('Mail Merge'!$H2312),ABS('Mail Merge'!$M2312),'Mail Merge'!$Q2312),0)</f>
        <v>0</v>
      </c>
      <c r="V2312" s="199" t="str">
        <f>IF(OR(IFERROR(SEARCH("Met",'Mail Merge'!$N2312),0)&gt;0,IFERROR(SEARCH("Met",'Mail Merge'!$I2312),0)&gt;0),"Met","Not Met")</f>
        <v>Met</v>
      </c>
    </row>
    <row r="2313" spans="1:22" x14ac:dyDescent="0.35">
      <c r="A2313" s="200" t="s">
        <v>167</v>
      </c>
      <c r="B2313" s="201">
        <v>2062</v>
      </c>
      <c r="C2313" s="201" t="s">
        <v>1777</v>
      </c>
      <c r="D2313" s="201">
        <v>4</v>
      </c>
      <c r="E2313" s="201">
        <v>0</v>
      </c>
      <c r="F2313" s="201">
        <v>31205.81</v>
      </c>
      <c r="G2313" s="201">
        <f>'Mail Merge'!$E2313+'Mail Merge'!$F2313</f>
        <v>31205.81</v>
      </c>
      <c r="H2313" s="201"/>
      <c r="I2313" s="201" t="s">
        <v>241</v>
      </c>
      <c r="J2313" s="204">
        <f>IFERROR('Mail Merge'!$E2313/'Mail Merge'!$D2313,0)</f>
        <v>0</v>
      </c>
      <c r="K2313" s="201">
        <f>IFERROR('Mail Merge'!$F2313/'Mail Merge'!$D2313,0)</f>
        <v>7801.4525000000003</v>
      </c>
      <c r="L2313" s="201">
        <f>IFERROR('Mail Merge'!$G2313/'Mail Merge'!$D2313,0)</f>
        <v>7801.4525000000003</v>
      </c>
      <c r="M2313" s="201"/>
      <c r="N2313" s="201" t="str">
        <f t="shared" si="2"/>
        <v>Met</v>
      </c>
      <c r="O2313" s="201">
        <v>3632</v>
      </c>
      <c r="P2313" s="201">
        <v>6</v>
      </c>
      <c r="Q2313" s="201">
        <f>'Mail Merge'!$O2313+'Mail Merge'!$P2313</f>
        <v>3638</v>
      </c>
      <c r="R2313" s="201"/>
      <c r="S2313" s="201"/>
      <c r="T2313" s="201"/>
      <c r="U2313" s="201">
        <f>IF(AND('Mail Merge'!$I2313="Did Not Meet",'Mail Merge'!$N2313="Did Not Meet"),MIN(ABS('Mail Merge'!$H2313),ABS('Mail Merge'!$M2313),'Mail Merge'!$Q2313),0)</f>
        <v>0</v>
      </c>
      <c r="V2313" s="201" t="str">
        <f>IF(OR(IFERROR(SEARCH("Met",'Mail Merge'!$N2313),0)&gt;0,IFERROR(SEARCH("Met",'Mail Merge'!$I2313),0)&gt;0),"Met","Not Met")</f>
        <v>Met</v>
      </c>
    </row>
    <row r="2314" spans="1:22" x14ac:dyDescent="0.35">
      <c r="A2314" s="198" t="s">
        <v>168</v>
      </c>
      <c r="B2314" s="199">
        <v>1973</v>
      </c>
      <c r="C2314" s="199" t="s">
        <v>1777</v>
      </c>
      <c r="D2314" s="199">
        <v>23</v>
      </c>
      <c r="E2314" s="199">
        <v>250133</v>
      </c>
      <c r="F2314" s="199">
        <v>133249</v>
      </c>
      <c r="G2314" s="199">
        <f>'Mail Merge'!$E2314+'Mail Merge'!$F2314</f>
        <v>383382</v>
      </c>
      <c r="H2314" s="199"/>
      <c r="I2314" s="199" t="s">
        <v>241</v>
      </c>
      <c r="J2314" s="202">
        <f>IFERROR('Mail Merge'!$E2314/'Mail Merge'!$D2314,0)</f>
        <v>10875.347826086956</v>
      </c>
      <c r="K2314" s="199">
        <f>IFERROR('Mail Merge'!$F2314/'Mail Merge'!$D2314,0)</f>
        <v>5793.434782608696</v>
      </c>
      <c r="L2314" s="199">
        <f>IFERROR('Mail Merge'!$G2314/'Mail Merge'!$D2314,0)</f>
        <v>16668.782608695652</v>
      </c>
      <c r="M2314" s="199"/>
      <c r="N2314" s="199" t="str">
        <f t="shared" si="2"/>
        <v>Met</v>
      </c>
      <c r="O2314" s="199">
        <v>81787</v>
      </c>
      <c r="P2314" s="199">
        <v>2581</v>
      </c>
      <c r="Q2314" s="199">
        <f>'Mail Merge'!$O2314+'Mail Merge'!$P2314</f>
        <v>84368</v>
      </c>
      <c r="R2314" s="199"/>
      <c r="S2314" s="199"/>
      <c r="T2314" s="199"/>
      <c r="U2314" s="199">
        <f>IF(AND('Mail Merge'!$I2314="Did Not Meet",'Mail Merge'!$N2314="Did Not Meet"),MIN(ABS('Mail Merge'!$H2314),ABS('Mail Merge'!$M2314),'Mail Merge'!$Q2314),0)</f>
        <v>0</v>
      </c>
      <c r="V2314" s="199" t="str">
        <f>IF(OR(IFERROR(SEARCH("Met",'Mail Merge'!$N2314),0)&gt;0,IFERROR(SEARCH("Met",'Mail Merge'!$I2314),0)&gt;0),"Met","Not Met")</f>
        <v>Met</v>
      </c>
    </row>
    <row r="2315" spans="1:22" x14ac:dyDescent="0.35">
      <c r="A2315" s="200" t="s">
        <v>169</v>
      </c>
      <c r="B2315" s="201">
        <v>2180</v>
      </c>
      <c r="C2315" s="201" t="s">
        <v>1777</v>
      </c>
      <c r="D2315" s="201">
        <v>6852</v>
      </c>
      <c r="E2315" s="201">
        <v>110327921.15999991</v>
      </c>
      <c r="F2315" s="201">
        <v>3507981.2100000004</v>
      </c>
      <c r="G2315" s="201">
        <f>'Mail Merge'!$E2315+'Mail Merge'!$F2315</f>
        <v>113835902.3699999</v>
      </c>
      <c r="H2315" s="201"/>
      <c r="I2315" s="201" t="s">
        <v>241</v>
      </c>
      <c r="J2315" s="204">
        <f>IFERROR('Mail Merge'!$E2315/'Mail Merge'!$D2315,0)</f>
        <v>16101.564676006992</v>
      </c>
      <c r="K2315" s="201">
        <f>IFERROR('Mail Merge'!$F2315/'Mail Merge'!$D2315,0)</f>
        <v>511.96456654991249</v>
      </c>
      <c r="L2315" s="201">
        <f>IFERROR('Mail Merge'!$G2315/'Mail Merge'!$D2315,0)</f>
        <v>16613.529242556902</v>
      </c>
      <c r="M2315" s="201"/>
      <c r="N2315" s="201" t="str">
        <f t="shared" si="2"/>
        <v>Met</v>
      </c>
      <c r="O2315" s="201">
        <v>11168359</v>
      </c>
      <c r="P2315" s="201">
        <v>356535</v>
      </c>
      <c r="Q2315" s="201">
        <f>'Mail Merge'!$O2315+'Mail Merge'!$P2315</f>
        <v>11524894</v>
      </c>
      <c r="R2315" s="201"/>
      <c r="S2315" s="201"/>
      <c r="T2315" s="201"/>
      <c r="U2315" s="201">
        <f>IF(AND('Mail Merge'!$I2315="Did Not Meet",'Mail Merge'!$N2315="Did Not Meet"),MIN(ABS('Mail Merge'!$H2315),ABS('Mail Merge'!$M2315),'Mail Merge'!$Q2315),0)</f>
        <v>0</v>
      </c>
      <c r="V2315" s="201" t="str">
        <f>IF(OR(IFERROR(SEARCH("Met",'Mail Merge'!$N2315),0)&gt;0,IFERROR(SEARCH("Met",'Mail Merge'!$I2315),0)&gt;0),"Met","Not Met")</f>
        <v>Met</v>
      </c>
    </row>
    <row r="2316" spans="1:22" x14ac:dyDescent="0.35">
      <c r="A2316" s="198" t="s">
        <v>170</v>
      </c>
      <c r="B2316" s="199">
        <v>1967</v>
      </c>
      <c r="C2316" s="199" t="s">
        <v>1777</v>
      </c>
      <c r="D2316" s="199">
        <v>20</v>
      </c>
      <c r="E2316" s="199">
        <v>75443.33</v>
      </c>
      <c r="F2316" s="199">
        <v>41936</v>
      </c>
      <c r="G2316" s="199">
        <f>'Mail Merge'!$E2316+'Mail Merge'!$F2316</f>
        <v>117379.33</v>
      </c>
      <c r="H2316" s="199"/>
      <c r="I2316" s="199" t="s">
        <v>241</v>
      </c>
      <c r="J2316" s="202">
        <f>IFERROR('Mail Merge'!$E2316/'Mail Merge'!$D2316,0)</f>
        <v>3772.1665000000003</v>
      </c>
      <c r="K2316" s="199">
        <f>IFERROR('Mail Merge'!$F2316/'Mail Merge'!$D2316,0)</f>
        <v>2096.8000000000002</v>
      </c>
      <c r="L2316" s="199">
        <f>IFERROR('Mail Merge'!$G2316/'Mail Merge'!$D2316,0)</f>
        <v>5868.9665000000005</v>
      </c>
      <c r="M2316" s="199"/>
      <c r="N2316" s="199" t="str">
        <f t="shared" si="2"/>
        <v>Met</v>
      </c>
      <c r="O2316" s="199">
        <v>32435</v>
      </c>
      <c r="P2316" s="199">
        <v>409</v>
      </c>
      <c r="Q2316" s="199">
        <f>'Mail Merge'!$O2316+'Mail Merge'!$P2316</f>
        <v>32844</v>
      </c>
      <c r="R2316" s="199"/>
      <c r="S2316" s="199"/>
      <c r="T2316" s="199"/>
      <c r="U2316" s="199">
        <f>IF(AND('Mail Merge'!$I2316="Did Not Meet",'Mail Merge'!$N2316="Did Not Meet"),MIN(ABS('Mail Merge'!$H2316),ABS('Mail Merge'!$M2316),'Mail Merge'!$Q2316),0)</f>
        <v>0</v>
      </c>
      <c r="V2316" s="199" t="str">
        <f>IF(OR(IFERROR(SEARCH("Met",'Mail Merge'!$N2316),0)&gt;0,IFERROR(SEARCH("Met",'Mail Merge'!$I2316),0)&gt;0),"Met","Not Met")</f>
        <v>Met</v>
      </c>
    </row>
    <row r="2317" spans="1:22" x14ac:dyDescent="0.35">
      <c r="A2317" s="200" t="s">
        <v>171</v>
      </c>
      <c r="B2317" s="201">
        <v>2009</v>
      </c>
      <c r="C2317" s="201" t="s">
        <v>1777</v>
      </c>
      <c r="D2317" s="201">
        <v>109</v>
      </c>
      <c r="E2317" s="201">
        <v>252138.56000000003</v>
      </c>
      <c r="F2317" s="201">
        <v>40540.549999999996</v>
      </c>
      <c r="G2317" s="201">
        <f>'Mail Merge'!$E2317+'Mail Merge'!$F2317</f>
        <v>292679.11000000004</v>
      </c>
      <c r="H2317" s="201"/>
      <c r="I2317" s="201" t="s">
        <v>241</v>
      </c>
      <c r="J2317" s="204">
        <f>IFERROR('Mail Merge'!$E2317/'Mail Merge'!$D2317,0)</f>
        <v>2313.197798165138</v>
      </c>
      <c r="K2317" s="201">
        <f>IFERROR('Mail Merge'!$F2317/'Mail Merge'!$D2317,0)</f>
        <v>371.93165137614676</v>
      </c>
      <c r="L2317" s="201">
        <f>IFERROR('Mail Merge'!$G2317/'Mail Merge'!$D2317,0)</f>
        <v>2685.1294495412849</v>
      </c>
      <c r="M2317" s="201"/>
      <c r="N2317" s="201" t="str">
        <f t="shared" si="2"/>
        <v>Did Not Meet</v>
      </c>
      <c r="O2317" s="201">
        <v>41557</v>
      </c>
      <c r="P2317" s="201">
        <v>2047</v>
      </c>
      <c r="Q2317" s="201">
        <f>'Mail Merge'!$O2317+'Mail Merge'!$P2317</f>
        <v>43604</v>
      </c>
      <c r="R2317" s="201"/>
      <c r="S2317" s="201"/>
      <c r="T2317" s="201"/>
      <c r="U2317" s="201">
        <f>IF(AND('Mail Merge'!$I2317="Did Not Meet",'Mail Merge'!$N2317="Did Not Meet"),MIN(ABS('Mail Merge'!$H2317),ABS('Mail Merge'!$M2317),'Mail Merge'!$Q2317),0)</f>
        <v>0</v>
      </c>
      <c r="V2317" s="201" t="str">
        <f>IF(OR(IFERROR(SEARCH("Met",'Mail Merge'!$N2317),0)&gt;0,IFERROR(SEARCH("Met",'Mail Merge'!$I2317),0)&gt;0),"Met","Not Met")</f>
        <v>Met</v>
      </c>
    </row>
    <row r="2318" spans="1:22" x14ac:dyDescent="0.35">
      <c r="A2318" s="198" t="s">
        <v>172</v>
      </c>
      <c r="B2318" s="199">
        <v>2045</v>
      </c>
      <c r="C2318" s="199" t="s">
        <v>1777</v>
      </c>
      <c r="D2318" s="199">
        <v>28</v>
      </c>
      <c r="E2318" s="199">
        <v>197694.47999999995</v>
      </c>
      <c r="F2318" s="199">
        <v>118072.68</v>
      </c>
      <c r="G2318" s="199">
        <f>'Mail Merge'!$E2318+'Mail Merge'!$F2318</f>
        <v>315767.15999999992</v>
      </c>
      <c r="H2318" s="199"/>
      <c r="I2318" s="199" t="s">
        <v>241</v>
      </c>
      <c r="J2318" s="202">
        <f>IFERROR('Mail Merge'!$E2318/'Mail Merge'!$D2318,0)</f>
        <v>7060.5171428571412</v>
      </c>
      <c r="K2318" s="199">
        <f>IFERROR('Mail Merge'!$F2318/'Mail Merge'!$D2318,0)</f>
        <v>4216.8814285714279</v>
      </c>
      <c r="L2318" s="199">
        <f>IFERROR('Mail Merge'!$G2318/'Mail Merge'!$D2318,0)</f>
        <v>11277.398571428568</v>
      </c>
      <c r="M2318" s="199"/>
      <c r="N2318" s="199" t="str">
        <f t="shared" si="2"/>
        <v>Met</v>
      </c>
      <c r="O2318" s="199">
        <v>40807</v>
      </c>
      <c r="P2318" s="199">
        <v>1091</v>
      </c>
      <c r="Q2318" s="199">
        <f>'Mail Merge'!$O2318+'Mail Merge'!$P2318</f>
        <v>41898</v>
      </c>
      <c r="R2318" s="199"/>
      <c r="S2318" s="199"/>
      <c r="T2318" s="199"/>
      <c r="U2318" s="199">
        <f>IF(AND('Mail Merge'!$I2318="Did Not Meet",'Mail Merge'!$N2318="Did Not Meet"),MIN(ABS('Mail Merge'!$H2318),ABS('Mail Merge'!$M2318),'Mail Merge'!$Q2318),0)</f>
        <v>0</v>
      </c>
      <c r="V2318" s="199" t="str">
        <f>IF(OR(IFERROR(SEARCH("Met",'Mail Merge'!$N2318),0)&gt;0,IFERROR(SEARCH("Met",'Mail Merge'!$I2318),0)&gt;0),"Met","Not Met")</f>
        <v>Met</v>
      </c>
    </row>
    <row r="2319" spans="1:22" x14ac:dyDescent="0.35">
      <c r="A2319" s="200" t="s">
        <v>173</v>
      </c>
      <c r="B2319" s="201">
        <v>1946</v>
      </c>
      <c r="C2319" s="201" t="s">
        <v>1777</v>
      </c>
      <c r="D2319" s="201">
        <v>155</v>
      </c>
      <c r="E2319" s="201">
        <v>1710664.7000000004</v>
      </c>
      <c r="F2319" s="201">
        <v>167356</v>
      </c>
      <c r="G2319" s="201">
        <f>'Mail Merge'!$E2319+'Mail Merge'!$F2319</f>
        <v>1878020.7000000004</v>
      </c>
      <c r="H2319" s="201"/>
      <c r="I2319" s="201" t="s">
        <v>241</v>
      </c>
      <c r="J2319" s="204">
        <f>IFERROR('Mail Merge'!$E2319/'Mail Merge'!$D2319,0)</f>
        <v>11036.546451612907</v>
      </c>
      <c r="K2319" s="201">
        <f>IFERROR('Mail Merge'!$F2319/'Mail Merge'!$D2319,0)</f>
        <v>1079.7161290322581</v>
      </c>
      <c r="L2319" s="201">
        <f>IFERROR('Mail Merge'!$G2319/'Mail Merge'!$D2319,0)</f>
        <v>12116.262580645163</v>
      </c>
      <c r="M2319" s="201"/>
      <c r="N2319" s="201" t="str">
        <f t="shared" si="2"/>
        <v>Did Not Meet</v>
      </c>
      <c r="O2319" s="201">
        <v>231860</v>
      </c>
      <c r="P2319" s="201">
        <v>5349</v>
      </c>
      <c r="Q2319" s="201">
        <f>'Mail Merge'!$O2319+'Mail Merge'!$P2319</f>
        <v>237209</v>
      </c>
      <c r="R2319" s="201"/>
      <c r="S2319" s="201"/>
      <c r="T2319" s="201"/>
      <c r="U2319" s="201">
        <f>IF(AND('Mail Merge'!$I2319="Did Not Meet",'Mail Merge'!$N2319="Did Not Meet"),MIN(ABS('Mail Merge'!$H2319),ABS('Mail Merge'!$M2319),'Mail Merge'!$Q2319),0)</f>
        <v>0</v>
      </c>
      <c r="V2319" s="201" t="str">
        <f>IF(OR(IFERROR(SEARCH("Met",'Mail Merge'!$N2319),0)&gt;0,IFERROR(SEARCH("Met",'Mail Merge'!$I2319),0)&gt;0),"Met","Not Met")</f>
        <v>Met</v>
      </c>
    </row>
    <row r="2320" spans="1:22" x14ac:dyDescent="0.35">
      <c r="A2320" s="198" t="s">
        <v>174</v>
      </c>
      <c r="B2320" s="199">
        <v>1977</v>
      </c>
      <c r="C2320" s="199" t="s">
        <v>1777</v>
      </c>
      <c r="D2320" s="199">
        <v>878</v>
      </c>
      <c r="E2320" s="199">
        <v>12078121.860000011</v>
      </c>
      <c r="F2320" s="199">
        <v>1329550.8199999998</v>
      </c>
      <c r="G2320" s="199">
        <f>'Mail Merge'!$E2320+'Mail Merge'!$F2320</f>
        <v>13407672.680000011</v>
      </c>
      <c r="H2320" s="199"/>
      <c r="I2320" s="199" t="s">
        <v>241</v>
      </c>
      <c r="J2320" s="202">
        <f>IFERROR('Mail Merge'!$E2320/'Mail Merge'!$D2320,0)</f>
        <v>13756.403029612768</v>
      </c>
      <c r="K2320" s="199">
        <f>IFERROR('Mail Merge'!$F2320/'Mail Merge'!$D2320,0)</f>
        <v>1514.2947835990888</v>
      </c>
      <c r="L2320" s="199">
        <f>IFERROR('Mail Merge'!$G2320/'Mail Merge'!$D2320,0)</f>
        <v>15270.697813211858</v>
      </c>
      <c r="M2320" s="199"/>
      <c r="N2320" s="199" t="str">
        <f t="shared" si="2"/>
        <v>Met</v>
      </c>
      <c r="O2320" s="199">
        <v>1439141</v>
      </c>
      <c r="P2320" s="199">
        <v>24244</v>
      </c>
      <c r="Q2320" s="199">
        <f>'Mail Merge'!$O2320+'Mail Merge'!$P2320</f>
        <v>1463385</v>
      </c>
      <c r="R2320" s="199"/>
      <c r="S2320" s="199"/>
      <c r="T2320" s="199"/>
      <c r="U2320" s="199">
        <f>IF(AND('Mail Merge'!$I2320="Did Not Meet",'Mail Merge'!$N2320="Did Not Meet"),MIN(ABS('Mail Merge'!$H2320),ABS('Mail Merge'!$M2320),'Mail Merge'!$Q2320),0)</f>
        <v>0</v>
      </c>
      <c r="V2320" s="199" t="str">
        <f>IF(OR(IFERROR(SEARCH("Met",'Mail Merge'!$N2320),0)&gt;0,IFERROR(SEARCH("Met",'Mail Merge'!$I2320),0)&gt;0),"Met","Not Met")</f>
        <v>Met</v>
      </c>
    </row>
    <row r="2321" spans="1:22" x14ac:dyDescent="0.35">
      <c r="A2321" s="200" t="s">
        <v>175</v>
      </c>
      <c r="B2321" s="201">
        <v>2001</v>
      </c>
      <c r="C2321" s="201" t="s">
        <v>1777</v>
      </c>
      <c r="D2321" s="201">
        <v>105</v>
      </c>
      <c r="E2321" s="201">
        <v>1419541.34</v>
      </c>
      <c r="F2321" s="201">
        <v>328634</v>
      </c>
      <c r="G2321" s="201">
        <f>'Mail Merge'!$E2321+'Mail Merge'!$F2321</f>
        <v>1748175.34</v>
      </c>
      <c r="H2321" s="201"/>
      <c r="I2321" s="201" t="s">
        <v>241</v>
      </c>
      <c r="J2321" s="204">
        <f>IFERROR('Mail Merge'!$E2321/'Mail Merge'!$D2321,0)</f>
        <v>13519.441333333334</v>
      </c>
      <c r="K2321" s="201">
        <f>IFERROR('Mail Merge'!$F2321/'Mail Merge'!$D2321,0)</f>
        <v>3129.847619047619</v>
      </c>
      <c r="L2321" s="201">
        <f>IFERROR('Mail Merge'!$G2321/'Mail Merge'!$D2321,0)</f>
        <v>16649.288952380954</v>
      </c>
      <c r="M2321" s="201"/>
      <c r="N2321" s="201" t="str">
        <f t="shared" si="2"/>
        <v>Did Not Meet</v>
      </c>
      <c r="O2321" s="201">
        <v>168452</v>
      </c>
      <c r="P2321" s="201">
        <v>9577</v>
      </c>
      <c r="Q2321" s="201">
        <f>'Mail Merge'!$O2321+'Mail Merge'!$P2321</f>
        <v>178029</v>
      </c>
      <c r="R2321" s="201"/>
      <c r="S2321" s="201"/>
      <c r="T2321" s="201"/>
      <c r="U2321" s="201">
        <f>IF(AND('Mail Merge'!$I2321="Did Not Meet",'Mail Merge'!$N2321="Did Not Meet"),MIN(ABS('Mail Merge'!$H2321),ABS('Mail Merge'!$M2321),'Mail Merge'!$Q2321),0)</f>
        <v>0</v>
      </c>
      <c r="V2321" s="201" t="str">
        <f>IF(OR(IFERROR(SEARCH("Met",'Mail Merge'!$N2321),0)&gt;0,IFERROR(SEARCH("Met",'Mail Merge'!$I2321),0)&gt;0),"Met","Not Met")</f>
        <v>Met</v>
      </c>
    </row>
    <row r="2322" spans="1:22" x14ac:dyDescent="0.35">
      <c r="A2322" s="198" t="s">
        <v>176</v>
      </c>
      <c r="B2322" s="199">
        <v>2182</v>
      </c>
      <c r="C2322" s="199" t="s">
        <v>1777</v>
      </c>
      <c r="D2322" s="199">
        <v>1564</v>
      </c>
      <c r="E2322" s="199">
        <v>22314499.090000015</v>
      </c>
      <c r="F2322" s="199">
        <v>1816128.4500000002</v>
      </c>
      <c r="G2322" s="199">
        <f>'Mail Merge'!$E2322+'Mail Merge'!$F2322</f>
        <v>24130627.540000014</v>
      </c>
      <c r="H2322" s="199"/>
      <c r="I2322" s="199" t="s">
        <v>2979</v>
      </c>
      <c r="J2322" s="202">
        <f>IFERROR('Mail Merge'!$E2322/'Mail Merge'!$D2322,0)</f>
        <v>14267.58253836318</v>
      </c>
      <c r="K2322" s="199">
        <f>IFERROR('Mail Merge'!$F2322/'Mail Merge'!$D2322,0)</f>
        <v>1161.207448849105</v>
      </c>
      <c r="L2322" s="199">
        <f>IFERROR('Mail Merge'!$G2322/'Mail Merge'!$D2322,0)</f>
        <v>15428.789987212285</v>
      </c>
      <c r="M2322" s="199"/>
      <c r="N2322" s="199" t="str">
        <f t="shared" si="2"/>
        <v>Met</v>
      </c>
      <c r="O2322" s="199">
        <v>2340595</v>
      </c>
      <c r="P2322" s="199">
        <v>47337</v>
      </c>
      <c r="Q2322" s="199">
        <f>'Mail Merge'!$O2322+'Mail Merge'!$P2322</f>
        <v>2387932</v>
      </c>
      <c r="R2322" s="199"/>
      <c r="S2322" s="199"/>
      <c r="T2322" s="199"/>
      <c r="U2322" s="199">
        <f>IF(AND('Mail Merge'!$I2322="Did Not Meet",'Mail Merge'!$N2322="Did Not Meet"),MIN(ABS('Mail Merge'!$H2322),ABS('Mail Merge'!$M2322),'Mail Merge'!$Q2322),0)</f>
        <v>0</v>
      </c>
      <c r="V2322" s="199" t="str">
        <f>IF(OR(IFERROR(SEARCH("Met",'Mail Merge'!$N2322),0)&gt;0,IFERROR(SEARCH("Met",'Mail Merge'!$I2322),0)&gt;0),"Met","Not Met")</f>
        <v>Met</v>
      </c>
    </row>
    <row r="2323" spans="1:22" x14ac:dyDescent="0.35">
      <c r="A2323" s="200" t="s">
        <v>177</v>
      </c>
      <c r="B2323" s="201">
        <v>1999</v>
      </c>
      <c r="C2323" s="201" t="s">
        <v>1777</v>
      </c>
      <c r="D2323" s="201">
        <v>66</v>
      </c>
      <c r="E2323" s="201">
        <v>502598.88000000006</v>
      </c>
      <c r="F2323" s="201">
        <v>136378.24999999997</v>
      </c>
      <c r="G2323" s="201">
        <f>'Mail Merge'!$E2323+'Mail Merge'!$F2323</f>
        <v>638977.13</v>
      </c>
      <c r="H2323" s="201"/>
      <c r="I2323" s="201" t="s">
        <v>241</v>
      </c>
      <c r="J2323" s="204">
        <f>IFERROR('Mail Merge'!$E2323/'Mail Merge'!$D2323,0)</f>
        <v>7615.1345454545462</v>
      </c>
      <c r="K2323" s="201">
        <f>IFERROR('Mail Merge'!$F2323/'Mail Merge'!$D2323,0)</f>
        <v>2066.3371212121206</v>
      </c>
      <c r="L2323" s="201">
        <f>IFERROR('Mail Merge'!$G2323/'Mail Merge'!$D2323,0)</f>
        <v>9681.4716666666664</v>
      </c>
      <c r="M2323" s="201"/>
      <c r="N2323" s="201" t="str">
        <f t="shared" si="2"/>
        <v>Met</v>
      </c>
      <c r="O2323" s="201">
        <v>97988</v>
      </c>
      <c r="P2323" s="201">
        <v>744</v>
      </c>
      <c r="Q2323" s="201">
        <f>'Mail Merge'!$O2323+'Mail Merge'!$P2323</f>
        <v>98732</v>
      </c>
      <c r="R2323" s="201"/>
      <c r="S2323" s="201"/>
      <c r="T2323" s="201"/>
      <c r="U2323" s="201">
        <f>IF(AND('Mail Merge'!$I2323="Did Not Meet",'Mail Merge'!$N2323="Did Not Meet"),MIN(ABS('Mail Merge'!$H2323),ABS('Mail Merge'!$M2323),'Mail Merge'!$Q2323),0)</f>
        <v>0</v>
      </c>
      <c r="V2323" s="201" t="str">
        <f>IF(OR(IFERROR(SEARCH("Met",'Mail Merge'!$N2323),0)&gt;0,IFERROR(SEARCH("Met",'Mail Merge'!$I2323),0)&gt;0),"Met","Not Met")</f>
        <v>Met</v>
      </c>
    </row>
    <row r="2324" spans="1:22" x14ac:dyDescent="0.35">
      <c r="A2324" s="198" t="s">
        <v>178</v>
      </c>
      <c r="B2324" s="199">
        <v>2188</v>
      </c>
      <c r="C2324" s="199" t="s">
        <v>1777</v>
      </c>
      <c r="D2324" s="199">
        <v>60</v>
      </c>
      <c r="E2324" s="199">
        <v>423715.5</v>
      </c>
      <c r="F2324" s="199">
        <v>358574.44999999995</v>
      </c>
      <c r="G2324" s="199">
        <f>'Mail Merge'!$E2324+'Mail Merge'!$F2324</f>
        <v>782289.95</v>
      </c>
      <c r="H2324" s="199"/>
      <c r="I2324" s="199" t="s">
        <v>241</v>
      </c>
      <c r="J2324" s="202">
        <f>IFERROR('Mail Merge'!$E2324/'Mail Merge'!$D2324,0)</f>
        <v>7061.9250000000002</v>
      </c>
      <c r="K2324" s="199">
        <f>IFERROR('Mail Merge'!$F2324/'Mail Merge'!$D2324,0)</f>
        <v>5976.2408333333324</v>
      </c>
      <c r="L2324" s="199">
        <f>IFERROR('Mail Merge'!$G2324/'Mail Merge'!$D2324,0)</f>
        <v>13038.165833333333</v>
      </c>
      <c r="M2324" s="199"/>
      <c r="N2324" s="199" t="str">
        <f t="shared" si="2"/>
        <v>Did Not Meet</v>
      </c>
      <c r="O2324" s="199">
        <v>95999</v>
      </c>
      <c r="P2324" s="199">
        <v>779</v>
      </c>
      <c r="Q2324" s="199">
        <f>'Mail Merge'!$O2324+'Mail Merge'!$P2324</f>
        <v>96778</v>
      </c>
      <c r="R2324" s="199"/>
      <c r="S2324" s="199"/>
      <c r="T2324" s="199"/>
      <c r="U2324" s="199">
        <f>IF(AND('Mail Merge'!$I2324="Did Not Meet",'Mail Merge'!$N2324="Did Not Meet"),MIN(ABS('Mail Merge'!$H2324),ABS('Mail Merge'!$M2324),'Mail Merge'!$Q2324),0)</f>
        <v>0</v>
      </c>
      <c r="V2324" s="199" t="str">
        <f>IF(OR(IFERROR(SEARCH("Met",'Mail Merge'!$N2324),0)&gt;0,IFERROR(SEARCH("Met",'Mail Merge'!$I2324),0)&gt;0),"Met","Not Met")</f>
        <v>Met</v>
      </c>
    </row>
    <row r="2325" spans="1:22" x14ac:dyDescent="0.35">
      <c r="A2325" s="200" t="s">
        <v>179</v>
      </c>
      <c r="B2325" s="201">
        <v>2044</v>
      </c>
      <c r="C2325" s="201" t="s">
        <v>1777</v>
      </c>
      <c r="D2325" s="201">
        <v>148</v>
      </c>
      <c r="E2325" s="201">
        <v>1300935.3499999999</v>
      </c>
      <c r="F2325" s="201">
        <v>406509.01</v>
      </c>
      <c r="G2325" s="201">
        <f>'Mail Merge'!$E2325+'Mail Merge'!$F2325</f>
        <v>1707444.3599999999</v>
      </c>
      <c r="H2325" s="201"/>
      <c r="I2325" s="201" t="s">
        <v>241</v>
      </c>
      <c r="J2325" s="204">
        <f>IFERROR('Mail Merge'!$E2325/'Mail Merge'!$D2325,0)</f>
        <v>8790.1037162162156</v>
      </c>
      <c r="K2325" s="201">
        <f>IFERROR('Mail Merge'!$F2325/'Mail Merge'!$D2325,0)</f>
        <v>2746.6824999999999</v>
      </c>
      <c r="L2325" s="201">
        <f>IFERROR('Mail Merge'!$G2325/'Mail Merge'!$D2325,0)</f>
        <v>11536.786216216215</v>
      </c>
      <c r="M2325" s="201"/>
      <c r="N2325" s="201" t="str">
        <f t="shared" si="2"/>
        <v>Met</v>
      </c>
      <c r="O2325" s="201">
        <v>248565</v>
      </c>
      <c r="P2325" s="201">
        <v>8413</v>
      </c>
      <c r="Q2325" s="201">
        <f>'Mail Merge'!$O2325+'Mail Merge'!$P2325</f>
        <v>256978</v>
      </c>
      <c r="R2325" s="201"/>
      <c r="S2325" s="201"/>
      <c r="T2325" s="201"/>
      <c r="U2325" s="201">
        <f>IF(AND('Mail Merge'!$I2325="Did Not Meet",'Mail Merge'!$N2325="Did Not Meet"),MIN(ABS('Mail Merge'!$H2325),ABS('Mail Merge'!$M2325),'Mail Merge'!$Q2325),0)</f>
        <v>0</v>
      </c>
      <c r="V2325" s="201" t="str">
        <f>IF(OR(IFERROR(SEARCH("Met",'Mail Merge'!$N2325),0)&gt;0,IFERROR(SEARCH("Met",'Mail Merge'!$I2325),0)&gt;0),"Met","Not Met")</f>
        <v>Met</v>
      </c>
    </row>
    <row r="2326" spans="1:22" x14ac:dyDescent="0.35">
      <c r="A2326" s="198" t="s">
        <v>180</v>
      </c>
      <c r="B2326" s="199">
        <v>2142</v>
      </c>
      <c r="C2326" s="199" t="s">
        <v>1777</v>
      </c>
      <c r="D2326" s="199">
        <v>6551</v>
      </c>
      <c r="E2326" s="199">
        <v>89425419.949999869</v>
      </c>
      <c r="F2326" s="199">
        <v>0</v>
      </c>
      <c r="G2326" s="199">
        <f>'Mail Merge'!$E2326+'Mail Merge'!$F2326</f>
        <v>89425419.949999869</v>
      </c>
      <c r="H2326" s="199"/>
      <c r="I2326" s="199" t="s">
        <v>2979</v>
      </c>
      <c r="J2326" s="202">
        <f>IFERROR('Mail Merge'!$E2326/'Mail Merge'!$D2326,0)</f>
        <v>13650.651801251697</v>
      </c>
      <c r="K2326" s="199">
        <f>IFERROR('Mail Merge'!$F2326/'Mail Merge'!$D2326,0)</f>
        <v>0</v>
      </c>
      <c r="L2326" s="199">
        <f>IFERROR('Mail Merge'!$G2326/'Mail Merge'!$D2326,0)</f>
        <v>13650.651801251697</v>
      </c>
      <c r="M2326" s="199"/>
      <c r="N2326" s="199" t="str">
        <f t="shared" si="2"/>
        <v>Met</v>
      </c>
      <c r="O2326" s="199">
        <v>8434876</v>
      </c>
      <c r="P2326" s="199">
        <v>161991</v>
      </c>
      <c r="Q2326" s="199">
        <f>'Mail Merge'!$O2326+'Mail Merge'!$P2326</f>
        <v>8596867</v>
      </c>
      <c r="R2326" s="199"/>
      <c r="S2326" s="199"/>
      <c r="T2326" s="199"/>
      <c r="U2326" s="199">
        <f>IF(AND('Mail Merge'!$I2326="Did Not Meet",'Mail Merge'!$N2326="Did Not Meet"),MIN(ABS('Mail Merge'!$H2326),ABS('Mail Merge'!$M2326),'Mail Merge'!$Q2326),0)</f>
        <v>0</v>
      </c>
      <c r="V2326" s="199" t="str">
        <f>IF(OR(IFERROR(SEARCH("Met",'Mail Merge'!$N2326),0)&gt;0,IFERROR(SEARCH("Met",'Mail Merge'!$I2326),0)&gt;0),"Met","Not Met")</f>
        <v>Met</v>
      </c>
    </row>
    <row r="2327" spans="1:22" x14ac:dyDescent="0.35">
      <c r="A2327" s="200" t="s">
        <v>181</v>
      </c>
      <c r="B2327" s="201">
        <v>2104</v>
      </c>
      <c r="C2327" s="201" t="s">
        <v>1777</v>
      </c>
      <c r="D2327" s="201">
        <v>549</v>
      </c>
      <c r="E2327" s="201">
        <v>3540229.2699999986</v>
      </c>
      <c r="F2327" s="201">
        <v>850558</v>
      </c>
      <c r="G2327" s="201">
        <f>'Mail Merge'!$E2327+'Mail Merge'!$F2327</f>
        <v>4390787.2699999986</v>
      </c>
      <c r="H2327" s="201"/>
      <c r="I2327" s="201" t="s">
        <v>241</v>
      </c>
      <c r="J2327" s="204">
        <f>IFERROR('Mail Merge'!$E2327/'Mail Merge'!$D2327,0)</f>
        <v>6448.5050455373384</v>
      </c>
      <c r="K2327" s="201">
        <f>IFERROR('Mail Merge'!$F2327/'Mail Merge'!$D2327,0)</f>
        <v>1549.2859744990892</v>
      </c>
      <c r="L2327" s="201">
        <f>IFERROR('Mail Merge'!$G2327/'Mail Merge'!$D2327,0)</f>
        <v>7997.7910200364277</v>
      </c>
      <c r="M2327" s="201"/>
      <c r="N2327" s="201" t="str">
        <f t="shared" si="2"/>
        <v>Met</v>
      </c>
      <c r="O2327" s="201">
        <v>653170</v>
      </c>
      <c r="P2327" s="201">
        <v>4600</v>
      </c>
      <c r="Q2327" s="201">
        <f>'Mail Merge'!$O2327+'Mail Merge'!$P2327</f>
        <v>657770</v>
      </c>
      <c r="R2327" s="201"/>
      <c r="S2327" s="201"/>
      <c r="T2327" s="201"/>
      <c r="U2327" s="201">
        <f>IF(AND('Mail Merge'!$I2327="Did Not Meet",'Mail Merge'!$N2327="Did Not Meet"),MIN(ABS('Mail Merge'!$H2327),ABS('Mail Merge'!$M2327),'Mail Merge'!$Q2327),0)</f>
        <v>0</v>
      </c>
      <c r="V2327" s="201" t="str">
        <f>IF(OR(IFERROR(SEARCH("Met",'Mail Merge'!$N2327),0)&gt;0,IFERROR(SEARCH("Met",'Mail Merge'!$I2327),0)&gt;0),"Met","Not Met")</f>
        <v>Met</v>
      </c>
    </row>
    <row r="2328" spans="1:22" x14ac:dyDescent="0.35">
      <c r="A2328" s="198" t="s">
        <v>182</v>
      </c>
      <c r="B2328" s="199">
        <v>1944</v>
      </c>
      <c r="C2328" s="199" t="s">
        <v>1777</v>
      </c>
      <c r="D2328" s="199">
        <v>332</v>
      </c>
      <c r="E2328" s="199">
        <v>3566712.7600000007</v>
      </c>
      <c r="F2328" s="199">
        <v>1081977</v>
      </c>
      <c r="G2328" s="199">
        <f>'Mail Merge'!$E2328+'Mail Merge'!$F2328</f>
        <v>4648689.7600000007</v>
      </c>
      <c r="H2328" s="199"/>
      <c r="I2328" s="199" t="s">
        <v>241</v>
      </c>
      <c r="J2328" s="202">
        <f>IFERROR('Mail Merge'!$E2328/'Mail Merge'!$D2328,0)</f>
        <v>10743.110722891568</v>
      </c>
      <c r="K2328" s="199">
        <f>IFERROR('Mail Merge'!$F2328/'Mail Merge'!$D2328,0)</f>
        <v>3258.9668674698796</v>
      </c>
      <c r="L2328" s="199">
        <f>IFERROR('Mail Merge'!$G2328/'Mail Merge'!$D2328,0)</f>
        <v>14002.077590361449</v>
      </c>
      <c r="M2328" s="199"/>
      <c r="N2328" s="199" t="str">
        <f t="shared" si="2"/>
        <v>Met</v>
      </c>
      <c r="O2328" s="199">
        <v>461179</v>
      </c>
      <c r="P2328" s="199">
        <v>7622</v>
      </c>
      <c r="Q2328" s="199">
        <f>'Mail Merge'!$O2328+'Mail Merge'!$P2328</f>
        <v>468801</v>
      </c>
      <c r="R2328" s="199"/>
      <c r="S2328" s="199"/>
      <c r="T2328" s="199"/>
      <c r="U2328" s="199">
        <f>IF(AND('Mail Merge'!$I2328="Did Not Meet",'Mail Merge'!$N2328="Did Not Meet"),MIN(ABS('Mail Merge'!$H2328),ABS('Mail Merge'!$M2328),'Mail Merge'!$Q2328),0)</f>
        <v>0</v>
      </c>
      <c r="V2328" s="199" t="str">
        <f>IF(OR(IFERROR(SEARCH("Met",'Mail Merge'!$N2328),0)&gt;0,IFERROR(SEARCH("Met",'Mail Merge'!$I2328),0)&gt;0),"Met","Not Met")</f>
        <v>Met</v>
      </c>
    </row>
    <row r="2329" spans="1:22" x14ac:dyDescent="0.35">
      <c r="A2329" s="200" t="s">
        <v>183</v>
      </c>
      <c r="B2329" s="201">
        <v>2103</v>
      </c>
      <c r="C2329" s="201" t="s">
        <v>1777</v>
      </c>
      <c r="D2329" s="201">
        <v>275</v>
      </c>
      <c r="E2329" s="201">
        <v>1577760.51</v>
      </c>
      <c r="F2329" s="201">
        <v>386231</v>
      </c>
      <c r="G2329" s="201">
        <f>'Mail Merge'!$E2329+'Mail Merge'!$F2329</f>
        <v>1963991.51</v>
      </c>
      <c r="H2329" s="201"/>
      <c r="I2329" s="201" t="s">
        <v>241</v>
      </c>
      <c r="J2329" s="204">
        <f>IFERROR('Mail Merge'!$E2329/'Mail Merge'!$D2329,0)</f>
        <v>5737.3109454545456</v>
      </c>
      <c r="K2329" s="201">
        <f>IFERROR('Mail Merge'!$F2329/'Mail Merge'!$D2329,0)</f>
        <v>1404.4763636363637</v>
      </c>
      <c r="L2329" s="201">
        <f>IFERROR('Mail Merge'!$G2329/'Mail Merge'!$D2329,0)</f>
        <v>7141.7873090909088</v>
      </c>
      <c r="M2329" s="201"/>
      <c r="N2329" s="201" t="str">
        <f t="shared" si="2"/>
        <v>Did Not Meet</v>
      </c>
      <c r="O2329" s="201">
        <v>162930</v>
      </c>
      <c r="P2329" s="201">
        <v>2434</v>
      </c>
      <c r="Q2329" s="201">
        <f>'Mail Merge'!$O2329+'Mail Merge'!$P2329</f>
        <v>165364</v>
      </c>
      <c r="R2329" s="201"/>
      <c r="S2329" s="201"/>
      <c r="T2329" s="201"/>
      <c r="U2329" s="201">
        <f>IF(AND('Mail Merge'!$I2329="Did Not Meet",'Mail Merge'!$N2329="Did Not Meet"),MIN(ABS('Mail Merge'!$H2329),ABS('Mail Merge'!$M2329),'Mail Merge'!$Q2329),0)</f>
        <v>0</v>
      </c>
      <c r="V2329" s="201" t="str">
        <f>IF(OR(IFERROR(SEARCH("Met",'Mail Merge'!$N2329),0)&gt;0,IFERROR(SEARCH("Met",'Mail Merge'!$I2329),0)&gt;0),"Met","Not Met")</f>
        <v>Met</v>
      </c>
    </row>
    <row r="2330" spans="1:22" x14ac:dyDescent="0.35">
      <c r="A2330" s="198" t="s">
        <v>184</v>
      </c>
      <c r="B2330" s="199">
        <v>1935</v>
      </c>
      <c r="C2330" s="199" t="s">
        <v>1777</v>
      </c>
      <c r="D2330" s="199">
        <v>214</v>
      </c>
      <c r="E2330" s="199">
        <v>2870870.4100000006</v>
      </c>
      <c r="F2330" s="199">
        <v>465952</v>
      </c>
      <c r="G2330" s="199">
        <f>'Mail Merge'!$E2330+'Mail Merge'!$F2330</f>
        <v>3336822.4100000006</v>
      </c>
      <c r="H2330" s="199"/>
      <c r="I2330" s="199" t="s">
        <v>2140</v>
      </c>
      <c r="J2330" s="202">
        <f>IFERROR('Mail Merge'!$E2330/'Mail Merge'!$D2330,0)</f>
        <v>13415.282289719629</v>
      </c>
      <c r="K2330" s="199">
        <f>IFERROR('Mail Merge'!$F2330/'Mail Merge'!$D2330,0)</f>
        <v>2177.3457943925232</v>
      </c>
      <c r="L2330" s="199">
        <f>IFERROR('Mail Merge'!$G2330/'Mail Merge'!$D2330,0)</f>
        <v>15592.628084112152</v>
      </c>
      <c r="M2330" s="199"/>
      <c r="N2330" s="199" t="str">
        <f t="shared" si="2"/>
        <v>Met</v>
      </c>
      <c r="O2330" s="199">
        <v>351217</v>
      </c>
      <c r="P2330" s="199">
        <v>10605</v>
      </c>
      <c r="Q2330" s="199">
        <f>'Mail Merge'!$O2330+'Mail Merge'!$P2330</f>
        <v>361822</v>
      </c>
      <c r="R2330" s="199"/>
      <c r="S2330" s="199"/>
      <c r="T2330" s="199"/>
      <c r="U2330" s="199">
        <f>IF(AND('Mail Merge'!$I2330="Did Not Meet",'Mail Merge'!$N2330="Did Not Meet"),MIN(ABS('Mail Merge'!$H2330),ABS('Mail Merge'!$M2330),'Mail Merge'!$Q2330),0)</f>
        <v>0</v>
      </c>
      <c r="V2330" s="199" t="str">
        <f>IF(OR(IFERROR(SEARCH("Met",'Mail Merge'!$N2330),0)&gt;0,IFERROR(SEARCH("Met",'Mail Merge'!$I2330),0)&gt;0),"Met","Not Met")</f>
        <v>Met</v>
      </c>
    </row>
    <row r="2331" spans="1:22" x14ac:dyDescent="0.35">
      <c r="A2331" s="200" t="s">
        <v>185</v>
      </c>
      <c r="B2331" s="201">
        <v>2257</v>
      </c>
      <c r="C2331" s="201" t="s">
        <v>1777</v>
      </c>
      <c r="D2331" s="201">
        <v>135</v>
      </c>
      <c r="E2331" s="201">
        <v>947545.66000000027</v>
      </c>
      <c r="F2331" s="201">
        <v>192453.36</v>
      </c>
      <c r="G2331" s="201">
        <f>'Mail Merge'!$E2331+'Mail Merge'!$F2331</f>
        <v>1139999.0200000003</v>
      </c>
      <c r="H2331" s="201"/>
      <c r="I2331" s="201" t="s">
        <v>241</v>
      </c>
      <c r="J2331" s="204">
        <f>IFERROR('Mail Merge'!$E2331/'Mail Merge'!$D2331,0)</f>
        <v>7018.8567407407427</v>
      </c>
      <c r="K2331" s="201">
        <f>IFERROR('Mail Merge'!$F2331/'Mail Merge'!$D2331,0)</f>
        <v>1425.5804444444443</v>
      </c>
      <c r="L2331" s="201">
        <f>IFERROR('Mail Merge'!$G2331/'Mail Merge'!$D2331,0)</f>
        <v>8444.4371851851865</v>
      </c>
      <c r="M2331" s="201"/>
      <c r="N2331" s="201" t="str">
        <f t="shared" si="2"/>
        <v>Did Not Meet</v>
      </c>
      <c r="O2331" s="201">
        <v>199544</v>
      </c>
      <c r="P2331" s="201">
        <v>6324</v>
      </c>
      <c r="Q2331" s="201">
        <f>'Mail Merge'!$O2331+'Mail Merge'!$P2331</f>
        <v>205868</v>
      </c>
      <c r="R2331" s="201"/>
      <c r="S2331" s="201"/>
      <c r="T2331" s="201"/>
      <c r="U2331" s="201">
        <f>IF(AND('Mail Merge'!$I2331="Did Not Meet",'Mail Merge'!$N2331="Did Not Meet"),MIN(ABS('Mail Merge'!$H2331),ABS('Mail Merge'!$M2331),'Mail Merge'!$Q2331),0)</f>
        <v>0</v>
      </c>
      <c r="V2331" s="201" t="str">
        <f>IF(OR(IFERROR(SEARCH("Met",'Mail Merge'!$N2331),0)&gt;0,IFERROR(SEARCH("Met",'Mail Merge'!$I2331),0)&gt;0),"Met","Not Met")</f>
        <v>Met</v>
      </c>
    </row>
    <row r="2332" spans="1:22" x14ac:dyDescent="0.35">
      <c r="A2332" s="198" t="s">
        <v>186</v>
      </c>
      <c r="B2332" s="199">
        <v>2195</v>
      </c>
      <c r="C2332" s="199" t="s">
        <v>1777</v>
      </c>
      <c r="D2332" s="199">
        <v>41</v>
      </c>
      <c r="E2332" s="199">
        <v>52606.049999999996</v>
      </c>
      <c r="F2332" s="199">
        <v>246777</v>
      </c>
      <c r="G2332" s="199">
        <f>'Mail Merge'!$E2332+'Mail Merge'!$F2332</f>
        <v>299383.05</v>
      </c>
      <c r="H2332" s="199"/>
      <c r="I2332" s="199" t="s">
        <v>241</v>
      </c>
      <c r="J2332" s="202">
        <f>IFERROR('Mail Merge'!$E2332/'Mail Merge'!$D2332,0)</f>
        <v>1283.0743902439024</v>
      </c>
      <c r="K2332" s="199">
        <f>IFERROR('Mail Merge'!$F2332/'Mail Merge'!$D2332,0)</f>
        <v>6018.9512195121952</v>
      </c>
      <c r="L2332" s="199">
        <f>IFERROR('Mail Merge'!$G2332/'Mail Merge'!$D2332,0)</f>
        <v>7302.0256097560969</v>
      </c>
      <c r="M2332" s="199"/>
      <c r="N2332" s="199" t="str">
        <f t="shared" si="2"/>
        <v>Met</v>
      </c>
      <c r="O2332" s="199">
        <v>66883</v>
      </c>
      <c r="P2332" s="199">
        <v>641</v>
      </c>
      <c r="Q2332" s="199">
        <f>'Mail Merge'!$O2332+'Mail Merge'!$P2332</f>
        <v>67524</v>
      </c>
      <c r="R2332" s="199"/>
      <c r="S2332" s="199"/>
      <c r="T2332" s="199"/>
      <c r="U2332" s="199">
        <f>IF(AND('Mail Merge'!$I2332="Did Not Meet",'Mail Merge'!$N2332="Did Not Meet"),MIN(ABS('Mail Merge'!$H2332),ABS('Mail Merge'!$M2332),'Mail Merge'!$Q2332),0)</f>
        <v>0</v>
      </c>
      <c r="V2332" s="199" t="str">
        <f>IF(OR(IFERROR(SEARCH("Met",'Mail Merge'!$N2332),0)&gt;0,IFERROR(SEARCH("Met",'Mail Merge'!$I2332),0)&gt;0),"Met","Not Met")</f>
        <v>Met</v>
      </c>
    </row>
    <row r="2333" spans="1:22" x14ac:dyDescent="0.35">
      <c r="A2333" s="200" t="s">
        <v>187</v>
      </c>
      <c r="B2333" s="201">
        <v>2244</v>
      </c>
      <c r="C2333" s="201" t="s">
        <v>1777</v>
      </c>
      <c r="D2333" s="201">
        <v>527</v>
      </c>
      <c r="E2333" s="201">
        <v>6465052.0499999998</v>
      </c>
      <c r="F2333" s="201">
        <v>1199319</v>
      </c>
      <c r="G2333" s="201">
        <f>'Mail Merge'!$E2333+'Mail Merge'!$F2333</f>
        <v>7664371.0499999998</v>
      </c>
      <c r="H2333" s="201"/>
      <c r="I2333" s="201" t="s">
        <v>2979</v>
      </c>
      <c r="J2333" s="204">
        <f>IFERROR('Mail Merge'!$E2333/'Mail Merge'!$D2333,0)</f>
        <v>12267.650948766603</v>
      </c>
      <c r="K2333" s="201">
        <f>IFERROR('Mail Merge'!$F2333/'Mail Merge'!$D2333,0)</f>
        <v>2275.7476280834912</v>
      </c>
      <c r="L2333" s="201">
        <f>IFERROR('Mail Merge'!$G2333/'Mail Merge'!$D2333,0)</f>
        <v>14543.398576850095</v>
      </c>
      <c r="M2333" s="201"/>
      <c r="N2333" s="201" t="str">
        <f t="shared" si="2"/>
        <v>Met</v>
      </c>
      <c r="O2333" s="201">
        <v>876504</v>
      </c>
      <c r="P2333" s="201">
        <v>10612</v>
      </c>
      <c r="Q2333" s="201">
        <f>'Mail Merge'!$O2333+'Mail Merge'!$P2333</f>
        <v>887116</v>
      </c>
      <c r="R2333" s="201"/>
      <c r="S2333" s="201"/>
      <c r="T2333" s="201"/>
      <c r="U2333" s="201">
        <f>IF(AND('Mail Merge'!$I2333="Did Not Meet",'Mail Merge'!$N2333="Did Not Meet"),MIN(ABS('Mail Merge'!$H2333),ABS('Mail Merge'!$M2333),'Mail Merge'!$Q2333),0)</f>
        <v>0</v>
      </c>
      <c r="V2333" s="201" t="str">
        <f>IF(OR(IFERROR(SEARCH("Met",'Mail Merge'!$N2333),0)&gt;0,IFERROR(SEARCH("Met",'Mail Merge'!$I2333),0)&gt;0),"Met","Not Met")</f>
        <v>Met</v>
      </c>
    </row>
    <row r="2334" spans="1:22" x14ac:dyDescent="0.35">
      <c r="A2334" s="198" t="s">
        <v>188</v>
      </c>
      <c r="B2334" s="199">
        <v>2138</v>
      </c>
      <c r="C2334" s="199" t="s">
        <v>1777</v>
      </c>
      <c r="D2334" s="199">
        <v>456</v>
      </c>
      <c r="E2334" s="199">
        <v>6099034.7099999962</v>
      </c>
      <c r="F2334" s="199">
        <v>344999.74</v>
      </c>
      <c r="G2334" s="199">
        <f>'Mail Merge'!$E2334+'Mail Merge'!$F2334</f>
        <v>6444034.4499999965</v>
      </c>
      <c r="H2334" s="199"/>
      <c r="I2334" s="199" t="s">
        <v>241</v>
      </c>
      <c r="J2334" s="202">
        <f>IFERROR('Mail Merge'!$E2334/'Mail Merge'!$D2334,0)</f>
        <v>13375.076118421044</v>
      </c>
      <c r="K2334" s="199">
        <f>IFERROR('Mail Merge'!$F2334/'Mail Merge'!$D2334,0)</f>
        <v>756.57837719298243</v>
      </c>
      <c r="L2334" s="199">
        <f>IFERROR('Mail Merge'!$G2334/'Mail Merge'!$D2334,0)</f>
        <v>14131.654495614028</v>
      </c>
      <c r="M2334" s="199"/>
      <c r="N2334" s="199" t="str">
        <f t="shared" si="2"/>
        <v>Did Not Meet</v>
      </c>
      <c r="O2334" s="199">
        <v>723642</v>
      </c>
      <c r="P2334" s="199">
        <v>14655</v>
      </c>
      <c r="Q2334" s="199">
        <f>'Mail Merge'!$O2334+'Mail Merge'!$P2334</f>
        <v>738297</v>
      </c>
      <c r="R2334" s="199"/>
      <c r="S2334" s="199"/>
      <c r="T2334" s="199"/>
      <c r="U2334" s="199">
        <f>IF(AND('Mail Merge'!$I2334="Did Not Meet",'Mail Merge'!$N2334="Did Not Meet"),MIN(ABS('Mail Merge'!$H2334),ABS('Mail Merge'!$M2334),'Mail Merge'!$Q2334),0)</f>
        <v>0</v>
      </c>
      <c r="V2334" s="199" t="str">
        <f>IF(OR(IFERROR(SEARCH("Met",'Mail Merge'!$N2334),0)&gt;0,IFERROR(SEARCH("Met",'Mail Merge'!$I2334),0)&gt;0),"Met","Not Met")</f>
        <v>Met</v>
      </c>
    </row>
    <row r="2335" spans="1:22" x14ac:dyDescent="0.35">
      <c r="A2335" s="200" t="s">
        <v>189</v>
      </c>
      <c r="B2335" s="201">
        <v>1978</v>
      </c>
      <c r="C2335" s="201" t="s">
        <v>1777</v>
      </c>
      <c r="D2335" s="201">
        <v>127</v>
      </c>
      <c r="E2335" s="201">
        <v>1437892.5900000005</v>
      </c>
      <c r="F2335" s="201">
        <v>92465.11</v>
      </c>
      <c r="G2335" s="201">
        <f>'Mail Merge'!$E2335+'Mail Merge'!$F2335</f>
        <v>1530357.7000000007</v>
      </c>
      <c r="H2335" s="201"/>
      <c r="I2335" s="201" t="s">
        <v>241</v>
      </c>
      <c r="J2335" s="204">
        <f>IFERROR('Mail Merge'!$E2335/'Mail Merge'!$D2335,0)</f>
        <v>11321.988897637799</v>
      </c>
      <c r="K2335" s="201">
        <f>IFERROR('Mail Merge'!$F2335/'Mail Merge'!$D2335,0)</f>
        <v>728.0717322834646</v>
      </c>
      <c r="L2335" s="201">
        <f>IFERROR('Mail Merge'!$G2335/'Mail Merge'!$D2335,0)</f>
        <v>12050.060629921265</v>
      </c>
      <c r="M2335" s="201"/>
      <c r="N2335" s="201" t="str">
        <f t="shared" si="2"/>
        <v>Met</v>
      </c>
      <c r="O2335" s="201">
        <v>214350</v>
      </c>
      <c r="P2335" s="201">
        <v>3002</v>
      </c>
      <c r="Q2335" s="201">
        <f>'Mail Merge'!$O2335+'Mail Merge'!$P2335</f>
        <v>217352</v>
      </c>
      <c r="R2335" s="201"/>
      <c r="S2335" s="201"/>
      <c r="T2335" s="201"/>
      <c r="U2335" s="201">
        <f>IF(AND('Mail Merge'!$I2335="Did Not Meet",'Mail Merge'!$N2335="Did Not Meet"),MIN(ABS('Mail Merge'!$H2335),ABS('Mail Merge'!$M2335),'Mail Merge'!$Q2335),0)</f>
        <v>0</v>
      </c>
      <c r="V2335" s="201" t="str">
        <f>IF(OR(IFERROR(SEARCH("Met",'Mail Merge'!$N2335),0)&gt;0,IFERROR(SEARCH("Met",'Mail Merge'!$I2335),0)&gt;0),"Met","Not Met")</f>
        <v>Met</v>
      </c>
    </row>
    <row r="2336" spans="1:22" x14ac:dyDescent="0.35">
      <c r="A2336" s="198" t="s">
        <v>190</v>
      </c>
      <c r="B2336" s="199">
        <v>2096</v>
      </c>
      <c r="C2336" s="199" t="s">
        <v>1777</v>
      </c>
      <c r="D2336" s="199">
        <v>172</v>
      </c>
      <c r="E2336" s="199">
        <v>2064569.91</v>
      </c>
      <c r="F2336" s="199">
        <v>250839</v>
      </c>
      <c r="G2336" s="199">
        <f>'Mail Merge'!$E2336+'Mail Merge'!$F2336</f>
        <v>2315408.91</v>
      </c>
      <c r="H2336" s="199"/>
      <c r="I2336" s="199" t="s">
        <v>241</v>
      </c>
      <c r="J2336" s="202">
        <f>IFERROR('Mail Merge'!$E2336/'Mail Merge'!$D2336,0)</f>
        <v>12003.313430232558</v>
      </c>
      <c r="K2336" s="199">
        <f>IFERROR('Mail Merge'!$F2336/'Mail Merge'!$D2336,0)</f>
        <v>1458.3662790697674</v>
      </c>
      <c r="L2336" s="199">
        <f>IFERROR('Mail Merge'!$G2336/'Mail Merge'!$D2336,0)</f>
        <v>13461.679709302327</v>
      </c>
      <c r="M2336" s="199"/>
      <c r="N2336" s="199" t="str">
        <f t="shared" si="2"/>
        <v>Met</v>
      </c>
      <c r="O2336" s="199">
        <v>299574</v>
      </c>
      <c r="P2336" s="199">
        <v>13419</v>
      </c>
      <c r="Q2336" s="199">
        <f>'Mail Merge'!$O2336+'Mail Merge'!$P2336</f>
        <v>312993</v>
      </c>
      <c r="R2336" s="199"/>
      <c r="S2336" s="199"/>
      <c r="T2336" s="199"/>
      <c r="U2336" s="199">
        <f>IF(AND('Mail Merge'!$I2336="Did Not Meet",'Mail Merge'!$N2336="Did Not Meet"),MIN(ABS('Mail Merge'!$H2336),ABS('Mail Merge'!$M2336),'Mail Merge'!$Q2336),0)</f>
        <v>0</v>
      </c>
      <c r="V2336" s="199" t="str">
        <f>IF(OR(IFERROR(SEARCH("Met",'Mail Merge'!$N2336),0)&gt;0,IFERROR(SEARCH("Met",'Mail Merge'!$I2336),0)&gt;0),"Met","Not Met")</f>
        <v>Met</v>
      </c>
    </row>
    <row r="2337" spans="1:22" x14ac:dyDescent="0.35">
      <c r="A2337" s="200" t="s">
        <v>191</v>
      </c>
      <c r="B2337" s="201">
        <v>2022</v>
      </c>
      <c r="C2337" s="201" t="s">
        <v>1777</v>
      </c>
      <c r="D2337" s="201">
        <v>2</v>
      </c>
      <c r="E2337" s="201">
        <v>0</v>
      </c>
      <c r="F2337" s="201">
        <v>22498.2</v>
      </c>
      <c r="G2337" s="201">
        <f>'Mail Merge'!$E2337+'Mail Merge'!$F2337</f>
        <v>22498.2</v>
      </c>
      <c r="H2337" s="201"/>
      <c r="I2337" s="201" t="s">
        <v>241</v>
      </c>
      <c r="J2337" s="204">
        <f>IFERROR('Mail Merge'!$E2337/'Mail Merge'!$D2337,0)</f>
        <v>0</v>
      </c>
      <c r="K2337" s="201">
        <f>IFERROR('Mail Merge'!$F2337/'Mail Merge'!$D2337,0)</f>
        <v>11249.1</v>
      </c>
      <c r="L2337" s="201">
        <f>IFERROR('Mail Merge'!$G2337/'Mail Merge'!$D2337,0)</f>
        <v>11249.1</v>
      </c>
      <c r="M2337" s="201"/>
      <c r="N2337" s="201" t="str">
        <f t="shared" si="2"/>
        <v>Met</v>
      </c>
      <c r="O2337" s="201">
        <v>3481</v>
      </c>
      <c r="P2337" s="201">
        <v>279</v>
      </c>
      <c r="Q2337" s="201">
        <f>'Mail Merge'!$O2337+'Mail Merge'!$P2337</f>
        <v>3760</v>
      </c>
      <c r="R2337" s="201"/>
      <c r="S2337" s="201"/>
      <c r="T2337" s="201"/>
      <c r="U2337" s="201">
        <f>IF(AND('Mail Merge'!$I2337="Did Not Meet",'Mail Merge'!$N2337="Did Not Meet"),MIN(ABS('Mail Merge'!$H2337),ABS('Mail Merge'!$M2337),'Mail Merge'!$Q2337),0)</f>
        <v>0</v>
      </c>
      <c r="V2337" s="201" t="str">
        <f>IF(OR(IFERROR(SEARCH("Met",'Mail Merge'!$N2337),0)&gt;0,IFERROR(SEARCH("Met",'Mail Merge'!$I2337),0)&gt;0),"Met","Not Met")</f>
        <v>Met</v>
      </c>
    </row>
    <row r="2338" spans="1:22" x14ac:dyDescent="0.35">
      <c r="A2338" s="198" t="s">
        <v>192</v>
      </c>
      <c r="B2338" s="199">
        <v>2087</v>
      </c>
      <c r="C2338" s="199" t="s">
        <v>1777</v>
      </c>
      <c r="D2338" s="199">
        <v>491</v>
      </c>
      <c r="E2338" s="199">
        <v>5557949.7399999993</v>
      </c>
      <c r="F2338" s="199">
        <v>1093893</v>
      </c>
      <c r="G2338" s="199">
        <f>'Mail Merge'!$E2338+'Mail Merge'!$F2338</f>
        <v>6651842.7399999993</v>
      </c>
      <c r="H2338" s="199"/>
      <c r="I2338" s="199" t="s">
        <v>241</v>
      </c>
      <c r="J2338" s="202">
        <f>IFERROR('Mail Merge'!$E2338/'Mail Merge'!$D2338,0)</f>
        <v>11319.653238289204</v>
      </c>
      <c r="K2338" s="199">
        <f>IFERROR('Mail Merge'!$F2338/'Mail Merge'!$D2338,0)</f>
        <v>2227.8879837067211</v>
      </c>
      <c r="L2338" s="199">
        <f>IFERROR('Mail Merge'!$G2338/'Mail Merge'!$D2338,0)</f>
        <v>13547.541221995925</v>
      </c>
      <c r="M2338" s="199"/>
      <c r="N2338" s="199" t="str">
        <f t="shared" si="2"/>
        <v>Met</v>
      </c>
      <c r="O2338" s="199">
        <v>628393</v>
      </c>
      <c r="P2338" s="199">
        <v>17074</v>
      </c>
      <c r="Q2338" s="199">
        <f>'Mail Merge'!$O2338+'Mail Merge'!$P2338</f>
        <v>645467</v>
      </c>
      <c r="R2338" s="199"/>
      <c r="S2338" s="199"/>
      <c r="T2338" s="199"/>
      <c r="U2338" s="199">
        <f>IF(AND('Mail Merge'!$I2338="Did Not Meet",'Mail Merge'!$N2338="Did Not Meet"),MIN(ABS('Mail Merge'!$H2338),ABS('Mail Merge'!$M2338),'Mail Merge'!$Q2338),0)</f>
        <v>0</v>
      </c>
      <c r="V2338" s="199" t="str">
        <f>IF(OR(IFERROR(SEARCH("Met",'Mail Merge'!$N2338),0)&gt;0,IFERROR(SEARCH("Met",'Mail Merge'!$I2338),0)&gt;0),"Met","Not Met")</f>
        <v>Met</v>
      </c>
    </row>
    <row r="2339" spans="1:22" x14ac:dyDescent="0.35">
      <c r="A2339" s="200" t="s">
        <v>193</v>
      </c>
      <c r="B2339" s="201">
        <v>1994</v>
      </c>
      <c r="C2339" s="201" t="s">
        <v>1777</v>
      </c>
      <c r="D2339" s="201">
        <v>238</v>
      </c>
      <c r="E2339" s="201">
        <v>2170740.6899999995</v>
      </c>
      <c r="F2339" s="201">
        <v>373191.81</v>
      </c>
      <c r="G2339" s="201">
        <f>'Mail Merge'!$E2339+'Mail Merge'!$F2339</f>
        <v>2543932.4999999995</v>
      </c>
      <c r="H2339" s="201"/>
      <c r="I2339" s="201" t="s">
        <v>241</v>
      </c>
      <c r="J2339" s="204">
        <f>IFERROR('Mail Merge'!$E2339/'Mail Merge'!$D2339,0)</f>
        <v>9120.7592016806702</v>
      </c>
      <c r="K2339" s="201">
        <f>IFERROR('Mail Merge'!$F2339/'Mail Merge'!$D2339,0)</f>
        <v>1568.0328151260503</v>
      </c>
      <c r="L2339" s="201">
        <f>IFERROR('Mail Merge'!$G2339/'Mail Merge'!$D2339,0)</f>
        <v>10688.792016806721</v>
      </c>
      <c r="M2339" s="201"/>
      <c r="N2339" s="201" t="str">
        <f t="shared" si="2"/>
        <v>Met</v>
      </c>
      <c r="O2339" s="201">
        <v>390019</v>
      </c>
      <c r="P2339" s="201">
        <v>11090</v>
      </c>
      <c r="Q2339" s="201">
        <f>'Mail Merge'!$O2339+'Mail Merge'!$P2339</f>
        <v>401109</v>
      </c>
      <c r="R2339" s="201"/>
      <c r="S2339" s="201"/>
      <c r="T2339" s="201"/>
      <c r="U2339" s="201">
        <f>IF(AND('Mail Merge'!$I2339="Did Not Meet",'Mail Merge'!$N2339="Did Not Meet"),MIN(ABS('Mail Merge'!$H2339),ABS('Mail Merge'!$M2339),'Mail Merge'!$Q2339),0)</f>
        <v>0</v>
      </c>
      <c r="V2339" s="201" t="str">
        <f>IF(OR(IFERROR(SEARCH("Met",'Mail Merge'!$N2339),0)&gt;0,IFERROR(SEARCH("Met",'Mail Merge'!$I2339),0)&gt;0),"Met","Not Met")</f>
        <v>Met</v>
      </c>
    </row>
    <row r="2340" spans="1:22" x14ac:dyDescent="0.35">
      <c r="A2340" s="198" t="s">
        <v>194</v>
      </c>
      <c r="B2340" s="199">
        <v>2225</v>
      </c>
      <c r="C2340" s="199" t="s">
        <v>1777</v>
      </c>
      <c r="D2340" s="199">
        <v>33</v>
      </c>
      <c r="E2340" s="199">
        <v>299810.9200000001</v>
      </c>
      <c r="F2340" s="199">
        <v>0</v>
      </c>
      <c r="G2340" s="199">
        <f>'Mail Merge'!$E2340+'Mail Merge'!$F2340</f>
        <v>299810.9200000001</v>
      </c>
      <c r="H2340" s="199"/>
      <c r="I2340" s="199" t="s">
        <v>241</v>
      </c>
      <c r="J2340" s="202">
        <f>IFERROR('Mail Merge'!$E2340/'Mail Merge'!$D2340,0)</f>
        <v>9085.1793939393974</v>
      </c>
      <c r="K2340" s="199">
        <f>IFERROR('Mail Merge'!$F2340/'Mail Merge'!$D2340,0)</f>
        <v>0</v>
      </c>
      <c r="L2340" s="199">
        <f>IFERROR('Mail Merge'!$G2340/'Mail Merge'!$D2340,0)</f>
        <v>9085.1793939393974</v>
      </c>
      <c r="M2340" s="199"/>
      <c r="N2340" s="199" t="str">
        <f t="shared" si="2"/>
        <v>Met</v>
      </c>
      <c r="O2340" s="199">
        <v>65429</v>
      </c>
      <c r="P2340" s="199">
        <v>4493</v>
      </c>
      <c r="Q2340" s="199">
        <f>'Mail Merge'!$O2340+'Mail Merge'!$P2340</f>
        <v>69922</v>
      </c>
      <c r="R2340" s="199"/>
      <c r="S2340" s="199"/>
      <c r="T2340" s="199"/>
      <c r="U2340" s="199">
        <f>IF(AND('Mail Merge'!$I2340="Did Not Meet",'Mail Merge'!$N2340="Did Not Meet"),MIN(ABS('Mail Merge'!$H2340),ABS('Mail Merge'!$M2340),'Mail Merge'!$Q2340),0)</f>
        <v>0</v>
      </c>
      <c r="V2340" s="199" t="str">
        <f>IF(OR(IFERROR(SEARCH("Met",'Mail Merge'!$N2340),0)&gt;0,IFERROR(SEARCH("Met",'Mail Merge'!$I2340),0)&gt;0),"Met","Not Met")</f>
        <v>Met</v>
      </c>
    </row>
    <row r="2341" spans="1:22" x14ac:dyDescent="0.35">
      <c r="A2341" s="200" t="s">
        <v>195</v>
      </c>
      <c r="B2341" s="201">
        <v>2247</v>
      </c>
      <c r="C2341" s="201" t="s">
        <v>1777</v>
      </c>
      <c r="D2341" s="201">
        <v>3</v>
      </c>
      <c r="E2341" s="201">
        <v>14166.189999999999</v>
      </c>
      <c r="F2341" s="201">
        <v>56234</v>
      </c>
      <c r="G2341" s="201">
        <f>'Mail Merge'!$E2341+'Mail Merge'!$F2341</f>
        <v>70400.19</v>
      </c>
      <c r="H2341" s="201"/>
      <c r="I2341" s="201" t="s">
        <v>241</v>
      </c>
      <c r="J2341" s="204">
        <f>IFERROR('Mail Merge'!$E2341/'Mail Merge'!$D2341,0)</f>
        <v>4722.0633333333326</v>
      </c>
      <c r="K2341" s="201">
        <f>IFERROR('Mail Merge'!$F2341/'Mail Merge'!$D2341,0)</f>
        <v>18744.666666666668</v>
      </c>
      <c r="L2341" s="201">
        <f>IFERROR('Mail Merge'!$G2341/'Mail Merge'!$D2341,0)</f>
        <v>23466.73</v>
      </c>
      <c r="M2341" s="201"/>
      <c r="N2341" s="201" t="str">
        <f t="shared" si="2"/>
        <v>Met</v>
      </c>
      <c r="O2341" s="201">
        <v>10458</v>
      </c>
      <c r="P2341" s="201">
        <v>576</v>
      </c>
      <c r="Q2341" s="201">
        <f>'Mail Merge'!$O2341+'Mail Merge'!$P2341</f>
        <v>11034</v>
      </c>
      <c r="R2341" s="201"/>
      <c r="S2341" s="201"/>
      <c r="T2341" s="201"/>
      <c r="U2341" s="201">
        <f>IF(AND('Mail Merge'!$I2341="Did Not Meet",'Mail Merge'!$N2341="Did Not Meet"),MIN(ABS('Mail Merge'!$H2341),ABS('Mail Merge'!$M2341),'Mail Merge'!$Q2341),0)</f>
        <v>0</v>
      </c>
      <c r="V2341" s="201" t="str">
        <f>IF(OR(IFERROR(SEARCH("Met",'Mail Merge'!$N2341),0)&gt;0,IFERROR(SEARCH("Met",'Mail Merge'!$I2341),0)&gt;0),"Met","Not Met")</f>
        <v>Met</v>
      </c>
    </row>
    <row r="2342" spans="1:22" x14ac:dyDescent="0.35">
      <c r="A2342" s="198" t="s">
        <v>196</v>
      </c>
      <c r="B2342" s="199">
        <v>2083</v>
      </c>
      <c r="C2342" s="199" t="s">
        <v>1777</v>
      </c>
      <c r="D2342" s="199">
        <v>1634</v>
      </c>
      <c r="E2342" s="199">
        <v>19952681.539999999</v>
      </c>
      <c r="F2342" s="199">
        <v>2623379</v>
      </c>
      <c r="G2342" s="199">
        <f>'Mail Merge'!$E2342+'Mail Merge'!$F2342</f>
        <v>22576060.539999999</v>
      </c>
      <c r="H2342" s="199"/>
      <c r="I2342" s="199" t="s">
        <v>241</v>
      </c>
      <c r="J2342" s="202">
        <f>IFERROR('Mail Merge'!$E2342/'Mail Merge'!$D2342,0)</f>
        <v>12210.943414932681</v>
      </c>
      <c r="K2342" s="199">
        <f>IFERROR('Mail Merge'!$F2342/'Mail Merge'!$D2342,0)</f>
        <v>1605.4951040391677</v>
      </c>
      <c r="L2342" s="199">
        <f>IFERROR('Mail Merge'!$G2342/'Mail Merge'!$D2342,0)</f>
        <v>13816.438518971847</v>
      </c>
      <c r="M2342" s="199"/>
      <c r="N2342" s="199" t="str">
        <f t="shared" si="2"/>
        <v>Met</v>
      </c>
      <c r="O2342" s="199">
        <v>2394755</v>
      </c>
      <c r="P2342" s="199">
        <v>88373</v>
      </c>
      <c r="Q2342" s="199">
        <f>'Mail Merge'!$O2342+'Mail Merge'!$P2342</f>
        <v>2483128</v>
      </c>
      <c r="R2342" s="199"/>
      <c r="S2342" s="199"/>
      <c r="T2342" s="199"/>
      <c r="U2342" s="199">
        <f>IF(AND('Mail Merge'!$I2342="Did Not Meet",'Mail Merge'!$N2342="Did Not Meet"),MIN(ABS('Mail Merge'!$H2342),ABS('Mail Merge'!$M2342),'Mail Merge'!$Q2342),0)</f>
        <v>0</v>
      </c>
      <c r="V2342" s="199" t="str">
        <f>IF(OR(IFERROR(SEARCH("Met",'Mail Merge'!$N2342),0)&gt;0,IFERROR(SEARCH("Met",'Mail Merge'!$I2342),0)&gt;0),"Met","Not Met")</f>
        <v>Met</v>
      </c>
    </row>
    <row r="2343" spans="1:22" x14ac:dyDescent="0.35">
      <c r="A2343" s="200" t="s">
        <v>197</v>
      </c>
      <c r="B2343" s="201">
        <v>1948</v>
      </c>
      <c r="C2343" s="201" t="s">
        <v>1777</v>
      </c>
      <c r="D2343" s="201">
        <v>452</v>
      </c>
      <c r="E2343" s="201">
        <v>4452772.2299999986</v>
      </c>
      <c r="F2343" s="201">
        <v>803149</v>
      </c>
      <c r="G2343" s="201">
        <f>'Mail Merge'!$E2343+'Mail Merge'!$F2343</f>
        <v>5255921.2299999986</v>
      </c>
      <c r="H2343" s="201"/>
      <c r="I2343" s="201" t="s">
        <v>2979</v>
      </c>
      <c r="J2343" s="204">
        <f>IFERROR('Mail Merge'!$E2343/'Mail Merge'!$D2343,0)</f>
        <v>9851.2659955752188</v>
      </c>
      <c r="K2343" s="201">
        <f>IFERROR('Mail Merge'!$F2343/'Mail Merge'!$D2343,0)</f>
        <v>1776.8783185840707</v>
      </c>
      <c r="L2343" s="201">
        <f>IFERROR('Mail Merge'!$G2343/'Mail Merge'!$D2343,0)</f>
        <v>11628.144314159288</v>
      </c>
      <c r="M2343" s="201"/>
      <c r="N2343" s="201" t="str">
        <f t="shared" si="2"/>
        <v>Did Not Meet</v>
      </c>
      <c r="O2343" s="201">
        <v>667475</v>
      </c>
      <c r="P2343" s="201">
        <v>22443</v>
      </c>
      <c r="Q2343" s="201">
        <f>'Mail Merge'!$O2343+'Mail Merge'!$P2343</f>
        <v>689918</v>
      </c>
      <c r="R2343" s="201"/>
      <c r="S2343" s="201"/>
      <c r="T2343" s="201"/>
      <c r="U2343" s="201">
        <f>IF(AND('Mail Merge'!$I2343="Did Not Meet",'Mail Merge'!$N2343="Did Not Meet"),MIN(ABS('Mail Merge'!$H2343),ABS('Mail Merge'!$M2343),'Mail Merge'!$Q2343),0)</f>
        <v>0</v>
      </c>
      <c r="V2343" s="201" t="str">
        <f>IF(OR(IFERROR(SEARCH("Met",'Mail Merge'!$N2343),0)&gt;0,IFERROR(SEARCH("Met",'Mail Merge'!$I2343),0)&gt;0),"Met","Not Met")</f>
        <v>Met</v>
      </c>
    </row>
    <row r="2344" spans="1:22" x14ac:dyDescent="0.35">
      <c r="A2344" s="198" t="s">
        <v>198</v>
      </c>
      <c r="B2344" s="199">
        <v>2144</v>
      </c>
      <c r="C2344" s="199" t="s">
        <v>1777</v>
      </c>
      <c r="D2344" s="199">
        <v>15</v>
      </c>
      <c r="E2344" s="199">
        <v>129528.70999999999</v>
      </c>
      <c r="F2344" s="199">
        <v>27688.91</v>
      </c>
      <c r="G2344" s="199">
        <f>'Mail Merge'!$E2344+'Mail Merge'!$F2344</f>
        <v>157217.62</v>
      </c>
      <c r="H2344" s="199"/>
      <c r="I2344" s="199" t="s">
        <v>241</v>
      </c>
      <c r="J2344" s="202">
        <f>IFERROR('Mail Merge'!$E2344/'Mail Merge'!$D2344,0)</f>
        <v>8635.2473333333328</v>
      </c>
      <c r="K2344" s="199">
        <f>IFERROR('Mail Merge'!$F2344/'Mail Merge'!$D2344,0)</f>
        <v>1845.9273333333333</v>
      </c>
      <c r="L2344" s="199">
        <f>IFERROR('Mail Merge'!$G2344/'Mail Merge'!$D2344,0)</f>
        <v>10481.174666666666</v>
      </c>
      <c r="M2344" s="199"/>
      <c r="N2344" s="199" t="str">
        <f t="shared" si="2"/>
        <v>Did Not Meet</v>
      </c>
      <c r="O2344" s="199">
        <v>56797</v>
      </c>
      <c r="P2344" s="199">
        <v>1634</v>
      </c>
      <c r="Q2344" s="199">
        <f>'Mail Merge'!$O2344+'Mail Merge'!$P2344</f>
        <v>58431</v>
      </c>
      <c r="R2344" s="199"/>
      <c r="S2344" s="199"/>
      <c r="T2344" s="199"/>
      <c r="U2344" s="199">
        <f>IF(AND('Mail Merge'!$I2344="Did Not Meet",'Mail Merge'!$N2344="Did Not Meet"),MIN(ABS('Mail Merge'!$H2344),ABS('Mail Merge'!$M2344),'Mail Merge'!$Q2344),0)</f>
        <v>0</v>
      </c>
      <c r="V2344" s="199" t="str">
        <f>IF(OR(IFERROR(SEARCH("Met",'Mail Merge'!$N2344),0)&gt;0,IFERROR(SEARCH("Met",'Mail Merge'!$I2344),0)&gt;0),"Met","Not Met")</f>
        <v>Met</v>
      </c>
    </row>
    <row r="2345" spans="1:22" x14ac:dyDescent="0.35">
      <c r="A2345" s="200" t="s">
        <v>199</v>
      </c>
      <c r="B2345" s="201">
        <v>2209</v>
      </c>
      <c r="C2345" s="201" t="s">
        <v>1777</v>
      </c>
      <c r="D2345" s="201">
        <v>75</v>
      </c>
      <c r="E2345" s="201">
        <v>638970.99</v>
      </c>
      <c r="F2345" s="201">
        <v>143031.63</v>
      </c>
      <c r="G2345" s="201">
        <f>'Mail Merge'!$E2345+'Mail Merge'!$F2345</f>
        <v>782002.62</v>
      </c>
      <c r="H2345" s="201"/>
      <c r="I2345" s="201" t="s">
        <v>2979</v>
      </c>
      <c r="J2345" s="204">
        <f>IFERROR('Mail Merge'!$E2345/'Mail Merge'!$D2345,0)</f>
        <v>8519.6131999999998</v>
      </c>
      <c r="K2345" s="201">
        <f>IFERROR('Mail Merge'!$F2345/'Mail Merge'!$D2345,0)</f>
        <v>1907.0884000000001</v>
      </c>
      <c r="L2345" s="201">
        <f>IFERROR('Mail Merge'!$G2345/'Mail Merge'!$D2345,0)</f>
        <v>10426.7016</v>
      </c>
      <c r="M2345" s="201"/>
      <c r="N2345" s="201" t="str">
        <f t="shared" si="2"/>
        <v>Met</v>
      </c>
      <c r="O2345" s="201">
        <v>114412</v>
      </c>
      <c r="P2345" s="201">
        <v>3197</v>
      </c>
      <c r="Q2345" s="201">
        <f>'Mail Merge'!$O2345+'Mail Merge'!$P2345</f>
        <v>117609</v>
      </c>
      <c r="R2345" s="201"/>
      <c r="S2345" s="201"/>
      <c r="T2345" s="201"/>
      <c r="U2345" s="201">
        <f>IF(AND('Mail Merge'!$I2345="Did Not Meet",'Mail Merge'!$N2345="Did Not Meet"),MIN(ABS('Mail Merge'!$H2345),ABS('Mail Merge'!$M2345),'Mail Merge'!$Q2345),0)</f>
        <v>0</v>
      </c>
      <c r="V2345" s="201" t="str">
        <f>IF(OR(IFERROR(SEARCH("Met",'Mail Merge'!$N2345),0)&gt;0,IFERROR(SEARCH("Met",'Mail Merge'!$I2345),0)&gt;0),"Met","Not Met")</f>
        <v>Met</v>
      </c>
    </row>
    <row r="2346" spans="1:22" x14ac:dyDescent="0.35">
      <c r="A2346" s="198" t="s">
        <v>200</v>
      </c>
      <c r="B2346" s="199">
        <v>2018</v>
      </c>
      <c r="C2346" s="199" t="s">
        <v>1777</v>
      </c>
      <c r="D2346" s="199">
        <v>0</v>
      </c>
      <c r="E2346" s="199">
        <v>0</v>
      </c>
      <c r="F2346" s="199">
        <v>16233</v>
      </c>
      <c r="G2346" s="199">
        <f>'Mail Merge'!$E2346+'Mail Merge'!$F2346</f>
        <v>16233</v>
      </c>
      <c r="H2346" s="199"/>
      <c r="I2346" s="199" t="s">
        <v>2140</v>
      </c>
      <c r="J2346" s="202">
        <f>IFERROR('Mail Merge'!$E2346/'Mail Merge'!$D2346,0)</f>
        <v>0</v>
      </c>
      <c r="K2346" s="199">
        <f>IFERROR('Mail Merge'!$F2346/'Mail Merge'!$D2346,0)</f>
        <v>0</v>
      </c>
      <c r="L2346" s="199">
        <f>IFERROR('Mail Merge'!$G2346/'Mail Merge'!$D2346,0)</f>
        <v>0</v>
      </c>
      <c r="M2346" s="199"/>
      <c r="N2346" s="199" t="str">
        <f t="shared" si="2"/>
        <v>Did Not Meet</v>
      </c>
      <c r="O2346" s="199">
        <v>1573</v>
      </c>
      <c r="P2346" s="199">
        <v>2</v>
      </c>
      <c r="Q2346" s="199">
        <f>'Mail Merge'!$O2346+'Mail Merge'!$P2346</f>
        <v>1575</v>
      </c>
      <c r="R2346" s="199"/>
      <c r="S2346" s="199"/>
      <c r="T2346" s="199"/>
      <c r="U2346" s="199">
        <f>IF(AND('Mail Merge'!$I2346="Did Not Meet",'Mail Merge'!$N2346="Did Not Meet"),MIN(ABS('Mail Merge'!$H2346),ABS('Mail Merge'!$M2346),'Mail Merge'!$Q2346),0)</f>
        <v>0</v>
      </c>
      <c r="V2346" s="199" t="str">
        <f>IF(OR(IFERROR(SEARCH("Met",'Mail Merge'!$N2346),0)&gt;0,IFERROR(SEARCH("Met",'Mail Merge'!$I2346),0)&gt;0),"Met","Not Met")</f>
        <v>Met</v>
      </c>
    </row>
    <row r="2347" spans="1:22" x14ac:dyDescent="0.35">
      <c r="A2347" s="200" t="s">
        <v>201</v>
      </c>
      <c r="B2347" s="201">
        <v>2003</v>
      </c>
      <c r="C2347" s="201" t="s">
        <v>1777</v>
      </c>
      <c r="D2347" s="201">
        <v>212</v>
      </c>
      <c r="E2347" s="201">
        <v>1394651</v>
      </c>
      <c r="F2347" s="201">
        <v>299165.27</v>
      </c>
      <c r="G2347" s="201">
        <f>'Mail Merge'!$E2347+'Mail Merge'!$F2347</f>
        <v>1693816.27</v>
      </c>
      <c r="H2347" s="201"/>
      <c r="I2347" s="201" t="s">
        <v>241</v>
      </c>
      <c r="J2347" s="204">
        <f>IFERROR('Mail Merge'!$E2347/'Mail Merge'!$D2347,0)</f>
        <v>6578.5424528301883</v>
      </c>
      <c r="K2347" s="201">
        <f>IFERROR('Mail Merge'!$F2347/'Mail Merge'!$D2347,0)</f>
        <v>1411.1569339622642</v>
      </c>
      <c r="L2347" s="201">
        <f>IFERROR('Mail Merge'!$G2347/'Mail Merge'!$D2347,0)</f>
        <v>7989.699386792453</v>
      </c>
      <c r="M2347" s="201"/>
      <c r="N2347" s="201" t="str">
        <f t="shared" si="2"/>
        <v>Did Not Meet</v>
      </c>
      <c r="O2347" s="201">
        <v>306930</v>
      </c>
      <c r="P2347" s="201">
        <v>8576</v>
      </c>
      <c r="Q2347" s="201">
        <f>'Mail Merge'!$O2347+'Mail Merge'!$P2347</f>
        <v>315506</v>
      </c>
      <c r="R2347" s="201"/>
      <c r="S2347" s="201"/>
      <c r="T2347" s="201"/>
      <c r="U2347" s="201">
        <f>IF(AND('Mail Merge'!$I2347="Did Not Meet",'Mail Merge'!$N2347="Did Not Meet"),MIN(ABS('Mail Merge'!$H2347),ABS('Mail Merge'!$M2347),'Mail Merge'!$Q2347),0)</f>
        <v>0</v>
      </c>
      <c r="V2347" s="201" t="str">
        <f>IF(OR(IFERROR(SEARCH("Met",'Mail Merge'!$N2347),0)&gt;0,IFERROR(SEARCH("Met",'Mail Merge'!$I2347),0)&gt;0),"Met","Not Met")</f>
        <v>Met</v>
      </c>
    </row>
    <row r="2348" spans="1:22" x14ac:dyDescent="0.35">
      <c r="A2348" s="198" t="s">
        <v>202</v>
      </c>
      <c r="B2348" s="199">
        <v>2102</v>
      </c>
      <c r="C2348" s="199" t="s">
        <v>1777</v>
      </c>
      <c r="D2348" s="199">
        <v>407</v>
      </c>
      <c r="E2348" s="199">
        <v>3193917.6399999978</v>
      </c>
      <c r="F2348" s="199">
        <v>531309</v>
      </c>
      <c r="G2348" s="199">
        <f>'Mail Merge'!$E2348+'Mail Merge'!$F2348</f>
        <v>3725226.6399999978</v>
      </c>
      <c r="H2348" s="199"/>
      <c r="I2348" s="199" t="s">
        <v>241</v>
      </c>
      <c r="J2348" s="202">
        <f>IFERROR('Mail Merge'!$E2348/'Mail Merge'!$D2348,0)</f>
        <v>7847.4634889434838</v>
      </c>
      <c r="K2348" s="199">
        <f>IFERROR('Mail Merge'!$F2348/'Mail Merge'!$D2348,0)</f>
        <v>1305.4275184275184</v>
      </c>
      <c r="L2348" s="199">
        <f>IFERROR('Mail Merge'!$G2348/'Mail Merge'!$D2348,0)</f>
        <v>9152.8910073710013</v>
      </c>
      <c r="M2348" s="199"/>
      <c r="N2348" s="199" t="str">
        <f t="shared" si="2"/>
        <v>Did Not Meet</v>
      </c>
      <c r="O2348" s="199">
        <v>567561</v>
      </c>
      <c r="P2348" s="199">
        <v>12491</v>
      </c>
      <c r="Q2348" s="199">
        <f>'Mail Merge'!$O2348+'Mail Merge'!$P2348</f>
        <v>580052</v>
      </c>
      <c r="R2348" s="199"/>
      <c r="S2348" s="199"/>
      <c r="T2348" s="199"/>
      <c r="U2348" s="199">
        <f>IF(AND('Mail Merge'!$I2348="Did Not Meet",'Mail Merge'!$N2348="Did Not Meet"),MIN(ABS('Mail Merge'!$H2348),ABS('Mail Merge'!$M2348),'Mail Merge'!$Q2348),0)</f>
        <v>0</v>
      </c>
      <c r="V2348" s="199" t="str">
        <f>IF(OR(IFERROR(SEARCH("Met",'Mail Merge'!$N2348),0)&gt;0,IFERROR(SEARCH("Met",'Mail Merge'!$I2348),0)&gt;0),"Met","Not Met")</f>
        <v>Met</v>
      </c>
    </row>
    <row r="2349" spans="1:22" x14ac:dyDescent="0.35">
      <c r="A2349" s="200" t="s">
        <v>203</v>
      </c>
      <c r="B2349" s="201">
        <v>2055</v>
      </c>
      <c r="C2349" s="201" t="s">
        <v>1777</v>
      </c>
      <c r="D2349" s="201">
        <v>608</v>
      </c>
      <c r="E2349" s="201">
        <v>8243797.4100000039</v>
      </c>
      <c r="F2349" s="201">
        <v>239451.53</v>
      </c>
      <c r="G2349" s="201">
        <f>'Mail Merge'!$E2349+'Mail Merge'!$F2349</f>
        <v>8483248.9400000032</v>
      </c>
      <c r="H2349" s="201"/>
      <c r="I2349" s="201" t="s">
        <v>241</v>
      </c>
      <c r="J2349" s="204">
        <f>IFERROR('Mail Merge'!$E2349/'Mail Merge'!$D2349,0)</f>
        <v>13558.877319078954</v>
      </c>
      <c r="K2349" s="201">
        <f>IFERROR('Mail Merge'!$F2349/'Mail Merge'!$D2349,0)</f>
        <v>393.83475328947367</v>
      </c>
      <c r="L2349" s="201">
        <f>IFERROR('Mail Merge'!$G2349/'Mail Merge'!$D2349,0)</f>
        <v>13952.712072368426</v>
      </c>
      <c r="M2349" s="201"/>
      <c r="N2349" s="201" t="str">
        <f t="shared" si="2"/>
        <v>Did Not Meet</v>
      </c>
      <c r="O2349" s="201">
        <v>1245372</v>
      </c>
      <c r="P2349" s="201">
        <v>36651</v>
      </c>
      <c r="Q2349" s="201">
        <f>'Mail Merge'!$O2349+'Mail Merge'!$P2349</f>
        <v>1282023</v>
      </c>
      <c r="R2349" s="201"/>
      <c r="S2349" s="201"/>
      <c r="T2349" s="201"/>
      <c r="U2349" s="201">
        <f>IF(AND('Mail Merge'!$I2349="Did Not Meet",'Mail Merge'!$N2349="Did Not Meet"),MIN(ABS('Mail Merge'!$H2349),ABS('Mail Merge'!$M2349),'Mail Merge'!$Q2349),0)</f>
        <v>0</v>
      </c>
      <c r="V2349" s="201" t="str">
        <f>IF(OR(IFERROR(SEARCH("Met",'Mail Merge'!$N2349),0)&gt;0,IFERROR(SEARCH("Met",'Mail Merge'!$I2349),0)&gt;0),"Met","Not Met")</f>
        <v>Met</v>
      </c>
    </row>
    <row r="2350" spans="1:22" x14ac:dyDescent="0.35">
      <c r="A2350" s="198" t="s">
        <v>204</v>
      </c>
      <c r="B2350" s="199">
        <v>2242</v>
      </c>
      <c r="C2350" s="199" t="s">
        <v>1777</v>
      </c>
      <c r="D2350" s="199">
        <v>1343</v>
      </c>
      <c r="E2350" s="199">
        <v>13009743.749999998</v>
      </c>
      <c r="F2350" s="199">
        <v>3629408</v>
      </c>
      <c r="G2350" s="199">
        <f>'Mail Merge'!$E2350+'Mail Merge'!$F2350</f>
        <v>16639151.749999998</v>
      </c>
      <c r="H2350" s="199"/>
      <c r="I2350" s="199" t="s">
        <v>241</v>
      </c>
      <c r="J2350" s="202">
        <f>IFERROR('Mail Merge'!$E2350/'Mail Merge'!$D2350,0)</f>
        <v>9687.0765078183158</v>
      </c>
      <c r="K2350" s="199">
        <f>IFERROR('Mail Merge'!$F2350/'Mail Merge'!$D2350,0)</f>
        <v>2702.4631422189127</v>
      </c>
      <c r="L2350" s="199">
        <f>IFERROR('Mail Merge'!$G2350/'Mail Merge'!$D2350,0)</f>
        <v>12389.539650037228</v>
      </c>
      <c r="M2350" s="199"/>
      <c r="N2350" s="199" t="str">
        <f t="shared" si="2"/>
        <v>Met</v>
      </c>
      <c r="O2350" s="199">
        <v>2454322</v>
      </c>
      <c r="P2350" s="199">
        <v>50544</v>
      </c>
      <c r="Q2350" s="199">
        <f>'Mail Merge'!$O2350+'Mail Merge'!$P2350</f>
        <v>2504866</v>
      </c>
      <c r="R2350" s="199"/>
      <c r="S2350" s="199"/>
      <c r="T2350" s="199"/>
      <c r="U2350" s="199">
        <f>IF(AND('Mail Merge'!$I2350="Did Not Meet",'Mail Merge'!$N2350="Did Not Meet"),MIN(ABS('Mail Merge'!$H2350),ABS('Mail Merge'!$M2350),'Mail Merge'!$Q2350),0)</f>
        <v>0</v>
      </c>
      <c r="V2350" s="199" t="str">
        <f>IF(OR(IFERROR(SEARCH("Met",'Mail Merge'!$N2350),0)&gt;0,IFERROR(SEARCH("Met",'Mail Merge'!$I2350),0)&gt;0),"Met","Not Met")</f>
        <v>Met</v>
      </c>
    </row>
    <row r="2351" spans="1:22" x14ac:dyDescent="0.35">
      <c r="A2351" s="200" t="s">
        <v>205</v>
      </c>
      <c r="B2351" s="201">
        <v>2197</v>
      </c>
      <c r="C2351" s="201" t="s">
        <v>1777</v>
      </c>
      <c r="D2351" s="201">
        <v>352</v>
      </c>
      <c r="E2351" s="201">
        <v>3889420.1400000006</v>
      </c>
      <c r="F2351" s="201">
        <v>593778</v>
      </c>
      <c r="G2351" s="201">
        <f>'Mail Merge'!$E2351+'Mail Merge'!$F2351</f>
        <v>4483198.1400000006</v>
      </c>
      <c r="H2351" s="201"/>
      <c r="I2351" s="201" t="s">
        <v>241</v>
      </c>
      <c r="J2351" s="204">
        <f>IFERROR('Mail Merge'!$E2351/'Mail Merge'!$D2351,0)</f>
        <v>11049.489034090911</v>
      </c>
      <c r="K2351" s="201">
        <f>IFERROR('Mail Merge'!$F2351/'Mail Merge'!$D2351,0)</f>
        <v>1686.8693181818182</v>
      </c>
      <c r="L2351" s="201">
        <f>IFERROR('Mail Merge'!$G2351/'Mail Merge'!$D2351,0)</f>
        <v>12736.358352272729</v>
      </c>
      <c r="M2351" s="201"/>
      <c r="N2351" s="201" t="str">
        <f t="shared" si="2"/>
        <v>Did Not Meet</v>
      </c>
      <c r="O2351" s="201">
        <v>521119</v>
      </c>
      <c r="P2351" s="201">
        <v>11990</v>
      </c>
      <c r="Q2351" s="201">
        <f>'Mail Merge'!$O2351+'Mail Merge'!$P2351</f>
        <v>533109</v>
      </c>
      <c r="R2351" s="201"/>
      <c r="S2351" s="201"/>
      <c r="T2351" s="201"/>
      <c r="U2351" s="201">
        <f>IF(AND('Mail Merge'!$I2351="Did Not Meet",'Mail Merge'!$N2351="Did Not Meet"),MIN(ABS('Mail Merge'!$H2351),ABS('Mail Merge'!$M2351),'Mail Merge'!$Q2351),0)</f>
        <v>0</v>
      </c>
      <c r="V2351" s="201" t="str">
        <f>IF(OR(IFERROR(SEARCH("Met",'Mail Merge'!$N2351),0)&gt;0,IFERROR(SEARCH("Met",'Mail Merge'!$I2351),0)&gt;0),"Met","Not Met")</f>
        <v>Met</v>
      </c>
    </row>
    <row r="2352" spans="1:22" x14ac:dyDescent="0.35">
      <c r="A2352" s="198" t="s">
        <v>206</v>
      </c>
      <c r="B2352" s="199">
        <v>2222</v>
      </c>
      <c r="C2352" s="199" t="s">
        <v>1777</v>
      </c>
      <c r="D2352" s="199">
        <v>0</v>
      </c>
      <c r="E2352" s="199">
        <v>0</v>
      </c>
      <c r="F2352" s="199">
        <v>3700</v>
      </c>
      <c r="G2352" s="199">
        <f>'Mail Merge'!$E2352+'Mail Merge'!$F2352</f>
        <v>3700</v>
      </c>
      <c r="H2352" s="199"/>
      <c r="I2352" s="199" t="s">
        <v>241</v>
      </c>
      <c r="J2352" s="202">
        <f>IFERROR('Mail Merge'!$E2352/'Mail Merge'!$D2352,0)</f>
        <v>0</v>
      </c>
      <c r="K2352" s="199">
        <f>IFERROR('Mail Merge'!$F2352/'Mail Merge'!$D2352,0)</f>
        <v>0</v>
      </c>
      <c r="L2352" s="199">
        <f>IFERROR('Mail Merge'!$G2352/'Mail Merge'!$D2352,0)</f>
        <v>0</v>
      </c>
      <c r="M2352" s="199"/>
      <c r="N2352" s="199" t="str">
        <f t="shared" si="2"/>
        <v>Met</v>
      </c>
      <c r="O2352" s="199">
        <v>2279</v>
      </c>
      <c r="P2352" s="199">
        <v>1</v>
      </c>
      <c r="Q2352" s="199">
        <f>'Mail Merge'!$O2352+'Mail Merge'!$P2352</f>
        <v>2280</v>
      </c>
      <c r="R2352" s="199"/>
      <c r="S2352" s="199"/>
      <c r="T2352" s="199"/>
      <c r="U2352" s="199">
        <f>IF(AND('Mail Merge'!$I2352="Did Not Meet",'Mail Merge'!$N2352="Did Not Meet"),MIN(ABS('Mail Merge'!$H2352),ABS('Mail Merge'!$M2352),'Mail Merge'!$Q2352),0)</f>
        <v>0</v>
      </c>
      <c r="V2352" s="199" t="str">
        <f>IF(OR(IFERROR(SEARCH("Met",'Mail Merge'!$N2352),0)&gt;0,IFERROR(SEARCH("Met",'Mail Merge'!$I2352),0)&gt;0),"Met","Not Met")</f>
        <v>Met</v>
      </c>
    </row>
    <row r="2353" spans="1:22" x14ac:dyDescent="0.35">
      <c r="A2353" s="200" t="s">
        <v>207</v>
      </c>
      <c r="B2353" s="201">
        <v>2210</v>
      </c>
      <c r="C2353" s="201" t="s">
        <v>1777</v>
      </c>
      <c r="D2353" s="201">
        <v>3</v>
      </c>
      <c r="E2353" s="201">
        <v>10700.55</v>
      </c>
      <c r="F2353" s="201">
        <v>8168.12</v>
      </c>
      <c r="G2353" s="201">
        <f>'Mail Merge'!$E2353+'Mail Merge'!$F2353</f>
        <v>18868.669999999998</v>
      </c>
      <c r="H2353" s="201"/>
      <c r="I2353" s="201" t="s">
        <v>241</v>
      </c>
      <c r="J2353" s="204">
        <f>IFERROR('Mail Merge'!$E2353/'Mail Merge'!$D2353,0)</f>
        <v>3566.85</v>
      </c>
      <c r="K2353" s="201">
        <f>IFERROR('Mail Merge'!$F2353/'Mail Merge'!$D2353,0)</f>
        <v>2722.7066666666665</v>
      </c>
      <c r="L2353" s="201">
        <f>IFERROR('Mail Merge'!$G2353/'Mail Merge'!$D2353,0)</f>
        <v>6289.5566666666664</v>
      </c>
      <c r="M2353" s="201"/>
      <c r="N2353" s="201" t="str">
        <f t="shared" si="2"/>
        <v>Met</v>
      </c>
      <c r="O2353" s="201">
        <v>6846</v>
      </c>
      <c r="P2353" s="201">
        <v>15</v>
      </c>
      <c r="Q2353" s="201">
        <f>'Mail Merge'!$O2353+'Mail Merge'!$P2353</f>
        <v>6861</v>
      </c>
      <c r="R2353" s="201"/>
      <c r="S2353" s="201"/>
      <c r="T2353" s="201"/>
      <c r="U2353" s="201">
        <f>IF(AND('Mail Merge'!$I2353="Did Not Meet",'Mail Merge'!$N2353="Did Not Meet"),MIN(ABS('Mail Merge'!$H2353),ABS('Mail Merge'!$M2353),'Mail Merge'!$Q2353),0)</f>
        <v>0</v>
      </c>
      <c r="V2353" s="201" t="str">
        <f>IF(OR(IFERROR(SEARCH("Met",'Mail Merge'!$N2353),0)&gt;0,IFERROR(SEARCH("Met",'Mail Merge'!$I2353),0)&gt;0),"Met","Not Met")</f>
        <v>Met</v>
      </c>
    </row>
    <row r="2354" spans="1:22" x14ac:dyDescent="0.35">
      <c r="A2354" s="198" t="s">
        <v>208</v>
      </c>
      <c r="B2354" s="199">
        <v>2204</v>
      </c>
      <c r="C2354" s="199" t="s">
        <v>1777</v>
      </c>
      <c r="D2354" s="199">
        <v>153</v>
      </c>
      <c r="E2354" s="199">
        <v>1504119.5699999998</v>
      </c>
      <c r="F2354" s="199">
        <v>282110.95</v>
      </c>
      <c r="G2354" s="199">
        <f>'Mail Merge'!$E2354+'Mail Merge'!$F2354</f>
        <v>1786230.5199999998</v>
      </c>
      <c r="H2354" s="199"/>
      <c r="I2354" s="199" t="s">
        <v>241</v>
      </c>
      <c r="J2354" s="202">
        <f>IFERROR('Mail Merge'!$E2354/'Mail Merge'!$D2354,0)</f>
        <v>9830.8468627450966</v>
      </c>
      <c r="K2354" s="199">
        <f>IFERROR('Mail Merge'!$F2354/'Mail Merge'!$D2354,0)</f>
        <v>1843.8624183006536</v>
      </c>
      <c r="L2354" s="199">
        <f>IFERROR('Mail Merge'!$G2354/'Mail Merge'!$D2354,0)</f>
        <v>11674.709281045751</v>
      </c>
      <c r="M2354" s="199"/>
      <c r="N2354" s="199" t="str">
        <f t="shared" si="2"/>
        <v>Did Not Meet</v>
      </c>
      <c r="O2354" s="199">
        <v>287918</v>
      </c>
      <c r="P2354" s="199">
        <v>6680</v>
      </c>
      <c r="Q2354" s="199">
        <f>'Mail Merge'!$O2354+'Mail Merge'!$P2354</f>
        <v>294598</v>
      </c>
      <c r="R2354" s="199"/>
      <c r="S2354" s="199"/>
      <c r="T2354" s="199"/>
      <c r="U2354" s="199">
        <f>IF(AND('Mail Merge'!$I2354="Did Not Meet",'Mail Merge'!$N2354="Did Not Meet"),MIN(ABS('Mail Merge'!$H2354),ABS('Mail Merge'!$M2354),'Mail Merge'!$Q2354),0)</f>
        <v>0</v>
      </c>
      <c r="V2354" s="199" t="str">
        <f>IF(OR(IFERROR(SEARCH("Met",'Mail Merge'!$N2354),0)&gt;0,IFERROR(SEARCH("Met",'Mail Merge'!$I2354),0)&gt;0),"Met","Not Met")</f>
        <v>Met</v>
      </c>
    </row>
    <row r="2355" spans="1:22" x14ac:dyDescent="0.35">
      <c r="A2355" s="200" t="s">
        <v>209</v>
      </c>
      <c r="B2355" s="201">
        <v>2213</v>
      </c>
      <c r="C2355" s="201" t="s">
        <v>1777</v>
      </c>
      <c r="D2355" s="201">
        <v>54</v>
      </c>
      <c r="E2355" s="201">
        <v>393606.41000000003</v>
      </c>
      <c r="F2355" s="201">
        <v>81042.11</v>
      </c>
      <c r="G2355" s="201">
        <f>'Mail Merge'!$E2355+'Mail Merge'!$F2355</f>
        <v>474648.52</v>
      </c>
      <c r="H2355" s="201"/>
      <c r="I2355" s="201" t="s">
        <v>241</v>
      </c>
      <c r="J2355" s="204">
        <f>IFERROR('Mail Merge'!$E2355/'Mail Merge'!$D2355,0)</f>
        <v>7289.007592592593</v>
      </c>
      <c r="K2355" s="201">
        <f>IFERROR('Mail Merge'!$F2355/'Mail Merge'!$D2355,0)</f>
        <v>1500.7798148148149</v>
      </c>
      <c r="L2355" s="201">
        <f>IFERROR('Mail Merge'!$G2355/'Mail Merge'!$D2355,0)</f>
        <v>8789.787407407408</v>
      </c>
      <c r="M2355" s="201"/>
      <c r="N2355" s="201" t="str">
        <f t="shared" si="2"/>
        <v>Did Not Meet</v>
      </c>
      <c r="O2355" s="201">
        <v>83671</v>
      </c>
      <c r="P2355" s="201">
        <v>685</v>
      </c>
      <c r="Q2355" s="201">
        <f>'Mail Merge'!$O2355+'Mail Merge'!$P2355</f>
        <v>84356</v>
      </c>
      <c r="R2355" s="201"/>
      <c r="S2355" s="201"/>
      <c r="T2355" s="201"/>
      <c r="U2355" s="201">
        <f>IF(AND('Mail Merge'!$I2355="Did Not Meet",'Mail Merge'!$N2355="Did Not Meet"),MIN(ABS('Mail Merge'!$H2355),ABS('Mail Merge'!$M2355),'Mail Merge'!$Q2355),0)</f>
        <v>0</v>
      </c>
      <c r="V2355" s="201" t="str">
        <f>IF(OR(IFERROR(SEARCH("Met",'Mail Merge'!$N2355),0)&gt;0,IFERROR(SEARCH("Met",'Mail Merge'!$I2355),0)&gt;0),"Met","Not Met")</f>
        <v>Met</v>
      </c>
    </row>
    <row r="2356" spans="1:22" x14ac:dyDescent="0.35">
      <c r="A2356" s="198" t="s">
        <v>210</v>
      </c>
      <c r="B2356" s="199">
        <v>2116</v>
      </c>
      <c r="C2356" s="199" t="s">
        <v>1777</v>
      </c>
      <c r="D2356" s="199">
        <v>96</v>
      </c>
      <c r="E2356" s="199">
        <v>907179.99</v>
      </c>
      <c r="F2356" s="199">
        <v>308411.40999999997</v>
      </c>
      <c r="G2356" s="199">
        <f>'Mail Merge'!$E2356+'Mail Merge'!$F2356</f>
        <v>1215591.3999999999</v>
      </c>
      <c r="H2356" s="199"/>
      <c r="I2356" s="199" t="s">
        <v>241</v>
      </c>
      <c r="J2356" s="202">
        <f>IFERROR('Mail Merge'!$E2356/'Mail Merge'!$D2356,0)</f>
        <v>9449.7915625000005</v>
      </c>
      <c r="K2356" s="199">
        <f>IFERROR('Mail Merge'!$F2356/'Mail Merge'!$D2356,0)</f>
        <v>3212.6188541666666</v>
      </c>
      <c r="L2356" s="199">
        <f>IFERROR('Mail Merge'!$G2356/'Mail Merge'!$D2356,0)</f>
        <v>12662.410416666666</v>
      </c>
      <c r="M2356" s="199"/>
      <c r="N2356" s="199" t="str">
        <f t="shared" si="2"/>
        <v>Met</v>
      </c>
      <c r="O2356" s="199">
        <v>204290</v>
      </c>
      <c r="P2356" s="199">
        <v>2491</v>
      </c>
      <c r="Q2356" s="199">
        <f>'Mail Merge'!$O2356+'Mail Merge'!$P2356</f>
        <v>206781</v>
      </c>
      <c r="R2356" s="199"/>
      <c r="S2356" s="199"/>
      <c r="T2356" s="199"/>
      <c r="U2356" s="199">
        <f>IF(AND('Mail Merge'!$I2356="Did Not Meet",'Mail Merge'!$N2356="Did Not Meet"),MIN(ABS('Mail Merge'!$H2356),ABS('Mail Merge'!$M2356),'Mail Merge'!$Q2356),0)</f>
        <v>0</v>
      </c>
      <c r="V2356" s="199" t="str">
        <f>IF(OR(IFERROR(SEARCH("Met",'Mail Merge'!$N2356),0)&gt;0,IFERROR(SEARCH("Met",'Mail Merge'!$I2356),0)&gt;0),"Met","Not Met")</f>
        <v>Met</v>
      </c>
    </row>
    <row r="2357" spans="1:22" x14ac:dyDescent="0.35">
      <c r="A2357" s="200" t="s">
        <v>211</v>
      </c>
      <c r="B2357" s="201">
        <v>1947</v>
      </c>
      <c r="C2357" s="201" t="s">
        <v>1777</v>
      </c>
      <c r="D2357" s="201">
        <v>94</v>
      </c>
      <c r="E2357" s="201">
        <v>1230943.6400000004</v>
      </c>
      <c r="F2357" s="201">
        <v>84411</v>
      </c>
      <c r="G2357" s="201">
        <f>'Mail Merge'!$E2357+'Mail Merge'!$F2357</f>
        <v>1315354.6400000004</v>
      </c>
      <c r="H2357" s="201"/>
      <c r="I2357" s="201" t="s">
        <v>2979</v>
      </c>
      <c r="J2357" s="204">
        <f>IFERROR('Mail Merge'!$E2357/'Mail Merge'!$D2357,0)</f>
        <v>13095.145106382983</v>
      </c>
      <c r="K2357" s="201">
        <f>IFERROR('Mail Merge'!$F2357/'Mail Merge'!$D2357,0)</f>
        <v>897.98936170212767</v>
      </c>
      <c r="L2357" s="201">
        <f>IFERROR('Mail Merge'!$G2357/'Mail Merge'!$D2357,0)</f>
        <v>13993.134468085111</v>
      </c>
      <c r="M2357" s="201"/>
      <c r="N2357" s="201" t="str">
        <f t="shared" si="2"/>
        <v>Did Not Meet</v>
      </c>
      <c r="O2357" s="201">
        <v>143689</v>
      </c>
      <c r="P2357" s="201">
        <v>5652</v>
      </c>
      <c r="Q2357" s="201">
        <f>'Mail Merge'!$O2357+'Mail Merge'!$P2357</f>
        <v>149341</v>
      </c>
      <c r="R2357" s="201"/>
      <c r="S2357" s="201"/>
      <c r="T2357" s="201"/>
      <c r="U2357" s="201">
        <f>IF(AND('Mail Merge'!$I2357="Did Not Meet",'Mail Merge'!$N2357="Did Not Meet"),MIN(ABS('Mail Merge'!$H2357),ABS('Mail Merge'!$M2357),'Mail Merge'!$Q2357),0)</f>
        <v>0</v>
      </c>
      <c r="V2357" s="201" t="str">
        <f>IF(OR(IFERROR(SEARCH("Met",'Mail Merge'!$N2357),0)&gt;0,IFERROR(SEARCH("Met",'Mail Merge'!$I2357),0)&gt;0),"Met","Not Met")</f>
        <v>Met</v>
      </c>
    </row>
    <row r="2358" spans="1:22" x14ac:dyDescent="0.35">
      <c r="A2358" s="198" t="s">
        <v>212</v>
      </c>
      <c r="B2358" s="199">
        <v>2220</v>
      </c>
      <c r="C2358" s="199" t="s">
        <v>1777</v>
      </c>
      <c r="D2358" s="199">
        <v>29</v>
      </c>
      <c r="E2358" s="199">
        <v>147377.24000000002</v>
      </c>
      <c r="F2358" s="199">
        <v>162548.58000000002</v>
      </c>
      <c r="G2358" s="199">
        <f>'Mail Merge'!$E2358+'Mail Merge'!$F2358</f>
        <v>309925.82000000007</v>
      </c>
      <c r="H2358" s="199"/>
      <c r="I2358" s="199" t="s">
        <v>2979</v>
      </c>
      <c r="J2358" s="202">
        <f>IFERROR('Mail Merge'!$E2358/'Mail Merge'!$D2358,0)</f>
        <v>5081.9737931034488</v>
      </c>
      <c r="K2358" s="199">
        <f>IFERROR('Mail Merge'!$F2358/'Mail Merge'!$D2358,0)</f>
        <v>5605.1234482758628</v>
      </c>
      <c r="L2358" s="199">
        <f>IFERROR('Mail Merge'!$G2358/'Mail Merge'!$D2358,0)</f>
        <v>10687.097241379313</v>
      </c>
      <c r="M2358" s="199"/>
      <c r="N2358" s="199" t="str">
        <f t="shared" si="2"/>
        <v>Did Not Meet</v>
      </c>
      <c r="O2358" s="199">
        <v>63922</v>
      </c>
      <c r="P2358" s="199">
        <v>2055</v>
      </c>
      <c r="Q2358" s="199">
        <f>'Mail Merge'!$O2358+'Mail Merge'!$P2358</f>
        <v>65977</v>
      </c>
      <c r="R2358" s="199"/>
      <c r="S2358" s="199"/>
      <c r="T2358" s="199"/>
      <c r="U2358" s="199">
        <f>IF(AND('Mail Merge'!$I2358="Did Not Meet",'Mail Merge'!$N2358="Did Not Meet"),MIN(ABS('Mail Merge'!$H2358),ABS('Mail Merge'!$M2358),'Mail Merge'!$Q2358),0)</f>
        <v>0</v>
      </c>
      <c r="V2358" s="199" t="str">
        <f>IF(OR(IFERROR(SEARCH("Met",'Mail Merge'!$N2358),0)&gt;0,IFERROR(SEARCH("Met",'Mail Merge'!$I2358),0)&gt;0),"Met","Not Met")</f>
        <v>Met</v>
      </c>
    </row>
    <row r="2359" spans="1:22" x14ac:dyDescent="0.35">
      <c r="A2359" s="200" t="s">
        <v>213</v>
      </c>
      <c r="B2359" s="201">
        <v>1936</v>
      </c>
      <c r="C2359" s="201" t="s">
        <v>1777</v>
      </c>
      <c r="D2359" s="201">
        <v>148</v>
      </c>
      <c r="E2359" s="201">
        <v>1555305.0699999998</v>
      </c>
      <c r="F2359" s="201">
        <v>329359</v>
      </c>
      <c r="G2359" s="201">
        <f>'Mail Merge'!$E2359+'Mail Merge'!$F2359</f>
        <v>1884664.0699999998</v>
      </c>
      <c r="H2359" s="201"/>
      <c r="I2359" s="201" t="s">
        <v>241</v>
      </c>
      <c r="J2359" s="204">
        <f>IFERROR('Mail Merge'!$E2359/'Mail Merge'!$D2359,0)</f>
        <v>10508.81804054054</v>
      </c>
      <c r="K2359" s="201">
        <f>IFERROR('Mail Merge'!$F2359/'Mail Merge'!$D2359,0)</f>
        <v>2225.3986486486488</v>
      </c>
      <c r="L2359" s="201">
        <f>IFERROR('Mail Merge'!$G2359/'Mail Merge'!$D2359,0)</f>
        <v>12734.216689189188</v>
      </c>
      <c r="M2359" s="201"/>
      <c r="N2359" s="201" t="str">
        <f t="shared" si="2"/>
        <v>Did Not Meet</v>
      </c>
      <c r="O2359" s="201">
        <v>224536</v>
      </c>
      <c r="P2359" s="201">
        <v>5448</v>
      </c>
      <c r="Q2359" s="201">
        <f>'Mail Merge'!$O2359+'Mail Merge'!$P2359</f>
        <v>229984</v>
      </c>
      <c r="R2359" s="201"/>
      <c r="S2359" s="201"/>
      <c r="T2359" s="201"/>
      <c r="U2359" s="201">
        <f>IF(AND('Mail Merge'!$I2359="Did Not Meet",'Mail Merge'!$N2359="Did Not Meet"),MIN(ABS('Mail Merge'!$H2359),ABS('Mail Merge'!$M2359),'Mail Merge'!$Q2359),0)</f>
        <v>0</v>
      </c>
      <c r="V2359" s="201" t="str">
        <f>IF(OR(IFERROR(SEARCH("Met",'Mail Merge'!$N2359),0)&gt;0,IFERROR(SEARCH("Met",'Mail Merge'!$I2359),0)&gt;0),"Met","Not Met")</f>
        <v>Met</v>
      </c>
    </row>
    <row r="2360" spans="1:22" x14ac:dyDescent="0.35">
      <c r="A2360" s="198" t="s">
        <v>214</v>
      </c>
      <c r="B2360" s="199">
        <v>1922</v>
      </c>
      <c r="C2360" s="199" t="s">
        <v>1777</v>
      </c>
      <c r="D2360" s="199">
        <v>1039</v>
      </c>
      <c r="E2360" s="199">
        <v>13198498.540000001</v>
      </c>
      <c r="F2360" s="199">
        <v>0</v>
      </c>
      <c r="G2360" s="199">
        <f>'Mail Merge'!$E2360+'Mail Merge'!$F2360</f>
        <v>13198498.540000001</v>
      </c>
      <c r="H2360" s="199"/>
      <c r="I2360" s="199" t="s">
        <v>241</v>
      </c>
      <c r="J2360" s="202">
        <f>IFERROR('Mail Merge'!$E2360/'Mail Merge'!$D2360,0)</f>
        <v>12703.078479307027</v>
      </c>
      <c r="K2360" s="199">
        <f>IFERROR('Mail Merge'!$F2360/'Mail Merge'!$D2360,0)</f>
        <v>0</v>
      </c>
      <c r="L2360" s="199">
        <f>IFERROR('Mail Merge'!$G2360/'Mail Merge'!$D2360,0)</f>
        <v>12703.078479307027</v>
      </c>
      <c r="M2360" s="199"/>
      <c r="N2360" s="199" t="str">
        <f t="shared" si="2"/>
        <v>Met</v>
      </c>
      <c r="O2360" s="199">
        <v>1761071</v>
      </c>
      <c r="P2360" s="199">
        <v>32237</v>
      </c>
      <c r="Q2360" s="199">
        <f>'Mail Merge'!$O2360+'Mail Merge'!$P2360</f>
        <v>1793308</v>
      </c>
      <c r="R2360" s="199"/>
      <c r="S2360" s="199"/>
      <c r="T2360" s="199"/>
      <c r="U2360" s="199">
        <f>IF(AND('Mail Merge'!$I2360="Did Not Meet",'Mail Merge'!$N2360="Did Not Meet"),MIN(ABS('Mail Merge'!$H2360),ABS('Mail Merge'!$M2360),'Mail Merge'!$Q2360),0)</f>
        <v>0</v>
      </c>
      <c r="V2360" s="199" t="str">
        <f>IF(OR(IFERROR(SEARCH("Met",'Mail Merge'!$N2360),0)&gt;0,IFERROR(SEARCH("Met",'Mail Merge'!$I2360),0)&gt;0),"Met","Not Met")</f>
        <v>Met</v>
      </c>
    </row>
    <row r="2361" spans="1:22" x14ac:dyDescent="0.35">
      <c r="A2361" s="200" t="s">
        <v>215</v>
      </c>
      <c r="B2361" s="201">
        <v>2255</v>
      </c>
      <c r="C2361" s="201" t="s">
        <v>1777</v>
      </c>
      <c r="D2361" s="201">
        <v>126</v>
      </c>
      <c r="E2361" s="201">
        <v>1089081.3600000001</v>
      </c>
      <c r="F2361" s="201">
        <v>54332.32</v>
      </c>
      <c r="G2361" s="201">
        <f>'Mail Merge'!$E2361+'Mail Merge'!$F2361</f>
        <v>1143413.6800000002</v>
      </c>
      <c r="H2361" s="201"/>
      <c r="I2361" s="201" t="s">
        <v>241</v>
      </c>
      <c r="J2361" s="204">
        <f>IFERROR('Mail Merge'!$E2361/'Mail Merge'!$D2361,0)</f>
        <v>8643.5028571428575</v>
      </c>
      <c r="K2361" s="201">
        <f>IFERROR('Mail Merge'!$F2361/'Mail Merge'!$D2361,0)</f>
        <v>431.20888888888891</v>
      </c>
      <c r="L2361" s="201">
        <f>IFERROR('Mail Merge'!$G2361/'Mail Merge'!$D2361,0)</f>
        <v>9074.7117460317477</v>
      </c>
      <c r="M2361" s="201"/>
      <c r="N2361" s="201" t="str">
        <f t="shared" si="2"/>
        <v>Met</v>
      </c>
      <c r="O2361" s="201">
        <v>255166</v>
      </c>
      <c r="P2361" s="201">
        <v>8894</v>
      </c>
      <c r="Q2361" s="201">
        <f>'Mail Merge'!$O2361+'Mail Merge'!$P2361</f>
        <v>264060</v>
      </c>
      <c r="R2361" s="201"/>
      <c r="S2361" s="201"/>
      <c r="T2361" s="201"/>
      <c r="U2361" s="201">
        <f>IF(AND('Mail Merge'!$I2361="Did Not Meet",'Mail Merge'!$N2361="Did Not Meet"),MIN(ABS('Mail Merge'!$H2361),ABS('Mail Merge'!$M2361),'Mail Merge'!$Q2361),0)</f>
        <v>0</v>
      </c>
      <c r="V2361" s="201" t="str">
        <f>IF(OR(IFERROR(SEARCH("Met",'Mail Merge'!$N2361),0)&gt;0,IFERROR(SEARCH("Met",'Mail Merge'!$I2361),0)&gt;0),"Met","Not Met")</f>
        <v>Met</v>
      </c>
    </row>
    <row r="2362" spans="1:22" x14ac:dyDescent="0.35">
      <c r="A2362" s="198" t="s">
        <v>216</v>
      </c>
      <c r="B2362" s="199">
        <v>2002</v>
      </c>
      <c r="C2362" s="199" t="s">
        <v>1777</v>
      </c>
      <c r="D2362" s="199">
        <v>218</v>
      </c>
      <c r="E2362" s="199">
        <v>1830619.8899999997</v>
      </c>
      <c r="F2362" s="199">
        <v>409099.69999999995</v>
      </c>
      <c r="G2362" s="199">
        <f>'Mail Merge'!$E2362+'Mail Merge'!$F2362</f>
        <v>2239719.59</v>
      </c>
      <c r="H2362" s="199"/>
      <c r="I2362" s="199" t="s">
        <v>241</v>
      </c>
      <c r="J2362" s="202">
        <f>IFERROR('Mail Merge'!$E2362/'Mail Merge'!$D2362,0)</f>
        <v>8397.3389449541264</v>
      </c>
      <c r="K2362" s="199">
        <f>IFERROR('Mail Merge'!$F2362/'Mail Merge'!$D2362,0)</f>
        <v>1876.6041284403668</v>
      </c>
      <c r="L2362" s="199">
        <f>IFERROR('Mail Merge'!$G2362/'Mail Merge'!$D2362,0)</f>
        <v>10273.943073394496</v>
      </c>
      <c r="M2362" s="199"/>
      <c r="N2362" s="199" t="str">
        <f t="shared" ref="N2362:N2365" si="3">IF(L2362&gt;=L2165,"Met","Did Not Meet")</f>
        <v>Did Not Meet</v>
      </c>
      <c r="O2362" s="199">
        <v>334262</v>
      </c>
      <c r="P2362" s="199">
        <v>14355</v>
      </c>
      <c r="Q2362" s="199">
        <f>'Mail Merge'!$O2362+'Mail Merge'!$P2362</f>
        <v>348617</v>
      </c>
      <c r="R2362" s="199"/>
      <c r="S2362" s="199"/>
      <c r="T2362" s="199"/>
      <c r="U2362" s="199">
        <f>IF(AND('Mail Merge'!$I2362="Did Not Meet",'Mail Merge'!$N2362="Did Not Meet"),MIN(ABS('Mail Merge'!$H2362),ABS('Mail Merge'!$M2362),'Mail Merge'!$Q2362),0)</f>
        <v>0</v>
      </c>
      <c r="V2362" s="199" t="str">
        <f>IF(OR(IFERROR(SEARCH("Met",'Mail Merge'!$N2362),0)&gt;0,IFERROR(SEARCH("Met",'Mail Merge'!$I2362),0)&gt;0),"Met","Not Met")</f>
        <v>Met</v>
      </c>
    </row>
    <row r="2363" spans="1:22" x14ac:dyDescent="0.35">
      <c r="A2363" s="200" t="s">
        <v>217</v>
      </c>
      <c r="B2363" s="201">
        <v>2146</v>
      </c>
      <c r="C2363" s="201" t="s">
        <v>1777</v>
      </c>
      <c r="D2363" s="201">
        <v>762</v>
      </c>
      <c r="E2363" s="201">
        <v>9532208.6200000029</v>
      </c>
      <c r="F2363" s="201">
        <v>410243.48</v>
      </c>
      <c r="G2363" s="201">
        <f>'Mail Merge'!$E2363+'Mail Merge'!$F2363</f>
        <v>9942452.1000000034</v>
      </c>
      <c r="H2363" s="201"/>
      <c r="I2363" s="201" t="s">
        <v>241</v>
      </c>
      <c r="J2363" s="204">
        <f>IFERROR('Mail Merge'!$E2363/'Mail Merge'!$D2363,0)</f>
        <v>12509.4601312336</v>
      </c>
      <c r="K2363" s="201">
        <f>IFERROR('Mail Merge'!$F2363/'Mail Merge'!$D2363,0)</f>
        <v>538.37727034120735</v>
      </c>
      <c r="L2363" s="201">
        <f>IFERROR('Mail Merge'!$G2363/'Mail Merge'!$D2363,0)</f>
        <v>13047.837401574807</v>
      </c>
      <c r="M2363" s="201"/>
      <c r="N2363" s="201" t="str">
        <f t="shared" si="3"/>
        <v>Met</v>
      </c>
      <c r="O2363" s="201">
        <v>1061122</v>
      </c>
      <c r="P2363" s="201">
        <v>16523</v>
      </c>
      <c r="Q2363" s="201">
        <f>'Mail Merge'!$O2363+'Mail Merge'!$P2363</f>
        <v>1077645</v>
      </c>
      <c r="R2363" s="201"/>
      <c r="S2363" s="201"/>
      <c r="T2363" s="201"/>
      <c r="U2363" s="201">
        <f>IF(AND('Mail Merge'!$I2363="Did Not Meet",'Mail Merge'!$N2363="Did Not Meet"),MIN(ABS('Mail Merge'!$H2363),ABS('Mail Merge'!$M2363),'Mail Merge'!$Q2363),0)</f>
        <v>0</v>
      </c>
      <c r="V2363" s="201" t="str">
        <f>IF(OR(IFERROR(SEARCH("Met",'Mail Merge'!$N2363),0)&gt;0,IFERROR(SEARCH("Met",'Mail Merge'!$I2363),0)&gt;0),"Met","Not Met")</f>
        <v>Met</v>
      </c>
    </row>
    <row r="2364" spans="1:22" x14ac:dyDescent="0.35">
      <c r="A2364" s="198" t="s">
        <v>218</v>
      </c>
      <c r="B2364" s="199">
        <v>2251</v>
      </c>
      <c r="C2364" s="199" t="s">
        <v>1777</v>
      </c>
      <c r="D2364" s="199">
        <v>113</v>
      </c>
      <c r="E2364" s="199">
        <v>1580492.76</v>
      </c>
      <c r="F2364" s="199">
        <v>142458.36000000002</v>
      </c>
      <c r="G2364" s="199">
        <f>'Mail Merge'!$E2364+'Mail Merge'!$F2364</f>
        <v>1722951.12</v>
      </c>
      <c r="H2364" s="199"/>
      <c r="I2364" s="199" t="s">
        <v>241</v>
      </c>
      <c r="J2364" s="202">
        <f>IFERROR('Mail Merge'!$E2364/'Mail Merge'!$D2364,0)</f>
        <v>13986.661592920354</v>
      </c>
      <c r="K2364" s="199">
        <f>IFERROR('Mail Merge'!$F2364/'Mail Merge'!$D2364,0)</f>
        <v>1260.6934513274336</v>
      </c>
      <c r="L2364" s="199">
        <f>IFERROR('Mail Merge'!$G2364/'Mail Merge'!$D2364,0)</f>
        <v>15247.355044247788</v>
      </c>
      <c r="M2364" s="199"/>
      <c r="N2364" s="199" t="str">
        <f t="shared" si="3"/>
        <v>Met</v>
      </c>
      <c r="O2364" s="199">
        <v>243472</v>
      </c>
      <c r="P2364" s="199">
        <v>6353</v>
      </c>
      <c r="Q2364" s="199">
        <f>'Mail Merge'!$O2364+'Mail Merge'!$P2364</f>
        <v>249825</v>
      </c>
      <c r="R2364" s="199"/>
      <c r="S2364" s="199"/>
      <c r="T2364" s="199"/>
      <c r="U2364" s="199">
        <f>IF(AND('Mail Merge'!$I2364="Did Not Meet",'Mail Merge'!$N2364="Did Not Meet"),MIN(ABS('Mail Merge'!$H2364),ABS('Mail Merge'!$M2364),'Mail Merge'!$Q2364),0)</f>
        <v>0</v>
      </c>
      <c r="V2364" s="199" t="str">
        <f>IF(OR(IFERROR(SEARCH("Met",'Mail Merge'!$N2364),0)&gt;0,IFERROR(SEARCH("Met",'Mail Merge'!$I2364),0)&gt;0),"Met","Not Met")</f>
        <v>Met</v>
      </c>
    </row>
    <row r="2365" spans="1:22" x14ac:dyDescent="0.35">
      <c r="A2365" s="109" t="s">
        <v>219</v>
      </c>
      <c r="B2365" s="194">
        <v>1997</v>
      </c>
      <c r="C2365" s="194" t="s">
        <v>1777</v>
      </c>
      <c r="D2365" s="194">
        <v>38</v>
      </c>
      <c r="E2365" s="194">
        <v>277138.14</v>
      </c>
      <c r="F2365" s="194">
        <v>61935.14</v>
      </c>
      <c r="G2365" s="194">
        <f>'Mail Merge'!$E2365+'Mail Merge'!$F2365</f>
        <v>339073.28000000003</v>
      </c>
      <c r="H2365" s="194"/>
      <c r="I2365" s="194" t="s">
        <v>2140</v>
      </c>
      <c r="J2365" s="215">
        <f>IFERROR('Mail Merge'!$E2365/'Mail Merge'!$D2365,0)</f>
        <v>7293.1089473684215</v>
      </c>
      <c r="K2365" s="194">
        <f>IFERROR('Mail Merge'!$F2365/'Mail Merge'!$D2365,0)</f>
        <v>1629.8721052631579</v>
      </c>
      <c r="L2365" s="194">
        <f>IFERROR('Mail Merge'!$G2365/'Mail Merge'!$D2365,0)</f>
        <v>8922.9810526315796</v>
      </c>
      <c r="M2365" s="194"/>
      <c r="N2365" s="194" t="str">
        <f t="shared" si="3"/>
        <v>Did Not Meet</v>
      </c>
      <c r="O2365" s="194">
        <v>66760</v>
      </c>
      <c r="P2365" s="194">
        <v>2089</v>
      </c>
      <c r="Q2365" s="194">
        <f>'Mail Merge'!$O2365+'Mail Merge'!$P2365</f>
        <v>68849</v>
      </c>
      <c r="R2365" s="194"/>
      <c r="S2365" s="194"/>
      <c r="T2365" s="194"/>
      <c r="U2365" s="194">
        <f>IF(AND('Mail Merge'!$I2365="Did Not Meet",'Mail Merge'!$N2365="Did Not Meet"),MIN(ABS('Mail Merge'!$H2365),ABS('Mail Merge'!$M2365),'Mail Merge'!$Q2365),0)</f>
        <v>0</v>
      </c>
      <c r="V2365" s="194" t="str">
        <f>IF(OR(IFERROR(SEARCH("Met",'Mail Merge'!$N2365),0)&gt;0,IFERROR(SEARCH("Met",'Mail Merge'!$I2365),0)&gt;0),"Met","Not Met")</f>
        <v>Met</v>
      </c>
    </row>
  </sheetData>
  <sheetProtection selectLockedCells="1" selectUnlockedCell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29A67-2805-472B-B75C-4BAC7023FE6E}">
  <sheetPr codeName="Sheet26"/>
  <dimension ref="A1:AA6"/>
  <sheetViews>
    <sheetView workbookViewId="0"/>
  </sheetViews>
  <sheetFormatPr defaultRowHeight="14.5" x14ac:dyDescent="0.35"/>
  <cols>
    <col min="1" max="1" width="10" bestFit="1" customWidth="1"/>
    <col min="2" max="2" width="24.1796875" bestFit="1" customWidth="1"/>
    <col min="3" max="3" width="10.26953125" bestFit="1" customWidth="1"/>
    <col min="4" max="4" width="11" bestFit="1" customWidth="1"/>
    <col min="5" max="5" width="6" bestFit="1" customWidth="1"/>
    <col min="6" max="6" width="14" customWidth="1"/>
    <col min="7" max="7" width="23.453125" customWidth="1"/>
    <col min="8" max="8" width="22.453125" bestFit="1" customWidth="1"/>
    <col min="9" max="9" width="9.54296875" bestFit="1" customWidth="1"/>
    <col min="10" max="10" width="12.1796875" customWidth="1"/>
    <col min="11" max="12" width="9.453125" customWidth="1"/>
    <col min="13" max="13" width="22.81640625" bestFit="1" customWidth="1"/>
    <col min="14" max="14" width="35.7265625" bestFit="1" customWidth="1"/>
  </cols>
  <sheetData>
    <row r="1" spans="1:27" ht="15" thickBot="1" x14ac:dyDescent="0.4"/>
    <row r="2" spans="1:27" ht="15" thickBot="1" x14ac:dyDescent="0.4">
      <c r="A2">
        <f>LeaName</f>
        <v>0</v>
      </c>
      <c r="B2" s="181" t="s">
        <v>2974</v>
      </c>
      <c r="C2" s="182" t="s">
        <v>220</v>
      </c>
      <c r="D2" s="191" t="s">
        <v>1627</v>
      </c>
      <c r="E2" s="190" t="s">
        <v>1628</v>
      </c>
      <c r="F2" s="183"/>
      <c r="G2" s="181" t="s">
        <v>2974</v>
      </c>
      <c r="H2" s="181" t="s">
        <v>2977</v>
      </c>
      <c r="I2" s="191" t="s">
        <v>1627</v>
      </c>
      <c r="J2" s="190" t="s">
        <v>1628</v>
      </c>
      <c r="M2" t="s">
        <v>2976</v>
      </c>
      <c r="AA2" t="s">
        <v>2973</v>
      </c>
    </row>
    <row r="3" spans="1:27" ht="15" thickBot="1" x14ac:dyDescent="0.4">
      <c r="B3" s="187" t="s">
        <v>2975</v>
      </c>
      <c r="C3" s="188" t="str">
        <f>MOE!B19</f>
        <v>2022-2023</v>
      </c>
      <c r="D3" s="192" t="str">
        <f>MOE!F19</f>
        <v/>
      </c>
      <c r="E3" s="193" t="s">
        <v>241</v>
      </c>
      <c r="F3" s="184"/>
      <c r="G3" s="187" t="s">
        <v>2975</v>
      </c>
      <c r="H3" s="188" t="str">
        <f>MOE!B18</f>
        <v>2021-2022</v>
      </c>
      <c r="I3" s="192" t="str">
        <f>MOE!F18</f>
        <v/>
      </c>
      <c r="J3" s="193" t="s">
        <v>241</v>
      </c>
    </row>
    <row r="4" spans="1:27" ht="15" thickBot="1" x14ac:dyDescent="0.4">
      <c r="B4" s="185"/>
      <c r="C4" s="186"/>
      <c r="D4" s="186"/>
      <c r="E4" s="186"/>
      <c r="F4" s="186"/>
      <c r="G4" s="186"/>
      <c r="H4" s="186"/>
      <c r="I4" s="186"/>
      <c r="J4" s="186"/>
    </row>
    <row r="5" spans="1:27" ht="15" thickBot="1" x14ac:dyDescent="0.4">
      <c r="A5">
        <f>A2</f>
        <v>0</v>
      </c>
      <c r="B5" s="181" t="s">
        <v>2974</v>
      </c>
      <c r="C5" s="182" t="s">
        <v>220</v>
      </c>
      <c r="D5" s="191" t="s">
        <v>1627</v>
      </c>
      <c r="E5" s="190" t="s">
        <v>1628</v>
      </c>
      <c r="F5" s="183"/>
      <c r="G5" s="181" t="s">
        <v>2974</v>
      </c>
      <c r="H5" s="181" t="s">
        <v>2977</v>
      </c>
      <c r="I5" s="182" t="s">
        <v>1627</v>
      </c>
      <c r="J5" s="190" t="s">
        <v>1628</v>
      </c>
    </row>
    <row r="6" spans="1:27" ht="15" thickBot="1" x14ac:dyDescent="0.4">
      <c r="B6" s="187" t="s">
        <v>1655</v>
      </c>
      <c r="C6" s="188" t="str">
        <f>MOE!B19</f>
        <v>2022-2023</v>
      </c>
      <c r="D6" s="192" t="str">
        <f>MOE!K19</f>
        <v/>
      </c>
      <c r="E6" s="193" t="s">
        <v>241</v>
      </c>
      <c r="F6" s="184"/>
      <c r="G6" s="187" t="s">
        <v>1655</v>
      </c>
      <c r="H6" s="188" t="str">
        <f>H3</f>
        <v>2021-2022</v>
      </c>
      <c r="I6" s="189" t="str">
        <f>MOE!K18</f>
        <v/>
      </c>
      <c r="J6" s="193" t="s">
        <v>2978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A1:M211"/>
  <sheetViews>
    <sheetView workbookViewId="0"/>
  </sheetViews>
  <sheetFormatPr defaultRowHeight="14.5" x14ac:dyDescent="0.35"/>
  <cols>
    <col min="1" max="1" width="29.1796875" customWidth="1"/>
    <col min="2" max="2" width="18" customWidth="1"/>
    <col min="3" max="3" width="15.1796875" customWidth="1"/>
    <col min="4" max="4" width="18.453125" customWidth="1"/>
    <col min="5" max="5" width="10.453125" bestFit="1" customWidth="1"/>
    <col min="7" max="7" width="14.81640625" customWidth="1"/>
    <col min="10" max="10" width="10.81640625" bestFit="1" customWidth="1"/>
    <col min="13" max="13" width="13.453125" bestFit="1" customWidth="1"/>
  </cols>
  <sheetData>
    <row r="1" spans="1:13" x14ac:dyDescent="0.35">
      <c r="A1" t="s">
        <v>2109</v>
      </c>
      <c r="B1" s="149">
        <v>611</v>
      </c>
      <c r="C1" s="149">
        <v>619</v>
      </c>
      <c r="D1" s="149" t="s">
        <v>2060</v>
      </c>
      <c r="E1" s="79" t="s">
        <v>2111</v>
      </c>
    </row>
    <row r="2" spans="1:13" x14ac:dyDescent="0.35">
      <c r="A2" s="119" t="s">
        <v>14</v>
      </c>
      <c r="B2" s="121">
        <v>4181</v>
      </c>
      <c r="C2" s="121">
        <v>474</v>
      </c>
      <c r="D2" s="121">
        <f t="shared" ref="D2:D33" si="0">SUM(B2:C2)</f>
        <v>4655</v>
      </c>
      <c r="E2" t="s">
        <v>1715</v>
      </c>
      <c r="G2" s="141">
        <v>44</v>
      </c>
      <c r="J2" s="121">
        <v>161023</v>
      </c>
      <c r="M2" s="121">
        <v>1008640</v>
      </c>
    </row>
    <row r="3" spans="1:13" x14ac:dyDescent="0.35">
      <c r="A3" s="119" t="s">
        <v>17</v>
      </c>
      <c r="B3" s="121">
        <v>59754</v>
      </c>
      <c r="C3" s="121">
        <v>422</v>
      </c>
      <c r="D3" s="121">
        <f t="shared" si="0"/>
        <v>60176</v>
      </c>
      <c r="E3" t="s">
        <v>1715</v>
      </c>
      <c r="G3" s="141">
        <v>1455</v>
      </c>
      <c r="J3" s="121">
        <v>163815</v>
      </c>
      <c r="M3" s="121">
        <v>1023148</v>
      </c>
    </row>
    <row r="4" spans="1:13" x14ac:dyDescent="0.35">
      <c r="A4" s="119" t="s">
        <v>20</v>
      </c>
      <c r="B4" s="121">
        <v>121467</v>
      </c>
      <c r="C4" s="121">
        <v>1816</v>
      </c>
      <c r="D4" s="121">
        <f t="shared" si="0"/>
        <v>123283</v>
      </c>
      <c r="E4" t="s">
        <v>1715</v>
      </c>
      <c r="G4" s="141">
        <v>1951</v>
      </c>
      <c r="J4" s="121">
        <v>166894</v>
      </c>
      <c r="M4" s="121">
        <v>1034247</v>
      </c>
    </row>
    <row r="5" spans="1:13" x14ac:dyDescent="0.35">
      <c r="A5" s="119" t="s">
        <v>21</v>
      </c>
      <c r="B5" s="121">
        <v>189962</v>
      </c>
      <c r="C5" s="121">
        <v>7848</v>
      </c>
      <c r="D5" s="121">
        <f t="shared" si="0"/>
        <v>197810</v>
      </c>
      <c r="E5" t="s">
        <v>1715</v>
      </c>
      <c r="G5" s="141">
        <v>2040</v>
      </c>
      <c r="J5" s="121">
        <v>168144</v>
      </c>
      <c r="M5" s="121">
        <v>1065959</v>
      </c>
    </row>
    <row r="6" spans="1:13" x14ac:dyDescent="0.35">
      <c r="A6" s="119" t="s">
        <v>23</v>
      </c>
      <c r="B6" s="121">
        <v>25396</v>
      </c>
      <c r="C6" s="121">
        <v>799</v>
      </c>
      <c r="D6" s="121">
        <f t="shared" si="0"/>
        <v>26195</v>
      </c>
      <c r="E6" t="s">
        <v>1715</v>
      </c>
      <c r="G6" s="141">
        <v>2053</v>
      </c>
      <c r="J6" s="121">
        <v>178504</v>
      </c>
      <c r="M6" s="121">
        <v>1081266</v>
      </c>
    </row>
    <row r="7" spans="1:13" x14ac:dyDescent="0.35">
      <c r="A7" s="119" t="s">
        <v>24</v>
      </c>
      <c r="B7" s="121">
        <v>36319</v>
      </c>
      <c r="C7" s="121">
        <v>620</v>
      </c>
      <c r="D7" s="121">
        <f t="shared" si="0"/>
        <v>36939</v>
      </c>
      <c r="E7" t="s">
        <v>1715</v>
      </c>
      <c r="G7" s="141">
        <v>2165</v>
      </c>
      <c r="J7" s="121">
        <v>178633</v>
      </c>
      <c r="M7" s="121">
        <v>1137476</v>
      </c>
    </row>
    <row r="8" spans="1:13" x14ac:dyDescent="0.35">
      <c r="A8" s="119" t="s">
        <v>25</v>
      </c>
      <c r="B8" s="121">
        <v>4232</v>
      </c>
      <c r="C8" s="121">
        <v>11</v>
      </c>
      <c r="D8" s="121">
        <f t="shared" si="0"/>
        <v>4243</v>
      </c>
      <c r="E8" t="s">
        <v>1715</v>
      </c>
      <c r="G8" s="141">
        <v>2195</v>
      </c>
      <c r="J8" s="121">
        <v>179884</v>
      </c>
      <c r="M8" s="121">
        <v>1171361</v>
      </c>
    </row>
    <row r="9" spans="1:13" x14ac:dyDescent="0.35">
      <c r="A9" s="119" t="s">
        <v>26</v>
      </c>
      <c r="B9" s="121">
        <v>646126</v>
      </c>
      <c r="C9" s="121">
        <v>15634</v>
      </c>
      <c r="D9" s="121">
        <f t="shared" si="0"/>
        <v>661760</v>
      </c>
      <c r="E9" t="s">
        <v>1715</v>
      </c>
      <c r="G9" s="141">
        <v>2786</v>
      </c>
      <c r="J9" s="121">
        <v>180318</v>
      </c>
      <c r="M9" s="121">
        <v>1307122</v>
      </c>
    </row>
    <row r="10" spans="1:13" x14ac:dyDescent="0.35">
      <c r="A10" s="119" t="s">
        <v>27</v>
      </c>
      <c r="B10" s="121">
        <v>2032</v>
      </c>
      <c r="C10" s="121">
        <v>8</v>
      </c>
      <c r="D10" s="121">
        <f t="shared" si="0"/>
        <v>2040</v>
      </c>
      <c r="E10" t="s">
        <v>1715</v>
      </c>
      <c r="G10" s="141">
        <v>3808</v>
      </c>
      <c r="J10" s="121">
        <v>184642</v>
      </c>
      <c r="M10" s="121">
        <v>1310012</v>
      </c>
    </row>
    <row r="11" spans="1:13" x14ac:dyDescent="0.35">
      <c r="A11" s="119" t="s">
        <v>28</v>
      </c>
      <c r="B11" s="121">
        <v>413958</v>
      </c>
      <c r="C11" s="121">
        <v>8508</v>
      </c>
      <c r="D11" s="121">
        <f t="shared" si="0"/>
        <v>422466</v>
      </c>
      <c r="E11" t="s">
        <v>1715</v>
      </c>
      <c r="G11" s="141">
        <v>4204</v>
      </c>
      <c r="J11" s="121">
        <v>188851</v>
      </c>
      <c r="M11" s="121">
        <v>1335517</v>
      </c>
    </row>
    <row r="12" spans="1:13" x14ac:dyDescent="0.35">
      <c r="A12" s="119" t="s">
        <v>29</v>
      </c>
      <c r="B12" s="121">
        <v>124673</v>
      </c>
      <c r="C12" s="121">
        <v>4960</v>
      </c>
      <c r="D12" s="121">
        <f t="shared" si="0"/>
        <v>129633</v>
      </c>
      <c r="E12" t="s">
        <v>1715</v>
      </c>
      <c r="G12" s="141">
        <v>4243</v>
      </c>
      <c r="J12" s="121">
        <v>190392</v>
      </c>
      <c r="M12" s="121">
        <v>1355346</v>
      </c>
    </row>
    <row r="13" spans="1:13" x14ac:dyDescent="0.35">
      <c r="A13" s="119" t="s">
        <v>30</v>
      </c>
      <c r="B13" s="121">
        <v>877073</v>
      </c>
      <c r="C13" s="121">
        <v>16253</v>
      </c>
      <c r="D13" s="121">
        <f t="shared" si="0"/>
        <v>893326</v>
      </c>
      <c r="E13" t="s">
        <v>1714</v>
      </c>
      <c r="G13" s="141">
        <v>4476</v>
      </c>
      <c r="J13" s="121">
        <v>191664</v>
      </c>
      <c r="M13" s="121">
        <v>1410182</v>
      </c>
    </row>
    <row r="14" spans="1:13" x14ac:dyDescent="0.35">
      <c r="A14" s="119" t="s">
        <v>32</v>
      </c>
      <c r="B14" s="121">
        <v>173129</v>
      </c>
      <c r="C14" s="121">
        <v>5504</v>
      </c>
      <c r="D14" s="121">
        <f t="shared" si="0"/>
        <v>178633</v>
      </c>
      <c r="E14" t="s">
        <v>1715</v>
      </c>
      <c r="G14" s="141">
        <v>4655</v>
      </c>
      <c r="J14" s="121">
        <v>197810</v>
      </c>
      <c r="M14" s="121">
        <v>1453313</v>
      </c>
    </row>
    <row r="15" spans="1:13" x14ac:dyDescent="0.35">
      <c r="A15" s="119" t="s">
        <v>33</v>
      </c>
      <c r="B15" s="121">
        <v>231127</v>
      </c>
      <c r="C15" s="121">
        <v>2047</v>
      </c>
      <c r="D15" s="121">
        <f t="shared" si="0"/>
        <v>233174</v>
      </c>
      <c r="E15" t="s">
        <v>1715</v>
      </c>
      <c r="G15" s="141">
        <v>8774</v>
      </c>
      <c r="J15" s="121">
        <v>201966</v>
      </c>
      <c r="M15" s="121">
        <v>1473189</v>
      </c>
    </row>
    <row r="16" spans="1:13" x14ac:dyDescent="0.35">
      <c r="A16" s="119" t="s">
        <v>34</v>
      </c>
      <c r="B16" s="121">
        <v>8775954</v>
      </c>
      <c r="C16" s="121">
        <v>131252</v>
      </c>
      <c r="D16" s="121">
        <f t="shared" si="0"/>
        <v>8907206</v>
      </c>
      <c r="E16" t="s">
        <v>1713</v>
      </c>
      <c r="G16" s="141">
        <v>11566</v>
      </c>
      <c r="J16" s="121">
        <v>202998</v>
      </c>
      <c r="M16" s="121">
        <v>1498045</v>
      </c>
    </row>
    <row r="17" spans="1:13" x14ac:dyDescent="0.35">
      <c r="A17" s="119" t="s">
        <v>35</v>
      </c>
      <c r="B17" s="121">
        <v>3885303</v>
      </c>
      <c r="C17" s="121">
        <v>69236</v>
      </c>
      <c r="D17" s="121">
        <f t="shared" si="0"/>
        <v>3954539</v>
      </c>
      <c r="E17" t="s">
        <v>1713</v>
      </c>
      <c r="G17" s="141">
        <v>11837</v>
      </c>
      <c r="J17" s="121">
        <v>206322</v>
      </c>
      <c r="M17" s="121">
        <v>1519932</v>
      </c>
    </row>
    <row r="18" spans="1:13" x14ac:dyDescent="0.35">
      <c r="A18" s="119" t="s">
        <v>36</v>
      </c>
      <c r="B18" s="121">
        <v>1306532</v>
      </c>
      <c r="C18" s="121">
        <v>28985</v>
      </c>
      <c r="D18" s="121">
        <f t="shared" si="0"/>
        <v>1335517</v>
      </c>
      <c r="E18" t="s">
        <v>1714</v>
      </c>
      <c r="G18" s="141">
        <v>13776</v>
      </c>
      <c r="J18" s="121">
        <v>214873</v>
      </c>
      <c r="M18" s="121">
        <v>1633390</v>
      </c>
    </row>
    <row r="19" spans="1:13" x14ac:dyDescent="0.35">
      <c r="A19" s="119" t="s">
        <v>37</v>
      </c>
      <c r="B19" s="121">
        <v>58161</v>
      </c>
      <c r="C19" s="121">
        <v>594</v>
      </c>
      <c r="D19" s="121">
        <f t="shared" si="0"/>
        <v>58755</v>
      </c>
      <c r="E19" t="s">
        <v>1715</v>
      </c>
      <c r="G19" s="141">
        <v>14506</v>
      </c>
      <c r="J19" s="121">
        <v>214901</v>
      </c>
      <c r="M19" s="121">
        <v>1712983</v>
      </c>
    </row>
    <row r="20" spans="1:13" x14ac:dyDescent="0.35">
      <c r="A20" s="119" t="s">
        <v>38</v>
      </c>
      <c r="B20" s="121">
        <v>4460</v>
      </c>
      <c r="C20" s="121">
        <v>16</v>
      </c>
      <c r="D20" s="121">
        <f t="shared" si="0"/>
        <v>4476</v>
      </c>
      <c r="E20" t="s">
        <v>1715</v>
      </c>
      <c r="G20" s="141">
        <v>15190</v>
      </c>
      <c r="J20" s="121">
        <v>218978</v>
      </c>
      <c r="M20" s="121">
        <v>1810453</v>
      </c>
    </row>
    <row r="21" spans="1:13" x14ac:dyDescent="0.35">
      <c r="A21" s="119" t="s">
        <v>39</v>
      </c>
      <c r="B21" s="121">
        <v>385718</v>
      </c>
      <c r="C21" s="121">
        <v>14483</v>
      </c>
      <c r="D21" s="121">
        <f t="shared" si="0"/>
        <v>400201</v>
      </c>
      <c r="E21" t="s">
        <v>1715</v>
      </c>
      <c r="G21" s="141">
        <v>15491</v>
      </c>
      <c r="J21" s="121">
        <v>220895</v>
      </c>
      <c r="M21" s="121">
        <v>1828485</v>
      </c>
    </row>
    <row r="22" spans="1:13" x14ac:dyDescent="0.35">
      <c r="A22" s="119" t="s">
        <v>40</v>
      </c>
      <c r="B22" s="121">
        <v>14912</v>
      </c>
      <c r="C22" s="121">
        <v>278</v>
      </c>
      <c r="D22" s="121">
        <f t="shared" si="0"/>
        <v>15190</v>
      </c>
      <c r="E22" t="s">
        <v>1715</v>
      </c>
      <c r="G22" s="141">
        <v>18611</v>
      </c>
      <c r="J22" s="121">
        <v>221146</v>
      </c>
      <c r="M22" s="121">
        <v>1830519</v>
      </c>
    </row>
    <row r="23" spans="1:13" x14ac:dyDescent="0.35">
      <c r="A23" s="119" t="s">
        <v>42</v>
      </c>
      <c r="B23" s="121">
        <v>46842</v>
      </c>
      <c r="C23" s="121">
        <v>606</v>
      </c>
      <c r="D23" s="121">
        <f t="shared" si="0"/>
        <v>47448</v>
      </c>
      <c r="E23" t="s">
        <v>1715</v>
      </c>
      <c r="G23" s="141">
        <v>22519</v>
      </c>
      <c r="J23" s="121">
        <v>230951</v>
      </c>
      <c r="M23" s="121">
        <v>2125393</v>
      </c>
    </row>
    <row r="24" spans="1:13" x14ac:dyDescent="0.35">
      <c r="A24" s="119" t="s">
        <v>43</v>
      </c>
      <c r="B24" s="121">
        <v>57489</v>
      </c>
      <c r="C24" s="121">
        <v>397</v>
      </c>
      <c r="D24" s="121">
        <f t="shared" si="0"/>
        <v>57886</v>
      </c>
      <c r="E24" t="s">
        <v>1715</v>
      </c>
      <c r="G24" s="141">
        <v>26195</v>
      </c>
      <c r="J24" s="121">
        <v>233174</v>
      </c>
      <c r="M24" s="121">
        <v>2248980</v>
      </c>
    </row>
    <row r="25" spans="1:13" x14ac:dyDescent="0.35">
      <c r="A25" s="119" t="s">
        <v>44</v>
      </c>
      <c r="B25" s="121">
        <v>1049213</v>
      </c>
      <c r="C25" s="121">
        <v>16746</v>
      </c>
      <c r="D25" s="121">
        <f t="shared" si="0"/>
        <v>1065959</v>
      </c>
      <c r="E25" t="s">
        <v>1714</v>
      </c>
      <c r="G25" s="141">
        <v>27357</v>
      </c>
      <c r="J25" s="121">
        <v>235159</v>
      </c>
      <c r="M25" s="121">
        <v>2470046</v>
      </c>
    </row>
    <row r="26" spans="1:13" x14ac:dyDescent="0.35">
      <c r="A26" s="119" t="s">
        <v>45</v>
      </c>
      <c r="B26" s="121">
        <v>631566</v>
      </c>
      <c r="C26" s="121">
        <v>12946</v>
      </c>
      <c r="D26" s="121">
        <f t="shared" si="0"/>
        <v>644512</v>
      </c>
      <c r="E26" t="s">
        <v>1715</v>
      </c>
      <c r="G26" s="141">
        <v>28649</v>
      </c>
      <c r="J26" s="121">
        <v>235945</v>
      </c>
      <c r="M26" s="121">
        <v>2513186</v>
      </c>
    </row>
    <row r="27" spans="1:13" x14ac:dyDescent="0.35">
      <c r="A27" s="119" t="s">
        <v>46</v>
      </c>
      <c r="B27" s="121">
        <v>1439015</v>
      </c>
      <c r="C27" s="121">
        <v>34174</v>
      </c>
      <c r="D27" s="121">
        <f t="shared" si="0"/>
        <v>1473189</v>
      </c>
      <c r="E27" t="s">
        <v>1714</v>
      </c>
      <c r="G27" s="141">
        <v>29533</v>
      </c>
      <c r="J27" s="121">
        <v>243960</v>
      </c>
      <c r="M27" s="121">
        <v>2577453</v>
      </c>
    </row>
    <row r="28" spans="1:13" x14ac:dyDescent="0.35">
      <c r="A28" s="119" t="s">
        <v>47</v>
      </c>
      <c r="B28" s="121">
        <v>141513</v>
      </c>
      <c r="C28" s="121">
        <v>4002</v>
      </c>
      <c r="D28" s="121">
        <f t="shared" si="0"/>
        <v>145515</v>
      </c>
      <c r="E28" t="s">
        <v>1715</v>
      </c>
      <c r="G28" s="141">
        <v>31696</v>
      </c>
      <c r="J28" s="121">
        <v>249334</v>
      </c>
      <c r="M28" s="121">
        <v>2771730</v>
      </c>
    </row>
    <row r="29" spans="1:13" x14ac:dyDescent="0.35">
      <c r="A29" s="119" t="s">
        <v>48</v>
      </c>
      <c r="B29" s="121">
        <v>145553</v>
      </c>
      <c r="C29" s="121">
        <v>4112</v>
      </c>
      <c r="D29" s="121">
        <f t="shared" si="0"/>
        <v>149665</v>
      </c>
      <c r="E29" t="s">
        <v>1715</v>
      </c>
      <c r="G29" s="141">
        <v>34911</v>
      </c>
      <c r="J29" s="121">
        <v>257096</v>
      </c>
      <c r="M29" s="121">
        <v>3240438</v>
      </c>
    </row>
    <row r="30" spans="1:13" x14ac:dyDescent="0.35">
      <c r="A30" s="119" t="s">
        <v>49</v>
      </c>
      <c r="B30" s="121">
        <v>991595</v>
      </c>
      <c r="C30" s="121">
        <v>31553</v>
      </c>
      <c r="D30" s="121">
        <f t="shared" si="0"/>
        <v>1023148</v>
      </c>
      <c r="E30" t="s">
        <v>1714</v>
      </c>
      <c r="G30" s="141">
        <v>36939</v>
      </c>
      <c r="J30" s="121">
        <v>265797</v>
      </c>
      <c r="M30" s="121">
        <v>3604930</v>
      </c>
    </row>
    <row r="31" spans="1:13" x14ac:dyDescent="0.35">
      <c r="A31" s="119" t="s">
        <v>50</v>
      </c>
      <c r="B31" s="121">
        <v>679881</v>
      </c>
      <c r="C31" s="121">
        <v>15796</v>
      </c>
      <c r="D31" s="121">
        <f t="shared" si="0"/>
        <v>695677</v>
      </c>
      <c r="E31" t="s">
        <v>1715</v>
      </c>
      <c r="G31" s="141">
        <v>37242</v>
      </c>
      <c r="J31" s="121">
        <v>266697</v>
      </c>
      <c r="M31" s="121">
        <v>3954539</v>
      </c>
    </row>
    <row r="32" spans="1:13" x14ac:dyDescent="0.35">
      <c r="A32" s="119" t="s">
        <v>51</v>
      </c>
      <c r="B32" s="121">
        <v>170698</v>
      </c>
      <c r="C32" s="121">
        <v>7806</v>
      </c>
      <c r="D32" s="121">
        <f t="shared" si="0"/>
        <v>178504</v>
      </c>
      <c r="E32" t="s">
        <v>1715</v>
      </c>
      <c r="G32" s="141">
        <v>37971</v>
      </c>
      <c r="J32" s="121">
        <v>304023</v>
      </c>
      <c r="M32" s="121">
        <v>4231121</v>
      </c>
    </row>
    <row r="33" spans="1:13" x14ac:dyDescent="0.35">
      <c r="A33" s="119" t="s">
        <v>52</v>
      </c>
      <c r="B33" s="121">
        <v>144050</v>
      </c>
      <c r="C33" s="121">
        <v>5367</v>
      </c>
      <c r="D33" s="121">
        <f t="shared" si="0"/>
        <v>149417</v>
      </c>
      <c r="E33" t="s">
        <v>1715</v>
      </c>
      <c r="G33" s="141">
        <v>39601</v>
      </c>
      <c r="J33" s="121">
        <v>306939</v>
      </c>
      <c r="M33" s="121">
        <v>4269582</v>
      </c>
    </row>
    <row r="34" spans="1:13" x14ac:dyDescent="0.35">
      <c r="A34" s="119" t="s">
        <v>53</v>
      </c>
      <c r="B34" s="121">
        <v>34041</v>
      </c>
      <c r="C34" s="121">
        <v>870</v>
      </c>
      <c r="D34" s="121">
        <f t="shared" ref="D34:D65" si="1">SUM(B34:C34)</f>
        <v>34911</v>
      </c>
      <c r="E34" t="s">
        <v>1715</v>
      </c>
      <c r="G34" s="141">
        <v>44011</v>
      </c>
      <c r="J34" s="121">
        <v>309034</v>
      </c>
      <c r="M34" s="121">
        <v>8907206</v>
      </c>
    </row>
    <row r="35" spans="1:13" x14ac:dyDescent="0.35">
      <c r="A35" s="119" t="s">
        <v>54</v>
      </c>
      <c r="B35" s="121">
        <v>922364</v>
      </c>
      <c r="C35" s="121">
        <v>27731</v>
      </c>
      <c r="D35" s="121">
        <f t="shared" si="1"/>
        <v>950095</v>
      </c>
      <c r="E35" t="s">
        <v>1714</v>
      </c>
      <c r="G35" s="141">
        <v>47448</v>
      </c>
      <c r="J35" s="121">
        <v>325840</v>
      </c>
      <c r="M35" s="121">
        <v>9414463</v>
      </c>
    </row>
    <row r="36" spans="1:13" x14ac:dyDescent="0.35">
      <c r="A36" s="119" t="s">
        <v>55</v>
      </c>
      <c r="B36" s="121">
        <v>299847</v>
      </c>
      <c r="C36" s="121">
        <v>9187</v>
      </c>
      <c r="D36" s="121">
        <f t="shared" si="1"/>
        <v>309034</v>
      </c>
      <c r="E36" t="s">
        <v>1715</v>
      </c>
      <c r="G36" s="141">
        <v>50008</v>
      </c>
      <c r="J36" s="121">
        <v>326032</v>
      </c>
      <c r="M36" s="121">
        <v>11966394</v>
      </c>
    </row>
    <row r="37" spans="1:13" x14ac:dyDescent="0.35">
      <c r="A37" s="119" t="s">
        <v>56</v>
      </c>
      <c r="B37" s="121">
        <v>198127</v>
      </c>
      <c r="C37" s="121">
        <v>3839</v>
      </c>
      <c r="D37" s="121">
        <f t="shared" si="1"/>
        <v>201966</v>
      </c>
      <c r="E37" t="s">
        <v>1715</v>
      </c>
      <c r="G37" s="141">
        <v>51494</v>
      </c>
      <c r="J37" s="121">
        <v>334529</v>
      </c>
    </row>
    <row r="38" spans="1:13" x14ac:dyDescent="0.35">
      <c r="A38" s="119" t="s">
        <v>58</v>
      </c>
      <c r="B38" s="121">
        <v>1674108</v>
      </c>
      <c r="C38" s="121">
        <v>38875</v>
      </c>
      <c r="D38" s="121">
        <f t="shared" si="1"/>
        <v>1712983</v>
      </c>
      <c r="E38" t="s">
        <v>1713</v>
      </c>
      <c r="G38" s="141">
        <v>52063</v>
      </c>
      <c r="J38" s="121">
        <v>357978</v>
      </c>
    </row>
    <row r="39" spans="1:13" x14ac:dyDescent="0.35">
      <c r="A39" s="119" t="s">
        <v>59</v>
      </c>
      <c r="B39" s="121">
        <v>66569</v>
      </c>
      <c r="C39" s="121">
        <v>1576</v>
      </c>
      <c r="D39" s="121">
        <f t="shared" si="1"/>
        <v>68145</v>
      </c>
      <c r="E39" t="s">
        <v>1715</v>
      </c>
      <c r="G39" s="141">
        <v>52497</v>
      </c>
      <c r="J39" s="121">
        <v>361886</v>
      </c>
    </row>
    <row r="40" spans="1:13" x14ac:dyDescent="0.35">
      <c r="A40" s="119" t="s">
        <v>60</v>
      </c>
      <c r="B40" s="121">
        <v>325862</v>
      </c>
      <c r="C40" s="121">
        <v>8667</v>
      </c>
      <c r="D40" s="121">
        <f t="shared" si="1"/>
        <v>334529</v>
      </c>
      <c r="E40" t="s">
        <v>1715</v>
      </c>
      <c r="G40" s="141">
        <v>55248</v>
      </c>
      <c r="J40" s="121">
        <v>368012</v>
      </c>
    </row>
    <row r="41" spans="1:13" x14ac:dyDescent="0.35">
      <c r="A41" s="119" t="s">
        <v>61</v>
      </c>
      <c r="B41" s="121">
        <v>736193</v>
      </c>
      <c r="C41" s="121">
        <v>24650</v>
      </c>
      <c r="D41" s="121">
        <f t="shared" si="1"/>
        <v>760843</v>
      </c>
      <c r="E41" t="s">
        <v>1714</v>
      </c>
      <c r="G41" s="141">
        <v>57886</v>
      </c>
      <c r="J41" s="121">
        <v>369604</v>
      </c>
    </row>
    <row r="42" spans="1:13" x14ac:dyDescent="0.35">
      <c r="A42" s="119" t="s">
        <v>62</v>
      </c>
      <c r="B42" s="121">
        <v>75928</v>
      </c>
      <c r="C42" s="121">
        <v>1536</v>
      </c>
      <c r="D42" s="121">
        <f t="shared" si="1"/>
        <v>77464</v>
      </c>
      <c r="E42" t="s">
        <v>1715</v>
      </c>
      <c r="G42" s="141">
        <v>58589</v>
      </c>
      <c r="J42" s="121">
        <v>389213</v>
      </c>
    </row>
    <row r="43" spans="1:13" x14ac:dyDescent="0.35">
      <c r="A43" s="119" t="s">
        <v>63</v>
      </c>
      <c r="B43" s="121">
        <v>145873</v>
      </c>
      <c r="C43" s="121">
        <v>4116</v>
      </c>
      <c r="D43" s="121">
        <f t="shared" si="1"/>
        <v>149989</v>
      </c>
      <c r="E43" t="s">
        <v>1715</v>
      </c>
      <c r="G43" s="141">
        <v>58755</v>
      </c>
      <c r="J43" s="121">
        <v>391979</v>
      </c>
    </row>
    <row r="44" spans="1:13" x14ac:dyDescent="0.35">
      <c r="A44" s="119" t="s">
        <v>64</v>
      </c>
      <c r="B44" s="121">
        <v>779678</v>
      </c>
      <c r="C44" s="121">
        <v>24263</v>
      </c>
      <c r="D44" s="121">
        <f t="shared" si="1"/>
        <v>803941</v>
      </c>
      <c r="E44" t="s">
        <v>1714</v>
      </c>
      <c r="G44" s="141">
        <v>59755</v>
      </c>
      <c r="J44" s="121">
        <v>400201</v>
      </c>
    </row>
    <row r="45" spans="1:13" x14ac:dyDescent="0.35">
      <c r="A45" s="119" t="s">
        <v>65</v>
      </c>
      <c r="B45" s="121">
        <v>2198788</v>
      </c>
      <c r="C45" s="121">
        <v>50192</v>
      </c>
      <c r="D45" s="121">
        <f t="shared" si="1"/>
        <v>2248980</v>
      </c>
      <c r="E45" t="s">
        <v>1713</v>
      </c>
      <c r="G45" s="141">
        <v>60176</v>
      </c>
      <c r="J45" s="121">
        <v>405099</v>
      </c>
    </row>
    <row r="46" spans="1:13" x14ac:dyDescent="0.35">
      <c r="A46" s="119" t="s">
        <v>66</v>
      </c>
      <c r="B46" s="121">
        <v>214256</v>
      </c>
      <c r="C46" s="121">
        <v>4722</v>
      </c>
      <c r="D46" s="121">
        <f t="shared" si="1"/>
        <v>218978</v>
      </c>
      <c r="E46" t="s">
        <v>1715</v>
      </c>
      <c r="G46" s="141">
        <v>64439</v>
      </c>
      <c r="J46" s="121">
        <v>408506</v>
      </c>
    </row>
    <row r="47" spans="1:13" x14ac:dyDescent="0.35">
      <c r="A47" s="119" t="s">
        <v>67</v>
      </c>
      <c r="B47" s="121">
        <v>13603</v>
      </c>
      <c r="C47" s="121">
        <v>1888</v>
      </c>
      <c r="D47" s="121">
        <f t="shared" si="1"/>
        <v>15491</v>
      </c>
      <c r="E47" t="s">
        <v>1715</v>
      </c>
      <c r="G47" s="141">
        <v>64503</v>
      </c>
      <c r="J47" s="121">
        <v>417477</v>
      </c>
    </row>
    <row r="48" spans="1:13" x14ac:dyDescent="0.35">
      <c r="A48" s="119" t="s">
        <v>68</v>
      </c>
      <c r="B48" s="121">
        <v>1941</v>
      </c>
      <c r="C48" s="121">
        <v>254</v>
      </c>
      <c r="D48" s="121">
        <f t="shared" si="1"/>
        <v>2195</v>
      </c>
      <c r="E48" t="s">
        <v>1715</v>
      </c>
      <c r="G48" s="141">
        <v>65216</v>
      </c>
      <c r="J48" s="121">
        <v>422466</v>
      </c>
    </row>
    <row r="49" spans="1:10" x14ac:dyDescent="0.35">
      <c r="A49" s="119" t="s">
        <v>69</v>
      </c>
      <c r="B49" s="121">
        <v>1230</v>
      </c>
      <c r="C49" s="121">
        <v>225</v>
      </c>
      <c r="D49" s="121">
        <f t="shared" si="1"/>
        <v>1455</v>
      </c>
      <c r="E49" t="s">
        <v>1715</v>
      </c>
      <c r="G49" s="141">
        <v>66483</v>
      </c>
      <c r="J49" s="121">
        <v>426651</v>
      </c>
    </row>
    <row r="50" spans="1:10" x14ac:dyDescent="0.35">
      <c r="A50" s="119" t="s">
        <v>70</v>
      </c>
      <c r="B50" s="121">
        <v>65785</v>
      </c>
      <c r="C50" s="121">
        <v>1565</v>
      </c>
      <c r="D50" s="121">
        <f t="shared" si="1"/>
        <v>67350</v>
      </c>
      <c r="E50" t="s">
        <v>1715</v>
      </c>
      <c r="G50" s="141">
        <v>67350</v>
      </c>
      <c r="J50" s="121">
        <v>436796</v>
      </c>
    </row>
    <row r="51" spans="1:10" x14ac:dyDescent="0.35">
      <c r="A51" s="119" t="s">
        <v>71</v>
      </c>
      <c r="B51" s="121">
        <v>1410718</v>
      </c>
      <c r="C51" s="121">
        <v>42595</v>
      </c>
      <c r="D51" s="121">
        <f t="shared" si="1"/>
        <v>1453313</v>
      </c>
      <c r="E51" t="s">
        <v>1714</v>
      </c>
      <c r="G51" s="141">
        <v>67551</v>
      </c>
      <c r="J51" s="121">
        <v>484171</v>
      </c>
    </row>
    <row r="52" spans="1:10" x14ac:dyDescent="0.35">
      <c r="A52" s="119" t="s">
        <v>72</v>
      </c>
      <c r="B52" s="121">
        <v>2048</v>
      </c>
      <c r="C52" s="121">
        <v>5</v>
      </c>
      <c r="D52" s="121">
        <f t="shared" si="1"/>
        <v>2053</v>
      </c>
      <c r="E52" t="s">
        <v>1715</v>
      </c>
      <c r="G52" s="141">
        <v>67623</v>
      </c>
      <c r="J52" s="121">
        <v>484891</v>
      </c>
    </row>
    <row r="53" spans="1:10" x14ac:dyDescent="0.35">
      <c r="A53" s="119" t="s">
        <v>73</v>
      </c>
      <c r="B53" s="121">
        <v>65952</v>
      </c>
      <c r="C53" s="121">
        <v>1599</v>
      </c>
      <c r="D53" s="121">
        <f t="shared" si="1"/>
        <v>67551</v>
      </c>
      <c r="E53" t="s">
        <v>1715</v>
      </c>
      <c r="G53" s="141">
        <v>68145</v>
      </c>
      <c r="J53" s="121">
        <v>536844</v>
      </c>
    </row>
    <row r="54" spans="1:10" x14ac:dyDescent="0.35">
      <c r="A54" s="119" t="s">
        <v>74</v>
      </c>
      <c r="B54" s="121">
        <v>967166</v>
      </c>
      <c r="C54" s="121">
        <v>21090</v>
      </c>
      <c r="D54" s="121">
        <f t="shared" si="1"/>
        <v>988256</v>
      </c>
      <c r="E54" t="s">
        <v>1714</v>
      </c>
      <c r="G54" s="141">
        <v>70148</v>
      </c>
      <c r="J54" s="121">
        <v>588280</v>
      </c>
    </row>
    <row r="55" spans="1:10" x14ac:dyDescent="0.35">
      <c r="A55" s="119" t="s">
        <v>75</v>
      </c>
      <c r="B55" s="121">
        <v>54619</v>
      </c>
      <c r="C55" s="121">
        <v>629</v>
      </c>
      <c r="D55" s="121">
        <f t="shared" si="1"/>
        <v>55248</v>
      </c>
      <c r="E55" t="s">
        <v>1715</v>
      </c>
      <c r="G55" s="141">
        <v>73805</v>
      </c>
      <c r="J55" s="121">
        <v>626280</v>
      </c>
    </row>
    <row r="56" spans="1:10" x14ac:dyDescent="0.35">
      <c r="A56" s="119" t="s">
        <v>76</v>
      </c>
      <c r="B56" s="121">
        <v>100969</v>
      </c>
      <c r="C56" s="121">
        <v>728</v>
      </c>
      <c r="D56" s="121">
        <f t="shared" si="1"/>
        <v>101697</v>
      </c>
      <c r="E56" t="s">
        <v>1715</v>
      </c>
      <c r="G56" s="141">
        <v>77464</v>
      </c>
      <c r="J56" s="121">
        <v>639570</v>
      </c>
    </row>
    <row r="57" spans="1:10" x14ac:dyDescent="0.35">
      <c r="A57" s="119" t="s">
        <v>77</v>
      </c>
      <c r="B57" s="121">
        <v>51895</v>
      </c>
      <c r="C57" s="121">
        <v>602</v>
      </c>
      <c r="D57" s="121">
        <f t="shared" si="1"/>
        <v>52497</v>
      </c>
      <c r="E57" t="s">
        <v>1715</v>
      </c>
      <c r="G57" s="141">
        <v>77504</v>
      </c>
      <c r="J57" s="121">
        <v>644512</v>
      </c>
    </row>
    <row r="58" spans="1:10" x14ac:dyDescent="0.35">
      <c r="A58" s="119" t="s">
        <v>78</v>
      </c>
      <c r="B58" s="121">
        <v>110009</v>
      </c>
      <c r="C58" s="121">
        <v>2569</v>
      </c>
      <c r="D58" s="121">
        <f t="shared" si="1"/>
        <v>112578</v>
      </c>
      <c r="E58" t="s">
        <v>1715</v>
      </c>
      <c r="G58" s="141">
        <v>79204</v>
      </c>
      <c r="J58" s="121">
        <v>645472</v>
      </c>
    </row>
    <row r="59" spans="1:10" x14ac:dyDescent="0.35">
      <c r="A59" s="119" t="s">
        <v>79</v>
      </c>
      <c r="B59" s="121">
        <v>641290</v>
      </c>
      <c r="C59" s="121">
        <v>11945</v>
      </c>
      <c r="D59" s="121">
        <f t="shared" si="1"/>
        <v>653235</v>
      </c>
      <c r="E59" t="s">
        <v>1715</v>
      </c>
      <c r="G59" s="141">
        <v>79728</v>
      </c>
      <c r="J59" s="121">
        <v>653235</v>
      </c>
    </row>
    <row r="60" spans="1:10" x14ac:dyDescent="0.35">
      <c r="A60" s="119" t="s">
        <v>80</v>
      </c>
      <c r="B60" s="121">
        <v>4155492</v>
      </c>
      <c r="C60" s="121">
        <v>114090</v>
      </c>
      <c r="D60" s="121">
        <f t="shared" si="1"/>
        <v>4269582</v>
      </c>
      <c r="E60" t="s">
        <v>1713</v>
      </c>
      <c r="G60" s="141">
        <v>81430</v>
      </c>
      <c r="J60" s="121">
        <v>660281</v>
      </c>
    </row>
    <row r="61" spans="1:10" x14ac:dyDescent="0.35">
      <c r="A61" s="119" t="s">
        <v>81</v>
      </c>
      <c r="B61" s="121">
        <v>58700</v>
      </c>
      <c r="C61" s="121">
        <v>1055</v>
      </c>
      <c r="D61" s="121">
        <f t="shared" si="1"/>
        <v>59755</v>
      </c>
      <c r="E61" t="s">
        <v>1715</v>
      </c>
      <c r="G61" s="141">
        <v>81908</v>
      </c>
      <c r="J61" s="121">
        <v>661760</v>
      </c>
    </row>
    <row r="62" spans="1:10" x14ac:dyDescent="0.35">
      <c r="A62" s="119" t="s">
        <v>82</v>
      </c>
      <c r="B62" s="121">
        <v>409580</v>
      </c>
      <c r="C62" s="121">
        <v>7897</v>
      </c>
      <c r="D62" s="121">
        <f t="shared" si="1"/>
        <v>417477</v>
      </c>
      <c r="E62" t="s">
        <v>1715</v>
      </c>
      <c r="G62" s="141">
        <v>84138</v>
      </c>
      <c r="J62" s="121">
        <v>677728</v>
      </c>
    </row>
    <row r="63" spans="1:10" x14ac:dyDescent="0.35">
      <c r="A63" s="119" t="s">
        <v>83</v>
      </c>
      <c r="B63" s="121">
        <v>1331665</v>
      </c>
      <c r="C63" s="121">
        <v>23681</v>
      </c>
      <c r="D63" s="121">
        <f t="shared" si="1"/>
        <v>1355346</v>
      </c>
      <c r="E63" t="s">
        <v>1714</v>
      </c>
      <c r="G63" s="141">
        <v>84359</v>
      </c>
      <c r="J63" s="121">
        <v>688850</v>
      </c>
    </row>
    <row r="64" spans="1:10" x14ac:dyDescent="0.35">
      <c r="A64" s="119" t="s">
        <v>84</v>
      </c>
      <c r="B64" s="121">
        <v>188888</v>
      </c>
      <c r="C64" s="121">
        <v>1504</v>
      </c>
      <c r="D64" s="121">
        <f t="shared" si="1"/>
        <v>190392</v>
      </c>
      <c r="E64" t="s">
        <v>1715</v>
      </c>
      <c r="G64" s="141">
        <v>90135</v>
      </c>
      <c r="J64" s="121">
        <v>695677</v>
      </c>
    </row>
    <row r="65" spans="1:10" x14ac:dyDescent="0.35">
      <c r="A65" s="119" t="s">
        <v>85</v>
      </c>
      <c r="B65" s="121">
        <v>2523</v>
      </c>
      <c r="C65" s="121">
        <v>263</v>
      </c>
      <c r="D65" s="121">
        <f t="shared" si="1"/>
        <v>2786</v>
      </c>
      <c r="E65" t="s">
        <v>1715</v>
      </c>
      <c r="G65" s="141">
        <v>94829</v>
      </c>
      <c r="J65" s="121">
        <v>712157</v>
      </c>
    </row>
    <row r="66" spans="1:10" x14ac:dyDescent="0.35">
      <c r="A66" s="119" t="s">
        <v>86</v>
      </c>
      <c r="B66" s="121">
        <v>117186</v>
      </c>
      <c r="C66" s="121">
        <v>2607</v>
      </c>
      <c r="D66" s="121">
        <f t="shared" ref="D66:D97" si="2">SUM(B66:C66)</f>
        <v>119793</v>
      </c>
      <c r="E66" t="s">
        <v>1715</v>
      </c>
      <c r="G66" s="141">
        <v>96290</v>
      </c>
      <c r="J66" s="121">
        <v>740379</v>
      </c>
    </row>
    <row r="67" spans="1:10" x14ac:dyDescent="0.35">
      <c r="A67" s="119" t="s">
        <v>87</v>
      </c>
      <c r="B67" s="121">
        <v>365197</v>
      </c>
      <c r="C67" s="121">
        <v>4407</v>
      </c>
      <c r="D67" s="121">
        <f t="shared" si="2"/>
        <v>369604</v>
      </c>
      <c r="E67" t="s">
        <v>1715</v>
      </c>
      <c r="G67" s="141">
        <v>96529</v>
      </c>
      <c r="J67" s="121">
        <v>753649</v>
      </c>
    </row>
    <row r="68" spans="1:10" x14ac:dyDescent="0.35">
      <c r="A68" s="119" t="s">
        <v>88</v>
      </c>
      <c r="B68" s="121">
        <v>421414</v>
      </c>
      <c r="C68" s="121">
        <v>5237</v>
      </c>
      <c r="D68" s="121">
        <f t="shared" si="2"/>
        <v>426651</v>
      </c>
      <c r="E68" t="s">
        <v>1715</v>
      </c>
      <c r="G68" s="141">
        <v>101697</v>
      </c>
      <c r="J68" s="121">
        <v>760843</v>
      </c>
    </row>
    <row r="69" spans="1:10" x14ac:dyDescent="0.35">
      <c r="A69" s="119" t="s">
        <v>89</v>
      </c>
      <c r="B69" s="121">
        <v>81236</v>
      </c>
      <c r="C69" s="121">
        <v>672</v>
      </c>
      <c r="D69" s="121">
        <f t="shared" si="2"/>
        <v>81908</v>
      </c>
      <c r="E69" t="s">
        <v>1715</v>
      </c>
      <c r="G69" s="141">
        <v>104624</v>
      </c>
      <c r="J69" s="121">
        <v>763305</v>
      </c>
    </row>
    <row r="70" spans="1:10" x14ac:dyDescent="0.35">
      <c r="A70" s="119" t="s">
        <v>90</v>
      </c>
      <c r="B70" s="121">
        <v>216581</v>
      </c>
      <c r="C70" s="121">
        <v>4314</v>
      </c>
      <c r="D70" s="121">
        <f t="shared" si="2"/>
        <v>220895</v>
      </c>
      <c r="E70" t="s">
        <v>1715</v>
      </c>
      <c r="G70" s="141">
        <v>111431</v>
      </c>
      <c r="J70" s="121">
        <v>766403</v>
      </c>
    </row>
    <row r="71" spans="1:10" x14ac:dyDescent="0.35">
      <c r="A71" s="119" t="s">
        <v>91</v>
      </c>
      <c r="B71" s="121">
        <v>1278176</v>
      </c>
      <c r="C71" s="121">
        <v>31836</v>
      </c>
      <c r="D71" s="121">
        <f t="shared" si="2"/>
        <v>1310012</v>
      </c>
      <c r="E71" t="s">
        <v>1714</v>
      </c>
      <c r="G71" s="141">
        <v>112578</v>
      </c>
      <c r="J71" s="121">
        <v>776771</v>
      </c>
    </row>
    <row r="72" spans="1:10" x14ac:dyDescent="0.35">
      <c r="A72" s="119" t="s">
        <v>92</v>
      </c>
      <c r="B72" s="121">
        <v>2073837</v>
      </c>
      <c r="C72" s="121">
        <v>51556</v>
      </c>
      <c r="D72" s="121">
        <f t="shared" si="2"/>
        <v>2125393</v>
      </c>
      <c r="E72" t="s">
        <v>1713</v>
      </c>
      <c r="G72" s="141">
        <v>115011</v>
      </c>
      <c r="J72" s="121">
        <v>786157</v>
      </c>
    </row>
    <row r="73" spans="1:10" x14ac:dyDescent="0.35">
      <c r="A73" s="119" t="s">
        <v>93</v>
      </c>
      <c r="B73" s="121">
        <v>2709788</v>
      </c>
      <c r="C73" s="121">
        <v>61942</v>
      </c>
      <c r="D73" s="121">
        <f t="shared" si="2"/>
        <v>2771730</v>
      </c>
      <c r="E73" t="s">
        <v>1713</v>
      </c>
      <c r="G73" s="141">
        <v>116956</v>
      </c>
      <c r="J73" s="121">
        <v>803941</v>
      </c>
    </row>
    <row r="74" spans="1:10" x14ac:dyDescent="0.35">
      <c r="A74" s="119" t="s">
        <v>94</v>
      </c>
      <c r="B74" s="121">
        <v>234672</v>
      </c>
      <c r="C74" s="121">
        <v>9288</v>
      </c>
      <c r="D74" s="121">
        <f t="shared" si="2"/>
        <v>243960</v>
      </c>
      <c r="E74" t="s">
        <v>1715</v>
      </c>
      <c r="G74" s="141">
        <v>119793</v>
      </c>
      <c r="J74" s="121">
        <v>893100</v>
      </c>
    </row>
    <row r="75" spans="1:10" x14ac:dyDescent="0.35">
      <c r="A75" s="119" t="s">
        <v>95</v>
      </c>
      <c r="B75" s="121">
        <v>114323</v>
      </c>
      <c r="C75" s="121">
        <v>688</v>
      </c>
      <c r="D75" s="121">
        <f t="shared" si="2"/>
        <v>115011</v>
      </c>
      <c r="E75" t="s">
        <v>1715</v>
      </c>
      <c r="G75" s="141">
        <v>123283</v>
      </c>
      <c r="J75" s="121">
        <v>893326</v>
      </c>
    </row>
    <row r="76" spans="1:10" x14ac:dyDescent="0.35">
      <c r="A76" s="119" t="s">
        <v>96</v>
      </c>
      <c r="B76" s="121">
        <v>159957</v>
      </c>
      <c r="C76" s="121">
        <v>1066</v>
      </c>
      <c r="D76" s="121">
        <f t="shared" si="2"/>
        <v>161023</v>
      </c>
      <c r="E76" t="s">
        <v>1715</v>
      </c>
      <c r="G76" s="141">
        <v>129633</v>
      </c>
      <c r="J76" s="121">
        <v>902998</v>
      </c>
    </row>
    <row r="77" spans="1:10" x14ac:dyDescent="0.35">
      <c r="A77" s="119" t="s">
        <v>97</v>
      </c>
      <c r="B77" s="121">
        <v>38553</v>
      </c>
      <c r="C77" s="121">
        <v>1048</v>
      </c>
      <c r="D77" s="121">
        <f t="shared" si="2"/>
        <v>39601</v>
      </c>
      <c r="E77" t="s">
        <v>1715</v>
      </c>
      <c r="G77" s="141">
        <v>132766</v>
      </c>
      <c r="J77" s="121">
        <v>916042</v>
      </c>
    </row>
    <row r="78" spans="1:10" x14ac:dyDescent="0.35">
      <c r="A78" s="119" t="s">
        <v>98</v>
      </c>
      <c r="B78" s="121">
        <v>166259</v>
      </c>
      <c r="C78" s="121">
        <v>1885</v>
      </c>
      <c r="D78" s="121">
        <f t="shared" si="2"/>
        <v>168144</v>
      </c>
      <c r="E78" t="s">
        <v>1715</v>
      </c>
      <c r="G78" s="141">
        <v>137041</v>
      </c>
      <c r="J78" s="121">
        <v>950095</v>
      </c>
    </row>
    <row r="79" spans="1:10" x14ac:dyDescent="0.35">
      <c r="A79" s="119" t="s">
        <v>99</v>
      </c>
      <c r="B79" s="121">
        <v>27634</v>
      </c>
      <c r="C79" s="121">
        <v>1015</v>
      </c>
      <c r="D79" s="121">
        <f t="shared" si="2"/>
        <v>28649</v>
      </c>
      <c r="E79" t="s">
        <v>1715</v>
      </c>
      <c r="G79" s="141">
        <v>141187</v>
      </c>
      <c r="J79" s="121">
        <v>976710</v>
      </c>
    </row>
    <row r="80" spans="1:10" x14ac:dyDescent="0.35">
      <c r="A80" s="119" t="s">
        <v>100</v>
      </c>
      <c r="B80" s="121">
        <v>1145206</v>
      </c>
      <c r="C80" s="121">
        <v>26155</v>
      </c>
      <c r="D80" s="121">
        <f t="shared" si="2"/>
        <v>1171361</v>
      </c>
      <c r="E80" t="s">
        <v>1714</v>
      </c>
      <c r="G80" s="141">
        <v>145515</v>
      </c>
      <c r="J80" s="121">
        <v>988256</v>
      </c>
    </row>
    <row r="81" spans="1:7" x14ac:dyDescent="0.35">
      <c r="A81" s="119" t="s">
        <v>101</v>
      </c>
      <c r="B81" s="121">
        <v>4159563</v>
      </c>
      <c r="C81" s="121">
        <v>71558</v>
      </c>
      <c r="D81" s="121">
        <f t="shared" si="2"/>
        <v>4231121</v>
      </c>
      <c r="E81" t="s">
        <v>1713</v>
      </c>
      <c r="G81" s="141">
        <v>149417</v>
      </c>
    </row>
    <row r="82" spans="1:7" x14ac:dyDescent="0.35">
      <c r="A82" s="119" t="s">
        <v>102</v>
      </c>
      <c r="B82" s="121">
        <v>871623</v>
      </c>
      <c r="C82" s="121">
        <v>21477</v>
      </c>
      <c r="D82" s="121">
        <f t="shared" si="2"/>
        <v>893100</v>
      </c>
      <c r="E82" t="s">
        <v>1714</v>
      </c>
      <c r="G82" s="141">
        <v>149578</v>
      </c>
    </row>
    <row r="83" spans="1:7" x14ac:dyDescent="0.35">
      <c r="A83" s="119" t="s">
        <v>103</v>
      </c>
      <c r="B83" s="121">
        <v>21996</v>
      </c>
      <c r="C83" s="121">
        <v>523</v>
      </c>
      <c r="D83" s="121">
        <f t="shared" si="2"/>
        <v>22519</v>
      </c>
      <c r="E83" t="s">
        <v>1715</v>
      </c>
      <c r="G83" s="141">
        <v>149665</v>
      </c>
    </row>
    <row r="84" spans="1:7" x14ac:dyDescent="0.35">
      <c r="A84" s="119" t="s">
        <v>104</v>
      </c>
      <c r="B84" s="121">
        <v>83727</v>
      </c>
      <c r="C84" s="121">
        <v>632</v>
      </c>
      <c r="D84" s="121">
        <f t="shared" si="2"/>
        <v>84359</v>
      </c>
      <c r="E84" t="s">
        <v>1715</v>
      </c>
      <c r="G84" s="141">
        <v>149989</v>
      </c>
    </row>
    <row r="85" spans="1:7" x14ac:dyDescent="0.35">
      <c r="A85" s="119" t="s">
        <v>105</v>
      </c>
      <c r="B85" s="121">
        <v>31148</v>
      </c>
      <c r="C85" s="121">
        <v>548</v>
      </c>
      <c r="D85" s="121">
        <f t="shared" si="2"/>
        <v>31696</v>
      </c>
      <c r="E85" t="s">
        <v>1715</v>
      </c>
      <c r="G85" s="141">
        <v>161023</v>
      </c>
    </row>
    <row r="86" spans="1:7" x14ac:dyDescent="0.35">
      <c r="A86" s="119" t="s">
        <v>106</v>
      </c>
      <c r="B86" s="121">
        <v>702903</v>
      </c>
      <c r="C86" s="121">
        <v>37476</v>
      </c>
      <c r="D86" s="121">
        <f t="shared" si="2"/>
        <v>740379</v>
      </c>
      <c r="E86" t="s">
        <v>1715</v>
      </c>
      <c r="G86" s="141">
        <v>163815</v>
      </c>
    </row>
    <row r="87" spans="1:7" x14ac:dyDescent="0.35">
      <c r="A87" s="119" t="s">
        <v>107</v>
      </c>
      <c r="B87" s="121">
        <v>188866</v>
      </c>
      <c r="C87" s="121">
        <v>2798</v>
      </c>
      <c r="D87" s="121">
        <f t="shared" si="2"/>
        <v>191664</v>
      </c>
      <c r="E87" t="s">
        <v>1715</v>
      </c>
      <c r="G87" s="141">
        <v>166894</v>
      </c>
    </row>
    <row r="88" spans="1:7" x14ac:dyDescent="0.35">
      <c r="A88" s="119" t="s">
        <v>108</v>
      </c>
      <c r="B88" s="121">
        <v>26357</v>
      </c>
      <c r="C88" s="121">
        <v>1000</v>
      </c>
      <c r="D88" s="121">
        <f t="shared" si="2"/>
        <v>27357</v>
      </c>
      <c r="E88" t="s">
        <v>1715</v>
      </c>
      <c r="G88" s="141">
        <v>168144</v>
      </c>
    </row>
    <row r="89" spans="1:7" x14ac:dyDescent="0.35">
      <c r="A89" s="119" t="s">
        <v>109</v>
      </c>
      <c r="B89" s="121">
        <v>183386</v>
      </c>
      <c r="C89" s="121">
        <v>5465</v>
      </c>
      <c r="D89" s="121">
        <f t="shared" si="2"/>
        <v>188851</v>
      </c>
      <c r="E89" t="s">
        <v>1715</v>
      </c>
      <c r="G89" s="141">
        <v>178504</v>
      </c>
    </row>
    <row r="90" spans="1:7" x14ac:dyDescent="0.35">
      <c r="A90" s="119" t="s">
        <v>110</v>
      </c>
      <c r="B90" s="121">
        <v>18112</v>
      </c>
      <c r="C90" s="121">
        <v>499</v>
      </c>
      <c r="D90" s="121">
        <f t="shared" si="2"/>
        <v>18611</v>
      </c>
      <c r="E90" t="s">
        <v>1715</v>
      </c>
      <c r="G90" s="141">
        <v>178633</v>
      </c>
    </row>
    <row r="91" spans="1:7" x14ac:dyDescent="0.35">
      <c r="A91" s="119" t="s">
        <v>111</v>
      </c>
      <c r="B91" s="121">
        <v>77245</v>
      </c>
      <c r="C91" s="121">
        <v>2483</v>
      </c>
      <c r="D91" s="121">
        <f t="shared" si="2"/>
        <v>79728</v>
      </c>
      <c r="E91" t="s">
        <v>1715</v>
      </c>
      <c r="G91" s="141">
        <v>179884</v>
      </c>
    </row>
    <row r="92" spans="1:7" x14ac:dyDescent="0.35">
      <c r="A92" s="119" t="s">
        <v>112</v>
      </c>
      <c r="B92" s="121">
        <v>422824</v>
      </c>
      <c r="C92" s="121">
        <v>13972</v>
      </c>
      <c r="D92" s="121">
        <f t="shared" si="2"/>
        <v>436796</v>
      </c>
      <c r="E92" t="s">
        <v>1715</v>
      </c>
      <c r="G92" s="141">
        <v>180318</v>
      </c>
    </row>
    <row r="93" spans="1:7" x14ac:dyDescent="0.35">
      <c r="A93" s="119" t="s">
        <v>113</v>
      </c>
      <c r="B93" s="121">
        <v>1947</v>
      </c>
      <c r="C93" s="121">
        <v>4</v>
      </c>
      <c r="D93" s="121">
        <f t="shared" si="2"/>
        <v>1951</v>
      </c>
      <c r="E93" t="s">
        <v>1715</v>
      </c>
      <c r="G93" s="141">
        <v>184642</v>
      </c>
    </row>
    <row r="94" spans="1:7" x14ac:dyDescent="0.35">
      <c r="A94" s="119" t="s">
        <v>114</v>
      </c>
      <c r="B94" s="121">
        <v>1774473</v>
      </c>
      <c r="C94" s="121">
        <v>35980</v>
      </c>
      <c r="D94" s="121">
        <f t="shared" si="2"/>
        <v>1810453</v>
      </c>
      <c r="E94" t="s">
        <v>1713</v>
      </c>
      <c r="G94" s="141">
        <v>188851</v>
      </c>
    </row>
    <row r="95" spans="1:7" x14ac:dyDescent="0.35">
      <c r="A95" s="119" t="s">
        <v>115</v>
      </c>
      <c r="B95" s="121">
        <v>891259</v>
      </c>
      <c r="C95" s="121">
        <v>24783</v>
      </c>
      <c r="D95" s="121">
        <f t="shared" si="2"/>
        <v>916042</v>
      </c>
      <c r="E95" t="s">
        <v>1714</v>
      </c>
      <c r="G95" s="141">
        <v>190392</v>
      </c>
    </row>
    <row r="96" spans="1:7" x14ac:dyDescent="0.35">
      <c r="A96" s="119" t="s">
        <v>116</v>
      </c>
      <c r="B96" s="121">
        <v>107898</v>
      </c>
      <c r="C96" s="121">
        <v>3533</v>
      </c>
      <c r="D96" s="121">
        <f t="shared" si="2"/>
        <v>111431</v>
      </c>
      <c r="E96" t="s">
        <v>1715</v>
      </c>
      <c r="G96" s="141">
        <v>191664</v>
      </c>
    </row>
    <row r="97" spans="1:7" x14ac:dyDescent="0.35">
      <c r="A97" s="119" t="s">
        <v>117</v>
      </c>
      <c r="B97" s="121">
        <v>612194</v>
      </c>
      <c r="C97" s="121">
        <v>14086</v>
      </c>
      <c r="D97" s="121">
        <f t="shared" si="2"/>
        <v>626280</v>
      </c>
      <c r="E97" t="s">
        <v>1715</v>
      </c>
      <c r="G97" s="141">
        <v>197810</v>
      </c>
    </row>
    <row r="98" spans="1:7" x14ac:dyDescent="0.35">
      <c r="A98" s="119" t="s">
        <v>118</v>
      </c>
      <c r="B98" s="121">
        <v>174302</v>
      </c>
      <c r="C98" s="121">
        <v>6016</v>
      </c>
      <c r="D98" s="121">
        <f t="shared" ref="D98:D129" si="3">SUM(B98:C98)</f>
        <v>180318</v>
      </c>
      <c r="E98" t="s">
        <v>1715</v>
      </c>
      <c r="G98" s="141">
        <v>201966</v>
      </c>
    </row>
    <row r="99" spans="1:7" x14ac:dyDescent="0.35">
      <c r="A99" s="119" t="s">
        <v>119</v>
      </c>
      <c r="B99" s="121">
        <v>1614368</v>
      </c>
      <c r="C99" s="121">
        <v>19022</v>
      </c>
      <c r="D99" s="121">
        <f t="shared" si="3"/>
        <v>1633390</v>
      </c>
      <c r="E99" t="s">
        <v>1713</v>
      </c>
      <c r="G99" s="141">
        <v>202998</v>
      </c>
    </row>
    <row r="100" spans="1:7" x14ac:dyDescent="0.35">
      <c r="A100" s="119" t="s">
        <v>120</v>
      </c>
      <c r="B100" s="121">
        <v>986162</v>
      </c>
      <c r="C100" s="121">
        <v>22478</v>
      </c>
      <c r="D100" s="121">
        <f t="shared" si="3"/>
        <v>1008640</v>
      </c>
      <c r="E100" t="s">
        <v>1714</v>
      </c>
      <c r="G100" s="141">
        <v>206322</v>
      </c>
    </row>
    <row r="101" spans="1:7" x14ac:dyDescent="0.35">
      <c r="A101" s="119" t="s">
        <v>121</v>
      </c>
      <c r="B101" s="121">
        <v>1467729</v>
      </c>
      <c r="C101" s="121">
        <v>52203</v>
      </c>
      <c r="D101" s="121">
        <f t="shared" si="3"/>
        <v>1519932</v>
      </c>
      <c r="E101" t="s">
        <v>1713</v>
      </c>
      <c r="G101" s="141">
        <v>214873</v>
      </c>
    </row>
    <row r="102" spans="1:7" x14ac:dyDescent="0.35">
      <c r="A102" s="119" t="s">
        <v>122</v>
      </c>
      <c r="B102" s="121">
        <v>11346</v>
      </c>
      <c r="C102" s="121">
        <v>491</v>
      </c>
      <c r="D102" s="121">
        <f t="shared" si="3"/>
        <v>11837</v>
      </c>
      <c r="E102" t="s">
        <v>1715</v>
      </c>
      <c r="G102" s="141">
        <v>214901</v>
      </c>
    </row>
    <row r="103" spans="1:7" x14ac:dyDescent="0.35">
      <c r="A103" s="119" t="s">
        <v>123</v>
      </c>
      <c r="B103" s="121">
        <v>233762</v>
      </c>
      <c r="C103" s="121">
        <v>2183</v>
      </c>
      <c r="D103" s="121">
        <f t="shared" si="3"/>
        <v>235945</v>
      </c>
      <c r="E103" t="s">
        <v>1715</v>
      </c>
      <c r="G103" s="141">
        <v>218978</v>
      </c>
    </row>
    <row r="104" spans="1:7" x14ac:dyDescent="0.35">
      <c r="A104" s="119" t="s">
        <v>124</v>
      </c>
      <c r="B104" s="121">
        <v>44</v>
      </c>
      <c r="C104" s="121">
        <v>0</v>
      </c>
      <c r="D104" s="121">
        <f t="shared" si="3"/>
        <v>44</v>
      </c>
      <c r="E104" t="s">
        <v>1715</v>
      </c>
      <c r="G104" s="141">
        <v>220895</v>
      </c>
    </row>
    <row r="105" spans="1:7" x14ac:dyDescent="0.35">
      <c r="A105" s="119" t="s">
        <v>125</v>
      </c>
      <c r="B105" s="121">
        <v>62953</v>
      </c>
      <c r="C105" s="121">
        <v>1486</v>
      </c>
      <c r="D105" s="121">
        <f t="shared" si="3"/>
        <v>64439</v>
      </c>
      <c r="E105" t="s">
        <v>1715</v>
      </c>
      <c r="G105" s="141">
        <v>221146</v>
      </c>
    </row>
    <row r="106" spans="1:7" x14ac:dyDescent="0.35">
      <c r="A106" s="119" t="s">
        <v>126</v>
      </c>
      <c r="B106" s="121">
        <v>131418</v>
      </c>
      <c r="C106" s="121">
        <v>1348</v>
      </c>
      <c r="D106" s="121">
        <f t="shared" si="3"/>
        <v>132766</v>
      </c>
      <c r="E106" t="s">
        <v>1715</v>
      </c>
      <c r="G106" s="141">
        <v>230951</v>
      </c>
    </row>
    <row r="107" spans="1:7" x14ac:dyDescent="0.35">
      <c r="A107" s="119" t="s">
        <v>127</v>
      </c>
      <c r="B107" s="121">
        <v>57999</v>
      </c>
      <c r="C107" s="121">
        <v>590</v>
      </c>
      <c r="D107" s="121">
        <f t="shared" si="3"/>
        <v>58589</v>
      </c>
      <c r="E107" t="s">
        <v>1715</v>
      </c>
      <c r="G107" s="141">
        <v>233174</v>
      </c>
    </row>
    <row r="108" spans="1:7" x14ac:dyDescent="0.35">
      <c r="A108" s="119" t="s">
        <v>128</v>
      </c>
      <c r="B108" s="121">
        <v>1372849</v>
      </c>
      <c r="C108" s="121">
        <v>37333</v>
      </c>
      <c r="D108" s="121">
        <f t="shared" si="3"/>
        <v>1410182</v>
      </c>
      <c r="E108" t="s">
        <v>1714</v>
      </c>
      <c r="G108" s="141">
        <v>235159</v>
      </c>
    </row>
    <row r="109" spans="1:7" x14ac:dyDescent="0.35">
      <c r="A109" s="119" t="s">
        <v>129</v>
      </c>
      <c r="B109" s="121">
        <v>3151486</v>
      </c>
      <c r="C109" s="121">
        <v>88952</v>
      </c>
      <c r="D109" s="121">
        <f t="shared" si="3"/>
        <v>3240438</v>
      </c>
      <c r="E109" t="s">
        <v>1713</v>
      </c>
      <c r="G109" s="141">
        <v>235945</v>
      </c>
    </row>
    <row r="110" spans="1:7" x14ac:dyDescent="0.35">
      <c r="A110" s="119" t="s">
        <v>130</v>
      </c>
      <c r="B110" s="121">
        <v>375202</v>
      </c>
      <c r="C110" s="121">
        <v>14011</v>
      </c>
      <c r="D110" s="121">
        <f t="shared" si="3"/>
        <v>389213</v>
      </c>
      <c r="E110" t="s">
        <v>1715</v>
      </c>
      <c r="G110" s="141">
        <v>243960</v>
      </c>
    </row>
    <row r="111" spans="1:7" x14ac:dyDescent="0.35">
      <c r="A111" s="119" t="s">
        <v>131</v>
      </c>
      <c r="B111" s="121">
        <v>213779</v>
      </c>
      <c r="C111" s="121">
        <v>1094</v>
      </c>
      <c r="D111" s="121">
        <f t="shared" si="3"/>
        <v>214873</v>
      </c>
      <c r="E111" t="s">
        <v>1715</v>
      </c>
      <c r="G111" s="141">
        <v>249334</v>
      </c>
    </row>
    <row r="112" spans="1:7" x14ac:dyDescent="0.35">
      <c r="A112" s="119" t="s">
        <v>132</v>
      </c>
      <c r="B112" s="121">
        <v>631699</v>
      </c>
      <c r="C112" s="121">
        <v>13773</v>
      </c>
      <c r="D112" s="121">
        <f t="shared" si="3"/>
        <v>645472</v>
      </c>
      <c r="E112" t="s">
        <v>1715</v>
      </c>
      <c r="G112" s="141">
        <v>257096</v>
      </c>
    </row>
    <row r="113" spans="1:7" x14ac:dyDescent="0.35">
      <c r="A113" s="119" t="s">
        <v>133</v>
      </c>
      <c r="B113" s="121">
        <v>94674</v>
      </c>
      <c r="C113" s="121">
        <v>1616</v>
      </c>
      <c r="D113" s="121">
        <f t="shared" si="3"/>
        <v>96290</v>
      </c>
      <c r="E113" t="s">
        <v>1715</v>
      </c>
      <c r="G113" s="141">
        <v>265797</v>
      </c>
    </row>
    <row r="114" spans="1:7" x14ac:dyDescent="0.35">
      <c r="A114" s="119" t="s">
        <v>134</v>
      </c>
      <c r="B114" s="121">
        <v>13092</v>
      </c>
      <c r="C114" s="121">
        <v>1414</v>
      </c>
      <c r="D114" s="121">
        <f t="shared" si="3"/>
        <v>14506</v>
      </c>
      <c r="E114" t="s">
        <v>1715</v>
      </c>
      <c r="G114" s="141">
        <v>266697</v>
      </c>
    </row>
    <row r="115" spans="1:7" x14ac:dyDescent="0.35">
      <c r="A115" s="119" t="s">
        <v>135</v>
      </c>
      <c r="B115" s="121">
        <v>478354</v>
      </c>
      <c r="C115" s="121">
        <v>6537</v>
      </c>
      <c r="D115" s="121">
        <f t="shared" si="3"/>
        <v>484891</v>
      </c>
      <c r="E115" t="s">
        <v>1715</v>
      </c>
      <c r="G115" s="141">
        <v>304023</v>
      </c>
    </row>
    <row r="116" spans="1:7" x14ac:dyDescent="0.35">
      <c r="A116" s="119" t="s">
        <v>136</v>
      </c>
      <c r="B116" s="121">
        <v>160189</v>
      </c>
      <c r="C116" s="121">
        <v>3626</v>
      </c>
      <c r="D116" s="121">
        <f t="shared" si="3"/>
        <v>163815</v>
      </c>
      <c r="E116" t="s">
        <v>1715</v>
      </c>
      <c r="G116" s="141">
        <v>306939</v>
      </c>
    </row>
    <row r="117" spans="1:7" x14ac:dyDescent="0.35">
      <c r="A117" s="119" t="s">
        <v>137</v>
      </c>
      <c r="B117" s="121">
        <v>161029</v>
      </c>
      <c r="C117" s="121">
        <v>5865</v>
      </c>
      <c r="D117" s="121">
        <f t="shared" si="3"/>
        <v>166894</v>
      </c>
      <c r="E117" t="s">
        <v>1715</v>
      </c>
      <c r="G117" s="141">
        <v>309034</v>
      </c>
    </row>
    <row r="118" spans="1:7" x14ac:dyDescent="0.35">
      <c r="A118" s="119" t="s">
        <v>138</v>
      </c>
      <c r="B118" s="121">
        <v>173889</v>
      </c>
      <c r="C118" s="121">
        <v>5995</v>
      </c>
      <c r="D118" s="121">
        <f t="shared" si="3"/>
        <v>179884</v>
      </c>
      <c r="E118" t="s">
        <v>1715</v>
      </c>
      <c r="G118" s="141">
        <v>325840</v>
      </c>
    </row>
    <row r="119" spans="1:7" x14ac:dyDescent="0.35">
      <c r="A119" s="119" t="s">
        <v>139</v>
      </c>
      <c r="B119" s="121">
        <v>137177</v>
      </c>
      <c r="C119" s="121">
        <v>4010</v>
      </c>
      <c r="D119" s="121">
        <f t="shared" si="3"/>
        <v>141187</v>
      </c>
      <c r="E119" t="s">
        <v>1715</v>
      </c>
      <c r="G119" s="141">
        <v>326032</v>
      </c>
    </row>
    <row r="120" spans="1:7" x14ac:dyDescent="0.35">
      <c r="A120" s="119" t="s">
        <v>140</v>
      </c>
      <c r="B120" s="121">
        <v>1057602</v>
      </c>
      <c r="C120" s="121">
        <v>23664</v>
      </c>
      <c r="D120" s="121">
        <f t="shared" si="3"/>
        <v>1081266</v>
      </c>
      <c r="E120" t="s">
        <v>1714</v>
      </c>
      <c r="G120" s="141">
        <v>334529</v>
      </c>
    </row>
    <row r="121" spans="1:7" x14ac:dyDescent="0.35">
      <c r="A121" s="119" t="s">
        <v>141</v>
      </c>
      <c r="B121" s="121">
        <v>1016335</v>
      </c>
      <c r="C121" s="121">
        <v>17912</v>
      </c>
      <c r="D121" s="121">
        <f t="shared" si="3"/>
        <v>1034247</v>
      </c>
      <c r="E121" t="s">
        <v>1714</v>
      </c>
      <c r="G121" s="141">
        <v>357978</v>
      </c>
    </row>
    <row r="122" spans="1:7" x14ac:dyDescent="0.35">
      <c r="A122" s="119" t="s">
        <v>142</v>
      </c>
      <c r="B122" s="121">
        <v>3533831</v>
      </c>
      <c r="C122" s="121">
        <v>71099</v>
      </c>
      <c r="D122" s="121">
        <f t="shared" si="3"/>
        <v>3604930</v>
      </c>
      <c r="E122" t="s">
        <v>1713</v>
      </c>
      <c r="G122" s="141">
        <v>361886</v>
      </c>
    </row>
    <row r="123" spans="1:7" x14ac:dyDescent="0.35">
      <c r="A123" s="119" t="s">
        <v>143</v>
      </c>
      <c r="B123" s="121">
        <v>78057</v>
      </c>
      <c r="C123" s="121">
        <v>1147</v>
      </c>
      <c r="D123" s="121">
        <f t="shared" si="3"/>
        <v>79204</v>
      </c>
      <c r="E123" t="s">
        <v>1715</v>
      </c>
      <c r="G123" s="141">
        <v>368012</v>
      </c>
    </row>
    <row r="124" spans="1:7" x14ac:dyDescent="0.35">
      <c r="A124" s="119" t="s">
        <v>144</v>
      </c>
      <c r="B124" s="121">
        <v>67650</v>
      </c>
      <c r="C124" s="121">
        <v>2498</v>
      </c>
      <c r="D124" s="121">
        <f t="shared" si="3"/>
        <v>70148</v>
      </c>
      <c r="E124" t="s">
        <v>1715</v>
      </c>
      <c r="G124" s="141">
        <v>369604</v>
      </c>
    </row>
    <row r="125" spans="1:7" x14ac:dyDescent="0.35">
      <c r="A125" s="119" t="s">
        <v>145</v>
      </c>
      <c r="B125" s="121">
        <v>383469</v>
      </c>
      <c r="C125" s="121">
        <v>8510</v>
      </c>
      <c r="D125" s="121">
        <f t="shared" si="3"/>
        <v>391979</v>
      </c>
      <c r="E125" t="s">
        <v>1715</v>
      </c>
      <c r="G125" s="141">
        <v>389213</v>
      </c>
    </row>
    <row r="126" spans="1:7" x14ac:dyDescent="0.35">
      <c r="A126" s="119" t="s">
        <v>146</v>
      </c>
      <c r="B126" s="121">
        <v>65847</v>
      </c>
      <c r="C126" s="121">
        <v>636</v>
      </c>
      <c r="D126" s="121">
        <f t="shared" si="3"/>
        <v>66483</v>
      </c>
      <c r="E126" t="s">
        <v>1715</v>
      </c>
      <c r="G126" s="141">
        <v>391979</v>
      </c>
    </row>
    <row r="127" spans="1:7" x14ac:dyDescent="0.35">
      <c r="A127" s="119" t="s">
        <v>147</v>
      </c>
      <c r="B127" s="121">
        <v>630903</v>
      </c>
      <c r="C127" s="121">
        <v>8667</v>
      </c>
      <c r="D127" s="121">
        <f t="shared" si="3"/>
        <v>639570</v>
      </c>
      <c r="E127" t="s">
        <v>1715</v>
      </c>
      <c r="G127" s="141">
        <v>400201</v>
      </c>
    </row>
    <row r="128" spans="1:7" x14ac:dyDescent="0.35">
      <c r="A128" s="119" t="s">
        <v>148</v>
      </c>
      <c r="B128" s="121">
        <v>750748</v>
      </c>
      <c r="C128" s="121">
        <v>26023</v>
      </c>
      <c r="D128" s="121">
        <f t="shared" si="3"/>
        <v>776771</v>
      </c>
      <c r="E128" t="s">
        <v>1714</v>
      </c>
      <c r="G128" s="141">
        <v>405099</v>
      </c>
    </row>
    <row r="129" spans="1:7" x14ac:dyDescent="0.35">
      <c r="A129" s="119" t="s">
        <v>149</v>
      </c>
      <c r="B129" s="121">
        <v>299047</v>
      </c>
      <c r="C129" s="121">
        <v>4976</v>
      </c>
      <c r="D129" s="121">
        <f t="shared" si="3"/>
        <v>304023</v>
      </c>
      <c r="E129" t="s">
        <v>1715</v>
      </c>
      <c r="G129" s="141">
        <v>408506</v>
      </c>
    </row>
    <row r="130" spans="1:7" x14ac:dyDescent="0.35">
      <c r="A130" s="119" t="s">
        <v>150</v>
      </c>
      <c r="B130" s="121">
        <v>132522</v>
      </c>
      <c r="C130" s="121">
        <v>4519</v>
      </c>
      <c r="D130" s="121">
        <f t="shared" ref="D130:D161" si="4">SUM(B130:C130)</f>
        <v>137041</v>
      </c>
      <c r="E130" t="s">
        <v>1715</v>
      </c>
      <c r="G130" s="141">
        <v>417477</v>
      </c>
    </row>
    <row r="131" spans="1:7" x14ac:dyDescent="0.35">
      <c r="A131" s="119" t="s">
        <v>151</v>
      </c>
      <c r="B131" s="121">
        <v>192861</v>
      </c>
      <c r="C131" s="121">
        <v>10137</v>
      </c>
      <c r="D131" s="121">
        <f t="shared" si="4"/>
        <v>202998</v>
      </c>
      <c r="E131" t="s">
        <v>1715</v>
      </c>
      <c r="G131" s="141">
        <v>422466</v>
      </c>
    </row>
    <row r="132" spans="1:7" x14ac:dyDescent="0.35">
      <c r="A132" s="119" t="s">
        <v>152</v>
      </c>
      <c r="B132" s="121">
        <v>663085</v>
      </c>
      <c r="C132" s="121">
        <v>14643</v>
      </c>
      <c r="D132" s="121">
        <f t="shared" si="4"/>
        <v>677728</v>
      </c>
      <c r="E132" t="s">
        <v>1715</v>
      </c>
      <c r="G132" s="141">
        <v>426651</v>
      </c>
    </row>
    <row r="133" spans="1:7" x14ac:dyDescent="0.35">
      <c r="A133" s="119" t="s">
        <v>153</v>
      </c>
      <c r="B133" s="121">
        <v>1786810</v>
      </c>
      <c r="C133" s="121">
        <v>43709</v>
      </c>
      <c r="D133" s="121">
        <f t="shared" si="4"/>
        <v>1830519</v>
      </c>
      <c r="E133" t="s">
        <v>1713</v>
      </c>
      <c r="G133" s="141">
        <v>436796</v>
      </c>
    </row>
    <row r="134" spans="1:7" x14ac:dyDescent="0.35">
      <c r="A134" s="119" t="s">
        <v>154</v>
      </c>
      <c r="B134" s="121">
        <v>953689</v>
      </c>
      <c r="C134" s="121">
        <v>23021</v>
      </c>
      <c r="D134" s="121">
        <f t="shared" si="4"/>
        <v>976710</v>
      </c>
      <c r="E134" t="s">
        <v>1714</v>
      </c>
      <c r="G134" s="141">
        <v>484171</v>
      </c>
    </row>
    <row r="135" spans="1:7" x14ac:dyDescent="0.35">
      <c r="A135" s="119" t="s">
        <v>155</v>
      </c>
      <c r="B135" s="121">
        <v>37399</v>
      </c>
      <c r="C135" s="121">
        <v>572</v>
      </c>
      <c r="D135" s="121">
        <f t="shared" si="4"/>
        <v>37971</v>
      </c>
      <c r="E135" t="s">
        <v>1715</v>
      </c>
      <c r="G135" s="141">
        <v>484891</v>
      </c>
    </row>
    <row r="136" spans="1:7" x14ac:dyDescent="0.35">
      <c r="A136" s="119" t="s">
        <v>156</v>
      </c>
      <c r="B136" s="121">
        <v>751333</v>
      </c>
      <c r="C136" s="121">
        <v>15070</v>
      </c>
      <c r="D136" s="121">
        <f t="shared" si="4"/>
        <v>766403</v>
      </c>
      <c r="E136" t="s">
        <v>1714</v>
      </c>
      <c r="G136" s="141">
        <v>536844</v>
      </c>
    </row>
    <row r="137" spans="1:7" x14ac:dyDescent="0.35">
      <c r="A137" s="119" t="s">
        <v>157</v>
      </c>
      <c r="B137" s="121">
        <v>763469</v>
      </c>
      <c r="C137" s="121">
        <v>22688</v>
      </c>
      <c r="D137" s="121">
        <f t="shared" si="4"/>
        <v>786157</v>
      </c>
      <c r="E137" t="s">
        <v>1714</v>
      </c>
      <c r="G137" s="141">
        <v>588280</v>
      </c>
    </row>
    <row r="138" spans="1:7" x14ac:dyDescent="0.35">
      <c r="A138" s="119" t="s">
        <v>158</v>
      </c>
      <c r="B138" s="121">
        <v>50400</v>
      </c>
      <c r="C138" s="121">
        <v>1094</v>
      </c>
      <c r="D138" s="121">
        <f t="shared" si="4"/>
        <v>51494</v>
      </c>
      <c r="E138" t="s">
        <v>1715</v>
      </c>
      <c r="G138" s="141">
        <v>626280</v>
      </c>
    </row>
    <row r="139" spans="1:7" x14ac:dyDescent="0.35">
      <c r="A139" s="119" t="s">
        <v>160</v>
      </c>
      <c r="B139" s="121">
        <v>345029</v>
      </c>
      <c r="C139" s="121">
        <v>12949</v>
      </c>
      <c r="D139" s="121">
        <f t="shared" si="4"/>
        <v>357978</v>
      </c>
      <c r="E139" t="s">
        <v>1715</v>
      </c>
      <c r="G139" s="141">
        <v>639570</v>
      </c>
    </row>
    <row r="140" spans="1:7" x14ac:dyDescent="0.35">
      <c r="A140" s="119" t="s">
        <v>161</v>
      </c>
      <c r="B140" s="121">
        <v>638540</v>
      </c>
      <c r="C140" s="121">
        <v>21741</v>
      </c>
      <c r="D140" s="121">
        <f t="shared" si="4"/>
        <v>660281</v>
      </c>
      <c r="E140" t="s">
        <v>1715</v>
      </c>
      <c r="G140" s="141">
        <v>644512</v>
      </c>
    </row>
    <row r="141" spans="1:7" x14ac:dyDescent="0.35">
      <c r="A141" s="119" t="s">
        <v>162</v>
      </c>
      <c r="B141" s="121">
        <v>82580</v>
      </c>
      <c r="C141" s="121">
        <v>1558</v>
      </c>
      <c r="D141" s="121">
        <f t="shared" si="4"/>
        <v>84138</v>
      </c>
      <c r="E141" t="s">
        <v>1715</v>
      </c>
      <c r="G141" s="141">
        <v>645472</v>
      </c>
    </row>
    <row r="142" spans="1:7" x14ac:dyDescent="0.35">
      <c r="A142" s="119" t="s">
        <v>163</v>
      </c>
      <c r="B142" s="121">
        <v>1903</v>
      </c>
      <c r="C142" s="121">
        <v>262</v>
      </c>
      <c r="D142" s="121">
        <f t="shared" si="4"/>
        <v>2165</v>
      </c>
      <c r="E142" t="s">
        <v>1715</v>
      </c>
      <c r="G142" s="141">
        <v>653235</v>
      </c>
    </row>
    <row r="143" spans="1:7" x14ac:dyDescent="0.35">
      <c r="A143" s="119" t="s">
        <v>164</v>
      </c>
      <c r="B143" s="121">
        <v>49606</v>
      </c>
      <c r="C143" s="121">
        <v>402</v>
      </c>
      <c r="D143" s="121">
        <f t="shared" si="4"/>
        <v>50008</v>
      </c>
      <c r="E143" t="s">
        <v>1715</v>
      </c>
      <c r="G143" s="141">
        <v>660281</v>
      </c>
    </row>
    <row r="144" spans="1:7" x14ac:dyDescent="0.35">
      <c r="A144" s="119" t="s">
        <v>165</v>
      </c>
      <c r="B144" s="121">
        <v>7836</v>
      </c>
      <c r="C144" s="121">
        <v>938</v>
      </c>
      <c r="D144" s="121">
        <f t="shared" si="4"/>
        <v>8774</v>
      </c>
      <c r="E144" t="s">
        <v>1715</v>
      </c>
      <c r="G144" s="141">
        <v>661760</v>
      </c>
    </row>
    <row r="145" spans="1:7" x14ac:dyDescent="0.35">
      <c r="A145" s="119" t="s">
        <v>166</v>
      </c>
      <c r="B145" s="121">
        <v>245890</v>
      </c>
      <c r="C145" s="121">
        <v>3444</v>
      </c>
      <c r="D145" s="121">
        <f t="shared" si="4"/>
        <v>249334</v>
      </c>
      <c r="E145" t="s">
        <v>1715</v>
      </c>
      <c r="G145" s="141">
        <v>677728</v>
      </c>
    </row>
    <row r="146" spans="1:7" x14ac:dyDescent="0.35">
      <c r="A146" s="119" t="s">
        <v>167</v>
      </c>
      <c r="B146" s="121">
        <v>3801</v>
      </c>
      <c r="C146" s="121">
        <v>7</v>
      </c>
      <c r="D146" s="121">
        <f t="shared" si="4"/>
        <v>3808</v>
      </c>
      <c r="E146" t="s">
        <v>1715</v>
      </c>
      <c r="G146" s="141">
        <v>688850</v>
      </c>
    </row>
    <row r="147" spans="1:7" x14ac:dyDescent="0.35">
      <c r="A147" s="119" t="s">
        <v>168</v>
      </c>
      <c r="B147" s="121">
        <v>78970</v>
      </c>
      <c r="C147" s="121">
        <v>2460</v>
      </c>
      <c r="D147" s="121">
        <f t="shared" si="4"/>
        <v>81430</v>
      </c>
      <c r="E147" t="s">
        <v>1715</v>
      </c>
      <c r="G147" s="141">
        <v>695677</v>
      </c>
    </row>
    <row r="148" spans="1:7" x14ac:dyDescent="0.35">
      <c r="A148" s="119" t="s">
        <v>169</v>
      </c>
      <c r="B148" s="121">
        <v>11622479</v>
      </c>
      <c r="C148" s="121">
        <v>343915</v>
      </c>
      <c r="D148" s="121">
        <f t="shared" si="4"/>
        <v>11966394</v>
      </c>
      <c r="E148" t="s">
        <v>1713</v>
      </c>
      <c r="G148" s="141">
        <v>712157</v>
      </c>
    </row>
    <row r="149" spans="1:7" x14ac:dyDescent="0.35">
      <c r="A149" s="119" t="s">
        <v>170</v>
      </c>
      <c r="B149" s="121">
        <v>36571</v>
      </c>
      <c r="C149" s="121">
        <v>671</v>
      </c>
      <c r="D149" s="121">
        <f t="shared" si="4"/>
        <v>37242</v>
      </c>
      <c r="E149" t="s">
        <v>1715</v>
      </c>
      <c r="G149" s="141">
        <v>740379</v>
      </c>
    </row>
    <row r="150" spans="1:7" x14ac:dyDescent="0.35">
      <c r="A150" s="119" t="s">
        <v>171</v>
      </c>
      <c r="B150" s="121">
        <v>50070</v>
      </c>
      <c r="C150" s="121">
        <v>1993</v>
      </c>
      <c r="D150" s="121">
        <f t="shared" si="4"/>
        <v>52063</v>
      </c>
      <c r="E150" t="s">
        <v>1715</v>
      </c>
      <c r="G150" s="141">
        <v>753649</v>
      </c>
    </row>
    <row r="151" spans="1:7" x14ac:dyDescent="0.35">
      <c r="A151" s="119" t="s">
        <v>172</v>
      </c>
      <c r="B151" s="121">
        <v>42953</v>
      </c>
      <c r="C151" s="121">
        <v>1058</v>
      </c>
      <c r="D151" s="121">
        <f t="shared" si="4"/>
        <v>44011</v>
      </c>
      <c r="E151" t="s">
        <v>1715</v>
      </c>
      <c r="G151" s="141">
        <v>760843</v>
      </c>
    </row>
    <row r="152" spans="1:7" x14ac:dyDescent="0.35">
      <c r="A152" s="119" t="s">
        <v>173</v>
      </c>
      <c r="B152" s="121">
        <v>209854</v>
      </c>
      <c r="C152" s="121">
        <v>5047</v>
      </c>
      <c r="D152" s="121">
        <f t="shared" si="4"/>
        <v>214901</v>
      </c>
      <c r="E152" t="s">
        <v>1715</v>
      </c>
      <c r="G152" s="141">
        <v>763305</v>
      </c>
    </row>
    <row r="153" spans="1:7" x14ac:dyDescent="0.35">
      <c r="A153" s="119" t="s">
        <v>174</v>
      </c>
      <c r="B153" s="121">
        <v>1474459</v>
      </c>
      <c r="C153" s="121">
        <v>23586</v>
      </c>
      <c r="D153" s="121">
        <f t="shared" si="4"/>
        <v>1498045</v>
      </c>
      <c r="E153" t="s">
        <v>1714</v>
      </c>
      <c r="G153" s="141">
        <v>766403</v>
      </c>
    </row>
    <row r="154" spans="1:7" x14ac:dyDescent="0.35">
      <c r="A154" s="119" t="s">
        <v>175</v>
      </c>
      <c r="B154" s="121">
        <v>175459</v>
      </c>
      <c r="C154" s="121">
        <v>9183</v>
      </c>
      <c r="D154" s="121">
        <f t="shared" si="4"/>
        <v>184642</v>
      </c>
      <c r="E154" t="s">
        <v>1715</v>
      </c>
      <c r="G154" s="141">
        <v>776771</v>
      </c>
    </row>
    <row r="155" spans="1:7" x14ac:dyDescent="0.35">
      <c r="A155" s="119" t="s">
        <v>176</v>
      </c>
      <c r="B155" s="121">
        <v>2424088</v>
      </c>
      <c r="C155" s="121">
        <v>45958</v>
      </c>
      <c r="D155" s="121">
        <f t="shared" si="4"/>
        <v>2470046</v>
      </c>
      <c r="E155" t="s">
        <v>1713</v>
      </c>
      <c r="G155" s="141">
        <v>786157</v>
      </c>
    </row>
    <row r="156" spans="1:7" x14ac:dyDescent="0.35">
      <c r="A156" s="119" t="s">
        <v>177</v>
      </c>
      <c r="B156" s="121">
        <v>103870</v>
      </c>
      <c r="C156" s="121">
        <v>754</v>
      </c>
      <c r="D156" s="121">
        <f t="shared" si="4"/>
        <v>104624</v>
      </c>
      <c r="E156" t="s">
        <v>1715</v>
      </c>
      <c r="G156" s="141">
        <v>803941</v>
      </c>
    </row>
    <row r="157" spans="1:7" x14ac:dyDescent="0.35">
      <c r="A157" s="119" t="s">
        <v>178</v>
      </c>
      <c r="B157" s="121">
        <v>94071</v>
      </c>
      <c r="C157" s="121">
        <v>758</v>
      </c>
      <c r="D157" s="121">
        <f t="shared" si="4"/>
        <v>94829</v>
      </c>
      <c r="E157" t="s">
        <v>1715</v>
      </c>
      <c r="G157" s="141">
        <v>893100</v>
      </c>
    </row>
    <row r="158" spans="1:7" x14ac:dyDescent="0.35">
      <c r="A158" s="119" t="s">
        <v>179</v>
      </c>
      <c r="B158" s="121">
        <v>258589</v>
      </c>
      <c r="C158" s="121">
        <v>8108</v>
      </c>
      <c r="D158" s="121">
        <f t="shared" si="4"/>
        <v>266697</v>
      </c>
      <c r="E158" t="s">
        <v>1715</v>
      </c>
      <c r="G158" s="141">
        <v>893326</v>
      </c>
    </row>
    <row r="159" spans="1:7" x14ac:dyDescent="0.35">
      <c r="A159" s="119" t="s">
        <v>180</v>
      </c>
      <c r="B159" s="121">
        <v>9254866</v>
      </c>
      <c r="C159" s="121">
        <v>159597</v>
      </c>
      <c r="D159" s="121">
        <f t="shared" si="4"/>
        <v>9414463</v>
      </c>
      <c r="E159" t="s">
        <v>1713</v>
      </c>
      <c r="G159" s="141">
        <v>902998</v>
      </c>
    </row>
    <row r="160" spans="1:7" x14ac:dyDescent="0.35">
      <c r="A160" s="119" t="s">
        <v>181</v>
      </c>
      <c r="B160" s="121">
        <v>758330</v>
      </c>
      <c r="C160" s="121">
        <v>4975</v>
      </c>
      <c r="D160" s="121">
        <f t="shared" si="4"/>
        <v>763305</v>
      </c>
      <c r="E160" t="s">
        <v>1714</v>
      </c>
      <c r="G160" s="141">
        <v>916042</v>
      </c>
    </row>
    <row r="161" spans="1:7" x14ac:dyDescent="0.35">
      <c r="A161" s="119" t="s">
        <v>182</v>
      </c>
      <c r="B161" s="121">
        <v>476743</v>
      </c>
      <c r="C161" s="121">
        <v>7428</v>
      </c>
      <c r="D161" s="121">
        <f t="shared" si="4"/>
        <v>484171</v>
      </c>
      <c r="E161" t="s">
        <v>1715</v>
      </c>
      <c r="G161" s="141">
        <v>950095</v>
      </c>
    </row>
    <row r="162" spans="1:7" x14ac:dyDescent="0.35">
      <c r="A162" s="119" t="s">
        <v>183</v>
      </c>
      <c r="B162" s="121">
        <v>405177</v>
      </c>
      <c r="C162" s="121">
        <v>3329</v>
      </c>
      <c r="D162" s="121">
        <f t="shared" ref="D162:D193" si="5">SUM(B162:C162)</f>
        <v>408506</v>
      </c>
      <c r="E162" t="s">
        <v>1715</v>
      </c>
      <c r="G162" s="141">
        <v>976710</v>
      </c>
    </row>
    <row r="163" spans="1:7" x14ac:dyDescent="0.35">
      <c r="A163" s="119" t="s">
        <v>184</v>
      </c>
      <c r="B163" s="121">
        <v>357808</v>
      </c>
      <c r="C163" s="121">
        <v>10204</v>
      </c>
      <c r="D163" s="121">
        <f t="shared" si="5"/>
        <v>368012</v>
      </c>
      <c r="E163" t="s">
        <v>1715</v>
      </c>
      <c r="G163" s="141">
        <v>988256</v>
      </c>
    </row>
    <row r="164" spans="1:7" x14ac:dyDescent="0.35">
      <c r="A164" s="119" t="s">
        <v>185</v>
      </c>
      <c r="B164" s="121">
        <v>215019</v>
      </c>
      <c r="C164" s="121">
        <v>6127</v>
      </c>
      <c r="D164" s="121">
        <f t="shared" si="5"/>
        <v>221146</v>
      </c>
      <c r="E164" t="s">
        <v>1715</v>
      </c>
      <c r="G164" s="141">
        <v>1008640</v>
      </c>
    </row>
    <row r="165" spans="1:7" x14ac:dyDescent="0.35">
      <c r="A165" s="119" t="s">
        <v>186</v>
      </c>
      <c r="B165" s="121">
        <v>67000</v>
      </c>
      <c r="C165" s="121">
        <v>623</v>
      </c>
      <c r="D165" s="121">
        <f t="shared" si="5"/>
        <v>67623</v>
      </c>
      <c r="E165" t="s">
        <v>1715</v>
      </c>
      <c r="G165" s="141">
        <v>1023148</v>
      </c>
    </row>
    <row r="166" spans="1:7" x14ac:dyDescent="0.35">
      <c r="A166" s="119" t="s">
        <v>187</v>
      </c>
      <c r="B166" s="121">
        <v>892597</v>
      </c>
      <c r="C166" s="121">
        <v>10401</v>
      </c>
      <c r="D166" s="121">
        <f t="shared" si="5"/>
        <v>902998</v>
      </c>
      <c r="E166" t="s">
        <v>1714</v>
      </c>
      <c r="G166" s="141">
        <v>1034247</v>
      </c>
    </row>
    <row r="167" spans="1:7" x14ac:dyDescent="0.35">
      <c r="A167" s="119" t="s">
        <v>188</v>
      </c>
      <c r="B167" s="121">
        <v>739459</v>
      </c>
      <c r="C167" s="121">
        <v>14190</v>
      </c>
      <c r="D167" s="121">
        <f t="shared" si="5"/>
        <v>753649</v>
      </c>
      <c r="E167" t="s">
        <v>1714</v>
      </c>
      <c r="G167" s="141">
        <v>1065959</v>
      </c>
    </row>
    <row r="168" spans="1:7" x14ac:dyDescent="0.35">
      <c r="A168" s="119" t="s">
        <v>189</v>
      </c>
      <c r="B168" s="121">
        <v>232182</v>
      </c>
      <c r="C168" s="121">
        <v>2977</v>
      </c>
      <c r="D168" s="121">
        <f t="shared" si="5"/>
        <v>235159</v>
      </c>
      <c r="E168" t="s">
        <v>1715</v>
      </c>
      <c r="G168" s="141">
        <v>1081266</v>
      </c>
    </row>
    <row r="169" spans="1:7" x14ac:dyDescent="0.35">
      <c r="A169" s="119" t="s">
        <v>190</v>
      </c>
      <c r="B169" s="121">
        <v>313127</v>
      </c>
      <c r="C169" s="121">
        <v>12905</v>
      </c>
      <c r="D169" s="121">
        <f t="shared" si="5"/>
        <v>326032</v>
      </c>
      <c r="E169" t="s">
        <v>1715</v>
      </c>
      <c r="G169" s="141">
        <v>1137476</v>
      </c>
    </row>
    <row r="170" spans="1:7" x14ac:dyDescent="0.35">
      <c r="A170" s="119" t="s">
        <v>191</v>
      </c>
      <c r="B170" s="121">
        <v>3935</v>
      </c>
      <c r="C170" s="121">
        <v>269</v>
      </c>
      <c r="D170" s="121">
        <f t="shared" si="5"/>
        <v>4204</v>
      </c>
      <c r="E170" t="s">
        <v>1715</v>
      </c>
      <c r="G170" s="141">
        <v>1171361</v>
      </c>
    </row>
    <row r="171" spans="1:7" x14ac:dyDescent="0.35">
      <c r="A171" s="119" t="s">
        <v>192</v>
      </c>
      <c r="B171" s="121">
        <v>672282</v>
      </c>
      <c r="C171" s="121">
        <v>16568</v>
      </c>
      <c r="D171" s="121">
        <f t="shared" si="5"/>
        <v>688850</v>
      </c>
      <c r="E171" t="s">
        <v>1715</v>
      </c>
      <c r="G171" s="141">
        <v>1307122</v>
      </c>
    </row>
    <row r="172" spans="1:7" x14ac:dyDescent="0.35">
      <c r="A172" s="119" t="s">
        <v>193</v>
      </c>
      <c r="B172" s="121">
        <v>394443</v>
      </c>
      <c r="C172" s="121">
        <v>10656</v>
      </c>
      <c r="D172" s="121">
        <f t="shared" si="5"/>
        <v>405099</v>
      </c>
      <c r="E172" t="s">
        <v>1715</v>
      </c>
      <c r="G172" s="141">
        <v>1310012</v>
      </c>
    </row>
    <row r="173" spans="1:7" x14ac:dyDescent="0.35">
      <c r="A173" s="119" t="s">
        <v>194</v>
      </c>
      <c r="B173" s="121">
        <v>73181</v>
      </c>
      <c r="C173" s="121">
        <v>4323</v>
      </c>
      <c r="D173" s="121">
        <f t="shared" si="5"/>
        <v>77504</v>
      </c>
      <c r="E173" t="s">
        <v>1715</v>
      </c>
      <c r="G173" s="141">
        <v>1335517</v>
      </c>
    </row>
    <row r="174" spans="1:7" x14ac:dyDescent="0.35">
      <c r="A174" s="119" t="s">
        <v>195</v>
      </c>
      <c r="B174" s="121">
        <v>11012</v>
      </c>
      <c r="C174" s="121">
        <v>554</v>
      </c>
      <c r="D174" s="121">
        <f t="shared" si="5"/>
        <v>11566</v>
      </c>
      <c r="E174" t="s">
        <v>1715</v>
      </c>
      <c r="G174" s="141">
        <v>1355346</v>
      </c>
    </row>
    <row r="175" spans="1:7" x14ac:dyDescent="0.35">
      <c r="A175" s="119" t="s">
        <v>196</v>
      </c>
      <c r="B175" s="121">
        <v>2492383</v>
      </c>
      <c r="C175" s="121">
        <v>85070</v>
      </c>
      <c r="D175" s="121">
        <f t="shared" si="5"/>
        <v>2577453</v>
      </c>
      <c r="E175" t="s">
        <v>1713</v>
      </c>
      <c r="G175" s="141">
        <v>1410182</v>
      </c>
    </row>
    <row r="176" spans="1:7" x14ac:dyDescent="0.35">
      <c r="A176" s="119" t="s">
        <v>197</v>
      </c>
      <c r="B176" s="121">
        <v>690554</v>
      </c>
      <c r="C176" s="121">
        <v>21603</v>
      </c>
      <c r="D176" s="121">
        <f t="shared" si="5"/>
        <v>712157</v>
      </c>
      <c r="E176" t="s">
        <v>1715</v>
      </c>
      <c r="G176" s="141">
        <v>1453313</v>
      </c>
    </row>
    <row r="177" spans="1:7" x14ac:dyDescent="0.35">
      <c r="A177" s="119" t="s">
        <v>198</v>
      </c>
      <c r="B177" s="121">
        <v>62907</v>
      </c>
      <c r="C177" s="121">
        <v>1596</v>
      </c>
      <c r="D177" s="121">
        <f t="shared" si="5"/>
        <v>64503</v>
      </c>
      <c r="E177" t="s">
        <v>1715</v>
      </c>
      <c r="G177" s="141">
        <v>1473189</v>
      </c>
    </row>
    <row r="178" spans="1:7" x14ac:dyDescent="0.35">
      <c r="A178" s="119" t="s">
        <v>199</v>
      </c>
      <c r="B178" s="121">
        <v>113890</v>
      </c>
      <c r="C178" s="121">
        <v>3066</v>
      </c>
      <c r="D178" s="121">
        <f t="shared" si="5"/>
        <v>116956</v>
      </c>
      <c r="E178" t="s">
        <v>1715</v>
      </c>
      <c r="G178" s="141">
        <v>1498045</v>
      </c>
    </row>
    <row r="179" spans="1:7" x14ac:dyDescent="0.35">
      <c r="A179" s="119" t="s">
        <v>200</v>
      </c>
      <c r="B179" s="121">
        <v>1425</v>
      </c>
      <c r="C179" s="121">
        <v>95104</v>
      </c>
      <c r="D179" s="121">
        <f t="shared" si="5"/>
        <v>96529</v>
      </c>
      <c r="E179" t="s">
        <v>1715</v>
      </c>
      <c r="G179" s="141">
        <v>1519932</v>
      </c>
    </row>
    <row r="180" spans="1:7" x14ac:dyDescent="0.35">
      <c r="A180" s="119" t="s">
        <v>201</v>
      </c>
      <c r="B180" s="121">
        <v>317561</v>
      </c>
      <c r="C180" s="121">
        <v>8279</v>
      </c>
      <c r="D180" s="121">
        <f t="shared" si="5"/>
        <v>325840</v>
      </c>
      <c r="E180" t="s">
        <v>1715</v>
      </c>
      <c r="G180" s="141">
        <v>1633390</v>
      </c>
    </row>
    <row r="181" spans="1:7" x14ac:dyDescent="0.35">
      <c r="A181" s="119" t="s">
        <v>202</v>
      </c>
      <c r="B181" s="121">
        <v>576237</v>
      </c>
      <c r="C181" s="121">
        <v>12043</v>
      </c>
      <c r="D181" s="121">
        <f t="shared" si="5"/>
        <v>588280</v>
      </c>
      <c r="E181" t="s">
        <v>1715</v>
      </c>
      <c r="G181" s="141">
        <v>1712983</v>
      </c>
    </row>
    <row r="182" spans="1:7" x14ac:dyDescent="0.35">
      <c r="A182" s="119" t="s">
        <v>203</v>
      </c>
      <c r="B182" s="121">
        <v>1271841</v>
      </c>
      <c r="C182" s="121">
        <v>35281</v>
      </c>
      <c r="D182" s="121">
        <f t="shared" si="5"/>
        <v>1307122</v>
      </c>
      <c r="E182" t="s">
        <v>1714</v>
      </c>
      <c r="G182" s="141">
        <v>1810453</v>
      </c>
    </row>
    <row r="183" spans="1:7" x14ac:dyDescent="0.35">
      <c r="A183" s="119" t="s">
        <v>204</v>
      </c>
      <c r="B183" s="121">
        <v>2464443</v>
      </c>
      <c r="C183" s="121">
        <v>48743</v>
      </c>
      <c r="D183" s="121">
        <f t="shared" si="5"/>
        <v>2513186</v>
      </c>
      <c r="E183" t="s">
        <v>1713</v>
      </c>
      <c r="G183" s="141">
        <v>1828485</v>
      </c>
    </row>
    <row r="184" spans="1:7" x14ac:dyDescent="0.35">
      <c r="A184" s="119" t="s">
        <v>205</v>
      </c>
      <c r="B184" s="121">
        <v>525299</v>
      </c>
      <c r="C184" s="121">
        <v>11545</v>
      </c>
      <c r="D184" s="121">
        <f t="shared" si="5"/>
        <v>536844</v>
      </c>
      <c r="E184" t="s">
        <v>1715</v>
      </c>
      <c r="G184" s="141">
        <v>1830519</v>
      </c>
    </row>
    <row r="185" spans="1:7" x14ac:dyDescent="0.35">
      <c r="A185" s="119" t="s">
        <v>206</v>
      </c>
      <c r="B185" s="121">
        <v>2469</v>
      </c>
      <c r="C185" s="121">
        <v>11307</v>
      </c>
      <c r="D185" s="121">
        <f t="shared" si="5"/>
        <v>13776</v>
      </c>
      <c r="E185" t="s">
        <v>1715</v>
      </c>
      <c r="G185" s="141">
        <v>2125393</v>
      </c>
    </row>
    <row r="186" spans="1:7" x14ac:dyDescent="0.35">
      <c r="A186" s="119" t="s">
        <v>207</v>
      </c>
      <c r="B186" s="121">
        <v>7348</v>
      </c>
      <c r="C186" s="121">
        <v>22185</v>
      </c>
      <c r="D186" s="121">
        <f t="shared" si="5"/>
        <v>29533</v>
      </c>
      <c r="E186" t="s">
        <v>1715</v>
      </c>
      <c r="G186" s="141">
        <v>2248980</v>
      </c>
    </row>
    <row r="187" spans="1:7" x14ac:dyDescent="0.35">
      <c r="A187" s="119" t="s">
        <v>208</v>
      </c>
      <c r="B187" s="121">
        <v>300456</v>
      </c>
      <c r="C187" s="121">
        <v>6483</v>
      </c>
      <c r="D187" s="121">
        <f t="shared" si="5"/>
        <v>306939</v>
      </c>
      <c r="E187" t="s">
        <v>1715</v>
      </c>
      <c r="G187" s="141">
        <v>2470046</v>
      </c>
    </row>
    <row r="188" spans="1:7" x14ac:dyDescent="0.35">
      <c r="A188" s="119" t="s">
        <v>209</v>
      </c>
      <c r="B188" s="121">
        <v>89443</v>
      </c>
      <c r="C188" s="121">
        <v>692</v>
      </c>
      <c r="D188" s="121">
        <f t="shared" si="5"/>
        <v>90135</v>
      </c>
      <c r="E188" t="s">
        <v>1715</v>
      </c>
      <c r="G188" s="141">
        <v>2513186</v>
      </c>
    </row>
    <row r="189" spans="1:7" x14ac:dyDescent="0.35">
      <c r="A189" s="119" t="s">
        <v>210</v>
      </c>
      <c r="B189" s="121">
        <v>203907</v>
      </c>
      <c r="C189" s="121">
        <v>2415</v>
      </c>
      <c r="D189" s="121">
        <f t="shared" si="5"/>
        <v>206322</v>
      </c>
      <c r="E189" t="s">
        <v>1715</v>
      </c>
      <c r="G189" s="141">
        <v>2577453</v>
      </c>
    </row>
    <row r="190" spans="1:7" x14ac:dyDescent="0.35">
      <c r="A190" s="119" t="s">
        <v>211</v>
      </c>
      <c r="B190" s="121">
        <v>144165</v>
      </c>
      <c r="C190" s="121">
        <v>5413</v>
      </c>
      <c r="D190" s="121">
        <f t="shared" si="5"/>
        <v>149578</v>
      </c>
      <c r="E190" t="s">
        <v>1715</v>
      </c>
      <c r="G190" s="141">
        <v>2771730</v>
      </c>
    </row>
    <row r="191" spans="1:7" x14ac:dyDescent="0.35">
      <c r="A191" s="119" t="s">
        <v>212</v>
      </c>
      <c r="B191" s="121">
        <v>63251</v>
      </c>
      <c r="C191" s="121">
        <v>1965</v>
      </c>
      <c r="D191" s="121">
        <f t="shared" si="5"/>
        <v>65216</v>
      </c>
      <c r="E191" t="s">
        <v>1715</v>
      </c>
      <c r="G191" s="141">
        <v>3240438</v>
      </c>
    </row>
    <row r="192" spans="1:7" x14ac:dyDescent="0.35">
      <c r="A192" s="119" t="s">
        <v>213</v>
      </c>
      <c r="B192" s="121">
        <v>225708</v>
      </c>
      <c r="C192" s="121">
        <v>5243</v>
      </c>
      <c r="D192" s="121">
        <f t="shared" si="5"/>
        <v>230951</v>
      </c>
      <c r="E192" t="s">
        <v>1715</v>
      </c>
      <c r="G192" s="141">
        <v>3604930</v>
      </c>
    </row>
    <row r="193" spans="1:7" x14ac:dyDescent="0.35">
      <c r="A193" s="119" t="s">
        <v>214</v>
      </c>
      <c r="B193" s="121">
        <v>1797224</v>
      </c>
      <c r="C193" s="121">
        <v>31261</v>
      </c>
      <c r="D193" s="121">
        <f t="shared" si="5"/>
        <v>1828485</v>
      </c>
      <c r="E193" t="s">
        <v>1713</v>
      </c>
      <c r="G193" s="141">
        <v>3954539</v>
      </c>
    </row>
    <row r="194" spans="1:7" x14ac:dyDescent="0.35">
      <c r="A194" s="119" t="s">
        <v>215</v>
      </c>
      <c r="B194" s="121">
        <v>257263</v>
      </c>
      <c r="C194" s="121">
        <v>8534</v>
      </c>
      <c r="D194" s="121">
        <f t="shared" ref="D194:D198" si="6">SUM(B194:C194)</f>
        <v>265797</v>
      </c>
      <c r="E194" t="s">
        <v>1715</v>
      </c>
      <c r="G194" s="141">
        <v>4231121</v>
      </c>
    </row>
    <row r="195" spans="1:7" x14ac:dyDescent="0.35">
      <c r="A195" s="119" t="s">
        <v>216</v>
      </c>
      <c r="B195" s="121">
        <v>348091</v>
      </c>
      <c r="C195" s="121">
        <v>13795</v>
      </c>
      <c r="D195" s="121">
        <f t="shared" si="6"/>
        <v>361886</v>
      </c>
      <c r="E195" t="s">
        <v>1715</v>
      </c>
      <c r="G195" s="141">
        <v>4269582</v>
      </c>
    </row>
    <row r="196" spans="1:7" x14ac:dyDescent="0.35">
      <c r="A196" s="119" t="s">
        <v>217</v>
      </c>
      <c r="B196" s="121">
        <v>1121221</v>
      </c>
      <c r="C196" s="121">
        <v>16255</v>
      </c>
      <c r="D196" s="121">
        <f t="shared" si="6"/>
        <v>1137476</v>
      </c>
      <c r="E196" t="s">
        <v>1714</v>
      </c>
      <c r="G196" s="141">
        <v>8907206</v>
      </c>
    </row>
    <row r="197" spans="1:7" x14ac:dyDescent="0.35">
      <c r="A197" s="119" t="s">
        <v>218</v>
      </c>
      <c r="B197" s="121">
        <v>250971</v>
      </c>
      <c r="C197" s="121">
        <v>6125</v>
      </c>
      <c r="D197" s="121">
        <f t="shared" si="6"/>
        <v>257096</v>
      </c>
      <c r="E197" t="s">
        <v>1715</v>
      </c>
      <c r="G197" s="141">
        <v>9414463</v>
      </c>
    </row>
    <row r="198" spans="1:7" x14ac:dyDescent="0.35">
      <c r="A198" s="119" t="s">
        <v>219</v>
      </c>
      <c r="B198" s="121">
        <v>71783</v>
      </c>
      <c r="C198" s="121">
        <v>2022</v>
      </c>
      <c r="D198" s="121">
        <f t="shared" si="6"/>
        <v>73805</v>
      </c>
      <c r="E198" t="s">
        <v>1715</v>
      </c>
      <c r="G198" s="141">
        <v>11966394</v>
      </c>
    </row>
    <row r="199" spans="1:7" s="124" customFormat="1" ht="5.5" customHeight="1" x14ac:dyDescent="0.35">
      <c r="B199" s="125"/>
      <c r="C199" s="125"/>
    </row>
    <row r="200" spans="1:7" x14ac:dyDescent="0.35">
      <c r="A200" s="122" t="s">
        <v>2051</v>
      </c>
      <c r="B200" s="121">
        <v>51220</v>
      </c>
      <c r="C200" s="121">
        <v>0</v>
      </c>
    </row>
    <row r="201" spans="1:7" x14ac:dyDescent="0.35">
      <c r="A201" s="123" t="s">
        <v>2052</v>
      </c>
      <c r="B201" s="121">
        <v>268655</v>
      </c>
      <c r="C201" s="121">
        <v>0</v>
      </c>
    </row>
    <row r="202" spans="1:7" x14ac:dyDescent="0.35">
      <c r="A202" s="122" t="s">
        <v>2053</v>
      </c>
      <c r="B202" s="121">
        <v>41258</v>
      </c>
      <c r="C202" s="121">
        <v>0</v>
      </c>
    </row>
    <row r="203" spans="1:7" x14ac:dyDescent="0.35">
      <c r="A203" s="123" t="s">
        <v>2054</v>
      </c>
      <c r="B203" s="121">
        <v>21285</v>
      </c>
      <c r="C203" s="121">
        <v>343</v>
      </c>
    </row>
    <row r="205" spans="1:7" x14ac:dyDescent="0.35">
      <c r="B205" s="106">
        <v>611</v>
      </c>
      <c r="C205" s="106">
        <v>619</v>
      </c>
      <c r="D205" s="107" t="s">
        <v>2060</v>
      </c>
    </row>
    <row r="206" spans="1:7" x14ac:dyDescent="0.35">
      <c r="A206" t="s">
        <v>2055</v>
      </c>
      <c r="B206" s="121">
        <v>16761844</v>
      </c>
      <c r="C206" s="121">
        <v>137964</v>
      </c>
      <c r="D206" s="121">
        <v>16899808</v>
      </c>
    </row>
    <row r="207" spans="1:7" x14ac:dyDescent="0.35">
      <c r="A207" t="s">
        <v>2056</v>
      </c>
      <c r="B207" s="121">
        <v>129322</v>
      </c>
      <c r="C207" s="121">
        <v>1032</v>
      </c>
      <c r="D207" s="121">
        <v>130354</v>
      </c>
    </row>
    <row r="208" spans="1:7" x14ac:dyDescent="0.35">
      <c r="A208" t="s">
        <v>2057</v>
      </c>
      <c r="B208" s="121">
        <v>337127</v>
      </c>
      <c r="C208" s="121">
        <v>271</v>
      </c>
      <c r="D208" s="121">
        <v>337398</v>
      </c>
    </row>
    <row r="209" spans="1:4" x14ac:dyDescent="0.35">
      <c r="A209" t="s">
        <v>2058</v>
      </c>
      <c r="B209" s="121">
        <v>15973</v>
      </c>
      <c r="C209" s="121">
        <v>0</v>
      </c>
      <c r="D209" s="121">
        <v>15973</v>
      </c>
    </row>
    <row r="210" spans="1:4" x14ac:dyDescent="0.35">
      <c r="A210" t="s">
        <v>2054</v>
      </c>
      <c r="B210" s="121">
        <v>21285</v>
      </c>
      <c r="C210" s="121">
        <v>343</v>
      </c>
      <c r="D210" s="121">
        <v>21628</v>
      </c>
    </row>
    <row r="211" spans="1:4" x14ac:dyDescent="0.35">
      <c r="A211" t="s">
        <v>2059</v>
      </c>
      <c r="B211" s="121">
        <v>10480671</v>
      </c>
      <c r="C211" s="121">
        <v>2066231</v>
      </c>
      <c r="D211" s="121">
        <v>12546902</v>
      </c>
    </row>
  </sheetData>
  <sheetProtection selectLockedCells="1" selectUnlockedCells="1"/>
  <autoFilter ref="A1:M1" xr:uid="{00000000-0009-0000-0000-000002000000}">
    <sortState xmlns:xlrd2="http://schemas.microsoft.com/office/spreadsheetml/2017/richdata2" ref="A2:M198">
      <sortCondition ref="A1"/>
    </sortState>
  </autoFilter>
  <sortState xmlns:xlrd2="http://schemas.microsoft.com/office/spreadsheetml/2017/richdata2" ref="G2:G198">
    <sortCondition ref="G2"/>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AD220"/>
  <sheetViews>
    <sheetView topLeftCell="A4" workbookViewId="0">
      <selection activeCell="F16" sqref="F16"/>
    </sheetView>
  </sheetViews>
  <sheetFormatPr defaultRowHeight="14.5" x14ac:dyDescent="0.35"/>
  <cols>
    <col min="1" max="1" width="20.81640625" bestFit="1" customWidth="1"/>
    <col min="2" max="2" width="22.26953125" bestFit="1" customWidth="1"/>
    <col min="3" max="3" width="10.26953125" bestFit="1" customWidth="1"/>
    <col min="5" max="5" width="19" customWidth="1"/>
    <col min="6" max="6" width="16.453125" customWidth="1"/>
    <col min="7" max="7" width="22.26953125" customWidth="1"/>
    <col min="8" max="8" width="15.1796875" customWidth="1"/>
    <col min="9" max="9" width="19.7265625" customWidth="1"/>
    <col min="10" max="10" width="20.1796875" customWidth="1"/>
    <col min="11" max="11" width="17.81640625" customWidth="1"/>
    <col min="12" max="12" width="16.54296875" customWidth="1"/>
    <col min="15" max="15" width="18" customWidth="1"/>
  </cols>
  <sheetData>
    <row r="1" spans="1:30" x14ac:dyDescent="0.35">
      <c r="A1" t="s">
        <v>1466</v>
      </c>
      <c r="B1" t="s">
        <v>1467</v>
      </c>
      <c r="C1" t="s">
        <v>1468</v>
      </c>
      <c r="E1" t="s">
        <v>1469</v>
      </c>
      <c r="F1" t="s">
        <v>1470</v>
      </c>
      <c r="G1" t="s">
        <v>1471</v>
      </c>
      <c r="H1" t="s">
        <v>1472</v>
      </c>
      <c r="I1" t="s">
        <v>1473</v>
      </c>
      <c r="J1" t="s">
        <v>1474</v>
      </c>
      <c r="K1" t="s">
        <v>1475</v>
      </c>
      <c r="L1" t="s">
        <v>1476</v>
      </c>
      <c r="M1" t="s">
        <v>1477</v>
      </c>
      <c r="N1" t="s">
        <v>1478</v>
      </c>
      <c r="O1" t="s">
        <v>1479</v>
      </c>
      <c r="P1" t="s">
        <v>1480</v>
      </c>
      <c r="Q1" t="s">
        <v>1481</v>
      </c>
      <c r="R1" t="s">
        <v>1482</v>
      </c>
      <c r="S1" t="s">
        <v>1483</v>
      </c>
      <c r="T1" t="s">
        <v>1484</v>
      </c>
      <c r="U1" t="s">
        <v>1485</v>
      </c>
      <c r="V1" t="s">
        <v>1486</v>
      </c>
      <c r="W1" t="s">
        <v>1487</v>
      </c>
      <c r="X1" t="s">
        <v>1488</v>
      </c>
      <c r="Y1" t="s">
        <v>1489</v>
      </c>
      <c r="Z1" t="s">
        <v>1490</v>
      </c>
      <c r="AA1" t="s">
        <v>2013</v>
      </c>
      <c r="AB1" t="s">
        <v>2016</v>
      </c>
      <c r="AC1" t="s">
        <v>2112</v>
      </c>
      <c r="AD1" t="s">
        <v>3096</v>
      </c>
    </row>
    <row r="2" spans="1:30" x14ac:dyDescent="0.35">
      <c r="A2" t="s">
        <v>1491</v>
      </c>
      <c r="B2" s="9">
        <v>2024</v>
      </c>
      <c r="E2" s="13" t="s">
        <v>1492</v>
      </c>
      <c r="F2" s="13" t="s">
        <v>1493</v>
      </c>
      <c r="G2" s="13" t="s">
        <v>1494</v>
      </c>
      <c r="H2" s="13" t="s">
        <v>2090</v>
      </c>
      <c r="I2" s="13" t="s">
        <v>1495</v>
      </c>
      <c r="J2" s="13" t="s">
        <v>3072</v>
      </c>
      <c r="K2" s="13" t="s">
        <v>1963</v>
      </c>
      <c r="L2" s="13" t="s">
        <v>1962</v>
      </c>
      <c r="M2" s="13" t="s">
        <v>1496</v>
      </c>
      <c r="N2" s="13" t="s">
        <v>1497</v>
      </c>
      <c r="O2" s="13" t="s">
        <v>2010</v>
      </c>
      <c r="P2" s="13" t="s">
        <v>1498</v>
      </c>
      <c r="Q2" s="13" t="s">
        <v>1977</v>
      </c>
      <c r="R2" s="13" t="s">
        <v>1499</v>
      </c>
      <c r="S2" s="13" t="s">
        <v>1500</v>
      </c>
      <c r="T2" s="13" t="s">
        <v>3099</v>
      </c>
      <c r="U2" s="13" t="s">
        <v>1501</v>
      </c>
      <c r="V2" s="13" t="s">
        <v>1502</v>
      </c>
      <c r="W2" s="13" t="s">
        <v>1503</v>
      </c>
      <c r="X2" t="s">
        <v>1504</v>
      </c>
      <c r="Y2" t="s">
        <v>1505</v>
      </c>
      <c r="Z2" t="s">
        <v>1506</v>
      </c>
      <c r="AA2" t="s">
        <v>2014</v>
      </c>
      <c r="AB2" s="102" t="s">
        <v>2019</v>
      </c>
      <c r="AC2" t="s">
        <v>2113</v>
      </c>
      <c r="AD2" t="s">
        <v>3097</v>
      </c>
    </row>
    <row r="3" spans="1:30" ht="15.5" x14ac:dyDescent="0.35">
      <c r="A3" t="s">
        <v>1507</v>
      </c>
      <c r="B3" t="str">
        <f>RptYr&amp;"-"&amp;RptYr+1</f>
        <v>2024-2025</v>
      </c>
      <c r="E3" s="13" t="s">
        <v>1508</v>
      </c>
      <c r="F3" s="13" t="s">
        <v>1509</v>
      </c>
      <c r="G3" s="13" t="s">
        <v>1510</v>
      </c>
      <c r="H3" s="13"/>
      <c r="J3" t="s">
        <v>3073</v>
      </c>
      <c r="K3" t="s">
        <v>1964</v>
      </c>
      <c r="L3" t="s">
        <v>1961</v>
      </c>
      <c r="M3" t="s">
        <v>1967</v>
      </c>
      <c r="N3" t="s">
        <v>1511</v>
      </c>
      <c r="O3" t="s">
        <v>2011</v>
      </c>
      <c r="P3" t="s">
        <v>1512</v>
      </c>
      <c r="Q3" t="s">
        <v>1978</v>
      </c>
      <c r="R3" t="s">
        <v>1513</v>
      </c>
      <c r="S3" t="s">
        <v>1514</v>
      </c>
      <c r="T3" t="s">
        <v>1515</v>
      </c>
      <c r="U3" t="s">
        <v>1516</v>
      </c>
      <c r="V3" t="s">
        <v>1517</v>
      </c>
      <c r="W3" t="s">
        <v>1518</v>
      </c>
      <c r="X3" t="s">
        <v>1519</v>
      </c>
      <c r="Y3" t="s">
        <v>1520</v>
      </c>
      <c r="Z3" t="s">
        <v>1521</v>
      </c>
      <c r="AA3" t="s">
        <v>2015</v>
      </c>
      <c r="AB3" s="102" t="s">
        <v>2018</v>
      </c>
      <c r="AC3" s="150" t="s">
        <v>2114</v>
      </c>
      <c r="AD3" t="s">
        <v>3098</v>
      </c>
    </row>
    <row r="4" spans="1:30" x14ac:dyDescent="0.35">
      <c r="A4" t="s">
        <v>1522</v>
      </c>
      <c r="B4" t="str">
        <f>RptYr-1&amp;"-"&amp;RptYr</f>
        <v>2023-2024</v>
      </c>
      <c r="E4" s="13"/>
      <c r="F4" s="13" t="s">
        <v>1523</v>
      </c>
      <c r="M4" t="s">
        <v>1968</v>
      </c>
      <c r="Q4" t="s">
        <v>1979</v>
      </c>
      <c r="U4" t="s">
        <v>1931</v>
      </c>
      <c r="X4" t="s">
        <v>1524</v>
      </c>
      <c r="Y4" t="s">
        <v>1525</v>
      </c>
      <c r="AA4" t="s">
        <v>2042</v>
      </c>
      <c r="AB4" s="102" t="s">
        <v>3024</v>
      </c>
    </row>
    <row r="5" spans="1:30" x14ac:dyDescent="0.35">
      <c r="A5" t="s">
        <v>1526</v>
      </c>
      <c r="B5" t="s">
        <v>1527</v>
      </c>
      <c r="E5" s="13"/>
      <c r="F5" s="13"/>
      <c r="Q5" t="s">
        <v>3108</v>
      </c>
      <c r="AB5" s="102" t="s">
        <v>2017</v>
      </c>
    </row>
    <row r="6" spans="1:30" x14ac:dyDescent="0.35">
      <c r="A6" t="s">
        <v>1526</v>
      </c>
      <c r="B6" t="s">
        <v>1528</v>
      </c>
      <c r="E6" s="13"/>
      <c r="F6" s="13"/>
      <c r="AB6" t="s">
        <v>2022</v>
      </c>
    </row>
    <row r="7" spans="1:30" x14ac:dyDescent="0.35">
      <c r="A7" t="s">
        <v>1529</v>
      </c>
      <c r="B7" t="str">
        <f>IFERROR(IF(OR(LeaName="ODE JDEP",LeaName="ODE YCEP",LeaName="Oregon Dept. of Corrections"),"Not Applicable","State and Local Funds"),"State and Local Funds")</f>
        <v>State and Local Funds</v>
      </c>
      <c r="E7" s="13"/>
      <c r="F7" s="13"/>
      <c r="AB7" t="s">
        <v>2020</v>
      </c>
    </row>
    <row r="8" spans="1:30" x14ac:dyDescent="0.35">
      <c r="A8" t="s">
        <v>1529</v>
      </c>
      <c r="B8" t="str">
        <f>IFERROR(IF(OR(LeaName="ODE JDEP",LeaName="ODE YCEP",LeaName="Oregon Dept. of Corrections"),"Not Applicable","Local Funds Only"),"Local Funds Only")</f>
        <v>Local Funds Only</v>
      </c>
      <c r="E8" s="13"/>
      <c r="F8" s="13"/>
      <c r="AB8" t="s">
        <v>2023</v>
      </c>
    </row>
    <row r="9" spans="1:30" x14ac:dyDescent="0.35">
      <c r="A9" t="s">
        <v>1530</v>
      </c>
      <c r="B9" t="s">
        <v>3185</v>
      </c>
      <c r="E9" s="63" t="s">
        <v>1921</v>
      </c>
    </row>
    <row r="10" spans="1:30" x14ac:dyDescent="0.35">
      <c r="A10" t="s">
        <v>1532</v>
      </c>
      <c r="B10" s="13">
        <v>45414</v>
      </c>
    </row>
    <row r="11" spans="1:30" x14ac:dyDescent="0.35">
      <c r="A11" t="s">
        <v>1533</v>
      </c>
      <c r="B11" s="13">
        <v>45464</v>
      </c>
    </row>
    <row r="12" spans="1:30" x14ac:dyDescent="0.35">
      <c r="A12" t="s">
        <v>1776</v>
      </c>
      <c r="B12">
        <v>3.7</v>
      </c>
    </row>
    <row r="13" spans="1:30" x14ac:dyDescent="0.35">
      <c r="A13" t="s">
        <v>1885</v>
      </c>
      <c r="B13" s="13">
        <v>45446</v>
      </c>
    </row>
    <row r="14" spans="1:30" x14ac:dyDescent="0.35">
      <c r="A14" t="s">
        <v>1889</v>
      </c>
      <c r="B14" t="str">
        <f>RptYr-11&amp;"-"&amp;RptYr-10</f>
        <v>2013-2014</v>
      </c>
    </row>
    <row r="15" spans="1:30" x14ac:dyDescent="0.35">
      <c r="A15" t="s">
        <v>1890</v>
      </c>
      <c r="B15" s="13">
        <v>44607</v>
      </c>
      <c r="E15" t="s">
        <v>1922</v>
      </c>
      <c r="F15" t="s">
        <v>1923</v>
      </c>
      <c r="G15" t="s">
        <v>1924</v>
      </c>
      <c r="J15" t="s">
        <v>3087</v>
      </c>
    </row>
    <row r="16" spans="1:30" x14ac:dyDescent="0.35">
      <c r="A16" t="s">
        <v>1896</v>
      </c>
      <c r="B16" t="str">
        <f>RptYr-2&amp;"-"&amp;RptYr-1</f>
        <v>2022-2023</v>
      </c>
      <c r="E16" t="s">
        <v>1712</v>
      </c>
      <c r="F16">
        <v>0</v>
      </c>
      <c r="G16">
        <v>0</v>
      </c>
      <c r="J16" t="s">
        <v>3085</v>
      </c>
    </row>
    <row r="17" spans="1:13" x14ac:dyDescent="0.35">
      <c r="A17" t="s">
        <v>1897</v>
      </c>
      <c r="B17" t="str">
        <f>RptYr-3&amp;"-"&amp;RptYr-2</f>
        <v>2021-2022</v>
      </c>
      <c r="E17" t="s">
        <v>1713</v>
      </c>
      <c r="F17">
        <v>3</v>
      </c>
      <c r="G17">
        <v>2</v>
      </c>
      <c r="J17" t="s">
        <v>3086</v>
      </c>
    </row>
    <row r="18" spans="1:13" x14ac:dyDescent="0.35">
      <c r="B18" t="str">
        <f>RptYr-4&amp;"-"&amp;RptYr-3</f>
        <v>2020-2021</v>
      </c>
      <c r="E18" t="s">
        <v>1714</v>
      </c>
      <c r="F18">
        <v>6</v>
      </c>
      <c r="G18">
        <v>4</v>
      </c>
      <c r="J18" t="s">
        <v>2108</v>
      </c>
    </row>
    <row r="19" spans="1:13" x14ac:dyDescent="0.35">
      <c r="B19" t="str">
        <f>RptYr-5&amp;"-"&amp;RptYr-4</f>
        <v>2019-2020</v>
      </c>
      <c r="E19" t="s">
        <v>1715</v>
      </c>
      <c r="F19">
        <v>8</v>
      </c>
      <c r="G19">
        <v>6</v>
      </c>
    </row>
    <row r="20" spans="1:13" x14ac:dyDescent="0.35">
      <c r="B20" t="str">
        <f>RptYr-6&amp;"-"&amp;RptYr-5</f>
        <v>2018-2019</v>
      </c>
    </row>
    <row r="23" spans="1:13" x14ac:dyDescent="0.35">
      <c r="F23" t="s">
        <v>248</v>
      </c>
      <c r="G23" t="s">
        <v>1</v>
      </c>
      <c r="H23" t="s">
        <v>1539</v>
      </c>
      <c r="I23" t="s">
        <v>1540</v>
      </c>
      <c r="J23" t="s">
        <v>3081</v>
      </c>
      <c r="K23" s="63" t="s">
        <v>3082</v>
      </c>
      <c r="L23" t="s">
        <v>3083</v>
      </c>
    </row>
    <row r="24" spans="1:13" x14ac:dyDescent="0.35">
      <c r="F24" t="s">
        <v>441</v>
      </c>
      <c r="G24">
        <v>1902</v>
      </c>
      <c r="H24" t="s">
        <v>14</v>
      </c>
      <c r="I24">
        <v>2063</v>
      </c>
      <c r="J24" t="s">
        <v>1713</v>
      </c>
      <c r="K24" t="str">
        <f>VLOOKUP(tblInsts[[#This Row],[LeaID]],LateInaccurate!$A:$H,8,0)</f>
        <v>D</v>
      </c>
      <c r="L24" s="63" t="s">
        <v>1714</v>
      </c>
      <c r="M24" s="63"/>
    </row>
    <row r="25" spans="1:13" x14ac:dyDescent="0.35">
      <c r="F25" t="s">
        <v>613</v>
      </c>
      <c r="G25">
        <v>2223</v>
      </c>
      <c r="H25" t="s">
        <v>17</v>
      </c>
      <c r="I25">
        <v>2113</v>
      </c>
      <c r="J25" t="s">
        <v>1713</v>
      </c>
      <c r="K25" t="str">
        <f>VLOOKUP(tblInsts[[#This Row],[LeaID]],LateInaccurate!$A:$H,8,0)</f>
        <v>D</v>
      </c>
      <c r="L25" t="s">
        <v>1715</v>
      </c>
      <c r="M25" s="63"/>
    </row>
    <row r="26" spans="1:13" x14ac:dyDescent="0.35">
      <c r="F26" t="s">
        <v>432</v>
      </c>
      <c r="G26">
        <v>1980</v>
      </c>
      <c r="H26" t="s">
        <v>20</v>
      </c>
      <c r="I26">
        <v>1899</v>
      </c>
      <c r="J26" t="s">
        <v>1715</v>
      </c>
      <c r="K26" t="str">
        <f>VLOOKUP(tblInsts[[#This Row],[LeaID]],LateInaccurate!$A:$H,8,0)</f>
        <v>C</v>
      </c>
      <c r="L26" t="s">
        <v>1714</v>
      </c>
    </row>
    <row r="27" spans="1:13" x14ac:dyDescent="0.35">
      <c r="A27" t="s">
        <v>1466</v>
      </c>
      <c r="B27" t="s">
        <v>1467</v>
      </c>
      <c r="C27" t="s">
        <v>1468</v>
      </c>
      <c r="F27" t="s">
        <v>579</v>
      </c>
      <c r="G27">
        <v>2007</v>
      </c>
      <c r="H27" t="s">
        <v>21</v>
      </c>
      <c r="I27">
        <v>2252</v>
      </c>
      <c r="J27" t="s">
        <v>1715</v>
      </c>
      <c r="K27" t="str">
        <f>VLOOKUP(tblInsts[[#This Row],[LeaID]],LateInaccurate!$A:$H,8,0)</f>
        <v>C</v>
      </c>
      <c r="L27" s="63" t="s">
        <v>1715</v>
      </c>
    </row>
    <row r="28" spans="1:13" x14ac:dyDescent="0.35">
      <c r="A28" t="s">
        <v>1526</v>
      </c>
      <c r="B28" t="s">
        <v>1527</v>
      </c>
      <c r="F28" t="s">
        <v>585</v>
      </c>
      <c r="G28">
        <v>2013</v>
      </c>
      <c r="H28" t="s">
        <v>23</v>
      </c>
      <c r="I28">
        <v>2111</v>
      </c>
      <c r="J28" t="s">
        <v>1715</v>
      </c>
      <c r="K28" t="str">
        <f>VLOOKUP(tblInsts[[#This Row],[LeaID]],LateInaccurate!$A:$H,8,0)</f>
        <v>D</v>
      </c>
      <c r="L28" t="s">
        <v>1714</v>
      </c>
    </row>
    <row r="29" spans="1:13" x14ac:dyDescent="0.35">
      <c r="A29" t="s">
        <v>1526</v>
      </c>
      <c r="B29" t="s">
        <v>1528</v>
      </c>
      <c r="F29" t="s">
        <v>385</v>
      </c>
      <c r="G29">
        <v>1975</v>
      </c>
      <c r="H29" t="s">
        <v>24</v>
      </c>
      <c r="I29">
        <v>2005</v>
      </c>
      <c r="J29" t="s">
        <v>1715</v>
      </c>
      <c r="K29" t="str">
        <f>VLOOKUP(tblInsts[[#This Row],[LeaID]],LateInaccurate!$A:$H,8,0)</f>
        <v>C</v>
      </c>
      <c r="L29" t="s">
        <v>1714</v>
      </c>
    </row>
    <row r="30" spans="1:13" x14ac:dyDescent="0.35">
      <c r="A30" t="s">
        <v>1533</v>
      </c>
      <c r="B30" s="13">
        <v>44439</v>
      </c>
      <c r="F30" t="s">
        <v>351</v>
      </c>
      <c r="G30">
        <v>2200</v>
      </c>
      <c r="H30" t="s">
        <v>25</v>
      </c>
      <c r="I30">
        <v>2115</v>
      </c>
      <c r="J30" t="s">
        <v>1713</v>
      </c>
      <c r="K30" t="str">
        <f>VLOOKUP(tblInsts[[#This Row],[LeaID]],LateInaccurate!$A:$H,8,0)</f>
        <v>D</v>
      </c>
      <c r="L30" t="s">
        <v>1713</v>
      </c>
    </row>
    <row r="31" spans="1:13" x14ac:dyDescent="0.35">
      <c r="A31" t="s">
        <v>1507</v>
      </c>
      <c r="B31" t="s">
        <v>1777</v>
      </c>
      <c r="F31" t="s">
        <v>330</v>
      </c>
      <c r="G31">
        <v>2049</v>
      </c>
      <c r="H31" t="s">
        <v>26</v>
      </c>
      <c r="I31">
        <v>2041</v>
      </c>
      <c r="J31" t="s">
        <v>1713</v>
      </c>
      <c r="K31" t="str">
        <f>VLOOKUP(tblInsts[[#This Row],[LeaID]],LateInaccurate!$A:$H,8,0)</f>
        <v>C</v>
      </c>
      <c r="L31" t="s">
        <v>1714</v>
      </c>
    </row>
    <row r="32" spans="1:13" x14ac:dyDescent="0.35">
      <c r="A32" t="s">
        <v>1529</v>
      </c>
      <c r="B32" t="s">
        <v>1535</v>
      </c>
      <c r="F32" t="s">
        <v>272</v>
      </c>
      <c r="G32">
        <v>2058</v>
      </c>
      <c r="H32" t="s">
        <v>27</v>
      </c>
      <c r="I32">
        <v>2051</v>
      </c>
      <c r="J32" t="s">
        <v>1714</v>
      </c>
      <c r="K32" t="str">
        <f>VLOOKUP(tblInsts[[#This Row],[LeaID]],LateInaccurate!$A:$H,8,0)</f>
        <v>D</v>
      </c>
      <c r="L32" t="s">
        <v>1713</v>
      </c>
    </row>
    <row r="33" spans="1:12" x14ac:dyDescent="0.35">
      <c r="A33" t="s">
        <v>1529</v>
      </c>
      <c r="B33" t="s">
        <v>1536</v>
      </c>
      <c r="F33" t="s">
        <v>391</v>
      </c>
      <c r="G33">
        <v>2064</v>
      </c>
      <c r="H33" t="s">
        <v>28</v>
      </c>
      <c r="I33">
        <v>1933</v>
      </c>
      <c r="J33" t="s">
        <v>1715</v>
      </c>
      <c r="K33" t="str">
        <f>VLOOKUP(tblInsts[[#This Row],[LeaID]],LateInaccurate!$A:$H,8,0)</f>
        <v>D</v>
      </c>
      <c r="L33" t="s">
        <v>1714</v>
      </c>
    </row>
    <row r="34" spans="1:12" x14ac:dyDescent="0.35">
      <c r="A34" t="s">
        <v>1532</v>
      </c>
      <c r="B34" s="13">
        <v>44308</v>
      </c>
      <c r="F34" t="s">
        <v>290</v>
      </c>
      <c r="G34">
        <v>2098</v>
      </c>
      <c r="H34" t="s">
        <v>29</v>
      </c>
      <c r="I34">
        <v>2208</v>
      </c>
      <c r="J34" t="s">
        <v>1715</v>
      </c>
      <c r="K34" t="str">
        <f>VLOOKUP(tblInsts[[#This Row],[LeaID]],LateInaccurate!$A:$H,8,0)</f>
        <v>D</v>
      </c>
      <c r="L34" t="s">
        <v>1714</v>
      </c>
    </row>
    <row r="35" spans="1:12" x14ac:dyDescent="0.35">
      <c r="A35" t="s">
        <v>1522</v>
      </c>
      <c r="B35" t="s">
        <v>1534</v>
      </c>
      <c r="F35" t="s">
        <v>279</v>
      </c>
      <c r="G35">
        <v>2106</v>
      </c>
      <c r="H35" t="s">
        <v>30</v>
      </c>
      <c r="I35">
        <v>1894</v>
      </c>
      <c r="J35" t="s">
        <v>1715</v>
      </c>
      <c r="K35" t="str">
        <f>VLOOKUP(tblInsts[[#This Row],[LeaID]],LateInaccurate!$A:$H,8,0)</f>
        <v>D</v>
      </c>
      <c r="L35" t="s">
        <v>1715</v>
      </c>
    </row>
    <row r="36" spans="1:12" x14ac:dyDescent="0.35">
      <c r="A36" t="s">
        <v>1491</v>
      </c>
      <c r="B36">
        <v>2021</v>
      </c>
      <c r="F36" t="s">
        <v>457</v>
      </c>
      <c r="G36">
        <v>2148</v>
      </c>
      <c r="H36" t="s">
        <v>32</v>
      </c>
      <c r="I36">
        <v>1969</v>
      </c>
      <c r="J36" t="s">
        <v>1715</v>
      </c>
      <c r="K36" t="str">
        <f>VLOOKUP(tblInsts[[#This Row],[LeaID]],LateInaccurate!$A:$H,8,0)</f>
        <v>D</v>
      </c>
      <c r="L36" t="s">
        <v>1714</v>
      </c>
    </row>
    <row r="37" spans="1:12" x14ac:dyDescent="0.35">
      <c r="A37" t="s">
        <v>1530</v>
      </c>
      <c r="B37" t="s">
        <v>1531</v>
      </c>
      <c r="F37" t="s">
        <v>310</v>
      </c>
      <c r="G37">
        <v>2004</v>
      </c>
      <c r="H37" t="s">
        <v>33</v>
      </c>
      <c r="I37">
        <v>2240</v>
      </c>
      <c r="J37" t="s">
        <v>1715</v>
      </c>
      <c r="K37" t="str">
        <f>VLOOKUP(tblInsts[[#This Row],[LeaID]],LateInaccurate!$A:$H,8,0)</f>
        <v>D</v>
      </c>
      <c r="L37" t="s">
        <v>1715</v>
      </c>
    </row>
    <row r="38" spans="1:12" x14ac:dyDescent="0.35">
      <c r="A38" t="s">
        <v>1776</v>
      </c>
      <c r="B38" t="s">
        <v>1778</v>
      </c>
      <c r="F38" t="s">
        <v>339</v>
      </c>
      <c r="G38">
        <v>2230</v>
      </c>
      <c r="H38" t="s">
        <v>34</v>
      </c>
      <c r="I38">
        <v>2243</v>
      </c>
      <c r="J38" t="s">
        <v>1713</v>
      </c>
      <c r="K38" t="str">
        <f>VLOOKUP(tblInsts[[#This Row],[LeaID]],LateInaccurate!$A:$H,8,0)</f>
        <v>D</v>
      </c>
      <c r="L38" t="s">
        <v>1715</v>
      </c>
    </row>
    <row r="39" spans="1:12" x14ac:dyDescent="0.35">
      <c r="F39" t="s">
        <v>644</v>
      </c>
      <c r="G39">
        <v>2218</v>
      </c>
      <c r="H39" t="s">
        <v>35</v>
      </c>
      <c r="I39">
        <v>1976</v>
      </c>
      <c r="J39" t="s">
        <v>1714</v>
      </c>
      <c r="K39" t="str">
        <f>VLOOKUP(tblInsts[[#This Row],[LeaID]],LateInaccurate!$A:$H,8,0)</f>
        <v>C</v>
      </c>
      <c r="L39" t="s">
        <v>1715</v>
      </c>
    </row>
    <row r="40" spans="1:12" x14ac:dyDescent="0.35">
      <c r="F40" t="s">
        <v>366</v>
      </c>
      <c r="G40">
        <v>1949</v>
      </c>
      <c r="H40" t="s">
        <v>36</v>
      </c>
      <c r="I40">
        <v>2088</v>
      </c>
      <c r="J40" t="s">
        <v>1714</v>
      </c>
      <c r="K40" t="str">
        <f>VLOOKUP(tblInsts[[#This Row],[LeaID]],LateInaccurate!$A:$H,8,0)</f>
        <v>D</v>
      </c>
      <c r="L40" t="s">
        <v>1714</v>
      </c>
    </row>
    <row r="41" spans="1:12" x14ac:dyDescent="0.35">
      <c r="F41" t="s">
        <v>319</v>
      </c>
      <c r="G41">
        <v>2025</v>
      </c>
      <c r="H41" t="s">
        <v>37</v>
      </c>
      <c r="I41">
        <v>2095</v>
      </c>
      <c r="J41" t="s">
        <v>1715</v>
      </c>
      <c r="K41" t="str">
        <f>VLOOKUP(tblInsts[[#This Row],[LeaID]],LateInaccurate!$A:$H,8,0)</f>
        <v>D</v>
      </c>
      <c r="L41" t="s">
        <v>1713</v>
      </c>
    </row>
    <row r="42" spans="1:12" x14ac:dyDescent="0.35">
      <c r="F42" t="s">
        <v>296</v>
      </c>
      <c r="G42">
        <v>2117</v>
      </c>
      <c r="H42" t="s">
        <v>38</v>
      </c>
      <c r="I42">
        <v>2052</v>
      </c>
      <c r="J42" t="s">
        <v>1715</v>
      </c>
      <c r="K42" t="str">
        <f>VLOOKUP(tblInsts[[#This Row],[LeaID]],LateInaccurate!$A:$H,8,0)</f>
        <v>D</v>
      </c>
      <c r="L42" t="s">
        <v>1715</v>
      </c>
    </row>
    <row r="43" spans="1:12" x14ac:dyDescent="0.35">
      <c r="H43" t="s">
        <v>39</v>
      </c>
      <c r="I43">
        <v>1974</v>
      </c>
      <c r="J43" t="s">
        <v>1715</v>
      </c>
      <c r="K43" t="str">
        <f>VLOOKUP(tblInsts[[#This Row],[LeaID]],LateInaccurate!$A:$H,8,0)</f>
        <v>D</v>
      </c>
      <c r="L43" t="s">
        <v>1714</v>
      </c>
    </row>
    <row r="44" spans="1:12" x14ac:dyDescent="0.35">
      <c r="H44" t="s">
        <v>40</v>
      </c>
      <c r="I44">
        <v>1896</v>
      </c>
      <c r="J44" t="s">
        <v>1713</v>
      </c>
      <c r="K44" t="str">
        <f>VLOOKUP(tblInsts[[#This Row],[LeaID]],LateInaccurate!$A:$H,8,0)</f>
        <v>D</v>
      </c>
      <c r="L44" t="s">
        <v>1714</v>
      </c>
    </row>
    <row r="45" spans="1:12" x14ac:dyDescent="0.35">
      <c r="A45" t="s">
        <v>2966</v>
      </c>
      <c r="H45" t="s">
        <v>42</v>
      </c>
      <c r="I45">
        <v>2046</v>
      </c>
      <c r="J45" t="s">
        <v>1715</v>
      </c>
      <c r="K45" t="str">
        <f>VLOOKUP(tblInsts[[#This Row],[LeaID]],LateInaccurate!$A:$H,8,0)</f>
        <v>C</v>
      </c>
      <c r="L45" t="s">
        <v>1713</v>
      </c>
    </row>
    <row r="46" spans="1:12" x14ac:dyDescent="0.35">
      <c r="A46" t="str">
        <f>IF(F19="","",IF(L38="Met","Met",IF(L42="Met","Met with Exceptions","Did Not Meet")))</f>
        <v>Did Not Meet</v>
      </c>
      <c r="H46" t="s">
        <v>43</v>
      </c>
      <c r="I46">
        <v>1995</v>
      </c>
      <c r="J46" t="s">
        <v>1715</v>
      </c>
      <c r="K46" t="str">
        <f>VLOOKUP(tblInsts[[#This Row],[LeaID]],LateInaccurate!$A:$H,8,0)</f>
        <v>D</v>
      </c>
      <c r="L46" t="s">
        <v>1714</v>
      </c>
    </row>
    <row r="47" spans="1:12" x14ac:dyDescent="0.35">
      <c r="H47" t="s">
        <v>44</v>
      </c>
      <c r="I47">
        <v>1929</v>
      </c>
      <c r="J47" t="s">
        <v>1715</v>
      </c>
      <c r="K47" t="str">
        <f>VLOOKUP(tblInsts[[#This Row],[LeaID]],LateInaccurate!$A:$H,8,0)</f>
        <v>C</v>
      </c>
      <c r="L47" t="s">
        <v>1715</v>
      </c>
    </row>
    <row r="48" spans="1:12" x14ac:dyDescent="0.35">
      <c r="H48" t="s">
        <v>45</v>
      </c>
      <c r="I48">
        <v>2139</v>
      </c>
      <c r="J48" t="s">
        <v>1714</v>
      </c>
      <c r="K48" t="str">
        <f>VLOOKUP(tblInsts[[#This Row],[LeaID]],LateInaccurate!$A:$H,8,0)</f>
        <v>D</v>
      </c>
      <c r="L48" t="s">
        <v>1714</v>
      </c>
    </row>
    <row r="49" spans="1:12" x14ac:dyDescent="0.35">
      <c r="A49" t="s">
        <v>1527</v>
      </c>
      <c r="H49" t="s">
        <v>46</v>
      </c>
      <c r="I49">
        <v>2185</v>
      </c>
      <c r="J49" t="s">
        <v>1714</v>
      </c>
      <c r="K49" t="str">
        <f>VLOOKUP(tblInsts[[#This Row],[LeaID]],LateInaccurate!$A:$H,8,0)</f>
        <v>D</v>
      </c>
      <c r="L49" t="s">
        <v>1713</v>
      </c>
    </row>
    <row r="50" spans="1:12" x14ac:dyDescent="0.35">
      <c r="A50" t="s">
        <v>1528</v>
      </c>
      <c r="H50" t="s">
        <v>47</v>
      </c>
      <c r="I50">
        <v>1972</v>
      </c>
      <c r="J50" t="s">
        <v>1714</v>
      </c>
      <c r="K50" t="str">
        <f>VLOOKUP(tblInsts[[#This Row],[LeaID]],LateInaccurate!$A:$H,8,0)</f>
        <v>D</v>
      </c>
      <c r="L50" t="s">
        <v>1715</v>
      </c>
    </row>
    <row r="51" spans="1:12" x14ac:dyDescent="0.35">
      <c r="A51" t="s">
        <v>2971</v>
      </c>
      <c r="H51" t="s">
        <v>48</v>
      </c>
      <c r="I51">
        <v>2105</v>
      </c>
      <c r="J51" t="s">
        <v>1714</v>
      </c>
      <c r="K51" t="str">
        <f>VLOOKUP(tblInsts[[#This Row],[LeaID]],LateInaccurate!$A:$H,8,0)</f>
        <v>D</v>
      </c>
      <c r="L51" t="s">
        <v>1715</v>
      </c>
    </row>
    <row r="52" spans="1:12" x14ac:dyDescent="0.35">
      <c r="H52" t="s">
        <v>49</v>
      </c>
      <c r="I52">
        <v>2042</v>
      </c>
      <c r="J52" t="s">
        <v>1714</v>
      </c>
      <c r="K52" t="str">
        <f>VLOOKUP(tblInsts[[#This Row],[LeaID]],LateInaccurate!$A:$H,8,0)</f>
        <v>D</v>
      </c>
      <c r="L52" t="s">
        <v>1715</v>
      </c>
    </row>
    <row r="53" spans="1:12" x14ac:dyDescent="0.35">
      <c r="H53" t="s">
        <v>50</v>
      </c>
      <c r="I53">
        <v>2191</v>
      </c>
      <c r="J53" t="s">
        <v>1714</v>
      </c>
      <c r="K53" t="str">
        <f>VLOOKUP(tblInsts[[#This Row],[LeaID]],LateInaccurate!$A:$H,8,0)</f>
        <v>C</v>
      </c>
      <c r="L53" t="s">
        <v>1713</v>
      </c>
    </row>
    <row r="54" spans="1:12" x14ac:dyDescent="0.35">
      <c r="H54" t="s">
        <v>51</v>
      </c>
      <c r="I54">
        <v>1945</v>
      </c>
      <c r="J54" t="s">
        <v>1715</v>
      </c>
      <c r="K54" t="str">
        <f>VLOOKUP(tblInsts[[#This Row],[LeaID]],LateInaccurate!$A:$H,8,0)</f>
        <v>D</v>
      </c>
      <c r="L54" t="s">
        <v>1715</v>
      </c>
    </row>
    <row r="55" spans="1:12" x14ac:dyDescent="0.35">
      <c r="H55" t="s">
        <v>52</v>
      </c>
      <c r="I55">
        <v>1927</v>
      </c>
      <c r="J55" t="s">
        <v>1714</v>
      </c>
      <c r="K55" t="str">
        <f>VLOOKUP(tblInsts[[#This Row],[LeaID]],LateInaccurate!$A:$H,8,0)</f>
        <v>D</v>
      </c>
      <c r="L55" t="s">
        <v>1713</v>
      </c>
    </row>
    <row r="56" spans="1:12" x14ac:dyDescent="0.35">
      <c r="H56" t="s">
        <v>53</v>
      </c>
      <c r="I56">
        <v>2006</v>
      </c>
      <c r="J56" t="s">
        <v>1713</v>
      </c>
      <c r="K56" t="str">
        <f>VLOOKUP(tblInsts[[#This Row],[LeaID]],LateInaccurate!$A:$H,8,0)</f>
        <v>C</v>
      </c>
      <c r="L56" t="s">
        <v>1714</v>
      </c>
    </row>
    <row r="57" spans="1:12" x14ac:dyDescent="0.35">
      <c r="H57" t="s">
        <v>54</v>
      </c>
      <c r="I57">
        <v>1965</v>
      </c>
      <c r="J57" t="s">
        <v>1714</v>
      </c>
      <c r="K57" t="str">
        <f>VLOOKUP(tblInsts[[#This Row],[LeaID]],LateInaccurate!$A:$H,8,0)</f>
        <v>D</v>
      </c>
      <c r="L57" t="s">
        <v>1714</v>
      </c>
    </row>
    <row r="58" spans="1:12" x14ac:dyDescent="0.35">
      <c r="H58" t="s">
        <v>55</v>
      </c>
      <c r="I58">
        <v>1964</v>
      </c>
      <c r="J58" t="s">
        <v>1714</v>
      </c>
      <c r="K58" t="str">
        <f>VLOOKUP(tblInsts[[#This Row],[LeaID]],LateInaccurate!$A:$H,8,0)</f>
        <v>D</v>
      </c>
      <c r="L58" t="s">
        <v>1714</v>
      </c>
    </row>
    <row r="59" spans="1:12" x14ac:dyDescent="0.35">
      <c r="H59" t="s">
        <v>56</v>
      </c>
      <c r="I59">
        <v>2186</v>
      </c>
      <c r="J59" t="s">
        <v>1715</v>
      </c>
      <c r="K59" t="str">
        <f>VLOOKUP(tblInsts[[#This Row],[LeaID]],LateInaccurate!$A:$H,8,0)</f>
        <v>D</v>
      </c>
      <c r="L59" t="s">
        <v>1714</v>
      </c>
    </row>
    <row r="60" spans="1:12" x14ac:dyDescent="0.35">
      <c r="H60" t="s">
        <v>58</v>
      </c>
      <c r="I60">
        <v>1901</v>
      </c>
      <c r="J60" t="s">
        <v>1715</v>
      </c>
      <c r="K60" t="str">
        <f>VLOOKUP(tblInsts[[#This Row],[LeaID]],LateInaccurate!$A:$H,8,0)</f>
        <v>C</v>
      </c>
      <c r="L60" t="s">
        <v>1715</v>
      </c>
    </row>
    <row r="61" spans="1:12" x14ac:dyDescent="0.35">
      <c r="H61" t="s">
        <v>59</v>
      </c>
      <c r="I61">
        <v>2216</v>
      </c>
      <c r="J61" t="s">
        <v>1714</v>
      </c>
      <c r="K61" t="str">
        <f>VLOOKUP(tblInsts[[#This Row],[LeaID]],LateInaccurate!$A:$H,8,0)</f>
        <v>D</v>
      </c>
      <c r="L61" t="s">
        <v>1715</v>
      </c>
    </row>
    <row r="62" spans="1:12" x14ac:dyDescent="0.35">
      <c r="H62" t="s">
        <v>60</v>
      </c>
      <c r="I62">
        <v>2086</v>
      </c>
      <c r="J62" t="s">
        <v>1714</v>
      </c>
      <c r="K62" t="str">
        <f>VLOOKUP(tblInsts[[#This Row],[LeaID]],LateInaccurate!$A:$H,8,0)</f>
        <v>D</v>
      </c>
      <c r="L62" t="s">
        <v>1714</v>
      </c>
    </row>
    <row r="63" spans="1:12" x14ac:dyDescent="0.35">
      <c r="H63" t="s">
        <v>61</v>
      </c>
      <c r="I63">
        <v>1970</v>
      </c>
      <c r="J63" t="s">
        <v>1715</v>
      </c>
      <c r="K63" t="str">
        <f>VLOOKUP(tblInsts[[#This Row],[LeaID]],LateInaccurate!$A:$H,8,0)</f>
        <v>D</v>
      </c>
      <c r="L63" t="s">
        <v>1715</v>
      </c>
    </row>
    <row r="64" spans="1:12" x14ac:dyDescent="0.35">
      <c r="H64" t="s">
        <v>62</v>
      </c>
      <c r="I64">
        <v>2089</v>
      </c>
      <c r="J64" t="s">
        <v>1715</v>
      </c>
      <c r="K64" t="str">
        <f>VLOOKUP(tblInsts[[#This Row],[LeaID]],LateInaccurate!$A:$H,8,0)</f>
        <v>C</v>
      </c>
      <c r="L64" t="s">
        <v>1715</v>
      </c>
    </row>
    <row r="65" spans="8:12" x14ac:dyDescent="0.35">
      <c r="H65" t="s">
        <v>63</v>
      </c>
      <c r="I65">
        <v>2050</v>
      </c>
      <c r="J65" t="s">
        <v>1715</v>
      </c>
      <c r="K65" t="str">
        <f>VLOOKUP(tblInsts[[#This Row],[LeaID]],LateInaccurate!$A:$H,8,0)</f>
        <v>D</v>
      </c>
      <c r="L65" t="s">
        <v>1715</v>
      </c>
    </row>
    <row r="66" spans="8:12" x14ac:dyDescent="0.35">
      <c r="H66" t="s">
        <v>64</v>
      </c>
      <c r="I66">
        <v>2190</v>
      </c>
      <c r="J66" t="s">
        <v>1713</v>
      </c>
      <c r="K66" t="str">
        <f>VLOOKUP(tblInsts[[#This Row],[LeaID]],LateInaccurate!$A:$H,8,0)</f>
        <v>D</v>
      </c>
      <c r="L66" t="s">
        <v>1714</v>
      </c>
    </row>
    <row r="67" spans="8:12" x14ac:dyDescent="0.35">
      <c r="H67" t="s">
        <v>65</v>
      </c>
      <c r="I67">
        <v>2187</v>
      </c>
      <c r="J67" t="s">
        <v>1715</v>
      </c>
      <c r="K67" t="str">
        <f>VLOOKUP(tblInsts[[#This Row],[LeaID]],LateInaccurate!$A:$H,8,0)</f>
        <v>D</v>
      </c>
      <c r="L67" t="s">
        <v>1715</v>
      </c>
    </row>
    <row r="68" spans="8:12" x14ac:dyDescent="0.35">
      <c r="H68" t="s">
        <v>66</v>
      </c>
      <c r="I68">
        <v>2253</v>
      </c>
      <c r="J68" t="s">
        <v>1714</v>
      </c>
      <c r="K68" t="str">
        <f>VLOOKUP(tblInsts[[#This Row],[LeaID]],LateInaccurate!$A:$H,8,0)</f>
        <v>C</v>
      </c>
      <c r="L68" t="s">
        <v>1715</v>
      </c>
    </row>
    <row r="69" spans="8:12" x14ac:dyDescent="0.35">
      <c r="H69" t="s">
        <v>67</v>
      </c>
      <c r="I69">
        <v>2011</v>
      </c>
      <c r="J69" t="s">
        <v>1715</v>
      </c>
      <c r="K69" t="str">
        <f>VLOOKUP(tblInsts[[#This Row],[LeaID]],LateInaccurate!$A:$H,8,0)</f>
        <v>D</v>
      </c>
      <c r="L69" t="s">
        <v>1713</v>
      </c>
    </row>
    <row r="70" spans="8:12" x14ac:dyDescent="0.35">
      <c r="H70" t="s">
        <v>68</v>
      </c>
      <c r="I70">
        <v>2017</v>
      </c>
      <c r="J70" t="s">
        <v>1715</v>
      </c>
      <c r="K70" t="str">
        <f>VLOOKUP(tblInsts[[#This Row],[LeaID]],LateInaccurate!$A:$H,8,0)</f>
        <v>D</v>
      </c>
      <c r="L70" t="s">
        <v>1713</v>
      </c>
    </row>
    <row r="71" spans="8:12" x14ac:dyDescent="0.35">
      <c r="H71" t="s">
        <v>69</v>
      </c>
      <c r="I71">
        <v>2021</v>
      </c>
      <c r="J71" t="s">
        <v>1714</v>
      </c>
      <c r="K71" t="str">
        <f>VLOOKUP(tblInsts[[#This Row],[LeaID]],LateInaccurate!$A:$H,8,0)</f>
        <v>D</v>
      </c>
      <c r="L71" t="s">
        <v>1715</v>
      </c>
    </row>
    <row r="72" spans="8:12" x14ac:dyDescent="0.35">
      <c r="H72" t="s">
        <v>70</v>
      </c>
      <c r="I72">
        <v>1993</v>
      </c>
      <c r="J72" t="s">
        <v>1715</v>
      </c>
      <c r="K72" t="str">
        <f>VLOOKUP(tblInsts[[#This Row],[LeaID]],LateInaccurate!$A:$H,8,0)</f>
        <v>D</v>
      </c>
      <c r="L72" t="s">
        <v>1715</v>
      </c>
    </row>
    <row r="73" spans="8:12" x14ac:dyDescent="0.35">
      <c r="H73" t="s">
        <v>71</v>
      </c>
      <c r="I73">
        <v>1991</v>
      </c>
      <c r="J73" t="s">
        <v>1714</v>
      </c>
      <c r="K73" t="str">
        <f>VLOOKUP(tblInsts[[#This Row],[LeaID]],LateInaccurate!$A:$H,8,0)</f>
        <v>D</v>
      </c>
      <c r="L73" t="s">
        <v>1713</v>
      </c>
    </row>
    <row r="74" spans="8:12" x14ac:dyDescent="0.35">
      <c r="H74" t="s">
        <v>72</v>
      </c>
      <c r="I74">
        <v>2019</v>
      </c>
      <c r="J74" t="s">
        <v>1714</v>
      </c>
      <c r="K74" t="str">
        <f>VLOOKUP(tblInsts[[#This Row],[LeaID]],LateInaccurate!$A:$H,8,0)</f>
        <v>D</v>
      </c>
      <c r="L74" t="s">
        <v>1715</v>
      </c>
    </row>
    <row r="75" spans="8:12" x14ac:dyDescent="0.35">
      <c r="H75" t="s">
        <v>73</v>
      </c>
      <c r="I75">
        <v>2229</v>
      </c>
      <c r="J75" t="s">
        <v>1714</v>
      </c>
      <c r="K75" t="str">
        <f>VLOOKUP(tblInsts[[#This Row],[LeaID]],LateInaccurate!$A:$H,8,0)</f>
        <v>D</v>
      </c>
      <c r="L75" t="s">
        <v>1714</v>
      </c>
    </row>
    <row r="76" spans="8:12" x14ac:dyDescent="0.35">
      <c r="H76" t="s">
        <v>74</v>
      </c>
      <c r="I76">
        <v>2043</v>
      </c>
      <c r="J76" t="s">
        <v>1715</v>
      </c>
      <c r="K76" t="str">
        <f>VLOOKUP(tblInsts[[#This Row],[LeaID]],LateInaccurate!$A:$H,8,0)</f>
        <v>D</v>
      </c>
      <c r="L76" t="s">
        <v>1715</v>
      </c>
    </row>
    <row r="77" spans="8:12" x14ac:dyDescent="0.35">
      <c r="H77" t="s">
        <v>75</v>
      </c>
      <c r="I77">
        <v>2203</v>
      </c>
      <c r="J77" t="s">
        <v>1715</v>
      </c>
      <c r="K77" t="str">
        <f>VLOOKUP(tblInsts[[#This Row],[LeaID]],LateInaccurate!$A:$H,8,0)</f>
        <v>D</v>
      </c>
      <c r="L77" t="s">
        <v>1714</v>
      </c>
    </row>
    <row r="78" spans="8:12" x14ac:dyDescent="0.35">
      <c r="H78" t="s">
        <v>76</v>
      </c>
      <c r="I78">
        <v>2217</v>
      </c>
      <c r="J78" t="s">
        <v>1715</v>
      </c>
      <c r="K78" t="str">
        <f>VLOOKUP(tblInsts[[#This Row],[LeaID]],LateInaccurate!$A:$H,8,0)</f>
        <v>D</v>
      </c>
      <c r="L78" t="s">
        <v>1714</v>
      </c>
    </row>
    <row r="79" spans="8:12" x14ac:dyDescent="0.35">
      <c r="H79" t="s">
        <v>77</v>
      </c>
      <c r="I79">
        <v>1998</v>
      </c>
      <c r="J79" t="s">
        <v>1714</v>
      </c>
      <c r="K79" t="str">
        <f>VLOOKUP(tblInsts[[#This Row],[LeaID]],LateInaccurate!$A:$H,8,0)</f>
        <v>C</v>
      </c>
      <c r="L79" t="s">
        <v>1714</v>
      </c>
    </row>
    <row r="80" spans="8:12" x14ac:dyDescent="0.35">
      <c r="H80" t="s">
        <v>78</v>
      </c>
      <c r="I80">
        <v>2221</v>
      </c>
      <c r="J80" t="s">
        <v>1714</v>
      </c>
      <c r="K80" t="str">
        <f>VLOOKUP(tblInsts[[#This Row],[LeaID]],LateInaccurate!$A:$H,8,0)</f>
        <v>D</v>
      </c>
      <c r="L80" t="s">
        <v>1715</v>
      </c>
    </row>
    <row r="81" spans="8:12" x14ac:dyDescent="0.35">
      <c r="H81" t="s">
        <v>79</v>
      </c>
      <c r="I81">
        <v>1930</v>
      </c>
      <c r="J81" t="s">
        <v>1714</v>
      </c>
      <c r="K81" t="str">
        <f>VLOOKUP(tblInsts[[#This Row],[LeaID]],LateInaccurate!$A:$H,8,0)</f>
        <v>D</v>
      </c>
      <c r="L81" t="s">
        <v>1715</v>
      </c>
    </row>
    <row r="82" spans="8:12" x14ac:dyDescent="0.35">
      <c r="H82" t="s">
        <v>80</v>
      </c>
      <c r="I82">
        <v>2082</v>
      </c>
      <c r="J82" t="s">
        <v>1715</v>
      </c>
      <c r="K82" t="str">
        <f>VLOOKUP(tblInsts[[#This Row],[LeaID]],LateInaccurate!$A:$H,8,0)</f>
        <v>D</v>
      </c>
      <c r="L82" t="s">
        <v>1714</v>
      </c>
    </row>
    <row r="83" spans="8:12" x14ac:dyDescent="0.35">
      <c r="H83" t="s">
        <v>81</v>
      </c>
      <c r="I83">
        <v>2193</v>
      </c>
      <c r="J83" t="s">
        <v>1715</v>
      </c>
      <c r="K83" t="str">
        <f>VLOOKUP(tblInsts[[#This Row],[LeaID]],LateInaccurate!$A:$H,8,0)</f>
        <v>C</v>
      </c>
      <c r="L83" t="s">
        <v>1714</v>
      </c>
    </row>
    <row r="84" spans="8:12" x14ac:dyDescent="0.35">
      <c r="H84" t="s">
        <v>82</v>
      </c>
      <c r="I84">
        <v>2084</v>
      </c>
      <c r="J84" t="s">
        <v>1715</v>
      </c>
      <c r="K84" t="str">
        <f>VLOOKUP(tblInsts[[#This Row],[LeaID]],LateInaccurate!$A:$H,8,0)</f>
        <v>D</v>
      </c>
      <c r="L84" t="s">
        <v>1713</v>
      </c>
    </row>
    <row r="85" spans="8:12" x14ac:dyDescent="0.35">
      <c r="H85" t="s">
        <v>83</v>
      </c>
      <c r="I85">
        <v>2241</v>
      </c>
      <c r="J85" t="s">
        <v>1714</v>
      </c>
      <c r="K85" t="str">
        <f>VLOOKUP(tblInsts[[#This Row],[LeaID]],LateInaccurate!$A:$H,8,0)</f>
        <v>D</v>
      </c>
      <c r="L85" t="s">
        <v>1715</v>
      </c>
    </row>
    <row r="86" spans="8:12" x14ac:dyDescent="0.35">
      <c r="H86" t="s">
        <v>84</v>
      </c>
      <c r="I86">
        <v>2248</v>
      </c>
      <c r="J86" t="s">
        <v>1715</v>
      </c>
      <c r="K86" t="str">
        <f>VLOOKUP(tblInsts[[#This Row],[LeaID]],LateInaccurate!$A:$H,8,0)</f>
        <v>B</v>
      </c>
      <c r="L86" t="s">
        <v>1715</v>
      </c>
    </row>
    <row r="87" spans="8:12" x14ac:dyDescent="0.35">
      <c r="H87" t="s">
        <v>85</v>
      </c>
      <c r="I87">
        <v>2020</v>
      </c>
      <c r="J87" t="s">
        <v>1713</v>
      </c>
      <c r="K87" t="str">
        <f>VLOOKUP(tblInsts[[#This Row],[LeaID]],LateInaccurate!$A:$H,8,0)</f>
        <v>D</v>
      </c>
      <c r="L87" t="s">
        <v>1714</v>
      </c>
    </row>
    <row r="88" spans="8:12" x14ac:dyDescent="0.35">
      <c r="H88" t="s">
        <v>86</v>
      </c>
      <c r="I88">
        <v>2245</v>
      </c>
      <c r="J88" t="s">
        <v>1714</v>
      </c>
      <c r="K88" t="str">
        <f>VLOOKUP(tblInsts[[#This Row],[LeaID]],LateInaccurate!$A:$H,8,0)</f>
        <v>C</v>
      </c>
      <c r="L88" t="s">
        <v>1713</v>
      </c>
    </row>
    <row r="89" spans="8:12" x14ac:dyDescent="0.35">
      <c r="H89" t="s">
        <v>87</v>
      </c>
      <c r="I89">
        <v>2137</v>
      </c>
      <c r="J89" t="s">
        <v>1714</v>
      </c>
      <c r="K89" t="str">
        <f>VLOOKUP(tblInsts[[#This Row],[LeaID]],LateInaccurate!$A:$H,8,0)</f>
        <v>D</v>
      </c>
      <c r="L89" t="s">
        <v>1714</v>
      </c>
    </row>
    <row r="90" spans="8:12" x14ac:dyDescent="0.35">
      <c r="H90" t="s">
        <v>88</v>
      </c>
      <c r="I90">
        <v>1931</v>
      </c>
      <c r="J90" t="s">
        <v>1714</v>
      </c>
      <c r="K90" t="str">
        <f>VLOOKUP(tblInsts[[#This Row],[LeaID]],LateInaccurate!$A:$H,8,0)</f>
        <v>D</v>
      </c>
      <c r="L90" t="s">
        <v>1714</v>
      </c>
    </row>
    <row r="91" spans="8:12" x14ac:dyDescent="0.35">
      <c r="H91" t="s">
        <v>89</v>
      </c>
      <c r="I91">
        <v>2000</v>
      </c>
      <c r="J91" t="s">
        <v>1713</v>
      </c>
      <c r="K91" t="str">
        <f>VLOOKUP(tblInsts[[#This Row],[LeaID]],LateInaccurate!$A:$H,8,0)</f>
        <v>D</v>
      </c>
      <c r="L91" t="s">
        <v>1714</v>
      </c>
    </row>
    <row r="92" spans="8:12" x14ac:dyDescent="0.35">
      <c r="H92" t="s">
        <v>90</v>
      </c>
      <c r="I92">
        <v>1992</v>
      </c>
      <c r="J92" t="s">
        <v>1715</v>
      </c>
      <c r="K92" t="str">
        <f>VLOOKUP(tblInsts[[#This Row],[LeaID]],LateInaccurate!$A:$H,8,0)</f>
        <v>D</v>
      </c>
      <c r="L92" t="s">
        <v>1715</v>
      </c>
    </row>
    <row r="93" spans="8:12" x14ac:dyDescent="0.35">
      <c r="H93" t="s">
        <v>91</v>
      </c>
      <c r="I93">
        <v>2054</v>
      </c>
      <c r="J93" t="s">
        <v>1715</v>
      </c>
      <c r="K93" t="str">
        <f>VLOOKUP(tblInsts[[#This Row],[LeaID]],LateInaccurate!$A:$H,8,0)</f>
        <v>D</v>
      </c>
      <c r="L93" t="s">
        <v>1714</v>
      </c>
    </row>
    <row r="94" spans="8:12" x14ac:dyDescent="0.35">
      <c r="H94" t="s">
        <v>92</v>
      </c>
      <c r="I94">
        <v>2100</v>
      </c>
      <c r="J94" t="s">
        <v>1715</v>
      </c>
      <c r="K94" t="str">
        <f>VLOOKUP(tblInsts[[#This Row],[LeaID]],LateInaccurate!$A:$H,8,0)</f>
        <v>C</v>
      </c>
      <c r="L94" t="s">
        <v>1713</v>
      </c>
    </row>
    <row r="95" spans="8:12" x14ac:dyDescent="0.35">
      <c r="H95" t="s">
        <v>93</v>
      </c>
      <c r="I95">
        <v>2183</v>
      </c>
      <c r="J95" t="s">
        <v>1715</v>
      </c>
      <c r="K95" t="str">
        <f>VLOOKUP(tblInsts[[#This Row],[LeaID]],LateInaccurate!$A:$H,8,0)</f>
        <v>D</v>
      </c>
      <c r="L95" t="s">
        <v>1713</v>
      </c>
    </row>
    <row r="96" spans="8:12" x14ac:dyDescent="0.35">
      <c r="H96" t="s">
        <v>94</v>
      </c>
      <c r="I96">
        <v>2014</v>
      </c>
      <c r="J96" t="s">
        <v>1715</v>
      </c>
      <c r="K96" t="str">
        <f>VLOOKUP(tblInsts[[#This Row],[LeaID]],LateInaccurate!$A:$H,8,0)</f>
        <v>D</v>
      </c>
      <c r="L96" t="s">
        <v>1713</v>
      </c>
    </row>
    <row r="97" spans="8:12" x14ac:dyDescent="0.35">
      <c r="H97" t="s">
        <v>95</v>
      </c>
      <c r="I97">
        <v>2015</v>
      </c>
      <c r="J97" t="s">
        <v>1714</v>
      </c>
      <c r="K97" t="str">
        <f>VLOOKUP(tblInsts[[#This Row],[LeaID]],LateInaccurate!$A:$H,8,0)</f>
        <v>D</v>
      </c>
      <c r="L97" t="s">
        <v>1714</v>
      </c>
    </row>
    <row r="98" spans="8:12" x14ac:dyDescent="0.35">
      <c r="H98" t="s">
        <v>96</v>
      </c>
      <c r="I98">
        <v>2023</v>
      </c>
      <c r="J98" t="s">
        <v>1714</v>
      </c>
      <c r="K98" t="str">
        <f>VLOOKUP(tblInsts[[#This Row],[LeaID]],LateInaccurate!$A:$H,8,0)</f>
        <v>D</v>
      </c>
      <c r="L98" t="s">
        <v>1715</v>
      </c>
    </row>
    <row r="99" spans="8:12" x14ac:dyDescent="0.35">
      <c r="H99" t="s">
        <v>97</v>
      </c>
      <c r="I99">
        <v>2114</v>
      </c>
      <c r="J99" t="s">
        <v>1713</v>
      </c>
      <c r="K99" t="str">
        <f>VLOOKUP(tblInsts[[#This Row],[LeaID]],LateInaccurate!$A:$H,8,0)</f>
        <v>D</v>
      </c>
      <c r="L99" t="s">
        <v>1713</v>
      </c>
    </row>
    <row r="100" spans="8:12" x14ac:dyDescent="0.35">
      <c r="H100" t="s">
        <v>98</v>
      </c>
      <c r="I100">
        <v>2099</v>
      </c>
      <c r="J100" t="s">
        <v>1713</v>
      </c>
      <c r="K100" t="str">
        <f>VLOOKUP(tblInsts[[#This Row],[LeaID]],LateInaccurate!$A:$H,8,0)</f>
        <v>C</v>
      </c>
      <c r="L100" t="s">
        <v>1714</v>
      </c>
    </row>
    <row r="101" spans="8:12" x14ac:dyDescent="0.35">
      <c r="H101" t="s">
        <v>99</v>
      </c>
      <c r="I101">
        <v>2201</v>
      </c>
      <c r="J101" t="s">
        <v>1715</v>
      </c>
      <c r="K101" t="str">
        <f>VLOOKUP(tblInsts[[#This Row],[LeaID]],LateInaccurate!$A:$H,8,0)</f>
        <v>D</v>
      </c>
      <c r="L101" t="s">
        <v>1714</v>
      </c>
    </row>
    <row r="102" spans="8:12" x14ac:dyDescent="0.35">
      <c r="H102" t="s">
        <v>100</v>
      </c>
      <c r="I102">
        <v>2206</v>
      </c>
      <c r="J102" t="s">
        <v>1714</v>
      </c>
      <c r="K102" t="str">
        <f>VLOOKUP(tblInsts[[#This Row],[LeaID]],LateInaccurate!$A:$H,8,0)</f>
        <v>D</v>
      </c>
      <c r="L102" t="s">
        <v>1715</v>
      </c>
    </row>
    <row r="103" spans="8:12" x14ac:dyDescent="0.35">
      <c r="H103" t="s">
        <v>101</v>
      </c>
      <c r="I103">
        <v>2239</v>
      </c>
      <c r="J103" t="s">
        <v>1715</v>
      </c>
      <c r="K103" t="str">
        <f>VLOOKUP(tblInsts[[#This Row],[LeaID]],LateInaccurate!$A:$H,8,0)</f>
        <v>C</v>
      </c>
      <c r="L103" t="s">
        <v>1714</v>
      </c>
    </row>
    <row r="104" spans="8:12" x14ac:dyDescent="0.35">
      <c r="H104" t="s">
        <v>102</v>
      </c>
      <c r="I104">
        <v>2024</v>
      </c>
      <c r="J104" t="s">
        <v>1714</v>
      </c>
      <c r="K104" t="str">
        <f>VLOOKUP(tblInsts[[#This Row],[LeaID]],LateInaccurate!$A:$H,8,0)</f>
        <v>D</v>
      </c>
      <c r="L104" t="s">
        <v>1714</v>
      </c>
    </row>
    <row r="105" spans="8:12" x14ac:dyDescent="0.35">
      <c r="H105" t="s">
        <v>103</v>
      </c>
      <c r="I105">
        <v>1895</v>
      </c>
      <c r="J105" t="s">
        <v>1713</v>
      </c>
      <c r="K105" t="str">
        <f>VLOOKUP(tblInsts[[#This Row],[LeaID]],LateInaccurate!$A:$H,8,0)</f>
        <v>D</v>
      </c>
      <c r="L105" t="s">
        <v>1714</v>
      </c>
    </row>
    <row r="106" spans="8:12" x14ac:dyDescent="0.35">
      <c r="H106" t="s">
        <v>104</v>
      </c>
      <c r="I106">
        <v>2215</v>
      </c>
      <c r="J106" t="s">
        <v>1715</v>
      </c>
      <c r="K106" t="str">
        <f>VLOOKUP(tblInsts[[#This Row],[LeaID]],LateInaccurate!$A:$H,8,0)</f>
        <v>D</v>
      </c>
      <c r="L106" t="s">
        <v>1714</v>
      </c>
    </row>
    <row r="107" spans="8:12" x14ac:dyDescent="0.35">
      <c r="H107" t="s">
        <v>105</v>
      </c>
      <c r="I107">
        <v>3997</v>
      </c>
      <c r="J107" t="s">
        <v>1715</v>
      </c>
      <c r="K107" t="str">
        <f>VLOOKUP(tblInsts[[#This Row],[LeaID]],LateInaccurate!$A:$H,8,0)</f>
        <v>D</v>
      </c>
      <c r="L107" t="s">
        <v>1714</v>
      </c>
    </row>
    <row r="108" spans="8:12" x14ac:dyDescent="0.35">
      <c r="H108" t="s">
        <v>106</v>
      </c>
      <c r="I108">
        <v>2053</v>
      </c>
      <c r="J108" t="s">
        <v>1714</v>
      </c>
      <c r="K108" t="str">
        <f>VLOOKUP(tblInsts[[#This Row],[LeaID]],LateInaccurate!$A:$H,8,0)</f>
        <v>D</v>
      </c>
      <c r="L108" t="s">
        <v>1714</v>
      </c>
    </row>
    <row r="109" spans="8:12" x14ac:dyDescent="0.35">
      <c r="H109" t="s">
        <v>107</v>
      </c>
      <c r="I109">
        <v>2140</v>
      </c>
      <c r="J109" t="s">
        <v>1715</v>
      </c>
      <c r="K109" t="str">
        <f>VLOOKUP(tblInsts[[#This Row],[LeaID]],LateInaccurate!$A:$H,8,0)</f>
        <v>D</v>
      </c>
      <c r="L109" t="s">
        <v>1714</v>
      </c>
    </row>
    <row r="110" spans="8:12" x14ac:dyDescent="0.35">
      <c r="H110" t="s">
        <v>108</v>
      </c>
      <c r="I110">
        <v>1934</v>
      </c>
      <c r="J110" t="s">
        <v>1715</v>
      </c>
      <c r="K110" t="str">
        <f>VLOOKUP(tblInsts[[#This Row],[LeaID]],LateInaccurate!$A:$H,8,0)</f>
        <v>D</v>
      </c>
      <c r="L110" t="s">
        <v>1714</v>
      </c>
    </row>
    <row r="111" spans="8:12" x14ac:dyDescent="0.35">
      <c r="H111" t="s">
        <v>109</v>
      </c>
      <c r="I111">
        <v>2008</v>
      </c>
      <c r="J111" t="s">
        <v>1715</v>
      </c>
      <c r="K111" t="str">
        <f>VLOOKUP(tblInsts[[#This Row],[LeaID]],LateInaccurate!$A:$H,8,0)</f>
        <v>D</v>
      </c>
      <c r="L111" t="s">
        <v>1714</v>
      </c>
    </row>
    <row r="112" spans="8:12" x14ac:dyDescent="0.35">
      <c r="H112" t="s">
        <v>110</v>
      </c>
      <c r="I112">
        <v>2107</v>
      </c>
      <c r="J112" t="s">
        <v>1713</v>
      </c>
      <c r="K112" t="str">
        <f>VLOOKUP(tblInsts[[#This Row],[LeaID]],LateInaccurate!$A:$H,8,0)</f>
        <v>D</v>
      </c>
      <c r="L112" t="s">
        <v>1714</v>
      </c>
    </row>
    <row r="113" spans="8:12" x14ac:dyDescent="0.35">
      <c r="H113" t="s">
        <v>111</v>
      </c>
      <c r="I113">
        <v>2219</v>
      </c>
      <c r="J113" t="s">
        <v>1714</v>
      </c>
      <c r="K113" t="str">
        <f>VLOOKUP(tblInsts[[#This Row],[LeaID]],LateInaccurate!$A:$H,8,0)</f>
        <v>D</v>
      </c>
      <c r="L113" t="s">
        <v>1713</v>
      </c>
    </row>
    <row r="114" spans="8:12" x14ac:dyDescent="0.35">
      <c r="H114" t="s">
        <v>112</v>
      </c>
      <c r="I114">
        <v>2091</v>
      </c>
      <c r="J114" t="s">
        <v>1715</v>
      </c>
      <c r="K114" t="str">
        <f>VLOOKUP(tblInsts[[#This Row],[LeaID]],LateInaccurate!$A:$H,8,0)</f>
        <v>D</v>
      </c>
      <c r="L114" t="s">
        <v>1713</v>
      </c>
    </row>
    <row r="115" spans="8:12" x14ac:dyDescent="0.35">
      <c r="H115" t="s">
        <v>113</v>
      </c>
      <c r="I115">
        <v>2109</v>
      </c>
      <c r="J115" t="s">
        <v>1713</v>
      </c>
      <c r="K115" t="str">
        <f>VLOOKUP(tblInsts[[#This Row],[LeaID]],LateInaccurate!$A:$H,8,0)</f>
        <v>D</v>
      </c>
      <c r="L115" t="s">
        <v>1713</v>
      </c>
    </row>
    <row r="116" spans="8:12" x14ac:dyDescent="0.35">
      <c r="H116" t="s">
        <v>114</v>
      </c>
      <c r="I116">
        <v>2057</v>
      </c>
      <c r="J116" t="s">
        <v>1714</v>
      </c>
      <c r="K116" t="str">
        <f>VLOOKUP(tblInsts[[#This Row],[LeaID]],LateInaccurate!$A:$H,8,0)</f>
        <v>D</v>
      </c>
      <c r="L116" t="s">
        <v>1714</v>
      </c>
    </row>
    <row r="117" spans="8:12" x14ac:dyDescent="0.35">
      <c r="H117" t="s">
        <v>115</v>
      </c>
      <c r="I117">
        <v>2056</v>
      </c>
      <c r="J117" t="s">
        <v>1714</v>
      </c>
      <c r="K117" t="str">
        <f>VLOOKUP(tblInsts[[#This Row],[LeaID]],LateInaccurate!$A:$H,8,0)</f>
        <v>B</v>
      </c>
      <c r="L117" t="s">
        <v>1715</v>
      </c>
    </row>
    <row r="118" spans="8:12" x14ac:dyDescent="0.35">
      <c r="H118" t="s">
        <v>116</v>
      </c>
      <c r="I118">
        <v>2262</v>
      </c>
      <c r="J118" t="s">
        <v>1715</v>
      </c>
      <c r="K118" t="str">
        <f>VLOOKUP(tblInsts[[#This Row],[LeaID]],LateInaccurate!$A:$H,8,0)</f>
        <v>D</v>
      </c>
      <c r="L118" t="s">
        <v>1713</v>
      </c>
    </row>
    <row r="119" spans="8:12" x14ac:dyDescent="0.35">
      <c r="H119" t="s">
        <v>117</v>
      </c>
      <c r="I119">
        <v>2212</v>
      </c>
      <c r="J119" t="s">
        <v>1714</v>
      </c>
      <c r="K119" t="str">
        <f>VLOOKUP(tblInsts[[#This Row],[LeaID]],LateInaccurate!$A:$H,8,0)</f>
        <v>D</v>
      </c>
      <c r="L119" t="s">
        <v>1715</v>
      </c>
    </row>
    <row r="120" spans="8:12" x14ac:dyDescent="0.35">
      <c r="H120" t="s">
        <v>118</v>
      </c>
      <c r="I120">
        <v>2059</v>
      </c>
      <c r="J120" t="s">
        <v>1715</v>
      </c>
      <c r="K120" t="str">
        <f>VLOOKUP(tblInsts[[#This Row],[LeaID]],LateInaccurate!$A:$H,8,0)</f>
        <v>D</v>
      </c>
      <c r="L120" t="s">
        <v>1714</v>
      </c>
    </row>
    <row r="121" spans="8:12" x14ac:dyDescent="0.35">
      <c r="H121" t="s">
        <v>119</v>
      </c>
      <c r="I121">
        <v>1923</v>
      </c>
      <c r="J121" t="s">
        <v>1714</v>
      </c>
      <c r="K121" t="str">
        <f>VLOOKUP(tblInsts[[#This Row],[LeaID]],LateInaccurate!$A:$H,8,0)</f>
        <v>D</v>
      </c>
      <c r="L121" t="s">
        <v>1714</v>
      </c>
    </row>
    <row r="122" spans="8:12" x14ac:dyDescent="0.35">
      <c r="H122" t="s">
        <v>120</v>
      </c>
      <c r="I122">
        <v>2101</v>
      </c>
      <c r="J122" t="s">
        <v>1714</v>
      </c>
      <c r="K122" t="str">
        <f>VLOOKUP(tblInsts[[#This Row],[LeaID]],LateInaccurate!$A:$H,8,0)</f>
        <v>D</v>
      </c>
      <c r="L122" t="s">
        <v>1715</v>
      </c>
    </row>
    <row r="123" spans="8:12" x14ac:dyDescent="0.35">
      <c r="H123" t="s">
        <v>121</v>
      </c>
      <c r="I123">
        <v>2097</v>
      </c>
      <c r="J123" t="s">
        <v>1715</v>
      </c>
      <c r="K123" t="str">
        <f>VLOOKUP(tblInsts[[#This Row],[LeaID]],LateInaccurate!$A:$H,8,0)</f>
        <v>C</v>
      </c>
      <c r="L123" t="s">
        <v>1715</v>
      </c>
    </row>
    <row r="124" spans="8:12" x14ac:dyDescent="0.35">
      <c r="H124" t="s">
        <v>122</v>
      </c>
      <c r="I124">
        <v>2012</v>
      </c>
      <c r="J124" t="s">
        <v>1715</v>
      </c>
      <c r="K124" t="str">
        <f>VLOOKUP(tblInsts[[#This Row],[LeaID]],LateInaccurate!$A:$H,8,0)</f>
        <v>D</v>
      </c>
      <c r="L124" t="s">
        <v>1714</v>
      </c>
    </row>
    <row r="125" spans="8:12" x14ac:dyDescent="0.35">
      <c r="H125" t="s">
        <v>123</v>
      </c>
      <c r="I125">
        <v>2092</v>
      </c>
      <c r="J125" t="s">
        <v>1714</v>
      </c>
      <c r="K125" t="str">
        <f>VLOOKUP(tblInsts[[#This Row],[LeaID]],LateInaccurate!$A:$H,8,0)</f>
        <v>D</v>
      </c>
      <c r="L125" t="s">
        <v>1715</v>
      </c>
    </row>
    <row r="126" spans="8:12" x14ac:dyDescent="0.35">
      <c r="H126" t="s">
        <v>124</v>
      </c>
      <c r="I126">
        <v>2112</v>
      </c>
      <c r="J126" t="s">
        <v>1715</v>
      </c>
      <c r="K126" t="str">
        <f>VLOOKUP(tblInsts[[#This Row],[LeaID]],LateInaccurate!$A:$H,8,0)</f>
        <v>D</v>
      </c>
      <c r="L126" t="s">
        <v>1715</v>
      </c>
    </row>
    <row r="127" spans="8:12" x14ac:dyDescent="0.35">
      <c r="H127" t="s">
        <v>125</v>
      </c>
      <c r="I127">
        <v>2085</v>
      </c>
      <c r="J127" t="s">
        <v>1715</v>
      </c>
      <c r="K127" t="str">
        <f>VLOOKUP(tblInsts[[#This Row],[LeaID]],LateInaccurate!$A:$H,8,0)</f>
        <v>D</v>
      </c>
      <c r="L127" t="s">
        <v>1715</v>
      </c>
    </row>
    <row r="128" spans="8:12" x14ac:dyDescent="0.35">
      <c r="H128" t="s">
        <v>126</v>
      </c>
      <c r="I128">
        <v>2094</v>
      </c>
      <c r="J128" t="s">
        <v>1715</v>
      </c>
      <c r="K128" t="str">
        <f>VLOOKUP(tblInsts[[#This Row],[LeaID]],LateInaccurate!$A:$H,8,0)</f>
        <v>D</v>
      </c>
      <c r="L128" t="s">
        <v>1715</v>
      </c>
    </row>
    <row r="129" spans="8:12" x14ac:dyDescent="0.35">
      <c r="H129" t="s">
        <v>127</v>
      </c>
      <c r="I129">
        <v>2090</v>
      </c>
      <c r="J129" t="s">
        <v>1715</v>
      </c>
      <c r="K129" t="str">
        <f>VLOOKUP(tblInsts[[#This Row],[LeaID]],LateInaccurate!$A:$H,8,0)</f>
        <v>D</v>
      </c>
      <c r="L129" t="s">
        <v>1713</v>
      </c>
    </row>
    <row r="130" spans="8:12" x14ac:dyDescent="0.35">
      <c r="H130" t="s">
        <v>128</v>
      </c>
      <c r="I130">
        <v>2256</v>
      </c>
      <c r="J130" t="s">
        <v>1714</v>
      </c>
      <c r="K130" t="str">
        <f>VLOOKUP(tblInsts[[#This Row],[LeaID]],LateInaccurate!$A:$H,8,0)</f>
        <v>C</v>
      </c>
      <c r="L130" t="s">
        <v>1715</v>
      </c>
    </row>
    <row r="131" spans="8:12" x14ac:dyDescent="0.35">
      <c r="H131" t="s">
        <v>129</v>
      </c>
      <c r="I131">
        <v>2048</v>
      </c>
      <c r="J131" t="s">
        <v>1715</v>
      </c>
      <c r="K131" t="str">
        <f>VLOOKUP(tblInsts[[#This Row],[LeaID]],LateInaccurate!$A:$H,8,0)</f>
        <v>D</v>
      </c>
      <c r="L131" t="s">
        <v>1715</v>
      </c>
    </row>
    <row r="132" spans="8:12" x14ac:dyDescent="0.35">
      <c r="H132" t="s">
        <v>130</v>
      </c>
      <c r="I132">
        <v>2205</v>
      </c>
      <c r="J132" t="s">
        <v>1715</v>
      </c>
      <c r="K132" t="str">
        <f>VLOOKUP(tblInsts[[#This Row],[LeaID]],LateInaccurate!$A:$H,8,0)</f>
        <v>C</v>
      </c>
      <c r="L132" t="s">
        <v>1714</v>
      </c>
    </row>
    <row r="133" spans="8:12" x14ac:dyDescent="0.35">
      <c r="H133" t="s">
        <v>131</v>
      </c>
      <c r="I133">
        <v>2249</v>
      </c>
      <c r="J133" t="s">
        <v>1715</v>
      </c>
      <c r="K133" t="str">
        <f>VLOOKUP(tblInsts[[#This Row],[LeaID]],LateInaccurate!$A:$H,8,0)</f>
        <v>C</v>
      </c>
      <c r="L133" t="s">
        <v>1715</v>
      </c>
    </row>
    <row r="134" spans="8:12" x14ac:dyDescent="0.35">
      <c r="H134" t="s">
        <v>132</v>
      </c>
      <c r="I134">
        <v>1925</v>
      </c>
      <c r="J134" t="s">
        <v>1714</v>
      </c>
      <c r="K134" t="str">
        <f>VLOOKUP(tblInsts[[#This Row],[LeaID]],LateInaccurate!$A:$H,8,0)</f>
        <v>D</v>
      </c>
      <c r="L134" t="s">
        <v>1715</v>
      </c>
    </row>
    <row r="135" spans="8:12" x14ac:dyDescent="0.35">
      <c r="H135" t="s">
        <v>133</v>
      </c>
      <c r="I135">
        <v>1898</v>
      </c>
      <c r="J135" t="s">
        <v>1715</v>
      </c>
      <c r="K135" t="str">
        <f>VLOOKUP(tblInsts[[#This Row],[LeaID]],LateInaccurate!$A:$H,8,0)</f>
        <v>D</v>
      </c>
      <c r="L135" t="s">
        <v>1713</v>
      </c>
    </row>
    <row r="136" spans="8:12" x14ac:dyDescent="0.35">
      <c r="H136" t="s">
        <v>134</v>
      </c>
      <c r="I136">
        <v>2010</v>
      </c>
      <c r="J136" t="s">
        <v>1715</v>
      </c>
      <c r="K136" t="str">
        <f>VLOOKUP(tblInsts[[#This Row],[LeaID]],LateInaccurate!$A:$H,8,0)</f>
        <v>D</v>
      </c>
      <c r="L136" t="s">
        <v>1715</v>
      </c>
    </row>
    <row r="137" spans="8:12" x14ac:dyDescent="0.35">
      <c r="H137" t="s">
        <v>135</v>
      </c>
      <c r="I137">
        <v>2147</v>
      </c>
      <c r="J137" t="s">
        <v>1713</v>
      </c>
      <c r="K137" t="str">
        <f>VLOOKUP(tblInsts[[#This Row],[LeaID]],LateInaccurate!$A:$H,8,0)</f>
        <v>D</v>
      </c>
      <c r="L137" t="s">
        <v>1713</v>
      </c>
    </row>
    <row r="138" spans="8:12" x14ac:dyDescent="0.35">
      <c r="H138" t="s">
        <v>136</v>
      </c>
      <c r="I138">
        <v>2145</v>
      </c>
      <c r="J138" t="s">
        <v>1715</v>
      </c>
      <c r="K138" t="str">
        <f>VLOOKUP(tblInsts[[#This Row],[LeaID]],LateInaccurate!$A:$H,8,0)</f>
        <v>C</v>
      </c>
      <c r="L138" t="s">
        <v>1715</v>
      </c>
    </row>
    <row r="139" spans="8:12" x14ac:dyDescent="0.35">
      <c r="H139" t="s">
        <v>137</v>
      </c>
      <c r="I139">
        <v>1968</v>
      </c>
      <c r="J139" t="s">
        <v>1714</v>
      </c>
      <c r="K139" t="str">
        <f>VLOOKUP(tblInsts[[#This Row],[LeaID]],LateInaccurate!$A:$H,8,0)</f>
        <v>D</v>
      </c>
      <c r="L139" t="s">
        <v>1715</v>
      </c>
    </row>
    <row r="140" spans="8:12" x14ac:dyDescent="0.35">
      <c r="H140" t="s">
        <v>138</v>
      </c>
      <c r="I140">
        <v>2198</v>
      </c>
      <c r="J140" t="s">
        <v>1714</v>
      </c>
      <c r="K140" t="str">
        <f>VLOOKUP(tblInsts[[#This Row],[LeaID]],LateInaccurate!$A:$H,8,0)</f>
        <v>D</v>
      </c>
      <c r="L140" t="s">
        <v>1715</v>
      </c>
    </row>
    <row r="141" spans="8:12" x14ac:dyDescent="0.35">
      <c r="H141" t="s">
        <v>139</v>
      </c>
      <c r="I141">
        <v>2199</v>
      </c>
      <c r="J141" t="s">
        <v>1714</v>
      </c>
      <c r="K141" t="str">
        <f>VLOOKUP(tblInsts[[#This Row],[LeaID]],LateInaccurate!$A:$H,8,0)</f>
        <v>D</v>
      </c>
      <c r="L141" t="s">
        <v>1715</v>
      </c>
    </row>
    <row r="142" spans="8:12" x14ac:dyDescent="0.35">
      <c r="H142" t="s">
        <v>140</v>
      </c>
      <c r="I142">
        <v>2254</v>
      </c>
      <c r="J142" t="s">
        <v>1714</v>
      </c>
      <c r="K142" t="str">
        <f>VLOOKUP(tblInsts[[#This Row],[LeaID]],LateInaccurate!$A:$H,8,0)</f>
        <v>D</v>
      </c>
      <c r="L142" t="s">
        <v>1715</v>
      </c>
    </row>
    <row r="143" spans="8:12" x14ac:dyDescent="0.35">
      <c r="H143" t="s">
        <v>141</v>
      </c>
      <c r="I143">
        <v>1966</v>
      </c>
      <c r="J143" t="s">
        <v>1715</v>
      </c>
      <c r="K143" t="str">
        <f>VLOOKUP(tblInsts[[#This Row],[LeaID]],LateInaccurate!$A:$H,8,0)</f>
        <v>D</v>
      </c>
      <c r="L143" t="s">
        <v>1714</v>
      </c>
    </row>
    <row r="144" spans="8:12" x14ac:dyDescent="0.35">
      <c r="H144" t="s">
        <v>142</v>
      </c>
      <c r="I144">
        <v>1924</v>
      </c>
      <c r="J144" t="s">
        <v>1714</v>
      </c>
      <c r="K144" t="str">
        <f>VLOOKUP(tblInsts[[#This Row],[LeaID]],LateInaccurate!$A:$H,8,0)</f>
        <v>C</v>
      </c>
      <c r="L144" t="s">
        <v>1715</v>
      </c>
    </row>
    <row r="145" spans="8:12" x14ac:dyDescent="0.35">
      <c r="H145" t="s">
        <v>143</v>
      </c>
      <c r="I145">
        <v>1996</v>
      </c>
      <c r="J145" t="s">
        <v>1714</v>
      </c>
      <c r="K145" t="str">
        <f>VLOOKUP(tblInsts[[#This Row],[LeaID]],LateInaccurate!$A:$H,8,0)</f>
        <v>C</v>
      </c>
      <c r="L145" t="s">
        <v>1715</v>
      </c>
    </row>
    <row r="146" spans="8:12" x14ac:dyDescent="0.35">
      <c r="H146" t="s">
        <v>144</v>
      </c>
      <c r="I146">
        <v>2061</v>
      </c>
      <c r="J146" t="s">
        <v>1714</v>
      </c>
      <c r="K146" t="str">
        <f>VLOOKUP(tblInsts[[#This Row],[LeaID]],LateInaccurate!$A:$H,8,0)</f>
        <v>D</v>
      </c>
      <c r="L146" t="s">
        <v>1713</v>
      </c>
    </row>
    <row r="147" spans="8:12" x14ac:dyDescent="0.35">
      <c r="H147" t="s">
        <v>145</v>
      </c>
      <c r="I147">
        <v>2141</v>
      </c>
      <c r="J147" t="s">
        <v>1715</v>
      </c>
      <c r="K147" t="str">
        <f>VLOOKUP(tblInsts[[#This Row],[LeaID]],LateInaccurate!$A:$H,8,0)</f>
        <v>D</v>
      </c>
      <c r="L147" t="s">
        <v>1714</v>
      </c>
    </row>
    <row r="148" spans="8:12" x14ac:dyDescent="0.35">
      <c r="H148" t="s">
        <v>146</v>
      </c>
      <c r="I148">
        <v>2214</v>
      </c>
      <c r="J148" t="s">
        <v>1715</v>
      </c>
      <c r="K148" t="str">
        <f>VLOOKUP(tblInsts[[#This Row],[LeaID]],LateInaccurate!$A:$H,8,0)</f>
        <v>D</v>
      </c>
      <c r="L148" t="s">
        <v>1715</v>
      </c>
    </row>
    <row r="149" spans="8:12" x14ac:dyDescent="0.35">
      <c r="H149" t="s">
        <v>147</v>
      </c>
      <c r="I149">
        <v>2143</v>
      </c>
      <c r="J149" t="s">
        <v>1715</v>
      </c>
      <c r="K149" t="str">
        <f>VLOOKUP(tblInsts[[#This Row],[LeaID]],LateInaccurate!$A:$H,8,0)</f>
        <v>D</v>
      </c>
      <c r="L149" t="s">
        <v>1715</v>
      </c>
    </row>
    <row r="150" spans="8:12" x14ac:dyDescent="0.35">
      <c r="H150" t="s">
        <v>148</v>
      </c>
      <c r="I150">
        <v>4131</v>
      </c>
      <c r="J150" t="s">
        <v>1714</v>
      </c>
      <c r="K150" t="str">
        <f>VLOOKUP(tblInsts[[#This Row],[LeaID]],LateInaccurate!$A:$H,8,0)</f>
        <v>D</v>
      </c>
      <c r="L150" t="s">
        <v>1714</v>
      </c>
    </row>
    <row r="151" spans="8:12" x14ac:dyDescent="0.35">
      <c r="H151" t="s">
        <v>149</v>
      </c>
      <c r="I151">
        <v>2110</v>
      </c>
      <c r="J151" t="s">
        <v>1715</v>
      </c>
      <c r="K151" t="str">
        <f>VLOOKUP(tblInsts[[#This Row],[LeaID]],LateInaccurate!$A:$H,8,0)</f>
        <v>D</v>
      </c>
      <c r="L151" t="s">
        <v>1715</v>
      </c>
    </row>
    <row r="152" spans="8:12" x14ac:dyDescent="0.35">
      <c r="H152" t="s">
        <v>150</v>
      </c>
      <c r="I152">
        <v>1990</v>
      </c>
      <c r="J152" t="s">
        <v>1715</v>
      </c>
      <c r="K152" t="str">
        <f>VLOOKUP(tblInsts[[#This Row],[LeaID]],LateInaccurate!$A:$H,8,0)</f>
        <v>C</v>
      </c>
      <c r="L152" t="s">
        <v>1715</v>
      </c>
    </row>
    <row r="153" spans="8:12" x14ac:dyDescent="0.35">
      <c r="H153" t="s">
        <v>151</v>
      </c>
      <c r="I153">
        <v>2093</v>
      </c>
      <c r="J153" t="s">
        <v>1715</v>
      </c>
      <c r="K153" t="str">
        <f>VLOOKUP(tblInsts[[#This Row],[LeaID]],LateInaccurate!$A:$H,8,0)</f>
        <v>D</v>
      </c>
      <c r="L153" t="s">
        <v>1714</v>
      </c>
    </row>
    <row r="154" spans="8:12" x14ac:dyDescent="0.35">
      <c r="H154" t="s">
        <v>152</v>
      </c>
      <c r="I154">
        <v>2108</v>
      </c>
      <c r="J154" t="s">
        <v>1715</v>
      </c>
      <c r="K154" t="str">
        <f>VLOOKUP(tblInsts[[#This Row],[LeaID]],LateInaccurate!$A:$H,8,0)</f>
        <v>D</v>
      </c>
      <c r="L154" t="s">
        <v>1715</v>
      </c>
    </row>
    <row r="155" spans="8:12" x14ac:dyDescent="0.35">
      <c r="H155" t="s">
        <v>153</v>
      </c>
      <c r="I155">
        <v>1928</v>
      </c>
      <c r="J155" t="s">
        <v>1714</v>
      </c>
      <c r="K155" t="str">
        <f>VLOOKUP(tblInsts[[#This Row],[LeaID]],LateInaccurate!$A:$H,8,0)</f>
        <v>D</v>
      </c>
      <c r="L155" t="s">
        <v>1713</v>
      </c>
    </row>
    <row r="156" spans="8:12" x14ac:dyDescent="0.35">
      <c r="H156" t="s">
        <v>154</v>
      </c>
      <c r="I156">
        <v>1926</v>
      </c>
      <c r="J156" t="s">
        <v>1714</v>
      </c>
      <c r="K156" t="str">
        <f>VLOOKUP(tblInsts[[#This Row],[LeaID]],LateInaccurate!$A:$H,8,0)</f>
        <v>D</v>
      </c>
      <c r="L156" t="s">
        <v>1714</v>
      </c>
    </row>
    <row r="157" spans="8:12" x14ac:dyDescent="0.35">
      <c r="H157" t="s">
        <v>155</v>
      </c>
      <c r="I157">
        <v>2060</v>
      </c>
      <c r="J157" t="s">
        <v>1715</v>
      </c>
      <c r="K157" t="str">
        <f>VLOOKUP(tblInsts[[#This Row],[LeaID]],LateInaccurate!$A:$H,8,0)</f>
        <v>D</v>
      </c>
      <c r="L157" t="s">
        <v>1715</v>
      </c>
    </row>
    <row r="158" spans="8:12" x14ac:dyDescent="0.35">
      <c r="H158" t="s">
        <v>156</v>
      </c>
      <c r="I158">
        <v>2181</v>
      </c>
      <c r="J158" t="s">
        <v>1714</v>
      </c>
      <c r="K158" t="str">
        <f>VLOOKUP(tblInsts[[#This Row],[LeaID]],LateInaccurate!$A:$H,8,0)</f>
        <v>D</v>
      </c>
      <c r="L158" t="s">
        <v>1713</v>
      </c>
    </row>
    <row r="159" spans="8:12" x14ac:dyDescent="0.35">
      <c r="H159" t="s">
        <v>157</v>
      </c>
      <c r="I159">
        <v>2207</v>
      </c>
      <c r="J159" t="s">
        <v>1713</v>
      </c>
      <c r="K159" t="s">
        <v>1715</v>
      </c>
      <c r="L159" t="s">
        <v>1715</v>
      </c>
    </row>
    <row r="160" spans="8:12" x14ac:dyDescent="0.35">
      <c r="H160" t="s">
        <v>158</v>
      </c>
      <c r="I160">
        <v>2192</v>
      </c>
      <c r="J160" t="s">
        <v>1713</v>
      </c>
      <c r="K160" t="str">
        <f>VLOOKUP(tblInsts[[#This Row],[LeaID]],LateInaccurate!$A:$H,8,0)</f>
        <v>C</v>
      </c>
      <c r="L160" t="s">
        <v>1713</v>
      </c>
    </row>
    <row r="161" spans="8:12" x14ac:dyDescent="0.35">
      <c r="H161" t="s">
        <v>160</v>
      </c>
      <c r="I161">
        <v>1900</v>
      </c>
      <c r="J161" t="s">
        <v>1713</v>
      </c>
      <c r="K161" t="str">
        <f>VLOOKUP(tblInsts[[#This Row],[LeaID]],LateInaccurate!$A:$H,8,0)</f>
        <v>D</v>
      </c>
      <c r="L161" t="s">
        <v>1715</v>
      </c>
    </row>
    <row r="162" spans="8:12" x14ac:dyDescent="0.35">
      <c r="H162" t="s">
        <v>161</v>
      </c>
      <c r="I162">
        <v>2039</v>
      </c>
      <c r="J162" t="s">
        <v>1715</v>
      </c>
      <c r="K162" t="str">
        <f>VLOOKUP(tblInsts[[#This Row],[LeaID]],LateInaccurate!$A:$H,8,0)</f>
        <v>C</v>
      </c>
      <c r="L162" t="s">
        <v>1713</v>
      </c>
    </row>
    <row r="163" spans="8:12" x14ac:dyDescent="0.35">
      <c r="H163" t="s">
        <v>162</v>
      </c>
      <c r="I163">
        <v>2202</v>
      </c>
      <c r="J163" t="s">
        <v>1713</v>
      </c>
      <c r="K163" t="str">
        <f>VLOOKUP(tblInsts[[#This Row],[LeaID]],LateInaccurate!$A:$H,8,0)</f>
        <v>D</v>
      </c>
      <c r="L163" t="s">
        <v>1713</v>
      </c>
    </row>
    <row r="164" spans="8:12" x14ac:dyDescent="0.35">
      <c r="H164" t="s">
        <v>163</v>
      </c>
      <c r="I164">
        <v>2016</v>
      </c>
      <c r="J164" t="s">
        <v>1714</v>
      </c>
      <c r="K164" t="str">
        <f>VLOOKUP(tblInsts[[#This Row],[LeaID]],LateInaccurate!$A:$H,8,0)</f>
        <v>C</v>
      </c>
      <c r="L164" t="s">
        <v>1715</v>
      </c>
    </row>
    <row r="165" spans="8:12" x14ac:dyDescent="0.35">
      <c r="H165" t="s">
        <v>164</v>
      </c>
      <c r="I165">
        <v>1897</v>
      </c>
      <c r="J165" t="s">
        <v>1715</v>
      </c>
      <c r="K165" t="str">
        <f>VLOOKUP(tblInsts[[#This Row],[LeaID]],LateInaccurate!$A:$H,8,0)</f>
        <v>D</v>
      </c>
      <c r="L165" t="s">
        <v>1715</v>
      </c>
    </row>
    <row r="166" spans="8:12" x14ac:dyDescent="0.35">
      <c r="H166" t="s">
        <v>165</v>
      </c>
      <c r="I166">
        <v>2047</v>
      </c>
      <c r="J166" t="s">
        <v>1715</v>
      </c>
      <c r="K166" t="str">
        <f>VLOOKUP(tblInsts[[#This Row],[LeaID]],LateInaccurate!$A:$H,8,0)</f>
        <v>C</v>
      </c>
      <c r="L166" t="s">
        <v>1715</v>
      </c>
    </row>
    <row r="167" spans="8:12" x14ac:dyDescent="0.35">
      <c r="H167" t="s">
        <v>166</v>
      </c>
      <c r="I167">
        <v>2081</v>
      </c>
      <c r="J167" t="s">
        <v>1714</v>
      </c>
      <c r="K167" t="str">
        <f>VLOOKUP(tblInsts[[#This Row],[LeaID]],LateInaccurate!$A:$H,8,0)</f>
        <v>D</v>
      </c>
      <c r="L167" t="s">
        <v>1713</v>
      </c>
    </row>
    <row r="168" spans="8:12" x14ac:dyDescent="0.35">
      <c r="H168" t="s">
        <v>167</v>
      </c>
      <c r="I168">
        <v>2062</v>
      </c>
      <c r="J168" t="s">
        <v>1714</v>
      </c>
      <c r="K168" t="str">
        <f>VLOOKUP(tblInsts[[#This Row],[LeaID]],LateInaccurate!$A:$H,8,0)</f>
        <v>D</v>
      </c>
      <c r="L168" t="s">
        <v>1715</v>
      </c>
    </row>
    <row r="169" spans="8:12" x14ac:dyDescent="0.35">
      <c r="H169" t="s">
        <v>168</v>
      </c>
      <c r="I169">
        <v>1973</v>
      </c>
      <c r="J169" t="s">
        <v>1715</v>
      </c>
      <c r="K169" t="str">
        <f>VLOOKUP(tblInsts[[#This Row],[LeaID]],LateInaccurate!$A:$H,8,0)</f>
        <v>D</v>
      </c>
      <c r="L169" t="s">
        <v>1715</v>
      </c>
    </row>
    <row r="170" spans="8:12" x14ac:dyDescent="0.35">
      <c r="H170" t="s">
        <v>169</v>
      </c>
      <c r="I170">
        <v>2180</v>
      </c>
      <c r="J170" t="s">
        <v>1714</v>
      </c>
      <c r="K170" t="str">
        <f>VLOOKUP(tblInsts[[#This Row],[LeaID]],LateInaccurate!$A:$H,8,0)</f>
        <v>C</v>
      </c>
      <c r="L170" t="s">
        <v>1714</v>
      </c>
    </row>
    <row r="171" spans="8:12" x14ac:dyDescent="0.35">
      <c r="H171" t="s">
        <v>170</v>
      </c>
      <c r="I171">
        <v>1967</v>
      </c>
      <c r="J171" t="s">
        <v>1713</v>
      </c>
      <c r="K171" t="str">
        <f>VLOOKUP(tblInsts[[#This Row],[LeaID]],LateInaccurate!$A:$H,8,0)</f>
        <v>D</v>
      </c>
      <c r="L171" t="s">
        <v>1715</v>
      </c>
    </row>
    <row r="172" spans="8:12" x14ac:dyDescent="0.35">
      <c r="H172" t="s">
        <v>171</v>
      </c>
      <c r="I172">
        <v>2009</v>
      </c>
      <c r="J172" t="s">
        <v>1715</v>
      </c>
      <c r="K172" t="str">
        <f>VLOOKUP(tblInsts[[#This Row],[LeaID]],LateInaccurate!$A:$H,8,0)</f>
        <v>D</v>
      </c>
      <c r="L172" t="s">
        <v>1715</v>
      </c>
    </row>
    <row r="173" spans="8:12" x14ac:dyDescent="0.35">
      <c r="H173" t="s">
        <v>172</v>
      </c>
      <c r="I173">
        <v>2045</v>
      </c>
      <c r="J173" t="s">
        <v>1715</v>
      </c>
      <c r="K173" t="str">
        <f>VLOOKUP(tblInsts[[#This Row],[LeaID]],LateInaccurate!$A:$H,8,0)</f>
        <v>D</v>
      </c>
      <c r="L173" t="s">
        <v>1715</v>
      </c>
    </row>
    <row r="174" spans="8:12" x14ac:dyDescent="0.35">
      <c r="H174" t="s">
        <v>173</v>
      </c>
      <c r="I174">
        <v>1946</v>
      </c>
      <c r="J174" t="s">
        <v>1715</v>
      </c>
      <c r="K174" t="str">
        <f>VLOOKUP(tblInsts[[#This Row],[LeaID]],LateInaccurate!$A:$H,8,0)</f>
        <v>D</v>
      </c>
      <c r="L174" t="s">
        <v>1715</v>
      </c>
    </row>
    <row r="175" spans="8:12" x14ac:dyDescent="0.35">
      <c r="H175" t="s">
        <v>174</v>
      </c>
      <c r="I175">
        <v>1977</v>
      </c>
      <c r="J175" t="s">
        <v>1714</v>
      </c>
      <c r="K175" t="str">
        <f>VLOOKUP(tblInsts[[#This Row],[LeaID]],LateInaccurate!$A:$H,8,0)</f>
        <v>D</v>
      </c>
      <c r="L175" t="s">
        <v>1714</v>
      </c>
    </row>
    <row r="176" spans="8:12" x14ac:dyDescent="0.35">
      <c r="H176" t="s">
        <v>175</v>
      </c>
      <c r="I176">
        <v>2001</v>
      </c>
      <c r="J176" t="s">
        <v>1714</v>
      </c>
      <c r="K176" t="str">
        <f>VLOOKUP(tblInsts[[#This Row],[LeaID]],LateInaccurate!$A:$H,8,0)</f>
        <v>D</v>
      </c>
      <c r="L176" t="s">
        <v>1715</v>
      </c>
    </row>
    <row r="177" spans="8:12" x14ac:dyDescent="0.35">
      <c r="H177" t="s">
        <v>176</v>
      </c>
      <c r="I177">
        <v>2182</v>
      </c>
      <c r="J177" t="s">
        <v>1715</v>
      </c>
      <c r="K177" t="str">
        <f>VLOOKUP(tblInsts[[#This Row],[LeaID]],LateInaccurate!$A:$H,8,0)</f>
        <v>D</v>
      </c>
      <c r="L177" t="s">
        <v>1715</v>
      </c>
    </row>
    <row r="178" spans="8:12" x14ac:dyDescent="0.35">
      <c r="H178" t="s">
        <v>177</v>
      </c>
      <c r="I178">
        <v>1999</v>
      </c>
      <c r="J178" t="s">
        <v>1715</v>
      </c>
      <c r="K178" t="str">
        <f>VLOOKUP(tblInsts[[#This Row],[LeaID]],LateInaccurate!$A:$H,8,0)</f>
        <v>D</v>
      </c>
      <c r="L178" t="s">
        <v>1715</v>
      </c>
    </row>
    <row r="179" spans="8:12" x14ac:dyDescent="0.35">
      <c r="H179" t="s">
        <v>178</v>
      </c>
      <c r="I179">
        <v>2188</v>
      </c>
      <c r="J179" t="s">
        <v>1715</v>
      </c>
      <c r="K179" t="str">
        <f>VLOOKUP(tblInsts[[#This Row],[LeaID]],LateInaccurate!$A:$H,8,0)</f>
        <v>D</v>
      </c>
      <c r="L179" t="s">
        <v>1715</v>
      </c>
    </row>
    <row r="180" spans="8:12" x14ac:dyDescent="0.35">
      <c r="H180" t="s">
        <v>179</v>
      </c>
      <c r="I180">
        <v>2044</v>
      </c>
      <c r="J180" t="s">
        <v>1714</v>
      </c>
      <c r="K180" t="str">
        <f>VLOOKUP(tblInsts[[#This Row],[LeaID]],LateInaccurate!$A:$H,8,0)</f>
        <v>D</v>
      </c>
      <c r="L180" t="s">
        <v>1714</v>
      </c>
    </row>
    <row r="181" spans="8:12" x14ac:dyDescent="0.35">
      <c r="H181" t="s">
        <v>180</v>
      </c>
      <c r="I181">
        <v>2142</v>
      </c>
      <c r="J181" t="s">
        <v>1715</v>
      </c>
      <c r="K181" t="str">
        <f>VLOOKUP(tblInsts[[#This Row],[LeaID]],LateInaccurate!$A:$H,8,0)</f>
        <v>D</v>
      </c>
      <c r="L181" t="s">
        <v>1714</v>
      </c>
    </row>
    <row r="182" spans="8:12" x14ac:dyDescent="0.35">
      <c r="H182" t="s">
        <v>181</v>
      </c>
      <c r="I182">
        <v>2104</v>
      </c>
      <c r="J182" t="s">
        <v>1715</v>
      </c>
      <c r="K182" t="str">
        <f>VLOOKUP(tblInsts[[#This Row],[LeaID]],LateInaccurate!$A:$H,8,0)</f>
        <v>D</v>
      </c>
      <c r="L182" t="s">
        <v>1714</v>
      </c>
    </row>
    <row r="183" spans="8:12" x14ac:dyDescent="0.35">
      <c r="H183" t="s">
        <v>182</v>
      </c>
      <c r="I183">
        <v>1944</v>
      </c>
      <c r="J183" t="s">
        <v>1714</v>
      </c>
      <c r="K183" t="str">
        <f>VLOOKUP(tblInsts[[#This Row],[LeaID]],LateInaccurate!$A:$H,8,0)</f>
        <v>D</v>
      </c>
      <c r="L183" t="s">
        <v>1715</v>
      </c>
    </row>
    <row r="184" spans="8:12" x14ac:dyDescent="0.35">
      <c r="H184" t="s">
        <v>183</v>
      </c>
      <c r="I184">
        <v>2103</v>
      </c>
      <c r="J184" t="s">
        <v>1714</v>
      </c>
      <c r="K184" t="str">
        <f>VLOOKUP(tblInsts[[#This Row],[LeaID]],LateInaccurate!$A:$H,8,0)</f>
        <v>D</v>
      </c>
      <c r="L184" t="s">
        <v>1713</v>
      </c>
    </row>
    <row r="185" spans="8:12" x14ac:dyDescent="0.35">
      <c r="H185" t="s">
        <v>184</v>
      </c>
      <c r="I185">
        <v>1935</v>
      </c>
      <c r="J185" t="s">
        <v>1714</v>
      </c>
      <c r="K185" t="str">
        <f>VLOOKUP(tblInsts[[#This Row],[LeaID]],LateInaccurate!$A:$H,8,0)</f>
        <v>D</v>
      </c>
      <c r="L185" t="s">
        <v>1715</v>
      </c>
    </row>
    <row r="186" spans="8:12" x14ac:dyDescent="0.35">
      <c r="H186" t="s">
        <v>185</v>
      </c>
      <c r="I186">
        <v>2257</v>
      </c>
      <c r="J186" t="s">
        <v>1713</v>
      </c>
      <c r="K186" t="str">
        <f>VLOOKUP(tblInsts[[#This Row],[LeaID]],LateInaccurate!$A:$H,8,0)</f>
        <v>D</v>
      </c>
      <c r="L186" t="s">
        <v>1715</v>
      </c>
    </row>
    <row r="187" spans="8:12" x14ac:dyDescent="0.35">
      <c r="H187" t="s">
        <v>186</v>
      </c>
      <c r="I187">
        <v>2195</v>
      </c>
      <c r="J187" t="s">
        <v>1715</v>
      </c>
      <c r="K187" t="str">
        <f>VLOOKUP(tblInsts[[#This Row],[LeaID]],LateInaccurate!$A:$H,8,0)</f>
        <v>C</v>
      </c>
      <c r="L187" t="s">
        <v>1714</v>
      </c>
    </row>
    <row r="188" spans="8:12" x14ac:dyDescent="0.35">
      <c r="H188" t="s">
        <v>187</v>
      </c>
      <c r="I188">
        <v>2244</v>
      </c>
      <c r="J188" t="s">
        <v>1715</v>
      </c>
      <c r="K188" t="str">
        <f>VLOOKUP(tblInsts[[#This Row],[LeaID]],LateInaccurate!$A:$H,8,0)</f>
        <v>D</v>
      </c>
      <c r="L188" t="s">
        <v>1713</v>
      </c>
    </row>
    <row r="189" spans="8:12" x14ac:dyDescent="0.35">
      <c r="H189" t="s">
        <v>188</v>
      </c>
      <c r="I189">
        <v>2138</v>
      </c>
      <c r="J189" t="s">
        <v>1714</v>
      </c>
      <c r="K189" t="str">
        <f>VLOOKUP(tblInsts[[#This Row],[LeaID]],LateInaccurate!$A:$H,8,0)</f>
        <v>D</v>
      </c>
      <c r="L189" t="s">
        <v>1714</v>
      </c>
    </row>
    <row r="190" spans="8:12" x14ac:dyDescent="0.35">
      <c r="H190" t="s">
        <v>189</v>
      </c>
      <c r="I190">
        <v>1978</v>
      </c>
      <c r="J190" t="s">
        <v>1714</v>
      </c>
      <c r="K190" t="str">
        <f>VLOOKUP(tblInsts[[#This Row],[LeaID]],LateInaccurate!$A:$H,8,0)</f>
        <v>D</v>
      </c>
      <c r="L190" t="s">
        <v>1714</v>
      </c>
    </row>
    <row r="191" spans="8:12" x14ac:dyDescent="0.35">
      <c r="H191" t="s">
        <v>190</v>
      </c>
      <c r="I191">
        <v>2096</v>
      </c>
      <c r="J191" t="s">
        <v>1715</v>
      </c>
      <c r="K191" t="str">
        <f>VLOOKUP(tblInsts[[#This Row],[LeaID]],LateInaccurate!$A:$H,8,0)</f>
        <v>D</v>
      </c>
      <c r="L191" t="s">
        <v>1715</v>
      </c>
    </row>
    <row r="192" spans="8:12" x14ac:dyDescent="0.35">
      <c r="H192" t="s">
        <v>191</v>
      </c>
      <c r="I192">
        <v>2022</v>
      </c>
      <c r="J192" t="s">
        <v>1715</v>
      </c>
      <c r="K192" t="str">
        <f>VLOOKUP(tblInsts[[#This Row],[LeaID]],LateInaccurate!$A:$H,8,0)</f>
        <v>D</v>
      </c>
      <c r="L192" t="s">
        <v>1715</v>
      </c>
    </row>
    <row r="193" spans="8:12" x14ac:dyDescent="0.35">
      <c r="H193" t="s">
        <v>192</v>
      </c>
      <c r="I193">
        <v>2087</v>
      </c>
      <c r="J193" t="s">
        <v>1714</v>
      </c>
      <c r="K193" t="str">
        <f>VLOOKUP(tblInsts[[#This Row],[LeaID]],LateInaccurate!$A:$H,8,0)</f>
        <v>D</v>
      </c>
      <c r="L193" t="s">
        <v>1715</v>
      </c>
    </row>
    <row r="194" spans="8:12" x14ac:dyDescent="0.35">
      <c r="H194" t="s">
        <v>193</v>
      </c>
      <c r="I194">
        <v>1994</v>
      </c>
      <c r="J194" t="s">
        <v>1715</v>
      </c>
      <c r="K194" t="str">
        <f>VLOOKUP(tblInsts[[#This Row],[LeaID]],LateInaccurate!$A:$H,8,0)</f>
        <v>D</v>
      </c>
      <c r="L194" t="s">
        <v>1714</v>
      </c>
    </row>
    <row r="195" spans="8:12" x14ac:dyDescent="0.35">
      <c r="H195" t="s">
        <v>194</v>
      </c>
      <c r="I195">
        <v>2225</v>
      </c>
      <c r="J195" t="s">
        <v>1714</v>
      </c>
      <c r="K195" t="str">
        <f>VLOOKUP(tblInsts[[#This Row],[LeaID]],LateInaccurate!$A:$H,8,0)</f>
        <v>C</v>
      </c>
      <c r="L195" t="s">
        <v>1713</v>
      </c>
    </row>
    <row r="196" spans="8:12" x14ac:dyDescent="0.35">
      <c r="H196" t="s">
        <v>195</v>
      </c>
      <c r="I196">
        <v>2247</v>
      </c>
      <c r="J196" t="s">
        <v>1715</v>
      </c>
      <c r="K196" t="str">
        <f>VLOOKUP(tblInsts[[#This Row],[LeaID]],LateInaccurate!$A:$H,8,0)</f>
        <v>C</v>
      </c>
      <c r="L196" t="s">
        <v>1715</v>
      </c>
    </row>
    <row r="197" spans="8:12" x14ac:dyDescent="0.35">
      <c r="H197" t="s">
        <v>196</v>
      </c>
      <c r="I197">
        <v>2083</v>
      </c>
      <c r="J197" t="s">
        <v>1714</v>
      </c>
      <c r="K197" t="str">
        <f>VLOOKUP(tblInsts[[#This Row],[LeaID]],LateInaccurate!$A:$H,8,0)</f>
        <v>C</v>
      </c>
      <c r="L197" t="s">
        <v>1714</v>
      </c>
    </row>
    <row r="198" spans="8:12" x14ac:dyDescent="0.35">
      <c r="H198" t="s">
        <v>197</v>
      </c>
      <c r="I198">
        <v>1948</v>
      </c>
      <c r="J198" t="s">
        <v>1715</v>
      </c>
      <c r="K198" t="str">
        <f>VLOOKUP(tblInsts[[#This Row],[LeaID]],LateInaccurate!$A:$H,8,0)</f>
        <v>D</v>
      </c>
      <c r="L198" t="s">
        <v>1713</v>
      </c>
    </row>
    <row r="199" spans="8:12" x14ac:dyDescent="0.35">
      <c r="H199" t="s">
        <v>198</v>
      </c>
      <c r="I199">
        <v>2144</v>
      </c>
      <c r="J199" t="s">
        <v>1714</v>
      </c>
      <c r="K199" t="str">
        <f>VLOOKUP(tblInsts[[#This Row],[LeaID]],LateInaccurate!$A:$H,8,0)</f>
        <v>D</v>
      </c>
      <c r="L199" t="s">
        <v>1713</v>
      </c>
    </row>
    <row r="200" spans="8:12" x14ac:dyDescent="0.35">
      <c r="H200" t="s">
        <v>199</v>
      </c>
      <c r="I200">
        <v>2209</v>
      </c>
      <c r="J200" t="s">
        <v>1713</v>
      </c>
      <c r="K200" t="str">
        <f>VLOOKUP(tblInsts[[#This Row],[LeaID]],LateInaccurate!$A:$H,8,0)</f>
        <v>D</v>
      </c>
      <c r="L200" t="s">
        <v>1714</v>
      </c>
    </row>
    <row r="201" spans="8:12" x14ac:dyDescent="0.35">
      <c r="H201" t="s">
        <v>200</v>
      </c>
      <c r="I201">
        <v>2018</v>
      </c>
      <c r="J201" t="s">
        <v>1714</v>
      </c>
      <c r="K201" t="str">
        <f>VLOOKUP(tblInsts[[#This Row],[LeaID]],LateInaccurate!$A:$H,8,0)</f>
        <v>D</v>
      </c>
      <c r="L201" t="s">
        <v>1714</v>
      </c>
    </row>
    <row r="202" spans="8:12" x14ac:dyDescent="0.35">
      <c r="H202" t="s">
        <v>201</v>
      </c>
      <c r="I202">
        <v>2003</v>
      </c>
      <c r="J202" t="s">
        <v>1713</v>
      </c>
      <c r="K202" t="str">
        <f>VLOOKUP(tblInsts[[#This Row],[LeaID]],LateInaccurate!$A:$H,8,0)</f>
        <v>D</v>
      </c>
      <c r="L202" t="s">
        <v>1715</v>
      </c>
    </row>
    <row r="203" spans="8:12" x14ac:dyDescent="0.35">
      <c r="H203" t="s">
        <v>202</v>
      </c>
      <c r="I203">
        <v>2102</v>
      </c>
      <c r="J203" t="s">
        <v>1715</v>
      </c>
      <c r="K203" t="str">
        <f>VLOOKUP(tblInsts[[#This Row],[LeaID]],LateInaccurate!$A:$H,8,0)</f>
        <v>D</v>
      </c>
      <c r="L203" t="s">
        <v>1713</v>
      </c>
    </row>
    <row r="204" spans="8:12" x14ac:dyDescent="0.35">
      <c r="H204" t="s">
        <v>203</v>
      </c>
      <c r="I204">
        <v>2055</v>
      </c>
      <c r="J204" t="s">
        <v>1714</v>
      </c>
      <c r="K204" t="str">
        <f>VLOOKUP(tblInsts[[#This Row],[LeaID]],LateInaccurate!$A:$H,8,0)</f>
        <v>D</v>
      </c>
      <c r="L204" t="s">
        <v>1714</v>
      </c>
    </row>
    <row r="205" spans="8:12" x14ac:dyDescent="0.35">
      <c r="H205" t="s">
        <v>204</v>
      </c>
      <c r="I205">
        <v>2242</v>
      </c>
      <c r="J205" t="s">
        <v>1714</v>
      </c>
      <c r="K205" t="str">
        <f>VLOOKUP(tblInsts[[#This Row],[LeaID]],LateInaccurate!$A:$H,8,0)</f>
        <v>D</v>
      </c>
      <c r="L205" t="s">
        <v>1715</v>
      </c>
    </row>
    <row r="206" spans="8:12" x14ac:dyDescent="0.35">
      <c r="H206" t="s">
        <v>205</v>
      </c>
      <c r="I206">
        <v>2197</v>
      </c>
      <c r="J206" t="s">
        <v>1715</v>
      </c>
      <c r="K206" t="str">
        <f>VLOOKUP(tblInsts[[#This Row],[LeaID]],LateInaccurate!$A:$H,8,0)</f>
        <v>D</v>
      </c>
      <c r="L206" t="s">
        <v>1714</v>
      </c>
    </row>
    <row r="207" spans="8:12" x14ac:dyDescent="0.35">
      <c r="H207" t="s">
        <v>206</v>
      </c>
      <c r="I207">
        <v>2222</v>
      </c>
      <c r="J207" t="s">
        <v>1714</v>
      </c>
      <c r="K207" t="str">
        <f>VLOOKUP(tblInsts[[#This Row],[LeaID]],LateInaccurate!$A:$H,8,0)</f>
        <v>D</v>
      </c>
      <c r="L207" t="s">
        <v>1715</v>
      </c>
    </row>
    <row r="208" spans="8:12" x14ac:dyDescent="0.35">
      <c r="H208" t="s">
        <v>207</v>
      </c>
      <c r="I208">
        <v>2210</v>
      </c>
      <c r="J208" t="s">
        <v>1715</v>
      </c>
      <c r="K208" t="str">
        <f>VLOOKUP(tblInsts[[#This Row],[LeaID]],LateInaccurate!$A:$H,8,0)</f>
        <v>D</v>
      </c>
      <c r="L208" t="s">
        <v>1714</v>
      </c>
    </row>
    <row r="209" spans="8:12" x14ac:dyDescent="0.35">
      <c r="H209" t="s">
        <v>208</v>
      </c>
      <c r="I209">
        <v>2204</v>
      </c>
      <c r="J209" t="s">
        <v>1713</v>
      </c>
      <c r="K209" t="str">
        <f>VLOOKUP(tblInsts[[#This Row],[LeaID]],LateInaccurate!$A:$H,8,0)</f>
        <v>D</v>
      </c>
      <c r="L209" t="s">
        <v>1713</v>
      </c>
    </row>
    <row r="210" spans="8:12" x14ac:dyDescent="0.35">
      <c r="H210" t="s">
        <v>209</v>
      </c>
      <c r="I210">
        <v>2213</v>
      </c>
      <c r="J210" t="s">
        <v>1715</v>
      </c>
      <c r="K210" t="str">
        <f>VLOOKUP(tblInsts[[#This Row],[LeaID]],LateInaccurate!$A:$H,8,0)</f>
        <v>D</v>
      </c>
      <c r="L210" t="s">
        <v>1713</v>
      </c>
    </row>
    <row r="211" spans="8:12" x14ac:dyDescent="0.35">
      <c r="H211" t="s">
        <v>210</v>
      </c>
      <c r="I211">
        <v>2116</v>
      </c>
      <c r="J211" t="s">
        <v>1715</v>
      </c>
      <c r="K211" t="str">
        <f>VLOOKUP(tblInsts[[#This Row],[LeaID]],LateInaccurate!$A:$H,8,0)</f>
        <v>D</v>
      </c>
      <c r="L211" t="s">
        <v>1714</v>
      </c>
    </row>
    <row r="212" spans="8:12" x14ac:dyDescent="0.35">
      <c r="H212" t="s">
        <v>211</v>
      </c>
      <c r="I212">
        <v>1947</v>
      </c>
      <c r="J212" t="s">
        <v>1715</v>
      </c>
      <c r="K212" t="str">
        <f>VLOOKUP(tblInsts[[#This Row],[LeaID]],LateInaccurate!$A:$H,8,0)</f>
        <v>D</v>
      </c>
      <c r="L212" t="s">
        <v>1714</v>
      </c>
    </row>
    <row r="213" spans="8:12" x14ac:dyDescent="0.35">
      <c r="H213" t="s">
        <v>212</v>
      </c>
      <c r="I213">
        <v>2220</v>
      </c>
      <c r="J213" t="s">
        <v>1714</v>
      </c>
      <c r="K213" t="str">
        <f>VLOOKUP(tblInsts[[#This Row],[LeaID]],LateInaccurate!$A:$H,8,0)</f>
        <v>D</v>
      </c>
      <c r="L213" t="s">
        <v>1715</v>
      </c>
    </row>
    <row r="214" spans="8:12" x14ac:dyDescent="0.35">
      <c r="H214" t="s">
        <v>213</v>
      </c>
      <c r="I214">
        <v>1936</v>
      </c>
      <c r="J214" t="s">
        <v>1715</v>
      </c>
      <c r="K214" t="str">
        <f>VLOOKUP(tblInsts[[#This Row],[LeaID]],LateInaccurate!$A:$H,8,0)</f>
        <v>D</v>
      </c>
      <c r="L214" t="s">
        <v>1715</v>
      </c>
    </row>
    <row r="215" spans="8:12" x14ac:dyDescent="0.35">
      <c r="H215" t="s">
        <v>214</v>
      </c>
      <c r="I215">
        <v>1922</v>
      </c>
      <c r="J215" t="s">
        <v>1714</v>
      </c>
      <c r="K215" t="str">
        <f>VLOOKUP(tblInsts[[#This Row],[LeaID]],LateInaccurate!$A:$H,8,0)</f>
        <v>D</v>
      </c>
      <c r="L215" t="s">
        <v>1715</v>
      </c>
    </row>
    <row r="216" spans="8:12" x14ac:dyDescent="0.35">
      <c r="H216" t="s">
        <v>215</v>
      </c>
      <c r="I216">
        <v>2255</v>
      </c>
      <c r="J216" t="s">
        <v>1714</v>
      </c>
      <c r="K216" t="str">
        <f>VLOOKUP(tblInsts[[#This Row],[LeaID]],LateInaccurate!$A:$H,8,0)</f>
        <v>D</v>
      </c>
      <c r="L216" t="s">
        <v>1715</v>
      </c>
    </row>
    <row r="217" spans="8:12" x14ac:dyDescent="0.35">
      <c r="H217" t="s">
        <v>216</v>
      </c>
      <c r="I217">
        <v>2002</v>
      </c>
      <c r="J217" t="s">
        <v>1715</v>
      </c>
      <c r="K217" t="str">
        <f>VLOOKUP(tblInsts[[#This Row],[LeaID]],LateInaccurate!$A:$H,8,0)</f>
        <v>D</v>
      </c>
      <c r="L217" t="s">
        <v>1715</v>
      </c>
    </row>
    <row r="218" spans="8:12" x14ac:dyDescent="0.35">
      <c r="H218" t="s">
        <v>217</v>
      </c>
      <c r="I218">
        <v>2146</v>
      </c>
      <c r="J218" t="s">
        <v>1715</v>
      </c>
      <c r="K218" t="str">
        <f>VLOOKUP(tblInsts[[#This Row],[LeaID]],LateInaccurate!$A:$H,8,0)</f>
        <v>D</v>
      </c>
      <c r="L218" t="s">
        <v>1714</v>
      </c>
    </row>
    <row r="219" spans="8:12" x14ac:dyDescent="0.35">
      <c r="H219" t="s">
        <v>218</v>
      </c>
      <c r="I219">
        <v>2251</v>
      </c>
      <c r="J219" t="s">
        <v>1713</v>
      </c>
      <c r="K219" t="str">
        <f>VLOOKUP(tblInsts[[#This Row],[LeaID]],LateInaccurate!$A:$H,8,0)</f>
        <v>B</v>
      </c>
      <c r="L219" t="s">
        <v>1713</v>
      </c>
    </row>
    <row r="220" spans="8:12" x14ac:dyDescent="0.35">
      <c r="H220" t="s">
        <v>219</v>
      </c>
      <c r="I220">
        <v>1997</v>
      </c>
      <c r="J220" t="s">
        <v>1713</v>
      </c>
      <c r="K220" t="str">
        <f>VLOOKUP(tblInsts[[#This Row],[LeaID]],LateInaccurate!$A:$H,8,0)</f>
        <v>D</v>
      </c>
      <c r="L220" t="s">
        <v>1713</v>
      </c>
    </row>
  </sheetData>
  <sheetProtection selectLockedCells="1" selectUnlockedCells="1"/>
  <sortState xmlns:xlrd2="http://schemas.microsoft.com/office/spreadsheetml/2017/richdata2" ref="B34:C37">
    <sortCondition ref="C22:C25"/>
  </sortState>
  <pageMargins left="0.7" right="0.7" top="0.75" bottom="0.75" header="0.3" footer="0.3"/>
  <pageSetup orientation="portrait" r:id="rId1"/>
  <legacyDrawing r:id="rId2"/>
  <tableParts count="4">
    <tablePart r:id="rId3"/>
    <tablePart r:id="rId4"/>
    <tablePart r:id="rId5"/>
    <tablePart r:id="rId6"/>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F132"/>
  <sheetViews>
    <sheetView workbookViewId="0"/>
  </sheetViews>
  <sheetFormatPr defaultRowHeight="14.5" x14ac:dyDescent="0.35"/>
  <cols>
    <col min="1" max="1" width="32" bestFit="1" customWidth="1"/>
    <col min="2" max="2" width="10.81640625" customWidth="1"/>
    <col min="3" max="3" width="57.81640625" bestFit="1" customWidth="1"/>
    <col min="4" max="4" width="11.54296875" customWidth="1"/>
    <col min="5" max="5" width="17.453125" bestFit="1" customWidth="1"/>
  </cols>
  <sheetData>
    <row r="1" spans="1:6" x14ac:dyDescent="0.35">
      <c r="A1" t="s">
        <v>1351</v>
      </c>
      <c r="B1" t="s">
        <v>1352</v>
      </c>
      <c r="C1" t="s">
        <v>1353</v>
      </c>
      <c r="D1" t="s">
        <v>1354</v>
      </c>
      <c r="E1" t="s">
        <v>1355</v>
      </c>
      <c r="F1" t="s">
        <v>1356</v>
      </c>
    </row>
    <row r="2" spans="1:6" x14ac:dyDescent="0.35">
      <c r="A2" s="144" t="s">
        <v>20</v>
      </c>
      <c r="B2" s="144">
        <v>1899</v>
      </c>
      <c r="C2" s="144" t="s">
        <v>1357</v>
      </c>
      <c r="D2" s="144">
        <v>17</v>
      </c>
      <c r="E2">
        <f>COUNTIF(tblCharterSchls[AdminNm],tblCharterSchls[[#This Row],[AdminNm]])</f>
        <v>1</v>
      </c>
    </row>
    <row r="3" spans="1:6" x14ac:dyDescent="0.35">
      <c r="A3" s="144" t="s">
        <v>23</v>
      </c>
      <c r="B3" s="144">
        <v>2111</v>
      </c>
      <c r="C3" s="144" t="s">
        <v>1358</v>
      </c>
      <c r="D3" s="144">
        <v>705</v>
      </c>
      <c r="E3">
        <f>COUNTIF(tblCharterSchls[AdminNm],tblCharterSchls[[#This Row],[AdminNm]])</f>
        <v>1</v>
      </c>
    </row>
    <row r="4" spans="1:6" x14ac:dyDescent="0.35">
      <c r="A4" s="144" t="s">
        <v>24</v>
      </c>
      <c r="B4" s="144">
        <v>2005</v>
      </c>
      <c r="C4" s="144" t="s">
        <v>1359</v>
      </c>
      <c r="D4" s="144">
        <v>323</v>
      </c>
      <c r="E4">
        <f>COUNTIF(tblCharterSchls[AdminNm],tblCharterSchls[[#This Row],[AdminNm]])</f>
        <v>1</v>
      </c>
    </row>
    <row r="5" spans="1:6" x14ac:dyDescent="0.35">
      <c r="A5" s="144" t="s">
        <v>30</v>
      </c>
      <c r="B5" s="144">
        <v>1894</v>
      </c>
      <c r="C5" s="144" t="s">
        <v>1360</v>
      </c>
      <c r="D5" s="144">
        <v>4759</v>
      </c>
      <c r="E5">
        <f>COUNTIF(tblCharterSchls[AdminNm],tblCharterSchls[[#This Row],[AdminNm]])</f>
        <v>3</v>
      </c>
    </row>
    <row r="6" spans="1:6" x14ac:dyDescent="0.35">
      <c r="A6" s="144" t="s">
        <v>30</v>
      </c>
      <c r="B6" s="144">
        <v>1894</v>
      </c>
      <c r="C6" s="144" t="s">
        <v>1361</v>
      </c>
      <c r="D6" s="144">
        <v>4728</v>
      </c>
      <c r="E6">
        <f>COUNTIF(tblCharterSchls[AdminNm],tblCharterSchls[[#This Row],[AdminNm]])</f>
        <v>3</v>
      </c>
    </row>
    <row r="7" spans="1:6" x14ac:dyDescent="0.35">
      <c r="A7" s="144" t="s">
        <v>30</v>
      </c>
      <c r="B7" s="144">
        <v>1894</v>
      </c>
      <c r="C7" s="144" t="s">
        <v>1779</v>
      </c>
      <c r="D7" s="144">
        <v>5491</v>
      </c>
      <c r="E7">
        <f>COUNTIF(tblCharterSchls[AdminNm],tblCharterSchls[[#This Row],[AdminNm]])</f>
        <v>3</v>
      </c>
    </row>
    <row r="8" spans="1:6" x14ac:dyDescent="0.35">
      <c r="A8" s="144" t="s">
        <v>34</v>
      </c>
      <c r="B8" s="144">
        <v>2243</v>
      </c>
      <c r="C8" s="144" t="s">
        <v>1362</v>
      </c>
      <c r="D8" s="144">
        <v>4805</v>
      </c>
      <c r="E8">
        <f>COUNTIF(tblCharterSchls[AdminNm],tblCharterSchls[[#This Row],[AdminNm]])</f>
        <v>2</v>
      </c>
    </row>
    <row r="9" spans="1:6" x14ac:dyDescent="0.35">
      <c r="A9" s="144" t="s">
        <v>34</v>
      </c>
      <c r="B9" s="144">
        <v>2243</v>
      </c>
      <c r="C9" s="144" t="s">
        <v>1363</v>
      </c>
      <c r="D9" s="144">
        <v>4867</v>
      </c>
      <c r="E9">
        <f>COUNTIF(tblCharterSchls[AdminNm],tblCharterSchls[[#This Row],[AdminNm]])</f>
        <v>2</v>
      </c>
    </row>
    <row r="10" spans="1:6" x14ac:dyDescent="0.35">
      <c r="A10" s="144" t="s">
        <v>35</v>
      </c>
      <c r="B10" s="144">
        <v>1976</v>
      </c>
      <c r="C10" s="144" t="s">
        <v>1364</v>
      </c>
      <c r="D10" s="144">
        <v>5309</v>
      </c>
      <c r="E10">
        <f>COUNTIF(tblCharterSchls[AdminNm],tblCharterSchls[[#This Row],[AdminNm]])</f>
        <v>2</v>
      </c>
    </row>
    <row r="11" spans="1:6" x14ac:dyDescent="0.35">
      <c r="A11" s="144" t="s">
        <v>35</v>
      </c>
      <c r="B11" s="144">
        <v>1976</v>
      </c>
      <c r="C11" s="144" t="s">
        <v>1365</v>
      </c>
      <c r="D11" s="144">
        <v>5384</v>
      </c>
      <c r="E11">
        <f>COUNTIF(tblCharterSchls[AdminNm],tblCharterSchls[[#This Row],[AdminNm]])</f>
        <v>2</v>
      </c>
    </row>
    <row r="12" spans="1:6" x14ac:dyDescent="0.35">
      <c r="A12" s="144" t="s">
        <v>37</v>
      </c>
      <c r="B12" s="144">
        <v>2095</v>
      </c>
      <c r="C12" s="144" t="s">
        <v>1366</v>
      </c>
      <c r="D12" s="144">
        <v>3401</v>
      </c>
      <c r="E12">
        <f>COUNTIF(tblCharterSchls[AdminNm],tblCharterSchls[[#This Row],[AdminNm]])</f>
        <v>1</v>
      </c>
    </row>
    <row r="13" spans="1:6" x14ac:dyDescent="0.35">
      <c r="A13" s="144" t="s">
        <v>40</v>
      </c>
      <c r="B13" s="144">
        <v>1896</v>
      </c>
      <c r="C13" s="144" t="s">
        <v>1367</v>
      </c>
      <c r="D13" s="144">
        <v>3347</v>
      </c>
      <c r="E13">
        <f>COUNTIF(tblCharterSchls[AdminNm],tblCharterSchls[[#This Row],[AdminNm]])</f>
        <v>1</v>
      </c>
    </row>
    <row r="14" spans="1:6" x14ac:dyDescent="0.35">
      <c r="A14" s="144" t="s">
        <v>42</v>
      </c>
      <c r="B14" s="144">
        <v>2046</v>
      </c>
      <c r="C14" s="144" t="s">
        <v>1368</v>
      </c>
      <c r="D14" s="145">
        <v>406</v>
      </c>
      <c r="E14">
        <f>COUNTIF(tblCharterSchls[AdminNm],tblCharterSchls[[#This Row],[AdminNm]])</f>
        <v>1</v>
      </c>
    </row>
    <row r="15" spans="1:6" x14ac:dyDescent="0.35">
      <c r="A15" s="144" t="s">
        <v>43</v>
      </c>
      <c r="B15" s="144">
        <v>1995</v>
      </c>
      <c r="C15" s="144" t="s">
        <v>1369</v>
      </c>
      <c r="D15" s="144">
        <v>3400</v>
      </c>
      <c r="E15">
        <f>COUNTIF(tblCharterSchls[AdminNm],tblCharterSchls[[#This Row],[AdminNm]])</f>
        <v>1</v>
      </c>
    </row>
    <row r="16" spans="1:6" x14ac:dyDescent="0.35">
      <c r="A16" s="144" t="s">
        <v>2091</v>
      </c>
      <c r="B16" s="144">
        <v>1965</v>
      </c>
      <c r="C16" s="144" t="s">
        <v>1370</v>
      </c>
      <c r="D16" s="144">
        <v>3615</v>
      </c>
      <c r="E16">
        <f>COUNTIF(tblCharterSchls[AdminNm],tblCharterSchls[[#This Row],[AdminNm]])</f>
        <v>1</v>
      </c>
    </row>
    <row r="17" spans="1:5" x14ac:dyDescent="0.35">
      <c r="A17" s="144" t="s">
        <v>54</v>
      </c>
      <c r="B17" s="144">
        <v>1965</v>
      </c>
      <c r="C17" s="144" t="s">
        <v>1371</v>
      </c>
      <c r="D17" s="144">
        <v>4079</v>
      </c>
      <c r="E17">
        <f>COUNTIF(tblCharterSchls[AdminNm],tblCharterSchls[[#This Row],[AdminNm]])</f>
        <v>1</v>
      </c>
    </row>
    <row r="18" spans="1:5" x14ac:dyDescent="0.35">
      <c r="A18" s="144" t="s">
        <v>56</v>
      </c>
      <c r="B18" s="144">
        <v>2186</v>
      </c>
      <c r="C18" s="144" t="s">
        <v>1372</v>
      </c>
      <c r="D18" s="144">
        <v>4592</v>
      </c>
      <c r="E18">
        <f>COUNTIF(tblCharterSchls[AdminNm],tblCharterSchls[[#This Row],[AdminNm]])</f>
        <v>1</v>
      </c>
    </row>
    <row r="19" spans="1:5" x14ac:dyDescent="0.35">
      <c r="A19" s="144" t="s">
        <v>58</v>
      </c>
      <c r="B19" s="144">
        <v>1901</v>
      </c>
      <c r="C19" s="144" t="s">
        <v>2092</v>
      </c>
      <c r="D19" s="144">
        <v>4637</v>
      </c>
      <c r="E19">
        <f>COUNTIF(tblCharterSchls[AdminNm],tblCharterSchls[[#This Row],[AdminNm]])</f>
        <v>1</v>
      </c>
    </row>
    <row r="20" spans="1:5" x14ac:dyDescent="0.35">
      <c r="A20" s="144" t="s">
        <v>59</v>
      </c>
      <c r="B20" s="144">
        <v>2216</v>
      </c>
      <c r="C20" s="144" t="s">
        <v>1373</v>
      </c>
      <c r="D20" s="144">
        <v>3434</v>
      </c>
      <c r="E20">
        <f>COUNTIF(tblCharterSchls[AdminNm],tblCharterSchls[[#This Row],[AdminNm]])</f>
        <v>1</v>
      </c>
    </row>
    <row r="21" spans="1:5" x14ac:dyDescent="0.35">
      <c r="A21" s="144" t="s">
        <v>61</v>
      </c>
      <c r="B21" s="144">
        <v>1970</v>
      </c>
      <c r="C21" s="144" t="s">
        <v>1374</v>
      </c>
      <c r="D21" s="144">
        <v>223</v>
      </c>
      <c r="E21">
        <f>COUNTIF(tblCharterSchls[AdminNm],tblCharterSchls[[#This Row],[AdminNm]])</f>
        <v>1</v>
      </c>
    </row>
    <row r="22" spans="1:5" x14ac:dyDescent="0.35">
      <c r="A22" s="144" t="s">
        <v>64</v>
      </c>
      <c r="B22" s="144">
        <v>2190</v>
      </c>
      <c r="C22" s="144" t="s">
        <v>1375</v>
      </c>
      <c r="D22" s="144">
        <v>5298</v>
      </c>
      <c r="E22">
        <f>COUNTIF(tblCharterSchls[AdminNm],tblCharterSchls[[#This Row],[AdminNm]])</f>
        <v>1</v>
      </c>
    </row>
    <row r="23" spans="1:5" x14ac:dyDescent="0.35">
      <c r="A23" s="144" t="s">
        <v>2093</v>
      </c>
      <c r="B23" s="144">
        <v>2190</v>
      </c>
      <c r="C23" s="144" t="s">
        <v>1376</v>
      </c>
      <c r="D23" s="144">
        <v>3461</v>
      </c>
      <c r="E23">
        <f>COUNTIF(tblCharterSchls[AdminNm],tblCharterSchls[[#This Row],[AdminNm]])</f>
        <v>1</v>
      </c>
    </row>
    <row r="24" spans="1:5" x14ac:dyDescent="0.35">
      <c r="A24" s="144" t="s">
        <v>65</v>
      </c>
      <c r="B24" s="144">
        <v>2187</v>
      </c>
      <c r="C24" s="144" t="s">
        <v>1377</v>
      </c>
      <c r="D24" s="144">
        <v>3580</v>
      </c>
      <c r="E24">
        <f>COUNTIF(tblCharterSchls[AdminNm],tblCharterSchls[[#This Row],[AdminNm]])</f>
        <v>1</v>
      </c>
    </row>
    <row r="25" spans="1:5" x14ac:dyDescent="0.35">
      <c r="A25" s="144" t="s">
        <v>70</v>
      </c>
      <c r="B25" s="144">
        <v>1993</v>
      </c>
      <c r="C25" s="144" t="s">
        <v>1378</v>
      </c>
      <c r="D25" s="144">
        <v>3348</v>
      </c>
      <c r="E25">
        <f>COUNTIF(tblCharterSchls[AdminNm],tblCharterSchls[[#This Row],[AdminNm]])</f>
        <v>1</v>
      </c>
    </row>
    <row r="26" spans="1:5" x14ac:dyDescent="0.35">
      <c r="A26" s="144" t="s">
        <v>71</v>
      </c>
      <c r="B26" s="144">
        <v>1991</v>
      </c>
      <c r="C26" s="144" t="s">
        <v>1379</v>
      </c>
      <c r="D26" s="144">
        <v>4391</v>
      </c>
      <c r="E26">
        <f>COUNTIF(tblCharterSchls[AdminNm],tblCharterSchls[[#This Row],[AdminNm]])</f>
        <v>1</v>
      </c>
    </row>
    <row r="27" spans="1:5" x14ac:dyDescent="0.35">
      <c r="A27" s="144" t="s">
        <v>74</v>
      </c>
      <c r="B27" s="144">
        <v>2043</v>
      </c>
      <c r="C27" s="144" t="s">
        <v>1780</v>
      </c>
      <c r="D27" s="144">
        <v>5251</v>
      </c>
      <c r="E27">
        <f>COUNTIF(tblCharterSchls[AdminNm],tblCharterSchls[[#This Row],[AdminNm]])</f>
        <v>2</v>
      </c>
    </row>
    <row r="28" spans="1:5" x14ac:dyDescent="0.35">
      <c r="A28" s="144" t="s">
        <v>74</v>
      </c>
      <c r="B28" s="144">
        <v>2043</v>
      </c>
      <c r="C28" s="144" t="s">
        <v>1781</v>
      </c>
      <c r="D28" s="144">
        <v>5572</v>
      </c>
      <c r="E28">
        <f>COUNTIF(tblCharterSchls[AdminNm],tblCharterSchls[[#This Row],[AdminNm]])</f>
        <v>2</v>
      </c>
    </row>
    <row r="29" spans="1:5" x14ac:dyDescent="0.35">
      <c r="A29" s="144" t="s">
        <v>77</v>
      </c>
      <c r="B29" s="144">
        <v>1998</v>
      </c>
      <c r="C29" s="144" t="s">
        <v>1380</v>
      </c>
      <c r="D29" s="144">
        <v>302</v>
      </c>
      <c r="E29">
        <f>COUNTIF(tblCharterSchls[AdminNm],tblCharterSchls[[#This Row],[AdminNm]])</f>
        <v>1</v>
      </c>
    </row>
    <row r="30" spans="1:5" x14ac:dyDescent="0.35">
      <c r="A30" s="144" t="s">
        <v>2094</v>
      </c>
      <c r="B30" s="144">
        <v>1931</v>
      </c>
      <c r="C30" s="144" t="s">
        <v>1381</v>
      </c>
      <c r="D30" s="144">
        <v>4670</v>
      </c>
      <c r="E30">
        <f>COUNTIF(tblCharterSchls[AdminNm],tblCharterSchls[[#This Row],[AdminNm]])</f>
        <v>1</v>
      </c>
    </row>
    <row r="31" spans="1:5" x14ac:dyDescent="0.35">
      <c r="A31" s="144" t="s">
        <v>80</v>
      </c>
      <c r="B31" s="144">
        <v>2082</v>
      </c>
      <c r="C31" s="144" t="s">
        <v>1382</v>
      </c>
      <c r="D31" s="144">
        <v>507</v>
      </c>
      <c r="E31">
        <f>COUNTIF(tblCharterSchls[AdminNm],tblCharterSchls[[#This Row],[AdminNm]])</f>
        <v>5</v>
      </c>
    </row>
    <row r="32" spans="1:5" x14ac:dyDescent="0.35">
      <c r="A32" s="144" t="s">
        <v>80</v>
      </c>
      <c r="B32" s="144">
        <v>2082</v>
      </c>
      <c r="C32" s="144" t="s">
        <v>1383</v>
      </c>
      <c r="D32" s="144">
        <v>4041</v>
      </c>
      <c r="E32">
        <f>COUNTIF(tblCharterSchls[AdminNm],tblCharterSchls[[#This Row],[AdminNm]])</f>
        <v>5</v>
      </c>
    </row>
    <row r="33" spans="1:5" x14ac:dyDescent="0.35">
      <c r="A33" s="144" t="s">
        <v>80</v>
      </c>
      <c r="B33" s="144">
        <v>2082</v>
      </c>
      <c r="C33" s="144" t="s">
        <v>1384</v>
      </c>
      <c r="D33" s="144">
        <v>3233</v>
      </c>
      <c r="E33">
        <f>COUNTIF(tblCharterSchls[AdminNm],tblCharterSchls[[#This Row],[AdminNm]])</f>
        <v>5</v>
      </c>
    </row>
    <row r="34" spans="1:5" x14ac:dyDescent="0.35">
      <c r="A34" s="146" t="s">
        <v>80</v>
      </c>
      <c r="B34" s="144">
        <v>2082</v>
      </c>
      <c r="C34" s="146" t="s">
        <v>1385</v>
      </c>
      <c r="D34" s="144">
        <v>1861</v>
      </c>
      <c r="E34">
        <f>COUNTIF(tblCharterSchls[AdminNm],tblCharterSchls[[#This Row],[AdminNm]])</f>
        <v>5</v>
      </c>
    </row>
    <row r="35" spans="1:5" x14ac:dyDescent="0.35">
      <c r="A35" s="146" t="s">
        <v>80</v>
      </c>
      <c r="B35" s="144">
        <v>2082</v>
      </c>
      <c r="C35" s="146" t="s">
        <v>1386</v>
      </c>
      <c r="D35" s="144">
        <v>3229</v>
      </c>
      <c r="E35">
        <f>COUNTIF(tblCharterSchls[AdminNm],tblCharterSchls[[#This Row],[AdminNm]])</f>
        <v>5</v>
      </c>
    </row>
    <row r="36" spans="1:5" x14ac:dyDescent="0.35">
      <c r="A36" s="146" t="s">
        <v>82</v>
      </c>
      <c r="B36" s="146">
        <v>2084</v>
      </c>
      <c r="C36" s="146" t="s">
        <v>1930</v>
      </c>
      <c r="D36" s="144">
        <v>4045</v>
      </c>
      <c r="E36">
        <f>COUNTIF(tblCharterSchls[AdminNm],tblCharterSchls[[#This Row],[AdminNm]])</f>
        <v>1</v>
      </c>
    </row>
    <row r="37" spans="1:5" x14ac:dyDescent="0.35">
      <c r="A37" s="144" t="s">
        <v>83</v>
      </c>
      <c r="B37" s="144">
        <v>2241</v>
      </c>
      <c r="C37" s="144" t="s">
        <v>1387</v>
      </c>
      <c r="D37" s="144">
        <v>4595</v>
      </c>
      <c r="E37">
        <f>COUNTIF(tblCharterSchls[AdminNm],tblCharterSchls[[#This Row],[AdminNm]])</f>
        <v>1</v>
      </c>
    </row>
    <row r="38" spans="1:5" x14ac:dyDescent="0.35">
      <c r="A38" s="144" t="s">
        <v>84</v>
      </c>
      <c r="B38" s="144">
        <v>2248</v>
      </c>
      <c r="C38" s="144" t="s">
        <v>1388</v>
      </c>
      <c r="D38" s="144">
        <v>1205</v>
      </c>
      <c r="E38">
        <f>COUNTIF(tblCharterSchls[AdminNm],tblCharterSchls[[#This Row],[AdminNm]])</f>
        <v>1</v>
      </c>
    </row>
    <row r="39" spans="1:5" x14ac:dyDescent="0.35">
      <c r="A39" s="144" t="s">
        <v>87</v>
      </c>
      <c r="B39" s="144">
        <v>2137</v>
      </c>
      <c r="C39" s="144" t="s">
        <v>1389</v>
      </c>
      <c r="D39" s="144">
        <v>5392</v>
      </c>
      <c r="E39">
        <f>COUNTIF(tblCharterSchls[AdminNm],tblCharterSchls[[#This Row],[AdminNm]])</f>
        <v>1</v>
      </c>
    </row>
    <row r="40" spans="1:5" x14ac:dyDescent="0.35">
      <c r="A40" s="144" t="s">
        <v>89</v>
      </c>
      <c r="B40" s="144">
        <v>2000</v>
      </c>
      <c r="C40" s="144" t="s">
        <v>1390</v>
      </c>
      <c r="D40" s="144">
        <v>307</v>
      </c>
      <c r="E40">
        <f>COUNTIF(tblCharterSchls[AdminNm],tblCharterSchls[[#This Row],[AdminNm]])</f>
        <v>1</v>
      </c>
    </row>
    <row r="41" spans="1:5" x14ac:dyDescent="0.35">
      <c r="A41" s="144" t="s">
        <v>93</v>
      </c>
      <c r="B41" s="144">
        <v>2183</v>
      </c>
      <c r="C41" s="144" t="s">
        <v>1391</v>
      </c>
      <c r="D41" s="144">
        <v>3553</v>
      </c>
      <c r="E41">
        <f>COUNTIF(tblCharterSchls[AdminNm],tblCharterSchls[[#This Row],[AdminNm]])</f>
        <v>4</v>
      </c>
    </row>
    <row r="42" spans="1:5" x14ac:dyDescent="0.35">
      <c r="A42" s="144" t="s">
        <v>93</v>
      </c>
      <c r="B42" s="144">
        <v>2183</v>
      </c>
      <c r="C42" s="144" t="s">
        <v>1392</v>
      </c>
      <c r="D42" s="144">
        <v>4601</v>
      </c>
      <c r="E42">
        <f>COUNTIF(tblCharterSchls[AdminNm],tblCharterSchls[[#This Row],[AdminNm]])</f>
        <v>4</v>
      </c>
    </row>
    <row r="43" spans="1:5" x14ac:dyDescent="0.35">
      <c r="A43" s="144" t="s">
        <v>93</v>
      </c>
      <c r="B43" s="144">
        <v>2183</v>
      </c>
      <c r="C43" s="144" t="s">
        <v>1393</v>
      </c>
      <c r="D43" s="144">
        <v>4667</v>
      </c>
      <c r="E43">
        <f>COUNTIF(tblCharterSchls[AdminNm],tblCharterSchls[[#This Row],[AdminNm]])</f>
        <v>4</v>
      </c>
    </row>
    <row r="44" spans="1:5" x14ac:dyDescent="0.35">
      <c r="A44" s="144" t="s">
        <v>93</v>
      </c>
      <c r="B44" s="144">
        <v>2183</v>
      </c>
      <c r="C44" s="144" t="s">
        <v>1394</v>
      </c>
      <c r="D44" s="144">
        <v>4740</v>
      </c>
      <c r="E44">
        <f>COUNTIF(tblCharterSchls[AdminNm],tblCharterSchls[[#This Row],[AdminNm]])</f>
        <v>4</v>
      </c>
    </row>
    <row r="45" spans="1:5" x14ac:dyDescent="0.35">
      <c r="A45" s="144" t="s">
        <v>95</v>
      </c>
      <c r="B45" s="144">
        <v>2015</v>
      </c>
      <c r="C45" s="144" t="s">
        <v>1395</v>
      </c>
      <c r="D45" s="144">
        <v>5446</v>
      </c>
      <c r="E45">
        <f>COUNTIF(tblCharterSchls[AdminNm],tblCharterSchls[[#This Row],[AdminNm]])</f>
        <v>1</v>
      </c>
    </row>
    <row r="46" spans="1:5" x14ac:dyDescent="0.35">
      <c r="A46" s="144" t="s">
        <v>96</v>
      </c>
      <c r="B46" s="144">
        <v>2023</v>
      </c>
      <c r="C46" s="144" t="s">
        <v>1396</v>
      </c>
      <c r="D46" s="144">
        <v>4702</v>
      </c>
      <c r="E46">
        <f>COUNTIF(tblCharterSchls[AdminNm],tblCharterSchls[[#This Row],[AdminNm]])</f>
        <v>1</v>
      </c>
    </row>
    <row r="47" spans="1:5" x14ac:dyDescent="0.35">
      <c r="A47" s="144" t="s">
        <v>97</v>
      </c>
      <c r="B47" s="144">
        <v>2114</v>
      </c>
      <c r="C47" s="144" t="s">
        <v>1397</v>
      </c>
      <c r="D47" s="144">
        <v>3362</v>
      </c>
      <c r="E47">
        <f>COUNTIF(tblCharterSchls[AdminNm],tblCharterSchls[[#This Row],[AdminNm]])</f>
        <v>1</v>
      </c>
    </row>
    <row r="48" spans="1:5" x14ac:dyDescent="0.35">
      <c r="A48" s="144" t="s">
        <v>99</v>
      </c>
      <c r="B48" s="144">
        <v>2201</v>
      </c>
      <c r="C48" s="144" t="s">
        <v>3173</v>
      </c>
      <c r="D48" s="144">
        <v>3364</v>
      </c>
      <c r="E48">
        <f>COUNTIF(tblCharterSchls[AdminNm],tblCharterSchls[[#This Row],[AdminNm]])</f>
        <v>1</v>
      </c>
    </row>
    <row r="49" spans="1:5" x14ac:dyDescent="0.35">
      <c r="A49" s="144" t="s">
        <v>101</v>
      </c>
      <c r="B49" s="144">
        <v>2239</v>
      </c>
      <c r="C49" s="144" t="s">
        <v>1398</v>
      </c>
      <c r="D49" s="147">
        <v>4206</v>
      </c>
      <c r="E49">
        <f>COUNTIF(tblCharterSchls[AdminNm],tblCharterSchls[[#This Row],[AdminNm]])</f>
        <v>1</v>
      </c>
    </row>
    <row r="50" spans="1:5" x14ac:dyDescent="0.35">
      <c r="A50" s="144" t="s">
        <v>103</v>
      </c>
      <c r="B50" s="144">
        <v>1895</v>
      </c>
      <c r="C50" s="144" t="s">
        <v>1399</v>
      </c>
      <c r="D50" s="144">
        <v>3351</v>
      </c>
      <c r="E50">
        <f>COUNTIF(tblCharterSchls[AdminNm],tblCharterSchls[[#This Row],[AdminNm]])</f>
        <v>1</v>
      </c>
    </row>
    <row r="51" spans="1:5" x14ac:dyDescent="0.35">
      <c r="A51" s="146" t="s">
        <v>104</v>
      </c>
      <c r="B51" s="146">
        <v>2215</v>
      </c>
      <c r="C51" s="146" t="s">
        <v>1400</v>
      </c>
      <c r="D51" s="147">
        <v>1079</v>
      </c>
      <c r="E51">
        <f>COUNTIF(tblCharterSchls[AdminNm],tblCharterSchls[[#This Row],[AdminNm]])</f>
        <v>1</v>
      </c>
    </row>
    <row r="52" spans="1:5" x14ac:dyDescent="0.35">
      <c r="A52" s="144" t="s">
        <v>105</v>
      </c>
      <c r="B52" s="144">
        <v>3997</v>
      </c>
      <c r="C52" s="144" t="s">
        <v>1401</v>
      </c>
      <c r="D52" s="146">
        <v>3363</v>
      </c>
      <c r="E52">
        <f>COUNTIF(tblCharterSchls[AdminNm],tblCharterSchls[[#This Row],[AdminNm]])</f>
        <v>1</v>
      </c>
    </row>
    <row r="53" spans="1:5" x14ac:dyDescent="0.35">
      <c r="A53" s="144" t="s">
        <v>111</v>
      </c>
      <c r="B53" s="144">
        <v>2219</v>
      </c>
      <c r="C53" s="144" t="s">
        <v>1402</v>
      </c>
      <c r="D53" s="146">
        <v>1087</v>
      </c>
      <c r="E53">
        <f>COUNTIF(tblCharterSchls[AdminNm],tblCharterSchls[[#This Row],[AdminNm]])</f>
        <v>1</v>
      </c>
    </row>
    <row r="54" spans="1:5" x14ac:dyDescent="0.35">
      <c r="A54" s="144" t="s">
        <v>115</v>
      </c>
      <c r="B54" s="144">
        <v>2056</v>
      </c>
      <c r="C54" s="144" t="s">
        <v>1403</v>
      </c>
      <c r="D54" s="144">
        <v>4545</v>
      </c>
      <c r="E54">
        <f>COUNTIF(tblCharterSchls[AdminNm],tblCharterSchls[[#This Row],[AdminNm]])</f>
        <v>1</v>
      </c>
    </row>
    <row r="55" spans="1:5" x14ac:dyDescent="0.35">
      <c r="A55" s="144" t="s">
        <v>119</v>
      </c>
      <c r="B55" s="144">
        <v>1923</v>
      </c>
      <c r="C55" s="144" t="s">
        <v>1404</v>
      </c>
      <c r="D55" s="144">
        <v>5455</v>
      </c>
      <c r="E55">
        <f>COUNTIF(tblCharterSchls[AdminNm],tblCharterSchls[[#This Row],[AdminNm]])</f>
        <v>1</v>
      </c>
    </row>
    <row r="56" spans="1:5" x14ac:dyDescent="0.35">
      <c r="A56" s="144" t="s">
        <v>120</v>
      </c>
      <c r="B56" s="144">
        <v>2101</v>
      </c>
      <c r="C56" s="144" t="s">
        <v>1405</v>
      </c>
      <c r="D56" s="144">
        <v>3505</v>
      </c>
      <c r="E56">
        <f>COUNTIF(tblCharterSchls[AdminNm],tblCharterSchls[[#This Row],[AdminNm]])</f>
        <v>1</v>
      </c>
    </row>
    <row r="57" spans="1:5" x14ac:dyDescent="0.35">
      <c r="A57" s="144" t="s">
        <v>121</v>
      </c>
      <c r="B57" s="144">
        <v>2097</v>
      </c>
      <c r="C57" s="144" t="s">
        <v>1406</v>
      </c>
      <c r="D57" s="144">
        <v>3361</v>
      </c>
      <c r="E57">
        <f>COUNTIF(tblCharterSchls[AdminNm],tblCharterSchls[[#This Row],[AdminNm]])</f>
        <v>3</v>
      </c>
    </row>
    <row r="58" spans="1:5" x14ac:dyDescent="0.35">
      <c r="A58" s="144" t="s">
        <v>121</v>
      </c>
      <c r="B58" s="144">
        <v>2097</v>
      </c>
      <c r="C58" s="144" t="s">
        <v>1407</v>
      </c>
      <c r="D58" s="144">
        <v>3240</v>
      </c>
      <c r="E58">
        <f>COUNTIF(tblCharterSchls[AdminNm],tblCharterSchls[[#This Row],[AdminNm]])</f>
        <v>3</v>
      </c>
    </row>
    <row r="59" spans="1:5" x14ac:dyDescent="0.35">
      <c r="A59" s="144" t="s">
        <v>121</v>
      </c>
      <c r="B59" s="144">
        <v>2097</v>
      </c>
      <c r="C59" s="144" t="s">
        <v>1408</v>
      </c>
      <c r="D59" s="144">
        <v>4038</v>
      </c>
      <c r="E59">
        <f>COUNTIF(tblCharterSchls[AdminNm],tblCharterSchls[[#This Row],[AdminNm]])</f>
        <v>3</v>
      </c>
    </row>
    <row r="60" spans="1:5" x14ac:dyDescent="0.35">
      <c r="A60" s="146" t="s">
        <v>123</v>
      </c>
      <c r="B60" s="146">
        <v>2092</v>
      </c>
      <c r="C60" s="146" t="s">
        <v>1409</v>
      </c>
      <c r="D60" s="144">
        <v>5349</v>
      </c>
      <c r="E60">
        <f>COUNTIF(tblCharterSchls[AdminNm],tblCharterSchls[[#This Row],[AdminNm]])</f>
        <v>1</v>
      </c>
    </row>
    <row r="61" spans="1:5" x14ac:dyDescent="0.35">
      <c r="A61" s="144" t="s">
        <v>2095</v>
      </c>
      <c r="B61" s="144">
        <v>2092</v>
      </c>
      <c r="C61" s="144" t="s">
        <v>1410</v>
      </c>
      <c r="D61" s="147">
        <v>5252</v>
      </c>
      <c r="E61">
        <f>COUNTIF(tblCharterSchls[AdminNm],tblCharterSchls[[#This Row],[AdminNm]])</f>
        <v>1</v>
      </c>
    </row>
    <row r="62" spans="1:5" x14ac:dyDescent="0.35">
      <c r="A62" s="144" t="s">
        <v>126</v>
      </c>
      <c r="B62" s="144">
        <v>2094</v>
      </c>
      <c r="C62" s="144" t="s">
        <v>1411</v>
      </c>
      <c r="D62" s="144">
        <v>5444</v>
      </c>
      <c r="E62">
        <f>COUNTIF(tblCharterSchls[AdminNm],tblCharterSchls[[#This Row],[AdminNm]])</f>
        <v>1</v>
      </c>
    </row>
    <row r="63" spans="1:5" x14ac:dyDescent="0.35">
      <c r="A63" s="144" t="s">
        <v>127</v>
      </c>
      <c r="B63" s="144">
        <v>2090</v>
      </c>
      <c r="C63" s="144" t="s">
        <v>1412</v>
      </c>
      <c r="D63" s="144">
        <v>594</v>
      </c>
      <c r="E63">
        <f>COUNTIF(tblCharterSchls[AdminNm],tblCharterSchls[[#This Row],[AdminNm]])</f>
        <v>1</v>
      </c>
    </row>
    <row r="64" spans="1:5" x14ac:dyDescent="0.35">
      <c r="A64" s="144" t="s">
        <v>129</v>
      </c>
      <c r="B64" s="144">
        <v>2048</v>
      </c>
      <c r="C64" s="144" t="s">
        <v>1413</v>
      </c>
      <c r="D64" s="144">
        <v>5205</v>
      </c>
      <c r="E64">
        <f>COUNTIF(tblCharterSchls[AdminNm],tblCharterSchls[[#This Row],[AdminNm]])</f>
        <v>4</v>
      </c>
    </row>
    <row r="65" spans="1:5" x14ac:dyDescent="0.35">
      <c r="A65" s="144" t="s">
        <v>129</v>
      </c>
      <c r="B65" s="144">
        <v>2048</v>
      </c>
      <c r="C65" s="144" t="s">
        <v>2096</v>
      </c>
      <c r="D65" s="144">
        <v>4821</v>
      </c>
      <c r="E65">
        <f>COUNTIF(tblCharterSchls[AdminNm],tblCharterSchls[[#This Row],[AdminNm]])</f>
        <v>4</v>
      </c>
    </row>
    <row r="66" spans="1:5" x14ac:dyDescent="0.35">
      <c r="A66" s="144" t="s">
        <v>129</v>
      </c>
      <c r="B66" s="144">
        <v>2048</v>
      </c>
      <c r="C66" s="144" t="s">
        <v>1414</v>
      </c>
      <c r="D66" s="144">
        <v>4593</v>
      </c>
      <c r="E66">
        <f>COUNTIF(tblCharterSchls[AdminNm],tblCharterSchls[[#This Row],[AdminNm]])</f>
        <v>4</v>
      </c>
    </row>
    <row r="67" spans="1:5" x14ac:dyDescent="0.35">
      <c r="A67" s="146" t="s">
        <v>129</v>
      </c>
      <c r="B67" s="146">
        <v>2048</v>
      </c>
      <c r="C67" s="146" t="s">
        <v>3174</v>
      </c>
      <c r="D67" s="144">
        <v>5304</v>
      </c>
      <c r="E67">
        <f>COUNTIF(tblCharterSchls[AdminNm],tblCharterSchls[[#This Row],[AdminNm]])</f>
        <v>4</v>
      </c>
    </row>
    <row r="68" spans="1:5" x14ac:dyDescent="0.35">
      <c r="A68" s="144" t="s">
        <v>131</v>
      </c>
      <c r="B68" s="144">
        <v>2249</v>
      </c>
      <c r="C68" s="144" t="s">
        <v>1415</v>
      </c>
      <c r="D68" s="144">
        <v>5440</v>
      </c>
      <c r="E68">
        <f>COUNTIF(tblCharterSchls[AdminNm],tblCharterSchls[[#This Row],[AdminNm]])</f>
        <v>3</v>
      </c>
    </row>
    <row r="69" spans="1:5" x14ac:dyDescent="0.35">
      <c r="A69" s="144" t="s">
        <v>131</v>
      </c>
      <c r="B69" s="144">
        <v>2249</v>
      </c>
      <c r="C69" s="144" t="s">
        <v>1416</v>
      </c>
      <c r="D69" s="144">
        <v>5441</v>
      </c>
      <c r="E69">
        <f>COUNTIF(tblCharterSchls[AdminNm],tblCharterSchls[[#This Row],[AdminNm]])</f>
        <v>3</v>
      </c>
    </row>
    <row r="70" spans="1:5" x14ac:dyDescent="0.35">
      <c r="A70" s="144" t="s">
        <v>131</v>
      </c>
      <c r="B70" s="144">
        <v>2249</v>
      </c>
      <c r="C70" s="146" t="s">
        <v>1417</v>
      </c>
      <c r="D70" s="144">
        <v>5150</v>
      </c>
      <c r="E70">
        <f>COUNTIF(tblCharterSchls[AdminNm],tblCharterSchls[[#This Row],[AdminNm]])</f>
        <v>3</v>
      </c>
    </row>
    <row r="71" spans="1:5" x14ac:dyDescent="0.35">
      <c r="A71" s="144" t="s">
        <v>132</v>
      </c>
      <c r="B71" s="144">
        <v>1925</v>
      </c>
      <c r="C71" s="144" t="s">
        <v>1418</v>
      </c>
      <c r="D71" s="144">
        <v>4745</v>
      </c>
      <c r="E71">
        <f>COUNTIF(tblCharterSchls[AdminNm],tblCharterSchls[[#This Row],[AdminNm]])</f>
        <v>1</v>
      </c>
    </row>
    <row r="72" spans="1:5" x14ac:dyDescent="0.35">
      <c r="A72" s="144" t="s">
        <v>141</v>
      </c>
      <c r="B72" s="144">
        <v>1966</v>
      </c>
      <c r="C72" s="144" t="s">
        <v>2097</v>
      </c>
      <c r="D72" s="144">
        <v>4690</v>
      </c>
      <c r="E72">
        <f>COUNTIF(tblCharterSchls[AdminNm],tblCharterSchls[[#This Row],[AdminNm]])</f>
        <v>1</v>
      </c>
    </row>
    <row r="73" spans="1:5" x14ac:dyDescent="0.35">
      <c r="A73" s="144" t="s">
        <v>142</v>
      </c>
      <c r="B73" s="144">
        <v>1924</v>
      </c>
      <c r="C73" s="144" t="s">
        <v>1419</v>
      </c>
      <c r="D73" s="144">
        <v>4475</v>
      </c>
      <c r="E73">
        <f>COUNTIF(tblCharterSchls[AdminNm],tblCharterSchls[[#This Row],[AdminNm]])</f>
        <v>1</v>
      </c>
    </row>
    <row r="74" spans="1:5" x14ac:dyDescent="0.35">
      <c r="A74" s="144" t="s">
        <v>2098</v>
      </c>
      <c r="B74" s="144">
        <v>1924</v>
      </c>
      <c r="C74" s="144" t="s">
        <v>1420</v>
      </c>
      <c r="D74" s="144">
        <v>4226</v>
      </c>
      <c r="E74">
        <f>COUNTIF(tblCharterSchls[AdminNm],tblCharterSchls[[#This Row],[AdminNm]])</f>
        <v>1</v>
      </c>
    </row>
    <row r="75" spans="1:5" x14ac:dyDescent="0.35">
      <c r="A75" s="144" t="s">
        <v>2099</v>
      </c>
      <c r="B75" s="144">
        <v>1924</v>
      </c>
      <c r="C75" s="144" t="s">
        <v>1421</v>
      </c>
      <c r="D75" s="144">
        <v>4223</v>
      </c>
      <c r="E75">
        <f>COUNTIF(tblCharterSchls[AdminNm],tblCharterSchls[[#This Row],[AdminNm]])</f>
        <v>1</v>
      </c>
    </row>
    <row r="76" spans="1:5" x14ac:dyDescent="0.35">
      <c r="A76" s="144" t="s">
        <v>2100</v>
      </c>
      <c r="B76" s="144">
        <v>1924</v>
      </c>
      <c r="C76" s="144" t="s">
        <v>1422</v>
      </c>
      <c r="D76" s="144">
        <v>4369</v>
      </c>
      <c r="E76">
        <f>COUNTIF(tblCharterSchls[AdminNm],tblCharterSchls[[#This Row],[AdminNm]])</f>
        <v>1</v>
      </c>
    </row>
    <row r="77" spans="1:5" x14ac:dyDescent="0.35">
      <c r="A77" s="144" t="s">
        <v>146</v>
      </c>
      <c r="B77" s="144">
        <v>2214</v>
      </c>
      <c r="C77" s="144" t="s">
        <v>1423</v>
      </c>
      <c r="D77" s="144">
        <v>3365</v>
      </c>
      <c r="E77">
        <f>COUNTIF(tblCharterSchls[AdminNm],tblCharterSchls[[#This Row],[AdminNm]])</f>
        <v>1</v>
      </c>
    </row>
    <row r="78" spans="1:5" x14ac:dyDescent="0.35">
      <c r="A78" s="144" t="s">
        <v>148</v>
      </c>
      <c r="B78" s="144">
        <v>4131</v>
      </c>
      <c r="C78" s="144" t="s">
        <v>1424</v>
      </c>
      <c r="D78" s="144">
        <v>1095</v>
      </c>
      <c r="E78">
        <f>COUNTIF(tblCharterSchls[AdminNm],tblCharterSchls[[#This Row],[AdminNm]])</f>
        <v>1</v>
      </c>
    </row>
    <row r="79" spans="1:5" x14ac:dyDescent="0.35">
      <c r="A79" s="144" t="s">
        <v>152</v>
      </c>
      <c r="B79" s="144">
        <v>2336</v>
      </c>
      <c r="C79" s="144" t="s">
        <v>3175</v>
      </c>
      <c r="D79" s="144">
        <v>4040</v>
      </c>
      <c r="E79">
        <f>COUNTIF(tblCharterSchls[AdminNm],tblCharterSchls[[#This Row],[AdminNm]])</f>
        <v>1</v>
      </c>
    </row>
    <row r="80" spans="1:5" x14ac:dyDescent="0.35">
      <c r="A80" s="144" t="s">
        <v>153</v>
      </c>
      <c r="B80" s="144">
        <v>1928</v>
      </c>
      <c r="C80" s="144" t="s">
        <v>1425</v>
      </c>
      <c r="D80" s="144">
        <v>4585</v>
      </c>
      <c r="E80">
        <f>COUNTIF(tblCharterSchls[AdminNm],tblCharterSchls[[#This Row],[AdminNm]])</f>
        <v>1</v>
      </c>
    </row>
    <row r="81" spans="1:5" x14ac:dyDescent="0.35">
      <c r="A81" s="144" t="s">
        <v>3170</v>
      </c>
      <c r="B81" s="144">
        <v>1928</v>
      </c>
      <c r="C81" s="144" t="s">
        <v>1426</v>
      </c>
      <c r="D81" s="144">
        <v>4802</v>
      </c>
      <c r="E81">
        <f>COUNTIF(tblCharterSchls[AdminNm],tblCharterSchls[[#This Row],[AdminNm]])</f>
        <v>1</v>
      </c>
    </row>
    <row r="82" spans="1:5" x14ac:dyDescent="0.35">
      <c r="A82" s="144" t="s">
        <v>3171</v>
      </c>
      <c r="B82" s="144">
        <v>1928</v>
      </c>
      <c r="C82" s="144" t="s">
        <v>1427</v>
      </c>
      <c r="D82" s="144">
        <v>2735</v>
      </c>
      <c r="E82">
        <f>COUNTIF(tblCharterSchls[AdminNm],tblCharterSchls[[#This Row],[AdminNm]])</f>
        <v>1</v>
      </c>
    </row>
    <row r="83" spans="1:5" x14ac:dyDescent="0.35">
      <c r="A83" s="144" t="s">
        <v>3172</v>
      </c>
      <c r="B83" s="144">
        <v>1928</v>
      </c>
      <c r="C83" s="144" t="s">
        <v>1428</v>
      </c>
      <c r="D83" s="144">
        <v>4480</v>
      </c>
      <c r="E83">
        <f>COUNTIF(tblCharterSchls[AdminNm],tblCharterSchls[[#This Row],[AdminNm]])</f>
        <v>1</v>
      </c>
    </row>
    <row r="84" spans="1:5" x14ac:dyDescent="0.35">
      <c r="A84" s="144" t="s">
        <v>154</v>
      </c>
      <c r="B84" s="144">
        <v>1926</v>
      </c>
      <c r="C84" s="144" t="s">
        <v>1429</v>
      </c>
      <c r="D84" s="144">
        <v>4820</v>
      </c>
      <c r="E84">
        <f>COUNTIF(tblCharterSchls[AdminNm],tblCharterSchls[[#This Row],[AdminNm]])</f>
        <v>1</v>
      </c>
    </row>
    <row r="85" spans="1:5" x14ac:dyDescent="0.35">
      <c r="A85" s="144" t="s">
        <v>155</v>
      </c>
      <c r="B85" s="144">
        <v>2060</v>
      </c>
      <c r="C85" s="144" t="s">
        <v>1430</v>
      </c>
      <c r="D85" s="144">
        <v>3360</v>
      </c>
      <c r="E85">
        <f>COUNTIF(tblCharterSchls[AdminNm],tblCharterSchls[[#This Row],[AdminNm]])</f>
        <v>1</v>
      </c>
    </row>
    <row r="86" spans="1:5" x14ac:dyDescent="0.35">
      <c r="A86" s="144" t="s">
        <v>157</v>
      </c>
      <c r="B86" s="144">
        <v>2207</v>
      </c>
      <c r="C86" s="144" t="s">
        <v>1431</v>
      </c>
      <c r="D86" s="147">
        <v>4202</v>
      </c>
      <c r="E86">
        <f>COUNTIF(tblCharterSchls[AdminNm],tblCharterSchls[[#This Row],[AdminNm]])</f>
        <v>1</v>
      </c>
    </row>
    <row r="87" spans="1:5" x14ac:dyDescent="0.35">
      <c r="A87" s="144" t="s">
        <v>160</v>
      </c>
      <c r="B87" s="144">
        <v>1900</v>
      </c>
      <c r="C87" s="144" t="s">
        <v>1432</v>
      </c>
      <c r="D87" s="144">
        <v>3440</v>
      </c>
      <c r="E87">
        <f>COUNTIF(tblCharterSchls[AdminNm],tblCharterSchls[[#This Row],[AdminNm]])</f>
        <v>1</v>
      </c>
    </row>
    <row r="88" spans="1:5" x14ac:dyDescent="0.35">
      <c r="A88" s="144" t="s">
        <v>161</v>
      </c>
      <c r="B88" s="144">
        <v>2039</v>
      </c>
      <c r="C88" s="144" t="s">
        <v>3176</v>
      </c>
      <c r="D88" s="144">
        <v>3247</v>
      </c>
      <c r="E88">
        <f>COUNTIF(tblCharterSchls[AdminNm],tblCharterSchls[[#This Row],[AdminNm]])</f>
        <v>1</v>
      </c>
    </row>
    <row r="89" spans="1:5" x14ac:dyDescent="0.35">
      <c r="A89" s="144" t="s">
        <v>164</v>
      </c>
      <c r="B89" s="144">
        <v>1897</v>
      </c>
      <c r="C89" s="144" t="s">
        <v>1433</v>
      </c>
      <c r="D89" s="144">
        <v>15</v>
      </c>
      <c r="E89">
        <f>COUNTIF(tblCharterSchls[AdminNm],tblCharterSchls[[#This Row],[AdminNm]])</f>
        <v>1</v>
      </c>
    </row>
    <row r="90" spans="1:5" x14ac:dyDescent="0.35">
      <c r="A90" s="144" t="s">
        <v>169</v>
      </c>
      <c r="B90" s="144">
        <v>2336</v>
      </c>
      <c r="C90" s="144" t="s">
        <v>3177</v>
      </c>
      <c r="D90" s="144">
        <v>4604</v>
      </c>
      <c r="E90">
        <f>COUNTIF(tblCharterSchls[AdminNm],tblCharterSchls[[#This Row],[AdminNm]])</f>
        <v>7</v>
      </c>
    </row>
    <row r="91" spans="1:5" x14ac:dyDescent="0.35">
      <c r="A91" s="144" t="s">
        <v>169</v>
      </c>
      <c r="B91" s="144">
        <v>2180</v>
      </c>
      <c r="C91" s="144" t="s">
        <v>1434</v>
      </c>
      <c r="D91" s="144">
        <v>3991</v>
      </c>
      <c r="E91">
        <f>COUNTIF(tblCharterSchls[AdminNm],tblCharterSchls[[#This Row],[AdminNm]])</f>
        <v>7</v>
      </c>
    </row>
    <row r="92" spans="1:5" x14ac:dyDescent="0.35">
      <c r="A92" s="144" t="s">
        <v>169</v>
      </c>
      <c r="B92" s="144">
        <v>2336</v>
      </c>
      <c r="C92" s="144" t="s">
        <v>3178</v>
      </c>
      <c r="D92" s="144">
        <v>4720</v>
      </c>
      <c r="E92">
        <f>COUNTIF(tblCharterSchls[AdminNm],tblCharterSchls[[#This Row],[AdminNm]])</f>
        <v>7</v>
      </c>
    </row>
    <row r="93" spans="1:5" x14ac:dyDescent="0.35">
      <c r="A93" s="144" t="s">
        <v>169</v>
      </c>
      <c r="B93" s="144">
        <v>2180</v>
      </c>
      <c r="C93" s="144" t="s">
        <v>1435</v>
      </c>
      <c r="D93" s="144">
        <v>5218</v>
      </c>
      <c r="E93">
        <f>COUNTIF(tblCharterSchls[AdminNm],tblCharterSchls[[#This Row],[AdminNm]])</f>
        <v>7</v>
      </c>
    </row>
    <row r="94" spans="1:5" x14ac:dyDescent="0.35">
      <c r="A94" s="144" t="s">
        <v>169</v>
      </c>
      <c r="B94" s="144">
        <v>2180</v>
      </c>
      <c r="C94" s="144" t="s">
        <v>1436</v>
      </c>
      <c r="D94" s="144">
        <v>5060</v>
      </c>
      <c r="E94">
        <f>COUNTIF(tblCharterSchls[AdminNm],tblCharterSchls[[#This Row],[AdminNm]])</f>
        <v>7</v>
      </c>
    </row>
    <row r="95" spans="1:5" x14ac:dyDescent="0.35">
      <c r="A95" s="144" t="s">
        <v>169</v>
      </c>
      <c r="B95" s="144">
        <v>2180</v>
      </c>
      <c r="C95" s="144" t="s">
        <v>1437</v>
      </c>
      <c r="D95" s="144">
        <v>4400</v>
      </c>
      <c r="E95">
        <f>COUNTIF(tblCharterSchls[AdminNm],tblCharterSchls[[#This Row],[AdminNm]])</f>
        <v>7</v>
      </c>
    </row>
    <row r="96" spans="1:5" x14ac:dyDescent="0.35">
      <c r="A96" s="144" t="s">
        <v>169</v>
      </c>
      <c r="B96" s="144">
        <v>2180</v>
      </c>
      <c r="C96" s="144" t="s">
        <v>1438</v>
      </c>
      <c r="D96" s="144">
        <v>4534</v>
      </c>
      <c r="E96">
        <f>COUNTIF(tblCharterSchls[AdminNm],tblCharterSchls[[#This Row],[AdminNm]])</f>
        <v>7</v>
      </c>
    </row>
    <row r="97" spans="1:5" x14ac:dyDescent="0.35">
      <c r="A97" s="144" t="s">
        <v>171</v>
      </c>
      <c r="B97" s="144">
        <v>2009</v>
      </c>
      <c r="C97" s="144" t="s">
        <v>1449</v>
      </c>
      <c r="D97" s="144">
        <v>5622</v>
      </c>
      <c r="E97">
        <f>COUNTIF(tblCharterSchls[AdminNm],tblCharterSchls[[#This Row],[AdminNm]])</f>
        <v>2</v>
      </c>
    </row>
    <row r="98" spans="1:5" x14ac:dyDescent="0.35">
      <c r="A98" s="146" t="s">
        <v>171</v>
      </c>
      <c r="B98" s="146">
        <v>2009</v>
      </c>
      <c r="C98" s="146" t="s">
        <v>2101</v>
      </c>
      <c r="D98" s="144">
        <v>5809</v>
      </c>
      <c r="E98">
        <f>COUNTIF(tblCharterSchls[AdminNm],tblCharterSchls[[#This Row],[AdminNm]])</f>
        <v>2</v>
      </c>
    </row>
    <row r="99" spans="1:5" x14ac:dyDescent="0.35">
      <c r="A99" s="144" t="s">
        <v>172</v>
      </c>
      <c r="B99" s="144">
        <v>2045</v>
      </c>
      <c r="C99" s="144" t="s">
        <v>1439</v>
      </c>
      <c r="D99" s="144">
        <v>3356</v>
      </c>
      <c r="E99">
        <f>COUNTIF(tblCharterSchls[AdminNm],tblCharterSchls[[#This Row],[AdminNm]])</f>
        <v>1</v>
      </c>
    </row>
    <row r="100" spans="1:5" x14ac:dyDescent="0.35">
      <c r="A100" s="144" t="s">
        <v>174</v>
      </c>
      <c r="B100" s="144">
        <v>1977</v>
      </c>
      <c r="C100" s="144" t="s">
        <v>1440</v>
      </c>
      <c r="D100" s="144">
        <v>4729</v>
      </c>
      <c r="E100">
        <f>COUNTIF(tblCharterSchls[AdminNm],tblCharterSchls[[#This Row],[AdminNm]])</f>
        <v>1</v>
      </c>
    </row>
    <row r="101" spans="1:5" x14ac:dyDescent="0.35">
      <c r="A101" s="144" t="s">
        <v>175</v>
      </c>
      <c r="B101" s="144">
        <v>2001</v>
      </c>
      <c r="C101" s="144" t="s">
        <v>1441</v>
      </c>
      <c r="D101" s="144">
        <v>310</v>
      </c>
      <c r="E101">
        <f>COUNTIF(tblCharterSchls[AdminNm],tblCharterSchls[[#This Row],[AdminNm]])</f>
        <v>1</v>
      </c>
    </row>
    <row r="102" spans="1:5" x14ac:dyDescent="0.35">
      <c r="A102" s="144" t="s">
        <v>176</v>
      </c>
      <c r="B102" s="144">
        <v>2182</v>
      </c>
      <c r="C102" s="144" t="s">
        <v>3179</v>
      </c>
      <c r="D102" s="144">
        <v>5732</v>
      </c>
      <c r="E102">
        <f>COUNTIF(tblCharterSchls[AdminNm],tblCharterSchls[[#This Row],[AdminNm]])</f>
        <v>2</v>
      </c>
    </row>
    <row r="103" spans="1:5" x14ac:dyDescent="0.35">
      <c r="A103" s="144" t="s">
        <v>176</v>
      </c>
      <c r="B103" s="144">
        <v>2182</v>
      </c>
      <c r="C103" s="144" t="s">
        <v>3180</v>
      </c>
      <c r="D103" s="144">
        <v>3490</v>
      </c>
      <c r="E103">
        <f>COUNTIF(tblCharterSchls[AdminNm],tblCharterSchls[[#This Row],[AdminNm]])</f>
        <v>2</v>
      </c>
    </row>
    <row r="104" spans="1:5" x14ac:dyDescent="0.35">
      <c r="A104" s="144" t="s">
        <v>2102</v>
      </c>
      <c r="B104" s="144">
        <v>2182</v>
      </c>
      <c r="C104" s="144" t="s">
        <v>1442</v>
      </c>
      <c r="D104" s="144">
        <v>4216</v>
      </c>
      <c r="E104">
        <f>COUNTIF(tblCharterSchls[AdminNm],tblCharterSchls[[#This Row],[AdminNm]])</f>
        <v>1</v>
      </c>
    </row>
    <row r="105" spans="1:5" x14ac:dyDescent="0.35">
      <c r="A105" s="144" t="s">
        <v>2103</v>
      </c>
      <c r="B105" s="144">
        <v>2182</v>
      </c>
      <c r="C105" s="144" t="s">
        <v>1443</v>
      </c>
      <c r="D105" s="144">
        <v>4822</v>
      </c>
      <c r="E105">
        <f>COUNTIF(tblCharterSchls[AdminNm],tblCharterSchls[[#This Row],[AdminNm]])</f>
        <v>1</v>
      </c>
    </row>
    <row r="106" spans="1:5" x14ac:dyDescent="0.35">
      <c r="A106" s="144" t="s">
        <v>179</v>
      </c>
      <c r="B106" s="144">
        <v>2044</v>
      </c>
      <c r="C106" s="144" t="s">
        <v>1444</v>
      </c>
      <c r="D106" s="144">
        <v>4856</v>
      </c>
      <c r="E106">
        <f>COUNTIF(tblCharterSchls[AdminNm],tblCharterSchls[[#This Row],[AdminNm]])</f>
        <v>1</v>
      </c>
    </row>
    <row r="107" spans="1:5" x14ac:dyDescent="0.35">
      <c r="A107" s="144" t="s">
        <v>180</v>
      </c>
      <c r="B107" s="144">
        <v>2336</v>
      </c>
      <c r="C107" s="144" t="s">
        <v>3181</v>
      </c>
      <c r="D107" s="144">
        <v>4850</v>
      </c>
      <c r="E107">
        <f>COUNTIF(tblCharterSchls[AdminNm],tblCharterSchls[[#This Row],[AdminNm]])</f>
        <v>5</v>
      </c>
    </row>
    <row r="108" spans="1:5" x14ac:dyDescent="0.35">
      <c r="A108" s="144" t="s">
        <v>180</v>
      </c>
      <c r="B108" s="144">
        <v>2142</v>
      </c>
      <c r="C108" s="144" t="s">
        <v>1445</v>
      </c>
      <c r="D108" s="144">
        <v>1358</v>
      </c>
      <c r="E108">
        <f>COUNTIF(tblCharterSchls[AdminNm],tblCharterSchls[[#This Row],[AdminNm]])</f>
        <v>5</v>
      </c>
    </row>
    <row r="109" spans="1:5" x14ac:dyDescent="0.35">
      <c r="A109" s="144" t="s">
        <v>180</v>
      </c>
      <c r="B109" s="144">
        <v>2142</v>
      </c>
      <c r="C109" s="144" t="s">
        <v>1446</v>
      </c>
      <c r="D109" s="146">
        <v>4210</v>
      </c>
      <c r="E109">
        <f>COUNTIF(tblCharterSchls[AdminNm],tblCharterSchls[[#This Row],[AdminNm]])</f>
        <v>5</v>
      </c>
    </row>
    <row r="110" spans="1:5" x14ac:dyDescent="0.35">
      <c r="A110" s="144" t="s">
        <v>180</v>
      </c>
      <c r="B110" s="144">
        <v>2142</v>
      </c>
      <c r="C110" s="144" t="s">
        <v>1447</v>
      </c>
      <c r="D110" s="144">
        <v>3528</v>
      </c>
      <c r="E110">
        <f>COUNTIF(tblCharterSchls[AdminNm],tblCharterSchls[[#This Row],[AdminNm]])</f>
        <v>5</v>
      </c>
    </row>
    <row r="111" spans="1:5" x14ac:dyDescent="0.35">
      <c r="A111" s="146" t="s">
        <v>180</v>
      </c>
      <c r="B111" s="144">
        <v>2142</v>
      </c>
      <c r="C111" s="146" t="s">
        <v>1448</v>
      </c>
      <c r="D111" s="144">
        <v>4390</v>
      </c>
      <c r="E111">
        <f>COUNTIF(tblCharterSchls[AdminNm],tblCharterSchls[[#This Row],[AdminNm]])</f>
        <v>5</v>
      </c>
    </row>
    <row r="112" spans="1:5" x14ac:dyDescent="0.35">
      <c r="A112" s="144" t="s">
        <v>181</v>
      </c>
      <c r="B112" s="144">
        <v>2104</v>
      </c>
      <c r="C112" s="144" t="s">
        <v>1782</v>
      </c>
      <c r="D112" s="144">
        <v>4399</v>
      </c>
      <c r="E112">
        <f>COUNTIF(tblCharterSchls[AdminNm],tblCharterSchls[[#This Row],[AdminNm]])</f>
        <v>1</v>
      </c>
    </row>
    <row r="113" spans="1:5" x14ac:dyDescent="0.35">
      <c r="A113" s="144" t="s">
        <v>182</v>
      </c>
      <c r="B113" s="144">
        <v>1944</v>
      </c>
      <c r="C113" s="144" t="s">
        <v>1450</v>
      </c>
      <c r="D113" s="144">
        <v>958</v>
      </c>
      <c r="E113">
        <f>COUNTIF(tblCharterSchls[AdminNm],tblCharterSchls[[#This Row],[AdminNm]])</f>
        <v>2</v>
      </c>
    </row>
    <row r="114" spans="1:5" x14ac:dyDescent="0.35">
      <c r="A114" s="144" t="s">
        <v>182</v>
      </c>
      <c r="B114" s="144">
        <v>1944</v>
      </c>
      <c r="C114" s="144" t="s">
        <v>1451</v>
      </c>
      <c r="D114" s="144">
        <v>4221</v>
      </c>
      <c r="E114">
        <f>COUNTIF(tblCharterSchls[AdminNm],tblCharterSchls[[#This Row],[AdminNm]])</f>
        <v>2</v>
      </c>
    </row>
    <row r="115" spans="1:5" x14ac:dyDescent="0.35">
      <c r="A115" s="144" t="s">
        <v>2104</v>
      </c>
      <c r="B115" s="144">
        <v>2103</v>
      </c>
      <c r="C115" s="146" t="s">
        <v>1453</v>
      </c>
      <c r="D115" s="144">
        <v>5457</v>
      </c>
      <c r="E115">
        <f>COUNTIF(tblCharterSchls[AdminNm],tblCharterSchls[[#This Row],[AdminNm]])</f>
        <v>1</v>
      </c>
    </row>
    <row r="116" spans="1:5" x14ac:dyDescent="0.35">
      <c r="A116" s="144" t="s">
        <v>2105</v>
      </c>
      <c r="B116" s="144">
        <v>2103</v>
      </c>
      <c r="C116" s="144" t="s">
        <v>1452</v>
      </c>
      <c r="D116" s="144">
        <v>2994</v>
      </c>
      <c r="E116">
        <f>COUNTIF(tblCharterSchls[AdminNm],tblCharterSchls[[#This Row],[AdminNm]])</f>
        <v>1</v>
      </c>
    </row>
    <row r="117" spans="1:5" x14ac:dyDescent="0.35">
      <c r="A117" s="144" t="s">
        <v>184</v>
      </c>
      <c r="B117" s="144">
        <v>1935</v>
      </c>
      <c r="C117" s="144" t="s">
        <v>3182</v>
      </c>
      <c r="D117" s="144">
        <v>5385</v>
      </c>
      <c r="E117">
        <f>COUNTIF(tblCharterSchls[AdminNm],tblCharterSchls[[#This Row],[AdminNm]])</f>
        <v>1</v>
      </c>
    </row>
    <row r="118" spans="1:5" x14ac:dyDescent="0.35">
      <c r="A118" s="144" t="s">
        <v>185</v>
      </c>
      <c r="B118" s="144">
        <v>2257</v>
      </c>
      <c r="C118" s="144" t="s">
        <v>1454</v>
      </c>
      <c r="D118" s="144">
        <v>4833</v>
      </c>
      <c r="E118">
        <f>COUNTIF(tblCharterSchls[AdminNm],tblCharterSchls[[#This Row],[AdminNm]])</f>
        <v>1</v>
      </c>
    </row>
    <row r="119" spans="1:5" x14ac:dyDescent="0.35">
      <c r="A119" s="144" t="s">
        <v>187</v>
      </c>
      <c r="B119" s="144">
        <v>2244</v>
      </c>
      <c r="C119" s="144" t="s">
        <v>1455</v>
      </c>
      <c r="D119" s="146">
        <v>4220</v>
      </c>
      <c r="E119">
        <f>COUNTIF(tblCharterSchls[AdminNm],tblCharterSchls[[#This Row],[AdminNm]])</f>
        <v>1</v>
      </c>
    </row>
    <row r="120" spans="1:5" x14ac:dyDescent="0.35">
      <c r="A120" s="144" t="s">
        <v>188</v>
      </c>
      <c r="B120" s="144">
        <v>2138</v>
      </c>
      <c r="C120" s="144" t="s">
        <v>1456</v>
      </c>
      <c r="D120" s="146">
        <v>784</v>
      </c>
      <c r="E120">
        <f>COUNTIF(tblCharterSchls[AdminNm],tblCharterSchls[[#This Row],[AdminNm]])</f>
        <v>2</v>
      </c>
    </row>
    <row r="121" spans="1:5" x14ac:dyDescent="0.35">
      <c r="A121" s="144" t="s">
        <v>188</v>
      </c>
      <c r="B121" s="144">
        <v>2138</v>
      </c>
      <c r="C121" s="144" t="s">
        <v>3183</v>
      </c>
      <c r="D121" s="146">
        <v>4746</v>
      </c>
      <c r="E121">
        <f>COUNTIF(tblCharterSchls[AdminNm],tblCharterSchls[[#This Row],[AdminNm]])</f>
        <v>2</v>
      </c>
    </row>
    <row r="122" spans="1:5" x14ac:dyDescent="0.35">
      <c r="A122" s="144" t="s">
        <v>192</v>
      </c>
      <c r="B122" s="144">
        <v>2087</v>
      </c>
      <c r="C122" s="144" t="s">
        <v>1457</v>
      </c>
      <c r="D122" s="146">
        <v>4555</v>
      </c>
      <c r="E122">
        <f>COUNTIF(tblCharterSchls[AdminNm],tblCharterSchls[[#This Row],[AdminNm]])</f>
        <v>1</v>
      </c>
    </row>
    <row r="123" spans="1:5" x14ac:dyDescent="0.35">
      <c r="A123" s="144" t="s">
        <v>2106</v>
      </c>
      <c r="B123" s="144">
        <v>2087</v>
      </c>
      <c r="C123" s="144" t="s">
        <v>1458</v>
      </c>
      <c r="D123" s="146">
        <v>4395</v>
      </c>
      <c r="E123">
        <f>COUNTIF(tblCharterSchls[AdminNm],tblCharterSchls[[#This Row],[AdminNm]])</f>
        <v>1</v>
      </c>
    </row>
    <row r="124" spans="1:5" x14ac:dyDescent="0.35">
      <c r="A124" s="146" t="s">
        <v>196</v>
      </c>
      <c r="B124" s="146">
        <v>2083</v>
      </c>
      <c r="C124" s="146" t="s">
        <v>1459</v>
      </c>
      <c r="D124" s="146">
        <v>4058</v>
      </c>
      <c r="E124">
        <f>COUNTIF(tblCharterSchls[AdminNm],tblCharterSchls[[#This Row],[AdminNm]])</f>
        <v>1</v>
      </c>
    </row>
    <row r="125" spans="1:5" x14ac:dyDescent="0.35">
      <c r="A125" s="144" t="s">
        <v>197</v>
      </c>
      <c r="B125" s="144">
        <v>1948</v>
      </c>
      <c r="C125" s="144" t="s">
        <v>1460</v>
      </c>
      <c r="D125" s="146">
        <v>4602</v>
      </c>
      <c r="E125">
        <f>COUNTIF(tblCharterSchls[AdminNm],tblCharterSchls[[#This Row],[AdminNm]])</f>
        <v>1</v>
      </c>
    </row>
    <row r="126" spans="1:5" x14ac:dyDescent="0.35">
      <c r="A126" s="144" t="s">
        <v>202</v>
      </c>
      <c r="B126" s="144">
        <v>2102</v>
      </c>
      <c r="C126" s="144" t="s">
        <v>1461</v>
      </c>
      <c r="D126" s="146">
        <v>4484</v>
      </c>
      <c r="E126">
        <f>COUNTIF(tblCharterSchls[AdminNm],tblCharterSchls[[#This Row],[AdminNm]])</f>
        <v>1</v>
      </c>
    </row>
    <row r="127" spans="1:5" x14ac:dyDescent="0.35">
      <c r="A127" s="144" t="s">
        <v>203</v>
      </c>
      <c r="B127" s="144">
        <v>2055</v>
      </c>
      <c r="C127" s="144" t="s">
        <v>3184</v>
      </c>
      <c r="D127" s="145">
        <v>5821</v>
      </c>
      <c r="E127">
        <f>COUNTIF(tblCharterSchls[AdminNm],tblCharterSchls[[#This Row],[AdminNm]])</f>
        <v>3</v>
      </c>
    </row>
    <row r="128" spans="1:5" x14ac:dyDescent="0.35">
      <c r="A128" s="144" t="s">
        <v>203</v>
      </c>
      <c r="B128" s="144">
        <v>2055</v>
      </c>
      <c r="C128" s="144" t="s">
        <v>1462</v>
      </c>
      <c r="D128" s="146">
        <v>4823</v>
      </c>
      <c r="E128">
        <f>COUNTIF(tblCharterSchls[AdminNm],tblCharterSchls[[#This Row],[AdminNm]])</f>
        <v>3</v>
      </c>
    </row>
    <row r="129" spans="1:5" x14ac:dyDescent="0.35">
      <c r="A129" s="144" t="s">
        <v>203</v>
      </c>
      <c r="B129" s="144">
        <v>2055</v>
      </c>
      <c r="C129" s="146" t="s">
        <v>1463</v>
      </c>
      <c r="D129" s="146">
        <v>5063</v>
      </c>
      <c r="E129">
        <f>COUNTIF(tblCharterSchls[AdminNm],tblCharterSchls[[#This Row],[AdminNm]])</f>
        <v>3</v>
      </c>
    </row>
    <row r="130" spans="1:5" x14ac:dyDescent="0.35">
      <c r="A130" s="144" t="s">
        <v>204</v>
      </c>
      <c r="B130" s="144">
        <v>2242</v>
      </c>
      <c r="C130" s="144" t="s">
        <v>2107</v>
      </c>
      <c r="D130" s="146">
        <v>3579</v>
      </c>
      <c r="E130">
        <f>COUNTIF(tblCharterSchls[AdminNm],tblCharterSchls[[#This Row],[AdminNm]])</f>
        <v>1</v>
      </c>
    </row>
    <row r="131" spans="1:5" x14ac:dyDescent="0.35">
      <c r="A131" s="144" t="s">
        <v>214</v>
      </c>
      <c r="B131" s="144">
        <v>1922</v>
      </c>
      <c r="C131" s="144" t="s">
        <v>1464</v>
      </c>
      <c r="D131" s="146">
        <v>3452</v>
      </c>
      <c r="E131">
        <f>COUNTIF(tblCharterSchls[AdminNm],tblCharterSchls[[#This Row],[AdminNm]])</f>
        <v>1</v>
      </c>
    </row>
    <row r="132" spans="1:5" x14ac:dyDescent="0.35">
      <c r="A132" s="146" t="s">
        <v>217</v>
      </c>
      <c r="B132" s="146">
        <v>2146</v>
      </c>
      <c r="C132" s="146" t="s">
        <v>1465</v>
      </c>
      <c r="D132" s="146">
        <v>4230</v>
      </c>
      <c r="E132">
        <f>COUNTIF(tblCharterSchls[AdminNm],tblCharterSchls[[#This Row],[AdminNm]])</f>
        <v>1</v>
      </c>
    </row>
  </sheetData>
  <sheetProtection selectLockedCells="1" selectUnlockedCells="1"/>
  <conditionalFormatting sqref="A2:A132">
    <cfRule type="expression" dxfId="88" priority="5">
      <formula>NOT(ISBLANK($F2))</formula>
    </cfRule>
  </conditionalFormatting>
  <conditionalFormatting sqref="B2:B132">
    <cfRule type="expression" dxfId="87" priority="3">
      <formula>NOT(ISBLANK($F2))</formula>
    </cfRule>
  </conditionalFormatting>
  <conditionalFormatting sqref="C2:C132">
    <cfRule type="expression" dxfId="86" priority="1">
      <formula>NOT(ISBLANK($F2))</formula>
    </cfRule>
  </conditionalFormatting>
  <dataValidations disablePrompts="1" count="1">
    <dataValidation type="list" allowBlank="1" showInputMessage="1" showErrorMessage="1" sqref="F2:F132" xr:uid="{00000000-0002-0000-0600-000000000000}">
      <formula1>nimas_charter_choices</formula1>
    </dataValidation>
  </dataValidations>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2:I199"/>
  <sheetViews>
    <sheetView workbookViewId="0"/>
  </sheetViews>
  <sheetFormatPr defaultRowHeight="14.5" x14ac:dyDescent="0.35"/>
  <cols>
    <col min="2" max="2" width="30.54296875" customWidth="1"/>
    <col min="3" max="3" width="29.453125" customWidth="1"/>
    <col min="4" max="4" width="34.54296875" bestFit="1" customWidth="1"/>
    <col min="6" max="6" width="9.54296875" bestFit="1" customWidth="1"/>
    <col min="9" max="9" width="31.1796875" customWidth="1"/>
    <col min="10" max="10" width="29.81640625" customWidth="1"/>
  </cols>
  <sheetData>
    <row r="2" spans="1:9" x14ac:dyDescent="0.35">
      <c r="A2" t="s">
        <v>2985</v>
      </c>
      <c r="B2" t="s">
        <v>1539</v>
      </c>
      <c r="C2" s="106" t="s">
        <v>2133</v>
      </c>
      <c r="D2" s="106" t="s">
        <v>2134</v>
      </c>
      <c r="E2" s="79" t="s">
        <v>3125</v>
      </c>
      <c r="F2" s="79" t="s">
        <v>3126</v>
      </c>
      <c r="G2" s="79" t="s">
        <v>1619</v>
      </c>
      <c r="H2" s="79" t="s">
        <v>3186</v>
      </c>
    </row>
    <row r="3" spans="1:9" x14ac:dyDescent="0.35">
      <c r="A3">
        <v>2063</v>
      </c>
      <c r="B3" s="109" t="s">
        <v>14</v>
      </c>
      <c r="C3" s="109" t="s">
        <v>1528</v>
      </c>
      <c r="D3" s="109" t="s">
        <v>1528</v>
      </c>
      <c r="E3" cm="1">
        <f t="array" ref="E3">_xlfn.IFS(C3="Yes", 1,C3="No",2)</f>
        <v>2</v>
      </c>
      <c r="F3" cm="1">
        <f t="array" ref="F3">_xlfn.IFS(D3="Yes", 1,D3="No",2)</f>
        <v>2</v>
      </c>
      <c r="G3">
        <f>SUM(E3:F3)</f>
        <v>4</v>
      </c>
      <c r="H3" t="str" cm="1">
        <f t="array" ref="H3">_xlfn.IFS(G3=2,"B",G3=3,"C",G3=4,"D")</f>
        <v>D</v>
      </c>
    </row>
    <row r="4" spans="1:9" x14ac:dyDescent="0.35">
      <c r="A4">
        <v>2113</v>
      </c>
      <c r="B4" s="108" t="s">
        <v>17</v>
      </c>
      <c r="C4" s="108" t="s">
        <v>1528</v>
      </c>
      <c r="D4" s="108" t="s">
        <v>1528</v>
      </c>
      <c r="E4" cm="1">
        <f t="array" ref="E4">_xlfn.IFS(C4="Yes", 1,C4="No",2)</f>
        <v>2</v>
      </c>
      <c r="F4" cm="1">
        <f t="array" ref="F4">_xlfn.IFS(D4="Yes", 1,D4="No",2)</f>
        <v>2</v>
      </c>
      <c r="G4">
        <f t="shared" ref="G4:G67" si="0">SUM(E4:F4)</f>
        <v>4</v>
      </c>
      <c r="H4" t="str" cm="1">
        <f t="array" ref="H4">_xlfn.IFS(G4=2,"B",G4=3,"C",G4=4,"D")</f>
        <v>D</v>
      </c>
    </row>
    <row r="5" spans="1:9" x14ac:dyDescent="0.35">
      <c r="A5">
        <v>1899</v>
      </c>
      <c r="B5" s="109" t="s">
        <v>20</v>
      </c>
      <c r="C5" s="109" t="s">
        <v>1528</v>
      </c>
      <c r="D5" s="109" t="s">
        <v>1527</v>
      </c>
      <c r="E5" cm="1">
        <f t="array" ref="E5">_xlfn.IFS(C5="Yes", 1,C5="No",2)</f>
        <v>2</v>
      </c>
      <c r="F5" cm="1">
        <f t="array" ref="F5">_xlfn.IFS(D5="Yes", 1,D5="No",2)</f>
        <v>1</v>
      </c>
      <c r="G5">
        <f t="shared" si="0"/>
        <v>3</v>
      </c>
      <c r="H5" t="str" cm="1">
        <f t="array" ref="H5">_xlfn.IFS(G5=2,"B",G5=3,"C",G5=4,"D")</f>
        <v>C</v>
      </c>
    </row>
    <row r="6" spans="1:9" x14ac:dyDescent="0.35">
      <c r="A6">
        <v>2252</v>
      </c>
      <c r="B6" s="108" t="s">
        <v>21</v>
      </c>
      <c r="C6" s="108" t="s">
        <v>1527</v>
      </c>
      <c r="D6" s="108" t="s">
        <v>1528</v>
      </c>
      <c r="E6" cm="1">
        <f t="array" ref="E6">_xlfn.IFS(C6="Yes", 1,C6="No",2)</f>
        <v>1</v>
      </c>
      <c r="F6" cm="1">
        <f t="array" ref="F6">_xlfn.IFS(D6="Yes", 1,D6="No",2)</f>
        <v>2</v>
      </c>
      <c r="G6">
        <f t="shared" si="0"/>
        <v>3</v>
      </c>
      <c r="H6" t="str" cm="1">
        <f t="array" ref="H6">_xlfn.IFS(G6=2,"B",G6=3,"C",G6=4,"D")</f>
        <v>C</v>
      </c>
    </row>
    <row r="7" spans="1:9" x14ac:dyDescent="0.35">
      <c r="A7">
        <v>2111</v>
      </c>
      <c r="B7" s="109" t="s">
        <v>23</v>
      </c>
      <c r="C7" s="109" t="s">
        <v>1528</v>
      </c>
      <c r="D7" s="109" t="s">
        <v>1528</v>
      </c>
      <c r="E7" cm="1">
        <f t="array" ref="E7">_xlfn.IFS(C7="Yes", 1,C7="No",2)</f>
        <v>2</v>
      </c>
      <c r="F7" cm="1">
        <f t="array" ref="F7">_xlfn.IFS(D7="Yes", 1,D7="No",2)</f>
        <v>2</v>
      </c>
      <c r="G7">
        <f t="shared" si="0"/>
        <v>4</v>
      </c>
      <c r="H7" t="str" cm="1">
        <f t="array" ref="H7">_xlfn.IFS(G7=2,"B",G7=3,"C",G7=4,"D")</f>
        <v>D</v>
      </c>
      <c r="I7" t="s">
        <v>3187</v>
      </c>
    </row>
    <row r="8" spans="1:9" x14ac:dyDescent="0.35">
      <c r="A8">
        <v>2005</v>
      </c>
      <c r="B8" s="108" t="s">
        <v>24</v>
      </c>
      <c r="C8" s="108" t="s">
        <v>1527</v>
      </c>
      <c r="D8" s="108" t="s">
        <v>1528</v>
      </c>
      <c r="E8" cm="1">
        <f t="array" ref="E8">_xlfn.IFS(C8="Yes", 1,C8="No",2)</f>
        <v>1</v>
      </c>
      <c r="F8" cm="1">
        <f t="array" ref="F8">_xlfn.IFS(D8="Yes", 1,D8="No",2)</f>
        <v>2</v>
      </c>
      <c r="G8">
        <f t="shared" si="0"/>
        <v>3</v>
      </c>
      <c r="H8" t="str" cm="1">
        <f t="array" ref="H8">_xlfn.IFS(G8=2,"B",G8=3,"C",G8=4,"D")</f>
        <v>C</v>
      </c>
      <c r="I8" t="s">
        <v>3188</v>
      </c>
    </row>
    <row r="9" spans="1:9" x14ac:dyDescent="0.35">
      <c r="A9">
        <v>2115</v>
      </c>
      <c r="B9" s="109" t="s">
        <v>25</v>
      </c>
      <c r="C9" s="109" t="s">
        <v>1528</v>
      </c>
      <c r="D9" s="109" t="s">
        <v>1528</v>
      </c>
      <c r="E9" cm="1">
        <f t="array" ref="E9">_xlfn.IFS(C9="Yes", 1,C9="No",2)</f>
        <v>2</v>
      </c>
      <c r="F9" cm="1">
        <f t="array" ref="F9">_xlfn.IFS(D9="Yes", 1,D9="No",2)</f>
        <v>2</v>
      </c>
      <c r="G9">
        <f t="shared" si="0"/>
        <v>4</v>
      </c>
      <c r="H9" t="str" cm="1">
        <f t="array" ref="H9">_xlfn.IFS(G9=2,"B",G9=3,"C",G9=4,"D")</f>
        <v>D</v>
      </c>
      <c r="I9" t="s">
        <v>3189</v>
      </c>
    </row>
    <row r="10" spans="1:9" x14ac:dyDescent="0.35">
      <c r="A10">
        <v>2041</v>
      </c>
      <c r="B10" s="108" t="s">
        <v>26</v>
      </c>
      <c r="C10" s="108" t="s">
        <v>1527</v>
      </c>
      <c r="D10" s="108" t="s">
        <v>1528</v>
      </c>
      <c r="E10" cm="1">
        <f t="array" ref="E10">_xlfn.IFS(C10="Yes", 1,C10="No",2)</f>
        <v>1</v>
      </c>
      <c r="F10" cm="1">
        <f t="array" ref="F10">_xlfn.IFS(D10="Yes", 1,D10="No",2)</f>
        <v>2</v>
      </c>
      <c r="G10">
        <f t="shared" si="0"/>
        <v>3</v>
      </c>
      <c r="H10" t="str" cm="1">
        <f t="array" ref="H10">_xlfn.IFS(G10=2,"B",G10=3,"C",G10=4,"D")</f>
        <v>C</v>
      </c>
    </row>
    <row r="11" spans="1:9" x14ac:dyDescent="0.35">
      <c r="A11">
        <v>2051</v>
      </c>
      <c r="B11" s="109" t="s">
        <v>27</v>
      </c>
      <c r="C11" s="109" t="s">
        <v>1528</v>
      </c>
      <c r="D11" s="109" t="s">
        <v>1528</v>
      </c>
      <c r="E11" cm="1">
        <f t="array" ref="E11">_xlfn.IFS(C11="Yes", 1,C11="No",2)</f>
        <v>2</v>
      </c>
      <c r="F11" cm="1">
        <f t="array" ref="F11">_xlfn.IFS(D11="Yes", 1,D11="No",2)</f>
        <v>2</v>
      </c>
      <c r="G11">
        <f t="shared" si="0"/>
        <v>4</v>
      </c>
      <c r="H11" t="str" cm="1">
        <f t="array" ref="H11">_xlfn.IFS(G11=2,"B",G11=3,"C",G11=4,"D")</f>
        <v>D</v>
      </c>
    </row>
    <row r="12" spans="1:9" x14ac:dyDescent="0.35">
      <c r="A12">
        <v>1933</v>
      </c>
      <c r="B12" s="108" t="s">
        <v>28</v>
      </c>
      <c r="C12" s="108" t="s">
        <v>1528</v>
      </c>
      <c r="D12" s="108" t="s">
        <v>1528</v>
      </c>
      <c r="E12" cm="1">
        <f t="array" ref="E12">_xlfn.IFS(C12="Yes", 1,C12="No",2)</f>
        <v>2</v>
      </c>
      <c r="F12" cm="1">
        <f t="array" ref="F12">_xlfn.IFS(D12="Yes", 1,D12="No",2)</f>
        <v>2</v>
      </c>
      <c r="G12">
        <f t="shared" si="0"/>
        <v>4</v>
      </c>
      <c r="H12" t="str" cm="1">
        <f t="array" ref="H12">_xlfn.IFS(G12=2,"B",G12=3,"C",G12=4,"D")</f>
        <v>D</v>
      </c>
    </row>
    <row r="13" spans="1:9" x14ac:dyDescent="0.35">
      <c r="A13">
        <v>2208</v>
      </c>
      <c r="B13" s="109" t="s">
        <v>29</v>
      </c>
      <c r="C13" s="109" t="s">
        <v>1528</v>
      </c>
      <c r="D13" s="109" t="s">
        <v>1528</v>
      </c>
      <c r="E13" cm="1">
        <f t="array" ref="E13">_xlfn.IFS(C13="Yes", 1,C13="No",2)</f>
        <v>2</v>
      </c>
      <c r="F13" cm="1">
        <f t="array" ref="F13">_xlfn.IFS(D13="Yes", 1,D13="No",2)</f>
        <v>2</v>
      </c>
      <c r="G13">
        <f t="shared" si="0"/>
        <v>4</v>
      </c>
      <c r="H13" t="str" cm="1">
        <f t="array" ref="H13">_xlfn.IFS(G13=2,"B",G13=3,"C",G13=4,"D")</f>
        <v>D</v>
      </c>
    </row>
    <row r="14" spans="1:9" x14ac:dyDescent="0.35">
      <c r="A14">
        <v>1894</v>
      </c>
      <c r="B14" s="108" t="s">
        <v>30</v>
      </c>
      <c r="C14" s="108" t="s">
        <v>1528</v>
      </c>
      <c r="D14" s="108" t="s">
        <v>1528</v>
      </c>
      <c r="E14" cm="1">
        <f t="array" ref="E14">_xlfn.IFS(C14="Yes", 1,C14="No",2)</f>
        <v>2</v>
      </c>
      <c r="F14" cm="1">
        <f t="array" ref="F14">_xlfn.IFS(D14="Yes", 1,D14="No",2)</f>
        <v>2</v>
      </c>
      <c r="G14">
        <f t="shared" si="0"/>
        <v>4</v>
      </c>
      <c r="H14" t="str" cm="1">
        <f t="array" ref="H14">_xlfn.IFS(G14=2,"B",G14=3,"C",G14=4,"D")</f>
        <v>D</v>
      </c>
    </row>
    <row r="15" spans="1:9" x14ac:dyDescent="0.35">
      <c r="A15">
        <v>1969</v>
      </c>
      <c r="B15" s="109" t="s">
        <v>32</v>
      </c>
      <c r="C15" s="109" t="s">
        <v>1528</v>
      </c>
      <c r="D15" s="109" t="s">
        <v>1528</v>
      </c>
      <c r="E15" cm="1">
        <f t="array" ref="E15">_xlfn.IFS(C15="Yes", 1,C15="No",2)</f>
        <v>2</v>
      </c>
      <c r="F15" cm="1">
        <f t="array" ref="F15">_xlfn.IFS(D15="Yes", 1,D15="No",2)</f>
        <v>2</v>
      </c>
      <c r="G15">
        <f t="shared" si="0"/>
        <v>4</v>
      </c>
      <c r="H15" t="str" cm="1">
        <f t="array" ref="H15">_xlfn.IFS(G15=2,"B",G15=3,"C",G15=4,"D")</f>
        <v>D</v>
      </c>
    </row>
    <row r="16" spans="1:9" x14ac:dyDescent="0.35">
      <c r="A16">
        <v>2240</v>
      </c>
      <c r="B16" s="108" t="s">
        <v>33</v>
      </c>
      <c r="C16" s="108" t="s">
        <v>1528</v>
      </c>
      <c r="D16" s="108" t="s">
        <v>1528</v>
      </c>
      <c r="E16" cm="1">
        <f t="array" ref="E16">_xlfn.IFS(C16="Yes", 1,C16="No",2)</f>
        <v>2</v>
      </c>
      <c r="F16" cm="1">
        <f t="array" ref="F16">_xlfn.IFS(D16="Yes", 1,D16="No",2)</f>
        <v>2</v>
      </c>
      <c r="G16">
        <f t="shared" si="0"/>
        <v>4</v>
      </c>
      <c r="H16" t="str" cm="1">
        <f t="array" ref="H16">_xlfn.IFS(G16=2,"B",G16=3,"C",G16=4,"D")</f>
        <v>D</v>
      </c>
    </row>
    <row r="17" spans="1:8" x14ac:dyDescent="0.35">
      <c r="A17">
        <v>2243</v>
      </c>
      <c r="B17" s="109" t="s">
        <v>34</v>
      </c>
      <c r="C17" s="109" t="s">
        <v>1528</v>
      </c>
      <c r="D17" s="109" t="s">
        <v>1528</v>
      </c>
      <c r="E17" cm="1">
        <f t="array" ref="E17">_xlfn.IFS(C17="Yes", 1,C17="No",2)</f>
        <v>2</v>
      </c>
      <c r="F17" cm="1">
        <f t="array" ref="F17">_xlfn.IFS(D17="Yes", 1,D17="No",2)</f>
        <v>2</v>
      </c>
      <c r="G17">
        <f t="shared" si="0"/>
        <v>4</v>
      </c>
      <c r="H17" t="str" cm="1">
        <f t="array" ref="H17">_xlfn.IFS(G17=2,"B",G17=3,"C",G17=4,"D")</f>
        <v>D</v>
      </c>
    </row>
    <row r="18" spans="1:8" x14ac:dyDescent="0.35">
      <c r="A18">
        <v>1976</v>
      </c>
      <c r="B18" s="108" t="s">
        <v>35</v>
      </c>
      <c r="C18" s="108" t="s">
        <v>1527</v>
      </c>
      <c r="D18" s="108" t="s">
        <v>1528</v>
      </c>
      <c r="E18" cm="1">
        <f t="array" ref="E18">_xlfn.IFS(C18="Yes", 1,C18="No",2)</f>
        <v>1</v>
      </c>
      <c r="F18" cm="1">
        <f t="array" ref="F18">_xlfn.IFS(D18="Yes", 1,D18="No",2)</f>
        <v>2</v>
      </c>
      <c r="G18">
        <f t="shared" si="0"/>
        <v>3</v>
      </c>
      <c r="H18" t="str" cm="1">
        <f t="array" ref="H18">_xlfn.IFS(G18=2,"B",G18=3,"C",G18=4,"D")</f>
        <v>C</v>
      </c>
    </row>
    <row r="19" spans="1:8" x14ac:dyDescent="0.35">
      <c r="A19">
        <v>2088</v>
      </c>
      <c r="B19" s="109" t="s">
        <v>36</v>
      </c>
      <c r="C19" s="109" t="s">
        <v>1528</v>
      </c>
      <c r="D19" s="109" t="s">
        <v>1528</v>
      </c>
      <c r="E19" cm="1">
        <f t="array" ref="E19">_xlfn.IFS(C19="Yes", 1,C19="No",2)</f>
        <v>2</v>
      </c>
      <c r="F19" cm="1">
        <f t="array" ref="F19">_xlfn.IFS(D19="Yes", 1,D19="No",2)</f>
        <v>2</v>
      </c>
      <c r="G19">
        <f t="shared" si="0"/>
        <v>4</v>
      </c>
      <c r="H19" t="str" cm="1">
        <f t="array" ref="H19">_xlfn.IFS(G19=2,"B",G19=3,"C",G19=4,"D")</f>
        <v>D</v>
      </c>
    </row>
    <row r="20" spans="1:8" x14ac:dyDescent="0.35">
      <c r="A20">
        <v>2095</v>
      </c>
      <c r="B20" s="108" t="s">
        <v>37</v>
      </c>
      <c r="C20" s="108" t="s">
        <v>1528</v>
      </c>
      <c r="D20" s="108" t="s">
        <v>1528</v>
      </c>
      <c r="E20" cm="1">
        <f t="array" ref="E20">_xlfn.IFS(C20="Yes", 1,C20="No",2)</f>
        <v>2</v>
      </c>
      <c r="F20" cm="1">
        <f t="array" ref="F20">_xlfn.IFS(D20="Yes", 1,D20="No",2)</f>
        <v>2</v>
      </c>
      <c r="G20">
        <f t="shared" si="0"/>
        <v>4</v>
      </c>
      <c r="H20" t="str" cm="1">
        <f t="array" ref="H20">_xlfn.IFS(G20=2,"B",G20=3,"C",G20=4,"D")</f>
        <v>D</v>
      </c>
    </row>
    <row r="21" spans="1:8" x14ac:dyDescent="0.35">
      <c r="A21">
        <v>2052</v>
      </c>
      <c r="B21" s="109" t="s">
        <v>38</v>
      </c>
      <c r="C21" s="109" t="s">
        <v>1528</v>
      </c>
      <c r="D21" s="109" t="s">
        <v>1528</v>
      </c>
      <c r="E21" cm="1">
        <f t="array" ref="E21">_xlfn.IFS(C21="Yes", 1,C21="No",2)</f>
        <v>2</v>
      </c>
      <c r="F21" cm="1">
        <f t="array" ref="F21">_xlfn.IFS(D21="Yes", 1,D21="No",2)</f>
        <v>2</v>
      </c>
      <c r="G21">
        <f t="shared" si="0"/>
        <v>4</v>
      </c>
      <c r="H21" t="str" cm="1">
        <f t="array" ref="H21">_xlfn.IFS(G21=2,"B",G21=3,"C",G21=4,"D")</f>
        <v>D</v>
      </c>
    </row>
    <row r="22" spans="1:8" x14ac:dyDescent="0.35">
      <c r="A22">
        <v>1974</v>
      </c>
      <c r="B22" s="108" t="s">
        <v>39</v>
      </c>
      <c r="C22" s="108" t="s">
        <v>1528</v>
      </c>
      <c r="D22" s="108" t="s">
        <v>1528</v>
      </c>
      <c r="E22" cm="1">
        <f t="array" ref="E22">_xlfn.IFS(C22="Yes", 1,C22="No",2)</f>
        <v>2</v>
      </c>
      <c r="F22" cm="1">
        <f t="array" ref="F22">_xlfn.IFS(D22="Yes", 1,D22="No",2)</f>
        <v>2</v>
      </c>
      <c r="G22">
        <f t="shared" si="0"/>
        <v>4</v>
      </c>
      <c r="H22" t="str" cm="1">
        <f t="array" ref="H22">_xlfn.IFS(G22=2,"B",G22=3,"C",G22=4,"D")</f>
        <v>D</v>
      </c>
    </row>
    <row r="23" spans="1:8" x14ac:dyDescent="0.35">
      <c r="A23">
        <v>1896</v>
      </c>
      <c r="B23" s="109" t="s">
        <v>40</v>
      </c>
      <c r="C23" s="109" t="s">
        <v>1528</v>
      </c>
      <c r="D23" s="109" t="s">
        <v>1528</v>
      </c>
      <c r="E23" cm="1">
        <f t="array" ref="E23">_xlfn.IFS(C23="Yes", 1,C23="No",2)</f>
        <v>2</v>
      </c>
      <c r="F23" cm="1">
        <f t="array" ref="F23">_xlfn.IFS(D23="Yes", 1,D23="No",2)</f>
        <v>2</v>
      </c>
      <c r="G23">
        <f t="shared" si="0"/>
        <v>4</v>
      </c>
      <c r="H23" t="str" cm="1">
        <f t="array" ref="H23">_xlfn.IFS(G23=2,"B",G23=3,"C",G23=4,"D")</f>
        <v>D</v>
      </c>
    </row>
    <row r="24" spans="1:8" x14ac:dyDescent="0.35">
      <c r="A24">
        <v>2046</v>
      </c>
      <c r="B24" s="108" t="s">
        <v>42</v>
      </c>
      <c r="C24" s="108" t="s">
        <v>1527</v>
      </c>
      <c r="D24" s="108" t="s">
        <v>1528</v>
      </c>
      <c r="E24" cm="1">
        <f t="array" ref="E24">_xlfn.IFS(C24="Yes", 1,C24="No",2)</f>
        <v>1</v>
      </c>
      <c r="F24" cm="1">
        <f t="array" ref="F24">_xlfn.IFS(D24="Yes", 1,D24="No",2)</f>
        <v>2</v>
      </c>
      <c r="G24">
        <f t="shared" si="0"/>
        <v>3</v>
      </c>
      <c r="H24" t="str" cm="1">
        <f t="array" ref="H24">_xlfn.IFS(G24=2,"B",G24=3,"C",G24=4,"D")</f>
        <v>C</v>
      </c>
    </row>
    <row r="25" spans="1:8" x14ac:dyDescent="0.35">
      <c r="A25">
        <v>1995</v>
      </c>
      <c r="B25" s="109" t="s">
        <v>43</v>
      </c>
      <c r="C25" s="109" t="s">
        <v>1528</v>
      </c>
      <c r="D25" s="109" t="s">
        <v>1528</v>
      </c>
      <c r="E25" cm="1">
        <f t="array" ref="E25">_xlfn.IFS(C25="Yes", 1,C25="No",2)</f>
        <v>2</v>
      </c>
      <c r="F25" cm="1">
        <f t="array" ref="F25">_xlfn.IFS(D25="Yes", 1,D25="No",2)</f>
        <v>2</v>
      </c>
      <c r="G25">
        <f t="shared" si="0"/>
        <v>4</v>
      </c>
      <c r="H25" t="str" cm="1">
        <f t="array" ref="H25">_xlfn.IFS(G25=2,"B",G25=3,"C",G25=4,"D")</f>
        <v>D</v>
      </c>
    </row>
    <row r="26" spans="1:8" x14ac:dyDescent="0.35">
      <c r="A26">
        <v>1929</v>
      </c>
      <c r="B26" s="108" t="s">
        <v>44</v>
      </c>
      <c r="C26" s="108" t="s">
        <v>1528</v>
      </c>
      <c r="D26" s="108" t="s">
        <v>1527</v>
      </c>
      <c r="E26" cm="1">
        <f t="array" ref="E26">_xlfn.IFS(C26="Yes", 1,C26="No",2)</f>
        <v>2</v>
      </c>
      <c r="F26" cm="1">
        <f t="array" ref="F26">_xlfn.IFS(D26="Yes", 1,D26="No",2)</f>
        <v>1</v>
      </c>
      <c r="G26">
        <f t="shared" si="0"/>
        <v>3</v>
      </c>
      <c r="H26" t="str" cm="1">
        <f t="array" ref="H26">_xlfn.IFS(G26=2,"B",G26=3,"C",G26=4,"D")</f>
        <v>C</v>
      </c>
    </row>
    <row r="27" spans="1:8" x14ac:dyDescent="0.35">
      <c r="A27">
        <v>2139</v>
      </c>
      <c r="B27" s="109" t="s">
        <v>45</v>
      </c>
      <c r="C27" s="109" t="s">
        <v>1528</v>
      </c>
      <c r="D27" s="109" t="s">
        <v>1528</v>
      </c>
      <c r="E27" cm="1">
        <f t="array" ref="E27">_xlfn.IFS(C27="Yes", 1,C27="No",2)</f>
        <v>2</v>
      </c>
      <c r="F27" cm="1">
        <f t="array" ref="F27">_xlfn.IFS(D27="Yes", 1,D27="No",2)</f>
        <v>2</v>
      </c>
      <c r="G27">
        <f t="shared" si="0"/>
        <v>4</v>
      </c>
      <c r="H27" t="str" cm="1">
        <f t="array" ref="H27">_xlfn.IFS(G27=2,"B",G27=3,"C",G27=4,"D")</f>
        <v>D</v>
      </c>
    </row>
    <row r="28" spans="1:8" x14ac:dyDescent="0.35">
      <c r="A28">
        <v>2185</v>
      </c>
      <c r="B28" s="108" t="s">
        <v>46</v>
      </c>
      <c r="C28" s="108" t="s">
        <v>1528</v>
      </c>
      <c r="D28" s="108" t="s">
        <v>1528</v>
      </c>
      <c r="E28" cm="1">
        <f t="array" ref="E28">_xlfn.IFS(C28="Yes", 1,C28="No",2)</f>
        <v>2</v>
      </c>
      <c r="F28" cm="1">
        <f t="array" ref="F28">_xlfn.IFS(D28="Yes", 1,D28="No",2)</f>
        <v>2</v>
      </c>
      <c r="G28">
        <f t="shared" si="0"/>
        <v>4</v>
      </c>
      <c r="H28" t="str" cm="1">
        <f t="array" ref="H28">_xlfn.IFS(G28=2,"B",G28=3,"C",G28=4,"D")</f>
        <v>D</v>
      </c>
    </row>
    <row r="29" spans="1:8" x14ac:dyDescent="0.35">
      <c r="A29">
        <v>1972</v>
      </c>
      <c r="B29" s="109" t="s">
        <v>47</v>
      </c>
      <c r="C29" s="109" t="s">
        <v>1528</v>
      </c>
      <c r="D29" s="109" t="s">
        <v>1528</v>
      </c>
      <c r="E29" cm="1">
        <f t="array" ref="E29">_xlfn.IFS(C29="Yes", 1,C29="No",2)</f>
        <v>2</v>
      </c>
      <c r="F29" cm="1">
        <f t="array" ref="F29">_xlfn.IFS(D29="Yes", 1,D29="No",2)</f>
        <v>2</v>
      </c>
      <c r="G29">
        <f t="shared" si="0"/>
        <v>4</v>
      </c>
      <c r="H29" t="str" cm="1">
        <f t="array" ref="H29">_xlfn.IFS(G29=2,"B",G29=3,"C",G29=4,"D")</f>
        <v>D</v>
      </c>
    </row>
    <row r="30" spans="1:8" x14ac:dyDescent="0.35">
      <c r="A30">
        <v>2105</v>
      </c>
      <c r="B30" s="108" t="s">
        <v>48</v>
      </c>
      <c r="C30" s="108" t="s">
        <v>1528</v>
      </c>
      <c r="D30" s="108" t="s">
        <v>1528</v>
      </c>
      <c r="E30" cm="1">
        <f t="array" ref="E30">_xlfn.IFS(C30="Yes", 1,C30="No",2)</f>
        <v>2</v>
      </c>
      <c r="F30" cm="1">
        <f t="array" ref="F30">_xlfn.IFS(D30="Yes", 1,D30="No",2)</f>
        <v>2</v>
      </c>
      <c r="G30">
        <f t="shared" si="0"/>
        <v>4</v>
      </c>
      <c r="H30" t="str" cm="1">
        <f t="array" ref="H30">_xlfn.IFS(G30=2,"B",G30=3,"C",G30=4,"D")</f>
        <v>D</v>
      </c>
    </row>
    <row r="31" spans="1:8" x14ac:dyDescent="0.35">
      <c r="A31">
        <v>2042</v>
      </c>
      <c r="B31" s="109" t="s">
        <v>49</v>
      </c>
      <c r="C31" s="109" t="s">
        <v>1528</v>
      </c>
      <c r="D31" s="109" t="s">
        <v>1528</v>
      </c>
      <c r="E31" cm="1">
        <f t="array" ref="E31">_xlfn.IFS(C31="Yes", 1,C31="No",2)</f>
        <v>2</v>
      </c>
      <c r="F31" cm="1">
        <f t="array" ref="F31">_xlfn.IFS(D31="Yes", 1,D31="No",2)</f>
        <v>2</v>
      </c>
      <c r="G31">
        <f t="shared" si="0"/>
        <v>4</v>
      </c>
      <c r="H31" t="str" cm="1">
        <f t="array" ref="H31">_xlfn.IFS(G31=2,"B",G31=3,"C",G31=4,"D")</f>
        <v>D</v>
      </c>
    </row>
    <row r="32" spans="1:8" x14ac:dyDescent="0.35">
      <c r="A32">
        <v>2191</v>
      </c>
      <c r="B32" s="108" t="s">
        <v>50</v>
      </c>
      <c r="C32" s="108" t="s">
        <v>1528</v>
      </c>
      <c r="D32" s="108" t="s">
        <v>1527</v>
      </c>
      <c r="E32" cm="1">
        <f t="array" ref="E32">_xlfn.IFS(C32="Yes", 1,C32="No",2)</f>
        <v>2</v>
      </c>
      <c r="F32" cm="1">
        <f t="array" ref="F32">_xlfn.IFS(D32="Yes", 1,D32="No",2)</f>
        <v>1</v>
      </c>
      <c r="G32">
        <f t="shared" si="0"/>
        <v>3</v>
      </c>
      <c r="H32" t="str" cm="1">
        <f t="array" ref="H32">_xlfn.IFS(G32=2,"B",G32=3,"C",G32=4,"D")</f>
        <v>C</v>
      </c>
    </row>
    <row r="33" spans="1:8" x14ac:dyDescent="0.35">
      <c r="A33">
        <v>1945</v>
      </c>
      <c r="B33" s="109" t="s">
        <v>51</v>
      </c>
      <c r="C33" s="109" t="s">
        <v>1528</v>
      </c>
      <c r="D33" s="109" t="s">
        <v>1528</v>
      </c>
      <c r="E33" cm="1">
        <f t="array" ref="E33">_xlfn.IFS(C33="Yes", 1,C33="No",2)</f>
        <v>2</v>
      </c>
      <c r="F33" cm="1">
        <f t="array" ref="F33">_xlfn.IFS(D33="Yes", 1,D33="No",2)</f>
        <v>2</v>
      </c>
      <c r="G33">
        <f t="shared" si="0"/>
        <v>4</v>
      </c>
      <c r="H33" t="str" cm="1">
        <f t="array" ref="H33">_xlfn.IFS(G33=2,"B",G33=3,"C",G33=4,"D")</f>
        <v>D</v>
      </c>
    </row>
    <row r="34" spans="1:8" x14ac:dyDescent="0.35">
      <c r="A34">
        <v>1927</v>
      </c>
      <c r="B34" s="108" t="s">
        <v>52</v>
      </c>
      <c r="C34" s="108" t="s">
        <v>1528</v>
      </c>
      <c r="D34" s="108" t="s">
        <v>1528</v>
      </c>
      <c r="E34" cm="1">
        <f t="array" ref="E34">_xlfn.IFS(C34="Yes", 1,C34="No",2)</f>
        <v>2</v>
      </c>
      <c r="F34" cm="1">
        <f t="array" ref="F34">_xlfn.IFS(D34="Yes", 1,D34="No",2)</f>
        <v>2</v>
      </c>
      <c r="G34">
        <f t="shared" si="0"/>
        <v>4</v>
      </c>
      <c r="H34" t="str" cm="1">
        <f t="array" ref="H34">_xlfn.IFS(G34=2,"B",G34=3,"C",G34=4,"D")</f>
        <v>D</v>
      </c>
    </row>
    <row r="35" spans="1:8" x14ac:dyDescent="0.35">
      <c r="A35">
        <v>2006</v>
      </c>
      <c r="B35" s="109" t="s">
        <v>53</v>
      </c>
      <c r="C35" s="109" t="s">
        <v>1527</v>
      </c>
      <c r="D35" s="109" t="s">
        <v>1528</v>
      </c>
      <c r="E35" cm="1">
        <f t="array" ref="E35">_xlfn.IFS(C35="Yes", 1,C35="No",2)</f>
        <v>1</v>
      </c>
      <c r="F35" cm="1">
        <f t="array" ref="F35">_xlfn.IFS(D35="Yes", 1,D35="No",2)</f>
        <v>2</v>
      </c>
      <c r="G35">
        <f t="shared" si="0"/>
        <v>3</v>
      </c>
      <c r="H35" t="str" cm="1">
        <f t="array" ref="H35">_xlfn.IFS(G35=2,"B",G35=3,"C",G35=4,"D")</f>
        <v>C</v>
      </c>
    </row>
    <row r="36" spans="1:8" x14ac:dyDescent="0.35">
      <c r="A36">
        <v>1965</v>
      </c>
      <c r="B36" s="108" t="s">
        <v>54</v>
      </c>
      <c r="C36" s="108" t="s">
        <v>1528</v>
      </c>
      <c r="D36" s="108" t="s">
        <v>1528</v>
      </c>
      <c r="E36" cm="1">
        <f t="array" ref="E36">_xlfn.IFS(C36="Yes", 1,C36="No",2)</f>
        <v>2</v>
      </c>
      <c r="F36" cm="1">
        <f t="array" ref="F36">_xlfn.IFS(D36="Yes", 1,D36="No",2)</f>
        <v>2</v>
      </c>
      <c r="G36">
        <f t="shared" si="0"/>
        <v>4</v>
      </c>
      <c r="H36" t="str" cm="1">
        <f t="array" ref="H36">_xlfn.IFS(G36=2,"B",G36=3,"C",G36=4,"D")</f>
        <v>D</v>
      </c>
    </row>
    <row r="37" spans="1:8" x14ac:dyDescent="0.35">
      <c r="A37">
        <v>1964</v>
      </c>
      <c r="B37" s="109" t="s">
        <v>55</v>
      </c>
      <c r="C37" s="109" t="s">
        <v>1528</v>
      </c>
      <c r="D37" s="109" t="s">
        <v>1528</v>
      </c>
      <c r="E37" cm="1">
        <f t="array" ref="E37">_xlfn.IFS(C37="Yes", 1,C37="No",2)</f>
        <v>2</v>
      </c>
      <c r="F37" cm="1">
        <f t="array" ref="F37">_xlfn.IFS(D37="Yes", 1,D37="No",2)</f>
        <v>2</v>
      </c>
      <c r="G37">
        <f t="shared" si="0"/>
        <v>4</v>
      </c>
      <c r="H37" t="str" cm="1">
        <f t="array" ref="H37">_xlfn.IFS(G37=2,"B",G37=3,"C",G37=4,"D")</f>
        <v>D</v>
      </c>
    </row>
    <row r="38" spans="1:8" x14ac:dyDescent="0.35">
      <c r="A38">
        <v>2186</v>
      </c>
      <c r="B38" s="108" t="s">
        <v>56</v>
      </c>
      <c r="C38" s="108" t="s">
        <v>1528</v>
      </c>
      <c r="D38" s="108" t="s">
        <v>1528</v>
      </c>
      <c r="E38" cm="1">
        <f t="array" ref="E38">_xlfn.IFS(C38="Yes", 1,C38="No",2)</f>
        <v>2</v>
      </c>
      <c r="F38" cm="1">
        <f t="array" ref="F38">_xlfn.IFS(D38="Yes", 1,D38="No",2)</f>
        <v>2</v>
      </c>
      <c r="G38">
        <f t="shared" si="0"/>
        <v>4</v>
      </c>
      <c r="H38" t="str" cm="1">
        <f t="array" ref="H38">_xlfn.IFS(G38=2,"B",G38=3,"C",G38=4,"D")</f>
        <v>D</v>
      </c>
    </row>
    <row r="39" spans="1:8" x14ac:dyDescent="0.35">
      <c r="A39">
        <v>1901</v>
      </c>
      <c r="B39" s="109" t="s">
        <v>58</v>
      </c>
      <c r="C39" s="109" t="s">
        <v>1528</v>
      </c>
      <c r="D39" s="109" t="s">
        <v>1527</v>
      </c>
      <c r="E39" cm="1">
        <f t="array" ref="E39">_xlfn.IFS(C39="Yes", 1,C39="No",2)</f>
        <v>2</v>
      </c>
      <c r="F39" cm="1">
        <f t="array" ref="F39">_xlfn.IFS(D39="Yes", 1,D39="No",2)</f>
        <v>1</v>
      </c>
      <c r="G39">
        <f t="shared" si="0"/>
        <v>3</v>
      </c>
      <c r="H39" t="str" cm="1">
        <f t="array" ref="H39">_xlfn.IFS(G39=2,"B",G39=3,"C",G39=4,"D")</f>
        <v>C</v>
      </c>
    </row>
    <row r="40" spans="1:8" x14ac:dyDescent="0.35">
      <c r="A40">
        <v>2216</v>
      </c>
      <c r="B40" s="108" t="s">
        <v>59</v>
      </c>
      <c r="C40" s="108" t="s">
        <v>1528</v>
      </c>
      <c r="D40" s="108" t="s">
        <v>1528</v>
      </c>
      <c r="E40" cm="1">
        <f t="array" ref="E40">_xlfn.IFS(C40="Yes", 1,C40="No",2)</f>
        <v>2</v>
      </c>
      <c r="F40" cm="1">
        <f t="array" ref="F40">_xlfn.IFS(D40="Yes", 1,D40="No",2)</f>
        <v>2</v>
      </c>
      <c r="G40">
        <f t="shared" si="0"/>
        <v>4</v>
      </c>
      <c r="H40" t="str" cm="1">
        <f t="array" ref="H40">_xlfn.IFS(G40=2,"B",G40=3,"C",G40=4,"D")</f>
        <v>D</v>
      </c>
    </row>
    <row r="41" spans="1:8" x14ac:dyDescent="0.35">
      <c r="A41">
        <v>2086</v>
      </c>
      <c r="B41" s="109" t="s">
        <v>60</v>
      </c>
      <c r="C41" s="109" t="s">
        <v>1528</v>
      </c>
      <c r="D41" s="109" t="s">
        <v>1528</v>
      </c>
      <c r="E41" cm="1">
        <f t="array" ref="E41">_xlfn.IFS(C41="Yes", 1,C41="No",2)</f>
        <v>2</v>
      </c>
      <c r="F41" cm="1">
        <f t="array" ref="F41">_xlfn.IFS(D41="Yes", 1,D41="No",2)</f>
        <v>2</v>
      </c>
      <c r="G41">
        <f t="shared" si="0"/>
        <v>4</v>
      </c>
      <c r="H41" t="str" cm="1">
        <f t="array" ref="H41">_xlfn.IFS(G41=2,"B",G41=3,"C",G41=4,"D")</f>
        <v>D</v>
      </c>
    </row>
    <row r="42" spans="1:8" x14ac:dyDescent="0.35">
      <c r="A42">
        <v>1970</v>
      </c>
      <c r="B42" s="108" t="s">
        <v>61</v>
      </c>
      <c r="C42" s="108" t="s">
        <v>1528</v>
      </c>
      <c r="D42" s="108" t="s">
        <v>1528</v>
      </c>
      <c r="E42" cm="1">
        <f t="array" ref="E42">_xlfn.IFS(C42="Yes", 1,C42="No",2)</f>
        <v>2</v>
      </c>
      <c r="F42" cm="1">
        <f t="array" ref="F42">_xlfn.IFS(D42="Yes", 1,D42="No",2)</f>
        <v>2</v>
      </c>
      <c r="G42">
        <f t="shared" si="0"/>
        <v>4</v>
      </c>
      <c r="H42" t="str" cm="1">
        <f t="array" ref="H42">_xlfn.IFS(G42=2,"B",G42=3,"C",G42=4,"D")</f>
        <v>D</v>
      </c>
    </row>
    <row r="43" spans="1:8" x14ac:dyDescent="0.35">
      <c r="A43">
        <v>2089</v>
      </c>
      <c r="B43" s="109" t="s">
        <v>62</v>
      </c>
      <c r="C43" s="109" t="s">
        <v>1528</v>
      </c>
      <c r="D43" s="109" t="s">
        <v>1527</v>
      </c>
      <c r="E43" cm="1">
        <f t="array" ref="E43">_xlfn.IFS(C43="Yes", 1,C43="No",2)</f>
        <v>2</v>
      </c>
      <c r="F43" cm="1">
        <f t="array" ref="F43">_xlfn.IFS(D43="Yes", 1,D43="No",2)</f>
        <v>1</v>
      </c>
      <c r="G43">
        <f t="shared" si="0"/>
        <v>3</v>
      </c>
      <c r="H43" t="str" cm="1">
        <f t="array" ref="H43">_xlfn.IFS(G43=2,"B",G43=3,"C",G43=4,"D")</f>
        <v>C</v>
      </c>
    </row>
    <row r="44" spans="1:8" x14ac:dyDescent="0.35">
      <c r="A44">
        <v>2050</v>
      </c>
      <c r="B44" s="108" t="s">
        <v>63</v>
      </c>
      <c r="C44" s="108" t="s">
        <v>1528</v>
      </c>
      <c r="D44" s="108" t="s">
        <v>1528</v>
      </c>
      <c r="E44" cm="1">
        <f t="array" ref="E44">_xlfn.IFS(C44="Yes", 1,C44="No",2)</f>
        <v>2</v>
      </c>
      <c r="F44" cm="1">
        <f t="array" ref="F44">_xlfn.IFS(D44="Yes", 1,D44="No",2)</f>
        <v>2</v>
      </c>
      <c r="G44">
        <f t="shared" si="0"/>
        <v>4</v>
      </c>
      <c r="H44" t="str" cm="1">
        <f t="array" ref="H44">_xlfn.IFS(G44=2,"B",G44=3,"C",G44=4,"D")</f>
        <v>D</v>
      </c>
    </row>
    <row r="45" spans="1:8" x14ac:dyDescent="0.35">
      <c r="A45">
        <v>2190</v>
      </c>
      <c r="B45" s="109" t="s">
        <v>64</v>
      </c>
      <c r="C45" s="109" t="s">
        <v>1528</v>
      </c>
      <c r="D45" s="109" t="s">
        <v>1528</v>
      </c>
      <c r="E45" cm="1">
        <f t="array" ref="E45">_xlfn.IFS(C45="Yes", 1,C45="No",2)</f>
        <v>2</v>
      </c>
      <c r="F45" cm="1">
        <f t="array" ref="F45">_xlfn.IFS(D45="Yes", 1,D45="No",2)</f>
        <v>2</v>
      </c>
      <c r="G45">
        <f t="shared" si="0"/>
        <v>4</v>
      </c>
      <c r="H45" t="str" cm="1">
        <f t="array" ref="H45">_xlfn.IFS(G45=2,"B",G45=3,"C",G45=4,"D")</f>
        <v>D</v>
      </c>
    </row>
    <row r="46" spans="1:8" x14ac:dyDescent="0.35">
      <c r="A46">
        <v>2187</v>
      </c>
      <c r="B46" s="108" t="s">
        <v>65</v>
      </c>
      <c r="C46" s="108" t="s">
        <v>1528</v>
      </c>
      <c r="D46" s="108" t="s">
        <v>1528</v>
      </c>
      <c r="E46" cm="1">
        <f t="array" ref="E46">_xlfn.IFS(C46="Yes", 1,C46="No",2)</f>
        <v>2</v>
      </c>
      <c r="F46" cm="1">
        <f t="array" ref="F46">_xlfn.IFS(D46="Yes", 1,D46="No",2)</f>
        <v>2</v>
      </c>
      <c r="G46">
        <f t="shared" si="0"/>
        <v>4</v>
      </c>
      <c r="H46" t="str" cm="1">
        <f t="array" ref="H46">_xlfn.IFS(G46=2,"B",G46=3,"C",G46=4,"D")</f>
        <v>D</v>
      </c>
    </row>
    <row r="47" spans="1:8" x14ac:dyDescent="0.35">
      <c r="A47">
        <v>2253</v>
      </c>
      <c r="B47" s="109" t="s">
        <v>66</v>
      </c>
      <c r="C47" s="109" t="s">
        <v>1527</v>
      </c>
      <c r="D47" s="109" t="s">
        <v>1528</v>
      </c>
      <c r="E47" cm="1">
        <f t="array" ref="E47">_xlfn.IFS(C47="Yes", 1,C47="No",2)</f>
        <v>1</v>
      </c>
      <c r="F47" cm="1">
        <f t="array" ref="F47">_xlfn.IFS(D47="Yes", 1,D47="No",2)</f>
        <v>2</v>
      </c>
      <c r="G47">
        <f t="shared" si="0"/>
        <v>3</v>
      </c>
      <c r="H47" t="str" cm="1">
        <f t="array" ref="H47">_xlfn.IFS(G47=2,"B",G47=3,"C",G47=4,"D")</f>
        <v>C</v>
      </c>
    </row>
    <row r="48" spans="1:8" x14ac:dyDescent="0.35">
      <c r="A48">
        <v>2011</v>
      </c>
      <c r="B48" s="108" t="s">
        <v>67</v>
      </c>
      <c r="C48" s="108" t="s">
        <v>1528</v>
      </c>
      <c r="D48" s="108" t="s">
        <v>1528</v>
      </c>
      <c r="E48" cm="1">
        <f t="array" ref="E48">_xlfn.IFS(C48="Yes", 1,C48="No",2)</f>
        <v>2</v>
      </c>
      <c r="F48" cm="1">
        <f t="array" ref="F48">_xlfn.IFS(D48="Yes", 1,D48="No",2)</f>
        <v>2</v>
      </c>
      <c r="G48">
        <f t="shared" si="0"/>
        <v>4</v>
      </c>
      <c r="H48" t="str" cm="1">
        <f t="array" ref="H48">_xlfn.IFS(G48=2,"B",G48=3,"C",G48=4,"D")</f>
        <v>D</v>
      </c>
    </row>
    <row r="49" spans="1:8" x14ac:dyDescent="0.35">
      <c r="A49">
        <v>2017</v>
      </c>
      <c r="B49" s="109" t="s">
        <v>68</v>
      </c>
      <c r="C49" s="109" t="s">
        <v>1528</v>
      </c>
      <c r="D49" s="109" t="s">
        <v>1528</v>
      </c>
      <c r="E49" cm="1">
        <f t="array" ref="E49">_xlfn.IFS(C49="Yes", 1,C49="No",2)</f>
        <v>2</v>
      </c>
      <c r="F49" cm="1">
        <f t="array" ref="F49">_xlfn.IFS(D49="Yes", 1,D49="No",2)</f>
        <v>2</v>
      </c>
      <c r="G49">
        <f t="shared" si="0"/>
        <v>4</v>
      </c>
      <c r="H49" t="str" cm="1">
        <f t="array" ref="H49">_xlfn.IFS(G49=2,"B",G49=3,"C",G49=4,"D")</f>
        <v>D</v>
      </c>
    </row>
    <row r="50" spans="1:8" x14ac:dyDescent="0.35">
      <c r="A50">
        <v>2021</v>
      </c>
      <c r="B50" s="108" t="s">
        <v>69</v>
      </c>
      <c r="C50" s="108" t="s">
        <v>1528</v>
      </c>
      <c r="D50" s="108" t="s">
        <v>1528</v>
      </c>
      <c r="E50" cm="1">
        <f t="array" ref="E50">_xlfn.IFS(C50="Yes", 1,C50="No",2)</f>
        <v>2</v>
      </c>
      <c r="F50" cm="1">
        <f t="array" ref="F50">_xlfn.IFS(D50="Yes", 1,D50="No",2)</f>
        <v>2</v>
      </c>
      <c r="G50">
        <f t="shared" si="0"/>
        <v>4</v>
      </c>
      <c r="H50" t="str" cm="1">
        <f t="array" ref="H50">_xlfn.IFS(G50=2,"B",G50=3,"C",G50=4,"D")</f>
        <v>D</v>
      </c>
    </row>
    <row r="51" spans="1:8" x14ac:dyDescent="0.35">
      <c r="A51">
        <v>1993</v>
      </c>
      <c r="B51" s="109" t="s">
        <v>70</v>
      </c>
      <c r="C51" s="109" t="s">
        <v>1528</v>
      </c>
      <c r="D51" s="109" t="s">
        <v>1528</v>
      </c>
      <c r="E51" cm="1">
        <f t="array" ref="E51">_xlfn.IFS(C51="Yes", 1,C51="No",2)</f>
        <v>2</v>
      </c>
      <c r="F51" cm="1">
        <f t="array" ref="F51">_xlfn.IFS(D51="Yes", 1,D51="No",2)</f>
        <v>2</v>
      </c>
      <c r="G51">
        <f t="shared" si="0"/>
        <v>4</v>
      </c>
      <c r="H51" t="str" cm="1">
        <f t="array" ref="H51">_xlfn.IFS(G51=2,"B",G51=3,"C",G51=4,"D")</f>
        <v>D</v>
      </c>
    </row>
    <row r="52" spans="1:8" x14ac:dyDescent="0.35">
      <c r="A52">
        <v>1991</v>
      </c>
      <c r="B52" s="108" t="s">
        <v>71</v>
      </c>
      <c r="C52" s="108" t="s">
        <v>1528</v>
      </c>
      <c r="D52" s="108" t="s">
        <v>1528</v>
      </c>
      <c r="E52" cm="1">
        <f t="array" ref="E52">_xlfn.IFS(C52="Yes", 1,C52="No",2)</f>
        <v>2</v>
      </c>
      <c r="F52" cm="1">
        <f t="array" ref="F52">_xlfn.IFS(D52="Yes", 1,D52="No",2)</f>
        <v>2</v>
      </c>
      <c r="G52">
        <f t="shared" si="0"/>
        <v>4</v>
      </c>
      <c r="H52" t="str" cm="1">
        <f t="array" ref="H52">_xlfn.IFS(G52=2,"B",G52=3,"C",G52=4,"D")</f>
        <v>D</v>
      </c>
    </row>
    <row r="53" spans="1:8" x14ac:dyDescent="0.35">
      <c r="A53">
        <v>2019</v>
      </c>
      <c r="B53" s="109" t="s">
        <v>72</v>
      </c>
      <c r="C53" s="109" t="s">
        <v>1528</v>
      </c>
      <c r="D53" s="109" t="s">
        <v>1528</v>
      </c>
      <c r="E53" cm="1">
        <f t="array" ref="E53">_xlfn.IFS(C53="Yes", 1,C53="No",2)</f>
        <v>2</v>
      </c>
      <c r="F53" cm="1">
        <f t="array" ref="F53">_xlfn.IFS(D53="Yes", 1,D53="No",2)</f>
        <v>2</v>
      </c>
      <c r="G53">
        <f t="shared" si="0"/>
        <v>4</v>
      </c>
      <c r="H53" t="str" cm="1">
        <f t="array" ref="H53">_xlfn.IFS(G53=2,"B",G53=3,"C",G53=4,"D")</f>
        <v>D</v>
      </c>
    </row>
    <row r="54" spans="1:8" x14ac:dyDescent="0.35">
      <c r="A54">
        <v>2229</v>
      </c>
      <c r="B54" s="108" t="s">
        <v>73</v>
      </c>
      <c r="C54" s="108" t="s">
        <v>1528</v>
      </c>
      <c r="D54" s="108" t="s">
        <v>1528</v>
      </c>
      <c r="E54" cm="1">
        <f t="array" ref="E54">_xlfn.IFS(C54="Yes", 1,C54="No",2)</f>
        <v>2</v>
      </c>
      <c r="F54" cm="1">
        <f t="array" ref="F54">_xlfn.IFS(D54="Yes", 1,D54="No",2)</f>
        <v>2</v>
      </c>
      <c r="G54">
        <f t="shared" si="0"/>
        <v>4</v>
      </c>
      <c r="H54" t="str" cm="1">
        <f t="array" ref="H54">_xlfn.IFS(G54=2,"B",G54=3,"C",G54=4,"D")</f>
        <v>D</v>
      </c>
    </row>
    <row r="55" spans="1:8" x14ac:dyDescent="0.35">
      <c r="A55">
        <v>2043</v>
      </c>
      <c r="B55" s="109" t="s">
        <v>74</v>
      </c>
      <c r="C55" s="109" t="s">
        <v>1528</v>
      </c>
      <c r="D55" s="109" t="s">
        <v>1528</v>
      </c>
      <c r="E55" cm="1">
        <f t="array" ref="E55">_xlfn.IFS(C55="Yes", 1,C55="No",2)</f>
        <v>2</v>
      </c>
      <c r="F55" cm="1">
        <f t="array" ref="F55">_xlfn.IFS(D55="Yes", 1,D55="No",2)</f>
        <v>2</v>
      </c>
      <c r="G55">
        <f t="shared" si="0"/>
        <v>4</v>
      </c>
      <c r="H55" t="str" cm="1">
        <f t="array" ref="H55">_xlfn.IFS(G55=2,"B",G55=3,"C",G55=4,"D")</f>
        <v>D</v>
      </c>
    </row>
    <row r="56" spans="1:8" x14ac:dyDescent="0.35">
      <c r="A56">
        <v>2203</v>
      </c>
      <c r="B56" s="108" t="s">
        <v>75</v>
      </c>
      <c r="C56" s="108" t="s">
        <v>1528</v>
      </c>
      <c r="D56" s="108" t="s">
        <v>1528</v>
      </c>
      <c r="E56" cm="1">
        <f t="array" ref="E56">_xlfn.IFS(C56="Yes", 1,C56="No",2)</f>
        <v>2</v>
      </c>
      <c r="F56" cm="1">
        <f t="array" ref="F56">_xlfn.IFS(D56="Yes", 1,D56="No",2)</f>
        <v>2</v>
      </c>
      <c r="G56">
        <f t="shared" si="0"/>
        <v>4</v>
      </c>
      <c r="H56" t="str" cm="1">
        <f t="array" ref="H56">_xlfn.IFS(G56=2,"B",G56=3,"C",G56=4,"D")</f>
        <v>D</v>
      </c>
    </row>
    <row r="57" spans="1:8" x14ac:dyDescent="0.35">
      <c r="A57">
        <v>2217</v>
      </c>
      <c r="B57" s="109" t="s">
        <v>76</v>
      </c>
      <c r="C57" s="109" t="s">
        <v>1528</v>
      </c>
      <c r="D57" s="109" t="s">
        <v>1528</v>
      </c>
      <c r="E57" cm="1">
        <f t="array" ref="E57">_xlfn.IFS(C57="Yes", 1,C57="No",2)</f>
        <v>2</v>
      </c>
      <c r="F57" cm="1">
        <f t="array" ref="F57">_xlfn.IFS(D57="Yes", 1,D57="No",2)</f>
        <v>2</v>
      </c>
      <c r="G57">
        <f t="shared" si="0"/>
        <v>4</v>
      </c>
      <c r="H57" t="str" cm="1">
        <f t="array" ref="H57">_xlfn.IFS(G57=2,"B",G57=3,"C",G57=4,"D")</f>
        <v>D</v>
      </c>
    </row>
    <row r="58" spans="1:8" x14ac:dyDescent="0.35">
      <c r="A58">
        <v>1998</v>
      </c>
      <c r="B58" s="108" t="s">
        <v>77</v>
      </c>
      <c r="C58" s="108" t="s">
        <v>1528</v>
      </c>
      <c r="D58" s="108" t="s">
        <v>1527</v>
      </c>
      <c r="E58" cm="1">
        <f t="array" ref="E58">_xlfn.IFS(C58="Yes", 1,C58="No",2)</f>
        <v>2</v>
      </c>
      <c r="F58" cm="1">
        <f t="array" ref="F58">_xlfn.IFS(D58="Yes", 1,D58="No",2)</f>
        <v>1</v>
      </c>
      <c r="G58">
        <f t="shared" si="0"/>
        <v>3</v>
      </c>
      <c r="H58" t="str" cm="1">
        <f t="array" ref="H58">_xlfn.IFS(G58=2,"B",G58=3,"C",G58=4,"D")</f>
        <v>C</v>
      </c>
    </row>
    <row r="59" spans="1:8" x14ac:dyDescent="0.35">
      <c r="A59">
        <v>2221</v>
      </c>
      <c r="B59" s="109" t="s">
        <v>78</v>
      </c>
      <c r="C59" s="109" t="s">
        <v>1528</v>
      </c>
      <c r="D59" s="109" t="s">
        <v>1528</v>
      </c>
      <c r="E59" cm="1">
        <f t="array" ref="E59">_xlfn.IFS(C59="Yes", 1,C59="No",2)</f>
        <v>2</v>
      </c>
      <c r="F59" cm="1">
        <f t="array" ref="F59">_xlfn.IFS(D59="Yes", 1,D59="No",2)</f>
        <v>2</v>
      </c>
      <c r="G59">
        <f t="shared" si="0"/>
        <v>4</v>
      </c>
      <c r="H59" t="str" cm="1">
        <f t="array" ref="H59">_xlfn.IFS(G59=2,"B",G59=3,"C",G59=4,"D")</f>
        <v>D</v>
      </c>
    </row>
    <row r="60" spans="1:8" x14ac:dyDescent="0.35">
      <c r="A60">
        <v>1930</v>
      </c>
      <c r="B60" s="108" t="s">
        <v>79</v>
      </c>
      <c r="C60" s="108" t="s">
        <v>1528</v>
      </c>
      <c r="D60" s="108" t="s">
        <v>1528</v>
      </c>
      <c r="E60" cm="1">
        <f t="array" ref="E60">_xlfn.IFS(C60="Yes", 1,C60="No",2)</f>
        <v>2</v>
      </c>
      <c r="F60" cm="1">
        <f t="array" ref="F60">_xlfn.IFS(D60="Yes", 1,D60="No",2)</f>
        <v>2</v>
      </c>
      <c r="G60">
        <f t="shared" si="0"/>
        <v>4</v>
      </c>
      <c r="H60" t="str" cm="1">
        <f t="array" ref="H60">_xlfn.IFS(G60=2,"B",G60=3,"C",G60=4,"D")</f>
        <v>D</v>
      </c>
    </row>
    <row r="61" spans="1:8" x14ac:dyDescent="0.35">
      <c r="A61">
        <v>2082</v>
      </c>
      <c r="B61" s="109" t="s">
        <v>80</v>
      </c>
      <c r="C61" s="109" t="s">
        <v>1528</v>
      </c>
      <c r="D61" s="109" t="s">
        <v>1528</v>
      </c>
      <c r="E61" cm="1">
        <f t="array" ref="E61">_xlfn.IFS(C61="Yes", 1,C61="No",2)</f>
        <v>2</v>
      </c>
      <c r="F61" cm="1">
        <f t="array" ref="F61">_xlfn.IFS(D61="Yes", 1,D61="No",2)</f>
        <v>2</v>
      </c>
      <c r="G61">
        <f t="shared" si="0"/>
        <v>4</v>
      </c>
      <c r="H61" t="str" cm="1">
        <f t="array" ref="H61">_xlfn.IFS(G61=2,"B",G61=3,"C",G61=4,"D")</f>
        <v>D</v>
      </c>
    </row>
    <row r="62" spans="1:8" x14ac:dyDescent="0.35">
      <c r="A62">
        <v>2193</v>
      </c>
      <c r="B62" s="108" t="s">
        <v>81</v>
      </c>
      <c r="C62" s="108" t="s">
        <v>1528</v>
      </c>
      <c r="D62" s="108" t="s">
        <v>1527</v>
      </c>
      <c r="E62" cm="1">
        <f t="array" ref="E62">_xlfn.IFS(C62="Yes", 1,C62="No",2)</f>
        <v>2</v>
      </c>
      <c r="F62" cm="1">
        <f t="array" ref="F62">_xlfn.IFS(D62="Yes", 1,D62="No",2)</f>
        <v>1</v>
      </c>
      <c r="G62">
        <f t="shared" si="0"/>
        <v>3</v>
      </c>
      <c r="H62" t="str" cm="1">
        <f t="array" ref="H62">_xlfn.IFS(G62=2,"B",G62=3,"C",G62=4,"D")</f>
        <v>C</v>
      </c>
    </row>
    <row r="63" spans="1:8" x14ac:dyDescent="0.35">
      <c r="A63">
        <v>2084</v>
      </c>
      <c r="B63" s="109" t="s">
        <v>82</v>
      </c>
      <c r="C63" s="109" t="s">
        <v>1528</v>
      </c>
      <c r="D63" s="109" t="s">
        <v>1528</v>
      </c>
      <c r="E63" cm="1">
        <f t="array" ref="E63">_xlfn.IFS(C63="Yes", 1,C63="No",2)</f>
        <v>2</v>
      </c>
      <c r="F63" cm="1">
        <f t="array" ref="F63">_xlfn.IFS(D63="Yes", 1,D63="No",2)</f>
        <v>2</v>
      </c>
      <c r="G63">
        <f t="shared" si="0"/>
        <v>4</v>
      </c>
      <c r="H63" t="str" cm="1">
        <f t="array" ref="H63">_xlfn.IFS(G63=2,"B",G63=3,"C",G63=4,"D")</f>
        <v>D</v>
      </c>
    </row>
    <row r="64" spans="1:8" x14ac:dyDescent="0.35">
      <c r="A64">
        <v>2241</v>
      </c>
      <c r="B64" s="108" t="s">
        <v>83</v>
      </c>
      <c r="C64" s="108" t="s">
        <v>1528</v>
      </c>
      <c r="D64" s="108" t="s">
        <v>1528</v>
      </c>
      <c r="E64" cm="1">
        <f t="array" ref="E64">_xlfn.IFS(C64="Yes", 1,C64="No",2)</f>
        <v>2</v>
      </c>
      <c r="F64" cm="1">
        <f t="array" ref="F64">_xlfn.IFS(D64="Yes", 1,D64="No",2)</f>
        <v>2</v>
      </c>
      <c r="G64">
        <f t="shared" si="0"/>
        <v>4</v>
      </c>
      <c r="H64" t="str" cm="1">
        <f t="array" ref="H64">_xlfn.IFS(G64=2,"B",G64=3,"C",G64=4,"D")</f>
        <v>D</v>
      </c>
    </row>
    <row r="65" spans="1:8" x14ac:dyDescent="0.35">
      <c r="A65">
        <v>2248</v>
      </c>
      <c r="B65" s="109" t="s">
        <v>84</v>
      </c>
      <c r="C65" s="109" t="s">
        <v>1527</v>
      </c>
      <c r="D65" s="109" t="s">
        <v>1527</v>
      </c>
      <c r="E65" cm="1">
        <f t="array" ref="E65">_xlfn.IFS(C65="Yes", 1,C65="No",2)</f>
        <v>1</v>
      </c>
      <c r="F65" cm="1">
        <f t="array" ref="F65">_xlfn.IFS(D65="Yes", 1,D65="No",2)</f>
        <v>1</v>
      </c>
      <c r="G65">
        <f t="shared" si="0"/>
        <v>2</v>
      </c>
      <c r="H65" t="str" cm="1">
        <f t="array" ref="H65">_xlfn.IFS(G65=2,"B",G65=3,"C",G65=4,"D")</f>
        <v>B</v>
      </c>
    </row>
    <row r="66" spans="1:8" x14ac:dyDescent="0.35">
      <c r="A66">
        <v>2020</v>
      </c>
      <c r="B66" s="108" t="s">
        <v>85</v>
      </c>
      <c r="C66" s="108" t="s">
        <v>1528</v>
      </c>
      <c r="D66" s="108" t="s">
        <v>1528</v>
      </c>
      <c r="E66" cm="1">
        <f t="array" ref="E66">_xlfn.IFS(C66="Yes", 1,C66="No",2)</f>
        <v>2</v>
      </c>
      <c r="F66" cm="1">
        <f t="array" ref="F66">_xlfn.IFS(D66="Yes", 1,D66="No",2)</f>
        <v>2</v>
      </c>
      <c r="G66">
        <f t="shared" si="0"/>
        <v>4</v>
      </c>
      <c r="H66" t="str" cm="1">
        <f t="array" ref="H66">_xlfn.IFS(G66=2,"B",G66=3,"C",G66=4,"D")</f>
        <v>D</v>
      </c>
    </row>
    <row r="67" spans="1:8" x14ac:dyDescent="0.35">
      <c r="A67">
        <v>2245</v>
      </c>
      <c r="B67" s="109" t="s">
        <v>86</v>
      </c>
      <c r="C67" s="109" t="s">
        <v>1528</v>
      </c>
      <c r="D67" s="109" t="s">
        <v>1527</v>
      </c>
      <c r="E67" cm="1">
        <f t="array" ref="E67">_xlfn.IFS(C67="Yes", 1,C67="No",2)</f>
        <v>2</v>
      </c>
      <c r="F67" cm="1">
        <f t="array" ref="F67">_xlfn.IFS(D67="Yes", 1,D67="No",2)</f>
        <v>1</v>
      </c>
      <c r="G67">
        <f t="shared" si="0"/>
        <v>3</v>
      </c>
      <c r="H67" t="str" cm="1">
        <f t="array" ref="H67">_xlfn.IFS(G67=2,"B",G67=3,"C",G67=4,"D")</f>
        <v>C</v>
      </c>
    </row>
    <row r="68" spans="1:8" x14ac:dyDescent="0.35">
      <c r="A68">
        <v>2137</v>
      </c>
      <c r="B68" s="108" t="s">
        <v>87</v>
      </c>
      <c r="C68" s="108" t="s">
        <v>1528</v>
      </c>
      <c r="D68" s="108" t="s">
        <v>1528</v>
      </c>
      <c r="E68" cm="1">
        <f t="array" ref="E68">_xlfn.IFS(C68="Yes", 1,C68="No",2)</f>
        <v>2</v>
      </c>
      <c r="F68" cm="1">
        <f t="array" ref="F68">_xlfn.IFS(D68="Yes", 1,D68="No",2)</f>
        <v>2</v>
      </c>
      <c r="G68">
        <f t="shared" ref="G68:G131" si="1">SUM(E68:F68)</f>
        <v>4</v>
      </c>
      <c r="H68" t="str" cm="1">
        <f t="array" ref="H68">_xlfn.IFS(G68=2,"B",G68=3,"C",G68=4,"D")</f>
        <v>D</v>
      </c>
    </row>
    <row r="69" spans="1:8" x14ac:dyDescent="0.35">
      <c r="A69">
        <v>1931</v>
      </c>
      <c r="B69" s="109" t="s">
        <v>88</v>
      </c>
      <c r="C69" s="109" t="s">
        <v>1528</v>
      </c>
      <c r="D69" s="109" t="s">
        <v>1528</v>
      </c>
      <c r="E69" cm="1">
        <f t="array" ref="E69">_xlfn.IFS(C69="Yes", 1,C69="No",2)</f>
        <v>2</v>
      </c>
      <c r="F69" cm="1">
        <f t="array" ref="F69">_xlfn.IFS(D69="Yes", 1,D69="No",2)</f>
        <v>2</v>
      </c>
      <c r="G69">
        <f t="shared" si="1"/>
        <v>4</v>
      </c>
      <c r="H69" t="str" cm="1">
        <f t="array" ref="H69">_xlfn.IFS(G69=2,"B",G69=3,"C",G69=4,"D")</f>
        <v>D</v>
      </c>
    </row>
    <row r="70" spans="1:8" x14ac:dyDescent="0.35">
      <c r="A70">
        <v>2000</v>
      </c>
      <c r="B70" s="108" t="s">
        <v>89</v>
      </c>
      <c r="C70" s="108" t="s">
        <v>1528</v>
      </c>
      <c r="D70" s="108" t="s">
        <v>1528</v>
      </c>
      <c r="E70" cm="1">
        <f t="array" ref="E70">_xlfn.IFS(C70="Yes", 1,C70="No",2)</f>
        <v>2</v>
      </c>
      <c r="F70" cm="1">
        <f t="array" ref="F70">_xlfn.IFS(D70="Yes", 1,D70="No",2)</f>
        <v>2</v>
      </c>
      <c r="G70">
        <f t="shared" si="1"/>
        <v>4</v>
      </c>
      <c r="H70" t="str" cm="1">
        <f t="array" ref="H70">_xlfn.IFS(G70=2,"B",G70=3,"C",G70=4,"D")</f>
        <v>D</v>
      </c>
    </row>
    <row r="71" spans="1:8" x14ac:dyDescent="0.35">
      <c r="A71">
        <v>1992</v>
      </c>
      <c r="B71" s="109" t="s">
        <v>90</v>
      </c>
      <c r="C71" s="109" t="s">
        <v>1528</v>
      </c>
      <c r="D71" s="109" t="s">
        <v>1528</v>
      </c>
      <c r="E71" cm="1">
        <f t="array" ref="E71">_xlfn.IFS(C71="Yes", 1,C71="No",2)</f>
        <v>2</v>
      </c>
      <c r="F71" cm="1">
        <f t="array" ref="F71">_xlfn.IFS(D71="Yes", 1,D71="No",2)</f>
        <v>2</v>
      </c>
      <c r="G71">
        <f t="shared" si="1"/>
        <v>4</v>
      </c>
      <c r="H71" t="str" cm="1">
        <f t="array" ref="H71">_xlfn.IFS(G71=2,"B",G71=3,"C",G71=4,"D")</f>
        <v>D</v>
      </c>
    </row>
    <row r="72" spans="1:8" x14ac:dyDescent="0.35">
      <c r="A72">
        <v>2054</v>
      </c>
      <c r="B72" s="108" t="s">
        <v>91</v>
      </c>
      <c r="C72" s="108" t="s">
        <v>1528</v>
      </c>
      <c r="D72" s="108" t="s">
        <v>1528</v>
      </c>
      <c r="E72" cm="1">
        <f t="array" ref="E72">_xlfn.IFS(C72="Yes", 1,C72="No",2)</f>
        <v>2</v>
      </c>
      <c r="F72" cm="1">
        <f t="array" ref="F72">_xlfn.IFS(D72="Yes", 1,D72="No",2)</f>
        <v>2</v>
      </c>
      <c r="G72">
        <f t="shared" si="1"/>
        <v>4</v>
      </c>
      <c r="H72" t="str" cm="1">
        <f t="array" ref="H72">_xlfn.IFS(G72=2,"B",G72=3,"C",G72=4,"D")</f>
        <v>D</v>
      </c>
    </row>
    <row r="73" spans="1:8" x14ac:dyDescent="0.35">
      <c r="A73">
        <v>2100</v>
      </c>
      <c r="B73" s="109" t="s">
        <v>92</v>
      </c>
      <c r="C73" s="109" t="s">
        <v>1528</v>
      </c>
      <c r="D73" s="109" t="s">
        <v>1527</v>
      </c>
      <c r="E73" cm="1">
        <f t="array" ref="E73">_xlfn.IFS(C73="Yes", 1,C73="No",2)</f>
        <v>2</v>
      </c>
      <c r="F73" cm="1">
        <f t="array" ref="F73">_xlfn.IFS(D73="Yes", 1,D73="No",2)</f>
        <v>1</v>
      </c>
      <c r="G73">
        <f t="shared" si="1"/>
        <v>3</v>
      </c>
      <c r="H73" t="str" cm="1">
        <f t="array" ref="H73">_xlfn.IFS(G73=2,"B",G73=3,"C",G73=4,"D")</f>
        <v>C</v>
      </c>
    </row>
    <row r="74" spans="1:8" x14ac:dyDescent="0.35">
      <c r="A74">
        <v>2183</v>
      </c>
      <c r="B74" s="108" t="s">
        <v>93</v>
      </c>
      <c r="C74" s="108" t="s">
        <v>1528</v>
      </c>
      <c r="D74" s="108" t="s">
        <v>1528</v>
      </c>
      <c r="E74" cm="1">
        <f t="array" ref="E74">_xlfn.IFS(C74="Yes", 1,C74="No",2)</f>
        <v>2</v>
      </c>
      <c r="F74" cm="1">
        <f t="array" ref="F74">_xlfn.IFS(D74="Yes", 1,D74="No",2)</f>
        <v>2</v>
      </c>
      <c r="G74">
        <f t="shared" si="1"/>
        <v>4</v>
      </c>
      <c r="H74" t="str" cm="1">
        <f t="array" ref="H74">_xlfn.IFS(G74=2,"B",G74=3,"C",G74=4,"D")</f>
        <v>D</v>
      </c>
    </row>
    <row r="75" spans="1:8" x14ac:dyDescent="0.35">
      <c r="A75">
        <v>2014</v>
      </c>
      <c r="B75" s="109" t="s">
        <v>94</v>
      </c>
      <c r="C75" s="109" t="s">
        <v>1528</v>
      </c>
      <c r="D75" s="109" t="s">
        <v>1528</v>
      </c>
      <c r="E75" cm="1">
        <f t="array" ref="E75">_xlfn.IFS(C75="Yes", 1,C75="No",2)</f>
        <v>2</v>
      </c>
      <c r="F75" cm="1">
        <f t="array" ref="F75">_xlfn.IFS(D75="Yes", 1,D75="No",2)</f>
        <v>2</v>
      </c>
      <c r="G75">
        <f t="shared" si="1"/>
        <v>4</v>
      </c>
      <c r="H75" t="str" cm="1">
        <f t="array" ref="H75">_xlfn.IFS(G75=2,"B",G75=3,"C",G75=4,"D")</f>
        <v>D</v>
      </c>
    </row>
    <row r="76" spans="1:8" x14ac:dyDescent="0.35">
      <c r="A76">
        <v>2015</v>
      </c>
      <c r="B76" s="108" t="s">
        <v>95</v>
      </c>
      <c r="C76" s="108" t="s">
        <v>1528</v>
      </c>
      <c r="D76" s="108" t="s">
        <v>1528</v>
      </c>
      <c r="E76" cm="1">
        <f t="array" ref="E76">_xlfn.IFS(C76="Yes", 1,C76="No",2)</f>
        <v>2</v>
      </c>
      <c r="F76" cm="1">
        <f t="array" ref="F76">_xlfn.IFS(D76="Yes", 1,D76="No",2)</f>
        <v>2</v>
      </c>
      <c r="G76">
        <f t="shared" si="1"/>
        <v>4</v>
      </c>
      <c r="H76" t="str" cm="1">
        <f t="array" ref="H76">_xlfn.IFS(G76=2,"B",G76=3,"C",G76=4,"D")</f>
        <v>D</v>
      </c>
    </row>
    <row r="77" spans="1:8" x14ac:dyDescent="0.35">
      <c r="A77">
        <v>2023</v>
      </c>
      <c r="B77" s="109" t="s">
        <v>96</v>
      </c>
      <c r="C77" s="109" t="s">
        <v>1528</v>
      </c>
      <c r="D77" s="109" t="s">
        <v>1528</v>
      </c>
      <c r="E77" cm="1">
        <f t="array" ref="E77">_xlfn.IFS(C77="Yes", 1,C77="No",2)</f>
        <v>2</v>
      </c>
      <c r="F77" cm="1">
        <f t="array" ref="F77">_xlfn.IFS(D77="Yes", 1,D77="No",2)</f>
        <v>2</v>
      </c>
      <c r="G77">
        <f t="shared" si="1"/>
        <v>4</v>
      </c>
      <c r="H77" t="str" cm="1">
        <f t="array" ref="H77">_xlfn.IFS(G77=2,"B",G77=3,"C",G77=4,"D")</f>
        <v>D</v>
      </c>
    </row>
    <row r="78" spans="1:8" x14ac:dyDescent="0.35">
      <c r="A78">
        <v>2114</v>
      </c>
      <c r="B78" s="108" t="s">
        <v>97</v>
      </c>
      <c r="C78" s="108" t="s">
        <v>1528</v>
      </c>
      <c r="D78" s="108" t="s">
        <v>1528</v>
      </c>
      <c r="E78" cm="1">
        <f t="array" ref="E78">_xlfn.IFS(C78="Yes", 1,C78="No",2)</f>
        <v>2</v>
      </c>
      <c r="F78" cm="1">
        <f t="array" ref="F78">_xlfn.IFS(D78="Yes", 1,D78="No",2)</f>
        <v>2</v>
      </c>
      <c r="G78">
        <f t="shared" si="1"/>
        <v>4</v>
      </c>
      <c r="H78" t="str" cm="1">
        <f t="array" ref="H78">_xlfn.IFS(G78=2,"B",G78=3,"C",G78=4,"D")</f>
        <v>D</v>
      </c>
    </row>
    <row r="79" spans="1:8" x14ac:dyDescent="0.35">
      <c r="A79">
        <v>2099</v>
      </c>
      <c r="B79" s="109" t="s">
        <v>98</v>
      </c>
      <c r="C79" s="109" t="s">
        <v>1527</v>
      </c>
      <c r="D79" s="109" t="s">
        <v>1528</v>
      </c>
      <c r="E79" cm="1">
        <f t="array" ref="E79">_xlfn.IFS(C79="Yes", 1,C79="No",2)</f>
        <v>1</v>
      </c>
      <c r="F79" cm="1">
        <f t="array" ref="F79">_xlfn.IFS(D79="Yes", 1,D79="No",2)</f>
        <v>2</v>
      </c>
      <c r="G79">
        <f t="shared" si="1"/>
        <v>3</v>
      </c>
      <c r="H79" t="str" cm="1">
        <f t="array" ref="H79">_xlfn.IFS(G79=2,"B",G79=3,"C",G79=4,"D")</f>
        <v>C</v>
      </c>
    </row>
    <row r="80" spans="1:8" x14ac:dyDescent="0.35">
      <c r="A80">
        <v>2201</v>
      </c>
      <c r="B80" s="108" t="s">
        <v>99</v>
      </c>
      <c r="C80" s="108" t="s">
        <v>1528</v>
      </c>
      <c r="D80" s="108" t="s">
        <v>1528</v>
      </c>
      <c r="E80" cm="1">
        <f t="array" ref="E80">_xlfn.IFS(C80="Yes", 1,C80="No",2)</f>
        <v>2</v>
      </c>
      <c r="F80" cm="1">
        <f t="array" ref="F80">_xlfn.IFS(D80="Yes", 1,D80="No",2)</f>
        <v>2</v>
      </c>
      <c r="G80">
        <f t="shared" si="1"/>
        <v>4</v>
      </c>
      <c r="H80" t="str" cm="1">
        <f t="array" ref="H80">_xlfn.IFS(G80=2,"B",G80=3,"C",G80=4,"D")</f>
        <v>D</v>
      </c>
    </row>
    <row r="81" spans="1:8" x14ac:dyDescent="0.35">
      <c r="A81">
        <v>2206</v>
      </c>
      <c r="B81" s="109" t="s">
        <v>100</v>
      </c>
      <c r="C81" s="109" t="s">
        <v>1528</v>
      </c>
      <c r="D81" s="109" t="s">
        <v>1528</v>
      </c>
      <c r="E81" cm="1">
        <f t="array" ref="E81">_xlfn.IFS(C81="Yes", 1,C81="No",2)</f>
        <v>2</v>
      </c>
      <c r="F81" cm="1">
        <f t="array" ref="F81">_xlfn.IFS(D81="Yes", 1,D81="No",2)</f>
        <v>2</v>
      </c>
      <c r="G81">
        <f t="shared" si="1"/>
        <v>4</v>
      </c>
      <c r="H81" t="str" cm="1">
        <f t="array" ref="H81">_xlfn.IFS(G81=2,"B",G81=3,"C",G81=4,"D")</f>
        <v>D</v>
      </c>
    </row>
    <row r="82" spans="1:8" x14ac:dyDescent="0.35">
      <c r="A82">
        <v>2239</v>
      </c>
      <c r="B82" s="108" t="s">
        <v>101</v>
      </c>
      <c r="C82" s="108" t="s">
        <v>1528</v>
      </c>
      <c r="D82" s="108" t="s">
        <v>1527</v>
      </c>
      <c r="E82" cm="1">
        <f t="array" ref="E82">_xlfn.IFS(C82="Yes", 1,C82="No",2)</f>
        <v>2</v>
      </c>
      <c r="F82" cm="1">
        <f t="array" ref="F82">_xlfn.IFS(D82="Yes", 1,D82="No",2)</f>
        <v>1</v>
      </c>
      <c r="G82">
        <f t="shared" si="1"/>
        <v>3</v>
      </c>
      <c r="H82" t="str" cm="1">
        <f t="array" ref="H82">_xlfn.IFS(G82=2,"B",G82=3,"C",G82=4,"D")</f>
        <v>C</v>
      </c>
    </row>
    <row r="83" spans="1:8" x14ac:dyDescent="0.35">
      <c r="A83">
        <v>2024</v>
      </c>
      <c r="B83" s="109" t="s">
        <v>102</v>
      </c>
      <c r="C83" s="109" t="s">
        <v>1528</v>
      </c>
      <c r="D83" s="109" t="s">
        <v>1528</v>
      </c>
      <c r="E83" cm="1">
        <f t="array" ref="E83">_xlfn.IFS(C83="Yes", 1,C83="No",2)</f>
        <v>2</v>
      </c>
      <c r="F83" cm="1">
        <f t="array" ref="F83">_xlfn.IFS(D83="Yes", 1,D83="No",2)</f>
        <v>2</v>
      </c>
      <c r="G83">
        <f t="shared" si="1"/>
        <v>4</v>
      </c>
      <c r="H83" t="str" cm="1">
        <f t="array" ref="H83">_xlfn.IFS(G83=2,"B",G83=3,"C",G83=4,"D")</f>
        <v>D</v>
      </c>
    </row>
    <row r="84" spans="1:8" x14ac:dyDescent="0.35">
      <c r="A84">
        <v>1895</v>
      </c>
      <c r="B84" s="108" t="s">
        <v>103</v>
      </c>
      <c r="C84" s="108" t="s">
        <v>1528</v>
      </c>
      <c r="D84" s="108" t="s">
        <v>1528</v>
      </c>
      <c r="E84" cm="1">
        <f t="array" ref="E84">_xlfn.IFS(C84="Yes", 1,C84="No",2)</f>
        <v>2</v>
      </c>
      <c r="F84" cm="1">
        <f t="array" ref="F84">_xlfn.IFS(D84="Yes", 1,D84="No",2)</f>
        <v>2</v>
      </c>
      <c r="G84">
        <f t="shared" si="1"/>
        <v>4</v>
      </c>
      <c r="H84" t="str" cm="1">
        <f t="array" ref="H84">_xlfn.IFS(G84=2,"B",G84=3,"C",G84=4,"D")</f>
        <v>D</v>
      </c>
    </row>
    <row r="85" spans="1:8" x14ac:dyDescent="0.35">
      <c r="A85">
        <v>2215</v>
      </c>
      <c r="B85" s="109" t="s">
        <v>104</v>
      </c>
      <c r="C85" s="109" t="s">
        <v>1528</v>
      </c>
      <c r="D85" s="109" t="s">
        <v>1528</v>
      </c>
      <c r="E85" cm="1">
        <f t="array" ref="E85">_xlfn.IFS(C85="Yes", 1,C85="No",2)</f>
        <v>2</v>
      </c>
      <c r="F85" cm="1">
        <f t="array" ref="F85">_xlfn.IFS(D85="Yes", 1,D85="No",2)</f>
        <v>2</v>
      </c>
      <c r="G85">
        <f t="shared" si="1"/>
        <v>4</v>
      </c>
      <c r="H85" t="str" cm="1">
        <f t="array" ref="H85">_xlfn.IFS(G85=2,"B",G85=3,"C",G85=4,"D")</f>
        <v>D</v>
      </c>
    </row>
    <row r="86" spans="1:8" x14ac:dyDescent="0.35">
      <c r="A86">
        <v>3997</v>
      </c>
      <c r="B86" s="108" t="s">
        <v>105</v>
      </c>
      <c r="C86" s="108" t="s">
        <v>1528</v>
      </c>
      <c r="D86" s="108" t="s">
        <v>1528</v>
      </c>
      <c r="E86" cm="1">
        <f t="array" ref="E86">_xlfn.IFS(C86="Yes", 1,C86="No",2)</f>
        <v>2</v>
      </c>
      <c r="F86" cm="1">
        <f t="array" ref="F86">_xlfn.IFS(D86="Yes", 1,D86="No",2)</f>
        <v>2</v>
      </c>
      <c r="G86">
        <f t="shared" si="1"/>
        <v>4</v>
      </c>
      <c r="H86" t="str" cm="1">
        <f t="array" ref="H86">_xlfn.IFS(G86=2,"B",G86=3,"C",G86=4,"D")</f>
        <v>D</v>
      </c>
    </row>
    <row r="87" spans="1:8" x14ac:dyDescent="0.35">
      <c r="A87">
        <v>2053</v>
      </c>
      <c r="B87" s="109" t="s">
        <v>106</v>
      </c>
      <c r="C87" s="109" t="s">
        <v>1528</v>
      </c>
      <c r="D87" s="109" t="s">
        <v>1528</v>
      </c>
      <c r="E87" cm="1">
        <f t="array" ref="E87">_xlfn.IFS(C87="Yes", 1,C87="No",2)</f>
        <v>2</v>
      </c>
      <c r="F87" cm="1">
        <f t="array" ref="F87">_xlfn.IFS(D87="Yes", 1,D87="No",2)</f>
        <v>2</v>
      </c>
      <c r="G87">
        <f t="shared" si="1"/>
        <v>4</v>
      </c>
      <c r="H87" t="str" cm="1">
        <f t="array" ref="H87">_xlfn.IFS(G87=2,"B",G87=3,"C",G87=4,"D")</f>
        <v>D</v>
      </c>
    </row>
    <row r="88" spans="1:8" x14ac:dyDescent="0.35">
      <c r="A88">
        <v>2140</v>
      </c>
      <c r="B88" s="108" t="s">
        <v>107</v>
      </c>
      <c r="C88" s="108" t="s">
        <v>1528</v>
      </c>
      <c r="D88" s="108" t="s">
        <v>1528</v>
      </c>
      <c r="E88" cm="1">
        <f t="array" ref="E88">_xlfn.IFS(C88="Yes", 1,C88="No",2)</f>
        <v>2</v>
      </c>
      <c r="F88" cm="1">
        <f t="array" ref="F88">_xlfn.IFS(D88="Yes", 1,D88="No",2)</f>
        <v>2</v>
      </c>
      <c r="G88">
        <f t="shared" si="1"/>
        <v>4</v>
      </c>
      <c r="H88" t="str" cm="1">
        <f t="array" ref="H88">_xlfn.IFS(G88=2,"B",G88=3,"C",G88=4,"D")</f>
        <v>D</v>
      </c>
    </row>
    <row r="89" spans="1:8" x14ac:dyDescent="0.35">
      <c r="A89">
        <v>1934</v>
      </c>
      <c r="B89" s="109" t="s">
        <v>108</v>
      </c>
      <c r="C89" s="109" t="s">
        <v>1528</v>
      </c>
      <c r="D89" s="109" t="s">
        <v>1528</v>
      </c>
      <c r="E89" cm="1">
        <f t="array" ref="E89">_xlfn.IFS(C89="Yes", 1,C89="No",2)</f>
        <v>2</v>
      </c>
      <c r="F89" cm="1">
        <f t="array" ref="F89">_xlfn.IFS(D89="Yes", 1,D89="No",2)</f>
        <v>2</v>
      </c>
      <c r="G89">
        <f t="shared" si="1"/>
        <v>4</v>
      </c>
      <c r="H89" t="str" cm="1">
        <f t="array" ref="H89">_xlfn.IFS(G89=2,"B",G89=3,"C",G89=4,"D")</f>
        <v>D</v>
      </c>
    </row>
    <row r="90" spans="1:8" x14ac:dyDescent="0.35">
      <c r="A90">
        <v>2008</v>
      </c>
      <c r="B90" s="108" t="s">
        <v>109</v>
      </c>
      <c r="C90" s="108" t="s">
        <v>1528</v>
      </c>
      <c r="D90" s="108" t="s">
        <v>1528</v>
      </c>
      <c r="E90" cm="1">
        <f t="array" ref="E90">_xlfn.IFS(C90="Yes", 1,C90="No",2)</f>
        <v>2</v>
      </c>
      <c r="F90" cm="1">
        <f t="array" ref="F90">_xlfn.IFS(D90="Yes", 1,D90="No",2)</f>
        <v>2</v>
      </c>
      <c r="G90">
        <f t="shared" si="1"/>
        <v>4</v>
      </c>
      <c r="H90" t="str" cm="1">
        <f t="array" ref="H90">_xlfn.IFS(G90=2,"B",G90=3,"C",G90=4,"D")</f>
        <v>D</v>
      </c>
    </row>
    <row r="91" spans="1:8" x14ac:dyDescent="0.35">
      <c r="A91">
        <v>2107</v>
      </c>
      <c r="B91" s="109" t="s">
        <v>110</v>
      </c>
      <c r="C91" s="109" t="s">
        <v>1528</v>
      </c>
      <c r="D91" s="109" t="s">
        <v>1528</v>
      </c>
      <c r="E91" cm="1">
        <f t="array" ref="E91">_xlfn.IFS(C91="Yes", 1,C91="No",2)</f>
        <v>2</v>
      </c>
      <c r="F91" cm="1">
        <f t="array" ref="F91">_xlfn.IFS(D91="Yes", 1,D91="No",2)</f>
        <v>2</v>
      </c>
      <c r="G91">
        <f t="shared" si="1"/>
        <v>4</v>
      </c>
      <c r="H91" t="str" cm="1">
        <f t="array" ref="H91">_xlfn.IFS(G91=2,"B",G91=3,"C",G91=4,"D")</f>
        <v>D</v>
      </c>
    </row>
    <row r="92" spans="1:8" x14ac:dyDescent="0.35">
      <c r="A92">
        <v>2219</v>
      </c>
      <c r="B92" s="108" t="s">
        <v>111</v>
      </c>
      <c r="C92" s="108" t="s">
        <v>1528</v>
      </c>
      <c r="D92" s="108" t="s">
        <v>1528</v>
      </c>
      <c r="E92" cm="1">
        <f t="array" ref="E92">_xlfn.IFS(C92="Yes", 1,C92="No",2)</f>
        <v>2</v>
      </c>
      <c r="F92" cm="1">
        <f t="array" ref="F92">_xlfn.IFS(D92="Yes", 1,D92="No",2)</f>
        <v>2</v>
      </c>
      <c r="G92">
        <f t="shared" si="1"/>
        <v>4</v>
      </c>
      <c r="H92" t="str" cm="1">
        <f t="array" ref="H92">_xlfn.IFS(G92=2,"B",G92=3,"C",G92=4,"D")</f>
        <v>D</v>
      </c>
    </row>
    <row r="93" spans="1:8" x14ac:dyDescent="0.35">
      <c r="A93">
        <v>2091</v>
      </c>
      <c r="B93" s="109" t="s">
        <v>112</v>
      </c>
      <c r="C93" s="109" t="s">
        <v>1528</v>
      </c>
      <c r="D93" s="109" t="s">
        <v>1528</v>
      </c>
      <c r="E93" cm="1">
        <f t="array" ref="E93">_xlfn.IFS(C93="Yes", 1,C93="No",2)</f>
        <v>2</v>
      </c>
      <c r="F93" cm="1">
        <f t="array" ref="F93">_xlfn.IFS(D93="Yes", 1,D93="No",2)</f>
        <v>2</v>
      </c>
      <c r="G93">
        <f t="shared" si="1"/>
        <v>4</v>
      </c>
      <c r="H93" t="str" cm="1">
        <f t="array" ref="H93">_xlfn.IFS(G93=2,"B",G93=3,"C",G93=4,"D")</f>
        <v>D</v>
      </c>
    </row>
    <row r="94" spans="1:8" x14ac:dyDescent="0.35">
      <c r="A94">
        <v>2109</v>
      </c>
      <c r="B94" s="108" t="s">
        <v>113</v>
      </c>
      <c r="C94" s="108" t="s">
        <v>1528</v>
      </c>
      <c r="D94" s="108" t="s">
        <v>1528</v>
      </c>
      <c r="E94" cm="1">
        <f t="array" ref="E94">_xlfn.IFS(C94="Yes", 1,C94="No",2)</f>
        <v>2</v>
      </c>
      <c r="F94" cm="1">
        <f t="array" ref="F94">_xlfn.IFS(D94="Yes", 1,D94="No",2)</f>
        <v>2</v>
      </c>
      <c r="G94">
        <f t="shared" si="1"/>
        <v>4</v>
      </c>
      <c r="H94" t="str" cm="1">
        <f t="array" ref="H94">_xlfn.IFS(G94=2,"B",G94=3,"C",G94=4,"D")</f>
        <v>D</v>
      </c>
    </row>
    <row r="95" spans="1:8" x14ac:dyDescent="0.35">
      <c r="A95">
        <v>2057</v>
      </c>
      <c r="B95" s="109" t="s">
        <v>114</v>
      </c>
      <c r="C95" s="109" t="s">
        <v>1528</v>
      </c>
      <c r="D95" s="109" t="s">
        <v>1528</v>
      </c>
      <c r="E95" cm="1">
        <f t="array" ref="E95">_xlfn.IFS(C95="Yes", 1,C95="No",2)</f>
        <v>2</v>
      </c>
      <c r="F95" cm="1">
        <f t="array" ref="F95">_xlfn.IFS(D95="Yes", 1,D95="No",2)</f>
        <v>2</v>
      </c>
      <c r="G95">
        <f t="shared" si="1"/>
        <v>4</v>
      </c>
      <c r="H95" t="str" cm="1">
        <f t="array" ref="H95">_xlfn.IFS(G95=2,"B",G95=3,"C",G95=4,"D")</f>
        <v>D</v>
      </c>
    </row>
    <row r="96" spans="1:8" x14ac:dyDescent="0.35">
      <c r="A96">
        <v>2056</v>
      </c>
      <c r="B96" s="108" t="s">
        <v>115</v>
      </c>
      <c r="C96" s="108" t="s">
        <v>1527</v>
      </c>
      <c r="D96" s="108" t="s">
        <v>1527</v>
      </c>
      <c r="E96" cm="1">
        <f t="array" ref="E96">_xlfn.IFS(C96="Yes", 1,C96="No",2)</f>
        <v>1</v>
      </c>
      <c r="F96" cm="1">
        <f t="array" ref="F96">_xlfn.IFS(D96="Yes", 1,D96="No",2)</f>
        <v>1</v>
      </c>
      <c r="G96">
        <f t="shared" si="1"/>
        <v>2</v>
      </c>
      <c r="H96" t="str" cm="1">
        <f t="array" ref="H96">_xlfn.IFS(G96=2,"B",G96=3,"C",G96=4,"D")</f>
        <v>B</v>
      </c>
    </row>
    <row r="97" spans="1:8" x14ac:dyDescent="0.35">
      <c r="A97">
        <v>2262</v>
      </c>
      <c r="B97" s="109" t="s">
        <v>116</v>
      </c>
      <c r="C97" s="109" t="s">
        <v>1528</v>
      </c>
      <c r="D97" s="109" t="s">
        <v>1528</v>
      </c>
      <c r="E97" cm="1">
        <f t="array" ref="E97">_xlfn.IFS(C97="Yes", 1,C97="No",2)</f>
        <v>2</v>
      </c>
      <c r="F97" cm="1">
        <f t="array" ref="F97">_xlfn.IFS(D97="Yes", 1,D97="No",2)</f>
        <v>2</v>
      </c>
      <c r="G97">
        <f t="shared" si="1"/>
        <v>4</v>
      </c>
      <c r="H97" t="str" cm="1">
        <f t="array" ref="H97">_xlfn.IFS(G97=2,"B",G97=3,"C",G97=4,"D")</f>
        <v>D</v>
      </c>
    </row>
    <row r="98" spans="1:8" x14ac:dyDescent="0.35">
      <c r="A98">
        <v>2212</v>
      </c>
      <c r="B98" s="108" t="s">
        <v>117</v>
      </c>
      <c r="C98" s="108" t="s">
        <v>1528</v>
      </c>
      <c r="D98" s="108" t="s">
        <v>1528</v>
      </c>
      <c r="E98" cm="1">
        <f t="array" ref="E98">_xlfn.IFS(C98="Yes", 1,C98="No",2)</f>
        <v>2</v>
      </c>
      <c r="F98" cm="1">
        <f t="array" ref="F98">_xlfn.IFS(D98="Yes", 1,D98="No",2)</f>
        <v>2</v>
      </c>
      <c r="G98">
        <f t="shared" si="1"/>
        <v>4</v>
      </c>
      <c r="H98" t="str" cm="1">
        <f t="array" ref="H98">_xlfn.IFS(G98=2,"B",G98=3,"C",G98=4,"D")</f>
        <v>D</v>
      </c>
    </row>
    <row r="99" spans="1:8" x14ac:dyDescent="0.35">
      <c r="A99">
        <v>2059</v>
      </c>
      <c r="B99" s="109" t="s">
        <v>118</v>
      </c>
      <c r="C99" s="109" t="s">
        <v>1528</v>
      </c>
      <c r="D99" s="109" t="s">
        <v>1528</v>
      </c>
      <c r="E99" cm="1">
        <f t="array" ref="E99">_xlfn.IFS(C99="Yes", 1,C99="No",2)</f>
        <v>2</v>
      </c>
      <c r="F99" cm="1">
        <f t="array" ref="F99">_xlfn.IFS(D99="Yes", 1,D99="No",2)</f>
        <v>2</v>
      </c>
      <c r="G99">
        <f t="shared" si="1"/>
        <v>4</v>
      </c>
      <c r="H99" t="str" cm="1">
        <f t="array" ref="H99">_xlfn.IFS(G99=2,"B",G99=3,"C",G99=4,"D")</f>
        <v>D</v>
      </c>
    </row>
    <row r="100" spans="1:8" x14ac:dyDescent="0.35">
      <c r="A100">
        <v>1923</v>
      </c>
      <c r="B100" s="108" t="s">
        <v>119</v>
      </c>
      <c r="C100" s="108" t="s">
        <v>1528</v>
      </c>
      <c r="D100" s="108" t="s">
        <v>1528</v>
      </c>
      <c r="E100" cm="1">
        <f t="array" ref="E100">_xlfn.IFS(C100="Yes", 1,C100="No",2)</f>
        <v>2</v>
      </c>
      <c r="F100" cm="1">
        <f t="array" ref="F100">_xlfn.IFS(D100="Yes", 1,D100="No",2)</f>
        <v>2</v>
      </c>
      <c r="G100">
        <f t="shared" si="1"/>
        <v>4</v>
      </c>
      <c r="H100" t="str" cm="1">
        <f t="array" ref="H100">_xlfn.IFS(G100=2,"B",G100=3,"C",G100=4,"D")</f>
        <v>D</v>
      </c>
    </row>
    <row r="101" spans="1:8" x14ac:dyDescent="0.35">
      <c r="A101">
        <v>2101</v>
      </c>
      <c r="B101" s="109" t="s">
        <v>120</v>
      </c>
      <c r="C101" s="109" t="s">
        <v>1528</v>
      </c>
      <c r="D101" s="109" t="s">
        <v>1528</v>
      </c>
      <c r="E101" cm="1">
        <f t="array" ref="E101">_xlfn.IFS(C101="Yes", 1,C101="No",2)</f>
        <v>2</v>
      </c>
      <c r="F101" cm="1">
        <f t="array" ref="F101">_xlfn.IFS(D101="Yes", 1,D101="No",2)</f>
        <v>2</v>
      </c>
      <c r="G101">
        <f t="shared" si="1"/>
        <v>4</v>
      </c>
      <c r="H101" t="str" cm="1">
        <f t="array" ref="H101">_xlfn.IFS(G101=2,"B",G101=3,"C",G101=4,"D")</f>
        <v>D</v>
      </c>
    </row>
    <row r="102" spans="1:8" x14ac:dyDescent="0.35">
      <c r="A102">
        <v>2097</v>
      </c>
      <c r="B102" s="108" t="s">
        <v>121</v>
      </c>
      <c r="C102" s="108" t="s">
        <v>1528</v>
      </c>
      <c r="D102" s="108" t="s">
        <v>1527</v>
      </c>
      <c r="E102" cm="1">
        <f t="array" ref="E102">_xlfn.IFS(C102="Yes", 1,C102="No",2)</f>
        <v>2</v>
      </c>
      <c r="F102" cm="1">
        <f t="array" ref="F102">_xlfn.IFS(D102="Yes", 1,D102="No",2)</f>
        <v>1</v>
      </c>
      <c r="G102">
        <f t="shared" si="1"/>
        <v>3</v>
      </c>
      <c r="H102" t="str" cm="1">
        <f t="array" ref="H102">_xlfn.IFS(G102=2,"B",G102=3,"C",G102=4,"D")</f>
        <v>C</v>
      </c>
    </row>
    <row r="103" spans="1:8" x14ac:dyDescent="0.35">
      <c r="A103">
        <v>2012</v>
      </c>
      <c r="B103" s="109" t="s">
        <v>122</v>
      </c>
      <c r="C103" s="109" t="s">
        <v>1528</v>
      </c>
      <c r="D103" s="109" t="s">
        <v>1528</v>
      </c>
      <c r="E103" cm="1">
        <f t="array" ref="E103">_xlfn.IFS(C103="Yes", 1,C103="No",2)</f>
        <v>2</v>
      </c>
      <c r="F103" cm="1">
        <f t="array" ref="F103">_xlfn.IFS(D103="Yes", 1,D103="No",2)</f>
        <v>2</v>
      </c>
      <c r="G103">
        <f t="shared" si="1"/>
        <v>4</v>
      </c>
      <c r="H103" t="str" cm="1">
        <f t="array" ref="H103">_xlfn.IFS(G103=2,"B",G103=3,"C",G103=4,"D")</f>
        <v>D</v>
      </c>
    </row>
    <row r="104" spans="1:8" x14ac:dyDescent="0.35">
      <c r="A104">
        <v>2092</v>
      </c>
      <c r="B104" s="108" t="s">
        <v>123</v>
      </c>
      <c r="C104" s="108" t="s">
        <v>1528</v>
      </c>
      <c r="D104" s="108" t="s">
        <v>1528</v>
      </c>
      <c r="E104" cm="1">
        <f t="array" ref="E104">_xlfn.IFS(C104="Yes", 1,C104="No",2)</f>
        <v>2</v>
      </c>
      <c r="F104" cm="1">
        <f t="array" ref="F104">_xlfn.IFS(D104="Yes", 1,D104="No",2)</f>
        <v>2</v>
      </c>
      <c r="G104">
        <f t="shared" si="1"/>
        <v>4</v>
      </c>
      <c r="H104" t="str" cm="1">
        <f t="array" ref="H104">_xlfn.IFS(G104=2,"B",G104=3,"C",G104=4,"D")</f>
        <v>D</v>
      </c>
    </row>
    <row r="105" spans="1:8" x14ac:dyDescent="0.35">
      <c r="A105">
        <v>2112</v>
      </c>
      <c r="B105" s="109" t="s">
        <v>124</v>
      </c>
      <c r="C105" s="109" t="s">
        <v>1528</v>
      </c>
      <c r="D105" s="109" t="s">
        <v>1528</v>
      </c>
      <c r="E105" cm="1">
        <f t="array" ref="E105">_xlfn.IFS(C105="Yes", 1,C105="No",2)</f>
        <v>2</v>
      </c>
      <c r="F105" cm="1">
        <f t="array" ref="F105">_xlfn.IFS(D105="Yes", 1,D105="No",2)</f>
        <v>2</v>
      </c>
      <c r="G105">
        <f t="shared" si="1"/>
        <v>4</v>
      </c>
      <c r="H105" t="str" cm="1">
        <f t="array" ref="H105">_xlfn.IFS(G105=2,"B",G105=3,"C",G105=4,"D")</f>
        <v>D</v>
      </c>
    </row>
    <row r="106" spans="1:8" x14ac:dyDescent="0.35">
      <c r="A106">
        <v>2085</v>
      </c>
      <c r="B106" s="108" t="s">
        <v>125</v>
      </c>
      <c r="C106" s="108" t="s">
        <v>1528</v>
      </c>
      <c r="D106" s="108" t="s">
        <v>1528</v>
      </c>
      <c r="E106" cm="1">
        <f t="array" ref="E106">_xlfn.IFS(C106="Yes", 1,C106="No",2)</f>
        <v>2</v>
      </c>
      <c r="F106" cm="1">
        <f t="array" ref="F106">_xlfn.IFS(D106="Yes", 1,D106="No",2)</f>
        <v>2</v>
      </c>
      <c r="G106">
        <f t="shared" si="1"/>
        <v>4</v>
      </c>
      <c r="H106" t="str" cm="1">
        <f t="array" ref="H106">_xlfn.IFS(G106=2,"B",G106=3,"C",G106=4,"D")</f>
        <v>D</v>
      </c>
    </row>
    <row r="107" spans="1:8" x14ac:dyDescent="0.35">
      <c r="A107">
        <v>2094</v>
      </c>
      <c r="B107" s="109" t="s">
        <v>126</v>
      </c>
      <c r="C107" s="109" t="s">
        <v>1528</v>
      </c>
      <c r="D107" s="109" t="s">
        <v>1528</v>
      </c>
      <c r="E107" cm="1">
        <f t="array" ref="E107">_xlfn.IFS(C107="Yes", 1,C107="No",2)</f>
        <v>2</v>
      </c>
      <c r="F107" cm="1">
        <f t="array" ref="F107">_xlfn.IFS(D107="Yes", 1,D107="No",2)</f>
        <v>2</v>
      </c>
      <c r="G107">
        <f t="shared" si="1"/>
        <v>4</v>
      </c>
      <c r="H107" t="str" cm="1">
        <f t="array" ref="H107">_xlfn.IFS(G107=2,"B",G107=3,"C",G107=4,"D")</f>
        <v>D</v>
      </c>
    </row>
    <row r="108" spans="1:8" x14ac:dyDescent="0.35">
      <c r="A108">
        <v>2090</v>
      </c>
      <c r="B108" s="108" t="s">
        <v>127</v>
      </c>
      <c r="C108" s="108" t="s">
        <v>1528</v>
      </c>
      <c r="D108" s="108" t="s">
        <v>1528</v>
      </c>
      <c r="E108" cm="1">
        <f t="array" ref="E108">_xlfn.IFS(C108="Yes", 1,C108="No",2)</f>
        <v>2</v>
      </c>
      <c r="F108" cm="1">
        <f t="array" ref="F108">_xlfn.IFS(D108="Yes", 1,D108="No",2)</f>
        <v>2</v>
      </c>
      <c r="G108">
        <f t="shared" si="1"/>
        <v>4</v>
      </c>
      <c r="H108" t="str" cm="1">
        <f t="array" ref="H108">_xlfn.IFS(G108=2,"B",G108=3,"C",G108=4,"D")</f>
        <v>D</v>
      </c>
    </row>
    <row r="109" spans="1:8" x14ac:dyDescent="0.35">
      <c r="A109">
        <v>2256</v>
      </c>
      <c r="B109" s="109" t="s">
        <v>128</v>
      </c>
      <c r="C109" s="109" t="s">
        <v>1527</v>
      </c>
      <c r="D109" s="109" t="s">
        <v>1528</v>
      </c>
      <c r="E109" cm="1">
        <f t="array" ref="E109">_xlfn.IFS(C109="Yes", 1,C109="No",2)</f>
        <v>1</v>
      </c>
      <c r="F109" cm="1">
        <f t="array" ref="F109">_xlfn.IFS(D109="Yes", 1,D109="No",2)</f>
        <v>2</v>
      </c>
      <c r="G109">
        <f t="shared" si="1"/>
        <v>3</v>
      </c>
      <c r="H109" t="str" cm="1">
        <f t="array" ref="H109">_xlfn.IFS(G109=2,"B",G109=3,"C",G109=4,"D")</f>
        <v>C</v>
      </c>
    </row>
    <row r="110" spans="1:8" x14ac:dyDescent="0.35">
      <c r="A110">
        <v>2048</v>
      </c>
      <c r="B110" s="108" t="s">
        <v>129</v>
      </c>
      <c r="C110" s="108" t="s">
        <v>1528</v>
      </c>
      <c r="D110" s="108" t="s">
        <v>1528</v>
      </c>
      <c r="E110" cm="1">
        <f t="array" ref="E110">_xlfn.IFS(C110="Yes", 1,C110="No",2)</f>
        <v>2</v>
      </c>
      <c r="F110" cm="1">
        <f t="array" ref="F110">_xlfn.IFS(D110="Yes", 1,D110="No",2)</f>
        <v>2</v>
      </c>
      <c r="G110">
        <f t="shared" si="1"/>
        <v>4</v>
      </c>
      <c r="H110" t="str" cm="1">
        <f t="array" ref="H110">_xlfn.IFS(G110=2,"B",G110=3,"C",G110=4,"D")</f>
        <v>D</v>
      </c>
    </row>
    <row r="111" spans="1:8" x14ac:dyDescent="0.35">
      <c r="A111">
        <v>2205</v>
      </c>
      <c r="B111" s="109" t="s">
        <v>130</v>
      </c>
      <c r="C111" s="109" t="s">
        <v>1528</v>
      </c>
      <c r="D111" s="109" t="s">
        <v>1527</v>
      </c>
      <c r="E111" cm="1">
        <f t="array" ref="E111">_xlfn.IFS(C111="Yes", 1,C111="No",2)</f>
        <v>2</v>
      </c>
      <c r="F111" cm="1">
        <f t="array" ref="F111">_xlfn.IFS(D111="Yes", 1,D111="No",2)</f>
        <v>1</v>
      </c>
      <c r="G111">
        <f t="shared" si="1"/>
        <v>3</v>
      </c>
      <c r="H111" t="str" cm="1">
        <f t="array" ref="H111">_xlfn.IFS(G111=2,"B",G111=3,"C",G111=4,"D")</f>
        <v>C</v>
      </c>
    </row>
    <row r="112" spans="1:8" x14ac:dyDescent="0.35">
      <c r="A112">
        <v>2249</v>
      </c>
      <c r="B112" s="108" t="s">
        <v>131</v>
      </c>
      <c r="C112" s="108" t="s">
        <v>1527</v>
      </c>
      <c r="D112" s="108" t="s">
        <v>1528</v>
      </c>
      <c r="E112" cm="1">
        <f t="array" ref="E112">_xlfn.IFS(C112="Yes", 1,C112="No",2)</f>
        <v>1</v>
      </c>
      <c r="F112" cm="1">
        <f t="array" ref="F112">_xlfn.IFS(D112="Yes", 1,D112="No",2)</f>
        <v>2</v>
      </c>
      <c r="G112">
        <f t="shared" si="1"/>
        <v>3</v>
      </c>
      <c r="H112" t="str" cm="1">
        <f t="array" ref="H112">_xlfn.IFS(G112=2,"B",G112=3,"C",G112=4,"D")</f>
        <v>C</v>
      </c>
    </row>
    <row r="113" spans="1:8" x14ac:dyDescent="0.35">
      <c r="A113">
        <v>1925</v>
      </c>
      <c r="B113" s="109" t="s">
        <v>132</v>
      </c>
      <c r="C113" s="109" t="s">
        <v>1528</v>
      </c>
      <c r="D113" s="109" t="s">
        <v>1528</v>
      </c>
      <c r="E113" cm="1">
        <f t="array" ref="E113">_xlfn.IFS(C113="Yes", 1,C113="No",2)</f>
        <v>2</v>
      </c>
      <c r="F113" cm="1">
        <f t="array" ref="F113">_xlfn.IFS(D113="Yes", 1,D113="No",2)</f>
        <v>2</v>
      </c>
      <c r="G113">
        <f t="shared" si="1"/>
        <v>4</v>
      </c>
      <c r="H113" t="str" cm="1">
        <f t="array" ref="H113">_xlfn.IFS(G113=2,"B",G113=3,"C",G113=4,"D")</f>
        <v>D</v>
      </c>
    </row>
    <row r="114" spans="1:8" x14ac:dyDescent="0.35">
      <c r="A114">
        <v>1898</v>
      </c>
      <c r="B114" s="108" t="s">
        <v>133</v>
      </c>
      <c r="C114" s="108" t="s">
        <v>1528</v>
      </c>
      <c r="D114" s="108" t="s">
        <v>1528</v>
      </c>
      <c r="E114" cm="1">
        <f t="array" ref="E114">_xlfn.IFS(C114="Yes", 1,C114="No",2)</f>
        <v>2</v>
      </c>
      <c r="F114" cm="1">
        <f t="array" ref="F114">_xlfn.IFS(D114="Yes", 1,D114="No",2)</f>
        <v>2</v>
      </c>
      <c r="G114">
        <f t="shared" si="1"/>
        <v>4</v>
      </c>
      <c r="H114" t="str" cm="1">
        <f t="array" ref="H114">_xlfn.IFS(G114=2,"B",G114=3,"C",G114=4,"D")</f>
        <v>D</v>
      </c>
    </row>
    <row r="115" spans="1:8" x14ac:dyDescent="0.35">
      <c r="A115">
        <v>2010</v>
      </c>
      <c r="B115" s="109" t="s">
        <v>134</v>
      </c>
      <c r="C115" s="109" t="s">
        <v>1528</v>
      </c>
      <c r="D115" s="109" t="s">
        <v>1528</v>
      </c>
      <c r="E115" cm="1">
        <f t="array" ref="E115">_xlfn.IFS(C115="Yes", 1,C115="No",2)</f>
        <v>2</v>
      </c>
      <c r="F115" cm="1">
        <f t="array" ref="F115">_xlfn.IFS(D115="Yes", 1,D115="No",2)</f>
        <v>2</v>
      </c>
      <c r="G115">
        <f t="shared" si="1"/>
        <v>4</v>
      </c>
      <c r="H115" t="str" cm="1">
        <f t="array" ref="H115">_xlfn.IFS(G115=2,"B",G115=3,"C",G115=4,"D")</f>
        <v>D</v>
      </c>
    </row>
    <row r="116" spans="1:8" x14ac:dyDescent="0.35">
      <c r="A116">
        <v>2147</v>
      </c>
      <c r="B116" s="108" t="s">
        <v>135</v>
      </c>
      <c r="C116" s="108" t="s">
        <v>1528</v>
      </c>
      <c r="D116" s="108" t="s">
        <v>1528</v>
      </c>
      <c r="E116" cm="1">
        <f t="array" ref="E116">_xlfn.IFS(C116="Yes", 1,C116="No",2)</f>
        <v>2</v>
      </c>
      <c r="F116" cm="1">
        <f t="array" ref="F116">_xlfn.IFS(D116="Yes", 1,D116="No",2)</f>
        <v>2</v>
      </c>
      <c r="G116">
        <f t="shared" si="1"/>
        <v>4</v>
      </c>
      <c r="H116" t="str" cm="1">
        <f t="array" ref="H116">_xlfn.IFS(G116=2,"B",G116=3,"C",G116=4,"D")</f>
        <v>D</v>
      </c>
    </row>
    <row r="117" spans="1:8" x14ac:dyDescent="0.35">
      <c r="A117">
        <v>2145</v>
      </c>
      <c r="B117" s="109" t="s">
        <v>136</v>
      </c>
      <c r="C117" s="109" t="s">
        <v>1528</v>
      </c>
      <c r="D117" s="109" t="s">
        <v>1527</v>
      </c>
      <c r="E117" cm="1">
        <f t="array" ref="E117">_xlfn.IFS(C117="Yes", 1,C117="No",2)</f>
        <v>2</v>
      </c>
      <c r="F117" cm="1">
        <f t="array" ref="F117">_xlfn.IFS(D117="Yes", 1,D117="No",2)</f>
        <v>1</v>
      </c>
      <c r="G117">
        <f t="shared" si="1"/>
        <v>3</v>
      </c>
      <c r="H117" t="str" cm="1">
        <f t="array" ref="H117">_xlfn.IFS(G117=2,"B",G117=3,"C",G117=4,"D")</f>
        <v>C</v>
      </c>
    </row>
    <row r="118" spans="1:8" x14ac:dyDescent="0.35">
      <c r="A118">
        <v>1968</v>
      </c>
      <c r="B118" s="108" t="s">
        <v>137</v>
      </c>
      <c r="C118" s="108" t="s">
        <v>1528</v>
      </c>
      <c r="D118" s="108" t="s">
        <v>1528</v>
      </c>
      <c r="E118" cm="1">
        <f t="array" ref="E118">_xlfn.IFS(C118="Yes", 1,C118="No",2)</f>
        <v>2</v>
      </c>
      <c r="F118" cm="1">
        <f t="array" ref="F118">_xlfn.IFS(D118="Yes", 1,D118="No",2)</f>
        <v>2</v>
      </c>
      <c r="G118">
        <f t="shared" si="1"/>
        <v>4</v>
      </c>
      <c r="H118" t="str" cm="1">
        <f t="array" ref="H118">_xlfn.IFS(G118=2,"B",G118=3,"C",G118=4,"D")</f>
        <v>D</v>
      </c>
    </row>
    <row r="119" spans="1:8" x14ac:dyDescent="0.35">
      <c r="A119">
        <v>2198</v>
      </c>
      <c r="B119" s="109" t="s">
        <v>138</v>
      </c>
      <c r="C119" s="109" t="s">
        <v>1528</v>
      </c>
      <c r="D119" s="109" t="s">
        <v>1528</v>
      </c>
      <c r="E119" cm="1">
        <f t="array" ref="E119">_xlfn.IFS(C119="Yes", 1,C119="No",2)</f>
        <v>2</v>
      </c>
      <c r="F119" cm="1">
        <f t="array" ref="F119">_xlfn.IFS(D119="Yes", 1,D119="No",2)</f>
        <v>2</v>
      </c>
      <c r="G119">
        <f t="shared" si="1"/>
        <v>4</v>
      </c>
      <c r="H119" t="str" cm="1">
        <f t="array" ref="H119">_xlfn.IFS(G119=2,"B",G119=3,"C",G119=4,"D")</f>
        <v>D</v>
      </c>
    </row>
    <row r="120" spans="1:8" x14ac:dyDescent="0.35">
      <c r="A120">
        <v>2199</v>
      </c>
      <c r="B120" s="108" t="s">
        <v>139</v>
      </c>
      <c r="C120" s="108" t="s">
        <v>1528</v>
      </c>
      <c r="D120" s="108" t="s">
        <v>1528</v>
      </c>
      <c r="E120" cm="1">
        <f t="array" ref="E120">_xlfn.IFS(C120="Yes", 1,C120="No",2)</f>
        <v>2</v>
      </c>
      <c r="F120" cm="1">
        <f t="array" ref="F120">_xlfn.IFS(D120="Yes", 1,D120="No",2)</f>
        <v>2</v>
      </c>
      <c r="G120">
        <f t="shared" si="1"/>
        <v>4</v>
      </c>
      <c r="H120" t="str" cm="1">
        <f t="array" ref="H120">_xlfn.IFS(G120=2,"B",G120=3,"C",G120=4,"D")</f>
        <v>D</v>
      </c>
    </row>
    <row r="121" spans="1:8" x14ac:dyDescent="0.35">
      <c r="A121">
        <v>2254</v>
      </c>
      <c r="B121" s="109" t="s">
        <v>140</v>
      </c>
      <c r="C121" s="109" t="s">
        <v>1528</v>
      </c>
      <c r="D121" s="109" t="s">
        <v>1528</v>
      </c>
      <c r="E121" cm="1">
        <f t="array" ref="E121">_xlfn.IFS(C121="Yes", 1,C121="No",2)</f>
        <v>2</v>
      </c>
      <c r="F121" cm="1">
        <f t="array" ref="F121">_xlfn.IFS(D121="Yes", 1,D121="No",2)</f>
        <v>2</v>
      </c>
      <c r="G121">
        <f t="shared" si="1"/>
        <v>4</v>
      </c>
      <c r="H121" t="str" cm="1">
        <f t="array" ref="H121">_xlfn.IFS(G121=2,"B",G121=3,"C",G121=4,"D")</f>
        <v>D</v>
      </c>
    </row>
    <row r="122" spans="1:8" x14ac:dyDescent="0.35">
      <c r="A122">
        <v>1966</v>
      </c>
      <c r="B122" s="108" t="s">
        <v>141</v>
      </c>
      <c r="C122" s="108" t="s">
        <v>1528</v>
      </c>
      <c r="D122" s="108" t="s">
        <v>1528</v>
      </c>
      <c r="E122" cm="1">
        <f t="array" ref="E122">_xlfn.IFS(C122="Yes", 1,C122="No",2)</f>
        <v>2</v>
      </c>
      <c r="F122" cm="1">
        <f t="array" ref="F122">_xlfn.IFS(D122="Yes", 1,D122="No",2)</f>
        <v>2</v>
      </c>
      <c r="G122">
        <f t="shared" si="1"/>
        <v>4</v>
      </c>
      <c r="H122" t="str" cm="1">
        <f t="array" ref="H122">_xlfn.IFS(G122=2,"B",G122=3,"C",G122=4,"D")</f>
        <v>D</v>
      </c>
    </row>
    <row r="123" spans="1:8" x14ac:dyDescent="0.35">
      <c r="A123">
        <v>1924</v>
      </c>
      <c r="B123" s="109" t="s">
        <v>142</v>
      </c>
      <c r="C123" s="109" t="s">
        <v>1527</v>
      </c>
      <c r="D123" s="109" t="s">
        <v>1528</v>
      </c>
      <c r="E123" cm="1">
        <f t="array" ref="E123">_xlfn.IFS(C123="Yes", 1,C123="No",2)</f>
        <v>1</v>
      </c>
      <c r="F123" cm="1">
        <f t="array" ref="F123">_xlfn.IFS(D123="Yes", 1,D123="No",2)</f>
        <v>2</v>
      </c>
      <c r="G123">
        <f t="shared" si="1"/>
        <v>3</v>
      </c>
      <c r="H123" t="str" cm="1">
        <f t="array" ref="H123">_xlfn.IFS(G123=2,"B",G123=3,"C",G123=4,"D")</f>
        <v>C</v>
      </c>
    </row>
    <row r="124" spans="1:8" x14ac:dyDescent="0.35">
      <c r="A124">
        <v>1996</v>
      </c>
      <c r="B124" s="108" t="s">
        <v>143</v>
      </c>
      <c r="C124" s="108" t="s">
        <v>1527</v>
      </c>
      <c r="D124" s="108" t="s">
        <v>1528</v>
      </c>
      <c r="E124" cm="1">
        <f t="array" ref="E124">_xlfn.IFS(C124="Yes", 1,C124="No",2)</f>
        <v>1</v>
      </c>
      <c r="F124" cm="1">
        <f t="array" ref="F124">_xlfn.IFS(D124="Yes", 1,D124="No",2)</f>
        <v>2</v>
      </c>
      <c r="G124">
        <f t="shared" si="1"/>
        <v>3</v>
      </c>
      <c r="H124" t="str" cm="1">
        <f t="array" ref="H124">_xlfn.IFS(G124=2,"B",G124=3,"C",G124=4,"D")</f>
        <v>C</v>
      </c>
    </row>
    <row r="125" spans="1:8" x14ac:dyDescent="0.35">
      <c r="A125">
        <v>2061</v>
      </c>
      <c r="B125" s="109" t="s">
        <v>144</v>
      </c>
      <c r="C125" s="109" t="s">
        <v>1528</v>
      </c>
      <c r="D125" s="109" t="s">
        <v>1528</v>
      </c>
      <c r="E125" cm="1">
        <f t="array" ref="E125">_xlfn.IFS(C125="Yes", 1,C125="No",2)</f>
        <v>2</v>
      </c>
      <c r="F125" cm="1">
        <f t="array" ref="F125">_xlfn.IFS(D125="Yes", 1,D125="No",2)</f>
        <v>2</v>
      </c>
      <c r="G125">
        <f t="shared" si="1"/>
        <v>4</v>
      </c>
      <c r="H125" t="str" cm="1">
        <f t="array" ref="H125">_xlfn.IFS(G125=2,"B",G125=3,"C",G125=4,"D")</f>
        <v>D</v>
      </c>
    </row>
    <row r="126" spans="1:8" x14ac:dyDescent="0.35">
      <c r="A126">
        <v>2141</v>
      </c>
      <c r="B126" s="108" t="s">
        <v>145</v>
      </c>
      <c r="C126" s="108" t="s">
        <v>1528</v>
      </c>
      <c r="D126" s="108" t="s">
        <v>1528</v>
      </c>
      <c r="E126" cm="1">
        <f t="array" ref="E126">_xlfn.IFS(C126="Yes", 1,C126="No",2)</f>
        <v>2</v>
      </c>
      <c r="F126" cm="1">
        <f t="array" ref="F126">_xlfn.IFS(D126="Yes", 1,D126="No",2)</f>
        <v>2</v>
      </c>
      <c r="G126">
        <f t="shared" si="1"/>
        <v>4</v>
      </c>
      <c r="H126" t="str" cm="1">
        <f t="array" ref="H126">_xlfn.IFS(G126=2,"B",G126=3,"C",G126=4,"D")</f>
        <v>D</v>
      </c>
    </row>
    <row r="127" spans="1:8" x14ac:dyDescent="0.35">
      <c r="A127">
        <v>2214</v>
      </c>
      <c r="B127" s="109" t="s">
        <v>146</v>
      </c>
      <c r="C127" s="109" t="s">
        <v>1528</v>
      </c>
      <c r="D127" s="109" t="s">
        <v>1528</v>
      </c>
      <c r="E127" cm="1">
        <f t="array" ref="E127">_xlfn.IFS(C127="Yes", 1,C127="No",2)</f>
        <v>2</v>
      </c>
      <c r="F127" cm="1">
        <f t="array" ref="F127">_xlfn.IFS(D127="Yes", 1,D127="No",2)</f>
        <v>2</v>
      </c>
      <c r="G127">
        <f t="shared" si="1"/>
        <v>4</v>
      </c>
      <c r="H127" t="str" cm="1">
        <f t="array" ref="H127">_xlfn.IFS(G127=2,"B",G127=3,"C",G127=4,"D")</f>
        <v>D</v>
      </c>
    </row>
    <row r="128" spans="1:8" x14ac:dyDescent="0.35">
      <c r="A128">
        <v>2143</v>
      </c>
      <c r="B128" s="108" t="s">
        <v>147</v>
      </c>
      <c r="C128" s="108" t="s">
        <v>1528</v>
      </c>
      <c r="D128" s="108" t="s">
        <v>1528</v>
      </c>
      <c r="E128" cm="1">
        <f t="array" ref="E128">_xlfn.IFS(C128="Yes", 1,C128="No",2)</f>
        <v>2</v>
      </c>
      <c r="F128" cm="1">
        <f t="array" ref="F128">_xlfn.IFS(D128="Yes", 1,D128="No",2)</f>
        <v>2</v>
      </c>
      <c r="G128">
        <f t="shared" si="1"/>
        <v>4</v>
      </c>
      <c r="H128" t="str" cm="1">
        <f t="array" ref="H128">_xlfn.IFS(G128=2,"B",G128=3,"C",G128=4,"D")</f>
        <v>D</v>
      </c>
    </row>
    <row r="129" spans="1:8" x14ac:dyDescent="0.35">
      <c r="A129">
        <v>4131</v>
      </c>
      <c r="B129" s="109" t="s">
        <v>148</v>
      </c>
      <c r="C129" s="109" t="s">
        <v>1528</v>
      </c>
      <c r="D129" s="109" t="s">
        <v>1528</v>
      </c>
      <c r="E129" cm="1">
        <f t="array" ref="E129">_xlfn.IFS(C129="Yes", 1,C129="No",2)</f>
        <v>2</v>
      </c>
      <c r="F129" cm="1">
        <f t="array" ref="F129">_xlfn.IFS(D129="Yes", 1,D129="No",2)</f>
        <v>2</v>
      </c>
      <c r="G129">
        <f t="shared" si="1"/>
        <v>4</v>
      </c>
      <c r="H129" t="str" cm="1">
        <f t="array" ref="H129">_xlfn.IFS(G129=2,"B",G129=3,"C",G129=4,"D")</f>
        <v>D</v>
      </c>
    </row>
    <row r="130" spans="1:8" x14ac:dyDescent="0.35">
      <c r="A130">
        <v>2110</v>
      </c>
      <c r="B130" s="108" t="s">
        <v>149</v>
      </c>
      <c r="C130" s="108" t="s">
        <v>1528</v>
      </c>
      <c r="D130" s="108" t="s">
        <v>1528</v>
      </c>
      <c r="E130" cm="1">
        <f t="array" ref="E130">_xlfn.IFS(C130="Yes", 1,C130="No",2)</f>
        <v>2</v>
      </c>
      <c r="F130" cm="1">
        <f t="array" ref="F130">_xlfn.IFS(D130="Yes", 1,D130="No",2)</f>
        <v>2</v>
      </c>
      <c r="G130">
        <f t="shared" si="1"/>
        <v>4</v>
      </c>
      <c r="H130" t="str" cm="1">
        <f t="array" ref="H130">_xlfn.IFS(G130=2,"B",G130=3,"C",G130=4,"D")</f>
        <v>D</v>
      </c>
    </row>
    <row r="131" spans="1:8" x14ac:dyDescent="0.35">
      <c r="A131">
        <v>1990</v>
      </c>
      <c r="B131" s="109" t="s">
        <v>150</v>
      </c>
      <c r="C131" s="109" t="s">
        <v>1527</v>
      </c>
      <c r="D131" s="109" t="s">
        <v>1528</v>
      </c>
      <c r="E131" cm="1">
        <f t="array" ref="E131">_xlfn.IFS(C131="Yes", 1,C131="No",2)</f>
        <v>1</v>
      </c>
      <c r="F131" cm="1">
        <f t="array" ref="F131">_xlfn.IFS(D131="Yes", 1,D131="No",2)</f>
        <v>2</v>
      </c>
      <c r="G131">
        <f t="shared" si="1"/>
        <v>3</v>
      </c>
      <c r="H131" t="str" cm="1">
        <f t="array" ref="H131">_xlfn.IFS(G131=2,"B",G131=3,"C",G131=4,"D")</f>
        <v>C</v>
      </c>
    </row>
    <row r="132" spans="1:8" x14ac:dyDescent="0.35">
      <c r="A132">
        <v>2093</v>
      </c>
      <c r="B132" s="108" t="s">
        <v>151</v>
      </c>
      <c r="C132" s="108" t="s">
        <v>1528</v>
      </c>
      <c r="D132" s="108" t="s">
        <v>1528</v>
      </c>
      <c r="E132" cm="1">
        <f t="array" ref="E132">_xlfn.IFS(C132="Yes", 1,C132="No",2)</f>
        <v>2</v>
      </c>
      <c r="F132" cm="1">
        <f t="array" ref="F132">_xlfn.IFS(D132="Yes", 1,D132="No",2)</f>
        <v>2</v>
      </c>
      <c r="G132">
        <f t="shared" ref="G132:G195" si="2">SUM(E132:F132)</f>
        <v>4</v>
      </c>
      <c r="H132" t="str" cm="1">
        <f t="array" ref="H132">_xlfn.IFS(G132=2,"B",G132=3,"C",G132=4,"D")</f>
        <v>D</v>
      </c>
    </row>
    <row r="133" spans="1:8" x14ac:dyDescent="0.35">
      <c r="A133">
        <v>2108</v>
      </c>
      <c r="B133" s="109" t="s">
        <v>152</v>
      </c>
      <c r="C133" s="109" t="s">
        <v>1528</v>
      </c>
      <c r="D133" s="109" t="s">
        <v>1528</v>
      </c>
      <c r="E133" cm="1">
        <f t="array" ref="E133">_xlfn.IFS(C133="Yes", 1,C133="No",2)</f>
        <v>2</v>
      </c>
      <c r="F133" cm="1">
        <f t="array" ref="F133">_xlfn.IFS(D133="Yes", 1,D133="No",2)</f>
        <v>2</v>
      </c>
      <c r="G133">
        <f t="shared" si="2"/>
        <v>4</v>
      </c>
      <c r="H133" t="str" cm="1">
        <f t="array" ref="H133">_xlfn.IFS(G133=2,"B",G133=3,"C",G133=4,"D")</f>
        <v>D</v>
      </c>
    </row>
    <row r="134" spans="1:8" x14ac:dyDescent="0.35">
      <c r="A134">
        <v>1928</v>
      </c>
      <c r="B134" s="108" t="s">
        <v>153</v>
      </c>
      <c r="C134" s="108" t="s">
        <v>1528</v>
      </c>
      <c r="D134" s="108" t="s">
        <v>1528</v>
      </c>
      <c r="E134" cm="1">
        <f t="array" ref="E134">_xlfn.IFS(C134="Yes", 1,C134="No",2)</f>
        <v>2</v>
      </c>
      <c r="F134" cm="1">
        <f t="array" ref="F134">_xlfn.IFS(D134="Yes", 1,D134="No",2)</f>
        <v>2</v>
      </c>
      <c r="G134">
        <f t="shared" si="2"/>
        <v>4</v>
      </c>
      <c r="H134" t="str" cm="1">
        <f t="array" ref="H134">_xlfn.IFS(G134=2,"B",G134=3,"C",G134=4,"D")</f>
        <v>D</v>
      </c>
    </row>
    <row r="135" spans="1:8" x14ac:dyDescent="0.35">
      <c r="A135">
        <v>1926</v>
      </c>
      <c r="B135" s="109" t="s">
        <v>154</v>
      </c>
      <c r="C135" s="109" t="s">
        <v>1528</v>
      </c>
      <c r="D135" s="109" t="s">
        <v>1528</v>
      </c>
      <c r="E135" cm="1">
        <f t="array" ref="E135">_xlfn.IFS(C135="Yes", 1,C135="No",2)</f>
        <v>2</v>
      </c>
      <c r="F135" cm="1">
        <f t="array" ref="F135">_xlfn.IFS(D135="Yes", 1,D135="No",2)</f>
        <v>2</v>
      </c>
      <c r="G135">
        <f t="shared" si="2"/>
        <v>4</v>
      </c>
      <c r="H135" t="str" cm="1">
        <f t="array" ref="H135">_xlfn.IFS(G135=2,"B",G135=3,"C",G135=4,"D")</f>
        <v>D</v>
      </c>
    </row>
    <row r="136" spans="1:8" x14ac:dyDescent="0.35">
      <c r="A136">
        <v>2060</v>
      </c>
      <c r="B136" s="108" t="s">
        <v>155</v>
      </c>
      <c r="C136" s="108" t="s">
        <v>1528</v>
      </c>
      <c r="D136" s="108" t="s">
        <v>1528</v>
      </c>
      <c r="E136" cm="1">
        <f t="array" ref="E136">_xlfn.IFS(C136="Yes", 1,C136="No",2)</f>
        <v>2</v>
      </c>
      <c r="F136" cm="1">
        <f t="array" ref="F136">_xlfn.IFS(D136="Yes", 1,D136="No",2)</f>
        <v>2</v>
      </c>
      <c r="G136">
        <f t="shared" si="2"/>
        <v>4</v>
      </c>
      <c r="H136" t="str" cm="1">
        <f t="array" ref="H136">_xlfn.IFS(G136=2,"B",G136=3,"C",G136=4,"D")</f>
        <v>D</v>
      </c>
    </row>
    <row r="137" spans="1:8" x14ac:dyDescent="0.35">
      <c r="A137">
        <v>2181</v>
      </c>
      <c r="B137" s="109" t="s">
        <v>156</v>
      </c>
      <c r="C137" s="109" t="s">
        <v>1528</v>
      </c>
      <c r="D137" s="109" t="s">
        <v>1528</v>
      </c>
      <c r="E137" cm="1">
        <f t="array" ref="E137">_xlfn.IFS(C137="Yes", 1,C137="No",2)</f>
        <v>2</v>
      </c>
      <c r="F137" cm="1">
        <f t="array" ref="F137">_xlfn.IFS(D137="Yes", 1,D137="No",2)</f>
        <v>2</v>
      </c>
      <c r="G137">
        <f t="shared" si="2"/>
        <v>4</v>
      </c>
      <c r="H137" t="str" cm="1">
        <f t="array" ref="H137">_xlfn.IFS(G137=2,"B",G137=3,"C",G137=4,"D")</f>
        <v>D</v>
      </c>
    </row>
    <row r="138" spans="1:8" x14ac:dyDescent="0.35">
      <c r="A138">
        <v>2207</v>
      </c>
      <c r="B138" s="108" t="s">
        <v>157</v>
      </c>
      <c r="C138" s="108" t="s">
        <v>1528</v>
      </c>
      <c r="D138" s="108" t="s">
        <v>1527</v>
      </c>
      <c r="E138" cm="1">
        <f t="array" ref="E138">_xlfn.IFS(C138="Yes", 1,C138="No",2)</f>
        <v>2</v>
      </c>
      <c r="F138" cm="1">
        <f t="array" ref="F138">_xlfn.IFS(D138="Yes", 1,D138="No",2)</f>
        <v>1</v>
      </c>
      <c r="G138">
        <f t="shared" si="2"/>
        <v>3</v>
      </c>
      <c r="H138" t="str" cm="1">
        <f t="array" ref="H138">_xlfn.IFS(G138=2,"B",G138=3,"C",G138=4,"D")</f>
        <v>C</v>
      </c>
    </row>
    <row r="139" spans="1:8" x14ac:dyDescent="0.35">
      <c r="A139">
        <v>2192</v>
      </c>
      <c r="B139" s="109" t="s">
        <v>158</v>
      </c>
      <c r="C139" s="109" t="s">
        <v>1527</v>
      </c>
      <c r="D139" s="109" t="s">
        <v>1528</v>
      </c>
      <c r="E139" cm="1">
        <f t="array" ref="E139">_xlfn.IFS(C139="Yes", 1,C139="No",2)</f>
        <v>1</v>
      </c>
      <c r="F139" cm="1">
        <f t="array" ref="F139">_xlfn.IFS(D139="Yes", 1,D139="No",2)</f>
        <v>2</v>
      </c>
      <c r="G139">
        <f t="shared" si="2"/>
        <v>3</v>
      </c>
      <c r="H139" t="str" cm="1">
        <f t="array" ref="H139">_xlfn.IFS(G139=2,"B",G139=3,"C",G139=4,"D")</f>
        <v>C</v>
      </c>
    </row>
    <row r="140" spans="1:8" x14ac:dyDescent="0.35">
      <c r="A140">
        <v>1900</v>
      </c>
      <c r="B140" s="108" t="s">
        <v>160</v>
      </c>
      <c r="C140" s="108" t="s">
        <v>1528</v>
      </c>
      <c r="D140" s="108" t="s">
        <v>1528</v>
      </c>
      <c r="E140" cm="1">
        <f t="array" ref="E140">_xlfn.IFS(C140="Yes", 1,C140="No",2)</f>
        <v>2</v>
      </c>
      <c r="F140" cm="1">
        <f t="array" ref="F140">_xlfn.IFS(D140="Yes", 1,D140="No",2)</f>
        <v>2</v>
      </c>
      <c r="G140">
        <f t="shared" si="2"/>
        <v>4</v>
      </c>
      <c r="H140" t="str" cm="1">
        <f t="array" ref="H140">_xlfn.IFS(G140=2,"B",G140=3,"C",G140=4,"D")</f>
        <v>D</v>
      </c>
    </row>
    <row r="141" spans="1:8" x14ac:dyDescent="0.35">
      <c r="A141">
        <v>2039</v>
      </c>
      <c r="B141" s="109" t="s">
        <v>161</v>
      </c>
      <c r="C141" s="109" t="s">
        <v>1528</v>
      </c>
      <c r="D141" s="109" t="s">
        <v>1527</v>
      </c>
      <c r="E141" cm="1">
        <f t="array" ref="E141">_xlfn.IFS(C141="Yes", 1,C141="No",2)</f>
        <v>2</v>
      </c>
      <c r="F141" cm="1">
        <f t="array" ref="F141">_xlfn.IFS(D141="Yes", 1,D141="No",2)</f>
        <v>1</v>
      </c>
      <c r="G141">
        <f t="shared" si="2"/>
        <v>3</v>
      </c>
      <c r="H141" t="str" cm="1">
        <f t="array" ref="H141">_xlfn.IFS(G141=2,"B",G141=3,"C",G141=4,"D")</f>
        <v>C</v>
      </c>
    </row>
    <row r="142" spans="1:8" x14ac:dyDescent="0.35">
      <c r="A142">
        <v>2202</v>
      </c>
      <c r="B142" s="108" t="s">
        <v>162</v>
      </c>
      <c r="C142" s="108" t="s">
        <v>1528</v>
      </c>
      <c r="D142" s="108" t="s">
        <v>1528</v>
      </c>
      <c r="E142" cm="1">
        <f t="array" ref="E142">_xlfn.IFS(C142="Yes", 1,C142="No",2)</f>
        <v>2</v>
      </c>
      <c r="F142" cm="1">
        <f t="array" ref="F142">_xlfn.IFS(D142="Yes", 1,D142="No",2)</f>
        <v>2</v>
      </c>
      <c r="G142">
        <f t="shared" si="2"/>
        <v>4</v>
      </c>
      <c r="H142" t="str" cm="1">
        <f t="array" ref="H142">_xlfn.IFS(G142=2,"B",G142=3,"C",G142=4,"D")</f>
        <v>D</v>
      </c>
    </row>
    <row r="143" spans="1:8" x14ac:dyDescent="0.35">
      <c r="A143">
        <v>2016</v>
      </c>
      <c r="B143" s="109" t="s">
        <v>163</v>
      </c>
      <c r="C143" s="109" t="s">
        <v>1527</v>
      </c>
      <c r="D143" s="109" t="s">
        <v>1528</v>
      </c>
      <c r="E143" cm="1">
        <f t="array" ref="E143">_xlfn.IFS(C143="Yes", 1,C143="No",2)</f>
        <v>1</v>
      </c>
      <c r="F143" cm="1">
        <f t="array" ref="F143">_xlfn.IFS(D143="Yes", 1,D143="No",2)</f>
        <v>2</v>
      </c>
      <c r="G143">
        <f t="shared" si="2"/>
        <v>3</v>
      </c>
      <c r="H143" t="str" cm="1">
        <f t="array" ref="H143">_xlfn.IFS(G143=2,"B",G143=3,"C",G143=4,"D")</f>
        <v>C</v>
      </c>
    </row>
    <row r="144" spans="1:8" x14ac:dyDescent="0.35">
      <c r="A144">
        <v>1897</v>
      </c>
      <c r="B144" s="108" t="s">
        <v>164</v>
      </c>
      <c r="C144" s="108" t="s">
        <v>1528</v>
      </c>
      <c r="D144" s="108" t="s">
        <v>1528</v>
      </c>
      <c r="E144" cm="1">
        <f t="array" ref="E144">_xlfn.IFS(C144="Yes", 1,C144="No",2)</f>
        <v>2</v>
      </c>
      <c r="F144" cm="1">
        <f t="array" ref="F144">_xlfn.IFS(D144="Yes", 1,D144="No",2)</f>
        <v>2</v>
      </c>
      <c r="G144">
        <f t="shared" si="2"/>
        <v>4</v>
      </c>
      <c r="H144" t="str" cm="1">
        <f t="array" ref="H144">_xlfn.IFS(G144=2,"B",G144=3,"C",G144=4,"D")</f>
        <v>D</v>
      </c>
    </row>
    <row r="145" spans="1:8" x14ac:dyDescent="0.35">
      <c r="A145">
        <v>2047</v>
      </c>
      <c r="B145" s="109" t="s">
        <v>165</v>
      </c>
      <c r="C145" s="109" t="s">
        <v>1527</v>
      </c>
      <c r="D145" s="109" t="s">
        <v>1528</v>
      </c>
      <c r="E145" cm="1">
        <f t="array" ref="E145">_xlfn.IFS(C145="Yes", 1,C145="No",2)</f>
        <v>1</v>
      </c>
      <c r="F145" cm="1">
        <f t="array" ref="F145">_xlfn.IFS(D145="Yes", 1,D145="No",2)</f>
        <v>2</v>
      </c>
      <c r="G145">
        <f t="shared" si="2"/>
        <v>3</v>
      </c>
      <c r="H145" t="str" cm="1">
        <f t="array" ref="H145">_xlfn.IFS(G145=2,"B",G145=3,"C",G145=4,"D")</f>
        <v>C</v>
      </c>
    </row>
    <row r="146" spans="1:8" x14ac:dyDescent="0.35">
      <c r="A146">
        <v>2081</v>
      </c>
      <c r="B146" s="108" t="s">
        <v>166</v>
      </c>
      <c r="C146" s="108" t="s">
        <v>1528</v>
      </c>
      <c r="D146" s="108" t="s">
        <v>1528</v>
      </c>
      <c r="E146" cm="1">
        <f t="array" ref="E146">_xlfn.IFS(C146="Yes", 1,C146="No",2)</f>
        <v>2</v>
      </c>
      <c r="F146" cm="1">
        <f t="array" ref="F146">_xlfn.IFS(D146="Yes", 1,D146="No",2)</f>
        <v>2</v>
      </c>
      <c r="G146">
        <f t="shared" si="2"/>
        <v>4</v>
      </c>
      <c r="H146" t="str" cm="1">
        <f t="array" ref="H146">_xlfn.IFS(G146=2,"B",G146=3,"C",G146=4,"D")</f>
        <v>D</v>
      </c>
    </row>
    <row r="147" spans="1:8" x14ac:dyDescent="0.35">
      <c r="A147">
        <v>2062</v>
      </c>
      <c r="B147" s="109" t="s">
        <v>167</v>
      </c>
      <c r="C147" s="109" t="s">
        <v>1528</v>
      </c>
      <c r="D147" s="109" t="s">
        <v>1528</v>
      </c>
      <c r="E147" cm="1">
        <f t="array" ref="E147">_xlfn.IFS(C147="Yes", 1,C147="No",2)</f>
        <v>2</v>
      </c>
      <c r="F147" cm="1">
        <f t="array" ref="F147">_xlfn.IFS(D147="Yes", 1,D147="No",2)</f>
        <v>2</v>
      </c>
      <c r="G147">
        <f t="shared" si="2"/>
        <v>4</v>
      </c>
      <c r="H147" t="str" cm="1">
        <f t="array" ref="H147">_xlfn.IFS(G147=2,"B",G147=3,"C",G147=4,"D")</f>
        <v>D</v>
      </c>
    </row>
    <row r="148" spans="1:8" x14ac:dyDescent="0.35">
      <c r="A148">
        <v>1973</v>
      </c>
      <c r="B148" s="108" t="s">
        <v>168</v>
      </c>
      <c r="C148" s="108" t="s">
        <v>1528</v>
      </c>
      <c r="D148" s="108" t="s">
        <v>1528</v>
      </c>
      <c r="E148" cm="1">
        <f t="array" ref="E148">_xlfn.IFS(C148="Yes", 1,C148="No",2)</f>
        <v>2</v>
      </c>
      <c r="F148" cm="1">
        <f t="array" ref="F148">_xlfn.IFS(D148="Yes", 1,D148="No",2)</f>
        <v>2</v>
      </c>
      <c r="G148">
        <f t="shared" si="2"/>
        <v>4</v>
      </c>
      <c r="H148" t="str" cm="1">
        <f t="array" ref="H148">_xlfn.IFS(G148=2,"B",G148=3,"C",G148=4,"D")</f>
        <v>D</v>
      </c>
    </row>
    <row r="149" spans="1:8" x14ac:dyDescent="0.35">
      <c r="A149">
        <v>2180</v>
      </c>
      <c r="B149" s="109" t="s">
        <v>169</v>
      </c>
      <c r="C149" s="109" t="s">
        <v>1528</v>
      </c>
      <c r="D149" s="109" t="s">
        <v>1527</v>
      </c>
      <c r="E149" cm="1">
        <f t="array" ref="E149">_xlfn.IFS(C149="Yes", 1,C149="No",2)</f>
        <v>2</v>
      </c>
      <c r="F149" cm="1">
        <f t="array" ref="F149">_xlfn.IFS(D149="Yes", 1,D149="No",2)</f>
        <v>1</v>
      </c>
      <c r="G149">
        <f t="shared" si="2"/>
        <v>3</v>
      </c>
      <c r="H149" t="str" cm="1">
        <f t="array" ref="H149">_xlfn.IFS(G149=2,"B",G149=3,"C",G149=4,"D")</f>
        <v>C</v>
      </c>
    </row>
    <row r="150" spans="1:8" x14ac:dyDescent="0.35">
      <c r="A150">
        <v>1967</v>
      </c>
      <c r="B150" s="108" t="s">
        <v>170</v>
      </c>
      <c r="C150" s="108" t="s">
        <v>1528</v>
      </c>
      <c r="D150" s="108" t="s">
        <v>1528</v>
      </c>
      <c r="E150" cm="1">
        <f t="array" ref="E150">_xlfn.IFS(C150="Yes", 1,C150="No",2)</f>
        <v>2</v>
      </c>
      <c r="F150" cm="1">
        <f t="array" ref="F150">_xlfn.IFS(D150="Yes", 1,D150="No",2)</f>
        <v>2</v>
      </c>
      <c r="G150">
        <f t="shared" si="2"/>
        <v>4</v>
      </c>
      <c r="H150" t="str" cm="1">
        <f t="array" ref="H150">_xlfn.IFS(G150=2,"B",G150=3,"C",G150=4,"D")</f>
        <v>D</v>
      </c>
    </row>
    <row r="151" spans="1:8" x14ac:dyDescent="0.35">
      <c r="A151">
        <v>2009</v>
      </c>
      <c r="B151" s="109" t="s">
        <v>171</v>
      </c>
      <c r="C151" s="109" t="s">
        <v>1528</v>
      </c>
      <c r="D151" s="109" t="s">
        <v>1528</v>
      </c>
      <c r="E151" cm="1">
        <f t="array" ref="E151">_xlfn.IFS(C151="Yes", 1,C151="No",2)</f>
        <v>2</v>
      </c>
      <c r="F151" cm="1">
        <f t="array" ref="F151">_xlfn.IFS(D151="Yes", 1,D151="No",2)</f>
        <v>2</v>
      </c>
      <c r="G151">
        <f t="shared" si="2"/>
        <v>4</v>
      </c>
      <c r="H151" t="str" cm="1">
        <f t="array" ref="H151">_xlfn.IFS(G151=2,"B",G151=3,"C",G151=4,"D")</f>
        <v>D</v>
      </c>
    </row>
    <row r="152" spans="1:8" x14ac:dyDescent="0.35">
      <c r="A152">
        <v>2045</v>
      </c>
      <c r="B152" s="108" t="s">
        <v>172</v>
      </c>
      <c r="C152" s="108" t="s">
        <v>1528</v>
      </c>
      <c r="D152" s="108" t="s">
        <v>1528</v>
      </c>
      <c r="E152" cm="1">
        <f t="array" ref="E152">_xlfn.IFS(C152="Yes", 1,C152="No",2)</f>
        <v>2</v>
      </c>
      <c r="F152" cm="1">
        <f t="array" ref="F152">_xlfn.IFS(D152="Yes", 1,D152="No",2)</f>
        <v>2</v>
      </c>
      <c r="G152">
        <f t="shared" si="2"/>
        <v>4</v>
      </c>
      <c r="H152" t="str" cm="1">
        <f t="array" ref="H152">_xlfn.IFS(G152=2,"B",G152=3,"C",G152=4,"D")</f>
        <v>D</v>
      </c>
    </row>
    <row r="153" spans="1:8" x14ac:dyDescent="0.35">
      <c r="A153">
        <v>1946</v>
      </c>
      <c r="B153" s="109" t="s">
        <v>173</v>
      </c>
      <c r="C153" s="109" t="s">
        <v>1528</v>
      </c>
      <c r="D153" s="109" t="s">
        <v>1528</v>
      </c>
      <c r="E153" cm="1">
        <f t="array" ref="E153">_xlfn.IFS(C153="Yes", 1,C153="No",2)</f>
        <v>2</v>
      </c>
      <c r="F153" cm="1">
        <f t="array" ref="F153">_xlfn.IFS(D153="Yes", 1,D153="No",2)</f>
        <v>2</v>
      </c>
      <c r="G153">
        <f t="shared" si="2"/>
        <v>4</v>
      </c>
      <c r="H153" t="str" cm="1">
        <f t="array" ref="H153">_xlfn.IFS(G153=2,"B",G153=3,"C",G153=4,"D")</f>
        <v>D</v>
      </c>
    </row>
    <row r="154" spans="1:8" x14ac:dyDescent="0.35">
      <c r="A154">
        <v>1977</v>
      </c>
      <c r="B154" s="108" t="s">
        <v>174</v>
      </c>
      <c r="C154" s="108" t="s">
        <v>1528</v>
      </c>
      <c r="D154" s="108" t="s">
        <v>1528</v>
      </c>
      <c r="E154" cm="1">
        <f t="array" ref="E154">_xlfn.IFS(C154="Yes", 1,C154="No",2)</f>
        <v>2</v>
      </c>
      <c r="F154" cm="1">
        <f t="array" ref="F154">_xlfn.IFS(D154="Yes", 1,D154="No",2)</f>
        <v>2</v>
      </c>
      <c r="G154">
        <f t="shared" si="2"/>
        <v>4</v>
      </c>
      <c r="H154" t="str" cm="1">
        <f t="array" ref="H154">_xlfn.IFS(G154=2,"B",G154=3,"C",G154=4,"D")</f>
        <v>D</v>
      </c>
    </row>
    <row r="155" spans="1:8" x14ac:dyDescent="0.35">
      <c r="A155">
        <v>2001</v>
      </c>
      <c r="B155" s="109" t="s">
        <v>175</v>
      </c>
      <c r="C155" s="109" t="s">
        <v>1528</v>
      </c>
      <c r="D155" s="109" t="s">
        <v>1528</v>
      </c>
      <c r="E155" cm="1">
        <f t="array" ref="E155">_xlfn.IFS(C155="Yes", 1,C155="No",2)</f>
        <v>2</v>
      </c>
      <c r="F155" cm="1">
        <f t="array" ref="F155">_xlfn.IFS(D155="Yes", 1,D155="No",2)</f>
        <v>2</v>
      </c>
      <c r="G155">
        <f t="shared" si="2"/>
        <v>4</v>
      </c>
      <c r="H155" t="str" cm="1">
        <f t="array" ref="H155">_xlfn.IFS(G155=2,"B",G155=3,"C",G155=4,"D")</f>
        <v>D</v>
      </c>
    </row>
    <row r="156" spans="1:8" x14ac:dyDescent="0.35">
      <c r="A156">
        <v>2182</v>
      </c>
      <c r="B156" s="108" t="s">
        <v>176</v>
      </c>
      <c r="C156" s="108" t="s">
        <v>1528</v>
      </c>
      <c r="D156" s="108" t="s">
        <v>1528</v>
      </c>
      <c r="E156" cm="1">
        <f t="array" ref="E156">_xlfn.IFS(C156="Yes", 1,C156="No",2)</f>
        <v>2</v>
      </c>
      <c r="F156" cm="1">
        <f t="array" ref="F156">_xlfn.IFS(D156="Yes", 1,D156="No",2)</f>
        <v>2</v>
      </c>
      <c r="G156">
        <f t="shared" si="2"/>
        <v>4</v>
      </c>
      <c r="H156" t="str" cm="1">
        <f t="array" ref="H156">_xlfn.IFS(G156=2,"B",G156=3,"C",G156=4,"D")</f>
        <v>D</v>
      </c>
    </row>
    <row r="157" spans="1:8" x14ac:dyDescent="0.35">
      <c r="A157">
        <v>1999</v>
      </c>
      <c r="B157" s="109" t="s">
        <v>177</v>
      </c>
      <c r="C157" s="109" t="s">
        <v>1528</v>
      </c>
      <c r="D157" s="109" t="s">
        <v>1528</v>
      </c>
      <c r="E157" cm="1">
        <f t="array" ref="E157">_xlfn.IFS(C157="Yes", 1,C157="No",2)</f>
        <v>2</v>
      </c>
      <c r="F157" cm="1">
        <f t="array" ref="F157">_xlfn.IFS(D157="Yes", 1,D157="No",2)</f>
        <v>2</v>
      </c>
      <c r="G157">
        <f t="shared" si="2"/>
        <v>4</v>
      </c>
      <c r="H157" t="str" cm="1">
        <f t="array" ref="H157">_xlfn.IFS(G157=2,"B",G157=3,"C",G157=4,"D")</f>
        <v>D</v>
      </c>
    </row>
    <row r="158" spans="1:8" x14ac:dyDescent="0.35">
      <c r="A158">
        <v>2188</v>
      </c>
      <c r="B158" s="108" t="s">
        <v>178</v>
      </c>
      <c r="C158" s="108" t="s">
        <v>1528</v>
      </c>
      <c r="D158" s="108" t="s">
        <v>1528</v>
      </c>
      <c r="E158" cm="1">
        <f t="array" ref="E158">_xlfn.IFS(C158="Yes", 1,C158="No",2)</f>
        <v>2</v>
      </c>
      <c r="F158" cm="1">
        <f t="array" ref="F158">_xlfn.IFS(D158="Yes", 1,D158="No",2)</f>
        <v>2</v>
      </c>
      <c r="G158">
        <f t="shared" si="2"/>
        <v>4</v>
      </c>
      <c r="H158" t="str" cm="1">
        <f t="array" ref="H158">_xlfn.IFS(G158=2,"B",G158=3,"C",G158=4,"D")</f>
        <v>D</v>
      </c>
    </row>
    <row r="159" spans="1:8" x14ac:dyDescent="0.35">
      <c r="A159">
        <v>2044</v>
      </c>
      <c r="B159" s="109" t="s">
        <v>179</v>
      </c>
      <c r="C159" s="109" t="s">
        <v>1528</v>
      </c>
      <c r="D159" s="109" t="s">
        <v>1528</v>
      </c>
      <c r="E159" cm="1">
        <f t="array" ref="E159">_xlfn.IFS(C159="Yes", 1,C159="No",2)</f>
        <v>2</v>
      </c>
      <c r="F159" cm="1">
        <f t="array" ref="F159">_xlfn.IFS(D159="Yes", 1,D159="No",2)</f>
        <v>2</v>
      </c>
      <c r="G159">
        <f t="shared" si="2"/>
        <v>4</v>
      </c>
      <c r="H159" t="str" cm="1">
        <f t="array" ref="H159">_xlfn.IFS(G159=2,"B",G159=3,"C",G159=4,"D")</f>
        <v>D</v>
      </c>
    </row>
    <row r="160" spans="1:8" x14ac:dyDescent="0.35">
      <c r="A160">
        <v>2142</v>
      </c>
      <c r="B160" s="108" t="s">
        <v>180</v>
      </c>
      <c r="C160" s="108" t="s">
        <v>1528</v>
      </c>
      <c r="D160" s="108" t="s">
        <v>1528</v>
      </c>
      <c r="E160" cm="1">
        <f t="array" ref="E160">_xlfn.IFS(C160="Yes", 1,C160="No",2)</f>
        <v>2</v>
      </c>
      <c r="F160" cm="1">
        <f t="array" ref="F160">_xlfn.IFS(D160="Yes", 1,D160="No",2)</f>
        <v>2</v>
      </c>
      <c r="G160">
        <f t="shared" si="2"/>
        <v>4</v>
      </c>
      <c r="H160" t="str" cm="1">
        <f t="array" ref="H160">_xlfn.IFS(G160=2,"B",G160=3,"C",G160=4,"D")</f>
        <v>D</v>
      </c>
    </row>
    <row r="161" spans="1:8" x14ac:dyDescent="0.35">
      <c r="A161">
        <v>2104</v>
      </c>
      <c r="B161" s="109" t="s">
        <v>181</v>
      </c>
      <c r="C161" s="109" t="s">
        <v>1528</v>
      </c>
      <c r="D161" s="109" t="s">
        <v>1528</v>
      </c>
      <c r="E161" cm="1">
        <f t="array" ref="E161">_xlfn.IFS(C161="Yes", 1,C161="No",2)</f>
        <v>2</v>
      </c>
      <c r="F161" cm="1">
        <f t="array" ref="F161">_xlfn.IFS(D161="Yes", 1,D161="No",2)</f>
        <v>2</v>
      </c>
      <c r="G161">
        <f t="shared" si="2"/>
        <v>4</v>
      </c>
      <c r="H161" t="str" cm="1">
        <f t="array" ref="H161">_xlfn.IFS(G161=2,"B",G161=3,"C",G161=4,"D")</f>
        <v>D</v>
      </c>
    </row>
    <row r="162" spans="1:8" x14ac:dyDescent="0.35">
      <c r="A162">
        <v>1944</v>
      </c>
      <c r="B162" s="108" t="s">
        <v>182</v>
      </c>
      <c r="C162" s="108" t="s">
        <v>1528</v>
      </c>
      <c r="D162" s="108" t="s">
        <v>1528</v>
      </c>
      <c r="E162" cm="1">
        <f t="array" ref="E162">_xlfn.IFS(C162="Yes", 1,C162="No",2)</f>
        <v>2</v>
      </c>
      <c r="F162" cm="1">
        <f t="array" ref="F162">_xlfn.IFS(D162="Yes", 1,D162="No",2)</f>
        <v>2</v>
      </c>
      <c r="G162">
        <f t="shared" si="2"/>
        <v>4</v>
      </c>
      <c r="H162" t="str" cm="1">
        <f t="array" ref="H162">_xlfn.IFS(G162=2,"B",G162=3,"C",G162=4,"D")</f>
        <v>D</v>
      </c>
    </row>
    <row r="163" spans="1:8" x14ac:dyDescent="0.35">
      <c r="A163">
        <v>2103</v>
      </c>
      <c r="B163" s="109" t="s">
        <v>183</v>
      </c>
      <c r="C163" s="109" t="s">
        <v>1528</v>
      </c>
      <c r="D163" s="109" t="s">
        <v>1528</v>
      </c>
      <c r="E163" cm="1">
        <f t="array" ref="E163">_xlfn.IFS(C163="Yes", 1,C163="No",2)</f>
        <v>2</v>
      </c>
      <c r="F163" cm="1">
        <f t="array" ref="F163">_xlfn.IFS(D163="Yes", 1,D163="No",2)</f>
        <v>2</v>
      </c>
      <c r="G163">
        <f t="shared" si="2"/>
        <v>4</v>
      </c>
      <c r="H163" t="str" cm="1">
        <f t="array" ref="H163">_xlfn.IFS(G163=2,"B",G163=3,"C",G163=4,"D")</f>
        <v>D</v>
      </c>
    </row>
    <row r="164" spans="1:8" x14ac:dyDescent="0.35">
      <c r="A164">
        <v>1935</v>
      </c>
      <c r="B164" s="108" t="s">
        <v>184</v>
      </c>
      <c r="C164" s="108" t="s">
        <v>1528</v>
      </c>
      <c r="D164" s="108" t="s">
        <v>1528</v>
      </c>
      <c r="E164" cm="1">
        <f t="array" ref="E164">_xlfn.IFS(C164="Yes", 1,C164="No",2)</f>
        <v>2</v>
      </c>
      <c r="F164" cm="1">
        <f t="array" ref="F164">_xlfn.IFS(D164="Yes", 1,D164="No",2)</f>
        <v>2</v>
      </c>
      <c r="G164">
        <f t="shared" si="2"/>
        <v>4</v>
      </c>
      <c r="H164" t="str" cm="1">
        <f t="array" ref="H164">_xlfn.IFS(G164=2,"B",G164=3,"C",G164=4,"D")</f>
        <v>D</v>
      </c>
    </row>
    <row r="165" spans="1:8" x14ac:dyDescent="0.35">
      <c r="A165">
        <v>2257</v>
      </c>
      <c r="B165" s="109" t="s">
        <v>185</v>
      </c>
      <c r="C165" s="109" t="s">
        <v>1528</v>
      </c>
      <c r="D165" s="109" t="s">
        <v>1528</v>
      </c>
      <c r="E165" cm="1">
        <f t="array" ref="E165">_xlfn.IFS(C165="Yes", 1,C165="No",2)</f>
        <v>2</v>
      </c>
      <c r="F165" cm="1">
        <f t="array" ref="F165">_xlfn.IFS(D165="Yes", 1,D165="No",2)</f>
        <v>2</v>
      </c>
      <c r="G165">
        <f t="shared" si="2"/>
        <v>4</v>
      </c>
      <c r="H165" t="str" cm="1">
        <f t="array" ref="H165">_xlfn.IFS(G165=2,"B",G165=3,"C",G165=4,"D")</f>
        <v>D</v>
      </c>
    </row>
    <row r="166" spans="1:8" x14ac:dyDescent="0.35">
      <c r="A166">
        <v>2195</v>
      </c>
      <c r="B166" s="108" t="s">
        <v>186</v>
      </c>
      <c r="C166" s="108" t="s">
        <v>1527</v>
      </c>
      <c r="D166" s="108" t="s">
        <v>1528</v>
      </c>
      <c r="E166" cm="1">
        <f t="array" ref="E166">_xlfn.IFS(C166="Yes", 1,C166="No",2)</f>
        <v>1</v>
      </c>
      <c r="F166" cm="1">
        <f t="array" ref="F166">_xlfn.IFS(D166="Yes", 1,D166="No",2)</f>
        <v>2</v>
      </c>
      <c r="G166">
        <f t="shared" si="2"/>
        <v>3</v>
      </c>
      <c r="H166" t="str" cm="1">
        <f t="array" ref="H166">_xlfn.IFS(G166=2,"B",G166=3,"C",G166=4,"D")</f>
        <v>C</v>
      </c>
    </row>
    <row r="167" spans="1:8" x14ac:dyDescent="0.35">
      <c r="A167">
        <v>2244</v>
      </c>
      <c r="B167" s="109" t="s">
        <v>187</v>
      </c>
      <c r="C167" s="109" t="s">
        <v>1528</v>
      </c>
      <c r="D167" s="109" t="s">
        <v>1528</v>
      </c>
      <c r="E167" cm="1">
        <f t="array" ref="E167">_xlfn.IFS(C167="Yes", 1,C167="No",2)</f>
        <v>2</v>
      </c>
      <c r="F167" cm="1">
        <f t="array" ref="F167">_xlfn.IFS(D167="Yes", 1,D167="No",2)</f>
        <v>2</v>
      </c>
      <c r="G167">
        <f t="shared" si="2"/>
        <v>4</v>
      </c>
      <c r="H167" t="str" cm="1">
        <f t="array" ref="H167">_xlfn.IFS(G167=2,"B",G167=3,"C",G167=4,"D")</f>
        <v>D</v>
      </c>
    </row>
    <row r="168" spans="1:8" x14ac:dyDescent="0.35">
      <c r="A168">
        <v>2138</v>
      </c>
      <c r="B168" s="108" t="s">
        <v>188</v>
      </c>
      <c r="C168" s="108" t="s">
        <v>1528</v>
      </c>
      <c r="D168" s="108" t="s">
        <v>1528</v>
      </c>
      <c r="E168" cm="1">
        <f t="array" ref="E168">_xlfn.IFS(C168="Yes", 1,C168="No",2)</f>
        <v>2</v>
      </c>
      <c r="F168" cm="1">
        <f t="array" ref="F168">_xlfn.IFS(D168="Yes", 1,D168="No",2)</f>
        <v>2</v>
      </c>
      <c r="G168">
        <f t="shared" si="2"/>
        <v>4</v>
      </c>
      <c r="H168" t="str" cm="1">
        <f t="array" ref="H168">_xlfn.IFS(G168=2,"B",G168=3,"C",G168=4,"D")</f>
        <v>D</v>
      </c>
    </row>
    <row r="169" spans="1:8" x14ac:dyDescent="0.35">
      <c r="A169">
        <v>1978</v>
      </c>
      <c r="B169" s="109" t="s">
        <v>189</v>
      </c>
      <c r="C169" s="109" t="s">
        <v>1528</v>
      </c>
      <c r="D169" s="109" t="s">
        <v>1528</v>
      </c>
      <c r="E169" cm="1">
        <f t="array" ref="E169">_xlfn.IFS(C169="Yes", 1,C169="No",2)</f>
        <v>2</v>
      </c>
      <c r="F169" cm="1">
        <f t="array" ref="F169">_xlfn.IFS(D169="Yes", 1,D169="No",2)</f>
        <v>2</v>
      </c>
      <c r="G169">
        <f t="shared" si="2"/>
        <v>4</v>
      </c>
      <c r="H169" t="str" cm="1">
        <f t="array" ref="H169">_xlfn.IFS(G169=2,"B",G169=3,"C",G169=4,"D")</f>
        <v>D</v>
      </c>
    </row>
    <row r="170" spans="1:8" x14ac:dyDescent="0.35">
      <c r="A170">
        <v>2096</v>
      </c>
      <c r="B170" s="108" t="s">
        <v>190</v>
      </c>
      <c r="C170" s="108" t="s">
        <v>1528</v>
      </c>
      <c r="D170" s="108" t="s">
        <v>1528</v>
      </c>
      <c r="E170" cm="1">
        <f t="array" ref="E170">_xlfn.IFS(C170="Yes", 1,C170="No",2)</f>
        <v>2</v>
      </c>
      <c r="F170" cm="1">
        <f t="array" ref="F170">_xlfn.IFS(D170="Yes", 1,D170="No",2)</f>
        <v>2</v>
      </c>
      <c r="G170">
        <f t="shared" si="2"/>
        <v>4</v>
      </c>
      <c r="H170" t="str" cm="1">
        <f t="array" ref="H170">_xlfn.IFS(G170=2,"B",G170=3,"C",G170=4,"D")</f>
        <v>D</v>
      </c>
    </row>
    <row r="171" spans="1:8" x14ac:dyDescent="0.35">
      <c r="A171">
        <v>2022</v>
      </c>
      <c r="B171" s="109" t="s">
        <v>191</v>
      </c>
      <c r="C171" s="109" t="s">
        <v>1528</v>
      </c>
      <c r="D171" s="109" t="s">
        <v>1528</v>
      </c>
      <c r="E171" cm="1">
        <f t="array" ref="E171">_xlfn.IFS(C171="Yes", 1,C171="No",2)</f>
        <v>2</v>
      </c>
      <c r="F171" cm="1">
        <f t="array" ref="F171">_xlfn.IFS(D171="Yes", 1,D171="No",2)</f>
        <v>2</v>
      </c>
      <c r="G171">
        <f t="shared" si="2"/>
        <v>4</v>
      </c>
      <c r="H171" t="str" cm="1">
        <f t="array" ref="H171">_xlfn.IFS(G171=2,"B",G171=3,"C",G171=4,"D")</f>
        <v>D</v>
      </c>
    </row>
    <row r="172" spans="1:8" x14ac:dyDescent="0.35">
      <c r="A172">
        <v>2087</v>
      </c>
      <c r="B172" s="108" t="s">
        <v>192</v>
      </c>
      <c r="C172" s="108" t="s">
        <v>1528</v>
      </c>
      <c r="D172" s="108" t="s">
        <v>1528</v>
      </c>
      <c r="E172" cm="1">
        <f t="array" ref="E172">_xlfn.IFS(C172="Yes", 1,C172="No",2)</f>
        <v>2</v>
      </c>
      <c r="F172" cm="1">
        <f t="array" ref="F172">_xlfn.IFS(D172="Yes", 1,D172="No",2)</f>
        <v>2</v>
      </c>
      <c r="G172">
        <f t="shared" si="2"/>
        <v>4</v>
      </c>
      <c r="H172" t="str" cm="1">
        <f t="array" ref="H172">_xlfn.IFS(G172=2,"B",G172=3,"C",G172=4,"D")</f>
        <v>D</v>
      </c>
    </row>
    <row r="173" spans="1:8" x14ac:dyDescent="0.35">
      <c r="A173">
        <v>1994</v>
      </c>
      <c r="B173" s="109" t="s">
        <v>193</v>
      </c>
      <c r="C173" s="109" t="s">
        <v>1528</v>
      </c>
      <c r="D173" s="109" t="s">
        <v>1528</v>
      </c>
      <c r="E173" cm="1">
        <f t="array" ref="E173">_xlfn.IFS(C173="Yes", 1,C173="No",2)</f>
        <v>2</v>
      </c>
      <c r="F173" cm="1">
        <f t="array" ref="F173">_xlfn.IFS(D173="Yes", 1,D173="No",2)</f>
        <v>2</v>
      </c>
      <c r="G173">
        <f t="shared" si="2"/>
        <v>4</v>
      </c>
      <c r="H173" t="str" cm="1">
        <f t="array" ref="H173">_xlfn.IFS(G173=2,"B",G173=3,"C",G173=4,"D")</f>
        <v>D</v>
      </c>
    </row>
    <row r="174" spans="1:8" x14ac:dyDescent="0.35">
      <c r="A174">
        <v>2225</v>
      </c>
      <c r="B174" s="108" t="s">
        <v>194</v>
      </c>
      <c r="C174" s="108" t="s">
        <v>1527</v>
      </c>
      <c r="D174" s="108" t="s">
        <v>1528</v>
      </c>
      <c r="E174" cm="1">
        <f t="array" ref="E174">_xlfn.IFS(C174="Yes", 1,C174="No",2)</f>
        <v>1</v>
      </c>
      <c r="F174" cm="1">
        <f t="array" ref="F174">_xlfn.IFS(D174="Yes", 1,D174="No",2)</f>
        <v>2</v>
      </c>
      <c r="G174">
        <f t="shared" si="2"/>
        <v>3</v>
      </c>
      <c r="H174" t="str" cm="1">
        <f t="array" ref="H174">_xlfn.IFS(G174=2,"B",G174=3,"C",G174=4,"D")</f>
        <v>C</v>
      </c>
    </row>
    <row r="175" spans="1:8" x14ac:dyDescent="0.35">
      <c r="A175">
        <v>2247</v>
      </c>
      <c r="B175" s="109" t="s">
        <v>195</v>
      </c>
      <c r="C175" s="109" t="s">
        <v>1527</v>
      </c>
      <c r="D175" s="109" t="s">
        <v>1528</v>
      </c>
      <c r="E175" cm="1">
        <f t="array" ref="E175">_xlfn.IFS(C175="Yes", 1,C175="No",2)</f>
        <v>1</v>
      </c>
      <c r="F175" cm="1">
        <f t="array" ref="F175">_xlfn.IFS(D175="Yes", 1,D175="No",2)</f>
        <v>2</v>
      </c>
      <c r="G175">
        <f t="shared" si="2"/>
        <v>3</v>
      </c>
      <c r="H175" t="str" cm="1">
        <f t="array" ref="H175">_xlfn.IFS(G175=2,"B",G175=3,"C",G175=4,"D")</f>
        <v>C</v>
      </c>
    </row>
    <row r="176" spans="1:8" x14ac:dyDescent="0.35">
      <c r="A176">
        <v>2083</v>
      </c>
      <c r="B176" s="108" t="s">
        <v>196</v>
      </c>
      <c r="C176" s="108" t="s">
        <v>1528</v>
      </c>
      <c r="D176" s="108" t="s">
        <v>1527</v>
      </c>
      <c r="E176" cm="1">
        <f t="array" ref="E176">_xlfn.IFS(C176="Yes", 1,C176="No",2)</f>
        <v>2</v>
      </c>
      <c r="F176" cm="1">
        <f t="array" ref="F176">_xlfn.IFS(D176="Yes", 1,D176="No",2)</f>
        <v>1</v>
      </c>
      <c r="G176">
        <f t="shared" si="2"/>
        <v>3</v>
      </c>
      <c r="H176" t="str" cm="1">
        <f t="array" ref="H176">_xlfn.IFS(G176=2,"B",G176=3,"C",G176=4,"D")</f>
        <v>C</v>
      </c>
    </row>
    <row r="177" spans="1:8" x14ac:dyDescent="0.35">
      <c r="A177">
        <v>1948</v>
      </c>
      <c r="B177" s="109" t="s">
        <v>197</v>
      </c>
      <c r="C177" s="109" t="s">
        <v>1528</v>
      </c>
      <c r="D177" s="109" t="s">
        <v>1528</v>
      </c>
      <c r="E177" cm="1">
        <f t="array" ref="E177">_xlfn.IFS(C177="Yes", 1,C177="No",2)</f>
        <v>2</v>
      </c>
      <c r="F177" cm="1">
        <f t="array" ref="F177">_xlfn.IFS(D177="Yes", 1,D177="No",2)</f>
        <v>2</v>
      </c>
      <c r="G177">
        <f t="shared" si="2"/>
        <v>4</v>
      </c>
      <c r="H177" t="str" cm="1">
        <f t="array" ref="H177">_xlfn.IFS(G177=2,"B",G177=3,"C",G177=4,"D")</f>
        <v>D</v>
      </c>
    </row>
    <row r="178" spans="1:8" x14ac:dyDescent="0.35">
      <c r="A178">
        <v>2144</v>
      </c>
      <c r="B178" s="108" t="s">
        <v>198</v>
      </c>
      <c r="C178" s="108" t="s">
        <v>1528</v>
      </c>
      <c r="D178" s="108" t="s">
        <v>1528</v>
      </c>
      <c r="E178" cm="1">
        <f t="array" ref="E178">_xlfn.IFS(C178="Yes", 1,C178="No",2)</f>
        <v>2</v>
      </c>
      <c r="F178" cm="1">
        <f t="array" ref="F178">_xlfn.IFS(D178="Yes", 1,D178="No",2)</f>
        <v>2</v>
      </c>
      <c r="G178">
        <f t="shared" si="2"/>
        <v>4</v>
      </c>
      <c r="H178" t="str" cm="1">
        <f t="array" ref="H178">_xlfn.IFS(G178=2,"B",G178=3,"C",G178=4,"D")</f>
        <v>D</v>
      </c>
    </row>
    <row r="179" spans="1:8" x14ac:dyDescent="0.35">
      <c r="A179">
        <v>2209</v>
      </c>
      <c r="B179" s="109" t="s">
        <v>199</v>
      </c>
      <c r="C179" s="109" t="s">
        <v>1528</v>
      </c>
      <c r="D179" s="109" t="s">
        <v>1528</v>
      </c>
      <c r="E179" cm="1">
        <f t="array" ref="E179">_xlfn.IFS(C179="Yes", 1,C179="No",2)</f>
        <v>2</v>
      </c>
      <c r="F179" cm="1">
        <f t="array" ref="F179">_xlfn.IFS(D179="Yes", 1,D179="No",2)</f>
        <v>2</v>
      </c>
      <c r="G179">
        <f t="shared" si="2"/>
        <v>4</v>
      </c>
      <c r="H179" t="str" cm="1">
        <f t="array" ref="H179">_xlfn.IFS(G179=2,"B",G179=3,"C",G179=4,"D")</f>
        <v>D</v>
      </c>
    </row>
    <row r="180" spans="1:8" x14ac:dyDescent="0.35">
      <c r="A180">
        <v>2018</v>
      </c>
      <c r="B180" s="108" t="s">
        <v>200</v>
      </c>
      <c r="C180" s="108" t="s">
        <v>1528</v>
      </c>
      <c r="D180" s="108" t="s">
        <v>1528</v>
      </c>
      <c r="E180" cm="1">
        <f t="array" ref="E180">_xlfn.IFS(C180="Yes", 1,C180="No",2)</f>
        <v>2</v>
      </c>
      <c r="F180" cm="1">
        <f t="array" ref="F180">_xlfn.IFS(D180="Yes", 1,D180="No",2)</f>
        <v>2</v>
      </c>
      <c r="G180">
        <f t="shared" si="2"/>
        <v>4</v>
      </c>
      <c r="H180" t="str" cm="1">
        <f t="array" ref="H180">_xlfn.IFS(G180=2,"B",G180=3,"C",G180=4,"D")</f>
        <v>D</v>
      </c>
    </row>
    <row r="181" spans="1:8" x14ac:dyDescent="0.35">
      <c r="A181">
        <v>2003</v>
      </c>
      <c r="B181" s="109" t="s">
        <v>201</v>
      </c>
      <c r="C181" s="109" t="s">
        <v>1528</v>
      </c>
      <c r="D181" s="109" t="s">
        <v>1528</v>
      </c>
      <c r="E181" cm="1">
        <f t="array" ref="E181">_xlfn.IFS(C181="Yes", 1,C181="No",2)</f>
        <v>2</v>
      </c>
      <c r="F181" cm="1">
        <f t="array" ref="F181">_xlfn.IFS(D181="Yes", 1,D181="No",2)</f>
        <v>2</v>
      </c>
      <c r="G181">
        <f t="shared" si="2"/>
        <v>4</v>
      </c>
      <c r="H181" t="str" cm="1">
        <f t="array" ref="H181">_xlfn.IFS(G181=2,"B",G181=3,"C",G181=4,"D")</f>
        <v>D</v>
      </c>
    </row>
    <row r="182" spans="1:8" x14ac:dyDescent="0.35">
      <c r="A182">
        <v>2102</v>
      </c>
      <c r="B182" s="108" t="s">
        <v>202</v>
      </c>
      <c r="C182" s="108" t="s">
        <v>1528</v>
      </c>
      <c r="D182" s="108" t="s">
        <v>1528</v>
      </c>
      <c r="E182" cm="1">
        <f t="array" ref="E182">_xlfn.IFS(C182="Yes", 1,C182="No",2)</f>
        <v>2</v>
      </c>
      <c r="F182" cm="1">
        <f t="array" ref="F182">_xlfn.IFS(D182="Yes", 1,D182="No",2)</f>
        <v>2</v>
      </c>
      <c r="G182">
        <f t="shared" si="2"/>
        <v>4</v>
      </c>
      <c r="H182" t="str" cm="1">
        <f t="array" ref="H182">_xlfn.IFS(G182=2,"B",G182=3,"C",G182=4,"D")</f>
        <v>D</v>
      </c>
    </row>
    <row r="183" spans="1:8" x14ac:dyDescent="0.35">
      <c r="A183">
        <v>2055</v>
      </c>
      <c r="B183" s="109" t="s">
        <v>203</v>
      </c>
      <c r="C183" s="109" t="s">
        <v>1528</v>
      </c>
      <c r="D183" s="109" t="s">
        <v>1528</v>
      </c>
      <c r="E183" cm="1">
        <f t="array" ref="E183">_xlfn.IFS(C183="Yes", 1,C183="No",2)</f>
        <v>2</v>
      </c>
      <c r="F183" cm="1">
        <f t="array" ref="F183">_xlfn.IFS(D183="Yes", 1,D183="No",2)</f>
        <v>2</v>
      </c>
      <c r="G183">
        <f t="shared" si="2"/>
        <v>4</v>
      </c>
      <c r="H183" t="str" cm="1">
        <f t="array" ref="H183">_xlfn.IFS(G183=2,"B",G183=3,"C",G183=4,"D")</f>
        <v>D</v>
      </c>
    </row>
    <row r="184" spans="1:8" x14ac:dyDescent="0.35">
      <c r="A184">
        <v>2242</v>
      </c>
      <c r="B184" s="108" t="s">
        <v>204</v>
      </c>
      <c r="C184" s="108" t="s">
        <v>1528</v>
      </c>
      <c r="D184" s="108" t="s">
        <v>1528</v>
      </c>
      <c r="E184" cm="1">
        <f t="array" ref="E184">_xlfn.IFS(C184="Yes", 1,C184="No",2)</f>
        <v>2</v>
      </c>
      <c r="F184" cm="1">
        <f t="array" ref="F184">_xlfn.IFS(D184="Yes", 1,D184="No",2)</f>
        <v>2</v>
      </c>
      <c r="G184">
        <f t="shared" si="2"/>
        <v>4</v>
      </c>
      <c r="H184" t="str" cm="1">
        <f t="array" ref="H184">_xlfn.IFS(G184=2,"B",G184=3,"C",G184=4,"D")</f>
        <v>D</v>
      </c>
    </row>
    <row r="185" spans="1:8" x14ac:dyDescent="0.35">
      <c r="A185">
        <v>2197</v>
      </c>
      <c r="B185" s="109" t="s">
        <v>205</v>
      </c>
      <c r="C185" s="109" t="s">
        <v>1528</v>
      </c>
      <c r="D185" s="109" t="s">
        <v>1528</v>
      </c>
      <c r="E185" cm="1">
        <f t="array" ref="E185">_xlfn.IFS(C185="Yes", 1,C185="No",2)</f>
        <v>2</v>
      </c>
      <c r="F185" cm="1">
        <f t="array" ref="F185">_xlfn.IFS(D185="Yes", 1,D185="No",2)</f>
        <v>2</v>
      </c>
      <c r="G185">
        <f t="shared" si="2"/>
        <v>4</v>
      </c>
      <c r="H185" t="str" cm="1">
        <f t="array" ref="H185">_xlfn.IFS(G185=2,"B",G185=3,"C",G185=4,"D")</f>
        <v>D</v>
      </c>
    </row>
    <row r="186" spans="1:8" x14ac:dyDescent="0.35">
      <c r="A186">
        <v>2222</v>
      </c>
      <c r="B186" s="108" t="s">
        <v>206</v>
      </c>
      <c r="C186" s="108" t="s">
        <v>1528</v>
      </c>
      <c r="D186" s="108" t="s">
        <v>1528</v>
      </c>
      <c r="E186" cm="1">
        <f t="array" ref="E186">_xlfn.IFS(C186="Yes", 1,C186="No",2)</f>
        <v>2</v>
      </c>
      <c r="F186" cm="1">
        <f t="array" ref="F186">_xlfn.IFS(D186="Yes", 1,D186="No",2)</f>
        <v>2</v>
      </c>
      <c r="G186">
        <f t="shared" si="2"/>
        <v>4</v>
      </c>
      <c r="H186" t="str" cm="1">
        <f t="array" ref="H186">_xlfn.IFS(G186=2,"B",G186=3,"C",G186=4,"D")</f>
        <v>D</v>
      </c>
    </row>
    <row r="187" spans="1:8" x14ac:dyDescent="0.35">
      <c r="A187">
        <v>2210</v>
      </c>
      <c r="B187" s="109" t="s">
        <v>207</v>
      </c>
      <c r="C187" s="109" t="s">
        <v>1528</v>
      </c>
      <c r="D187" s="109" t="s">
        <v>1528</v>
      </c>
      <c r="E187" cm="1">
        <f t="array" ref="E187">_xlfn.IFS(C187="Yes", 1,C187="No",2)</f>
        <v>2</v>
      </c>
      <c r="F187" cm="1">
        <f t="array" ref="F187">_xlfn.IFS(D187="Yes", 1,D187="No",2)</f>
        <v>2</v>
      </c>
      <c r="G187">
        <f t="shared" si="2"/>
        <v>4</v>
      </c>
      <c r="H187" t="str" cm="1">
        <f t="array" ref="H187">_xlfn.IFS(G187=2,"B",G187=3,"C",G187=4,"D")</f>
        <v>D</v>
      </c>
    </row>
    <row r="188" spans="1:8" x14ac:dyDescent="0.35">
      <c r="A188">
        <v>2204</v>
      </c>
      <c r="B188" s="108" t="s">
        <v>208</v>
      </c>
      <c r="C188" s="108" t="s">
        <v>1528</v>
      </c>
      <c r="D188" s="108" t="s">
        <v>1528</v>
      </c>
      <c r="E188" cm="1">
        <f t="array" ref="E188">_xlfn.IFS(C188="Yes", 1,C188="No",2)</f>
        <v>2</v>
      </c>
      <c r="F188" cm="1">
        <f t="array" ref="F188">_xlfn.IFS(D188="Yes", 1,D188="No",2)</f>
        <v>2</v>
      </c>
      <c r="G188">
        <f t="shared" si="2"/>
        <v>4</v>
      </c>
      <c r="H188" t="str" cm="1">
        <f t="array" ref="H188">_xlfn.IFS(G188=2,"B",G188=3,"C",G188=4,"D")</f>
        <v>D</v>
      </c>
    </row>
    <row r="189" spans="1:8" x14ac:dyDescent="0.35">
      <c r="A189">
        <v>2213</v>
      </c>
      <c r="B189" s="109" t="s">
        <v>209</v>
      </c>
      <c r="C189" s="109" t="s">
        <v>1528</v>
      </c>
      <c r="D189" s="109" t="s">
        <v>1528</v>
      </c>
      <c r="E189" cm="1">
        <f t="array" ref="E189">_xlfn.IFS(C189="Yes", 1,C189="No",2)</f>
        <v>2</v>
      </c>
      <c r="F189" cm="1">
        <f t="array" ref="F189">_xlfn.IFS(D189="Yes", 1,D189="No",2)</f>
        <v>2</v>
      </c>
      <c r="G189">
        <f t="shared" si="2"/>
        <v>4</v>
      </c>
      <c r="H189" t="str" cm="1">
        <f t="array" ref="H189">_xlfn.IFS(G189=2,"B",G189=3,"C",G189=4,"D")</f>
        <v>D</v>
      </c>
    </row>
    <row r="190" spans="1:8" x14ac:dyDescent="0.35">
      <c r="A190">
        <v>2116</v>
      </c>
      <c r="B190" s="108" t="s">
        <v>210</v>
      </c>
      <c r="C190" s="108" t="s">
        <v>1528</v>
      </c>
      <c r="D190" s="108" t="s">
        <v>1528</v>
      </c>
      <c r="E190" cm="1">
        <f t="array" ref="E190">_xlfn.IFS(C190="Yes", 1,C190="No",2)</f>
        <v>2</v>
      </c>
      <c r="F190" cm="1">
        <f t="array" ref="F190">_xlfn.IFS(D190="Yes", 1,D190="No",2)</f>
        <v>2</v>
      </c>
      <c r="G190">
        <f t="shared" si="2"/>
        <v>4</v>
      </c>
      <c r="H190" t="str" cm="1">
        <f t="array" ref="H190">_xlfn.IFS(G190=2,"B",G190=3,"C",G190=4,"D")</f>
        <v>D</v>
      </c>
    </row>
    <row r="191" spans="1:8" x14ac:dyDescent="0.35">
      <c r="A191">
        <v>1947</v>
      </c>
      <c r="B191" s="109" t="s">
        <v>211</v>
      </c>
      <c r="C191" s="109" t="s">
        <v>1528</v>
      </c>
      <c r="D191" s="109" t="s">
        <v>1528</v>
      </c>
      <c r="E191" cm="1">
        <f t="array" ref="E191">_xlfn.IFS(C191="Yes", 1,C191="No",2)</f>
        <v>2</v>
      </c>
      <c r="F191" cm="1">
        <f t="array" ref="F191">_xlfn.IFS(D191="Yes", 1,D191="No",2)</f>
        <v>2</v>
      </c>
      <c r="G191">
        <f t="shared" si="2"/>
        <v>4</v>
      </c>
      <c r="H191" t="str" cm="1">
        <f t="array" ref="H191">_xlfn.IFS(G191=2,"B",G191=3,"C",G191=4,"D")</f>
        <v>D</v>
      </c>
    </row>
    <row r="192" spans="1:8" x14ac:dyDescent="0.35">
      <c r="A192">
        <v>2220</v>
      </c>
      <c r="B192" s="108" t="s">
        <v>212</v>
      </c>
      <c r="C192" s="108" t="s">
        <v>1528</v>
      </c>
      <c r="D192" s="108" t="s">
        <v>1528</v>
      </c>
      <c r="E192" cm="1">
        <f t="array" ref="E192">_xlfn.IFS(C192="Yes", 1,C192="No",2)</f>
        <v>2</v>
      </c>
      <c r="F192" cm="1">
        <f t="array" ref="F192">_xlfn.IFS(D192="Yes", 1,D192="No",2)</f>
        <v>2</v>
      </c>
      <c r="G192">
        <f t="shared" si="2"/>
        <v>4</v>
      </c>
      <c r="H192" t="str" cm="1">
        <f t="array" ref="H192">_xlfn.IFS(G192=2,"B",G192=3,"C",G192=4,"D")</f>
        <v>D</v>
      </c>
    </row>
    <row r="193" spans="1:8" x14ac:dyDescent="0.35">
      <c r="A193">
        <v>1936</v>
      </c>
      <c r="B193" s="109" t="s">
        <v>213</v>
      </c>
      <c r="C193" s="109" t="s">
        <v>1528</v>
      </c>
      <c r="D193" s="109" t="s">
        <v>1528</v>
      </c>
      <c r="E193" cm="1">
        <f t="array" ref="E193">_xlfn.IFS(C193="Yes", 1,C193="No",2)</f>
        <v>2</v>
      </c>
      <c r="F193" cm="1">
        <f t="array" ref="F193">_xlfn.IFS(D193="Yes", 1,D193="No",2)</f>
        <v>2</v>
      </c>
      <c r="G193">
        <f t="shared" si="2"/>
        <v>4</v>
      </c>
      <c r="H193" t="str" cm="1">
        <f t="array" ref="H193">_xlfn.IFS(G193=2,"B",G193=3,"C",G193=4,"D")</f>
        <v>D</v>
      </c>
    </row>
    <row r="194" spans="1:8" x14ac:dyDescent="0.35">
      <c r="A194">
        <v>1922</v>
      </c>
      <c r="B194" s="108" t="s">
        <v>214</v>
      </c>
      <c r="C194" s="108" t="s">
        <v>1528</v>
      </c>
      <c r="D194" s="108" t="s">
        <v>1528</v>
      </c>
      <c r="E194" cm="1">
        <f t="array" ref="E194">_xlfn.IFS(C194="Yes", 1,C194="No",2)</f>
        <v>2</v>
      </c>
      <c r="F194" cm="1">
        <f t="array" ref="F194">_xlfn.IFS(D194="Yes", 1,D194="No",2)</f>
        <v>2</v>
      </c>
      <c r="G194">
        <f t="shared" si="2"/>
        <v>4</v>
      </c>
      <c r="H194" t="str" cm="1">
        <f t="array" ref="H194">_xlfn.IFS(G194=2,"B",G194=3,"C",G194=4,"D")</f>
        <v>D</v>
      </c>
    </row>
    <row r="195" spans="1:8" x14ac:dyDescent="0.35">
      <c r="A195">
        <v>2255</v>
      </c>
      <c r="B195" s="109" t="s">
        <v>215</v>
      </c>
      <c r="C195" s="109" t="s">
        <v>1528</v>
      </c>
      <c r="D195" s="109" t="s">
        <v>1528</v>
      </c>
      <c r="E195" cm="1">
        <f t="array" ref="E195">_xlfn.IFS(C195="Yes", 1,C195="No",2)</f>
        <v>2</v>
      </c>
      <c r="F195" cm="1">
        <f t="array" ref="F195">_xlfn.IFS(D195="Yes", 1,D195="No",2)</f>
        <v>2</v>
      </c>
      <c r="G195">
        <f t="shared" si="2"/>
        <v>4</v>
      </c>
      <c r="H195" t="str" cm="1">
        <f t="array" ref="H195">_xlfn.IFS(G195=2,"B",G195=3,"C",G195=4,"D")</f>
        <v>D</v>
      </c>
    </row>
    <row r="196" spans="1:8" x14ac:dyDescent="0.35">
      <c r="A196">
        <v>2002</v>
      </c>
      <c r="B196" s="108" t="s">
        <v>216</v>
      </c>
      <c r="C196" s="108" t="s">
        <v>1528</v>
      </c>
      <c r="D196" s="108" t="s">
        <v>1528</v>
      </c>
      <c r="E196" cm="1">
        <f t="array" ref="E196">_xlfn.IFS(C196="Yes", 1,C196="No",2)</f>
        <v>2</v>
      </c>
      <c r="F196" cm="1">
        <f t="array" ref="F196">_xlfn.IFS(D196="Yes", 1,D196="No",2)</f>
        <v>2</v>
      </c>
      <c r="G196">
        <f t="shared" ref="G196:G199" si="3">SUM(E196:F196)</f>
        <v>4</v>
      </c>
      <c r="H196" t="str" cm="1">
        <f t="array" ref="H196">_xlfn.IFS(G196=2,"B",G196=3,"C",G196=4,"D")</f>
        <v>D</v>
      </c>
    </row>
    <row r="197" spans="1:8" x14ac:dyDescent="0.35">
      <c r="A197">
        <v>2146</v>
      </c>
      <c r="B197" s="109" t="s">
        <v>217</v>
      </c>
      <c r="C197" s="109" t="s">
        <v>1528</v>
      </c>
      <c r="D197" s="109" t="s">
        <v>1528</v>
      </c>
      <c r="E197" cm="1">
        <f t="array" ref="E197">_xlfn.IFS(C197="Yes", 1,C197="No",2)</f>
        <v>2</v>
      </c>
      <c r="F197" cm="1">
        <f t="array" ref="F197">_xlfn.IFS(D197="Yes", 1,D197="No",2)</f>
        <v>2</v>
      </c>
      <c r="G197">
        <f t="shared" si="3"/>
        <v>4</v>
      </c>
      <c r="H197" t="str" cm="1">
        <f t="array" ref="H197">_xlfn.IFS(G197=2,"B",G197=3,"C",G197=4,"D")</f>
        <v>D</v>
      </c>
    </row>
    <row r="198" spans="1:8" x14ac:dyDescent="0.35">
      <c r="A198">
        <v>2251</v>
      </c>
      <c r="B198" s="108" t="s">
        <v>218</v>
      </c>
      <c r="C198" s="108" t="s">
        <v>1527</v>
      </c>
      <c r="D198" s="108" t="s">
        <v>1527</v>
      </c>
      <c r="E198" cm="1">
        <f t="array" ref="E198">_xlfn.IFS(C198="Yes", 1,C198="No",2)</f>
        <v>1</v>
      </c>
      <c r="F198" cm="1">
        <f t="array" ref="F198">_xlfn.IFS(D198="Yes", 1,D198="No",2)</f>
        <v>1</v>
      </c>
      <c r="G198">
        <f t="shared" si="3"/>
        <v>2</v>
      </c>
      <c r="H198" t="str" cm="1">
        <f t="array" ref="H198">_xlfn.IFS(G198=2,"B",G198=3,"C",G198=4,"D")</f>
        <v>B</v>
      </c>
    </row>
    <row r="199" spans="1:8" ht="15" thickBot="1" x14ac:dyDescent="0.4">
      <c r="A199">
        <v>1997</v>
      </c>
      <c r="B199" s="153" t="s">
        <v>219</v>
      </c>
      <c r="C199" s="153" t="s">
        <v>1528</v>
      </c>
      <c r="D199" s="153" t="s">
        <v>1528</v>
      </c>
      <c r="E199" cm="1">
        <f t="array" ref="E199">_xlfn.IFS(C199="Yes", 1,C199="No",2)</f>
        <v>2</v>
      </c>
      <c r="F199" cm="1">
        <f t="array" ref="F199">_xlfn.IFS(D199="Yes", 1,D199="No",2)</f>
        <v>2</v>
      </c>
      <c r="G199">
        <f t="shared" si="3"/>
        <v>4</v>
      </c>
      <c r="H199" t="str" cm="1">
        <f t="array" ref="H199">_xlfn.IFS(G199=2,"B",G199=3,"C",G199=4,"D")</f>
        <v>D</v>
      </c>
    </row>
  </sheetData>
  <autoFilter ref="A2:H199" xr:uid="{00000000-0001-0000-1400-000000000000}"/>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E6DA7A126F3FC40B3A9837B2983E5A7" ma:contentTypeVersion="2" ma:contentTypeDescription="Create a new document." ma:contentTypeScope="" ma:versionID="0279363fe623c9074cde9ec2ec330fcc">
  <xsd:schema xmlns:xsd="http://www.w3.org/2001/XMLSchema" xmlns:xs="http://www.w3.org/2001/XMLSchema" xmlns:p="http://schemas.microsoft.com/office/2006/metadata/properties" xmlns:ns1="http://schemas.microsoft.com/sharepoint/v3" xmlns:ns2="54031767-dd6d-417c-ab73-583408f47564" targetNamespace="http://schemas.microsoft.com/office/2006/metadata/properties" ma:root="true" ma:fieldsID="d9458e77cf9d198ba6dbaf0b974a459d" ns1:_="" ns2:_="">
    <xsd:import namespace="http://schemas.microsoft.com/sharepoint/v3"/>
    <xsd:import namespace="54031767-dd6d-417c-ab73-583408f47564"/>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4031767-dd6d-417c-ab73-583408f4756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U D A A B Q S w M E F A A C A A g A w W J z W K f i / j 6 l A A A A 9 g A A A B I A H A B D b 2 5 m a W c v U G F j a 2 F n Z S 5 4 b W w g o h g A K K A U A A A A A A A A A A A A A A A A A A A A A A A A A A A A h Y + x D o I w G I R f h X S n L d U Y Q k o Z X C U x I R r X p l R o h B 9 D i + X d H H w k X 0 G M o m 6 O d / d d c n e / 3 n g 2 t k 1 w 0 b 0 1 H a Q o w h Q F G l R X G q h S N L h j G K N M 8 K 1 U J 1 n p Y I L B J q M 1 K a q d O y e E e O + x X + C u r w i j N C K H f F O o W r c y N G C d B K X R p 1 X + b y H B 9 6 8 x g u G I L f G K x Z h y M p s 8 N / A F 2 L T 3 m f 6 Y f D 0 0 b u i 1 0 B D u C k 5 m y c n 7 g 3 g A U E s D B B Q A A g A I A M F i c 1 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B Y n N Y K I p H u A 4 A A A A R A A A A E w A c A E Z v c m 1 1 b G F z L 1 N l Y 3 R p b 2 4 x L m 0 g o h g A K K A U A A A A A A A A A A A A A A A A A A A A A A A A A A A A K 0 5 N L s n M z 1 M I h t C G 1 g B Q S w E C L Q A U A A I A C A D B Y n N Y p + L + P q U A A A D 2 A A A A E g A A A A A A A A A A A A A A A A A A A A A A Q 2 9 u Z m l n L 1 B h Y 2 t h Z 2 U u e G 1 s U E s B A i 0 A F A A C A A g A w W J z W A / K 6 a u k A A A A 6 Q A A A B M A A A A A A A A A A A A A A A A A 8 Q A A A F t D b 2 5 0 Z W 5 0 X 1 R 5 c G V z X S 5 4 b W x Q S w E C L Q A U A A I A C A D B Y n N Y 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X O + r k 0 Y q N U q H f j 2 h / T W M I g A A A A A C A A A A A A A D Z g A A w A A A A B A A A A C i K A 5 6 w V b b a M U L w W k o t o M S A A A A A A S A A A C g A A A A E A A A A J 1 Z G 7 y W / C y P B F n X 0 y 9 o A x V Q A A A A s k B O N L F b / X 4 + a f 7 o / 4 3 c d d b X 9 V B 8 F 0 K E f k t c 6 w / q N g X 8 Z K a w b v V O B k 3 h A j L H T u h Q b r v 3 S V i c l V d x U + m v q q n 9 U F K H b + x a P 5 S y x F I s e F 7 C b b Q U A A A A o G E o Z o C 6 E 6 d N S I l J A U h m V Z B r Z p Y = < / D a t a M a s h u p > 
</file>

<file path=customXml/itemProps1.xml><?xml version="1.0" encoding="utf-8"?>
<ds:datastoreItem xmlns:ds="http://schemas.openxmlformats.org/officeDocument/2006/customXml" ds:itemID="{3C48634D-B5B9-4279-87ED-7FAC1DFF75C2}">
  <ds:schemaRefs>
    <ds:schemaRef ds:uri="http://purl.org/dc/elements/1.1/"/>
    <ds:schemaRef ds:uri="http://schemas.microsoft.com/office/2006/metadata/properties"/>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ef311220-9bdc-47cc-8c56-c8c341bf2bda"/>
    <ds:schemaRef ds:uri="4566dc66-dbdb-403a-b527-9f9b721c353d"/>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FD0523BC-5D0A-4541-A9A1-CEB3CA85ECCC}"/>
</file>

<file path=customXml/itemProps3.xml><?xml version="1.0" encoding="utf-8"?>
<ds:datastoreItem xmlns:ds="http://schemas.openxmlformats.org/officeDocument/2006/customXml" ds:itemID="{86EFCF1B-AC29-4454-B9F2-CAC44A4F84D8}">
  <ds:schemaRefs>
    <ds:schemaRef ds:uri="http://schemas.microsoft.com/sharepoint/v3/contenttype/forms"/>
  </ds:schemaRefs>
</ds:datastoreItem>
</file>

<file path=customXml/itemProps4.xml><?xml version="1.0" encoding="utf-8"?>
<ds:datastoreItem xmlns:ds="http://schemas.openxmlformats.org/officeDocument/2006/customXml" ds:itemID="{8E40AEEC-DF55-487D-A043-EAC7D545D51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141</vt:i4>
      </vt:variant>
    </vt:vector>
  </HeadingPairs>
  <TitlesOfParts>
    <vt:vector size="174" baseType="lpstr">
      <vt:lpstr>Agency Info Data</vt:lpstr>
      <vt:lpstr>Output</vt:lpstr>
      <vt:lpstr>Sheet2</vt:lpstr>
      <vt:lpstr>Mail Merge</vt:lpstr>
      <vt:lpstr>MOE Calc</vt:lpstr>
      <vt:lpstr>Awardsize</vt:lpstr>
      <vt:lpstr>Admin</vt:lpstr>
      <vt:lpstr>Charters</vt:lpstr>
      <vt:lpstr>LateInaccurate</vt:lpstr>
      <vt:lpstr>MoeHistory</vt:lpstr>
      <vt:lpstr>SQL MOE</vt:lpstr>
      <vt:lpstr>NWR</vt:lpstr>
      <vt:lpstr>2022 SQL</vt:lpstr>
      <vt:lpstr>Roll Up</vt:lpstr>
      <vt:lpstr>Contacts</vt:lpstr>
      <vt:lpstr>District 2022-23</vt:lpstr>
      <vt:lpstr>Enroll%</vt:lpstr>
      <vt:lpstr>READ ME (Updates)</vt:lpstr>
      <vt:lpstr>SigDis</vt:lpstr>
      <vt:lpstr>Resources</vt:lpstr>
      <vt:lpstr>Agency Information</vt:lpstr>
      <vt:lpstr>Contact Information</vt:lpstr>
      <vt:lpstr>Example Statements</vt:lpstr>
      <vt:lpstr>Equity Assurances</vt:lpstr>
      <vt:lpstr>MOE</vt:lpstr>
      <vt:lpstr>Fiscal Assurances</vt:lpstr>
      <vt:lpstr>FAPE Assurances</vt:lpstr>
      <vt:lpstr>Program &amp; Data Assurances</vt:lpstr>
      <vt:lpstr>Charter School Assurances</vt:lpstr>
      <vt:lpstr>Private School Assurances</vt:lpstr>
      <vt:lpstr>Fiscal Risk</vt:lpstr>
      <vt:lpstr>Signatures</vt:lpstr>
      <vt:lpstr>Will Delete SpedDirectorQ</vt:lpstr>
      <vt:lpstr>'Mail Merge'!agencies_cols</vt:lpstr>
      <vt:lpstr>agencies_cols</vt:lpstr>
      <vt:lpstr>AgencyInfoFields</vt:lpstr>
      <vt:lpstr>AppUpdateDt</vt:lpstr>
      <vt:lpstr>AppVersion</vt:lpstr>
      <vt:lpstr>BsnEmail1</vt:lpstr>
      <vt:lpstr>BsnEmail2</vt:lpstr>
      <vt:lpstr>BsnFirstName</vt:lpstr>
      <vt:lpstr>BsnLastName</vt:lpstr>
      <vt:lpstr>BsnPhone1</vt:lpstr>
      <vt:lpstr>BsnPhone1Extension</vt:lpstr>
      <vt:lpstr>BsnPhone2</vt:lpstr>
      <vt:lpstr>BsnPhone2Extension</vt:lpstr>
      <vt:lpstr>BsnTitle</vt:lpstr>
      <vt:lpstr>ceis_answer</vt:lpstr>
      <vt:lpstr>Charter1Nm</vt:lpstr>
      <vt:lpstr>Charter1Opt</vt:lpstr>
      <vt:lpstr>Charter2Nm</vt:lpstr>
      <vt:lpstr>Charter2Opt</vt:lpstr>
      <vt:lpstr>Charter3Nm</vt:lpstr>
      <vt:lpstr>Charter3Opt</vt:lpstr>
      <vt:lpstr>Charter4Nm</vt:lpstr>
      <vt:lpstr>Charter4Opt</vt:lpstr>
      <vt:lpstr>Charter5Nm</vt:lpstr>
      <vt:lpstr>Charter5Opt</vt:lpstr>
      <vt:lpstr>Charter6Nm</vt:lpstr>
      <vt:lpstr>Charter6Opt</vt:lpstr>
      <vt:lpstr>CharterAllocations</vt:lpstr>
      <vt:lpstr>CharterNew1Nm</vt:lpstr>
      <vt:lpstr>CharterNew1Opt</vt:lpstr>
      <vt:lpstr>CharterNew2Nm</vt:lpstr>
      <vt:lpstr>CharterNew2Opt</vt:lpstr>
      <vt:lpstr>CharterNew3Nm</vt:lpstr>
      <vt:lpstr>CharterNew3Opt</vt:lpstr>
      <vt:lpstr>CharterNew4Nm</vt:lpstr>
      <vt:lpstr>CharterNew4Opt</vt:lpstr>
      <vt:lpstr>CharterNew5Nm</vt:lpstr>
      <vt:lpstr>CharterNew5Opt</vt:lpstr>
      <vt:lpstr>CharterNew6Nm</vt:lpstr>
      <vt:lpstr>CharterNew6Opt</vt:lpstr>
      <vt:lpstr>CharterSchoolsFields</vt:lpstr>
      <vt:lpstr>'Mail Merge'!choice_cols</vt:lpstr>
      <vt:lpstr>choice_cols</vt:lpstr>
      <vt:lpstr>ChoiceYN</vt:lpstr>
      <vt:lpstr>CloseDate</vt:lpstr>
      <vt:lpstr>'Mail Merge'!contact_columns</vt:lpstr>
      <vt:lpstr>contact_columns</vt:lpstr>
      <vt:lpstr>CurrSchlYr</vt:lpstr>
      <vt:lpstr>DataCllctnRptng</vt:lpstr>
      <vt:lpstr>DataCollectionProgramFields</vt:lpstr>
      <vt:lpstr>DoeEstDate</vt:lpstr>
      <vt:lpstr>FiscalAgent</vt:lpstr>
      <vt:lpstr>FiscalAgentAssurance</vt:lpstr>
      <vt:lpstr>FiscalAgentIsESD</vt:lpstr>
      <vt:lpstr>FiscalFields</vt:lpstr>
      <vt:lpstr>FiscalRiskFields</vt:lpstr>
      <vt:lpstr>FiscalRiskTotal</vt:lpstr>
      <vt:lpstr>FrAns1</vt:lpstr>
      <vt:lpstr>FrAns10</vt:lpstr>
      <vt:lpstr>FrAns11</vt:lpstr>
      <vt:lpstr>FrAns12</vt:lpstr>
      <vt:lpstr>FrAns13</vt:lpstr>
      <vt:lpstr>FrAns2</vt:lpstr>
      <vt:lpstr>FrAns3</vt:lpstr>
      <vt:lpstr>FrAns4</vt:lpstr>
      <vt:lpstr>FrAns5</vt:lpstr>
      <vt:lpstr>FrAns6</vt:lpstr>
      <vt:lpstr>FrAns8</vt:lpstr>
      <vt:lpstr>FrAns9</vt:lpstr>
      <vt:lpstr>FrScore1</vt:lpstr>
      <vt:lpstr>FrScore10</vt:lpstr>
      <vt:lpstr>FrScore11</vt:lpstr>
      <vt:lpstr>FrScore12</vt:lpstr>
      <vt:lpstr>FrScore13</vt:lpstr>
      <vt:lpstr>FrScore2</vt:lpstr>
      <vt:lpstr>FrScore3</vt:lpstr>
      <vt:lpstr>FrScore4</vt:lpstr>
      <vt:lpstr>FrScore5</vt:lpstr>
      <vt:lpstr>FrScore6</vt:lpstr>
      <vt:lpstr>FrScore8</vt:lpstr>
      <vt:lpstr>FrScore9</vt:lpstr>
      <vt:lpstr>FsclBudget</vt:lpstr>
      <vt:lpstr>FsclControls</vt:lpstr>
      <vt:lpstr>FsclLtct</vt:lpstr>
      <vt:lpstr>FsclOsd</vt:lpstr>
      <vt:lpstr>FsclRegional</vt:lpstr>
      <vt:lpstr>FsclTimeEffort</vt:lpstr>
      <vt:lpstr>GeneralIDEA</vt:lpstr>
      <vt:lpstr>genidea_choices</vt:lpstr>
      <vt:lpstr>Gross611</vt:lpstr>
      <vt:lpstr>Gross619</vt:lpstr>
      <vt:lpstr>LEA_ID</vt:lpstr>
      <vt:lpstr>LeaName</vt:lpstr>
      <vt:lpstr>MoeCurrYear</vt:lpstr>
      <vt:lpstr>'Mail Merge'!moehist_cols</vt:lpstr>
      <vt:lpstr>moehist_cols</vt:lpstr>
      <vt:lpstr>MoePriorYear</vt:lpstr>
      <vt:lpstr>MoePriorYear2</vt:lpstr>
      <vt:lpstr>MoePriorYear3</vt:lpstr>
      <vt:lpstr>MoePriorYear4</vt:lpstr>
      <vt:lpstr>MoeStartYear</vt:lpstr>
      <vt:lpstr>Nimas</vt:lpstr>
      <vt:lpstr>OpenDate</vt:lpstr>
      <vt:lpstr>OtherPolicies</vt:lpstr>
      <vt:lpstr>PreparerInfo</vt:lpstr>
      <vt:lpstr>PrevSchlYr</vt:lpstr>
      <vt:lpstr>'Private School Assurances'!Print_Area</vt:lpstr>
      <vt:lpstr>'Fiscal Assurances'!Print_Titles</vt:lpstr>
      <vt:lpstr>'Fiscal Risk'!Print_Titles</vt:lpstr>
      <vt:lpstr>PrivateSchlLeaPlcd</vt:lpstr>
      <vt:lpstr>PrivateSchlPrntPlcd</vt:lpstr>
      <vt:lpstr>PrivateSchoolsFields</vt:lpstr>
      <vt:lpstr>PrsnApplying</vt:lpstr>
      <vt:lpstr>PrsnEmail</vt:lpstr>
      <vt:lpstr>PrsnPhone</vt:lpstr>
      <vt:lpstr>PublicBenefits</vt:lpstr>
      <vt:lpstr>RptYr</vt:lpstr>
      <vt:lpstr>'Mail Merge'!sect611_cols</vt:lpstr>
      <vt:lpstr>sect611_cols</vt:lpstr>
      <vt:lpstr>'Mail Merge'!sect619_cols</vt:lpstr>
      <vt:lpstr>sect619_cols</vt:lpstr>
      <vt:lpstr>SedEmail1</vt:lpstr>
      <vt:lpstr>SedEmail2</vt:lpstr>
      <vt:lpstr>SedFirstName</vt:lpstr>
      <vt:lpstr>SedLastName</vt:lpstr>
      <vt:lpstr>SedPhone1</vt:lpstr>
      <vt:lpstr>SedPhone1Extension</vt:lpstr>
      <vt:lpstr>SedPhone2</vt:lpstr>
      <vt:lpstr>SedPhone2Extension</vt:lpstr>
      <vt:lpstr>SedTitle</vt:lpstr>
      <vt:lpstr>SupEmail1</vt:lpstr>
      <vt:lpstr>SupEmail2</vt:lpstr>
      <vt:lpstr>SupFirstName</vt:lpstr>
      <vt:lpstr>SupLastName</vt:lpstr>
      <vt:lpstr>SupPhone1</vt:lpstr>
      <vt:lpstr>SupPhone1Extension</vt:lpstr>
      <vt:lpstr>SupPhone2</vt:lpstr>
      <vt:lpstr>SupPhone2Extension</vt:lpstr>
      <vt:lpstr>SupTitle</vt:lpstr>
      <vt:lpstr>'Mail Merge'!tblinsts_cols</vt:lpstr>
      <vt:lpstr>tblinsts_cols</vt:lpstr>
    </vt:vector>
  </TitlesOfParts>
  <Manager/>
  <Company>Oregon Department of Education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IDEA Part B Assurance and Application for Funds Form</dc:title>
  <dc:subject/>
  <dc:creator>ODE Staff</dc:creator>
  <cp:keywords>IDEA;Part B;Part B 611;Part B 619;application;</cp:keywords>
  <dc:description/>
  <cp:lastModifiedBy>VERMILLION Alex * ODE</cp:lastModifiedBy>
  <cp:revision/>
  <dcterms:created xsi:type="dcterms:W3CDTF">2019-10-30T19:56:52Z</dcterms:created>
  <dcterms:modified xsi:type="dcterms:W3CDTF">2024-06-07T21:59:18Z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0x010100CE6DA7A126F3FC40B3A9837B2983E5A7</vt:lpwstr>
  </property>
  <property fmtid="{D5CDD505-2E9C-101B-9397-08002B2CF9AE}" pid="3" name="MSIP_Label_7730ea53-6f5e-4160-81a5-992a9105450a_Enabled">
    <vt:lpwstr>true</vt:lpwstr>
  </property>
  <property fmtid="{D5CDD505-2E9C-101B-9397-08002B2CF9AE}" pid="4" name="MSIP_Label_7730ea53-6f5e-4160-81a5-992a9105450a_SetDate">
    <vt:lpwstr>2024-01-24T22:55:39Z</vt:lpwstr>
  </property>
  <property fmtid="{D5CDD505-2E9C-101B-9397-08002B2CF9AE}" pid="5" name="MSIP_Label_7730ea53-6f5e-4160-81a5-992a9105450a_Method">
    <vt:lpwstr>Standard</vt:lpwstr>
  </property>
  <property fmtid="{D5CDD505-2E9C-101B-9397-08002B2CF9AE}" pid="6" name="MSIP_Label_7730ea53-6f5e-4160-81a5-992a9105450a_Name">
    <vt:lpwstr>Level 2 - Limited (Items)</vt:lpwstr>
  </property>
  <property fmtid="{D5CDD505-2E9C-101B-9397-08002B2CF9AE}" pid="7" name="MSIP_Label_7730ea53-6f5e-4160-81a5-992a9105450a_SiteId">
    <vt:lpwstr>b4f51418-b269-49a2-935a-fa54bf584fc8</vt:lpwstr>
  </property>
  <property fmtid="{D5CDD505-2E9C-101B-9397-08002B2CF9AE}" pid="8" name="MSIP_Label_7730ea53-6f5e-4160-81a5-992a9105450a_ActionId">
    <vt:lpwstr>663325a6-29d4-4a78-838e-1aa5d258ce75</vt:lpwstr>
  </property>
  <property fmtid="{D5CDD505-2E9C-101B-9397-08002B2CF9AE}" pid="9" name="MSIP_Label_7730ea53-6f5e-4160-81a5-992a9105450a_ContentBits">
    <vt:lpwstr>0</vt:lpwstr>
  </property>
</Properties>
</file>